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ycharmProjects\HalliburtonPDF\"/>
    </mc:Choice>
  </mc:AlternateContent>
  <xr:revisionPtr revIDLastSave="0" documentId="13_ncr:1_{7404AFEE-21FC-46DA-9827-EA944DC7C08E}" xr6:coauthVersionLast="47" xr6:coauthVersionMax="47" xr10:uidLastSave="{00000000-0000-0000-0000-000000000000}"/>
  <bookViews>
    <workbookView xWindow="-110" yWindow="-110" windowWidth="19420" windowHeight="10420" tabRatio="842" xr2:uid="{00000000-000D-0000-FFFF-FFFF00000000}"/>
  </bookViews>
  <sheets>
    <sheet name="Cutters Inventory 12-30-2025" sheetId="1" r:id="rId1"/>
    <sheet name="Sheet3" sheetId="32" state="hidden" r:id="rId2"/>
    <sheet name="Sheet5" sheetId="34" state="hidden" r:id="rId3"/>
    <sheet name="Sheet1" sheetId="14" state="hidden" r:id="rId4"/>
    <sheet name="ARAMCO 3D BATCH 7.7.2022" sheetId="13" state="hidden" r:id="rId5"/>
    <sheet name="Special Consumables_C&amp;S_.. (2)" sheetId="24" state="hidden" r:id="rId6"/>
    <sheet name="Cutters Inventory 12-30-2025(2)" sheetId="42" r:id="rId7"/>
    <sheet name="Categories Data" sheetId="39" r:id="rId8"/>
    <sheet name="L3&amp;L4 BOMs &amp; Cutters 12-30-2025" sheetId="4" r:id="rId9"/>
    <sheet name="Obsolete Cutters-10-27-2025" sheetId="40" r:id="rId10"/>
    <sheet name="Cutters Orders Updates" sheetId="29" r:id="rId11"/>
    <sheet name="Cutters Consumption Updates" sheetId="30" r:id="rId12"/>
    <sheet name="BOMS" sheetId="11" r:id="rId13"/>
    <sheet name="FILTER" sheetId="26" r:id="rId14"/>
    <sheet name="Duplicate No of Bits tims Rows" sheetId="41" r:id="rId15"/>
    <sheet name="Sheet4" sheetId="43" r:id="rId16"/>
    <sheet name="Check" sheetId="31" r:id="rId17"/>
    <sheet name="Special Consumables_C&amp;S_CF2.0" sheetId="27" r:id="rId18"/>
    <sheet name="Azim's update  9.27.2023" sheetId="28" r:id="rId19"/>
    <sheet name="ENO Cracked Cutters" sheetId="5" r:id="rId20"/>
    <sheet name="Azim's 9.1.2022 update" sheetId="23" state="hidden" r:id="rId21"/>
    <sheet name="Sheet2" sheetId="16" state="hidden" r:id="rId22"/>
    <sheet name="BITS WITH MODIFIED CUTTERS" sheetId="2" state="hidden" r:id="rId23"/>
  </sheets>
  <externalReferences>
    <externalReference r:id="rId24"/>
  </externalReferences>
  <definedNames>
    <definedName name="_xlnm._FilterDatabase" localSheetId="4" hidden="1">'ARAMCO 3D BATCH 7.7.2022'!$E$1:$AB$553</definedName>
    <definedName name="_xlnm._FilterDatabase" localSheetId="18" hidden="1">'Azim''s update  9.27.2023'!$Q$156:$Q$203</definedName>
    <definedName name="_xlnm._FilterDatabase" localSheetId="11" hidden="1">'Cutters Consumption Updates'!$AS$1:$AZ$267</definedName>
    <definedName name="_xlnm._FilterDatabase" localSheetId="0" hidden="1">'Cutters Inventory 12-30-2025'!$A$1:$AM$304</definedName>
    <definedName name="_xlnm._FilterDatabase" localSheetId="6" hidden="1">'Cutters Inventory 12-30-2025(2)'!$A$1:$AN$304</definedName>
    <definedName name="_xlnm._FilterDatabase" localSheetId="10" hidden="1">'Cutters Orders Updates'!$V$1:$W$496</definedName>
    <definedName name="_xlnm._FilterDatabase" localSheetId="19" hidden="1">'ENO Cracked Cutters'!$I$18:$J$50</definedName>
    <definedName name="_xlnm._FilterDatabase" localSheetId="8" hidden="1">'L3&amp;L4 BOMs &amp; Cutters 12-30-2025'!$A$1:$I$1</definedName>
    <definedName name="_xlnm._FilterDatabase" localSheetId="21" hidden="1">Sheet2!$A$1:$P$58</definedName>
    <definedName name="_xlnm._FilterDatabase" localSheetId="1" hidden="1">Sheet3!$K$2:$Q$45</definedName>
    <definedName name="_xlnm._FilterDatabase" localSheetId="17" hidden="1">'Special Consumables_C&amp;S_CF2.0'!$G$2:$M$55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74" i="30" l="1"/>
  <c r="C6473" i="30"/>
  <c r="C6472" i="30"/>
  <c r="C6471" i="30"/>
  <c r="C6470" i="30"/>
  <c r="C6469" i="30"/>
  <c r="C6468" i="30"/>
  <c r="C6467" i="30"/>
  <c r="C6466" i="30"/>
  <c r="C6465" i="30"/>
  <c r="C6464" i="30"/>
  <c r="C6463" i="30"/>
  <c r="C6462" i="30"/>
  <c r="C6461" i="30"/>
  <c r="C6460" i="30"/>
  <c r="C6459" i="30"/>
  <c r="C6458" i="30"/>
  <c r="C6457" i="30"/>
  <c r="C6456" i="30"/>
  <c r="C6455" i="30"/>
  <c r="C6454" i="30"/>
  <c r="C6453" i="30"/>
  <c r="C6452" i="30"/>
  <c r="C6451" i="30"/>
  <c r="C6450" i="30"/>
  <c r="C6449" i="30"/>
  <c r="C6448" i="30"/>
  <c r="C6447" i="30"/>
  <c r="C6446" i="30"/>
  <c r="C6445" i="30"/>
  <c r="C6444" i="30"/>
  <c r="C6443" i="30"/>
  <c r="C6442" i="30"/>
  <c r="C6441" i="30"/>
  <c r="C6440" i="30"/>
  <c r="C6439" i="30"/>
  <c r="C6438" i="30"/>
  <c r="C6437" i="30"/>
  <c r="C6436" i="30"/>
  <c r="C6435" i="30"/>
  <c r="C6434" i="30"/>
  <c r="C6433" i="30"/>
  <c r="C6432" i="30"/>
  <c r="C6431" i="30"/>
  <c r="C6430" i="30"/>
  <c r="C6429" i="30"/>
  <c r="C6428" i="30"/>
  <c r="C6427" i="30"/>
  <c r="C6426" i="30"/>
  <c r="C6425" i="30"/>
  <c r="C6424" i="30"/>
  <c r="C6423" i="30"/>
  <c r="C6422" i="30"/>
  <c r="C6421" i="30"/>
  <c r="C6420" i="30"/>
  <c r="C6419" i="30"/>
  <c r="C6418" i="30"/>
  <c r="C6417" i="30"/>
  <c r="C6416" i="30"/>
  <c r="C6415" i="30"/>
  <c r="C6414" i="30"/>
  <c r="C6413" i="30"/>
  <c r="C6412" i="30"/>
  <c r="C6411" i="30"/>
  <c r="C6410" i="30"/>
  <c r="C6409" i="30"/>
  <c r="C6408" i="30"/>
  <c r="C6407" i="30"/>
  <c r="C6406" i="30"/>
  <c r="C6405" i="30"/>
  <c r="C6404" i="30"/>
  <c r="C6403" i="30"/>
  <c r="C6402" i="30"/>
  <c r="C6401" i="30"/>
  <c r="C6400" i="30"/>
  <c r="C6399" i="30"/>
  <c r="C6398" i="30"/>
  <c r="C6397" i="30"/>
  <c r="C6396" i="30"/>
  <c r="C6395" i="30"/>
  <c r="C6394" i="30"/>
  <c r="C6393" i="30"/>
  <c r="C6392" i="30"/>
  <c r="C6391" i="30"/>
  <c r="C6390" i="30"/>
  <c r="C6389" i="30"/>
  <c r="C6388" i="30"/>
  <c r="C6387" i="30"/>
  <c r="C6386" i="30"/>
  <c r="C6385" i="30"/>
  <c r="C6384" i="30"/>
  <c r="C6383" i="30"/>
  <c r="C6382" i="30"/>
  <c r="C6381" i="30"/>
  <c r="C6380" i="30"/>
  <c r="C6379" i="30"/>
  <c r="C6378" i="30"/>
  <c r="C6377" i="30"/>
  <c r="C6339" i="30"/>
  <c r="C6376" i="30"/>
  <c r="C6375" i="30"/>
  <c r="C6374" i="30"/>
  <c r="C6373" i="30"/>
  <c r="C6372" i="30"/>
  <c r="C6371" i="30"/>
  <c r="C6370" i="30"/>
  <c r="C6369" i="30"/>
  <c r="C6368" i="30"/>
  <c r="C6367" i="30"/>
  <c r="C6366" i="30"/>
  <c r="C6365" i="30"/>
  <c r="C6364" i="30"/>
  <c r="C6363" i="30"/>
  <c r="C6362" i="30"/>
  <c r="C6361" i="30"/>
  <c r="C6360" i="30"/>
  <c r="C6359" i="30"/>
  <c r="C6358" i="30"/>
  <c r="C6357" i="30"/>
  <c r="C6356" i="30"/>
  <c r="C6355" i="30"/>
  <c r="C6354" i="30"/>
  <c r="C6353" i="30"/>
  <c r="C6352" i="30"/>
  <c r="C6351" i="30"/>
  <c r="C6350" i="30"/>
  <c r="C6349" i="30"/>
  <c r="C6348" i="30"/>
  <c r="C6347" i="30"/>
  <c r="C6346" i="30"/>
  <c r="C6345" i="30"/>
  <c r="C6344" i="30"/>
  <c r="C6343" i="30"/>
  <c r="C6342" i="30"/>
  <c r="C6341" i="30"/>
  <c r="C6340" i="30"/>
  <c r="L913" i="4"/>
  <c r="L914" i="4"/>
  <c r="L915" i="4"/>
  <c r="L916" i="4"/>
  <c r="X582" i="4"/>
  <c r="X583" i="4"/>
  <c r="X584" i="4"/>
  <c r="X585" i="4"/>
  <c r="X586" i="4"/>
  <c r="X587" i="4"/>
  <c r="AC582" i="4"/>
  <c r="AD582" i="4" s="1"/>
  <c r="AC583" i="4"/>
  <c r="AD583" i="4" s="1"/>
  <c r="AC584" i="4"/>
  <c r="AD584" i="4" s="1"/>
  <c r="AC585" i="4"/>
  <c r="AD585" i="4" s="1"/>
  <c r="AC586" i="4"/>
  <c r="AD586" i="4" s="1"/>
  <c r="AC587" i="4"/>
  <c r="AD587" i="4" s="1"/>
  <c r="X578" i="4"/>
  <c r="X579" i="4"/>
  <c r="X580" i="4"/>
  <c r="X581" i="4"/>
  <c r="AC578" i="4"/>
  <c r="AD578" i="4" s="1"/>
  <c r="AC579" i="4"/>
  <c r="AD579" i="4" s="1"/>
  <c r="AC580" i="4"/>
  <c r="AD580" i="4" s="1"/>
  <c r="AC581" i="4"/>
  <c r="AD581" i="4" s="1"/>
  <c r="J925" i="4"/>
  <c r="J921" i="4"/>
  <c r="J922" i="4"/>
  <c r="J923" i="4"/>
  <c r="J924" i="4"/>
  <c r="J917" i="4"/>
  <c r="J918" i="4"/>
  <c r="J919" i="4"/>
  <c r="J920" i="4"/>
  <c r="J913" i="4"/>
  <c r="J914" i="4"/>
  <c r="J915" i="4"/>
  <c r="J916" i="4"/>
  <c r="AL302" i="42" l="1"/>
  <c r="AK302" i="42"/>
  <c r="AJ302" i="42"/>
  <c r="R302" i="42"/>
  <c r="P302" i="42"/>
  <c r="O302" i="42"/>
  <c r="M302" i="42"/>
  <c r="L302" i="42"/>
  <c r="K302" i="42"/>
  <c r="J302" i="42"/>
  <c r="I302" i="42"/>
  <c r="R304" i="1"/>
  <c r="I750" i="29"/>
  <c r="J750" i="29" s="1"/>
  <c r="C6338" i="30"/>
  <c r="C6337" i="30"/>
  <c r="C6335" i="30"/>
  <c r="C6336" i="30"/>
  <c r="C6333" i="30"/>
  <c r="C6334" i="30"/>
  <c r="J907" i="4"/>
  <c r="J908" i="4"/>
  <c r="C6332" i="30"/>
  <c r="C6331" i="30"/>
  <c r="C6330" i="30"/>
  <c r="C6329" i="30"/>
  <c r="C6328" i="30"/>
  <c r="C6327" i="30"/>
  <c r="C6326" i="30"/>
  <c r="C6325" i="30"/>
  <c r="C6324" i="30"/>
  <c r="C6323" i="30"/>
  <c r="C6322" i="30"/>
  <c r="C6321" i="30"/>
  <c r="C6320" i="30"/>
  <c r="C6319" i="30"/>
  <c r="C6318" i="30"/>
  <c r="C6317" i="30"/>
  <c r="C6316" i="30"/>
  <c r="C6315" i="30"/>
  <c r="C6314" i="30"/>
  <c r="C6313" i="30"/>
  <c r="C6312" i="30"/>
  <c r="C6311" i="30"/>
  <c r="C6310" i="30"/>
  <c r="C6309" i="30"/>
  <c r="C6308" i="30"/>
  <c r="C6307" i="30"/>
  <c r="C6306" i="30"/>
  <c r="C6305" i="30"/>
  <c r="C6304" i="30"/>
  <c r="C6303" i="30"/>
  <c r="C6302" i="30"/>
  <c r="C6301" i="30"/>
  <c r="C6300" i="30"/>
  <c r="C6299" i="30"/>
  <c r="C6298" i="30"/>
  <c r="C6297" i="30"/>
  <c r="C6296" i="30"/>
  <c r="C6295" i="30"/>
  <c r="C6294" i="30"/>
  <c r="C6293" i="30"/>
  <c r="C6292" i="30"/>
  <c r="C6291" i="30"/>
  <c r="C6290" i="30"/>
  <c r="C6289" i="30"/>
  <c r="C6288" i="30"/>
  <c r="C6287" i="30"/>
  <c r="C6286" i="30"/>
  <c r="C6285" i="30"/>
  <c r="C6284" i="30"/>
  <c r="C6283" i="30"/>
  <c r="C6282" i="30"/>
  <c r="C6281" i="30"/>
  <c r="C6280" i="30"/>
  <c r="C6279" i="30"/>
  <c r="C6278" i="30"/>
  <c r="C6277" i="30"/>
  <c r="C6276" i="30"/>
  <c r="C6275" i="30"/>
  <c r="C6274" i="30"/>
  <c r="C6273" i="30"/>
  <c r="C6272" i="30"/>
  <c r="C6271" i="30"/>
  <c r="C6270" i="30"/>
  <c r="C6269" i="30"/>
  <c r="C6268" i="30"/>
  <c r="C6267" i="30"/>
  <c r="C6266" i="30"/>
  <c r="C6265" i="30"/>
  <c r="C6264" i="30"/>
  <c r="C6263" i="30"/>
  <c r="C6262" i="30"/>
  <c r="N302" i="42" l="1"/>
  <c r="AE302" i="42"/>
  <c r="J3" i="43"/>
  <c r="J4" i="43"/>
  <c r="J5" i="43"/>
  <c r="J6" i="43"/>
  <c r="J7" i="43"/>
  <c r="J8" i="43"/>
  <c r="J9" i="43"/>
  <c r="J10" i="43"/>
  <c r="J11" i="43"/>
  <c r="J12" i="43"/>
  <c r="J13" i="43"/>
  <c r="J14" i="43"/>
  <c r="J15" i="43"/>
  <c r="J16" i="43"/>
  <c r="J17" i="43"/>
  <c r="J18" i="43"/>
  <c r="J19" i="43"/>
  <c r="J20" i="43"/>
  <c r="J21" i="43"/>
  <c r="J22" i="43"/>
  <c r="J23" i="43"/>
  <c r="J24" i="43"/>
  <c r="J25" i="43"/>
  <c r="J26" i="43"/>
  <c r="J27" i="43"/>
  <c r="J28" i="43"/>
  <c r="J29" i="43"/>
  <c r="J30" i="43"/>
  <c r="J31" i="43"/>
  <c r="J32" i="43"/>
  <c r="J33" i="43"/>
  <c r="J34" i="43"/>
  <c r="J35" i="43"/>
  <c r="J36" i="43"/>
  <c r="J37" i="43"/>
  <c r="J38" i="43"/>
  <c r="J39" i="43"/>
  <c r="J40" i="43"/>
  <c r="J41" i="43"/>
  <c r="J42" i="43"/>
  <c r="J43" i="43"/>
  <c r="J44" i="43"/>
  <c r="J45" i="43"/>
  <c r="J46" i="43"/>
  <c r="J47" i="43"/>
  <c r="J48" i="43"/>
  <c r="J49" i="43"/>
  <c r="J50" i="43"/>
  <c r="J51" i="43"/>
  <c r="J52" i="43"/>
  <c r="J53" i="43"/>
  <c r="J54" i="43"/>
  <c r="J55" i="43"/>
  <c r="J56" i="43"/>
  <c r="J57" i="43"/>
  <c r="J58" i="43"/>
  <c r="J59" i="43"/>
  <c r="J60" i="43"/>
  <c r="J61" i="43"/>
  <c r="J62" i="43"/>
  <c r="J63" i="43"/>
  <c r="J64" i="43"/>
  <c r="J65" i="43"/>
  <c r="J66" i="43"/>
  <c r="J67" i="43"/>
  <c r="J68" i="43"/>
  <c r="J69" i="43"/>
  <c r="J70" i="43"/>
  <c r="J71" i="43"/>
  <c r="J72" i="43"/>
  <c r="J73" i="43"/>
  <c r="J74" i="43"/>
  <c r="J75" i="43"/>
  <c r="J76" i="43"/>
  <c r="J77" i="43"/>
  <c r="J78" i="43"/>
  <c r="J79" i="43"/>
  <c r="J80" i="43"/>
  <c r="J81" i="43"/>
  <c r="J82" i="43"/>
  <c r="J83" i="43"/>
  <c r="J84" i="43"/>
  <c r="J85" i="43"/>
  <c r="J86" i="43"/>
  <c r="J87" i="43"/>
  <c r="J88" i="43"/>
  <c r="J89" i="43"/>
  <c r="J90" i="43"/>
  <c r="J91" i="43"/>
  <c r="J92" i="43"/>
  <c r="J93" i="43"/>
  <c r="J94" i="43"/>
  <c r="J95" i="43"/>
  <c r="J96" i="43"/>
  <c r="J97" i="43"/>
  <c r="J98" i="43"/>
  <c r="J99" i="43"/>
  <c r="J100" i="43"/>
  <c r="J101" i="43"/>
  <c r="J102" i="43"/>
  <c r="J103" i="43"/>
  <c r="J104" i="43"/>
  <c r="J105" i="43"/>
  <c r="J106" i="43"/>
  <c r="J107" i="43"/>
  <c r="J108" i="43"/>
  <c r="J109" i="43"/>
  <c r="J110" i="43"/>
  <c r="J111" i="43"/>
  <c r="J112" i="43"/>
  <c r="J113" i="43"/>
  <c r="J114" i="43"/>
  <c r="J115" i="43"/>
  <c r="J116" i="43"/>
  <c r="J117" i="43"/>
  <c r="J118" i="43"/>
  <c r="J119" i="43"/>
  <c r="J120" i="43"/>
  <c r="J121" i="43"/>
  <c r="J122" i="43"/>
  <c r="J123" i="43"/>
  <c r="J124" i="43"/>
  <c r="J125" i="43"/>
  <c r="J126" i="43"/>
  <c r="J127" i="43"/>
  <c r="J128" i="43"/>
  <c r="J129" i="43"/>
  <c r="J130" i="43"/>
  <c r="J131" i="43"/>
  <c r="J132" i="43"/>
  <c r="J133" i="43"/>
  <c r="J134" i="43"/>
  <c r="J135" i="43"/>
  <c r="J136" i="43"/>
  <c r="J137" i="43"/>
  <c r="J138" i="43"/>
  <c r="J139" i="43"/>
  <c r="J140" i="43"/>
  <c r="J141" i="43"/>
  <c r="J142" i="43"/>
  <c r="J143" i="43"/>
  <c r="J144" i="43"/>
  <c r="J145" i="43"/>
  <c r="J146" i="43"/>
  <c r="J147" i="43"/>
  <c r="J148" i="43"/>
  <c r="J149" i="43"/>
  <c r="J150" i="43"/>
  <c r="J151" i="43"/>
  <c r="J152" i="43"/>
  <c r="J153" i="43"/>
  <c r="J154" i="43"/>
  <c r="J155" i="43"/>
  <c r="J156" i="43"/>
  <c r="J157" i="43"/>
  <c r="J158" i="43"/>
  <c r="J159" i="43"/>
  <c r="J160" i="43"/>
  <c r="J161" i="43"/>
  <c r="J162" i="43"/>
  <c r="J163" i="43"/>
  <c r="J164" i="43"/>
  <c r="J165" i="43"/>
  <c r="J166" i="43"/>
  <c r="J167" i="43"/>
  <c r="J168" i="43"/>
  <c r="J169" i="43"/>
  <c r="J170" i="43"/>
  <c r="J171" i="43"/>
  <c r="J172" i="43"/>
  <c r="J173" i="43"/>
  <c r="J174" i="43"/>
  <c r="J175" i="43"/>
  <c r="J176" i="43"/>
  <c r="J177" i="43"/>
  <c r="J178" i="43"/>
  <c r="J179" i="43"/>
  <c r="J180" i="43"/>
  <c r="J181" i="43"/>
  <c r="J182" i="43"/>
  <c r="J183" i="43"/>
  <c r="J184" i="43"/>
  <c r="J185" i="43"/>
  <c r="J186" i="43"/>
  <c r="J187" i="43"/>
  <c r="J188" i="43"/>
  <c r="J189" i="43"/>
  <c r="J190" i="43"/>
  <c r="J191" i="43"/>
  <c r="J192" i="43"/>
  <c r="J193" i="43"/>
  <c r="J194" i="43"/>
  <c r="J195" i="43"/>
  <c r="J196" i="43"/>
  <c r="J197" i="43"/>
  <c r="J198" i="43"/>
  <c r="J199" i="43"/>
  <c r="J200" i="43"/>
  <c r="J201" i="43"/>
  <c r="J202" i="43"/>
  <c r="J203" i="43"/>
  <c r="J204" i="43"/>
  <c r="J205" i="43"/>
  <c r="J206" i="43"/>
  <c r="J207" i="43"/>
  <c r="J208" i="43"/>
  <c r="J209" i="43"/>
  <c r="J210" i="43"/>
  <c r="J211" i="43"/>
  <c r="J212" i="43"/>
  <c r="J213" i="43"/>
  <c r="J214" i="43"/>
  <c r="J215" i="43"/>
  <c r="J216" i="43"/>
  <c r="J217" i="43"/>
  <c r="J218" i="43"/>
  <c r="J219" i="43"/>
  <c r="J220" i="43"/>
  <c r="J221" i="43"/>
  <c r="J222" i="43"/>
  <c r="J223" i="43"/>
  <c r="J224" i="43"/>
  <c r="J225" i="43"/>
  <c r="J226" i="43"/>
  <c r="J227" i="43"/>
  <c r="J228" i="43"/>
  <c r="J229" i="43"/>
  <c r="J230" i="43"/>
  <c r="J231" i="43"/>
  <c r="J232" i="43"/>
  <c r="J233" i="43"/>
  <c r="J234" i="43"/>
  <c r="J235" i="43"/>
  <c r="J236" i="43"/>
  <c r="J237" i="43"/>
  <c r="J238" i="43"/>
  <c r="J239" i="43"/>
  <c r="J240" i="43"/>
  <c r="J241" i="43"/>
  <c r="J242" i="43"/>
  <c r="J243" i="43"/>
  <c r="J244" i="43"/>
  <c r="J245" i="43"/>
  <c r="J246" i="43"/>
  <c r="J247" i="43"/>
  <c r="J248" i="43"/>
  <c r="J249" i="43"/>
  <c r="J250" i="43"/>
  <c r="J251" i="43"/>
  <c r="J252" i="43"/>
  <c r="J253" i="43"/>
  <c r="J254" i="43"/>
  <c r="J255" i="43"/>
  <c r="J256" i="43"/>
  <c r="J257" i="43"/>
  <c r="J258" i="43"/>
  <c r="J259" i="43"/>
  <c r="J260" i="43"/>
  <c r="J261" i="43"/>
  <c r="J262" i="43"/>
  <c r="J263" i="43"/>
  <c r="J264" i="43"/>
  <c r="J265" i="43"/>
  <c r="J266" i="43"/>
  <c r="J267" i="43"/>
  <c r="J268" i="43"/>
  <c r="J269" i="43"/>
  <c r="J270" i="43"/>
  <c r="J271" i="43"/>
  <c r="J272" i="43"/>
  <c r="J273" i="43"/>
  <c r="J274" i="43"/>
  <c r="J275" i="43"/>
  <c r="J276" i="43"/>
  <c r="J277" i="43"/>
  <c r="J278" i="43"/>
  <c r="J279" i="43"/>
  <c r="J280" i="43"/>
  <c r="J281" i="43"/>
  <c r="J282" i="43"/>
  <c r="J283" i="43"/>
  <c r="J284" i="43"/>
  <c r="J285" i="43"/>
  <c r="J286" i="43"/>
  <c r="J287" i="43"/>
  <c r="J288" i="43"/>
  <c r="J289" i="43"/>
  <c r="J290" i="43"/>
  <c r="J291" i="43"/>
  <c r="J292" i="43"/>
  <c r="J293" i="43"/>
  <c r="J294" i="43"/>
  <c r="J295" i="43"/>
  <c r="J296" i="43"/>
  <c r="J297" i="43"/>
  <c r="J298" i="43"/>
  <c r="J299" i="43"/>
  <c r="J300" i="43"/>
  <c r="J301" i="43"/>
  <c r="J302" i="43"/>
  <c r="J303" i="43"/>
  <c r="J2" i="43"/>
  <c r="I749" i="29" l="1"/>
  <c r="J749" i="29" s="1"/>
  <c r="AK302" i="1"/>
  <c r="AJ302" i="1"/>
  <c r="AI302" i="1"/>
  <c r="Q302" i="1"/>
  <c r="O302" i="1"/>
  <c r="N302" i="1"/>
  <c r="L302" i="1"/>
  <c r="K302" i="1"/>
  <c r="J302" i="1"/>
  <c r="I302" i="1"/>
  <c r="H302" i="1"/>
  <c r="I736" i="29"/>
  <c r="J736" i="29" s="1"/>
  <c r="I737" i="29"/>
  <c r="J737" i="29" s="1"/>
  <c r="I738" i="29"/>
  <c r="J738" i="29" s="1"/>
  <c r="I739" i="29"/>
  <c r="J739" i="29" s="1"/>
  <c r="I740" i="29"/>
  <c r="J740" i="29" s="1"/>
  <c r="I741" i="29"/>
  <c r="J741" i="29" s="1"/>
  <c r="I742" i="29"/>
  <c r="J742" i="29" s="1"/>
  <c r="I743" i="29"/>
  <c r="J743" i="29" s="1"/>
  <c r="I744" i="29"/>
  <c r="J744" i="29" s="1"/>
  <c r="I745" i="29"/>
  <c r="J745" i="29" s="1"/>
  <c r="I746" i="29"/>
  <c r="J746" i="29" s="1"/>
  <c r="I747" i="29"/>
  <c r="J747" i="29" s="1"/>
  <c r="I748" i="29"/>
  <c r="J748" i="29" s="1"/>
  <c r="J911" i="4"/>
  <c r="J912" i="4"/>
  <c r="J910" i="4"/>
  <c r="X569" i="4"/>
  <c r="X570" i="4"/>
  <c r="X571" i="4"/>
  <c r="X572" i="4"/>
  <c r="X573" i="4"/>
  <c r="X574" i="4"/>
  <c r="X575" i="4"/>
  <c r="X576" i="4"/>
  <c r="X577" i="4"/>
  <c r="AC569" i="4"/>
  <c r="AD569" i="4" s="1"/>
  <c r="AC570" i="4"/>
  <c r="AD570" i="4" s="1"/>
  <c r="AC571" i="4"/>
  <c r="AD571" i="4" s="1"/>
  <c r="AC572" i="4"/>
  <c r="AD572" i="4" s="1"/>
  <c r="AC573" i="4"/>
  <c r="AD573" i="4" s="1"/>
  <c r="AC574" i="4"/>
  <c r="AD574" i="4" s="1"/>
  <c r="AC575" i="4"/>
  <c r="AD575" i="4" s="1"/>
  <c r="AC576" i="4"/>
  <c r="AD576" i="4" s="1"/>
  <c r="AC577" i="4"/>
  <c r="AD577" i="4" s="1"/>
  <c r="H217" i="1"/>
  <c r="I217" i="1"/>
  <c r="J217" i="1"/>
  <c r="K217" i="1"/>
  <c r="L217" i="1"/>
  <c r="N217" i="1"/>
  <c r="P217" i="1" s="1"/>
  <c r="Q217" i="1" s="1"/>
  <c r="O217" i="1"/>
  <c r="AI217" i="1"/>
  <c r="AJ217" i="1"/>
  <c r="AK217" i="1"/>
  <c r="M217" i="1" l="1"/>
  <c r="AD302" i="1"/>
  <c r="M302" i="1"/>
  <c r="AD217" i="1"/>
  <c r="AK304" i="42" l="1"/>
  <c r="AJ304" i="42"/>
  <c r="S304" i="42"/>
  <c r="AL303" i="42"/>
  <c r="AK303" i="42"/>
  <c r="AJ303" i="42"/>
  <c r="R303" i="42"/>
  <c r="P303" i="42"/>
  <c r="O303" i="42"/>
  <c r="M303" i="42"/>
  <c r="L303" i="42"/>
  <c r="K303" i="42"/>
  <c r="J303" i="42"/>
  <c r="I303" i="42"/>
  <c r="AL301" i="42"/>
  <c r="AK301" i="42"/>
  <c r="AJ301" i="42"/>
  <c r="R301" i="42"/>
  <c r="P301" i="42"/>
  <c r="O301" i="42"/>
  <c r="M301" i="42"/>
  <c r="L301" i="42"/>
  <c r="K301" i="42"/>
  <c r="J301" i="42"/>
  <c r="I301" i="42"/>
  <c r="AL300" i="42"/>
  <c r="AK300" i="42"/>
  <c r="AJ300" i="42"/>
  <c r="R300" i="42"/>
  <c r="P300" i="42"/>
  <c r="O300" i="42"/>
  <c r="M300" i="42"/>
  <c r="L300" i="42"/>
  <c r="K300" i="42"/>
  <c r="J300" i="42"/>
  <c r="I300" i="42"/>
  <c r="AL299" i="42"/>
  <c r="AK299" i="42"/>
  <c r="AJ299" i="42"/>
  <c r="R299" i="42"/>
  <c r="P299" i="42"/>
  <c r="O299" i="42"/>
  <c r="M299" i="42"/>
  <c r="L299" i="42"/>
  <c r="K299" i="42"/>
  <c r="J299" i="42"/>
  <c r="I299" i="42"/>
  <c r="AL298" i="42"/>
  <c r="AK298" i="42"/>
  <c r="AJ298" i="42"/>
  <c r="R298" i="42"/>
  <c r="P298" i="42"/>
  <c r="O298" i="42"/>
  <c r="M298" i="42"/>
  <c r="L298" i="42"/>
  <c r="K298" i="42"/>
  <c r="J298" i="42"/>
  <c r="I298" i="42"/>
  <c r="AL297" i="42"/>
  <c r="AK297" i="42"/>
  <c r="AJ297" i="42"/>
  <c r="R297" i="42"/>
  <c r="P297" i="42"/>
  <c r="O297" i="42"/>
  <c r="M297" i="42"/>
  <c r="L297" i="42"/>
  <c r="K297" i="42"/>
  <c r="J297" i="42"/>
  <c r="I297" i="42"/>
  <c r="AL296" i="42"/>
  <c r="AK296" i="42"/>
  <c r="AJ296" i="42"/>
  <c r="R296" i="42"/>
  <c r="P296" i="42"/>
  <c r="O296" i="42"/>
  <c r="M296" i="42"/>
  <c r="L296" i="42"/>
  <c r="K296" i="42"/>
  <c r="J296" i="42"/>
  <c r="I296" i="42"/>
  <c r="AL295" i="42"/>
  <c r="AK295" i="42"/>
  <c r="AJ295" i="42"/>
  <c r="R295" i="42"/>
  <c r="P295" i="42"/>
  <c r="O295" i="42"/>
  <c r="M295" i="42"/>
  <c r="L295" i="42"/>
  <c r="K295" i="42"/>
  <c r="J295" i="42"/>
  <c r="I295" i="42"/>
  <c r="AL294" i="42"/>
  <c r="AK294" i="42"/>
  <c r="AJ294" i="42"/>
  <c r="R294" i="42"/>
  <c r="P294" i="42"/>
  <c r="O294" i="42"/>
  <c r="M294" i="42"/>
  <c r="L294" i="42"/>
  <c r="K294" i="42"/>
  <c r="J294" i="42"/>
  <c r="I294" i="42"/>
  <c r="AL293" i="42"/>
  <c r="AK293" i="42"/>
  <c r="AJ293" i="42"/>
  <c r="R293" i="42"/>
  <c r="P293" i="42"/>
  <c r="O293" i="42"/>
  <c r="M293" i="42"/>
  <c r="L293" i="42"/>
  <c r="K293" i="42"/>
  <c r="J293" i="42"/>
  <c r="I293" i="42"/>
  <c r="AL292" i="42"/>
  <c r="AK292" i="42"/>
  <c r="AJ292" i="42"/>
  <c r="R292" i="42"/>
  <c r="P292" i="42"/>
  <c r="O292" i="42"/>
  <c r="M292" i="42"/>
  <c r="L292" i="42"/>
  <c r="K292" i="42"/>
  <c r="J292" i="42"/>
  <c r="I292" i="42"/>
  <c r="AL291" i="42"/>
  <c r="AK291" i="42"/>
  <c r="AJ291" i="42"/>
  <c r="R291" i="42"/>
  <c r="P291" i="42"/>
  <c r="O291" i="42"/>
  <c r="M291" i="42"/>
  <c r="L291" i="42"/>
  <c r="K291" i="42"/>
  <c r="J291" i="42"/>
  <c r="I291" i="42"/>
  <c r="AL290" i="42"/>
  <c r="AK290" i="42"/>
  <c r="AJ290" i="42"/>
  <c r="R290" i="42"/>
  <c r="P290" i="42"/>
  <c r="O290" i="42"/>
  <c r="M290" i="42"/>
  <c r="L290" i="42"/>
  <c r="K290" i="42"/>
  <c r="J290" i="42"/>
  <c r="I290" i="42"/>
  <c r="AL289" i="42"/>
  <c r="AK289" i="42"/>
  <c r="AJ289" i="42"/>
  <c r="R289" i="42"/>
  <c r="P289" i="42"/>
  <c r="O289" i="42"/>
  <c r="M289" i="42"/>
  <c r="L289" i="42"/>
  <c r="K289" i="42"/>
  <c r="J289" i="42"/>
  <c r="I289" i="42"/>
  <c r="AL288" i="42"/>
  <c r="AK288" i="42"/>
  <c r="AJ288" i="42"/>
  <c r="U288" i="42"/>
  <c r="R288" i="42"/>
  <c r="P288" i="42"/>
  <c r="O288" i="42"/>
  <c r="M288" i="42"/>
  <c r="L288" i="42"/>
  <c r="K288" i="42"/>
  <c r="J288" i="42"/>
  <c r="I288" i="42"/>
  <c r="AL287" i="42"/>
  <c r="AK287" i="42"/>
  <c r="AJ287" i="42"/>
  <c r="R287" i="42"/>
  <c r="P287" i="42"/>
  <c r="O287" i="42"/>
  <c r="M287" i="42"/>
  <c r="L287" i="42"/>
  <c r="K287" i="42"/>
  <c r="J287" i="42"/>
  <c r="I287" i="42"/>
  <c r="AL286" i="42"/>
  <c r="AK286" i="42"/>
  <c r="AJ286" i="42"/>
  <c r="R286" i="42"/>
  <c r="P286" i="42"/>
  <c r="O286" i="42"/>
  <c r="M286" i="42"/>
  <c r="L286" i="42"/>
  <c r="K286" i="42"/>
  <c r="J286" i="42"/>
  <c r="I286" i="42"/>
  <c r="AL285" i="42"/>
  <c r="AK285" i="42"/>
  <c r="AJ285" i="42"/>
  <c r="R285" i="42"/>
  <c r="P285" i="42"/>
  <c r="O285" i="42"/>
  <c r="M285" i="42"/>
  <c r="L285" i="42"/>
  <c r="K285" i="42"/>
  <c r="J285" i="42"/>
  <c r="I285" i="42"/>
  <c r="AL284" i="42"/>
  <c r="AK284" i="42"/>
  <c r="AJ284" i="42"/>
  <c r="R284" i="42"/>
  <c r="P284" i="42"/>
  <c r="O284" i="42"/>
  <c r="M284" i="42"/>
  <c r="L284" i="42"/>
  <c r="K284" i="42"/>
  <c r="J284" i="42"/>
  <c r="I284" i="42"/>
  <c r="AL283" i="42"/>
  <c r="AK283" i="42"/>
  <c r="AJ283" i="42"/>
  <c r="P283" i="42"/>
  <c r="O283" i="42"/>
  <c r="M283" i="42"/>
  <c r="L283" i="42"/>
  <c r="K283" i="42"/>
  <c r="J283" i="42"/>
  <c r="I283" i="42"/>
  <c r="AL282" i="42"/>
  <c r="AK282" i="42"/>
  <c r="AJ282" i="42"/>
  <c r="P282" i="42"/>
  <c r="O282" i="42"/>
  <c r="Q282" i="42" s="1"/>
  <c r="R282" i="42" s="1"/>
  <c r="M282" i="42"/>
  <c r="L282" i="42"/>
  <c r="K282" i="42"/>
  <c r="J282" i="42"/>
  <c r="I282" i="42"/>
  <c r="AL281" i="42"/>
  <c r="AK281" i="42"/>
  <c r="AJ281" i="42"/>
  <c r="P281" i="42"/>
  <c r="O281" i="42"/>
  <c r="Q281" i="42" s="1"/>
  <c r="R281" i="42" s="1"/>
  <c r="M281" i="42"/>
  <c r="L281" i="42"/>
  <c r="K281" i="42"/>
  <c r="J281" i="42"/>
  <c r="I281" i="42"/>
  <c r="AL280" i="42"/>
  <c r="AK280" i="42"/>
  <c r="AJ280" i="42"/>
  <c r="P280" i="42"/>
  <c r="O280" i="42"/>
  <c r="Q280" i="42" s="1"/>
  <c r="R280" i="42" s="1"/>
  <c r="M280" i="42"/>
  <c r="L280" i="42"/>
  <c r="K280" i="42"/>
  <c r="J280" i="42"/>
  <c r="I280" i="42"/>
  <c r="AL279" i="42"/>
  <c r="AK279" i="42"/>
  <c r="AJ279" i="42"/>
  <c r="P279" i="42"/>
  <c r="O279" i="42"/>
  <c r="Q279" i="42" s="1"/>
  <c r="R279" i="42" s="1"/>
  <c r="M279" i="42"/>
  <c r="L279" i="42"/>
  <c r="K279" i="42"/>
  <c r="J279" i="42"/>
  <c r="I279" i="42"/>
  <c r="AL278" i="42"/>
  <c r="AK278" i="42"/>
  <c r="AJ278" i="42"/>
  <c r="P278" i="42"/>
  <c r="O278" i="42"/>
  <c r="Q278" i="42" s="1"/>
  <c r="R278" i="42" s="1"/>
  <c r="M278" i="42"/>
  <c r="L278" i="42"/>
  <c r="K278" i="42"/>
  <c r="J278" i="42"/>
  <c r="I278" i="42"/>
  <c r="AL277" i="42"/>
  <c r="AK277" i="42"/>
  <c r="AJ277" i="42"/>
  <c r="P277" i="42"/>
  <c r="O277" i="42"/>
  <c r="Q277" i="42" s="1"/>
  <c r="R277" i="42" s="1"/>
  <c r="M277" i="42"/>
  <c r="L277" i="42"/>
  <c r="K277" i="42"/>
  <c r="J277" i="42"/>
  <c r="I277" i="42"/>
  <c r="AL276" i="42"/>
  <c r="AK276" i="42"/>
  <c r="AJ276" i="42"/>
  <c r="P276" i="42"/>
  <c r="O276" i="42"/>
  <c r="Q276" i="42" s="1"/>
  <c r="R276" i="42" s="1"/>
  <c r="M276" i="42"/>
  <c r="L276" i="42"/>
  <c r="K276" i="42"/>
  <c r="J276" i="42"/>
  <c r="I276" i="42"/>
  <c r="AL275" i="42"/>
  <c r="AK275" i="42"/>
  <c r="AJ275" i="42"/>
  <c r="P275" i="42"/>
  <c r="O275" i="42"/>
  <c r="Q275" i="42" s="1"/>
  <c r="R275" i="42" s="1"/>
  <c r="M275" i="42"/>
  <c r="L275" i="42"/>
  <c r="K275" i="42"/>
  <c r="J275" i="42"/>
  <c r="I275" i="42"/>
  <c r="AL274" i="42"/>
  <c r="AK274" i="42"/>
  <c r="AJ274" i="42"/>
  <c r="P274" i="42"/>
  <c r="O274" i="42"/>
  <c r="Q274" i="42" s="1"/>
  <c r="R274" i="42" s="1"/>
  <c r="M274" i="42"/>
  <c r="L274" i="42"/>
  <c r="K274" i="42"/>
  <c r="J274" i="42"/>
  <c r="I274" i="42"/>
  <c r="AL273" i="42"/>
  <c r="AK273" i="42"/>
  <c r="AJ273" i="42"/>
  <c r="P273" i="42"/>
  <c r="O273" i="42"/>
  <c r="Q273" i="42" s="1"/>
  <c r="R273" i="42" s="1"/>
  <c r="M273" i="42"/>
  <c r="L273" i="42"/>
  <c r="K273" i="42"/>
  <c r="J273" i="42"/>
  <c r="I273" i="42"/>
  <c r="AL272" i="42"/>
  <c r="AK272" i="42"/>
  <c r="AJ272" i="42"/>
  <c r="P272" i="42"/>
  <c r="O272" i="42"/>
  <c r="Q272" i="42" s="1"/>
  <c r="R272" i="42" s="1"/>
  <c r="M272" i="42"/>
  <c r="L272" i="42"/>
  <c r="K272" i="42"/>
  <c r="J272" i="42"/>
  <c r="I272" i="42"/>
  <c r="AL271" i="42"/>
  <c r="AK271" i="42"/>
  <c r="AJ271" i="42"/>
  <c r="P271" i="42"/>
  <c r="O271" i="42"/>
  <c r="Q271" i="42" s="1"/>
  <c r="R271" i="42" s="1"/>
  <c r="M271" i="42"/>
  <c r="L271" i="42"/>
  <c r="K271" i="42"/>
  <c r="J271" i="42"/>
  <c r="I271" i="42"/>
  <c r="AL270" i="42"/>
  <c r="AK270" i="42"/>
  <c r="AJ270" i="42"/>
  <c r="P270" i="42"/>
  <c r="O270" i="42"/>
  <c r="Q270" i="42" s="1"/>
  <c r="R270" i="42" s="1"/>
  <c r="M270" i="42"/>
  <c r="L270" i="42"/>
  <c r="K270" i="42"/>
  <c r="J270" i="42"/>
  <c r="I270" i="42"/>
  <c r="AL269" i="42"/>
  <c r="AK269" i="42"/>
  <c r="AJ269" i="42"/>
  <c r="P269" i="42"/>
  <c r="O269" i="42"/>
  <c r="Q269" i="42" s="1"/>
  <c r="R269" i="42" s="1"/>
  <c r="M269" i="42"/>
  <c r="L269" i="42"/>
  <c r="K269" i="42"/>
  <c r="J269" i="42"/>
  <c r="I269" i="42"/>
  <c r="AL268" i="42"/>
  <c r="AK268" i="42"/>
  <c r="AJ268" i="42"/>
  <c r="P268" i="42"/>
  <c r="O268" i="42"/>
  <c r="Q268" i="42" s="1"/>
  <c r="R268" i="42" s="1"/>
  <c r="M268" i="42"/>
  <c r="L268" i="42"/>
  <c r="K268" i="42"/>
  <c r="J268" i="42"/>
  <c r="I268" i="42"/>
  <c r="AL267" i="42"/>
  <c r="AK267" i="42"/>
  <c r="AJ267" i="42"/>
  <c r="P267" i="42"/>
  <c r="O267" i="42"/>
  <c r="Q267" i="42" s="1"/>
  <c r="R267" i="42" s="1"/>
  <c r="M267" i="42"/>
  <c r="L267" i="42"/>
  <c r="K267" i="42"/>
  <c r="J267" i="42"/>
  <c r="I267" i="42"/>
  <c r="AL266" i="42"/>
  <c r="AK266" i="42"/>
  <c r="AJ266" i="42"/>
  <c r="P266" i="42"/>
  <c r="O266" i="42"/>
  <c r="Q266" i="42" s="1"/>
  <c r="R266" i="42" s="1"/>
  <c r="M266" i="42"/>
  <c r="L266" i="42"/>
  <c r="K266" i="42"/>
  <c r="J266" i="42"/>
  <c r="I266" i="42"/>
  <c r="AL265" i="42"/>
  <c r="AK265" i="42"/>
  <c r="AJ265" i="42"/>
  <c r="P265" i="42"/>
  <c r="O265" i="42"/>
  <c r="Q265" i="42" s="1"/>
  <c r="R265" i="42" s="1"/>
  <c r="M265" i="42"/>
  <c r="L265" i="42"/>
  <c r="K265" i="42"/>
  <c r="J265" i="42"/>
  <c r="I265" i="42"/>
  <c r="AL264" i="42"/>
  <c r="AK264" i="42"/>
  <c r="AJ264" i="42"/>
  <c r="P264" i="42"/>
  <c r="O264" i="42"/>
  <c r="Q264" i="42" s="1"/>
  <c r="R264" i="42" s="1"/>
  <c r="M264" i="42"/>
  <c r="L264" i="42"/>
  <c r="K264" i="42"/>
  <c r="J264" i="42"/>
  <c r="I264" i="42"/>
  <c r="AL263" i="42"/>
  <c r="AK263" i="42"/>
  <c r="AJ263" i="42"/>
  <c r="P263" i="42"/>
  <c r="O263" i="42"/>
  <c r="Q263" i="42" s="1"/>
  <c r="R263" i="42" s="1"/>
  <c r="M263" i="42"/>
  <c r="L263" i="42"/>
  <c r="K263" i="42"/>
  <c r="J263" i="42"/>
  <c r="I263" i="42"/>
  <c r="AL262" i="42"/>
  <c r="AK262" i="42"/>
  <c r="AJ262" i="42"/>
  <c r="P262" i="42"/>
  <c r="O262" i="42"/>
  <c r="Q262" i="42" s="1"/>
  <c r="R262" i="42" s="1"/>
  <c r="M262" i="42"/>
  <c r="L262" i="42"/>
  <c r="K262" i="42"/>
  <c r="J262" i="42"/>
  <c r="I262" i="42"/>
  <c r="AL261" i="42"/>
  <c r="AK261" i="42"/>
  <c r="AJ261" i="42"/>
  <c r="P261" i="42"/>
  <c r="O261" i="42"/>
  <c r="Q261" i="42" s="1"/>
  <c r="R261" i="42" s="1"/>
  <c r="M261" i="42"/>
  <c r="L261" i="42"/>
  <c r="K261" i="42"/>
  <c r="J261" i="42"/>
  <c r="I261" i="42"/>
  <c r="AL260" i="42"/>
  <c r="AK260" i="42"/>
  <c r="AJ260" i="42"/>
  <c r="U260" i="42"/>
  <c r="AQ260" i="42" s="1"/>
  <c r="P260" i="42"/>
  <c r="O260" i="42"/>
  <c r="Q260" i="42" s="1"/>
  <c r="R260" i="42" s="1"/>
  <c r="M260" i="42"/>
  <c r="L260" i="42"/>
  <c r="K260" i="42"/>
  <c r="J260" i="42"/>
  <c r="I260" i="42"/>
  <c r="AL259" i="42"/>
  <c r="AK259" i="42"/>
  <c r="AJ259" i="42"/>
  <c r="P259" i="42"/>
  <c r="O259" i="42"/>
  <c r="Q259" i="42" s="1"/>
  <c r="R259" i="42" s="1"/>
  <c r="M259" i="42"/>
  <c r="L259" i="42"/>
  <c r="K259" i="42"/>
  <c r="J259" i="42"/>
  <c r="I259" i="42"/>
  <c r="AL258" i="42"/>
  <c r="AK258" i="42"/>
  <c r="AJ258" i="42"/>
  <c r="P258" i="42"/>
  <c r="O258" i="42"/>
  <c r="Q258" i="42" s="1"/>
  <c r="R258" i="42" s="1"/>
  <c r="M258" i="42"/>
  <c r="L258" i="42"/>
  <c r="K258" i="42"/>
  <c r="J258" i="42"/>
  <c r="I258" i="42"/>
  <c r="AL257" i="42"/>
  <c r="AK257" i="42"/>
  <c r="AJ257" i="42"/>
  <c r="P257" i="42"/>
  <c r="O257" i="42"/>
  <c r="Q257" i="42" s="1"/>
  <c r="R257" i="42" s="1"/>
  <c r="M257" i="42"/>
  <c r="L257" i="42"/>
  <c r="K257" i="42"/>
  <c r="J257" i="42"/>
  <c r="I257" i="42"/>
  <c r="AL256" i="42"/>
  <c r="AK256" i="42"/>
  <c r="AJ256" i="42"/>
  <c r="P256" i="42"/>
  <c r="O256" i="42"/>
  <c r="Q256" i="42" s="1"/>
  <c r="R256" i="42" s="1"/>
  <c r="M256" i="42"/>
  <c r="L256" i="42"/>
  <c r="K256" i="42"/>
  <c r="J256" i="42"/>
  <c r="I256" i="42"/>
  <c r="AL255" i="42"/>
  <c r="AK255" i="42"/>
  <c r="AJ255" i="42"/>
  <c r="P255" i="42"/>
  <c r="O255" i="42"/>
  <c r="Q255" i="42" s="1"/>
  <c r="R255" i="42" s="1"/>
  <c r="M255" i="42"/>
  <c r="L255" i="42"/>
  <c r="K255" i="42"/>
  <c r="J255" i="42"/>
  <c r="I255" i="42"/>
  <c r="AL254" i="42"/>
  <c r="AK254" i="42"/>
  <c r="AJ254" i="42"/>
  <c r="P254" i="42"/>
  <c r="O254" i="42"/>
  <c r="Q254" i="42" s="1"/>
  <c r="R254" i="42" s="1"/>
  <c r="M254" i="42"/>
  <c r="L254" i="42"/>
  <c r="K254" i="42"/>
  <c r="J254" i="42"/>
  <c r="I254" i="42"/>
  <c r="AL253" i="42"/>
  <c r="AK253" i="42"/>
  <c r="AJ253" i="42"/>
  <c r="P253" i="42"/>
  <c r="O253" i="42"/>
  <c r="Q253" i="42" s="1"/>
  <c r="R253" i="42" s="1"/>
  <c r="M253" i="42"/>
  <c r="L253" i="42"/>
  <c r="K253" i="42"/>
  <c r="J253" i="42"/>
  <c r="I253" i="42"/>
  <c r="AL252" i="42"/>
  <c r="AK252" i="42"/>
  <c r="AJ252" i="42"/>
  <c r="P252" i="42"/>
  <c r="O252" i="42"/>
  <c r="Q252" i="42" s="1"/>
  <c r="R252" i="42" s="1"/>
  <c r="M252" i="42"/>
  <c r="L252" i="42"/>
  <c r="K252" i="42"/>
  <c r="J252" i="42"/>
  <c r="I252" i="42"/>
  <c r="AL251" i="42"/>
  <c r="AK251" i="42"/>
  <c r="AJ251" i="42"/>
  <c r="P251" i="42"/>
  <c r="O251" i="42"/>
  <c r="Q251" i="42" s="1"/>
  <c r="R251" i="42" s="1"/>
  <c r="M251" i="42"/>
  <c r="L251" i="42"/>
  <c r="K251" i="42"/>
  <c r="J251" i="42"/>
  <c r="I251" i="42"/>
  <c r="AL250" i="42"/>
  <c r="AK250" i="42"/>
  <c r="AJ250" i="42"/>
  <c r="P250" i="42"/>
  <c r="O250" i="42"/>
  <c r="Q250" i="42" s="1"/>
  <c r="R250" i="42" s="1"/>
  <c r="M250" i="42"/>
  <c r="L250" i="42"/>
  <c r="K250" i="42"/>
  <c r="J250" i="42"/>
  <c r="I250" i="42"/>
  <c r="AL249" i="42"/>
  <c r="AK249" i="42"/>
  <c r="AJ249" i="42"/>
  <c r="P249" i="42"/>
  <c r="O249" i="42"/>
  <c r="Q249" i="42" s="1"/>
  <c r="R249" i="42" s="1"/>
  <c r="M249" i="42"/>
  <c r="L249" i="42"/>
  <c r="K249" i="42"/>
  <c r="J249" i="42"/>
  <c r="I249" i="42"/>
  <c r="AL248" i="42"/>
  <c r="AK248" i="42"/>
  <c r="AJ248" i="42"/>
  <c r="P248" i="42"/>
  <c r="O248" i="42"/>
  <c r="Q248" i="42" s="1"/>
  <c r="R248" i="42" s="1"/>
  <c r="M248" i="42"/>
  <c r="L248" i="42"/>
  <c r="K248" i="42"/>
  <c r="J248" i="42"/>
  <c r="I248" i="42"/>
  <c r="AL247" i="42"/>
  <c r="AK247" i="42"/>
  <c r="AJ247" i="42"/>
  <c r="P247" i="42"/>
  <c r="O247" i="42"/>
  <c r="Q247" i="42" s="1"/>
  <c r="R247" i="42" s="1"/>
  <c r="M247" i="42"/>
  <c r="L247" i="42"/>
  <c r="K247" i="42"/>
  <c r="J247" i="42"/>
  <c r="I247" i="42"/>
  <c r="AL246" i="42"/>
  <c r="AK246" i="42"/>
  <c r="AJ246" i="42"/>
  <c r="P246" i="42"/>
  <c r="O246" i="42"/>
  <c r="Q246" i="42" s="1"/>
  <c r="R246" i="42" s="1"/>
  <c r="M246" i="42"/>
  <c r="L246" i="42"/>
  <c r="K246" i="42"/>
  <c r="J246" i="42"/>
  <c r="I246" i="42"/>
  <c r="AL245" i="42"/>
  <c r="AK245" i="42"/>
  <c r="AJ245" i="42"/>
  <c r="P245" i="42"/>
  <c r="O245" i="42"/>
  <c r="Q245" i="42" s="1"/>
  <c r="R245" i="42" s="1"/>
  <c r="M245" i="42"/>
  <c r="L245" i="42"/>
  <c r="K245" i="42"/>
  <c r="J245" i="42"/>
  <c r="I245" i="42"/>
  <c r="AL244" i="42"/>
  <c r="AK244" i="42"/>
  <c r="AJ244" i="42"/>
  <c r="P244" i="42"/>
  <c r="O244" i="42"/>
  <c r="Q244" i="42" s="1"/>
  <c r="R244" i="42" s="1"/>
  <c r="M244" i="42"/>
  <c r="L244" i="42"/>
  <c r="K244" i="42"/>
  <c r="J244" i="42"/>
  <c r="I244" i="42"/>
  <c r="AL243" i="42"/>
  <c r="AK243" i="42"/>
  <c r="AJ243" i="42"/>
  <c r="P243" i="42"/>
  <c r="O243" i="42"/>
  <c r="Q243" i="42" s="1"/>
  <c r="R243" i="42" s="1"/>
  <c r="M243" i="42"/>
  <c r="L243" i="42"/>
  <c r="K243" i="42"/>
  <c r="J243" i="42"/>
  <c r="I243" i="42"/>
  <c r="AL242" i="42"/>
  <c r="AK242" i="42"/>
  <c r="AJ242" i="42"/>
  <c r="P242" i="42"/>
  <c r="O242" i="42"/>
  <c r="Q242" i="42" s="1"/>
  <c r="R242" i="42" s="1"/>
  <c r="M242" i="42"/>
  <c r="L242" i="42"/>
  <c r="K242" i="42"/>
  <c r="J242" i="42"/>
  <c r="I242" i="42"/>
  <c r="AL241" i="42"/>
  <c r="AK241" i="42"/>
  <c r="AJ241" i="42"/>
  <c r="P241" i="42"/>
  <c r="O241" i="42"/>
  <c r="Q241" i="42" s="1"/>
  <c r="R241" i="42" s="1"/>
  <c r="M241" i="42"/>
  <c r="L241" i="42"/>
  <c r="K241" i="42"/>
  <c r="J241" i="42"/>
  <c r="I241" i="42"/>
  <c r="AL240" i="42"/>
  <c r="AK240" i="42"/>
  <c r="AJ240" i="42"/>
  <c r="P240" i="42"/>
  <c r="O240" i="42"/>
  <c r="Q240" i="42" s="1"/>
  <c r="R240" i="42" s="1"/>
  <c r="M240" i="42"/>
  <c r="L240" i="42"/>
  <c r="K240" i="42"/>
  <c r="J240" i="42"/>
  <c r="I240" i="42"/>
  <c r="AL239" i="42"/>
  <c r="AK239" i="42"/>
  <c r="AJ239" i="42"/>
  <c r="P239" i="42"/>
  <c r="O239" i="42"/>
  <c r="Q239" i="42" s="1"/>
  <c r="R239" i="42" s="1"/>
  <c r="M239" i="42"/>
  <c r="L239" i="42"/>
  <c r="K239" i="42"/>
  <c r="J239" i="42"/>
  <c r="I239" i="42"/>
  <c r="AL238" i="42"/>
  <c r="AK238" i="42"/>
  <c r="AJ238" i="42"/>
  <c r="P238" i="42"/>
  <c r="O238" i="42"/>
  <c r="Q238" i="42" s="1"/>
  <c r="R238" i="42" s="1"/>
  <c r="M238" i="42"/>
  <c r="L238" i="42"/>
  <c r="K238" i="42"/>
  <c r="J238" i="42"/>
  <c r="I238" i="42"/>
  <c r="AL237" i="42"/>
  <c r="AK237" i="42"/>
  <c r="AJ237" i="42"/>
  <c r="P237" i="42"/>
  <c r="O237" i="42"/>
  <c r="Q237" i="42" s="1"/>
  <c r="R237" i="42" s="1"/>
  <c r="M237" i="42"/>
  <c r="L237" i="42"/>
  <c r="K237" i="42"/>
  <c r="J237" i="42"/>
  <c r="I237" i="42"/>
  <c r="AL236" i="42"/>
  <c r="AK236" i="42"/>
  <c r="AJ236" i="42"/>
  <c r="U236" i="42"/>
  <c r="AQ236" i="42" s="1"/>
  <c r="P236" i="42"/>
  <c r="O236" i="42"/>
  <c r="Q236" i="42" s="1"/>
  <c r="R236" i="42" s="1"/>
  <c r="M236" i="42"/>
  <c r="L236" i="42"/>
  <c r="K236" i="42"/>
  <c r="J236" i="42"/>
  <c r="I236" i="42"/>
  <c r="AL235" i="42"/>
  <c r="AK235" i="42"/>
  <c r="AJ235" i="42"/>
  <c r="P235" i="42"/>
  <c r="O235" i="42"/>
  <c r="Q235" i="42" s="1"/>
  <c r="R235" i="42" s="1"/>
  <c r="M235" i="42"/>
  <c r="L235" i="42"/>
  <c r="K235" i="42"/>
  <c r="J235" i="42"/>
  <c r="I235" i="42"/>
  <c r="AL234" i="42"/>
  <c r="AK234" i="42"/>
  <c r="AJ234" i="42"/>
  <c r="P234" i="42"/>
  <c r="O234" i="42"/>
  <c r="Q234" i="42" s="1"/>
  <c r="R234" i="42" s="1"/>
  <c r="M234" i="42"/>
  <c r="L234" i="42"/>
  <c r="K234" i="42"/>
  <c r="J234" i="42"/>
  <c r="I234" i="42"/>
  <c r="AL233" i="42"/>
  <c r="AK233" i="42"/>
  <c r="AJ233" i="42"/>
  <c r="P233" i="42"/>
  <c r="O233" i="42"/>
  <c r="Q233" i="42" s="1"/>
  <c r="R233" i="42" s="1"/>
  <c r="M233" i="42"/>
  <c r="L233" i="42"/>
  <c r="K233" i="42"/>
  <c r="J233" i="42"/>
  <c r="I233" i="42"/>
  <c r="AL232" i="42"/>
  <c r="AK232" i="42"/>
  <c r="AJ232" i="42"/>
  <c r="P232" i="42"/>
  <c r="O232" i="42"/>
  <c r="Q232" i="42" s="1"/>
  <c r="R232" i="42" s="1"/>
  <c r="M232" i="42"/>
  <c r="L232" i="42"/>
  <c r="K232" i="42"/>
  <c r="J232" i="42"/>
  <c r="I232" i="42"/>
  <c r="AL231" i="42"/>
  <c r="AK231" i="42"/>
  <c r="AJ231" i="42"/>
  <c r="P231" i="42"/>
  <c r="O231" i="42"/>
  <c r="Q231" i="42" s="1"/>
  <c r="R231" i="42" s="1"/>
  <c r="M231" i="42"/>
  <c r="L231" i="42"/>
  <c r="K231" i="42"/>
  <c r="J231" i="42"/>
  <c r="I231" i="42"/>
  <c r="AL230" i="42"/>
  <c r="AK230" i="42"/>
  <c r="AJ230" i="42"/>
  <c r="P230" i="42"/>
  <c r="O230" i="42"/>
  <c r="Q230" i="42" s="1"/>
  <c r="R230" i="42" s="1"/>
  <c r="M230" i="42"/>
  <c r="L230" i="42"/>
  <c r="K230" i="42"/>
  <c r="J230" i="42"/>
  <c r="I230" i="42"/>
  <c r="AL229" i="42"/>
  <c r="AK229" i="42"/>
  <c r="AJ229" i="42"/>
  <c r="P229" i="42"/>
  <c r="O229" i="42"/>
  <c r="Q229" i="42" s="1"/>
  <c r="R229" i="42" s="1"/>
  <c r="M229" i="42"/>
  <c r="L229" i="42"/>
  <c r="K229" i="42"/>
  <c r="J229" i="42"/>
  <c r="I229" i="42"/>
  <c r="AL228" i="42"/>
  <c r="AK228" i="42"/>
  <c r="AJ228" i="42"/>
  <c r="P228" i="42"/>
  <c r="O228" i="42"/>
  <c r="Q228" i="42" s="1"/>
  <c r="R228" i="42" s="1"/>
  <c r="M228" i="42"/>
  <c r="L228" i="42"/>
  <c r="K228" i="42"/>
  <c r="J228" i="42"/>
  <c r="I228" i="42"/>
  <c r="AL227" i="42"/>
  <c r="AK227" i="42"/>
  <c r="AJ227" i="42"/>
  <c r="P227" i="42"/>
  <c r="O227" i="42"/>
  <c r="Q227" i="42" s="1"/>
  <c r="R227" i="42" s="1"/>
  <c r="M227" i="42"/>
  <c r="L227" i="42"/>
  <c r="K227" i="42"/>
  <c r="J227" i="42"/>
  <c r="I227" i="42"/>
  <c r="AL226" i="42"/>
  <c r="AK226" i="42"/>
  <c r="AJ226" i="42"/>
  <c r="P226" i="42"/>
  <c r="O226" i="42"/>
  <c r="Q226" i="42" s="1"/>
  <c r="R226" i="42" s="1"/>
  <c r="M226" i="42"/>
  <c r="L226" i="42"/>
  <c r="K226" i="42"/>
  <c r="J226" i="42"/>
  <c r="I226" i="42"/>
  <c r="AL225" i="42"/>
  <c r="AK225" i="42"/>
  <c r="AJ225" i="42"/>
  <c r="P225" i="42"/>
  <c r="O225" i="42"/>
  <c r="Q225" i="42" s="1"/>
  <c r="R225" i="42" s="1"/>
  <c r="M225" i="42"/>
  <c r="L225" i="42"/>
  <c r="K225" i="42"/>
  <c r="J225" i="42"/>
  <c r="I225" i="42"/>
  <c r="AL224" i="42"/>
  <c r="AK224" i="42"/>
  <c r="AJ224" i="42"/>
  <c r="P224" i="42"/>
  <c r="O224" i="42"/>
  <c r="Q224" i="42" s="1"/>
  <c r="R224" i="42" s="1"/>
  <c r="M224" i="42"/>
  <c r="L224" i="42"/>
  <c r="K224" i="42"/>
  <c r="J224" i="42"/>
  <c r="I224" i="42"/>
  <c r="P223" i="42"/>
  <c r="AK212" i="42" s="1"/>
  <c r="O223" i="42"/>
  <c r="Q223" i="42" s="1"/>
  <c r="R223" i="42" s="1"/>
  <c r="M223" i="42"/>
  <c r="L223" i="42"/>
  <c r="K223" i="42"/>
  <c r="J223" i="42"/>
  <c r="I223" i="42"/>
  <c r="AL222" i="42"/>
  <c r="AK222" i="42"/>
  <c r="AJ222" i="42"/>
  <c r="P222" i="42"/>
  <c r="O222" i="42"/>
  <c r="Q222" i="42" s="1"/>
  <c r="R222" i="42" s="1"/>
  <c r="M222" i="42"/>
  <c r="L222" i="42"/>
  <c r="K222" i="42"/>
  <c r="J222" i="42"/>
  <c r="I222" i="42"/>
  <c r="AL221" i="42"/>
  <c r="AK221" i="42"/>
  <c r="AJ221" i="42"/>
  <c r="P221" i="42"/>
  <c r="O221" i="42"/>
  <c r="Q221" i="42" s="1"/>
  <c r="R221" i="42" s="1"/>
  <c r="M221" i="42"/>
  <c r="L221" i="42"/>
  <c r="K221" i="42"/>
  <c r="J221" i="42"/>
  <c r="I221" i="42"/>
  <c r="AL220" i="42"/>
  <c r="AK220" i="42"/>
  <c r="AJ220" i="42"/>
  <c r="P220" i="42"/>
  <c r="O220" i="42"/>
  <c r="Q220" i="42" s="1"/>
  <c r="R220" i="42" s="1"/>
  <c r="M220" i="42"/>
  <c r="L220" i="42"/>
  <c r="K220" i="42"/>
  <c r="J220" i="42"/>
  <c r="I220" i="42"/>
  <c r="AL219" i="42"/>
  <c r="AK219" i="42"/>
  <c r="AJ219" i="42"/>
  <c r="P219" i="42"/>
  <c r="O219" i="42"/>
  <c r="Q219" i="42" s="1"/>
  <c r="R219" i="42" s="1"/>
  <c r="M219" i="42"/>
  <c r="L219" i="42"/>
  <c r="K219" i="42"/>
  <c r="J219" i="42"/>
  <c r="I219" i="42"/>
  <c r="AL218" i="42"/>
  <c r="AK218" i="42"/>
  <c r="AJ218" i="42"/>
  <c r="P218" i="42"/>
  <c r="O218" i="42"/>
  <c r="Q218" i="42" s="1"/>
  <c r="R218" i="42" s="1"/>
  <c r="M218" i="42"/>
  <c r="L218" i="42"/>
  <c r="K218" i="42"/>
  <c r="J218" i="42"/>
  <c r="I218" i="42"/>
  <c r="AL217" i="42"/>
  <c r="AK217" i="42"/>
  <c r="AJ217" i="42"/>
  <c r="P217" i="42"/>
  <c r="O217" i="42"/>
  <c r="Q217" i="42" s="1"/>
  <c r="R217" i="42" s="1"/>
  <c r="M217" i="42"/>
  <c r="L217" i="42"/>
  <c r="K217" i="42"/>
  <c r="J217" i="42"/>
  <c r="I217" i="42"/>
  <c r="AL216" i="42"/>
  <c r="AK216" i="42"/>
  <c r="AJ216" i="42"/>
  <c r="P216" i="42"/>
  <c r="O216" i="42"/>
  <c r="Q216" i="42" s="1"/>
  <c r="R216" i="42" s="1"/>
  <c r="M216" i="42"/>
  <c r="L216" i="42"/>
  <c r="K216" i="42"/>
  <c r="J216" i="42"/>
  <c r="I216" i="42"/>
  <c r="AL215" i="42"/>
  <c r="AK215" i="42"/>
  <c r="AJ215" i="42"/>
  <c r="P215" i="42"/>
  <c r="O215" i="42"/>
  <c r="Q215" i="42" s="1"/>
  <c r="R215" i="42" s="1"/>
  <c r="M215" i="42"/>
  <c r="L215" i="42"/>
  <c r="K215" i="42"/>
  <c r="J215" i="42"/>
  <c r="I215" i="42"/>
  <c r="AL214" i="42"/>
  <c r="AK214" i="42"/>
  <c r="AJ214" i="42"/>
  <c r="P214" i="42"/>
  <c r="O214" i="42"/>
  <c r="Q214" i="42" s="1"/>
  <c r="R214" i="42" s="1"/>
  <c r="M214" i="42"/>
  <c r="L214" i="42"/>
  <c r="K214" i="42"/>
  <c r="J214" i="42"/>
  <c r="I214" i="42"/>
  <c r="AL213" i="42"/>
  <c r="AK213" i="42"/>
  <c r="AJ213" i="42"/>
  <c r="P213" i="42"/>
  <c r="O213" i="42"/>
  <c r="Q213" i="42" s="1"/>
  <c r="R213" i="42" s="1"/>
  <c r="M213" i="42"/>
  <c r="L213" i="42"/>
  <c r="K213" i="42"/>
  <c r="J213" i="42"/>
  <c r="I213" i="42"/>
  <c r="P212" i="42"/>
  <c r="AK223" i="42" s="1"/>
  <c r="O212" i="42"/>
  <c r="Q212" i="42" s="1"/>
  <c r="R212" i="42" s="1"/>
  <c r="M212" i="42"/>
  <c r="L212" i="42"/>
  <c r="K212" i="42"/>
  <c r="J212" i="42"/>
  <c r="I212" i="42"/>
  <c r="AL211" i="42"/>
  <c r="AK211" i="42"/>
  <c r="AJ211" i="42"/>
  <c r="P211" i="42"/>
  <c r="O211" i="42"/>
  <c r="Q211" i="42" s="1"/>
  <c r="R211" i="42" s="1"/>
  <c r="M211" i="42"/>
  <c r="L211" i="42"/>
  <c r="K211" i="42"/>
  <c r="J211" i="42"/>
  <c r="I211" i="42"/>
  <c r="AL210" i="42"/>
  <c r="AK210" i="42"/>
  <c r="AJ210" i="42"/>
  <c r="P210" i="42"/>
  <c r="O210" i="42"/>
  <c r="Q210" i="42" s="1"/>
  <c r="R210" i="42" s="1"/>
  <c r="M210" i="42"/>
  <c r="L210" i="42"/>
  <c r="K210" i="42"/>
  <c r="J210" i="42"/>
  <c r="I210" i="42"/>
  <c r="AL209" i="42"/>
  <c r="AK209" i="42"/>
  <c r="AJ209" i="42"/>
  <c r="P209" i="42"/>
  <c r="O209" i="42"/>
  <c r="Q209" i="42" s="1"/>
  <c r="R209" i="42" s="1"/>
  <c r="M209" i="42"/>
  <c r="L209" i="42"/>
  <c r="K209" i="42"/>
  <c r="J209" i="42"/>
  <c r="I209" i="42"/>
  <c r="AL208" i="42"/>
  <c r="AK208" i="42"/>
  <c r="AJ208" i="42"/>
  <c r="P208" i="42"/>
  <c r="O208" i="42"/>
  <c r="Q208" i="42" s="1"/>
  <c r="R208" i="42" s="1"/>
  <c r="M208" i="42"/>
  <c r="L208" i="42"/>
  <c r="K208" i="42"/>
  <c r="J208" i="42"/>
  <c r="I208" i="42"/>
  <c r="AL207" i="42"/>
  <c r="AK207" i="42"/>
  <c r="AJ207" i="42"/>
  <c r="P207" i="42"/>
  <c r="O207" i="42"/>
  <c r="Q207" i="42" s="1"/>
  <c r="R207" i="42" s="1"/>
  <c r="M207" i="42"/>
  <c r="L207" i="42"/>
  <c r="K207" i="42"/>
  <c r="J207" i="42"/>
  <c r="I207" i="42"/>
  <c r="AL206" i="42"/>
  <c r="AK206" i="42"/>
  <c r="AJ206" i="42"/>
  <c r="P206" i="42"/>
  <c r="O206" i="42"/>
  <c r="Q206" i="42" s="1"/>
  <c r="R206" i="42" s="1"/>
  <c r="M206" i="42"/>
  <c r="L206" i="42"/>
  <c r="K206" i="42"/>
  <c r="J206" i="42"/>
  <c r="I206" i="42"/>
  <c r="AL205" i="42"/>
  <c r="AK205" i="42"/>
  <c r="AJ205" i="42"/>
  <c r="P205" i="42"/>
  <c r="O205" i="42"/>
  <c r="Q205" i="42" s="1"/>
  <c r="R205" i="42" s="1"/>
  <c r="M205" i="42"/>
  <c r="L205" i="42"/>
  <c r="K205" i="42"/>
  <c r="J205" i="42"/>
  <c r="I205" i="42"/>
  <c r="AL204" i="42"/>
  <c r="AK204" i="42"/>
  <c r="AJ204" i="42"/>
  <c r="P204" i="42"/>
  <c r="O204" i="42"/>
  <c r="Q204" i="42" s="1"/>
  <c r="R204" i="42" s="1"/>
  <c r="M204" i="42"/>
  <c r="L204" i="42"/>
  <c r="K204" i="42"/>
  <c r="J204" i="42"/>
  <c r="I204" i="42"/>
  <c r="AL203" i="42"/>
  <c r="AK203" i="42"/>
  <c r="AJ203" i="42"/>
  <c r="U203" i="42"/>
  <c r="AQ203" i="42" s="1"/>
  <c r="P203" i="42"/>
  <c r="O203" i="42"/>
  <c r="Q203" i="42" s="1"/>
  <c r="R203" i="42" s="1"/>
  <c r="M203" i="42"/>
  <c r="L203" i="42"/>
  <c r="K203" i="42"/>
  <c r="J203" i="42"/>
  <c r="I203" i="42"/>
  <c r="AL202" i="42"/>
  <c r="AK202" i="42"/>
  <c r="AJ202" i="42"/>
  <c r="P202" i="42"/>
  <c r="O202" i="42"/>
  <c r="Q202" i="42" s="1"/>
  <c r="R202" i="42" s="1"/>
  <c r="M202" i="42"/>
  <c r="L202" i="42"/>
  <c r="K202" i="42"/>
  <c r="J202" i="42"/>
  <c r="I202" i="42"/>
  <c r="AL201" i="42"/>
  <c r="AK201" i="42"/>
  <c r="AJ201" i="42"/>
  <c r="U201" i="42"/>
  <c r="AQ201" i="42" s="1"/>
  <c r="P201" i="42"/>
  <c r="O201" i="42"/>
  <c r="Q201" i="42" s="1"/>
  <c r="R201" i="42" s="1"/>
  <c r="M201" i="42"/>
  <c r="L201" i="42"/>
  <c r="K201" i="42"/>
  <c r="J201" i="42"/>
  <c r="I201" i="42"/>
  <c r="AL200" i="42"/>
  <c r="AK200" i="42"/>
  <c r="AJ200" i="42"/>
  <c r="P200" i="42"/>
  <c r="O200" i="42"/>
  <c r="Q200" i="42" s="1"/>
  <c r="R200" i="42" s="1"/>
  <c r="M200" i="42"/>
  <c r="L200" i="42"/>
  <c r="K200" i="42"/>
  <c r="J200" i="42"/>
  <c r="I200" i="42"/>
  <c r="AL199" i="42"/>
  <c r="AK199" i="42"/>
  <c r="AJ199" i="42"/>
  <c r="U199" i="42"/>
  <c r="AQ199" i="42" s="1"/>
  <c r="P199" i="42"/>
  <c r="O199" i="42"/>
  <c r="Q199" i="42" s="1"/>
  <c r="R199" i="42" s="1"/>
  <c r="M199" i="42"/>
  <c r="L199" i="42"/>
  <c r="K199" i="42"/>
  <c r="J199" i="42"/>
  <c r="I199" i="42"/>
  <c r="AL198" i="42"/>
  <c r="AK198" i="42"/>
  <c r="AJ198" i="42"/>
  <c r="U198" i="42"/>
  <c r="AQ198" i="42" s="1"/>
  <c r="P198" i="42"/>
  <c r="O198" i="42"/>
  <c r="Q198" i="42" s="1"/>
  <c r="R198" i="42" s="1"/>
  <c r="L198" i="42"/>
  <c r="K198" i="42"/>
  <c r="J198" i="42"/>
  <c r="I198" i="42"/>
  <c r="AL197" i="42"/>
  <c r="AK197" i="42"/>
  <c r="AJ197" i="42"/>
  <c r="P197" i="42"/>
  <c r="O197" i="42"/>
  <c r="Q197" i="42" s="1"/>
  <c r="R197" i="42" s="1"/>
  <c r="M197" i="42"/>
  <c r="L197" i="42"/>
  <c r="K197" i="42"/>
  <c r="J197" i="42"/>
  <c r="I197" i="42"/>
  <c r="AL196" i="42"/>
  <c r="AK196" i="42"/>
  <c r="AJ196" i="42"/>
  <c r="P196" i="42"/>
  <c r="O196" i="42"/>
  <c r="Q196" i="42" s="1"/>
  <c r="R196" i="42" s="1"/>
  <c r="M196" i="42"/>
  <c r="L196" i="42"/>
  <c r="K196" i="42"/>
  <c r="J196" i="42"/>
  <c r="I196" i="42"/>
  <c r="AL195" i="42"/>
  <c r="AK195" i="42"/>
  <c r="AJ195" i="42"/>
  <c r="U195" i="42"/>
  <c r="AQ195" i="42" s="1"/>
  <c r="P195" i="42"/>
  <c r="O195" i="42"/>
  <c r="Q195" i="42" s="1"/>
  <c r="R195" i="42" s="1"/>
  <c r="M195" i="42"/>
  <c r="L195" i="42"/>
  <c r="K195" i="42"/>
  <c r="J195" i="42"/>
  <c r="I195" i="42"/>
  <c r="AL194" i="42"/>
  <c r="AK194" i="42"/>
  <c r="AJ194" i="42"/>
  <c r="P194" i="42"/>
  <c r="O194" i="42"/>
  <c r="Q194" i="42" s="1"/>
  <c r="R194" i="42" s="1"/>
  <c r="M194" i="42"/>
  <c r="L194" i="42"/>
  <c r="K194" i="42"/>
  <c r="J194" i="42"/>
  <c r="I194" i="42"/>
  <c r="AL193" i="42"/>
  <c r="AK193" i="42"/>
  <c r="AJ193" i="42"/>
  <c r="P193" i="42"/>
  <c r="O193" i="42"/>
  <c r="Q193" i="42" s="1"/>
  <c r="R193" i="42" s="1"/>
  <c r="M193" i="42"/>
  <c r="L193" i="42"/>
  <c r="K193" i="42"/>
  <c r="J193" i="42"/>
  <c r="I193" i="42"/>
  <c r="AL192" i="42"/>
  <c r="AK192" i="42"/>
  <c r="AJ192" i="42"/>
  <c r="U192" i="42"/>
  <c r="AQ192" i="42" s="1"/>
  <c r="P192" i="42"/>
  <c r="O192" i="42"/>
  <c r="Q192" i="42" s="1"/>
  <c r="R192" i="42" s="1"/>
  <c r="M192" i="42"/>
  <c r="L192" i="42"/>
  <c r="K192" i="42"/>
  <c r="J192" i="42"/>
  <c r="I192" i="42"/>
  <c r="AL191" i="42"/>
  <c r="AK191" i="42"/>
  <c r="AJ191" i="42"/>
  <c r="P191" i="42"/>
  <c r="O191" i="42"/>
  <c r="Q191" i="42" s="1"/>
  <c r="R191" i="42" s="1"/>
  <c r="M191" i="42"/>
  <c r="L191" i="42"/>
  <c r="K191" i="42"/>
  <c r="J191" i="42"/>
  <c r="I191" i="42"/>
  <c r="AL190" i="42"/>
  <c r="U190" i="42"/>
  <c r="AQ190" i="42" s="1"/>
  <c r="P190" i="42"/>
  <c r="O190" i="42"/>
  <c r="Q190" i="42" s="1"/>
  <c r="R190" i="42" s="1"/>
  <c r="M190" i="42"/>
  <c r="L190" i="42"/>
  <c r="K190" i="42"/>
  <c r="J190" i="42"/>
  <c r="I190" i="42"/>
  <c r="AL189" i="42"/>
  <c r="AK189" i="42"/>
  <c r="AJ189" i="42"/>
  <c r="P189" i="42"/>
  <c r="O189" i="42"/>
  <c r="Q189" i="42" s="1"/>
  <c r="R189" i="42" s="1"/>
  <c r="M189" i="42"/>
  <c r="L189" i="42"/>
  <c r="K189" i="42"/>
  <c r="J189" i="42"/>
  <c r="I189" i="42"/>
  <c r="AK188" i="42"/>
  <c r="AJ188" i="42"/>
  <c r="U188" i="42"/>
  <c r="AQ188" i="42" s="1"/>
  <c r="P188" i="42"/>
  <c r="AK187" i="42" s="1"/>
  <c r="O188" i="42"/>
  <c r="Q188" i="42" s="1"/>
  <c r="R188" i="42" s="1"/>
  <c r="M188" i="42"/>
  <c r="L188" i="42"/>
  <c r="K188" i="42"/>
  <c r="J188" i="42"/>
  <c r="I188" i="42"/>
  <c r="AL187" i="42"/>
  <c r="P187" i="42"/>
  <c r="O187" i="42"/>
  <c r="Q187" i="42" s="1"/>
  <c r="R187" i="42" s="1"/>
  <c r="M187" i="42"/>
  <c r="L187" i="42"/>
  <c r="K187" i="42"/>
  <c r="J187" i="42"/>
  <c r="I187" i="42"/>
  <c r="AL186" i="42"/>
  <c r="AK186" i="42"/>
  <c r="AJ186" i="42"/>
  <c r="U186" i="42"/>
  <c r="AQ186" i="42" s="1"/>
  <c r="P186" i="42"/>
  <c r="O186" i="42"/>
  <c r="Q186" i="42" s="1"/>
  <c r="R186" i="42" s="1"/>
  <c r="M186" i="42"/>
  <c r="L186" i="42"/>
  <c r="K186" i="42"/>
  <c r="J186" i="42"/>
  <c r="I186" i="42"/>
  <c r="AL185" i="42"/>
  <c r="AK185" i="42"/>
  <c r="AJ185" i="42"/>
  <c r="U185" i="42"/>
  <c r="AQ185" i="42" s="1"/>
  <c r="P185" i="42"/>
  <c r="O185" i="42"/>
  <c r="Q185" i="42" s="1"/>
  <c r="R185" i="42" s="1"/>
  <c r="M185" i="42"/>
  <c r="L185" i="42"/>
  <c r="K185" i="42"/>
  <c r="J185" i="42"/>
  <c r="I185" i="42"/>
  <c r="AL184" i="42"/>
  <c r="AK184" i="42"/>
  <c r="AJ184" i="42"/>
  <c r="U184" i="42"/>
  <c r="AQ184" i="42" s="1"/>
  <c r="P184" i="42"/>
  <c r="O184" i="42"/>
  <c r="Q184" i="42" s="1"/>
  <c r="R184" i="42" s="1"/>
  <c r="M184" i="42"/>
  <c r="L184" i="42"/>
  <c r="K184" i="42"/>
  <c r="J184" i="42"/>
  <c r="I184" i="42"/>
  <c r="AL183" i="42"/>
  <c r="AK183" i="42"/>
  <c r="AJ183" i="42"/>
  <c r="P183" i="42"/>
  <c r="O183" i="42"/>
  <c r="Q183" i="42" s="1"/>
  <c r="R183" i="42" s="1"/>
  <c r="M183" i="42"/>
  <c r="L183" i="42"/>
  <c r="K183" i="42"/>
  <c r="J183" i="42"/>
  <c r="I183" i="42"/>
  <c r="AL182" i="42"/>
  <c r="AK182" i="42"/>
  <c r="AJ182" i="42"/>
  <c r="U182" i="42"/>
  <c r="AQ182" i="42" s="1"/>
  <c r="P182" i="42"/>
  <c r="O182" i="42"/>
  <c r="Q182" i="42" s="1"/>
  <c r="R182" i="42" s="1"/>
  <c r="M182" i="42"/>
  <c r="L182" i="42"/>
  <c r="K182" i="42"/>
  <c r="J182" i="42"/>
  <c r="I182" i="42"/>
  <c r="AL181" i="42"/>
  <c r="AK181" i="42"/>
  <c r="AJ181" i="42"/>
  <c r="U181" i="42"/>
  <c r="AQ181" i="42" s="1"/>
  <c r="P181" i="42"/>
  <c r="O181" i="42"/>
  <c r="Q181" i="42" s="1"/>
  <c r="R181" i="42" s="1"/>
  <c r="M181" i="42"/>
  <c r="L181" i="42"/>
  <c r="K181" i="42"/>
  <c r="J181" i="42"/>
  <c r="AL180" i="42"/>
  <c r="AK180" i="42"/>
  <c r="AJ180" i="42"/>
  <c r="U180" i="42"/>
  <c r="AQ180" i="42" s="1"/>
  <c r="P180" i="42"/>
  <c r="O180" i="42"/>
  <c r="Q180" i="42" s="1"/>
  <c r="R180" i="42" s="1"/>
  <c r="M180" i="42"/>
  <c r="L180" i="42"/>
  <c r="K180" i="42"/>
  <c r="J180" i="42"/>
  <c r="I180" i="42"/>
  <c r="AL179" i="42"/>
  <c r="AK179" i="42"/>
  <c r="AJ179" i="42"/>
  <c r="P179" i="42"/>
  <c r="O179" i="42"/>
  <c r="Q179" i="42" s="1"/>
  <c r="R179" i="42" s="1"/>
  <c r="M179" i="42"/>
  <c r="L179" i="42"/>
  <c r="K179" i="42"/>
  <c r="J179" i="42"/>
  <c r="I179" i="42"/>
  <c r="AL178" i="42"/>
  <c r="U178" i="42"/>
  <c r="AQ178" i="42" s="1"/>
  <c r="P178" i="42"/>
  <c r="O178" i="42"/>
  <c r="Q178" i="42" s="1"/>
  <c r="R178" i="42" s="1"/>
  <c r="M178" i="42"/>
  <c r="L178" i="42"/>
  <c r="K178" i="42"/>
  <c r="J178" i="42"/>
  <c r="I178" i="42"/>
  <c r="AL177" i="42"/>
  <c r="AK177" i="42"/>
  <c r="AJ177" i="42"/>
  <c r="U177" i="42"/>
  <c r="AQ177" i="42" s="1"/>
  <c r="P177" i="42"/>
  <c r="O177" i="42"/>
  <c r="Q177" i="42" s="1"/>
  <c r="R177" i="42" s="1"/>
  <c r="M177" i="42"/>
  <c r="L177" i="42"/>
  <c r="K177" i="42"/>
  <c r="J177" i="42"/>
  <c r="I177" i="42"/>
  <c r="AK176" i="42"/>
  <c r="AJ176" i="42"/>
  <c r="P176" i="42"/>
  <c r="AK115" i="42" s="1"/>
  <c r="O176" i="42"/>
  <c r="Q176" i="42" s="1"/>
  <c r="R176" i="42" s="1"/>
  <c r="M176" i="42"/>
  <c r="L176" i="42"/>
  <c r="K176" i="42"/>
  <c r="J176" i="42"/>
  <c r="I176" i="42"/>
  <c r="AL175" i="42"/>
  <c r="AK175" i="42"/>
  <c r="AJ175" i="42"/>
  <c r="U175" i="42"/>
  <c r="AQ175" i="42" s="1"/>
  <c r="P175" i="42"/>
  <c r="O175" i="42"/>
  <c r="Q175" i="42" s="1"/>
  <c r="R175" i="42" s="1"/>
  <c r="M175" i="42"/>
  <c r="L175" i="42"/>
  <c r="K175" i="42"/>
  <c r="J175" i="42"/>
  <c r="I175" i="42"/>
  <c r="AL174" i="42"/>
  <c r="AK174" i="42"/>
  <c r="AJ174" i="42"/>
  <c r="U174" i="42"/>
  <c r="AQ174" i="42" s="1"/>
  <c r="P174" i="42"/>
  <c r="O174" i="42"/>
  <c r="Q174" i="42" s="1"/>
  <c r="R174" i="42" s="1"/>
  <c r="M174" i="42"/>
  <c r="L174" i="42"/>
  <c r="K174" i="42"/>
  <c r="J174" i="42"/>
  <c r="I174" i="42"/>
  <c r="AL173" i="42"/>
  <c r="AK173" i="42"/>
  <c r="AJ173" i="42"/>
  <c r="P173" i="42"/>
  <c r="O173" i="42"/>
  <c r="Q173" i="42" s="1"/>
  <c r="R173" i="42" s="1"/>
  <c r="M173" i="42"/>
  <c r="L173" i="42"/>
  <c r="K173" i="42"/>
  <c r="J173" i="42"/>
  <c r="I173" i="42"/>
  <c r="AL172" i="42"/>
  <c r="AK172" i="42"/>
  <c r="AJ172" i="42"/>
  <c r="P172" i="42"/>
  <c r="O172" i="42"/>
  <c r="Q172" i="42" s="1"/>
  <c r="R172" i="42" s="1"/>
  <c r="M172" i="42"/>
  <c r="L172" i="42"/>
  <c r="K172" i="42"/>
  <c r="J172" i="42"/>
  <c r="I172" i="42"/>
  <c r="AL171" i="42"/>
  <c r="AK171" i="42"/>
  <c r="AJ171" i="42"/>
  <c r="U171" i="42"/>
  <c r="AQ171" i="42" s="1"/>
  <c r="P171" i="42"/>
  <c r="O171" i="42"/>
  <c r="Q171" i="42" s="1"/>
  <c r="R171" i="42" s="1"/>
  <c r="M171" i="42"/>
  <c r="L171" i="42"/>
  <c r="K171" i="42"/>
  <c r="J171" i="42"/>
  <c r="I171" i="42"/>
  <c r="AL170" i="42"/>
  <c r="AK170" i="42"/>
  <c r="AJ170" i="42"/>
  <c r="P170" i="42"/>
  <c r="O170" i="42"/>
  <c r="Q170" i="42" s="1"/>
  <c r="R170" i="42" s="1"/>
  <c r="M170" i="42"/>
  <c r="L170" i="42"/>
  <c r="K170" i="42"/>
  <c r="J170" i="42"/>
  <c r="I170" i="42"/>
  <c r="AK169" i="42"/>
  <c r="AJ169" i="42"/>
  <c r="P169" i="42"/>
  <c r="AK178" i="42" s="1"/>
  <c r="O169" i="42"/>
  <c r="Q169" i="42" s="1"/>
  <c r="R169" i="42" s="1"/>
  <c r="M169" i="42"/>
  <c r="L169" i="42"/>
  <c r="K169" i="42"/>
  <c r="J169" i="42"/>
  <c r="I169" i="42"/>
  <c r="AL168" i="42"/>
  <c r="U168" i="42"/>
  <c r="AQ168" i="42" s="1"/>
  <c r="P168" i="42"/>
  <c r="O168" i="42"/>
  <c r="Q168" i="42" s="1"/>
  <c r="R168" i="42" s="1"/>
  <c r="M168" i="42"/>
  <c r="L168" i="42"/>
  <c r="K168" i="42"/>
  <c r="J168" i="42"/>
  <c r="I168" i="42"/>
  <c r="AL167" i="42"/>
  <c r="AK167" i="42"/>
  <c r="AJ167" i="42"/>
  <c r="U167" i="42"/>
  <c r="AQ167" i="42" s="1"/>
  <c r="P167" i="42"/>
  <c r="O167" i="42"/>
  <c r="Q167" i="42" s="1"/>
  <c r="R167" i="42" s="1"/>
  <c r="M167" i="42"/>
  <c r="L167" i="42"/>
  <c r="K167" i="42"/>
  <c r="J167" i="42"/>
  <c r="I167" i="42"/>
  <c r="AL166" i="42"/>
  <c r="AK166" i="42"/>
  <c r="AJ166" i="42"/>
  <c r="U166" i="42"/>
  <c r="AQ166" i="42" s="1"/>
  <c r="P166" i="42"/>
  <c r="O166" i="42"/>
  <c r="Q166" i="42" s="1"/>
  <c r="R166" i="42" s="1"/>
  <c r="M166" i="42"/>
  <c r="L166" i="42"/>
  <c r="K166" i="42"/>
  <c r="J166" i="42"/>
  <c r="I166" i="42"/>
  <c r="AL165" i="42"/>
  <c r="AK165" i="42"/>
  <c r="AJ165" i="42"/>
  <c r="U165" i="42"/>
  <c r="AQ165" i="42" s="1"/>
  <c r="P165" i="42"/>
  <c r="O165" i="42"/>
  <c r="Q165" i="42" s="1"/>
  <c r="R165" i="42" s="1"/>
  <c r="M165" i="42"/>
  <c r="L165" i="42"/>
  <c r="K165" i="42"/>
  <c r="J165" i="42"/>
  <c r="I165" i="42"/>
  <c r="AL164" i="42"/>
  <c r="AK164" i="42"/>
  <c r="AJ164" i="42"/>
  <c r="P164" i="42"/>
  <c r="O164" i="42"/>
  <c r="Q164" i="42" s="1"/>
  <c r="R164" i="42" s="1"/>
  <c r="M164" i="42"/>
  <c r="L164" i="42"/>
  <c r="K164" i="42"/>
  <c r="J164" i="42"/>
  <c r="I164" i="42"/>
  <c r="AL163" i="42"/>
  <c r="AK163" i="42"/>
  <c r="AJ163" i="42"/>
  <c r="U163" i="42"/>
  <c r="AQ163" i="42" s="1"/>
  <c r="P163" i="42"/>
  <c r="O163" i="42"/>
  <c r="Q163" i="42" s="1"/>
  <c r="R163" i="42" s="1"/>
  <c r="M163" i="42"/>
  <c r="L163" i="42"/>
  <c r="K163" i="42"/>
  <c r="J163" i="42"/>
  <c r="I163" i="42"/>
  <c r="AL162" i="42"/>
  <c r="AK162" i="42"/>
  <c r="AJ162" i="42"/>
  <c r="U162" i="42"/>
  <c r="AQ162" i="42" s="1"/>
  <c r="P162" i="42"/>
  <c r="O162" i="42"/>
  <c r="Q162" i="42" s="1"/>
  <c r="R162" i="42" s="1"/>
  <c r="M162" i="42"/>
  <c r="L162" i="42"/>
  <c r="K162" i="42"/>
  <c r="J162" i="42"/>
  <c r="I162" i="42"/>
  <c r="AL161" i="42"/>
  <c r="AK161" i="42"/>
  <c r="AJ161" i="42"/>
  <c r="U161" i="42"/>
  <c r="AQ161" i="42" s="1"/>
  <c r="P161" i="42"/>
  <c r="O161" i="42"/>
  <c r="Q161" i="42" s="1"/>
  <c r="R161" i="42" s="1"/>
  <c r="M161" i="42"/>
  <c r="L161" i="42"/>
  <c r="K161" i="42"/>
  <c r="J161" i="42"/>
  <c r="I161" i="42"/>
  <c r="AL160" i="42"/>
  <c r="AK160" i="42"/>
  <c r="AJ160" i="42"/>
  <c r="P160" i="42"/>
  <c r="O160" i="42"/>
  <c r="Q160" i="42" s="1"/>
  <c r="R160" i="42" s="1"/>
  <c r="M160" i="42"/>
  <c r="L160" i="42"/>
  <c r="K160" i="42"/>
  <c r="J160" i="42"/>
  <c r="I160" i="42"/>
  <c r="AL159" i="42"/>
  <c r="AK159" i="42"/>
  <c r="AJ159" i="42"/>
  <c r="U159" i="42"/>
  <c r="AQ159" i="42" s="1"/>
  <c r="P159" i="42"/>
  <c r="O159" i="42"/>
  <c r="Q159" i="42" s="1"/>
  <c r="R159" i="42" s="1"/>
  <c r="M159" i="42"/>
  <c r="L159" i="42"/>
  <c r="K159" i="42"/>
  <c r="J159" i="42"/>
  <c r="I159" i="42"/>
  <c r="AL158" i="42"/>
  <c r="AK158" i="42"/>
  <c r="AJ158" i="42"/>
  <c r="U158" i="42"/>
  <c r="AQ158" i="42" s="1"/>
  <c r="P158" i="42"/>
  <c r="O158" i="42"/>
  <c r="Q158" i="42" s="1"/>
  <c r="R158" i="42" s="1"/>
  <c r="M158" i="42"/>
  <c r="L158" i="42"/>
  <c r="K158" i="42"/>
  <c r="J158" i="42"/>
  <c r="I158" i="42"/>
  <c r="AL157" i="42"/>
  <c r="AK157" i="42"/>
  <c r="AJ157" i="42"/>
  <c r="U157" i="42"/>
  <c r="AQ157" i="42" s="1"/>
  <c r="P157" i="42"/>
  <c r="O157" i="42"/>
  <c r="Q157" i="42" s="1"/>
  <c r="R157" i="42" s="1"/>
  <c r="M157" i="42"/>
  <c r="L157" i="42"/>
  <c r="K157" i="42"/>
  <c r="J157" i="42"/>
  <c r="I157" i="42"/>
  <c r="AL156" i="42"/>
  <c r="AK156" i="42"/>
  <c r="AJ156" i="42"/>
  <c r="U156" i="42"/>
  <c r="AQ156" i="42" s="1"/>
  <c r="P156" i="42"/>
  <c r="O156" i="42"/>
  <c r="Q156" i="42" s="1"/>
  <c r="R156" i="42" s="1"/>
  <c r="M156" i="42"/>
  <c r="L156" i="42"/>
  <c r="K156" i="42"/>
  <c r="J156" i="42"/>
  <c r="I156" i="42"/>
  <c r="AL155" i="42"/>
  <c r="AK155" i="42"/>
  <c r="AJ155" i="42"/>
  <c r="U155" i="42"/>
  <c r="AQ155" i="42" s="1"/>
  <c r="P155" i="42"/>
  <c r="O155" i="42"/>
  <c r="Q155" i="42" s="1"/>
  <c r="R155" i="42" s="1"/>
  <c r="M155" i="42"/>
  <c r="L155" i="42"/>
  <c r="K155" i="42"/>
  <c r="J155" i="42"/>
  <c r="I155" i="42"/>
  <c r="AL154" i="42"/>
  <c r="AK154" i="42"/>
  <c r="AJ154" i="42"/>
  <c r="U154" i="42"/>
  <c r="AQ154" i="42" s="1"/>
  <c r="P154" i="42"/>
  <c r="O154" i="42"/>
  <c r="Q154" i="42" s="1"/>
  <c r="R154" i="42" s="1"/>
  <c r="M154" i="42"/>
  <c r="L154" i="42"/>
  <c r="K154" i="42"/>
  <c r="J154" i="42"/>
  <c r="I154" i="42"/>
  <c r="AL153" i="42"/>
  <c r="AK153" i="42"/>
  <c r="AJ153" i="42"/>
  <c r="U153" i="42"/>
  <c r="AQ153" i="42" s="1"/>
  <c r="P153" i="42"/>
  <c r="O153" i="42"/>
  <c r="Q153" i="42" s="1"/>
  <c r="R153" i="42" s="1"/>
  <c r="M153" i="42"/>
  <c r="L153" i="42"/>
  <c r="K153" i="42"/>
  <c r="J153" i="42"/>
  <c r="I153" i="42"/>
  <c r="P152" i="42"/>
  <c r="AK147" i="42" s="1"/>
  <c r="O152" i="42"/>
  <c r="Q152" i="42" s="1"/>
  <c r="R152" i="42" s="1"/>
  <c r="M152" i="42"/>
  <c r="L152" i="42"/>
  <c r="K152" i="42"/>
  <c r="J152" i="42"/>
  <c r="I152" i="42"/>
  <c r="AL151" i="42"/>
  <c r="AK151" i="42"/>
  <c r="AJ151" i="42"/>
  <c r="P151" i="42"/>
  <c r="O151" i="42"/>
  <c r="Q151" i="42" s="1"/>
  <c r="R151" i="42" s="1"/>
  <c r="M151" i="42"/>
  <c r="L151" i="42"/>
  <c r="K151" i="42"/>
  <c r="J151" i="42"/>
  <c r="I151" i="42"/>
  <c r="AL150" i="42"/>
  <c r="AK150" i="42"/>
  <c r="AJ150" i="42"/>
  <c r="U150" i="42"/>
  <c r="AQ150" i="42" s="1"/>
  <c r="P150" i="42"/>
  <c r="O150" i="42"/>
  <c r="Q150" i="42" s="1"/>
  <c r="R150" i="42" s="1"/>
  <c r="M150" i="42"/>
  <c r="L150" i="42"/>
  <c r="K150" i="42"/>
  <c r="J150" i="42"/>
  <c r="I150" i="42"/>
  <c r="AL149" i="42"/>
  <c r="AK149" i="42"/>
  <c r="AJ149" i="42"/>
  <c r="U149" i="42"/>
  <c r="AQ149" i="42" s="1"/>
  <c r="P149" i="42"/>
  <c r="O149" i="42"/>
  <c r="Q149" i="42" s="1"/>
  <c r="R149" i="42" s="1"/>
  <c r="M149" i="42"/>
  <c r="L149" i="42"/>
  <c r="K149" i="42"/>
  <c r="J149" i="42"/>
  <c r="I149" i="42"/>
  <c r="AL148" i="42"/>
  <c r="AK148" i="42"/>
  <c r="AJ148" i="42"/>
  <c r="P148" i="42"/>
  <c r="O148" i="42"/>
  <c r="Q148" i="42" s="1"/>
  <c r="R148" i="42" s="1"/>
  <c r="M148" i="42"/>
  <c r="L148" i="42"/>
  <c r="K148" i="42"/>
  <c r="J148" i="42"/>
  <c r="I148" i="42"/>
  <c r="P147" i="42"/>
  <c r="AK152" i="42" s="1"/>
  <c r="O147" i="42"/>
  <c r="Q147" i="42" s="1"/>
  <c r="R147" i="42" s="1"/>
  <c r="M147" i="42"/>
  <c r="L147" i="42"/>
  <c r="K147" i="42"/>
  <c r="J147" i="42"/>
  <c r="I147" i="42"/>
  <c r="AL146" i="42"/>
  <c r="AK146" i="42"/>
  <c r="AJ146" i="42"/>
  <c r="U146" i="42"/>
  <c r="AQ146" i="42" s="1"/>
  <c r="P146" i="42"/>
  <c r="O146" i="42"/>
  <c r="Q146" i="42" s="1"/>
  <c r="R146" i="42" s="1"/>
  <c r="M146" i="42"/>
  <c r="L146" i="42"/>
  <c r="K146" i="42"/>
  <c r="J146" i="42"/>
  <c r="I146" i="42"/>
  <c r="AL145" i="42"/>
  <c r="AK145" i="42"/>
  <c r="AJ145" i="42"/>
  <c r="U145" i="42"/>
  <c r="AQ145" i="42" s="1"/>
  <c r="P145" i="42"/>
  <c r="O145" i="42"/>
  <c r="Q145" i="42" s="1"/>
  <c r="R145" i="42" s="1"/>
  <c r="M145" i="42"/>
  <c r="L145" i="42"/>
  <c r="K145" i="42"/>
  <c r="J145" i="42"/>
  <c r="I145" i="42"/>
  <c r="AL144" i="42"/>
  <c r="AK144" i="42"/>
  <c r="AJ144" i="42"/>
  <c r="U144" i="42"/>
  <c r="AQ144" i="42" s="1"/>
  <c r="P144" i="42"/>
  <c r="O144" i="42"/>
  <c r="Q144" i="42" s="1"/>
  <c r="R144" i="42" s="1"/>
  <c r="M144" i="42"/>
  <c r="L144" i="42"/>
  <c r="K144" i="42"/>
  <c r="J144" i="42"/>
  <c r="I144" i="42"/>
  <c r="AL143" i="42"/>
  <c r="AK143" i="42"/>
  <c r="AJ143" i="42"/>
  <c r="U143" i="42"/>
  <c r="AQ143" i="42" s="1"/>
  <c r="P143" i="42"/>
  <c r="O143" i="42"/>
  <c r="Q143" i="42" s="1"/>
  <c r="R143" i="42" s="1"/>
  <c r="M143" i="42"/>
  <c r="L143" i="42"/>
  <c r="K143" i="42"/>
  <c r="J143" i="42"/>
  <c r="I143" i="42"/>
  <c r="AL142" i="42"/>
  <c r="AK142" i="42"/>
  <c r="AJ142" i="42"/>
  <c r="U142" i="42"/>
  <c r="AQ142" i="42" s="1"/>
  <c r="P142" i="42"/>
  <c r="O142" i="42"/>
  <c r="Q142" i="42" s="1"/>
  <c r="R142" i="42" s="1"/>
  <c r="M142" i="42"/>
  <c r="L142" i="42"/>
  <c r="K142" i="42"/>
  <c r="J142" i="42"/>
  <c r="I142" i="42"/>
  <c r="AL141" i="42"/>
  <c r="AK141" i="42"/>
  <c r="AJ141" i="42"/>
  <c r="U141" i="42"/>
  <c r="AQ141" i="42" s="1"/>
  <c r="P141" i="42"/>
  <c r="O141" i="42"/>
  <c r="Q141" i="42" s="1"/>
  <c r="R141" i="42" s="1"/>
  <c r="M141" i="42"/>
  <c r="L141" i="42"/>
  <c r="K141" i="42"/>
  <c r="J141" i="42"/>
  <c r="I141" i="42"/>
  <c r="AL140" i="42"/>
  <c r="AK140" i="42"/>
  <c r="AJ140" i="42"/>
  <c r="U140" i="42"/>
  <c r="AQ140" i="42" s="1"/>
  <c r="P140" i="42"/>
  <c r="O140" i="42"/>
  <c r="Q140" i="42" s="1"/>
  <c r="R140" i="42" s="1"/>
  <c r="M140" i="42"/>
  <c r="L140" i="42"/>
  <c r="K140" i="42"/>
  <c r="J140" i="42"/>
  <c r="I140" i="42"/>
  <c r="AL139" i="42"/>
  <c r="AK139" i="42"/>
  <c r="AJ139" i="42"/>
  <c r="U139" i="42"/>
  <c r="AQ139" i="42" s="1"/>
  <c r="P139" i="42"/>
  <c r="O139" i="42"/>
  <c r="Q139" i="42" s="1"/>
  <c r="R139" i="42" s="1"/>
  <c r="M139" i="42"/>
  <c r="L139" i="42"/>
  <c r="K139" i="42"/>
  <c r="J139" i="42"/>
  <c r="I139" i="42"/>
  <c r="AL138" i="42"/>
  <c r="AK138" i="42"/>
  <c r="AJ138" i="42"/>
  <c r="U138" i="42"/>
  <c r="AQ138" i="42" s="1"/>
  <c r="P138" i="42"/>
  <c r="O138" i="42"/>
  <c r="Q138" i="42" s="1"/>
  <c r="R138" i="42" s="1"/>
  <c r="M138" i="42"/>
  <c r="L138" i="42"/>
  <c r="K138" i="42"/>
  <c r="J138" i="42"/>
  <c r="I138" i="42"/>
  <c r="AL137" i="42"/>
  <c r="AK137" i="42"/>
  <c r="AJ137" i="42"/>
  <c r="U137" i="42"/>
  <c r="AQ137" i="42" s="1"/>
  <c r="P137" i="42"/>
  <c r="O137" i="42"/>
  <c r="Q137" i="42" s="1"/>
  <c r="R137" i="42" s="1"/>
  <c r="M137" i="42"/>
  <c r="L137" i="42"/>
  <c r="K137" i="42"/>
  <c r="J137" i="42"/>
  <c r="I137" i="42"/>
  <c r="AL136" i="42"/>
  <c r="AK136" i="42"/>
  <c r="AJ136" i="42"/>
  <c r="U136" i="42"/>
  <c r="AQ136" i="42" s="1"/>
  <c r="P136" i="42"/>
  <c r="O136" i="42"/>
  <c r="Q136" i="42" s="1"/>
  <c r="R136" i="42" s="1"/>
  <c r="L136" i="42"/>
  <c r="K136" i="42"/>
  <c r="J136" i="42"/>
  <c r="I136" i="42"/>
  <c r="AL135" i="42"/>
  <c r="AK135" i="42"/>
  <c r="AJ135" i="42"/>
  <c r="U135" i="42"/>
  <c r="AQ135" i="42" s="1"/>
  <c r="P135" i="42"/>
  <c r="O135" i="42"/>
  <c r="Q135" i="42" s="1"/>
  <c r="R135" i="42" s="1"/>
  <c r="M135" i="42"/>
  <c r="L135" i="42"/>
  <c r="K135" i="42"/>
  <c r="J135" i="42"/>
  <c r="I135" i="42"/>
  <c r="AL134" i="42"/>
  <c r="AK134" i="42"/>
  <c r="AJ134" i="42"/>
  <c r="U134" i="42"/>
  <c r="AQ134" i="42" s="1"/>
  <c r="P134" i="42"/>
  <c r="O134" i="42"/>
  <c r="Q134" i="42" s="1"/>
  <c r="R134" i="42" s="1"/>
  <c r="M134" i="42"/>
  <c r="L134" i="42"/>
  <c r="K134" i="42"/>
  <c r="J134" i="42"/>
  <c r="I134" i="42"/>
  <c r="AL133" i="42"/>
  <c r="AK133" i="42"/>
  <c r="AJ133" i="42"/>
  <c r="U133" i="42"/>
  <c r="AQ133" i="42" s="1"/>
  <c r="P133" i="42"/>
  <c r="O133" i="42"/>
  <c r="Q133" i="42" s="1"/>
  <c r="R133" i="42" s="1"/>
  <c r="M133" i="42"/>
  <c r="L133" i="42"/>
  <c r="K133" i="42"/>
  <c r="J133" i="42"/>
  <c r="I133" i="42"/>
  <c r="AL132" i="42"/>
  <c r="AK132" i="42"/>
  <c r="AJ132" i="42"/>
  <c r="U132" i="42"/>
  <c r="AQ132" i="42" s="1"/>
  <c r="P132" i="42"/>
  <c r="O132" i="42"/>
  <c r="Q132" i="42" s="1"/>
  <c r="R132" i="42" s="1"/>
  <c r="M132" i="42"/>
  <c r="L132" i="42"/>
  <c r="K132" i="42"/>
  <c r="J132" i="42"/>
  <c r="I132" i="42"/>
  <c r="AK131" i="42"/>
  <c r="AJ131" i="42"/>
  <c r="P131" i="42"/>
  <c r="AK190" i="42" s="1"/>
  <c r="O131" i="42"/>
  <c r="Q131" i="42" s="1"/>
  <c r="R131" i="42" s="1"/>
  <c r="M131" i="42"/>
  <c r="L131" i="42"/>
  <c r="K131" i="42"/>
  <c r="J131" i="42"/>
  <c r="I131" i="42"/>
  <c r="AL130" i="42"/>
  <c r="AK130" i="42"/>
  <c r="AJ130" i="42"/>
  <c r="P130" i="42"/>
  <c r="O130" i="42"/>
  <c r="Q130" i="42" s="1"/>
  <c r="R130" i="42" s="1"/>
  <c r="M130" i="42"/>
  <c r="L130" i="42"/>
  <c r="K130" i="42"/>
  <c r="J130" i="42"/>
  <c r="I130" i="42"/>
  <c r="AL129" i="42"/>
  <c r="AK129" i="42"/>
  <c r="AJ129" i="42"/>
  <c r="U129" i="42"/>
  <c r="AQ129" i="42" s="1"/>
  <c r="P129" i="42"/>
  <c r="O129" i="42"/>
  <c r="Q129" i="42" s="1"/>
  <c r="R129" i="42" s="1"/>
  <c r="M129" i="42"/>
  <c r="L129" i="42"/>
  <c r="K129" i="42"/>
  <c r="J129" i="42"/>
  <c r="I129" i="42"/>
  <c r="AL128" i="42"/>
  <c r="AK128" i="42"/>
  <c r="AJ128" i="42"/>
  <c r="U128" i="42"/>
  <c r="AQ128" i="42" s="1"/>
  <c r="P128" i="42"/>
  <c r="O128" i="42"/>
  <c r="Q128" i="42" s="1"/>
  <c r="R128" i="42" s="1"/>
  <c r="M128" i="42"/>
  <c r="L128" i="42"/>
  <c r="K128" i="42"/>
  <c r="J128" i="42"/>
  <c r="I128" i="42"/>
  <c r="AL127" i="42"/>
  <c r="AK127" i="42"/>
  <c r="AJ127" i="42"/>
  <c r="U127" i="42"/>
  <c r="AQ127" i="42" s="1"/>
  <c r="P127" i="42"/>
  <c r="O127" i="42"/>
  <c r="Q127" i="42" s="1"/>
  <c r="R127" i="42" s="1"/>
  <c r="M127" i="42"/>
  <c r="L127" i="42"/>
  <c r="K127" i="42"/>
  <c r="J127" i="42"/>
  <c r="I127" i="42"/>
  <c r="AL126" i="42"/>
  <c r="AK126" i="42"/>
  <c r="AJ126" i="42"/>
  <c r="U126" i="42"/>
  <c r="AQ126" i="42" s="1"/>
  <c r="P126" i="42"/>
  <c r="O126" i="42"/>
  <c r="Q126" i="42" s="1"/>
  <c r="R126" i="42" s="1"/>
  <c r="M126" i="42"/>
  <c r="L126" i="42"/>
  <c r="K126" i="42"/>
  <c r="J126" i="42"/>
  <c r="I126" i="42"/>
  <c r="AL125" i="42"/>
  <c r="AK125" i="42"/>
  <c r="AJ125" i="42"/>
  <c r="U125" i="42"/>
  <c r="AQ125" i="42" s="1"/>
  <c r="P125" i="42"/>
  <c r="O125" i="42"/>
  <c r="Q125" i="42" s="1"/>
  <c r="R125" i="42" s="1"/>
  <c r="M125" i="42"/>
  <c r="L125" i="42"/>
  <c r="K125" i="42"/>
  <c r="J125" i="42"/>
  <c r="I125" i="42"/>
  <c r="AL124" i="42"/>
  <c r="AK124" i="42"/>
  <c r="AJ124" i="42"/>
  <c r="U124" i="42"/>
  <c r="AQ124" i="42" s="1"/>
  <c r="P124" i="42"/>
  <c r="O124" i="42"/>
  <c r="Q124" i="42" s="1"/>
  <c r="R124" i="42" s="1"/>
  <c r="M124" i="42"/>
  <c r="L124" i="42"/>
  <c r="K124" i="42"/>
  <c r="J124" i="42"/>
  <c r="I124" i="42"/>
  <c r="AL123" i="42"/>
  <c r="AK123" i="42"/>
  <c r="AJ123" i="42"/>
  <c r="U123" i="42"/>
  <c r="AQ123" i="42" s="1"/>
  <c r="P123" i="42"/>
  <c r="O123" i="42"/>
  <c r="Q123" i="42" s="1"/>
  <c r="R123" i="42" s="1"/>
  <c r="M123" i="42"/>
  <c r="L123" i="42"/>
  <c r="K123" i="42"/>
  <c r="J123" i="42"/>
  <c r="I123" i="42"/>
  <c r="AL122" i="42"/>
  <c r="AK122" i="42"/>
  <c r="AJ122" i="42"/>
  <c r="U122" i="42"/>
  <c r="AQ122" i="42" s="1"/>
  <c r="P122" i="42"/>
  <c r="O122" i="42"/>
  <c r="Q122" i="42" s="1"/>
  <c r="R122" i="42" s="1"/>
  <c r="M122" i="42"/>
  <c r="L122" i="42"/>
  <c r="K122" i="42"/>
  <c r="J122" i="42"/>
  <c r="I122" i="42"/>
  <c r="AL121" i="42"/>
  <c r="AK121" i="42"/>
  <c r="AJ121" i="42"/>
  <c r="U121" i="42"/>
  <c r="AQ121" i="42" s="1"/>
  <c r="P121" i="42"/>
  <c r="O121" i="42"/>
  <c r="Q121" i="42" s="1"/>
  <c r="R121" i="42" s="1"/>
  <c r="L121" i="42"/>
  <c r="K121" i="42"/>
  <c r="J121" i="42"/>
  <c r="I121" i="42"/>
  <c r="AL120" i="42"/>
  <c r="AK120" i="42"/>
  <c r="AJ120" i="42"/>
  <c r="U120" i="42"/>
  <c r="AQ120" i="42" s="1"/>
  <c r="P120" i="42"/>
  <c r="O120" i="42"/>
  <c r="Q120" i="42" s="1"/>
  <c r="R120" i="42" s="1"/>
  <c r="M120" i="42"/>
  <c r="L120" i="42"/>
  <c r="K120" i="42"/>
  <c r="J120" i="42"/>
  <c r="I120" i="42"/>
  <c r="AL119" i="42"/>
  <c r="AK119" i="42"/>
  <c r="AJ119" i="42"/>
  <c r="P119" i="42"/>
  <c r="O119" i="42"/>
  <c r="Q119" i="42" s="1"/>
  <c r="R119" i="42" s="1"/>
  <c r="M119" i="42"/>
  <c r="L119" i="42"/>
  <c r="K119" i="42"/>
  <c r="J119" i="42"/>
  <c r="I119" i="42"/>
  <c r="AL118" i="42"/>
  <c r="AK118" i="42"/>
  <c r="AJ118" i="42"/>
  <c r="U118" i="42"/>
  <c r="AQ118" i="42" s="1"/>
  <c r="P118" i="42"/>
  <c r="O118" i="42"/>
  <c r="Q118" i="42" s="1"/>
  <c r="R118" i="42" s="1"/>
  <c r="M118" i="42"/>
  <c r="L118" i="42"/>
  <c r="K118" i="42"/>
  <c r="J118" i="42"/>
  <c r="I118" i="42"/>
  <c r="AL117" i="42"/>
  <c r="AK117" i="42"/>
  <c r="AJ117" i="42"/>
  <c r="P117" i="42"/>
  <c r="O117" i="42"/>
  <c r="Q117" i="42" s="1"/>
  <c r="R117" i="42" s="1"/>
  <c r="M117" i="42"/>
  <c r="L117" i="42"/>
  <c r="K117" i="42"/>
  <c r="J117" i="42"/>
  <c r="I117" i="42"/>
  <c r="AL116" i="42"/>
  <c r="AK116" i="42"/>
  <c r="AJ116" i="42"/>
  <c r="U116" i="42"/>
  <c r="AQ116" i="42" s="1"/>
  <c r="P116" i="42"/>
  <c r="O116" i="42"/>
  <c r="Q116" i="42" s="1"/>
  <c r="R116" i="42" s="1"/>
  <c r="M116" i="42"/>
  <c r="L116" i="42"/>
  <c r="K116" i="42"/>
  <c r="J116" i="42"/>
  <c r="I116" i="42"/>
  <c r="AL115" i="42"/>
  <c r="P115" i="42"/>
  <c r="O115" i="42"/>
  <c r="Q115" i="42" s="1"/>
  <c r="R115" i="42" s="1"/>
  <c r="M115" i="42"/>
  <c r="L115" i="42"/>
  <c r="K115" i="42"/>
  <c r="J115" i="42"/>
  <c r="I115" i="42"/>
  <c r="AL114" i="42"/>
  <c r="AK114" i="42"/>
  <c r="AJ114" i="42"/>
  <c r="P114" i="42"/>
  <c r="O114" i="42"/>
  <c r="Q114" i="42" s="1"/>
  <c r="R114" i="42" s="1"/>
  <c r="L114" i="42"/>
  <c r="K114" i="42"/>
  <c r="J114" i="42"/>
  <c r="I114" i="42"/>
  <c r="AL113" i="42"/>
  <c r="AK113" i="42"/>
  <c r="AJ113" i="42"/>
  <c r="U113" i="42"/>
  <c r="AQ113" i="42" s="1"/>
  <c r="P113" i="42"/>
  <c r="O113" i="42"/>
  <c r="Q113" i="42" s="1"/>
  <c r="R113" i="42" s="1"/>
  <c r="M113" i="42"/>
  <c r="L113" i="42"/>
  <c r="K113" i="42"/>
  <c r="J113" i="42"/>
  <c r="I113" i="42"/>
  <c r="AL112" i="42"/>
  <c r="AK112" i="42"/>
  <c r="AJ112" i="42"/>
  <c r="P112" i="42"/>
  <c r="O112" i="42"/>
  <c r="Q112" i="42" s="1"/>
  <c r="R112" i="42" s="1"/>
  <c r="M112" i="42"/>
  <c r="L112" i="42"/>
  <c r="K112" i="42"/>
  <c r="J112" i="42"/>
  <c r="AL111" i="42"/>
  <c r="AK111" i="42"/>
  <c r="AJ111" i="42"/>
  <c r="U111" i="42"/>
  <c r="AQ111" i="42" s="1"/>
  <c r="P111" i="42"/>
  <c r="O111" i="42"/>
  <c r="Q111" i="42" s="1"/>
  <c r="R111" i="42" s="1"/>
  <c r="M111" i="42"/>
  <c r="L111" i="42"/>
  <c r="K111" i="42"/>
  <c r="J111" i="42"/>
  <c r="I111" i="42"/>
  <c r="AL110" i="42"/>
  <c r="AK110" i="42"/>
  <c r="AJ110" i="42"/>
  <c r="U110" i="42"/>
  <c r="AQ110" i="42" s="1"/>
  <c r="P110" i="42"/>
  <c r="O110" i="42"/>
  <c r="Q110" i="42" s="1"/>
  <c r="R110" i="42" s="1"/>
  <c r="M110" i="42"/>
  <c r="L110" i="42"/>
  <c r="K110" i="42"/>
  <c r="J110" i="42"/>
  <c r="I110" i="42"/>
  <c r="AL109" i="42"/>
  <c r="AK109" i="42"/>
  <c r="AJ109" i="42"/>
  <c r="U109" i="42"/>
  <c r="AQ109" i="42" s="1"/>
  <c r="P109" i="42"/>
  <c r="O109" i="42"/>
  <c r="Q109" i="42" s="1"/>
  <c r="R109" i="42" s="1"/>
  <c r="M109" i="42"/>
  <c r="L109" i="42"/>
  <c r="K109" i="42"/>
  <c r="J109" i="42"/>
  <c r="I109" i="42"/>
  <c r="AL108" i="42"/>
  <c r="AK108" i="42"/>
  <c r="AJ108" i="42"/>
  <c r="U108" i="42"/>
  <c r="AQ108" i="42" s="1"/>
  <c r="P108" i="42"/>
  <c r="O108" i="42"/>
  <c r="Q108" i="42" s="1"/>
  <c r="R108" i="42" s="1"/>
  <c r="M108" i="42"/>
  <c r="L108" i="42"/>
  <c r="K108" i="42"/>
  <c r="J108" i="42"/>
  <c r="I108" i="42"/>
  <c r="AL107" i="42"/>
  <c r="AK107" i="42"/>
  <c r="AJ107" i="42"/>
  <c r="P107" i="42"/>
  <c r="O107" i="42"/>
  <c r="Q107" i="42" s="1"/>
  <c r="R107" i="42" s="1"/>
  <c r="M107" i="42"/>
  <c r="L107" i="42"/>
  <c r="K107" i="42"/>
  <c r="J107" i="42"/>
  <c r="I107" i="42"/>
  <c r="AL106" i="42"/>
  <c r="AK106" i="42"/>
  <c r="AJ106" i="42"/>
  <c r="U106" i="42"/>
  <c r="AQ106" i="42" s="1"/>
  <c r="P106" i="42"/>
  <c r="O106" i="42"/>
  <c r="Q106" i="42" s="1"/>
  <c r="R106" i="42" s="1"/>
  <c r="M106" i="42"/>
  <c r="L106" i="42"/>
  <c r="K106" i="42"/>
  <c r="J106" i="42"/>
  <c r="I106" i="42"/>
  <c r="AL105" i="42"/>
  <c r="AK105" i="42"/>
  <c r="AJ105" i="42"/>
  <c r="U105" i="42"/>
  <c r="AQ105" i="42" s="1"/>
  <c r="P105" i="42"/>
  <c r="O105" i="42"/>
  <c r="Q105" i="42" s="1"/>
  <c r="R105" i="42" s="1"/>
  <c r="M105" i="42"/>
  <c r="L105" i="42"/>
  <c r="K105" i="42"/>
  <c r="J105" i="42"/>
  <c r="I105" i="42"/>
  <c r="AL104" i="42"/>
  <c r="AK104" i="42"/>
  <c r="AJ104" i="42"/>
  <c r="U104" i="42"/>
  <c r="AQ104" i="42" s="1"/>
  <c r="P104" i="42"/>
  <c r="O104" i="42"/>
  <c r="Q104" i="42" s="1"/>
  <c r="R104" i="42" s="1"/>
  <c r="M104" i="42"/>
  <c r="L104" i="42"/>
  <c r="K104" i="42"/>
  <c r="J104" i="42"/>
  <c r="I104" i="42"/>
  <c r="AL103" i="42"/>
  <c r="AK103" i="42"/>
  <c r="AJ103" i="42"/>
  <c r="U103" i="42"/>
  <c r="AQ103" i="42" s="1"/>
  <c r="P103" i="42"/>
  <c r="O103" i="42"/>
  <c r="Q103" i="42" s="1"/>
  <c r="R103" i="42" s="1"/>
  <c r="M103" i="42"/>
  <c r="L103" i="42"/>
  <c r="K103" i="42"/>
  <c r="J103" i="42"/>
  <c r="I103" i="42"/>
  <c r="AL102" i="42"/>
  <c r="AK102" i="42"/>
  <c r="AJ102" i="42"/>
  <c r="U102" i="42"/>
  <c r="AQ102" i="42" s="1"/>
  <c r="P102" i="42"/>
  <c r="O102" i="42"/>
  <c r="Q102" i="42" s="1"/>
  <c r="R102" i="42" s="1"/>
  <c r="M102" i="42"/>
  <c r="L102" i="42"/>
  <c r="K102" i="42"/>
  <c r="J102" i="42"/>
  <c r="I102" i="42"/>
  <c r="AL101" i="42"/>
  <c r="AK101" i="42"/>
  <c r="AJ101" i="42"/>
  <c r="U101" i="42"/>
  <c r="AQ101" i="42" s="1"/>
  <c r="P101" i="42"/>
  <c r="O101" i="42"/>
  <c r="Q101" i="42" s="1"/>
  <c r="R101" i="42" s="1"/>
  <c r="M101" i="42"/>
  <c r="L101" i="42"/>
  <c r="K101" i="42"/>
  <c r="J101" i="42"/>
  <c r="I101" i="42"/>
  <c r="AL100" i="42"/>
  <c r="AK100" i="42"/>
  <c r="AJ100" i="42"/>
  <c r="U100" i="42"/>
  <c r="AQ100" i="42" s="1"/>
  <c r="P100" i="42"/>
  <c r="O100" i="42"/>
  <c r="Q100" i="42" s="1"/>
  <c r="R100" i="42" s="1"/>
  <c r="M100" i="42"/>
  <c r="L100" i="42"/>
  <c r="K100" i="42"/>
  <c r="J100" i="42"/>
  <c r="I100" i="42"/>
  <c r="AL99" i="42"/>
  <c r="AK99" i="42"/>
  <c r="AJ99" i="42"/>
  <c r="U99" i="42"/>
  <c r="AQ99" i="42" s="1"/>
  <c r="P99" i="42"/>
  <c r="O99" i="42"/>
  <c r="Q99" i="42" s="1"/>
  <c r="R99" i="42" s="1"/>
  <c r="M99" i="42"/>
  <c r="L99" i="42"/>
  <c r="K99" i="42"/>
  <c r="J99" i="42"/>
  <c r="I99" i="42"/>
  <c r="AL98" i="42"/>
  <c r="AK98" i="42"/>
  <c r="AJ98" i="42"/>
  <c r="P98" i="42"/>
  <c r="O98" i="42"/>
  <c r="Q98" i="42" s="1"/>
  <c r="R98" i="42" s="1"/>
  <c r="M98" i="42"/>
  <c r="L98" i="42"/>
  <c r="K98" i="42"/>
  <c r="J98" i="42"/>
  <c r="I98" i="42"/>
  <c r="AL97" i="42"/>
  <c r="AK97" i="42"/>
  <c r="AJ97" i="42"/>
  <c r="U97" i="42"/>
  <c r="AQ97" i="42" s="1"/>
  <c r="P97" i="42"/>
  <c r="O97" i="42"/>
  <c r="Q97" i="42" s="1"/>
  <c r="R97" i="42" s="1"/>
  <c r="M97" i="42"/>
  <c r="L97" i="42"/>
  <c r="K97" i="42"/>
  <c r="J97" i="42"/>
  <c r="I97" i="42"/>
  <c r="AL96" i="42"/>
  <c r="AK96" i="42"/>
  <c r="AJ96" i="42"/>
  <c r="U96" i="42"/>
  <c r="AQ96" i="42" s="1"/>
  <c r="P96" i="42"/>
  <c r="O96" i="42"/>
  <c r="Q96" i="42" s="1"/>
  <c r="R96" i="42" s="1"/>
  <c r="M96" i="42"/>
  <c r="L96" i="42"/>
  <c r="K96" i="42"/>
  <c r="J96" i="42"/>
  <c r="I96" i="42"/>
  <c r="AL95" i="42"/>
  <c r="AK95" i="42"/>
  <c r="AJ95" i="42"/>
  <c r="U95" i="42"/>
  <c r="AQ95" i="42" s="1"/>
  <c r="P95" i="42"/>
  <c r="O95" i="42"/>
  <c r="Q95" i="42" s="1"/>
  <c r="R95" i="42" s="1"/>
  <c r="M95" i="42"/>
  <c r="L95" i="42"/>
  <c r="K95" i="42"/>
  <c r="J95" i="42"/>
  <c r="I95" i="42"/>
  <c r="AL94" i="42"/>
  <c r="AK94" i="42"/>
  <c r="AJ94" i="42"/>
  <c r="U94" i="42"/>
  <c r="AQ94" i="42" s="1"/>
  <c r="P94" i="42"/>
  <c r="O94" i="42"/>
  <c r="Q94" i="42" s="1"/>
  <c r="R94" i="42" s="1"/>
  <c r="M94" i="42"/>
  <c r="L94" i="42"/>
  <c r="K94" i="42"/>
  <c r="J94" i="42"/>
  <c r="I94" i="42"/>
  <c r="AL93" i="42"/>
  <c r="AK93" i="42"/>
  <c r="AJ93" i="42"/>
  <c r="U93" i="42"/>
  <c r="AQ93" i="42" s="1"/>
  <c r="P93" i="42"/>
  <c r="O93" i="42"/>
  <c r="Q93" i="42" s="1"/>
  <c r="R93" i="42" s="1"/>
  <c r="M93" i="42"/>
  <c r="L93" i="42"/>
  <c r="K93" i="42"/>
  <c r="J93" i="42"/>
  <c r="I93" i="42"/>
  <c r="AL92" i="42"/>
  <c r="AK92" i="42"/>
  <c r="AJ92" i="42"/>
  <c r="U92" i="42"/>
  <c r="AQ92" i="42" s="1"/>
  <c r="P92" i="42"/>
  <c r="O92" i="42"/>
  <c r="Q92" i="42" s="1"/>
  <c r="R92" i="42" s="1"/>
  <c r="M92" i="42"/>
  <c r="L92" i="42"/>
  <c r="K92" i="42"/>
  <c r="J92" i="42"/>
  <c r="I92" i="42"/>
  <c r="AL91" i="42"/>
  <c r="AK91" i="42"/>
  <c r="AJ91" i="42"/>
  <c r="P91" i="42"/>
  <c r="O91" i="42"/>
  <c r="Q91" i="42" s="1"/>
  <c r="R91" i="42" s="1"/>
  <c r="M91" i="42"/>
  <c r="L91" i="42"/>
  <c r="K91" i="42"/>
  <c r="J91" i="42"/>
  <c r="I91" i="42"/>
  <c r="AL90" i="42"/>
  <c r="AK90" i="42"/>
  <c r="AJ90" i="42"/>
  <c r="U90" i="42"/>
  <c r="AQ90" i="42" s="1"/>
  <c r="P90" i="42"/>
  <c r="O90" i="42"/>
  <c r="Q90" i="42" s="1"/>
  <c r="R90" i="42" s="1"/>
  <c r="M90" i="42"/>
  <c r="L90" i="42"/>
  <c r="K90" i="42"/>
  <c r="J90" i="42"/>
  <c r="I90" i="42"/>
  <c r="AL89" i="42"/>
  <c r="AK89" i="42"/>
  <c r="AJ89" i="42"/>
  <c r="U89" i="42"/>
  <c r="AQ89" i="42" s="1"/>
  <c r="P89" i="42"/>
  <c r="O89" i="42"/>
  <c r="Q89" i="42" s="1"/>
  <c r="R89" i="42" s="1"/>
  <c r="M89" i="42"/>
  <c r="L89" i="42"/>
  <c r="K89" i="42"/>
  <c r="J89" i="42"/>
  <c r="I89" i="42"/>
  <c r="AL88" i="42"/>
  <c r="AK88" i="42"/>
  <c r="AJ88" i="42"/>
  <c r="U88" i="42"/>
  <c r="AQ88" i="42" s="1"/>
  <c r="P88" i="42"/>
  <c r="O88" i="42"/>
  <c r="Q88" i="42" s="1"/>
  <c r="R88" i="42" s="1"/>
  <c r="M88" i="42"/>
  <c r="L88" i="42"/>
  <c r="K88" i="42"/>
  <c r="J88" i="42"/>
  <c r="I88" i="42"/>
  <c r="AL87" i="42"/>
  <c r="AK87" i="42"/>
  <c r="AJ87" i="42"/>
  <c r="U87" i="42"/>
  <c r="AQ87" i="42" s="1"/>
  <c r="P87" i="42"/>
  <c r="O87" i="42"/>
  <c r="Q87" i="42" s="1"/>
  <c r="R87" i="42" s="1"/>
  <c r="M87" i="42"/>
  <c r="L87" i="42"/>
  <c r="K87" i="42"/>
  <c r="J87" i="42"/>
  <c r="I87" i="42"/>
  <c r="AL86" i="42"/>
  <c r="AK86" i="42"/>
  <c r="AJ86" i="42"/>
  <c r="U86" i="42"/>
  <c r="AQ86" i="42" s="1"/>
  <c r="P86" i="42"/>
  <c r="O86" i="42"/>
  <c r="Q86" i="42" s="1"/>
  <c r="R86" i="42" s="1"/>
  <c r="M86" i="42"/>
  <c r="L86" i="42"/>
  <c r="K86" i="42"/>
  <c r="J86" i="42"/>
  <c r="I86" i="42"/>
  <c r="AL85" i="42"/>
  <c r="AK85" i="42"/>
  <c r="AJ85" i="42"/>
  <c r="U85" i="42"/>
  <c r="AQ85" i="42" s="1"/>
  <c r="P85" i="42"/>
  <c r="O85" i="42"/>
  <c r="Q85" i="42" s="1"/>
  <c r="R85" i="42" s="1"/>
  <c r="M85" i="42"/>
  <c r="L85" i="42"/>
  <c r="K85" i="42"/>
  <c r="J85" i="42"/>
  <c r="I85" i="42"/>
  <c r="AL84" i="42"/>
  <c r="AK84" i="42"/>
  <c r="AJ84" i="42"/>
  <c r="U84" i="42"/>
  <c r="AQ84" i="42" s="1"/>
  <c r="P84" i="42"/>
  <c r="O84" i="42"/>
  <c r="Q84" i="42" s="1"/>
  <c r="R84" i="42" s="1"/>
  <c r="M84" i="42"/>
  <c r="L84" i="42"/>
  <c r="K84" i="42"/>
  <c r="J84" i="42"/>
  <c r="I84" i="42"/>
  <c r="AL83" i="42"/>
  <c r="AK83" i="42"/>
  <c r="AJ83" i="42"/>
  <c r="U83" i="42"/>
  <c r="AQ83" i="42" s="1"/>
  <c r="P83" i="42"/>
  <c r="O83" i="42"/>
  <c r="Q83" i="42" s="1"/>
  <c r="R83" i="42" s="1"/>
  <c r="M83" i="42"/>
  <c r="L83" i="42"/>
  <c r="K83" i="42"/>
  <c r="J83" i="42"/>
  <c r="I83" i="42"/>
  <c r="AL82" i="42"/>
  <c r="AK82" i="42"/>
  <c r="AJ82" i="42"/>
  <c r="U82" i="42"/>
  <c r="AQ82" i="42" s="1"/>
  <c r="P82" i="42"/>
  <c r="O82" i="42"/>
  <c r="Q82" i="42" s="1"/>
  <c r="R82" i="42" s="1"/>
  <c r="M82" i="42"/>
  <c r="L82" i="42"/>
  <c r="K82" i="42"/>
  <c r="J82" i="42"/>
  <c r="I82" i="42"/>
  <c r="AL81" i="42"/>
  <c r="AK81" i="42"/>
  <c r="AJ81" i="42"/>
  <c r="U81" i="42"/>
  <c r="AQ81" i="42" s="1"/>
  <c r="P81" i="42"/>
  <c r="O81" i="42"/>
  <c r="Q81" i="42" s="1"/>
  <c r="R81" i="42" s="1"/>
  <c r="M81" i="42"/>
  <c r="L81" i="42"/>
  <c r="K81" i="42"/>
  <c r="J81" i="42"/>
  <c r="I81" i="42"/>
  <c r="AL80" i="42"/>
  <c r="AK80" i="42"/>
  <c r="AJ80" i="42"/>
  <c r="U80" i="42"/>
  <c r="AQ80" i="42" s="1"/>
  <c r="P80" i="42"/>
  <c r="O80" i="42"/>
  <c r="Q80" i="42" s="1"/>
  <c r="R80" i="42" s="1"/>
  <c r="M80" i="42"/>
  <c r="L80" i="42"/>
  <c r="K80" i="42"/>
  <c r="J80" i="42"/>
  <c r="I80" i="42"/>
  <c r="AL79" i="42"/>
  <c r="AK79" i="42"/>
  <c r="AJ79" i="42"/>
  <c r="U79" i="42"/>
  <c r="AQ79" i="42" s="1"/>
  <c r="P79" i="42"/>
  <c r="O79" i="42"/>
  <c r="Q79" i="42" s="1"/>
  <c r="R79" i="42" s="1"/>
  <c r="M79" i="42"/>
  <c r="L79" i="42"/>
  <c r="K79" i="42"/>
  <c r="J79" i="42"/>
  <c r="I79" i="42"/>
  <c r="AL78" i="42"/>
  <c r="AK78" i="42"/>
  <c r="AJ78" i="42"/>
  <c r="U78" i="42"/>
  <c r="AQ78" i="42" s="1"/>
  <c r="P78" i="42"/>
  <c r="O78" i="42"/>
  <c r="Q78" i="42" s="1"/>
  <c r="R78" i="42" s="1"/>
  <c r="M78" i="42"/>
  <c r="L78" i="42"/>
  <c r="K78" i="42"/>
  <c r="J78" i="42"/>
  <c r="I78" i="42"/>
  <c r="AL77" i="42"/>
  <c r="AK77" i="42"/>
  <c r="AJ77" i="42"/>
  <c r="U77" i="42"/>
  <c r="AQ77" i="42" s="1"/>
  <c r="P77" i="42"/>
  <c r="O77" i="42"/>
  <c r="Q77" i="42" s="1"/>
  <c r="R77" i="42" s="1"/>
  <c r="M77" i="42"/>
  <c r="L77" i="42"/>
  <c r="K77" i="42"/>
  <c r="J77" i="42"/>
  <c r="I77" i="42"/>
  <c r="AL76" i="42"/>
  <c r="AK76" i="42"/>
  <c r="AJ76" i="42"/>
  <c r="U76" i="42"/>
  <c r="AQ76" i="42" s="1"/>
  <c r="P76" i="42"/>
  <c r="O76" i="42"/>
  <c r="Q76" i="42" s="1"/>
  <c r="R76" i="42" s="1"/>
  <c r="M76" i="42"/>
  <c r="L76" i="42"/>
  <c r="K76" i="42"/>
  <c r="J76" i="42"/>
  <c r="I76" i="42"/>
  <c r="AL75" i="42"/>
  <c r="AK75" i="42"/>
  <c r="AJ75" i="42"/>
  <c r="U75" i="42"/>
  <c r="AQ75" i="42" s="1"/>
  <c r="P75" i="42"/>
  <c r="O75" i="42"/>
  <c r="Q75" i="42" s="1"/>
  <c r="R75" i="42" s="1"/>
  <c r="M75" i="42"/>
  <c r="L75" i="42"/>
  <c r="K75" i="42"/>
  <c r="J75" i="42"/>
  <c r="I75" i="42"/>
  <c r="AL74" i="42"/>
  <c r="AK74" i="42"/>
  <c r="AJ74" i="42"/>
  <c r="U74" i="42"/>
  <c r="AQ74" i="42" s="1"/>
  <c r="P74" i="42"/>
  <c r="O74" i="42"/>
  <c r="Q74" i="42" s="1"/>
  <c r="R74" i="42" s="1"/>
  <c r="M74" i="42"/>
  <c r="L74" i="42"/>
  <c r="K74" i="42"/>
  <c r="J74" i="42"/>
  <c r="I74" i="42"/>
  <c r="AL73" i="42"/>
  <c r="AK73" i="42"/>
  <c r="AJ73" i="42"/>
  <c r="U73" i="42"/>
  <c r="AQ73" i="42" s="1"/>
  <c r="P73" i="42"/>
  <c r="O73" i="42"/>
  <c r="Q73" i="42" s="1"/>
  <c r="R73" i="42" s="1"/>
  <c r="M73" i="42"/>
  <c r="L73" i="42"/>
  <c r="K73" i="42"/>
  <c r="J73" i="42"/>
  <c r="I73" i="42"/>
  <c r="AL72" i="42"/>
  <c r="AK72" i="42"/>
  <c r="AJ72" i="42"/>
  <c r="U72" i="42"/>
  <c r="AQ72" i="42" s="1"/>
  <c r="P72" i="42"/>
  <c r="O72" i="42"/>
  <c r="Q72" i="42" s="1"/>
  <c r="R72" i="42" s="1"/>
  <c r="L72" i="42"/>
  <c r="K72" i="42"/>
  <c r="J72" i="42"/>
  <c r="I72" i="42"/>
  <c r="AL71" i="42"/>
  <c r="AK71" i="42"/>
  <c r="AJ71" i="42"/>
  <c r="P71" i="42"/>
  <c r="O71" i="42"/>
  <c r="Q71" i="42" s="1"/>
  <c r="R71" i="42" s="1"/>
  <c r="M71" i="42"/>
  <c r="L71" i="42"/>
  <c r="K71" i="42"/>
  <c r="J71" i="42"/>
  <c r="I71" i="42"/>
  <c r="AL70" i="42"/>
  <c r="AK70" i="42"/>
  <c r="AJ70" i="42"/>
  <c r="P70" i="42"/>
  <c r="O70" i="42"/>
  <c r="Q70" i="42" s="1"/>
  <c r="R70" i="42" s="1"/>
  <c r="M70" i="42"/>
  <c r="L70" i="42"/>
  <c r="K70" i="42"/>
  <c r="J70" i="42"/>
  <c r="I70" i="42"/>
  <c r="AL69" i="42"/>
  <c r="AK69" i="42"/>
  <c r="AJ69" i="42"/>
  <c r="U69" i="42"/>
  <c r="AQ69" i="42" s="1"/>
  <c r="P69" i="42"/>
  <c r="O69" i="42"/>
  <c r="Q69" i="42" s="1"/>
  <c r="R69" i="42" s="1"/>
  <c r="M69" i="42"/>
  <c r="L69" i="42"/>
  <c r="K69" i="42"/>
  <c r="J69" i="42"/>
  <c r="I69" i="42"/>
  <c r="AL68" i="42"/>
  <c r="AK68" i="42"/>
  <c r="AJ68" i="42"/>
  <c r="U68" i="42"/>
  <c r="AQ68" i="42" s="1"/>
  <c r="P68" i="42"/>
  <c r="O68" i="42"/>
  <c r="Q68" i="42" s="1"/>
  <c r="R68" i="42" s="1"/>
  <c r="M68" i="42"/>
  <c r="L68" i="42"/>
  <c r="K68" i="42"/>
  <c r="J68" i="42"/>
  <c r="I68" i="42"/>
  <c r="AL67" i="42"/>
  <c r="AK67" i="42"/>
  <c r="AJ67" i="42"/>
  <c r="U67" i="42"/>
  <c r="AQ67" i="42" s="1"/>
  <c r="P67" i="42"/>
  <c r="O67" i="42"/>
  <c r="Q67" i="42" s="1"/>
  <c r="R67" i="42" s="1"/>
  <c r="M67" i="42"/>
  <c r="L67" i="42"/>
  <c r="K67" i="42"/>
  <c r="J67" i="42"/>
  <c r="I67" i="42"/>
  <c r="AL66" i="42"/>
  <c r="AK66" i="42"/>
  <c r="AJ66" i="42"/>
  <c r="U66" i="42"/>
  <c r="AQ66" i="42" s="1"/>
  <c r="P66" i="42"/>
  <c r="O66" i="42"/>
  <c r="Q66" i="42" s="1"/>
  <c r="R66" i="42" s="1"/>
  <c r="M66" i="42"/>
  <c r="L66" i="42"/>
  <c r="K66" i="42"/>
  <c r="J66" i="42"/>
  <c r="I66" i="42"/>
  <c r="AL65" i="42"/>
  <c r="AK65" i="42"/>
  <c r="AJ65" i="42"/>
  <c r="U65" i="42"/>
  <c r="AQ65" i="42" s="1"/>
  <c r="P65" i="42"/>
  <c r="O65" i="42"/>
  <c r="Q65" i="42" s="1"/>
  <c r="R65" i="42" s="1"/>
  <c r="M65" i="42"/>
  <c r="L65" i="42"/>
  <c r="K65" i="42"/>
  <c r="J65" i="42"/>
  <c r="I65" i="42"/>
  <c r="AL64" i="42"/>
  <c r="AK64" i="42"/>
  <c r="AJ64" i="42"/>
  <c r="U64" i="42"/>
  <c r="AQ64" i="42" s="1"/>
  <c r="P64" i="42"/>
  <c r="O64" i="42"/>
  <c r="Q64" i="42" s="1"/>
  <c r="R64" i="42" s="1"/>
  <c r="M64" i="42"/>
  <c r="L64" i="42"/>
  <c r="K64" i="42"/>
  <c r="J64" i="42"/>
  <c r="I64" i="42"/>
  <c r="AL63" i="42"/>
  <c r="AK63" i="42"/>
  <c r="AJ63" i="42"/>
  <c r="U63" i="42"/>
  <c r="AQ63" i="42" s="1"/>
  <c r="P63" i="42"/>
  <c r="O63" i="42"/>
  <c r="Q63" i="42" s="1"/>
  <c r="R63" i="42" s="1"/>
  <c r="M63" i="42"/>
  <c r="L63" i="42"/>
  <c r="K63" i="42"/>
  <c r="J63" i="42"/>
  <c r="I63" i="42"/>
  <c r="AL62" i="42"/>
  <c r="AK62" i="42"/>
  <c r="AJ62" i="42"/>
  <c r="U62" i="42"/>
  <c r="AQ62" i="42" s="1"/>
  <c r="P62" i="42"/>
  <c r="O62" i="42"/>
  <c r="Q62" i="42" s="1"/>
  <c r="R62" i="42" s="1"/>
  <c r="M62" i="42"/>
  <c r="L62" i="42"/>
  <c r="K62" i="42"/>
  <c r="J62" i="42"/>
  <c r="I62" i="42"/>
  <c r="AL61" i="42"/>
  <c r="AK61" i="42"/>
  <c r="AJ61" i="42"/>
  <c r="P61" i="42"/>
  <c r="O61" i="42"/>
  <c r="Q61" i="42" s="1"/>
  <c r="R61" i="42" s="1"/>
  <c r="L61" i="42"/>
  <c r="K61" i="42"/>
  <c r="J61" i="42"/>
  <c r="I61" i="42"/>
  <c r="AL60" i="42"/>
  <c r="AK60" i="42"/>
  <c r="AJ60" i="42"/>
  <c r="P60" i="42"/>
  <c r="O60" i="42"/>
  <c r="Q60" i="42" s="1"/>
  <c r="R60" i="42" s="1"/>
  <c r="M60" i="42"/>
  <c r="L60" i="42"/>
  <c r="K60" i="42"/>
  <c r="J60" i="42"/>
  <c r="I60" i="42"/>
  <c r="AL59" i="42"/>
  <c r="AK59" i="42"/>
  <c r="AJ59" i="42"/>
  <c r="P59" i="42"/>
  <c r="O59" i="42"/>
  <c r="Q59" i="42" s="1"/>
  <c r="R59" i="42" s="1"/>
  <c r="M59" i="42"/>
  <c r="L59" i="42"/>
  <c r="K59" i="42"/>
  <c r="J59" i="42"/>
  <c r="I59" i="42"/>
  <c r="AL58" i="42"/>
  <c r="AK58" i="42"/>
  <c r="AJ58" i="42"/>
  <c r="U58" i="42"/>
  <c r="AQ58" i="42" s="1"/>
  <c r="P58" i="42"/>
  <c r="O58" i="42"/>
  <c r="Q58" i="42" s="1"/>
  <c r="R58" i="42" s="1"/>
  <c r="M58" i="42"/>
  <c r="L58" i="42"/>
  <c r="K58" i="42"/>
  <c r="J58" i="42"/>
  <c r="I58" i="42"/>
  <c r="AL57" i="42"/>
  <c r="AK57" i="42"/>
  <c r="AJ57" i="42"/>
  <c r="U57" i="42"/>
  <c r="AQ57" i="42" s="1"/>
  <c r="P57" i="42"/>
  <c r="O57" i="42"/>
  <c r="Q57" i="42" s="1"/>
  <c r="R57" i="42" s="1"/>
  <c r="M57" i="42"/>
  <c r="L57" i="42"/>
  <c r="K57" i="42"/>
  <c r="J57" i="42"/>
  <c r="I57" i="42"/>
  <c r="AL56" i="42"/>
  <c r="AK56" i="42"/>
  <c r="AJ56" i="42"/>
  <c r="U56" i="42"/>
  <c r="AQ56" i="42" s="1"/>
  <c r="P56" i="42"/>
  <c r="O56" i="42"/>
  <c r="Q56" i="42" s="1"/>
  <c r="R56" i="42" s="1"/>
  <c r="M56" i="42"/>
  <c r="L56" i="42"/>
  <c r="K56" i="42"/>
  <c r="J56" i="42"/>
  <c r="I56" i="42"/>
  <c r="AL55" i="42"/>
  <c r="AK55" i="42"/>
  <c r="AJ55" i="42"/>
  <c r="U55" i="42"/>
  <c r="AQ55" i="42" s="1"/>
  <c r="P55" i="42"/>
  <c r="O55" i="42"/>
  <c r="Q55" i="42" s="1"/>
  <c r="R55" i="42" s="1"/>
  <c r="M55" i="42"/>
  <c r="L55" i="42"/>
  <c r="K55" i="42"/>
  <c r="J55" i="42"/>
  <c r="I55" i="42"/>
  <c r="AL54" i="42"/>
  <c r="AK54" i="42"/>
  <c r="AJ54" i="42"/>
  <c r="P54" i="42"/>
  <c r="O54" i="42"/>
  <c r="Q54" i="42" s="1"/>
  <c r="R54" i="42" s="1"/>
  <c r="M54" i="42"/>
  <c r="L54" i="42"/>
  <c r="K54" i="42"/>
  <c r="J54" i="42"/>
  <c r="I54" i="42"/>
  <c r="AL53" i="42"/>
  <c r="AK53" i="42"/>
  <c r="AJ53" i="42"/>
  <c r="U53" i="42"/>
  <c r="AQ53" i="42" s="1"/>
  <c r="P53" i="42"/>
  <c r="O53" i="42"/>
  <c r="Q53" i="42" s="1"/>
  <c r="R53" i="42" s="1"/>
  <c r="M53" i="42"/>
  <c r="L53" i="42"/>
  <c r="K53" i="42"/>
  <c r="J53" i="42"/>
  <c r="I53" i="42"/>
  <c r="AL52" i="42"/>
  <c r="AK52" i="42"/>
  <c r="AJ52" i="42"/>
  <c r="U52" i="42"/>
  <c r="AQ52" i="42" s="1"/>
  <c r="P52" i="42"/>
  <c r="O52" i="42"/>
  <c r="Q52" i="42" s="1"/>
  <c r="R52" i="42" s="1"/>
  <c r="M52" i="42"/>
  <c r="L52" i="42"/>
  <c r="K52" i="42"/>
  <c r="J52" i="42"/>
  <c r="I52" i="42"/>
  <c r="AL51" i="42"/>
  <c r="AK51" i="42"/>
  <c r="AJ51" i="42"/>
  <c r="U51" i="42"/>
  <c r="AQ51" i="42" s="1"/>
  <c r="P51" i="42"/>
  <c r="O51" i="42"/>
  <c r="Q51" i="42" s="1"/>
  <c r="R51" i="42" s="1"/>
  <c r="M51" i="42"/>
  <c r="L51" i="42"/>
  <c r="K51" i="42"/>
  <c r="J51" i="42"/>
  <c r="I51" i="42"/>
  <c r="AL50" i="42"/>
  <c r="AK50" i="42"/>
  <c r="AJ50" i="42"/>
  <c r="U50" i="42"/>
  <c r="AQ50" i="42" s="1"/>
  <c r="P50" i="42"/>
  <c r="O50" i="42"/>
  <c r="Q50" i="42" s="1"/>
  <c r="R50" i="42" s="1"/>
  <c r="M50" i="42"/>
  <c r="L50" i="42"/>
  <c r="K50" i="42"/>
  <c r="J50" i="42"/>
  <c r="I50" i="42"/>
  <c r="AL49" i="42"/>
  <c r="AK49" i="42"/>
  <c r="AJ49" i="42"/>
  <c r="P49" i="42"/>
  <c r="O49" i="42"/>
  <c r="Q49" i="42" s="1"/>
  <c r="R49" i="42" s="1"/>
  <c r="M49" i="42"/>
  <c r="L49" i="42"/>
  <c r="K49" i="42"/>
  <c r="J49" i="42"/>
  <c r="I49" i="42"/>
  <c r="AL48" i="42"/>
  <c r="AK48" i="42"/>
  <c r="AJ48" i="42"/>
  <c r="U48" i="42"/>
  <c r="AQ48" i="42" s="1"/>
  <c r="P48" i="42"/>
  <c r="O48" i="42"/>
  <c r="Q48" i="42" s="1"/>
  <c r="R48" i="42" s="1"/>
  <c r="M48" i="42"/>
  <c r="L48" i="42"/>
  <c r="K48" i="42"/>
  <c r="J48" i="42"/>
  <c r="I48" i="42"/>
  <c r="AL47" i="42"/>
  <c r="AK47" i="42"/>
  <c r="AJ47" i="42"/>
  <c r="U47" i="42"/>
  <c r="AQ47" i="42" s="1"/>
  <c r="P47" i="42"/>
  <c r="O47" i="42"/>
  <c r="Q47" i="42" s="1"/>
  <c r="R47" i="42" s="1"/>
  <c r="M47" i="42"/>
  <c r="L47" i="42"/>
  <c r="K47" i="42"/>
  <c r="J47" i="42"/>
  <c r="I47" i="42"/>
  <c r="AL46" i="42"/>
  <c r="AK46" i="42"/>
  <c r="AJ46" i="42"/>
  <c r="U46" i="42"/>
  <c r="AQ46" i="42" s="1"/>
  <c r="P46" i="42"/>
  <c r="O46" i="42"/>
  <c r="Q46" i="42" s="1"/>
  <c r="R46" i="42" s="1"/>
  <c r="M46" i="42"/>
  <c r="L46" i="42"/>
  <c r="K46" i="42"/>
  <c r="J46" i="42"/>
  <c r="I46" i="42"/>
  <c r="AL45" i="42"/>
  <c r="AK45" i="42"/>
  <c r="AJ45" i="42"/>
  <c r="U45" i="42"/>
  <c r="AQ45" i="42" s="1"/>
  <c r="P45" i="42"/>
  <c r="O45" i="42"/>
  <c r="Q45" i="42" s="1"/>
  <c r="R45" i="42" s="1"/>
  <c r="M45" i="42"/>
  <c r="L45" i="42"/>
  <c r="K45" i="42"/>
  <c r="J45" i="42"/>
  <c r="I45" i="42"/>
  <c r="AL44" i="42"/>
  <c r="AK44" i="42"/>
  <c r="AJ44" i="42"/>
  <c r="P44" i="42"/>
  <c r="O44" i="42"/>
  <c r="Q44" i="42" s="1"/>
  <c r="R44" i="42" s="1"/>
  <c r="M44" i="42"/>
  <c r="L44" i="42"/>
  <c r="K44" i="42"/>
  <c r="J44" i="42"/>
  <c r="I44" i="42"/>
  <c r="AL43" i="42"/>
  <c r="AK43" i="42"/>
  <c r="AJ43" i="42"/>
  <c r="P43" i="42"/>
  <c r="O43" i="42"/>
  <c r="Q43" i="42" s="1"/>
  <c r="R43" i="42" s="1"/>
  <c r="M43" i="42"/>
  <c r="L43" i="42"/>
  <c r="K43" i="42"/>
  <c r="J43" i="42"/>
  <c r="I43" i="42"/>
  <c r="AL42" i="42"/>
  <c r="AK42" i="42"/>
  <c r="AJ42" i="42"/>
  <c r="U42" i="42"/>
  <c r="AQ42" i="42" s="1"/>
  <c r="P42" i="42"/>
  <c r="O42" i="42"/>
  <c r="Q42" i="42" s="1"/>
  <c r="R42" i="42" s="1"/>
  <c r="M42" i="42"/>
  <c r="L42" i="42"/>
  <c r="K42" i="42"/>
  <c r="J42" i="42"/>
  <c r="I42" i="42"/>
  <c r="AL41" i="42"/>
  <c r="AK41" i="42"/>
  <c r="AJ41" i="42"/>
  <c r="U41" i="42"/>
  <c r="AQ41" i="42" s="1"/>
  <c r="P41" i="42"/>
  <c r="O41" i="42"/>
  <c r="Q41" i="42" s="1"/>
  <c r="R41" i="42" s="1"/>
  <c r="M41" i="42"/>
  <c r="L41" i="42"/>
  <c r="K41" i="42"/>
  <c r="J41" i="42"/>
  <c r="I41" i="42"/>
  <c r="AL40" i="42"/>
  <c r="AK40" i="42"/>
  <c r="AJ40" i="42"/>
  <c r="U40" i="42"/>
  <c r="AQ40" i="42" s="1"/>
  <c r="P40" i="42"/>
  <c r="O40" i="42"/>
  <c r="Q40" i="42" s="1"/>
  <c r="R40" i="42" s="1"/>
  <c r="M40" i="42"/>
  <c r="L40" i="42"/>
  <c r="K40" i="42"/>
  <c r="J40" i="42"/>
  <c r="I40" i="42"/>
  <c r="AL39" i="42"/>
  <c r="AK39" i="42"/>
  <c r="AJ39" i="42"/>
  <c r="U39" i="42"/>
  <c r="AQ39" i="42" s="1"/>
  <c r="P39" i="42"/>
  <c r="O39" i="42"/>
  <c r="Q39" i="42" s="1"/>
  <c r="R39" i="42" s="1"/>
  <c r="M39" i="42"/>
  <c r="L39" i="42"/>
  <c r="K39" i="42"/>
  <c r="J39" i="42"/>
  <c r="I39" i="42"/>
  <c r="AL38" i="42"/>
  <c r="AK38" i="42"/>
  <c r="AJ38" i="42"/>
  <c r="U38" i="42"/>
  <c r="AQ38" i="42" s="1"/>
  <c r="P38" i="42"/>
  <c r="O38" i="42"/>
  <c r="Q38" i="42" s="1"/>
  <c r="R38" i="42" s="1"/>
  <c r="M38" i="42"/>
  <c r="L38" i="42"/>
  <c r="K38" i="42"/>
  <c r="J38" i="42"/>
  <c r="I38" i="42"/>
  <c r="AL37" i="42"/>
  <c r="AK37" i="42"/>
  <c r="AJ37" i="42"/>
  <c r="P37" i="42"/>
  <c r="O37" i="42"/>
  <c r="Q37" i="42" s="1"/>
  <c r="R37" i="42" s="1"/>
  <c r="M37" i="42"/>
  <c r="L37" i="42"/>
  <c r="K37" i="42"/>
  <c r="J37" i="42"/>
  <c r="I37" i="42"/>
  <c r="AL36" i="42"/>
  <c r="AK36" i="42"/>
  <c r="AJ36" i="42"/>
  <c r="U36" i="42"/>
  <c r="AQ36" i="42" s="1"/>
  <c r="P36" i="42"/>
  <c r="O36" i="42"/>
  <c r="Q36" i="42" s="1"/>
  <c r="R36" i="42" s="1"/>
  <c r="M36" i="42"/>
  <c r="L36" i="42"/>
  <c r="K36" i="42"/>
  <c r="J36" i="42"/>
  <c r="I36" i="42"/>
  <c r="AL35" i="42"/>
  <c r="AK35" i="42"/>
  <c r="AJ35" i="42"/>
  <c r="U35" i="42"/>
  <c r="AQ35" i="42" s="1"/>
  <c r="P35" i="42"/>
  <c r="O35" i="42"/>
  <c r="Q35" i="42" s="1"/>
  <c r="R35" i="42" s="1"/>
  <c r="M35" i="42"/>
  <c r="L35" i="42"/>
  <c r="K35" i="42"/>
  <c r="J35" i="42"/>
  <c r="I35" i="42"/>
  <c r="AL34" i="42"/>
  <c r="AK34" i="42"/>
  <c r="AJ34" i="42"/>
  <c r="U34" i="42"/>
  <c r="AQ34" i="42" s="1"/>
  <c r="P34" i="42"/>
  <c r="O34" i="42"/>
  <c r="Q34" i="42" s="1"/>
  <c r="R34" i="42" s="1"/>
  <c r="M34" i="42"/>
  <c r="L34" i="42"/>
  <c r="K34" i="42"/>
  <c r="J34" i="42"/>
  <c r="I34" i="42"/>
  <c r="AL33" i="42"/>
  <c r="AK33" i="42"/>
  <c r="AJ33" i="42"/>
  <c r="U33" i="42"/>
  <c r="AQ33" i="42" s="1"/>
  <c r="P33" i="42"/>
  <c r="O33" i="42"/>
  <c r="Q33" i="42" s="1"/>
  <c r="R33" i="42" s="1"/>
  <c r="M33" i="42"/>
  <c r="L33" i="42"/>
  <c r="K33" i="42"/>
  <c r="J33" i="42"/>
  <c r="I33" i="42"/>
  <c r="AL32" i="42"/>
  <c r="AK32" i="42"/>
  <c r="AJ32" i="42"/>
  <c r="U32" i="42"/>
  <c r="AQ32" i="42" s="1"/>
  <c r="P32" i="42"/>
  <c r="O32" i="42"/>
  <c r="Q32" i="42" s="1"/>
  <c r="R32" i="42" s="1"/>
  <c r="M32" i="42"/>
  <c r="L32" i="42"/>
  <c r="K32" i="42"/>
  <c r="J32" i="42"/>
  <c r="I32" i="42"/>
  <c r="AL31" i="42"/>
  <c r="AK31" i="42"/>
  <c r="AJ31" i="42"/>
  <c r="U31" i="42"/>
  <c r="AQ31" i="42" s="1"/>
  <c r="P31" i="42"/>
  <c r="O31" i="42"/>
  <c r="Q31" i="42" s="1"/>
  <c r="R31" i="42" s="1"/>
  <c r="M31" i="42"/>
  <c r="L31" i="42"/>
  <c r="K31" i="42"/>
  <c r="J31" i="42"/>
  <c r="I31" i="42"/>
  <c r="AL30" i="42"/>
  <c r="AK30" i="42"/>
  <c r="AJ30" i="42"/>
  <c r="U30" i="42"/>
  <c r="AQ30" i="42" s="1"/>
  <c r="P30" i="42"/>
  <c r="O30" i="42"/>
  <c r="Q30" i="42" s="1"/>
  <c r="R30" i="42" s="1"/>
  <c r="M30" i="42"/>
  <c r="L30" i="42"/>
  <c r="K30" i="42"/>
  <c r="J30" i="42"/>
  <c r="I30" i="42"/>
  <c r="AL29" i="42"/>
  <c r="AK29" i="42"/>
  <c r="AJ29" i="42"/>
  <c r="U29" i="42"/>
  <c r="AQ29" i="42" s="1"/>
  <c r="P29" i="42"/>
  <c r="O29" i="42"/>
  <c r="Q29" i="42" s="1"/>
  <c r="R29" i="42" s="1"/>
  <c r="M29" i="42"/>
  <c r="L29" i="42"/>
  <c r="K29" i="42"/>
  <c r="J29" i="42"/>
  <c r="I29" i="42"/>
  <c r="AL28" i="42"/>
  <c r="AK28" i="42"/>
  <c r="AJ28" i="42"/>
  <c r="U28" i="42"/>
  <c r="AQ28" i="42" s="1"/>
  <c r="P28" i="42"/>
  <c r="O28" i="42"/>
  <c r="Q28" i="42" s="1"/>
  <c r="R28" i="42" s="1"/>
  <c r="M28" i="42"/>
  <c r="L28" i="42"/>
  <c r="K28" i="42"/>
  <c r="J28" i="42"/>
  <c r="I28" i="42"/>
  <c r="AL27" i="42"/>
  <c r="AK27" i="42"/>
  <c r="AJ27" i="42"/>
  <c r="U27" i="42"/>
  <c r="AQ27" i="42" s="1"/>
  <c r="P27" i="42"/>
  <c r="O27" i="42"/>
  <c r="Q27" i="42" s="1"/>
  <c r="R27" i="42" s="1"/>
  <c r="M27" i="42"/>
  <c r="L27" i="42"/>
  <c r="K27" i="42"/>
  <c r="J27" i="42"/>
  <c r="I27" i="42"/>
  <c r="AL26" i="42"/>
  <c r="AK26" i="42"/>
  <c r="AJ26" i="42"/>
  <c r="U26" i="42"/>
  <c r="AQ26" i="42" s="1"/>
  <c r="P26" i="42"/>
  <c r="O26" i="42"/>
  <c r="Q26" i="42" s="1"/>
  <c r="R26" i="42" s="1"/>
  <c r="M26" i="42"/>
  <c r="L26" i="42"/>
  <c r="K26" i="42"/>
  <c r="J26" i="42"/>
  <c r="I26" i="42"/>
  <c r="AL25" i="42"/>
  <c r="AK25" i="42"/>
  <c r="AJ25" i="42"/>
  <c r="U25" i="42"/>
  <c r="AQ25" i="42" s="1"/>
  <c r="P25" i="42"/>
  <c r="O25" i="42"/>
  <c r="Q25" i="42" s="1"/>
  <c r="R25" i="42" s="1"/>
  <c r="M25" i="42"/>
  <c r="L25" i="42"/>
  <c r="K25" i="42"/>
  <c r="J25" i="42"/>
  <c r="I25" i="42"/>
  <c r="AL24" i="42"/>
  <c r="AK24" i="42"/>
  <c r="AJ24" i="42"/>
  <c r="U24" i="42"/>
  <c r="AQ24" i="42" s="1"/>
  <c r="P24" i="42"/>
  <c r="O24" i="42"/>
  <c r="Q24" i="42" s="1"/>
  <c r="R24" i="42" s="1"/>
  <c r="L24" i="42"/>
  <c r="K24" i="42"/>
  <c r="J24" i="42"/>
  <c r="I24" i="42"/>
  <c r="AL23" i="42"/>
  <c r="AK23" i="42"/>
  <c r="AJ23" i="42"/>
  <c r="U23" i="42"/>
  <c r="AQ23" i="42" s="1"/>
  <c r="P23" i="42"/>
  <c r="O23" i="42"/>
  <c r="Q23" i="42" s="1"/>
  <c r="R23" i="42" s="1"/>
  <c r="M23" i="42"/>
  <c r="L23" i="42"/>
  <c r="K23" i="42"/>
  <c r="J23" i="42"/>
  <c r="I23" i="42"/>
  <c r="AL22" i="42"/>
  <c r="AK22" i="42"/>
  <c r="AJ22" i="42"/>
  <c r="U22" i="42"/>
  <c r="AQ22" i="42" s="1"/>
  <c r="P22" i="42"/>
  <c r="O22" i="42"/>
  <c r="Q22" i="42" s="1"/>
  <c r="R22" i="42" s="1"/>
  <c r="M22" i="42"/>
  <c r="L22" i="42"/>
  <c r="K22" i="42"/>
  <c r="J22" i="42"/>
  <c r="I22" i="42"/>
  <c r="AL21" i="42"/>
  <c r="AK21" i="42"/>
  <c r="AJ21" i="42"/>
  <c r="U21" i="42"/>
  <c r="AQ21" i="42" s="1"/>
  <c r="P21" i="42"/>
  <c r="O21" i="42"/>
  <c r="Q21" i="42" s="1"/>
  <c r="R21" i="42" s="1"/>
  <c r="M21" i="42"/>
  <c r="L21" i="42"/>
  <c r="K21" i="42"/>
  <c r="J21" i="42"/>
  <c r="I21" i="42"/>
  <c r="AL20" i="42"/>
  <c r="AK20" i="42"/>
  <c r="AJ20" i="42"/>
  <c r="U20" i="42"/>
  <c r="AQ20" i="42" s="1"/>
  <c r="P20" i="42"/>
  <c r="O20" i="42"/>
  <c r="Q20" i="42" s="1"/>
  <c r="R20" i="42" s="1"/>
  <c r="M20" i="42"/>
  <c r="L20" i="42"/>
  <c r="K20" i="42"/>
  <c r="J20" i="42"/>
  <c r="I20" i="42"/>
  <c r="AL19" i="42"/>
  <c r="AK19" i="42"/>
  <c r="AJ19" i="42"/>
  <c r="U19" i="42"/>
  <c r="AQ19" i="42" s="1"/>
  <c r="P19" i="42"/>
  <c r="O19" i="42"/>
  <c r="Q19" i="42" s="1"/>
  <c r="R19" i="42" s="1"/>
  <c r="M19" i="42"/>
  <c r="L19" i="42"/>
  <c r="K19" i="42"/>
  <c r="J19" i="42"/>
  <c r="I19" i="42"/>
  <c r="AL18" i="42"/>
  <c r="AK18" i="42"/>
  <c r="AJ18" i="42"/>
  <c r="U18" i="42"/>
  <c r="AQ18" i="42" s="1"/>
  <c r="P18" i="42"/>
  <c r="O18" i="42"/>
  <c r="Q18" i="42" s="1"/>
  <c r="R18" i="42" s="1"/>
  <c r="M18" i="42"/>
  <c r="L18" i="42"/>
  <c r="K18" i="42"/>
  <c r="J18" i="42"/>
  <c r="I18" i="42"/>
  <c r="AL17" i="42"/>
  <c r="AK17" i="42"/>
  <c r="AJ17" i="42"/>
  <c r="U17" i="42"/>
  <c r="AQ17" i="42" s="1"/>
  <c r="P17" i="42"/>
  <c r="O17" i="42"/>
  <c r="Q17" i="42" s="1"/>
  <c r="R17" i="42" s="1"/>
  <c r="M17" i="42"/>
  <c r="L17" i="42"/>
  <c r="K17" i="42"/>
  <c r="J17" i="42"/>
  <c r="I17" i="42"/>
  <c r="AL16" i="42"/>
  <c r="AK16" i="42"/>
  <c r="AJ16" i="42"/>
  <c r="U16" i="42"/>
  <c r="AQ16" i="42" s="1"/>
  <c r="P16" i="42"/>
  <c r="O16" i="42"/>
  <c r="Q16" i="42" s="1"/>
  <c r="R16" i="42" s="1"/>
  <c r="M16" i="42"/>
  <c r="L16" i="42"/>
  <c r="K16" i="42"/>
  <c r="J16" i="42"/>
  <c r="I16" i="42"/>
  <c r="AL15" i="42"/>
  <c r="AK15" i="42"/>
  <c r="AJ15" i="42"/>
  <c r="U15" i="42"/>
  <c r="AQ15" i="42" s="1"/>
  <c r="P15" i="42"/>
  <c r="O15" i="42"/>
  <c r="Q15" i="42" s="1"/>
  <c r="R15" i="42" s="1"/>
  <c r="M15" i="42"/>
  <c r="L15" i="42"/>
  <c r="K15" i="42"/>
  <c r="J15" i="42"/>
  <c r="I15" i="42"/>
  <c r="AL14" i="42"/>
  <c r="AK14" i="42"/>
  <c r="AJ14" i="42"/>
  <c r="U14" i="42"/>
  <c r="AQ14" i="42" s="1"/>
  <c r="P14" i="42"/>
  <c r="O14" i="42"/>
  <c r="Q14" i="42" s="1"/>
  <c r="R14" i="42" s="1"/>
  <c r="M14" i="42"/>
  <c r="L14" i="42"/>
  <c r="K14" i="42"/>
  <c r="J14" i="42"/>
  <c r="I14" i="42"/>
  <c r="AL13" i="42"/>
  <c r="AK13" i="42"/>
  <c r="AJ13" i="42"/>
  <c r="U13" i="42"/>
  <c r="AQ13" i="42" s="1"/>
  <c r="P13" i="42"/>
  <c r="O13" i="42"/>
  <c r="Q13" i="42" s="1"/>
  <c r="R13" i="42" s="1"/>
  <c r="M13" i="42"/>
  <c r="L13" i="42"/>
  <c r="K13" i="42"/>
  <c r="J13" i="42"/>
  <c r="I13" i="42"/>
  <c r="AL12" i="42"/>
  <c r="AK12" i="42"/>
  <c r="AJ12" i="42"/>
  <c r="U12" i="42"/>
  <c r="AQ12" i="42" s="1"/>
  <c r="P12" i="42"/>
  <c r="O12" i="42"/>
  <c r="Q12" i="42" s="1"/>
  <c r="R12" i="42" s="1"/>
  <c r="M12" i="42"/>
  <c r="L12" i="42"/>
  <c r="K12" i="42"/>
  <c r="J12" i="42"/>
  <c r="I12" i="42"/>
  <c r="AL11" i="42"/>
  <c r="AK11" i="42"/>
  <c r="AJ11" i="42"/>
  <c r="U11" i="42"/>
  <c r="AQ11" i="42" s="1"/>
  <c r="P11" i="42"/>
  <c r="O11" i="42"/>
  <c r="Q11" i="42" s="1"/>
  <c r="R11" i="42" s="1"/>
  <c r="M11" i="42"/>
  <c r="L11" i="42"/>
  <c r="K11" i="42"/>
  <c r="J11" i="42"/>
  <c r="I11" i="42"/>
  <c r="AL10" i="42"/>
  <c r="AK10" i="42"/>
  <c r="AJ10" i="42"/>
  <c r="U10" i="42"/>
  <c r="AQ10" i="42" s="1"/>
  <c r="P10" i="42"/>
  <c r="O10" i="42"/>
  <c r="Q10" i="42" s="1"/>
  <c r="R10" i="42" s="1"/>
  <c r="M10" i="42"/>
  <c r="L10" i="42"/>
  <c r="K10" i="42"/>
  <c r="J10" i="42"/>
  <c r="I10" i="42"/>
  <c r="AL9" i="42"/>
  <c r="AK9" i="42"/>
  <c r="AJ9" i="42"/>
  <c r="U9" i="42"/>
  <c r="AQ9" i="42" s="1"/>
  <c r="P9" i="42"/>
  <c r="O9" i="42"/>
  <c r="Q9" i="42" s="1"/>
  <c r="R9" i="42" s="1"/>
  <c r="M9" i="42"/>
  <c r="L9" i="42"/>
  <c r="K9" i="42"/>
  <c r="J9" i="42"/>
  <c r="I9" i="42"/>
  <c r="AL8" i="42"/>
  <c r="AK8" i="42"/>
  <c r="AJ8" i="42"/>
  <c r="U8" i="42"/>
  <c r="AQ8" i="42" s="1"/>
  <c r="P8" i="42"/>
  <c r="O8" i="42"/>
  <c r="Q8" i="42" s="1"/>
  <c r="R8" i="42" s="1"/>
  <c r="M8" i="42"/>
  <c r="L8" i="42"/>
  <c r="K8" i="42"/>
  <c r="J8" i="42"/>
  <c r="I8" i="42"/>
  <c r="AL7" i="42"/>
  <c r="AK7" i="42"/>
  <c r="AJ7" i="42"/>
  <c r="U7" i="42"/>
  <c r="AQ7" i="42" s="1"/>
  <c r="P7" i="42"/>
  <c r="O7" i="42"/>
  <c r="Q7" i="42" s="1"/>
  <c r="R7" i="42" s="1"/>
  <c r="M7" i="42"/>
  <c r="L7" i="42"/>
  <c r="K7" i="42"/>
  <c r="J7" i="42"/>
  <c r="I7" i="42"/>
  <c r="AL6" i="42"/>
  <c r="AK6" i="42"/>
  <c r="AJ6" i="42"/>
  <c r="U6" i="42"/>
  <c r="AQ6" i="42" s="1"/>
  <c r="P6" i="42"/>
  <c r="O6" i="42"/>
  <c r="Q6" i="42" s="1"/>
  <c r="R6" i="42" s="1"/>
  <c r="M6" i="42"/>
  <c r="L6" i="42"/>
  <c r="K6" i="42"/>
  <c r="J6" i="42"/>
  <c r="I6" i="42"/>
  <c r="AL5" i="42"/>
  <c r="AK5" i="42"/>
  <c r="AJ5" i="42"/>
  <c r="P5" i="42"/>
  <c r="O5" i="42"/>
  <c r="Q5" i="42" s="1"/>
  <c r="R5" i="42" s="1"/>
  <c r="M5" i="42"/>
  <c r="L5" i="42"/>
  <c r="K5" i="42"/>
  <c r="J5" i="42"/>
  <c r="I5" i="42"/>
  <c r="AL4" i="42"/>
  <c r="AK4" i="42"/>
  <c r="AJ4" i="42"/>
  <c r="U4" i="42"/>
  <c r="AQ4" i="42" s="1"/>
  <c r="P4" i="42"/>
  <c r="O4" i="42"/>
  <c r="Q4" i="42" s="1"/>
  <c r="R4" i="42" s="1"/>
  <c r="M4" i="42"/>
  <c r="L4" i="42"/>
  <c r="K4" i="42"/>
  <c r="J4" i="42"/>
  <c r="I4" i="42"/>
  <c r="AL3" i="42"/>
  <c r="AK3" i="42"/>
  <c r="AJ3" i="42"/>
  <c r="U3" i="42"/>
  <c r="AQ3" i="42" s="1"/>
  <c r="P3" i="42"/>
  <c r="O3" i="42"/>
  <c r="Q3" i="42" s="1"/>
  <c r="R3" i="42" s="1"/>
  <c r="M3" i="42"/>
  <c r="L3" i="42"/>
  <c r="K3" i="42"/>
  <c r="J3" i="42"/>
  <c r="I3" i="42"/>
  <c r="AS2" i="42" a="1"/>
  <c r="AL2" i="42"/>
  <c r="AK2" i="42"/>
  <c r="AJ2" i="42"/>
  <c r="U2" i="42"/>
  <c r="P2" i="42"/>
  <c r="O2" i="42"/>
  <c r="M2" i="42"/>
  <c r="L2" i="42"/>
  <c r="K2" i="42"/>
  <c r="J2" i="42"/>
  <c r="I2" i="42"/>
  <c r="N238" i="42" l="1"/>
  <c r="N48" i="42"/>
  <c r="N33" i="42"/>
  <c r="N36" i="42"/>
  <c r="N212" i="42"/>
  <c r="AJ223" i="42" s="1"/>
  <c r="N28" i="42"/>
  <c r="N241" i="42"/>
  <c r="N80" i="42"/>
  <c r="AE127" i="42"/>
  <c r="N84" i="42"/>
  <c r="AE106" i="42"/>
  <c r="N85" i="42"/>
  <c r="AE296" i="42"/>
  <c r="N204" i="42"/>
  <c r="AE95" i="42"/>
  <c r="AE132" i="42"/>
  <c r="AE239" i="42"/>
  <c r="N93" i="42"/>
  <c r="AE275" i="42"/>
  <c r="N32" i="42"/>
  <c r="N37" i="42"/>
  <c r="N40" i="42"/>
  <c r="N281" i="42"/>
  <c r="N97" i="42"/>
  <c r="N44" i="42"/>
  <c r="N275" i="42"/>
  <c r="AE104" i="42"/>
  <c r="N214" i="42"/>
  <c r="N21" i="42"/>
  <c r="N208" i="42"/>
  <c r="N25" i="42"/>
  <c r="N14" i="42"/>
  <c r="N41" i="42"/>
  <c r="N177" i="42"/>
  <c r="N228" i="42"/>
  <c r="N109" i="42"/>
  <c r="N81" i="42"/>
  <c r="AE71" i="42"/>
  <c r="AE36" i="42"/>
  <c r="N10" i="42"/>
  <c r="N242" i="42"/>
  <c r="AE48" i="42"/>
  <c r="N145" i="42"/>
  <c r="AE167" i="42"/>
  <c r="AE265" i="42"/>
  <c r="AE40" i="42"/>
  <c r="N125" i="42"/>
  <c r="N224" i="42"/>
  <c r="AE303" i="42"/>
  <c r="N236" i="42"/>
  <c r="AE99" i="42"/>
  <c r="AE159" i="42"/>
  <c r="AE228" i="42"/>
  <c r="N218" i="42"/>
  <c r="AE93" i="42"/>
  <c r="N29" i="42"/>
  <c r="N45" i="42"/>
  <c r="N185" i="42"/>
  <c r="N52" i="42"/>
  <c r="N117" i="42"/>
  <c r="N279" i="42"/>
  <c r="AE300" i="42"/>
  <c r="N49" i="42"/>
  <c r="N6" i="42"/>
  <c r="AE147" i="42"/>
  <c r="AE178" i="42"/>
  <c r="J304" i="42"/>
  <c r="N3" i="42"/>
  <c r="N57" i="42"/>
  <c r="AE200" i="42"/>
  <c r="N273" i="42"/>
  <c r="AT57" i="42"/>
  <c r="L304" i="42"/>
  <c r="N73" i="42"/>
  <c r="N129" i="42"/>
  <c r="N133" i="42"/>
  <c r="N202" i="42"/>
  <c r="AE224" i="42"/>
  <c r="AE229" i="42"/>
  <c r="AE231" i="42"/>
  <c r="AE233" i="42"/>
  <c r="AE236" i="42"/>
  <c r="N240" i="42"/>
  <c r="N248" i="42"/>
  <c r="N264" i="42"/>
  <c r="AE268" i="42"/>
  <c r="N268" i="42"/>
  <c r="AE27" i="42"/>
  <c r="AE6" i="42"/>
  <c r="AE16" i="42"/>
  <c r="AE31" i="42"/>
  <c r="AE35" i="42"/>
  <c r="AE52" i="42"/>
  <c r="N9" i="42"/>
  <c r="AE19" i="42"/>
  <c r="AE41" i="42"/>
  <c r="AE43" i="42"/>
  <c r="AE44" i="42"/>
  <c r="AE45" i="42"/>
  <c r="AE47" i="42"/>
  <c r="AE54" i="42"/>
  <c r="AE62" i="42"/>
  <c r="AE67" i="42"/>
  <c r="AE70" i="42"/>
  <c r="N76" i="42"/>
  <c r="AE92" i="42"/>
  <c r="N101" i="42"/>
  <c r="AE108" i="42"/>
  <c r="AE111" i="42"/>
  <c r="AE119" i="42"/>
  <c r="AE135" i="42"/>
  <c r="N141" i="42"/>
  <c r="N149" i="42"/>
  <c r="AE155" i="42"/>
  <c r="AE163" i="42"/>
  <c r="AE182" i="42"/>
  <c r="AE185" i="42"/>
  <c r="N206" i="42"/>
  <c r="AE209" i="42"/>
  <c r="AE238" i="42"/>
  <c r="N267" i="42"/>
  <c r="N269" i="42"/>
  <c r="AE273" i="42"/>
  <c r="AE277" i="42"/>
  <c r="N277" i="42"/>
  <c r="AE279" i="42"/>
  <c r="N283" i="42"/>
  <c r="AE289" i="42"/>
  <c r="AE293" i="42"/>
  <c r="AE297" i="42"/>
  <c r="N11" i="42"/>
  <c r="AE14" i="42"/>
  <c r="N18" i="42"/>
  <c r="AE32" i="42"/>
  <c r="AE33" i="42"/>
  <c r="N56" i="42"/>
  <c r="AE58" i="42"/>
  <c r="N77" i="42"/>
  <c r="AE86" i="42"/>
  <c r="AE88" i="42"/>
  <c r="AE90" i="42"/>
  <c r="N113" i="42"/>
  <c r="AE117" i="42"/>
  <c r="AE125" i="42"/>
  <c r="N137" i="42"/>
  <c r="AE145" i="42"/>
  <c r="AE177" i="42"/>
  <c r="AE179" i="42"/>
  <c r="AE184" i="42"/>
  <c r="AE188" i="42"/>
  <c r="N193" i="42"/>
  <c r="AE205" i="42"/>
  <c r="AE208" i="42"/>
  <c r="N210" i="42"/>
  <c r="AE218" i="42"/>
  <c r="N220" i="42"/>
  <c r="N222" i="42"/>
  <c r="AE235" i="42"/>
  <c r="AE23" i="42"/>
  <c r="AE39" i="42"/>
  <c r="AE49" i="42"/>
  <c r="N53" i="42"/>
  <c r="N60" i="42"/>
  <c r="AE75" i="42"/>
  <c r="AE79" i="42"/>
  <c r="AE83" i="42"/>
  <c r="AE116" i="42"/>
  <c r="AE124" i="42"/>
  <c r="AE140" i="42"/>
  <c r="AE144" i="42"/>
  <c r="AE152" i="42"/>
  <c r="AE153" i="42"/>
  <c r="AE162" i="42"/>
  <c r="AE171" i="42"/>
  <c r="AE187" i="42"/>
  <c r="N189" i="42"/>
  <c r="AE204" i="42"/>
  <c r="AE212" i="42"/>
  <c r="AE214" i="42"/>
  <c r="N216" i="42"/>
  <c r="N232" i="42"/>
  <c r="N303" i="42"/>
  <c r="AE9" i="42"/>
  <c r="N16" i="42"/>
  <c r="N19" i="42"/>
  <c r="N54" i="42"/>
  <c r="N58" i="42"/>
  <c r="N62" i="42"/>
  <c r="N64" i="42"/>
  <c r="N67" i="42"/>
  <c r="N70" i="42"/>
  <c r="N75" i="42"/>
  <c r="AE3" i="42"/>
  <c r="AE5" i="42"/>
  <c r="N5" i="42"/>
  <c r="AE12" i="42"/>
  <c r="AE15" i="42"/>
  <c r="N15" i="42"/>
  <c r="AE18" i="42"/>
  <c r="AE51" i="42"/>
  <c r="AE56" i="42"/>
  <c r="AE60" i="42"/>
  <c r="N69" i="42"/>
  <c r="N71" i="42"/>
  <c r="N79" i="42"/>
  <c r="N83" i="42"/>
  <c r="N90" i="42"/>
  <c r="N105" i="42"/>
  <c r="AE8" i="42"/>
  <c r="N17" i="42"/>
  <c r="N22" i="42"/>
  <c r="AE26" i="42"/>
  <c r="N26" i="42"/>
  <c r="AE30" i="42"/>
  <c r="N30" i="42"/>
  <c r="AE55" i="42"/>
  <c r="AE59" i="42"/>
  <c r="N59" i="42"/>
  <c r="AE63" i="42"/>
  <c r="N63" i="42"/>
  <c r="AE66" i="42"/>
  <c r="N66" i="42"/>
  <c r="N68" i="42"/>
  <c r="AE11" i="42"/>
  <c r="AE17" i="42"/>
  <c r="K304" i="42"/>
  <c r="AE4" i="42"/>
  <c r="AE7" i="42"/>
  <c r="N7" i="42"/>
  <c r="AE10" i="42"/>
  <c r="AE13" i="42"/>
  <c r="N13" i="42"/>
  <c r="AE20" i="42"/>
  <c r="N20" i="42"/>
  <c r="AE21" i="42"/>
  <c r="AE25" i="42"/>
  <c r="AE28" i="42"/>
  <c r="AE29" i="42"/>
  <c r="AE34" i="42"/>
  <c r="N34" i="42"/>
  <c r="AE38" i="42"/>
  <c r="N38" i="42"/>
  <c r="AE42" i="42"/>
  <c r="N42" i="42"/>
  <c r="AE46" i="42"/>
  <c r="N46" i="42"/>
  <c r="AE50" i="42"/>
  <c r="N50" i="42"/>
  <c r="N65" i="42"/>
  <c r="N89" i="42"/>
  <c r="N99" i="42"/>
  <c r="N106" i="42"/>
  <c r="N111" i="42"/>
  <c r="N135" i="42"/>
  <c r="N142" i="42"/>
  <c r="N173" i="42"/>
  <c r="N178" i="42"/>
  <c r="N188" i="42"/>
  <c r="AJ187" i="42" s="1"/>
  <c r="N197" i="42"/>
  <c r="N86" i="42"/>
  <c r="AE89" i="42"/>
  <c r="N95" i="42"/>
  <c r="N102" i="42"/>
  <c r="AE105" i="42"/>
  <c r="N119" i="42"/>
  <c r="N122" i="42"/>
  <c r="N127" i="42"/>
  <c r="N130" i="42"/>
  <c r="N138" i="42"/>
  <c r="AE141" i="42"/>
  <c r="N147" i="42"/>
  <c r="AJ152" i="42" s="1"/>
  <c r="N152" i="42"/>
  <c r="AJ147" i="42" s="1"/>
  <c r="N153" i="42"/>
  <c r="N155" i="42"/>
  <c r="N162" i="42"/>
  <c r="AE164" i="42"/>
  <c r="N164" i="42"/>
  <c r="AE165" i="42"/>
  <c r="N165" i="42"/>
  <c r="AE166" i="42"/>
  <c r="N166" i="42"/>
  <c r="N200" i="42"/>
  <c r="AE202" i="42"/>
  <c r="N209" i="42"/>
  <c r="AE74" i="42"/>
  <c r="N74" i="42"/>
  <c r="AE77" i="42"/>
  <c r="AE78" i="42"/>
  <c r="N78" i="42"/>
  <c r="AE82" i="42"/>
  <c r="N82" i="42"/>
  <c r="AE85" i="42"/>
  <c r="AE91" i="42"/>
  <c r="N91" i="42"/>
  <c r="N98" i="42"/>
  <c r="AE100" i="42"/>
  <c r="AE101" i="42"/>
  <c r="AE107" i="42"/>
  <c r="N107" i="42"/>
  <c r="N110" i="42"/>
  <c r="AE113" i="42"/>
  <c r="AE129" i="42"/>
  <c r="N134" i="42"/>
  <c r="AE137" i="42"/>
  <c r="AE143" i="42"/>
  <c r="N143" i="42"/>
  <c r="AE150" i="42"/>
  <c r="N150" i="42"/>
  <c r="AE156" i="42"/>
  <c r="N156" i="42"/>
  <c r="AE160" i="42"/>
  <c r="AE170" i="42"/>
  <c r="N170" i="42"/>
  <c r="N182" i="42"/>
  <c r="N226" i="42"/>
  <c r="N229" i="42"/>
  <c r="N257" i="42"/>
  <c r="AE64" i="42"/>
  <c r="AE65" i="42"/>
  <c r="AE68" i="42"/>
  <c r="AE69" i="42"/>
  <c r="AE73" i="42"/>
  <c r="AE76" i="42"/>
  <c r="AE80" i="42"/>
  <c r="AE81" i="42"/>
  <c r="AE84" i="42"/>
  <c r="AE87" i="42"/>
  <c r="N94" i="42"/>
  <c r="AE96" i="42"/>
  <c r="AE97" i="42"/>
  <c r="AE103" i="42"/>
  <c r="N103" i="42"/>
  <c r="AE109" i="42"/>
  <c r="AE115" i="42"/>
  <c r="N115" i="42"/>
  <c r="N118" i="42"/>
  <c r="AE120" i="42"/>
  <c r="AE123" i="42"/>
  <c r="N123" i="42"/>
  <c r="AE126" i="42"/>
  <c r="N126" i="42"/>
  <c r="AE128" i="42"/>
  <c r="AE131" i="42"/>
  <c r="N131" i="42"/>
  <c r="AJ190" i="42" s="1"/>
  <c r="AE133" i="42"/>
  <c r="AE139" i="42"/>
  <c r="N139" i="42"/>
  <c r="N146" i="42"/>
  <c r="AE148" i="42"/>
  <c r="N148" i="42"/>
  <c r="AE149" i="42"/>
  <c r="AE154" i="42"/>
  <c r="N154" i="42"/>
  <c r="AE158" i="42"/>
  <c r="N158" i="42"/>
  <c r="AE161" i="42"/>
  <c r="N184" i="42"/>
  <c r="N231" i="42"/>
  <c r="N235" i="42"/>
  <c r="AE180" i="42"/>
  <c r="N180" i="42"/>
  <c r="AE183" i="42"/>
  <c r="AE186" i="42"/>
  <c r="N186" i="42"/>
  <c r="AE203" i="42"/>
  <c r="AE207" i="42"/>
  <c r="N207" i="42"/>
  <c r="AE211" i="42"/>
  <c r="N211" i="42"/>
  <c r="AE227" i="42"/>
  <c r="N227" i="42"/>
  <c r="N230" i="42"/>
  <c r="N234" i="42"/>
  <c r="N249" i="42"/>
  <c r="N254" i="42"/>
  <c r="AE151" i="42"/>
  <c r="N151" i="42"/>
  <c r="AE157" i="42"/>
  <c r="N157" i="42"/>
  <c r="AE168" i="42"/>
  <c r="N168" i="42"/>
  <c r="AE169" i="42"/>
  <c r="N169" i="42"/>
  <c r="AJ178" i="42" s="1"/>
  <c r="AE174" i="42"/>
  <c r="N174" i="42"/>
  <c r="AE176" i="42"/>
  <c r="N176" i="42"/>
  <c r="AJ115" i="42" s="1"/>
  <c r="AE189" i="42"/>
  <c r="AE192" i="42"/>
  <c r="N192" i="42"/>
  <c r="AE193" i="42"/>
  <c r="AE195" i="42"/>
  <c r="AE206" i="42"/>
  <c r="AE210" i="42"/>
  <c r="AE215" i="42"/>
  <c r="N215" i="42"/>
  <c r="AE216" i="42"/>
  <c r="AE219" i="42"/>
  <c r="N219" i="42"/>
  <c r="AE220" i="42"/>
  <c r="AE222" i="42"/>
  <c r="AE225" i="42"/>
  <c r="N225" i="42"/>
  <c r="AE232" i="42"/>
  <c r="N250" i="42"/>
  <c r="N261" i="42"/>
  <c r="N262" i="42"/>
  <c r="AE172" i="42"/>
  <c r="N172" i="42"/>
  <c r="AE173" i="42"/>
  <c r="AE175" i="42"/>
  <c r="AE190" i="42"/>
  <c r="N190" i="42"/>
  <c r="AE191" i="42"/>
  <c r="AE194" i="42"/>
  <c r="N194" i="42"/>
  <c r="AE196" i="42"/>
  <c r="N196" i="42"/>
  <c r="AE197" i="42"/>
  <c r="AE199" i="42"/>
  <c r="AE213" i="42"/>
  <c r="N213" i="42"/>
  <c r="AE217" i="42"/>
  <c r="N217" i="42"/>
  <c r="AE223" i="42"/>
  <c r="N223" i="42"/>
  <c r="AJ212" i="42" s="1"/>
  <c r="N233" i="42"/>
  <c r="N246" i="42"/>
  <c r="N253" i="42"/>
  <c r="N258" i="42"/>
  <c r="AE240" i="42"/>
  <c r="AE242" i="42"/>
  <c r="AE244" i="42"/>
  <c r="N244" i="42"/>
  <c r="AE251" i="42"/>
  <c r="N251" i="42"/>
  <c r="AE255" i="42"/>
  <c r="N255" i="42"/>
  <c r="AE259" i="42"/>
  <c r="N259" i="42"/>
  <c r="AE263" i="42"/>
  <c r="N263" i="42"/>
  <c r="AE272" i="42"/>
  <c r="N272" i="42"/>
  <c r="AE280" i="42"/>
  <c r="AE281" i="42"/>
  <c r="AE284" i="42"/>
  <c r="AE285" i="42"/>
  <c r="N285" i="42"/>
  <c r="AE290" i="42"/>
  <c r="AE294" i="42"/>
  <c r="AE298" i="42"/>
  <c r="AE301" i="42"/>
  <c r="AE221" i="42"/>
  <c r="N221" i="42"/>
  <c r="AE226" i="42"/>
  <c r="AE230" i="42"/>
  <c r="AE234" i="42"/>
  <c r="AE245" i="42"/>
  <c r="N245" i="42"/>
  <c r="AE249" i="42"/>
  <c r="AE252" i="42"/>
  <c r="AE253" i="42"/>
  <c r="AE256" i="42"/>
  <c r="AE257" i="42"/>
  <c r="AE260" i="42"/>
  <c r="AE261" i="42"/>
  <c r="N265" i="42"/>
  <c r="AE269" i="42"/>
  <c r="AE271" i="42"/>
  <c r="N271" i="42"/>
  <c r="AE274" i="42"/>
  <c r="AE283" i="42"/>
  <c r="AE288" i="42"/>
  <c r="AE292" i="42"/>
  <c r="AE237" i="42"/>
  <c r="N237" i="42"/>
  <c r="AE241" i="42"/>
  <c r="AE246" i="42"/>
  <c r="AE248" i="42"/>
  <c r="AE264" i="42"/>
  <c r="AE267" i="42"/>
  <c r="AE276" i="42"/>
  <c r="N282" i="42"/>
  <c r="AE286" i="42"/>
  <c r="AE287" i="42"/>
  <c r="N287" i="42"/>
  <c r="AE291" i="42"/>
  <c r="AE295" i="42"/>
  <c r="AE299" i="42"/>
  <c r="O304" i="42"/>
  <c r="P304" i="42"/>
  <c r="AT3" i="42"/>
  <c r="AT7" i="42"/>
  <c r="AT11" i="42"/>
  <c r="AT15" i="42"/>
  <c r="AT21" i="42"/>
  <c r="AT22" i="42"/>
  <c r="AT33" i="42"/>
  <c r="N35" i="42"/>
  <c r="N51" i="42"/>
  <c r="Q2" i="42"/>
  <c r="AT10" i="42"/>
  <c r="AT18" i="42"/>
  <c r="AT20" i="42"/>
  <c r="AE22" i="42"/>
  <c r="N23" i="42"/>
  <c r="N39" i="42"/>
  <c r="AT53" i="42"/>
  <c r="N55" i="42"/>
  <c r="AS2" i="42"/>
  <c r="AT2" i="42" s="1"/>
  <c r="N2" i="42"/>
  <c r="AE2" i="42"/>
  <c r="AQ2" i="42"/>
  <c r="AT88" i="42" s="1"/>
  <c r="N4" i="42"/>
  <c r="N8" i="42"/>
  <c r="AT9" i="42"/>
  <c r="N12" i="42"/>
  <c r="AT17" i="42"/>
  <c r="N27" i="42"/>
  <c r="AE37" i="42"/>
  <c r="N43" i="42"/>
  <c r="AE53" i="42"/>
  <c r="AT226" i="42"/>
  <c r="AT222" i="42"/>
  <c r="AT218" i="42"/>
  <c r="AT198" i="42"/>
  <c r="AT211" i="42"/>
  <c r="AT207" i="42"/>
  <c r="AT232" i="42"/>
  <c r="AT228" i="42"/>
  <c r="AT212" i="42"/>
  <c r="AT233" i="42"/>
  <c r="AT225" i="42"/>
  <c r="AT209" i="42"/>
  <c r="AT205" i="42"/>
  <c r="AT199" i="42"/>
  <c r="AT192" i="42"/>
  <c r="AT184" i="42"/>
  <c r="AT180" i="42"/>
  <c r="AT172" i="42"/>
  <c r="AT168" i="42"/>
  <c r="AT164" i="42"/>
  <c r="AT197" i="42"/>
  <c r="AT185" i="42"/>
  <c r="AT173" i="42"/>
  <c r="AT169" i="42"/>
  <c r="AT201" i="42"/>
  <c r="AT186" i="42"/>
  <c r="AT182" i="42"/>
  <c r="AT178" i="42"/>
  <c r="AT174" i="42"/>
  <c r="AT170" i="42"/>
  <c r="AT195" i="42"/>
  <c r="AT187" i="42"/>
  <c r="AT183" i="42"/>
  <c r="AT179" i="42"/>
  <c r="AT175" i="42"/>
  <c r="AT171" i="42"/>
  <c r="AT167" i="42"/>
  <c r="AT155" i="42"/>
  <c r="AT151" i="42"/>
  <c r="AT139" i="42"/>
  <c r="AT135" i="42"/>
  <c r="AT131" i="42"/>
  <c r="AT127" i="42"/>
  <c r="AT123" i="42"/>
  <c r="AT119" i="42"/>
  <c r="AT115" i="42"/>
  <c r="AT111" i="42"/>
  <c r="AT107" i="42"/>
  <c r="AT99" i="42"/>
  <c r="AT95" i="42"/>
  <c r="AT91" i="42"/>
  <c r="AT87" i="42"/>
  <c r="AT136" i="42"/>
  <c r="AT132" i="42"/>
  <c r="AT128" i="42"/>
  <c r="AT124" i="42"/>
  <c r="AT120" i="42"/>
  <c r="AT116" i="42"/>
  <c r="AT112" i="42"/>
  <c r="AT108" i="42"/>
  <c r="AT104" i="42"/>
  <c r="AT100" i="42"/>
  <c r="AT96" i="42"/>
  <c r="AT153" i="42"/>
  <c r="AT141" i="42"/>
  <c r="AT133" i="42"/>
  <c r="AT129" i="42"/>
  <c r="AT125" i="42"/>
  <c r="AT121" i="42"/>
  <c r="AT117" i="42"/>
  <c r="AT113" i="42"/>
  <c r="AT109" i="42"/>
  <c r="AT105" i="42"/>
  <c r="AT101" i="42"/>
  <c r="AT97" i="42"/>
  <c r="AT93" i="42"/>
  <c r="AT89" i="42"/>
  <c r="AT160" i="42"/>
  <c r="AT159" i="42"/>
  <c r="AT154" i="42"/>
  <c r="AT150" i="42"/>
  <c r="AT130" i="42"/>
  <c r="AT122" i="42"/>
  <c r="AT84" i="42"/>
  <c r="AT76" i="42"/>
  <c r="AT72" i="42"/>
  <c r="AT68" i="42"/>
  <c r="AT64" i="42"/>
  <c r="AT60" i="42"/>
  <c r="AT56" i="42"/>
  <c r="AT52" i="42"/>
  <c r="AT48" i="42"/>
  <c r="AT44" i="42"/>
  <c r="AT32" i="42"/>
  <c r="AT28" i="42"/>
  <c r="AT24" i="42"/>
  <c r="AT110" i="42"/>
  <c r="AT98" i="42"/>
  <c r="AT81" i="42"/>
  <c r="AT77" i="42"/>
  <c r="AT73" i="42"/>
  <c r="AT69" i="42"/>
  <c r="AT65" i="42"/>
  <c r="AT61" i="42"/>
  <c r="AT126" i="42"/>
  <c r="AT114" i="42"/>
  <c r="AT102" i="42"/>
  <c r="AT82" i="42"/>
  <c r="AT78" i="42"/>
  <c r="AT74" i="42"/>
  <c r="AT70" i="42"/>
  <c r="AT66" i="42"/>
  <c r="AT62" i="42"/>
  <c r="AT58" i="42"/>
  <c r="AT54" i="42"/>
  <c r="AT50" i="42"/>
  <c r="AT46" i="42"/>
  <c r="AT42" i="42"/>
  <c r="AT38" i="42"/>
  <c r="AT34" i="42"/>
  <c r="AT30" i="42"/>
  <c r="AT26" i="42"/>
  <c r="AT118" i="42"/>
  <c r="AT106" i="42"/>
  <c r="AT86" i="42"/>
  <c r="AT85" i="42"/>
  <c r="AT83" i="42"/>
  <c r="AT79" i="42"/>
  <c r="AT75" i="42"/>
  <c r="AT71" i="42"/>
  <c r="AT67" i="42"/>
  <c r="AT63" i="42"/>
  <c r="AT59" i="42"/>
  <c r="AT55" i="42"/>
  <c r="AT43" i="42"/>
  <c r="AT39" i="42"/>
  <c r="AT35" i="42"/>
  <c r="AT31" i="42"/>
  <c r="AT27" i="42"/>
  <c r="AT23" i="42"/>
  <c r="AT19" i="42"/>
  <c r="AT4" i="42"/>
  <c r="AT8" i="42"/>
  <c r="AT12" i="42"/>
  <c r="AT16" i="42"/>
  <c r="AT29" i="42"/>
  <c r="N31" i="42"/>
  <c r="AT45" i="42"/>
  <c r="N47" i="42"/>
  <c r="AE57" i="42"/>
  <c r="N108" i="42"/>
  <c r="N120" i="42"/>
  <c r="AE122" i="42"/>
  <c r="AE130" i="42"/>
  <c r="N144" i="42"/>
  <c r="AE146" i="42"/>
  <c r="N87" i="42"/>
  <c r="N104" i="42"/>
  <c r="N116" i="42"/>
  <c r="AE118" i="42"/>
  <c r="N128" i="42"/>
  <c r="N140" i="42"/>
  <c r="AE142" i="42"/>
  <c r="N88" i="42"/>
  <c r="N100" i="42"/>
  <c r="AE102" i="42"/>
  <c r="AE138" i="42"/>
  <c r="N92" i="42"/>
  <c r="AE94" i="42"/>
  <c r="N96" i="42"/>
  <c r="AE98" i="42"/>
  <c r="AE110" i="42"/>
  <c r="N124" i="42"/>
  <c r="N132" i="42"/>
  <c r="AE134" i="42"/>
  <c r="N160" i="42"/>
  <c r="N159" i="42"/>
  <c r="AK168" i="42"/>
  <c r="N161" i="42"/>
  <c r="N199" i="42"/>
  <c r="N203" i="42"/>
  <c r="N205" i="42"/>
  <c r="N163" i="42"/>
  <c r="N167" i="42"/>
  <c r="N171" i="42"/>
  <c r="N175" i="42"/>
  <c r="N179" i="42"/>
  <c r="N183" i="42"/>
  <c r="N187" i="42"/>
  <c r="N191" i="42"/>
  <c r="N195" i="42"/>
  <c r="AE201" i="42"/>
  <c r="N201" i="42"/>
  <c r="N239" i="42"/>
  <c r="N252" i="42"/>
  <c r="N260" i="42"/>
  <c r="AE254" i="42"/>
  <c r="AE262" i="42"/>
  <c r="AE247" i="42"/>
  <c r="N247" i="42"/>
  <c r="N256" i="42"/>
  <c r="AE243" i="42"/>
  <c r="N243" i="42"/>
  <c r="AE250" i="42"/>
  <c r="AE258" i="42"/>
  <c r="AE266" i="42"/>
  <c r="N266" i="42"/>
  <c r="N284" i="42"/>
  <c r="N276" i="42"/>
  <c r="N286" i="42"/>
  <c r="N274" i="42"/>
  <c r="N280" i="42"/>
  <c r="AE282" i="42"/>
  <c r="N288" i="42"/>
  <c r="N289" i="42"/>
  <c r="N290" i="42"/>
  <c r="N291" i="42"/>
  <c r="N292" i="42"/>
  <c r="N293" i="42"/>
  <c r="N294" i="42"/>
  <c r="N295" i="42"/>
  <c r="N296" i="42"/>
  <c r="N297" i="42"/>
  <c r="N298" i="42"/>
  <c r="N299" i="42"/>
  <c r="N300" i="42"/>
  <c r="AE270" i="42"/>
  <c r="N270" i="42"/>
  <c r="AE278" i="42"/>
  <c r="N278" i="42"/>
  <c r="N301" i="42"/>
  <c r="AJ168" i="42" l="1"/>
  <c r="R2" i="42"/>
  <c r="J909" i="4" l="1"/>
  <c r="J900" i="4"/>
  <c r="J901" i="4"/>
  <c r="J902" i="4"/>
  <c r="J903" i="4"/>
  <c r="J904" i="4"/>
  <c r="J905" i="4"/>
  <c r="J906" i="4"/>
  <c r="C6226" i="30" l="1"/>
  <c r="C6227" i="30"/>
  <c r="C6228" i="30"/>
  <c r="C6229" i="30"/>
  <c r="C6230" i="30"/>
  <c r="C6231" i="30"/>
  <c r="C6232" i="30"/>
  <c r="C6233" i="30"/>
  <c r="C6234" i="30"/>
  <c r="C6235" i="30"/>
  <c r="C6236" i="30"/>
  <c r="C6237" i="30"/>
  <c r="C6238" i="30"/>
  <c r="C6239" i="30"/>
  <c r="C6240" i="30"/>
  <c r="C6241" i="30"/>
  <c r="C6242" i="30"/>
  <c r="C6243" i="30"/>
  <c r="C6244" i="30"/>
  <c r="C6245" i="30"/>
  <c r="C6246" i="30"/>
  <c r="C6247" i="30"/>
  <c r="C6248" i="30"/>
  <c r="C6249" i="30"/>
  <c r="C6250" i="30"/>
  <c r="C6251" i="30"/>
  <c r="C6252" i="30"/>
  <c r="C6253" i="30"/>
  <c r="C6254" i="30"/>
  <c r="C6255" i="30"/>
  <c r="C6256" i="30"/>
  <c r="C6257" i="30"/>
  <c r="C6258" i="30"/>
  <c r="C6259" i="30"/>
  <c r="C6260" i="30"/>
  <c r="C6261" i="30"/>
  <c r="C6203" i="30" l="1"/>
  <c r="C6204" i="30"/>
  <c r="C6205" i="30"/>
  <c r="C6206" i="30"/>
  <c r="C6207" i="30"/>
  <c r="C6208" i="30"/>
  <c r="C6209" i="30"/>
  <c r="C6210" i="30"/>
  <c r="C6211" i="30"/>
  <c r="C6212" i="30"/>
  <c r="C6213" i="30"/>
  <c r="C6214" i="30"/>
  <c r="C6215" i="30"/>
  <c r="C6216" i="30"/>
  <c r="C6217" i="30"/>
  <c r="C6218" i="30"/>
  <c r="C6219" i="30"/>
  <c r="C6220" i="30"/>
  <c r="C6221" i="30"/>
  <c r="C6222" i="30"/>
  <c r="C6223" i="30"/>
  <c r="C6224" i="30"/>
  <c r="C6225" i="30"/>
  <c r="C6185" i="30"/>
  <c r="C6186" i="30"/>
  <c r="C6187" i="30"/>
  <c r="C6188" i="30"/>
  <c r="C6189" i="30"/>
  <c r="C6190" i="30"/>
  <c r="C6191" i="30"/>
  <c r="C6192" i="30"/>
  <c r="C6193" i="30"/>
  <c r="C6194" i="30"/>
  <c r="C6195" i="30"/>
  <c r="C6196" i="30"/>
  <c r="C6197" i="30"/>
  <c r="C6198" i="30"/>
  <c r="C6199" i="30"/>
  <c r="C6200" i="30"/>
  <c r="C6201" i="30"/>
  <c r="C6202" i="30"/>
  <c r="C6177" i="30" l="1"/>
  <c r="C6178" i="30"/>
  <c r="C6179" i="30"/>
  <c r="C6180" i="30"/>
  <c r="C6181" i="30"/>
  <c r="C6182" i="30"/>
  <c r="C6183" i="30"/>
  <c r="C6184" i="30"/>
  <c r="C6176" i="30"/>
  <c r="C6122" i="30" l="1"/>
  <c r="C6013" i="30"/>
  <c r="C6014" i="30"/>
  <c r="C6029" i="30"/>
  <c r="C6030" i="30"/>
  <c r="C6167" i="30"/>
  <c r="C6168" i="30"/>
  <c r="C6169" i="30"/>
  <c r="C6170" i="30"/>
  <c r="C6171" i="30"/>
  <c r="C6162" i="30"/>
  <c r="C6163" i="30"/>
  <c r="C6164" i="30"/>
  <c r="C6165" i="30"/>
  <c r="C6166" i="30"/>
  <c r="C6172" i="30"/>
  <c r="C6173" i="30"/>
  <c r="C6174" i="30"/>
  <c r="C6175" i="30"/>
  <c r="C6092" i="30"/>
  <c r="C6091" i="30"/>
  <c r="C6090" i="30"/>
  <c r="C6134" i="30" l="1"/>
  <c r="C6135" i="30"/>
  <c r="C6136" i="30"/>
  <c r="C6137" i="30"/>
  <c r="C6138" i="30"/>
  <c r="C6139" i="30"/>
  <c r="C6140" i="30"/>
  <c r="C6141" i="30"/>
  <c r="C6142" i="30"/>
  <c r="C6143" i="30"/>
  <c r="C6144" i="30"/>
  <c r="C6145" i="30"/>
  <c r="C6146" i="30"/>
  <c r="C6147" i="30"/>
  <c r="C6148" i="30"/>
  <c r="C6149" i="30"/>
  <c r="C6150" i="30"/>
  <c r="C6151" i="30"/>
  <c r="C6152" i="30"/>
  <c r="C6153" i="30"/>
  <c r="G2" i="26"/>
  <c r="G3" i="26"/>
  <c r="G12" i="26"/>
  <c r="G13" i="26"/>
  <c r="G14" i="26"/>
  <c r="G15" i="26"/>
  <c r="G16" i="26"/>
  <c r="G17" i="26"/>
  <c r="G18" i="26"/>
  <c r="G19" i="26"/>
  <c r="G20" i="26"/>
  <c r="G21" i="26"/>
  <c r="G22" i="26"/>
  <c r="C6132" i="30" l="1"/>
  <c r="C6133" i="30"/>
  <c r="C6130" i="30"/>
  <c r="C6131" i="30"/>
  <c r="C6129" i="30"/>
  <c r="C6126" i="30"/>
  <c r="C6127" i="30"/>
  <c r="C6128" i="30"/>
  <c r="C6161" i="30"/>
  <c r="C6124" i="30"/>
  <c r="C6089" i="30"/>
  <c r="C6088" i="30"/>
  <c r="C6121" i="30"/>
  <c r="U301" i="42"/>
  <c r="C6103" i="30"/>
  <c r="C6104" i="30"/>
  <c r="C6105" i="30"/>
  <c r="C6106" i="30"/>
  <c r="C6107" i="30"/>
  <c r="C6108" i="30"/>
  <c r="C6109" i="30"/>
  <c r="C6110" i="30"/>
  <c r="C6111" i="30"/>
  <c r="C6112" i="30"/>
  <c r="C6113" i="30"/>
  <c r="C6114" i="30"/>
  <c r="C6115" i="30"/>
  <c r="C6116" i="30"/>
  <c r="C6117" i="30"/>
  <c r="C6118" i="30"/>
  <c r="C6119" i="30"/>
  <c r="C6120" i="30"/>
  <c r="C6100" i="30"/>
  <c r="C6101" i="30"/>
  <c r="C6102" i="30"/>
  <c r="C6093" i="30"/>
  <c r="C6094" i="30"/>
  <c r="C6095" i="30"/>
  <c r="C6096" i="30"/>
  <c r="C6097" i="30"/>
  <c r="C6098" i="30"/>
  <c r="C6099" i="30"/>
  <c r="C6156" i="30"/>
  <c r="C6157" i="30"/>
  <c r="C6158" i="30"/>
  <c r="C6159" i="30"/>
  <c r="C6160" i="30"/>
  <c r="J894" i="4" l="1"/>
  <c r="J895" i="4"/>
  <c r="J896" i="4"/>
  <c r="J897" i="4"/>
  <c r="J898" i="4"/>
  <c r="J899" i="4"/>
  <c r="I3" i="41"/>
  <c r="I4" i="41"/>
  <c r="I5" i="41"/>
  <c r="I6" i="41"/>
  <c r="I7" i="41"/>
  <c r="I8" i="41"/>
  <c r="I9" i="41"/>
  <c r="I10" i="41"/>
  <c r="I11" i="41"/>
  <c r="I12" i="41"/>
  <c r="I13" i="41"/>
  <c r="I14" i="41"/>
  <c r="I15" i="41"/>
  <c r="I16" i="41"/>
  <c r="I17" i="41"/>
  <c r="I18" i="41"/>
  <c r="I19" i="41"/>
  <c r="I20" i="41"/>
  <c r="I21" i="41"/>
  <c r="I22" i="41"/>
  <c r="I23" i="41"/>
  <c r="I24" i="41"/>
  <c r="I25" i="41"/>
  <c r="I26" i="41"/>
  <c r="I27" i="41"/>
  <c r="I28" i="41"/>
  <c r="I29" i="41"/>
  <c r="I30" i="41"/>
  <c r="I31" i="41"/>
  <c r="I32" i="41"/>
  <c r="I33" i="41"/>
  <c r="I2" i="41"/>
  <c r="K3" i="41"/>
  <c r="K4" i="41"/>
  <c r="K5" i="41"/>
  <c r="K6" i="41"/>
  <c r="K7" i="41"/>
  <c r="K8" i="41"/>
  <c r="K9" i="41"/>
  <c r="K10" i="41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K32" i="41"/>
  <c r="K33" i="41"/>
  <c r="K2" i="41"/>
  <c r="M2" i="41" l="1" a="1"/>
  <c r="M2" i="41" s="1"/>
  <c r="X561" i="4"/>
  <c r="X562" i="4"/>
  <c r="X563" i="4"/>
  <c r="X564" i="4"/>
  <c r="X565" i="4"/>
  <c r="X566" i="4"/>
  <c r="X567" i="4"/>
  <c r="X568" i="4"/>
  <c r="AC561" i="4"/>
  <c r="AD561" i="4" s="1"/>
  <c r="AC562" i="4"/>
  <c r="AD562" i="4" s="1"/>
  <c r="AC563" i="4"/>
  <c r="AD563" i="4" s="1"/>
  <c r="AC564" i="4"/>
  <c r="AD564" i="4" s="1"/>
  <c r="AC565" i="4"/>
  <c r="AD565" i="4" s="1"/>
  <c r="AC566" i="4"/>
  <c r="AD566" i="4" s="1"/>
  <c r="AC567" i="4"/>
  <c r="AD567" i="4" s="1"/>
  <c r="AC568" i="4"/>
  <c r="AD568" i="4" s="1"/>
  <c r="C6078" i="30"/>
  <c r="C6079" i="30"/>
  <c r="C6080" i="30"/>
  <c r="C6081" i="30"/>
  <c r="C6082" i="30"/>
  <c r="C6083" i="30"/>
  <c r="C6084" i="30"/>
  <c r="C6085" i="30"/>
  <c r="C6086" i="30"/>
  <c r="C6087" i="30"/>
  <c r="C6074" i="30"/>
  <c r="C6075" i="30"/>
  <c r="C6076" i="30"/>
  <c r="C6077" i="30"/>
  <c r="C6067" i="30"/>
  <c r="C6068" i="30"/>
  <c r="C6069" i="30"/>
  <c r="C6070" i="30"/>
  <c r="C6071" i="30"/>
  <c r="C6072" i="30"/>
  <c r="C6073" i="30"/>
  <c r="C6059" i="30"/>
  <c r="C6060" i="30"/>
  <c r="C6061" i="30"/>
  <c r="C6062" i="30"/>
  <c r="C6063" i="30"/>
  <c r="C6064" i="30"/>
  <c r="C6065" i="30"/>
  <c r="C6066" i="30"/>
  <c r="I734" i="29"/>
  <c r="J734" i="29" s="1"/>
  <c r="I735" i="29"/>
  <c r="J735" i="29" s="1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C6058" i="30"/>
  <c r="C6057" i="30"/>
  <c r="C6056" i="30"/>
  <c r="I733" i="29"/>
  <c r="J733" i="29" s="1"/>
  <c r="U300" i="42" s="1"/>
  <c r="I726" i="29"/>
  <c r="J726" i="29" s="1"/>
  <c r="I727" i="29"/>
  <c r="J727" i="29" s="1"/>
  <c r="I728" i="29"/>
  <c r="J728" i="29" s="1"/>
  <c r="I729" i="29"/>
  <c r="J729" i="29" s="1"/>
  <c r="I730" i="29"/>
  <c r="J730" i="29" s="1"/>
  <c r="I731" i="29"/>
  <c r="J731" i="29" s="1"/>
  <c r="I732" i="29"/>
  <c r="J732" i="29" s="1"/>
  <c r="C6054" i="30"/>
  <c r="C6155" i="30"/>
  <c r="C6046" i="30"/>
  <c r="C6047" i="30"/>
  <c r="C6048" i="30"/>
  <c r="C6049" i="30"/>
  <c r="C6050" i="30"/>
  <c r="C6051" i="30"/>
  <c r="C6052" i="30"/>
  <c r="C6053" i="30"/>
  <c r="C6045" i="30"/>
  <c r="C6044" i="30"/>
  <c r="C6041" i="30"/>
  <c r="C6042" i="30"/>
  <c r="C6043" i="30"/>
  <c r="C6040" i="30"/>
  <c r="C6039" i="30" l="1"/>
  <c r="C6038" i="30"/>
  <c r="C2" i="30"/>
  <c r="C3" i="30"/>
  <c r="C4" i="30"/>
  <c r="C5" i="30"/>
  <c r="C6" i="30"/>
  <c r="C7" i="30"/>
  <c r="C8" i="30"/>
  <c r="C9" i="30"/>
  <c r="C10" i="30"/>
  <c r="C11" i="30"/>
  <c r="C12" i="30"/>
  <c r="C13" i="30"/>
  <c r="C14" i="30"/>
  <c r="C15" i="30"/>
  <c r="C16" i="30"/>
  <c r="C17" i="30"/>
  <c r="C18" i="30"/>
  <c r="C19" i="30"/>
  <c r="C20" i="30"/>
  <c r="C21" i="30"/>
  <c r="C22" i="30"/>
  <c r="C23" i="30"/>
  <c r="C24" i="30"/>
  <c r="C25" i="30"/>
  <c r="C26" i="30"/>
  <c r="C27" i="30"/>
  <c r="C28" i="30"/>
  <c r="C29" i="30"/>
  <c r="C30" i="30"/>
  <c r="C31" i="30"/>
  <c r="C32" i="30"/>
  <c r="C33" i="30"/>
  <c r="C34" i="30"/>
  <c r="C35" i="30"/>
  <c r="C36" i="30"/>
  <c r="C37" i="30"/>
  <c r="C38" i="30"/>
  <c r="C39" i="30"/>
  <c r="C40" i="30"/>
  <c r="C41" i="30"/>
  <c r="C42" i="30"/>
  <c r="C43" i="30"/>
  <c r="C44" i="30"/>
  <c r="C45" i="30"/>
  <c r="C46" i="30"/>
  <c r="C47" i="30"/>
  <c r="C48" i="30"/>
  <c r="C49" i="30"/>
  <c r="C50" i="30"/>
  <c r="C51" i="30"/>
  <c r="C52" i="30"/>
  <c r="C53" i="30"/>
  <c r="C54" i="30"/>
  <c r="C55" i="30"/>
  <c r="C56" i="30"/>
  <c r="C57" i="30"/>
  <c r="C58" i="30"/>
  <c r="C59" i="30"/>
  <c r="C60" i="30"/>
  <c r="C61" i="30"/>
  <c r="C62" i="30"/>
  <c r="C63" i="30"/>
  <c r="C64" i="30"/>
  <c r="C65" i="30"/>
  <c r="C66" i="30"/>
  <c r="C67" i="30"/>
  <c r="C68" i="30"/>
  <c r="C69" i="30"/>
  <c r="C70" i="30"/>
  <c r="C71" i="30"/>
  <c r="C72" i="30"/>
  <c r="C73" i="30"/>
  <c r="C74" i="30"/>
  <c r="C75" i="30"/>
  <c r="C76" i="30"/>
  <c r="C77" i="30"/>
  <c r="C78" i="30"/>
  <c r="C79" i="30"/>
  <c r="C80" i="30"/>
  <c r="C81" i="30"/>
  <c r="C82" i="30"/>
  <c r="C83" i="30"/>
  <c r="C84" i="30"/>
  <c r="C85" i="30"/>
  <c r="C86" i="30"/>
  <c r="C87" i="30"/>
  <c r="C88" i="30"/>
  <c r="C89" i="30"/>
  <c r="C90" i="30"/>
  <c r="C91" i="30"/>
  <c r="C92" i="30"/>
  <c r="C93" i="30"/>
  <c r="C94" i="30"/>
  <c r="C95" i="30"/>
  <c r="C96" i="30"/>
  <c r="C97" i="30"/>
  <c r="C98" i="30"/>
  <c r="C99" i="30"/>
  <c r="C100" i="30"/>
  <c r="C101" i="30"/>
  <c r="C102" i="30"/>
  <c r="C103" i="30"/>
  <c r="C104" i="30"/>
  <c r="C105" i="30"/>
  <c r="C106" i="30"/>
  <c r="C107" i="30"/>
  <c r="C108" i="30"/>
  <c r="C109" i="30"/>
  <c r="C110" i="30"/>
  <c r="C111" i="30"/>
  <c r="C112" i="30"/>
  <c r="C113" i="30"/>
  <c r="C114" i="30"/>
  <c r="C115" i="30"/>
  <c r="C116" i="30"/>
  <c r="C117" i="30"/>
  <c r="C118" i="30"/>
  <c r="C119" i="30"/>
  <c r="C120" i="30"/>
  <c r="C121" i="30"/>
  <c r="C122" i="30"/>
  <c r="C123" i="30"/>
  <c r="C124" i="30"/>
  <c r="C125" i="30"/>
  <c r="C126" i="30"/>
  <c r="C127" i="30"/>
  <c r="C128" i="30"/>
  <c r="C129" i="30"/>
  <c r="C130" i="30"/>
  <c r="C131" i="30"/>
  <c r="C132" i="30"/>
  <c r="C133" i="30"/>
  <c r="C134" i="30"/>
  <c r="C135" i="30"/>
  <c r="C136" i="30"/>
  <c r="C137" i="30"/>
  <c r="C138" i="30"/>
  <c r="C139" i="30"/>
  <c r="C140" i="30"/>
  <c r="C141" i="30"/>
  <c r="C142" i="30"/>
  <c r="C143" i="30"/>
  <c r="C144" i="30"/>
  <c r="C145" i="30"/>
  <c r="C146" i="30"/>
  <c r="C147" i="30"/>
  <c r="C148" i="30"/>
  <c r="C149" i="30"/>
  <c r="C150" i="30"/>
  <c r="C151" i="30"/>
  <c r="C152" i="30"/>
  <c r="C153" i="30"/>
  <c r="C154" i="30"/>
  <c r="C155" i="30"/>
  <c r="C156" i="30"/>
  <c r="C157" i="30"/>
  <c r="C158" i="30"/>
  <c r="C159" i="30"/>
  <c r="C160" i="30"/>
  <c r="C161" i="30"/>
  <c r="C162" i="30"/>
  <c r="C163" i="30"/>
  <c r="C164" i="30"/>
  <c r="C165" i="30"/>
  <c r="C166" i="30"/>
  <c r="C167" i="30"/>
  <c r="C168" i="30"/>
  <c r="C169" i="30"/>
  <c r="C170" i="30"/>
  <c r="C171" i="30"/>
  <c r="C172" i="30"/>
  <c r="C173" i="30"/>
  <c r="C174" i="30"/>
  <c r="C175" i="30"/>
  <c r="C176" i="30"/>
  <c r="C177" i="30"/>
  <c r="C178" i="30"/>
  <c r="C179" i="30"/>
  <c r="C180" i="30"/>
  <c r="C181" i="30"/>
  <c r="C182" i="30"/>
  <c r="C183" i="30"/>
  <c r="C184" i="30"/>
  <c r="C185" i="30"/>
  <c r="C186" i="30"/>
  <c r="C187" i="30"/>
  <c r="C188" i="30"/>
  <c r="C189" i="30"/>
  <c r="C190" i="30"/>
  <c r="C191" i="30"/>
  <c r="C192" i="30"/>
  <c r="C193" i="30"/>
  <c r="C194" i="30"/>
  <c r="C195" i="30"/>
  <c r="C196" i="30"/>
  <c r="C197" i="30"/>
  <c r="C198" i="30"/>
  <c r="C199" i="30"/>
  <c r="C200" i="30"/>
  <c r="C201" i="30"/>
  <c r="C202" i="30"/>
  <c r="C203" i="30"/>
  <c r="C204" i="30"/>
  <c r="C205" i="30"/>
  <c r="C206" i="30"/>
  <c r="C207" i="30"/>
  <c r="C208" i="30"/>
  <c r="C209" i="30"/>
  <c r="C210" i="30"/>
  <c r="C211" i="30"/>
  <c r="C212" i="30"/>
  <c r="C213" i="30"/>
  <c r="C214" i="30"/>
  <c r="C215" i="30"/>
  <c r="C216" i="30"/>
  <c r="C217" i="30"/>
  <c r="C218" i="30"/>
  <c r="C219" i="30"/>
  <c r="C220" i="30"/>
  <c r="C221" i="30"/>
  <c r="C222" i="30"/>
  <c r="C223" i="30"/>
  <c r="C224" i="30"/>
  <c r="C225" i="30"/>
  <c r="C226" i="30"/>
  <c r="C227" i="30"/>
  <c r="C228" i="30"/>
  <c r="C229" i="30"/>
  <c r="C230" i="30"/>
  <c r="C231" i="30"/>
  <c r="C232" i="30"/>
  <c r="C233" i="30"/>
  <c r="C234" i="30"/>
  <c r="C235" i="30"/>
  <c r="C236" i="30"/>
  <c r="C237" i="30"/>
  <c r="C238" i="30"/>
  <c r="C239" i="30"/>
  <c r="C240" i="30"/>
  <c r="C241" i="30"/>
  <c r="C242" i="30"/>
  <c r="C243" i="30"/>
  <c r="C244" i="30"/>
  <c r="C245" i="30"/>
  <c r="C246" i="30"/>
  <c r="C247" i="30"/>
  <c r="C248" i="30"/>
  <c r="C249" i="30"/>
  <c r="C250" i="30"/>
  <c r="C251" i="30"/>
  <c r="C252" i="30"/>
  <c r="C253" i="30"/>
  <c r="C254" i="30"/>
  <c r="C255" i="30"/>
  <c r="C256" i="30"/>
  <c r="C257" i="30"/>
  <c r="C258" i="30"/>
  <c r="C259" i="30"/>
  <c r="C260" i="30"/>
  <c r="C261" i="30"/>
  <c r="C262" i="30"/>
  <c r="C263" i="30"/>
  <c r="C264" i="30"/>
  <c r="C265" i="30"/>
  <c r="C266" i="30"/>
  <c r="C267" i="30"/>
  <c r="C268" i="30"/>
  <c r="C269" i="30"/>
  <c r="C270" i="30"/>
  <c r="C271" i="30"/>
  <c r="C272" i="30"/>
  <c r="C273" i="30"/>
  <c r="C274" i="30"/>
  <c r="C275" i="30"/>
  <c r="C276" i="30"/>
  <c r="C277" i="30"/>
  <c r="C278" i="30"/>
  <c r="C279" i="30"/>
  <c r="C280" i="30"/>
  <c r="C281" i="30"/>
  <c r="C282" i="30"/>
  <c r="C283" i="30"/>
  <c r="C284" i="30"/>
  <c r="C285" i="30"/>
  <c r="C286" i="30"/>
  <c r="C287" i="30"/>
  <c r="C288" i="30"/>
  <c r="C289" i="30"/>
  <c r="C290" i="30"/>
  <c r="C291" i="30"/>
  <c r="C292" i="30"/>
  <c r="C293" i="30"/>
  <c r="C294" i="30"/>
  <c r="C295" i="30"/>
  <c r="C296" i="30"/>
  <c r="C297" i="30"/>
  <c r="C298" i="30"/>
  <c r="C299" i="30"/>
  <c r="C300" i="30"/>
  <c r="C301" i="30"/>
  <c r="C302" i="30"/>
  <c r="C303" i="30"/>
  <c r="C304" i="30"/>
  <c r="C305" i="30"/>
  <c r="C306" i="30"/>
  <c r="C307" i="30"/>
  <c r="C308" i="30"/>
  <c r="C309" i="30"/>
  <c r="C310" i="30"/>
  <c r="C311" i="30"/>
  <c r="C312" i="30"/>
  <c r="C313" i="30"/>
  <c r="C314" i="30"/>
  <c r="C315" i="30"/>
  <c r="C316" i="30"/>
  <c r="C317" i="30"/>
  <c r="C318" i="30"/>
  <c r="C319" i="30"/>
  <c r="C320" i="30"/>
  <c r="C321" i="30"/>
  <c r="C322" i="30"/>
  <c r="C323" i="30"/>
  <c r="C324" i="30"/>
  <c r="C325" i="30"/>
  <c r="C326" i="30"/>
  <c r="C327" i="30"/>
  <c r="C328" i="30"/>
  <c r="C329" i="30"/>
  <c r="C330" i="30"/>
  <c r="C331" i="30"/>
  <c r="C332" i="30"/>
  <c r="C333" i="30"/>
  <c r="C334" i="30"/>
  <c r="C335" i="30"/>
  <c r="C336" i="30"/>
  <c r="C337" i="30"/>
  <c r="C338" i="30"/>
  <c r="C339" i="30"/>
  <c r="C340" i="30"/>
  <c r="C341" i="30"/>
  <c r="C342" i="30"/>
  <c r="C343" i="30"/>
  <c r="C344" i="30"/>
  <c r="C345" i="30"/>
  <c r="C346" i="30"/>
  <c r="C347" i="30"/>
  <c r="C348" i="30"/>
  <c r="C349" i="30"/>
  <c r="C350" i="30"/>
  <c r="C351" i="30"/>
  <c r="C352" i="30"/>
  <c r="C353" i="30"/>
  <c r="C354" i="30"/>
  <c r="C355" i="30"/>
  <c r="C356" i="30"/>
  <c r="C357" i="30"/>
  <c r="C358" i="30"/>
  <c r="C359" i="30"/>
  <c r="C360" i="30"/>
  <c r="C361" i="30"/>
  <c r="C362" i="30"/>
  <c r="C363" i="30"/>
  <c r="C364" i="30"/>
  <c r="C365" i="30"/>
  <c r="C366" i="30"/>
  <c r="C367" i="30"/>
  <c r="C368" i="30"/>
  <c r="C369" i="30"/>
  <c r="C370" i="30"/>
  <c r="C371" i="30"/>
  <c r="C372" i="30"/>
  <c r="C373" i="30"/>
  <c r="C374" i="30"/>
  <c r="C375" i="30"/>
  <c r="C376" i="30"/>
  <c r="C377" i="30"/>
  <c r="C378" i="30"/>
  <c r="C379" i="30"/>
  <c r="C380" i="30"/>
  <c r="C381" i="30"/>
  <c r="C382" i="30"/>
  <c r="C383" i="30"/>
  <c r="C384" i="30"/>
  <c r="C385" i="30"/>
  <c r="C386" i="30"/>
  <c r="C387" i="30"/>
  <c r="C388" i="30"/>
  <c r="C389" i="30"/>
  <c r="C390" i="30"/>
  <c r="C391" i="30"/>
  <c r="C392" i="30"/>
  <c r="C393" i="30"/>
  <c r="C394" i="30"/>
  <c r="C395" i="30"/>
  <c r="C396" i="30"/>
  <c r="C397" i="30"/>
  <c r="C398" i="30"/>
  <c r="C399" i="30"/>
  <c r="C400" i="30"/>
  <c r="C401" i="30"/>
  <c r="C402" i="30"/>
  <c r="C403" i="30"/>
  <c r="C404" i="30"/>
  <c r="C405" i="30"/>
  <c r="C406" i="30"/>
  <c r="C407" i="30"/>
  <c r="C408" i="30"/>
  <c r="C409" i="30"/>
  <c r="C410" i="30"/>
  <c r="C411" i="30"/>
  <c r="C412" i="30"/>
  <c r="C413" i="30"/>
  <c r="C414" i="30"/>
  <c r="C415" i="30"/>
  <c r="C416" i="30"/>
  <c r="C417" i="30"/>
  <c r="C418" i="30"/>
  <c r="C419" i="30"/>
  <c r="C420" i="30"/>
  <c r="C421" i="30"/>
  <c r="C422" i="30"/>
  <c r="C423" i="30"/>
  <c r="C424" i="30"/>
  <c r="C425" i="30"/>
  <c r="C426" i="30"/>
  <c r="C427" i="30"/>
  <c r="C428" i="30"/>
  <c r="C429" i="30"/>
  <c r="C430" i="30"/>
  <c r="C431" i="30"/>
  <c r="C432" i="30"/>
  <c r="C433" i="30"/>
  <c r="C434" i="30"/>
  <c r="C435" i="30"/>
  <c r="C436" i="30"/>
  <c r="C437" i="30"/>
  <c r="C438" i="30"/>
  <c r="C439" i="30"/>
  <c r="C440" i="30"/>
  <c r="C441" i="30"/>
  <c r="C442" i="30"/>
  <c r="C443" i="30"/>
  <c r="C444" i="30"/>
  <c r="C445" i="30"/>
  <c r="C446" i="30"/>
  <c r="C447" i="30"/>
  <c r="C448" i="30"/>
  <c r="C449" i="30"/>
  <c r="C450" i="30"/>
  <c r="C451" i="30"/>
  <c r="C452" i="30"/>
  <c r="C453" i="30"/>
  <c r="C454" i="30"/>
  <c r="C455" i="30"/>
  <c r="C456" i="30"/>
  <c r="C457" i="30"/>
  <c r="C458" i="30"/>
  <c r="C459" i="30"/>
  <c r="C460" i="30"/>
  <c r="C461" i="30"/>
  <c r="C462" i="30"/>
  <c r="C463" i="30"/>
  <c r="C464" i="30"/>
  <c r="C465" i="30"/>
  <c r="C466" i="30"/>
  <c r="C467" i="30"/>
  <c r="C468" i="30"/>
  <c r="C469" i="30"/>
  <c r="C470" i="30"/>
  <c r="C471" i="30"/>
  <c r="C472" i="30"/>
  <c r="C473" i="30"/>
  <c r="C474" i="30"/>
  <c r="C475" i="30"/>
  <c r="C476" i="30"/>
  <c r="C477" i="30"/>
  <c r="C478" i="30"/>
  <c r="C479" i="30"/>
  <c r="C480" i="30"/>
  <c r="C481" i="30"/>
  <c r="C482" i="30"/>
  <c r="C483" i="30"/>
  <c r="C484" i="30"/>
  <c r="C485" i="30"/>
  <c r="C486" i="30"/>
  <c r="C487" i="30"/>
  <c r="C488" i="30"/>
  <c r="C489" i="30"/>
  <c r="C490" i="30"/>
  <c r="C491" i="30"/>
  <c r="C492" i="30"/>
  <c r="C493" i="30"/>
  <c r="C494" i="30"/>
  <c r="C495" i="30"/>
  <c r="C496" i="30"/>
  <c r="C497" i="30"/>
  <c r="C498" i="30"/>
  <c r="C499" i="30"/>
  <c r="C500" i="30"/>
  <c r="C501" i="30"/>
  <c r="C502" i="30"/>
  <c r="C503" i="30"/>
  <c r="C504" i="30"/>
  <c r="C505" i="30"/>
  <c r="C506" i="30"/>
  <c r="C507" i="30"/>
  <c r="C508" i="30"/>
  <c r="C509" i="30"/>
  <c r="C510" i="30"/>
  <c r="C511" i="30"/>
  <c r="C512" i="30"/>
  <c r="C513" i="30"/>
  <c r="C514" i="30"/>
  <c r="C515" i="30"/>
  <c r="C516" i="30"/>
  <c r="C517" i="30"/>
  <c r="C518" i="30"/>
  <c r="C519" i="30"/>
  <c r="C520" i="30"/>
  <c r="C521" i="30"/>
  <c r="C522" i="30"/>
  <c r="C523" i="30"/>
  <c r="C524" i="30"/>
  <c r="C525" i="30"/>
  <c r="C526" i="30"/>
  <c r="C527" i="30"/>
  <c r="C528" i="30"/>
  <c r="C529" i="30"/>
  <c r="C530" i="30"/>
  <c r="C531" i="30"/>
  <c r="C532" i="30"/>
  <c r="C533" i="30"/>
  <c r="C534" i="30"/>
  <c r="C535" i="30"/>
  <c r="C536" i="30"/>
  <c r="C537" i="30"/>
  <c r="C538" i="30"/>
  <c r="C539" i="30"/>
  <c r="C540" i="30"/>
  <c r="C541" i="30"/>
  <c r="C542" i="30"/>
  <c r="C543" i="30"/>
  <c r="C544" i="30"/>
  <c r="C545" i="30"/>
  <c r="C546" i="30"/>
  <c r="C547" i="30"/>
  <c r="C548" i="30"/>
  <c r="C549" i="30"/>
  <c r="C550" i="30"/>
  <c r="C551" i="30"/>
  <c r="C552" i="30"/>
  <c r="C553" i="30"/>
  <c r="C554" i="30"/>
  <c r="C555" i="30"/>
  <c r="C556" i="30"/>
  <c r="C557" i="30"/>
  <c r="C558" i="30"/>
  <c r="C559" i="30"/>
  <c r="C560" i="30"/>
  <c r="C561" i="30"/>
  <c r="C562" i="30"/>
  <c r="C563" i="30"/>
  <c r="C564" i="30"/>
  <c r="C565" i="30"/>
  <c r="C566" i="30"/>
  <c r="C567" i="30"/>
  <c r="C568" i="30"/>
  <c r="C569" i="30"/>
  <c r="C570" i="30"/>
  <c r="C571" i="30"/>
  <c r="C572" i="30"/>
  <c r="C573" i="30"/>
  <c r="C574" i="30"/>
  <c r="C575" i="30"/>
  <c r="C576" i="30"/>
  <c r="C577" i="30"/>
  <c r="C578" i="30"/>
  <c r="C579" i="30"/>
  <c r="C580" i="30"/>
  <c r="C581" i="30"/>
  <c r="C582" i="30"/>
  <c r="C583" i="30"/>
  <c r="C584" i="30"/>
  <c r="C585" i="30"/>
  <c r="C586" i="30"/>
  <c r="C587" i="30"/>
  <c r="C588" i="30"/>
  <c r="C589" i="30"/>
  <c r="C590" i="30"/>
  <c r="C591" i="30"/>
  <c r="C592" i="30"/>
  <c r="C593" i="30"/>
  <c r="C594" i="30"/>
  <c r="C595" i="30"/>
  <c r="C596" i="30"/>
  <c r="C597" i="30"/>
  <c r="C598" i="30"/>
  <c r="C599" i="30"/>
  <c r="C600" i="30"/>
  <c r="C601" i="30"/>
  <c r="C602" i="30"/>
  <c r="C603" i="30"/>
  <c r="C604" i="30"/>
  <c r="C605" i="30"/>
  <c r="C606" i="30"/>
  <c r="C607" i="30"/>
  <c r="C608" i="30"/>
  <c r="C609" i="30"/>
  <c r="C610" i="30"/>
  <c r="C611" i="30"/>
  <c r="C612" i="30"/>
  <c r="C613" i="30"/>
  <c r="C614" i="30"/>
  <c r="C615" i="30"/>
  <c r="C616" i="30"/>
  <c r="C617" i="30"/>
  <c r="C618" i="30"/>
  <c r="C619" i="30"/>
  <c r="C620" i="30"/>
  <c r="C621" i="30"/>
  <c r="C622" i="30"/>
  <c r="C623" i="30"/>
  <c r="C624" i="30"/>
  <c r="C625" i="30"/>
  <c r="C626" i="30"/>
  <c r="C627" i="30"/>
  <c r="C628" i="30"/>
  <c r="C629" i="30"/>
  <c r="C630" i="30"/>
  <c r="C631" i="30"/>
  <c r="C632" i="30"/>
  <c r="C633" i="30"/>
  <c r="C634" i="30"/>
  <c r="C635" i="30"/>
  <c r="C636" i="30"/>
  <c r="C637" i="30"/>
  <c r="C638" i="30"/>
  <c r="C639" i="30"/>
  <c r="C640" i="30"/>
  <c r="C641" i="30"/>
  <c r="C642" i="30"/>
  <c r="C643" i="30"/>
  <c r="C644" i="30"/>
  <c r="C645" i="30"/>
  <c r="C646" i="30"/>
  <c r="C647" i="30"/>
  <c r="C648" i="30"/>
  <c r="C649" i="30"/>
  <c r="C650" i="30"/>
  <c r="C651" i="30"/>
  <c r="C652" i="30"/>
  <c r="C653" i="30"/>
  <c r="C654" i="30"/>
  <c r="C655" i="30"/>
  <c r="C656" i="30"/>
  <c r="C657" i="30"/>
  <c r="C658" i="30"/>
  <c r="C659" i="30"/>
  <c r="C660" i="30"/>
  <c r="C661" i="30"/>
  <c r="C662" i="30"/>
  <c r="C663" i="30"/>
  <c r="C664" i="30"/>
  <c r="C665" i="30"/>
  <c r="C666" i="30"/>
  <c r="C667" i="30"/>
  <c r="C668" i="30"/>
  <c r="C669" i="30"/>
  <c r="C670" i="30"/>
  <c r="C671" i="30"/>
  <c r="C672" i="30"/>
  <c r="C673" i="30"/>
  <c r="C674" i="30"/>
  <c r="C675" i="30"/>
  <c r="C676" i="30"/>
  <c r="C677" i="30"/>
  <c r="C678" i="30"/>
  <c r="C679" i="30"/>
  <c r="C680" i="30"/>
  <c r="C681" i="30"/>
  <c r="C682" i="30"/>
  <c r="C683" i="30"/>
  <c r="C684" i="30"/>
  <c r="C685" i="30"/>
  <c r="C686" i="30"/>
  <c r="C687" i="30"/>
  <c r="C688" i="30"/>
  <c r="C689" i="30"/>
  <c r="C690" i="30"/>
  <c r="C691" i="30"/>
  <c r="C692" i="30"/>
  <c r="C693" i="30"/>
  <c r="C694" i="30"/>
  <c r="C695" i="30"/>
  <c r="C696" i="30"/>
  <c r="C697" i="30"/>
  <c r="C698" i="30"/>
  <c r="C699" i="30"/>
  <c r="C700" i="30"/>
  <c r="C701" i="30"/>
  <c r="C702" i="30"/>
  <c r="C703" i="30"/>
  <c r="C704" i="30"/>
  <c r="C705" i="30"/>
  <c r="C706" i="30"/>
  <c r="C707" i="30"/>
  <c r="C708" i="30"/>
  <c r="C709" i="30"/>
  <c r="C710" i="30"/>
  <c r="C711" i="30"/>
  <c r="C712" i="30"/>
  <c r="C713" i="30"/>
  <c r="C714" i="30"/>
  <c r="C715" i="30"/>
  <c r="C716" i="30"/>
  <c r="C717" i="30"/>
  <c r="C718" i="30"/>
  <c r="C719" i="30"/>
  <c r="C720" i="30"/>
  <c r="C721" i="30"/>
  <c r="C722" i="30"/>
  <c r="C723" i="30"/>
  <c r="C724" i="30"/>
  <c r="C725" i="30"/>
  <c r="C726" i="30"/>
  <c r="C727" i="30"/>
  <c r="C728" i="30"/>
  <c r="C729" i="30"/>
  <c r="C730" i="30"/>
  <c r="C731" i="30"/>
  <c r="C732" i="30"/>
  <c r="C733" i="30"/>
  <c r="C734" i="30"/>
  <c r="C735" i="30"/>
  <c r="C736" i="30"/>
  <c r="C737" i="30"/>
  <c r="C738" i="30"/>
  <c r="C739" i="30"/>
  <c r="C740" i="30"/>
  <c r="C741" i="30"/>
  <c r="C742" i="30"/>
  <c r="C743" i="30"/>
  <c r="C744" i="30"/>
  <c r="C745" i="30"/>
  <c r="C746" i="30"/>
  <c r="C747" i="30"/>
  <c r="C748" i="30"/>
  <c r="C749" i="30"/>
  <c r="C750" i="30"/>
  <c r="C751" i="30"/>
  <c r="C752" i="30"/>
  <c r="C753" i="30"/>
  <c r="C754" i="30"/>
  <c r="C755" i="30"/>
  <c r="C756" i="30"/>
  <c r="C757" i="30"/>
  <c r="C758" i="30"/>
  <c r="C759" i="30"/>
  <c r="C760" i="30"/>
  <c r="C761" i="30"/>
  <c r="C762" i="30"/>
  <c r="C763" i="30"/>
  <c r="C764" i="30"/>
  <c r="C765" i="30"/>
  <c r="C766" i="30"/>
  <c r="C767" i="30"/>
  <c r="C768" i="30"/>
  <c r="C769" i="30"/>
  <c r="C770" i="30"/>
  <c r="C771" i="30"/>
  <c r="C772" i="30"/>
  <c r="C773" i="30"/>
  <c r="C774" i="30"/>
  <c r="C775" i="30"/>
  <c r="C776" i="30"/>
  <c r="C777" i="30"/>
  <c r="C778" i="30"/>
  <c r="C779" i="30"/>
  <c r="C780" i="30"/>
  <c r="C781" i="30"/>
  <c r="C782" i="30"/>
  <c r="C783" i="30"/>
  <c r="C784" i="30"/>
  <c r="C785" i="30"/>
  <c r="C786" i="30"/>
  <c r="C787" i="30"/>
  <c r="C788" i="30"/>
  <c r="C789" i="30"/>
  <c r="C790" i="30"/>
  <c r="C791" i="30"/>
  <c r="C792" i="30"/>
  <c r="C793" i="30"/>
  <c r="C794" i="30"/>
  <c r="C795" i="30"/>
  <c r="C796" i="30"/>
  <c r="C797" i="30"/>
  <c r="C798" i="30"/>
  <c r="C799" i="30"/>
  <c r="C800" i="30"/>
  <c r="C801" i="30"/>
  <c r="C802" i="30"/>
  <c r="C803" i="30"/>
  <c r="C804" i="30"/>
  <c r="C805" i="30"/>
  <c r="C806" i="30"/>
  <c r="C807" i="30"/>
  <c r="C808" i="30"/>
  <c r="C809" i="30"/>
  <c r="C810" i="30"/>
  <c r="C811" i="30"/>
  <c r="C812" i="30"/>
  <c r="C813" i="30"/>
  <c r="C814" i="30"/>
  <c r="C815" i="30"/>
  <c r="C816" i="30"/>
  <c r="C817" i="30"/>
  <c r="C818" i="30"/>
  <c r="C819" i="30"/>
  <c r="C820" i="30"/>
  <c r="C821" i="30"/>
  <c r="C822" i="30"/>
  <c r="C823" i="30"/>
  <c r="C824" i="30"/>
  <c r="C825" i="30"/>
  <c r="C826" i="30"/>
  <c r="C827" i="30"/>
  <c r="C828" i="30"/>
  <c r="C829" i="30"/>
  <c r="C830" i="30"/>
  <c r="C831" i="30"/>
  <c r="C832" i="30"/>
  <c r="C833" i="30"/>
  <c r="C834" i="30"/>
  <c r="C835" i="30"/>
  <c r="C836" i="30"/>
  <c r="C837" i="30"/>
  <c r="C838" i="30"/>
  <c r="C839" i="30"/>
  <c r="C840" i="30"/>
  <c r="C841" i="30"/>
  <c r="C848" i="30"/>
  <c r="C849" i="30"/>
  <c r="C850" i="30"/>
  <c r="C851" i="30"/>
  <c r="C852" i="30"/>
  <c r="C853" i="30"/>
  <c r="C854" i="30"/>
  <c r="C855" i="30"/>
  <c r="C856" i="30"/>
  <c r="C857" i="30"/>
  <c r="C858" i="30"/>
  <c r="C859" i="30"/>
  <c r="C860" i="30"/>
  <c r="C861" i="30"/>
  <c r="C862" i="30"/>
  <c r="C863" i="30"/>
  <c r="C864" i="30"/>
  <c r="C865" i="30"/>
  <c r="C866" i="30"/>
  <c r="C867" i="30"/>
  <c r="C868" i="30"/>
  <c r="C869" i="30"/>
  <c r="C870" i="30"/>
  <c r="C871" i="30"/>
  <c r="C872" i="30"/>
  <c r="C873" i="30"/>
  <c r="C874" i="30"/>
  <c r="C875" i="30"/>
  <c r="C876" i="30"/>
  <c r="C877" i="30"/>
  <c r="C878" i="30"/>
  <c r="C879" i="30"/>
  <c r="C880" i="30"/>
  <c r="C881" i="30"/>
  <c r="C882" i="30"/>
  <c r="C883" i="30"/>
  <c r="C884" i="30"/>
  <c r="C885" i="30"/>
  <c r="C886" i="30"/>
  <c r="C887" i="30"/>
  <c r="C888" i="30"/>
  <c r="C889" i="30"/>
  <c r="C890" i="30"/>
  <c r="C891" i="30"/>
  <c r="C892" i="30"/>
  <c r="C893" i="30"/>
  <c r="C894" i="30"/>
  <c r="C895" i="30"/>
  <c r="C896" i="30"/>
  <c r="C897" i="30"/>
  <c r="C898" i="30"/>
  <c r="C899" i="30"/>
  <c r="C900" i="30"/>
  <c r="C901" i="30"/>
  <c r="C902" i="30"/>
  <c r="C903" i="30"/>
  <c r="C904" i="30"/>
  <c r="C905" i="30"/>
  <c r="C906" i="30"/>
  <c r="C907" i="30"/>
  <c r="C908" i="30"/>
  <c r="C909" i="30"/>
  <c r="C910" i="30"/>
  <c r="C911" i="30"/>
  <c r="C912" i="30"/>
  <c r="C913" i="30"/>
  <c r="C914" i="30"/>
  <c r="C915" i="30"/>
  <c r="C916" i="30"/>
  <c r="C917" i="30"/>
  <c r="C918" i="30"/>
  <c r="C919" i="30"/>
  <c r="C920" i="30"/>
  <c r="C921" i="30"/>
  <c r="C922" i="30"/>
  <c r="C923" i="30"/>
  <c r="C924" i="30"/>
  <c r="C925" i="30"/>
  <c r="C926" i="30"/>
  <c r="C927" i="30"/>
  <c r="C928" i="30"/>
  <c r="C929" i="30"/>
  <c r="C930" i="30"/>
  <c r="C931" i="30"/>
  <c r="C932" i="30"/>
  <c r="C933" i="30"/>
  <c r="C934" i="30"/>
  <c r="C935" i="30"/>
  <c r="C936" i="30"/>
  <c r="C937" i="30"/>
  <c r="C938" i="30"/>
  <c r="C939" i="30"/>
  <c r="C940" i="30"/>
  <c r="C941" i="30"/>
  <c r="C942" i="30"/>
  <c r="C943" i="30"/>
  <c r="C944" i="30"/>
  <c r="C945" i="30"/>
  <c r="C946" i="30"/>
  <c r="C947" i="30"/>
  <c r="C948" i="30"/>
  <c r="C949" i="30"/>
  <c r="C950" i="30"/>
  <c r="C951" i="30"/>
  <c r="C952" i="30"/>
  <c r="C953" i="30"/>
  <c r="C954" i="30"/>
  <c r="C955" i="30"/>
  <c r="C956" i="30"/>
  <c r="C957" i="30"/>
  <c r="C958" i="30"/>
  <c r="C959" i="30"/>
  <c r="C960" i="30"/>
  <c r="C961" i="30"/>
  <c r="C962" i="30"/>
  <c r="C963" i="30"/>
  <c r="C964" i="30"/>
  <c r="C965" i="30"/>
  <c r="C966" i="30"/>
  <c r="C967" i="30"/>
  <c r="C968" i="30"/>
  <c r="C969" i="30"/>
  <c r="C970" i="30"/>
  <c r="C971" i="30"/>
  <c r="C972" i="30"/>
  <c r="C973" i="30"/>
  <c r="C974" i="30"/>
  <c r="C975" i="30"/>
  <c r="C976" i="30"/>
  <c r="C977" i="30"/>
  <c r="C978" i="30"/>
  <c r="C979" i="30"/>
  <c r="C980" i="30"/>
  <c r="C981" i="30"/>
  <c r="C982" i="30"/>
  <c r="C983" i="30"/>
  <c r="C984" i="30"/>
  <c r="C985" i="30"/>
  <c r="C986" i="30"/>
  <c r="C987" i="30"/>
  <c r="C988" i="30"/>
  <c r="C989" i="30"/>
  <c r="C990" i="30"/>
  <c r="C991" i="30"/>
  <c r="C992" i="30"/>
  <c r="C993" i="30"/>
  <c r="C994" i="30"/>
  <c r="C995" i="30"/>
  <c r="C996" i="30"/>
  <c r="C997" i="30"/>
  <c r="C998" i="30"/>
  <c r="C999" i="30"/>
  <c r="C1000" i="30"/>
  <c r="C1001" i="30"/>
  <c r="C1002" i="30"/>
  <c r="C1003" i="30"/>
  <c r="C1004" i="30"/>
  <c r="C1005" i="30"/>
  <c r="C1006" i="30"/>
  <c r="C1007" i="30"/>
  <c r="C1008" i="30"/>
  <c r="C1009" i="30"/>
  <c r="C1010" i="30"/>
  <c r="C1011" i="30"/>
  <c r="C1012" i="30"/>
  <c r="C1013" i="30"/>
  <c r="C1014" i="30"/>
  <c r="C1015" i="30"/>
  <c r="C1016" i="30"/>
  <c r="C1017" i="30"/>
  <c r="C1018" i="30"/>
  <c r="C1019" i="30"/>
  <c r="C1020" i="30"/>
  <c r="C1021" i="30"/>
  <c r="C1022" i="30"/>
  <c r="C1023" i="30"/>
  <c r="C1024" i="30"/>
  <c r="C1025" i="30"/>
  <c r="C1026" i="30"/>
  <c r="C1027" i="30"/>
  <c r="C1028" i="30"/>
  <c r="C1029" i="30"/>
  <c r="C1030" i="30"/>
  <c r="C1031" i="30"/>
  <c r="C1032" i="30"/>
  <c r="C1033" i="30"/>
  <c r="C1034" i="30"/>
  <c r="C1035" i="30"/>
  <c r="C1036" i="30"/>
  <c r="C1037" i="30"/>
  <c r="C1038" i="30"/>
  <c r="C1039" i="30"/>
  <c r="C1040" i="30"/>
  <c r="C1041" i="30"/>
  <c r="C1042" i="30"/>
  <c r="C1043" i="30"/>
  <c r="C1044" i="30"/>
  <c r="C1045" i="30"/>
  <c r="C1046" i="30"/>
  <c r="C1047" i="30"/>
  <c r="C1048" i="30"/>
  <c r="C1049" i="30"/>
  <c r="C1050" i="30"/>
  <c r="C1051" i="30"/>
  <c r="C1052" i="30"/>
  <c r="C1053" i="30"/>
  <c r="C1054" i="30"/>
  <c r="C1055" i="30"/>
  <c r="C1056" i="30"/>
  <c r="C1057" i="30"/>
  <c r="C1058" i="30"/>
  <c r="C1059" i="30"/>
  <c r="C1060" i="30"/>
  <c r="C1061" i="30"/>
  <c r="C1062" i="30"/>
  <c r="C1063" i="30"/>
  <c r="C1064" i="30"/>
  <c r="C1065" i="30"/>
  <c r="C1066" i="30"/>
  <c r="C1067" i="30"/>
  <c r="C1068" i="30"/>
  <c r="C1069" i="30"/>
  <c r="C1070" i="30"/>
  <c r="C1071" i="30"/>
  <c r="C1072" i="30"/>
  <c r="C1073" i="30"/>
  <c r="C1074" i="30"/>
  <c r="C1075" i="30"/>
  <c r="C1076" i="30"/>
  <c r="C1077" i="30"/>
  <c r="C1078" i="30"/>
  <c r="C1079" i="30"/>
  <c r="C1080" i="30"/>
  <c r="C1081" i="30"/>
  <c r="C1082" i="30"/>
  <c r="C1083" i="30"/>
  <c r="C1084" i="30"/>
  <c r="C1085" i="30"/>
  <c r="C1086" i="30"/>
  <c r="C1087" i="30"/>
  <c r="C1088" i="30"/>
  <c r="C1089" i="30"/>
  <c r="C1090" i="30"/>
  <c r="C1091" i="30"/>
  <c r="C1092" i="30"/>
  <c r="C1093" i="30"/>
  <c r="C1094" i="30"/>
  <c r="C1095" i="30"/>
  <c r="C1096" i="30"/>
  <c r="C1097" i="30"/>
  <c r="C1098" i="30"/>
  <c r="C1099" i="30"/>
  <c r="C1100" i="30"/>
  <c r="C1101" i="30"/>
  <c r="C1102" i="30"/>
  <c r="C1103" i="30"/>
  <c r="C1104" i="30"/>
  <c r="C1105" i="30"/>
  <c r="C1106" i="30"/>
  <c r="C1107" i="30"/>
  <c r="C1108" i="30"/>
  <c r="C1109" i="30"/>
  <c r="C1110" i="30"/>
  <c r="C1111" i="30"/>
  <c r="C1112" i="30"/>
  <c r="C1113" i="30"/>
  <c r="C1114" i="30"/>
  <c r="C1115" i="30"/>
  <c r="C1116" i="30"/>
  <c r="C1117" i="30"/>
  <c r="C1118" i="30"/>
  <c r="C1119" i="30"/>
  <c r="C1120" i="30"/>
  <c r="C1121" i="30"/>
  <c r="C1122" i="30"/>
  <c r="C1123" i="30"/>
  <c r="C1124" i="30"/>
  <c r="C1125" i="30"/>
  <c r="C1126" i="30"/>
  <c r="C1127" i="30"/>
  <c r="C1128" i="30"/>
  <c r="C1129" i="30"/>
  <c r="C1130" i="30"/>
  <c r="C1131" i="30"/>
  <c r="C1132" i="30"/>
  <c r="C1133" i="30"/>
  <c r="C1134" i="30"/>
  <c r="C1135" i="30"/>
  <c r="C1136" i="30"/>
  <c r="C1137" i="30"/>
  <c r="C1138" i="30"/>
  <c r="C1139" i="30"/>
  <c r="C1140" i="30"/>
  <c r="C1141" i="30"/>
  <c r="C1142" i="30"/>
  <c r="C1143" i="30"/>
  <c r="C1144" i="30"/>
  <c r="C1145" i="30"/>
  <c r="C1146" i="30"/>
  <c r="C1147" i="30"/>
  <c r="C1148" i="30"/>
  <c r="C1149" i="30"/>
  <c r="C1150" i="30"/>
  <c r="C1151" i="30"/>
  <c r="C1152" i="30"/>
  <c r="C1153" i="30"/>
  <c r="C1154" i="30"/>
  <c r="C1155" i="30"/>
  <c r="C1156" i="30"/>
  <c r="C1157" i="30"/>
  <c r="C1158" i="30"/>
  <c r="C1159" i="30"/>
  <c r="C1160" i="30"/>
  <c r="C1161" i="30"/>
  <c r="C1162" i="30"/>
  <c r="C1163" i="30"/>
  <c r="C1164" i="30"/>
  <c r="C1165" i="30"/>
  <c r="C1166" i="30"/>
  <c r="C1167" i="30"/>
  <c r="C1168" i="30"/>
  <c r="C1169" i="30"/>
  <c r="C1170" i="30"/>
  <c r="C1171" i="30"/>
  <c r="C1172" i="30"/>
  <c r="C1173" i="30"/>
  <c r="C1174" i="30"/>
  <c r="C1175" i="30"/>
  <c r="C1176" i="30"/>
  <c r="C1177" i="30"/>
  <c r="C1178" i="30"/>
  <c r="C1179" i="30"/>
  <c r="C1180" i="30"/>
  <c r="C1181" i="30"/>
  <c r="C1182" i="30"/>
  <c r="C1183" i="30"/>
  <c r="C1184" i="30"/>
  <c r="C1185" i="30"/>
  <c r="C1186" i="30"/>
  <c r="C1187" i="30"/>
  <c r="C1188" i="30"/>
  <c r="C1189" i="30"/>
  <c r="C1190" i="30"/>
  <c r="C1191" i="30"/>
  <c r="C1192" i="30"/>
  <c r="C1193" i="30"/>
  <c r="C1194" i="30"/>
  <c r="C1195" i="30"/>
  <c r="C1196" i="30"/>
  <c r="C1197" i="30"/>
  <c r="C1198" i="30"/>
  <c r="C1199" i="30"/>
  <c r="C1200" i="30"/>
  <c r="C1201" i="30"/>
  <c r="C1202" i="30"/>
  <c r="C1203" i="30"/>
  <c r="C1204" i="30"/>
  <c r="C1205" i="30"/>
  <c r="C1206" i="30"/>
  <c r="C1207" i="30"/>
  <c r="C1208" i="30"/>
  <c r="C1209" i="30"/>
  <c r="C1210" i="30"/>
  <c r="C1211" i="30"/>
  <c r="C1212" i="30"/>
  <c r="C1213" i="30"/>
  <c r="C1214" i="30"/>
  <c r="C1215" i="30"/>
  <c r="C1216" i="30"/>
  <c r="C1217" i="30"/>
  <c r="C1218" i="30"/>
  <c r="C1219" i="30"/>
  <c r="C1220" i="30"/>
  <c r="C1221" i="30"/>
  <c r="C1222" i="30"/>
  <c r="C1223" i="30"/>
  <c r="C1224" i="30"/>
  <c r="C1225" i="30"/>
  <c r="C1226" i="30"/>
  <c r="C1227" i="30"/>
  <c r="C1228" i="30"/>
  <c r="C1229" i="30"/>
  <c r="C1230" i="30"/>
  <c r="C1231" i="30"/>
  <c r="C1232" i="30"/>
  <c r="C1233" i="30"/>
  <c r="C1234" i="30"/>
  <c r="C1235" i="30"/>
  <c r="C1236" i="30"/>
  <c r="C1237" i="30"/>
  <c r="C1238" i="30"/>
  <c r="C1239" i="30"/>
  <c r="C1240" i="30"/>
  <c r="C1241" i="30"/>
  <c r="C1242" i="30"/>
  <c r="C1243" i="30"/>
  <c r="C1244" i="30"/>
  <c r="C1245" i="30"/>
  <c r="C1246" i="30"/>
  <c r="C1247" i="30"/>
  <c r="C1248" i="30"/>
  <c r="C1249" i="30"/>
  <c r="C1250" i="30"/>
  <c r="C1251" i="30"/>
  <c r="C1252" i="30"/>
  <c r="C1253" i="30"/>
  <c r="C1254" i="30"/>
  <c r="C1255" i="30"/>
  <c r="C1256" i="30"/>
  <c r="C1257" i="30"/>
  <c r="C1258" i="30"/>
  <c r="C1259" i="30"/>
  <c r="C1260" i="30"/>
  <c r="C1261" i="30"/>
  <c r="C1262" i="30"/>
  <c r="C1263" i="30"/>
  <c r="C1264" i="30"/>
  <c r="C1265" i="30"/>
  <c r="C1266" i="30"/>
  <c r="C1267" i="30"/>
  <c r="C1268" i="30"/>
  <c r="C1269" i="30"/>
  <c r="C1270" i="30"/>
  <c r="C1271" i="30"/>
  <c r="C1272" i="30"/>
  <c r="C1273" i="30"/>
  <c r="C1274" i="30"/>
  <c r="C1275" i="30"/>
  <c r="C1276" i="30"/>
  <c r="C1277" i="30"/>
  <c r="C1278" i="30"/>
  <c r="C1279" i="30"/>
  <c r="C1280" i="30"/>
  <c r="C1281" i="30"/>
  <c r="C1282" i="30"/>
  <c r="C1283" i="30"/>
  <c r="C1284" i="30"/>
  <c r="C1285" i="30"/>
  <c r="C1286" i="30"/>
  <c r="C1287" i="30"/>
  <c r="C1288" i="30"/>
  <c r="C1289" i="30"/>
  <c r="C1290" i="30"/>
  <c r="C1291" i="30"/>
  <c r="C1292" i="30"/>
  <c r="C1293" i="30"/>
  <c r="C1294" i="30"/>
  <c r="C1295" i="30"/>
  <c r="C1296" i="30"/>
  <c r="C1297" i="30"/>
  <c r="C1298" i="30"/>
  <c r="C1299" i="30"/>
  <c r="C1300" i="30"/>
  <c r="C1301" i="30"/>
  <c r="C1302" i="30"/>
  <c r="C1303" i="30"/>
  <c r="C1304" i="30"/>
  <c r="C1305" i="30"/>
  <c r="C1306" i="30"/>
  <c r="C1307" i="30"/>
  <c r="C1308" i="30"/>
  <c r="C1309" i="30"/>
  <c r="C1310" i="30"/>
  <c r="C1311" i="30"/>
  <c r="C1312" i="30"/>
  <c r="C1313" i="30"/>
  <c r="C1314" i="30"/>
  <c r="C1315" i="30"/>
  <c r="C1316" i="30"/>
  <c r="C1317" i="30"/>
  <c r="C1318" i="30"/>
  <c r="C1319" i="30"/>
  <c r="C1320" i="30"/>
  <c r="C1321" i="30"/>
  <c r="C1322" i="30"/>
  <c r="C1323" i="30"/>
  <c r="C1324" i="30"/>
  <c r="C1325" i="30"/>
  <c r="C1326" i="30"/>
  <c r="C1327" i="30"/>
  <c r="C1328" i="30"/>
  <c r="C1329" i="30"/>
  <c r="C1330" i="30"/>
  <c r="C1331" i="30"/>
  <c r="C1332" i="30"/>
  <c r="C1333" i="30"/>
  <c r="C1334" i="30"/>
  <c r="C1335" i="30"/>
  <c r="C1336" i="30"/>
  <c r="C1337" i="30"/>
  <c r="C1338" i="30"/>
  <c r="C1339" i="30"/>
  <c r="C1340" i="30"/>
  <c r="C1341" i="30"/>
  <c r="C1342" i="30"/>
  <c r="C1343" i="30"/>
  <c r="C1344" i="30"/>
  <c r="C1345" i="30"/>
  <c r="C1346" i="30"/>
  <c r="C1347" i="30"/>
  <c r="C1348" i="30"/>
  <c r="C1349" i="30"/>
  <c r="C1350" i="30"/>
  <c r="C1351" i="30"/>
  <c r="C1352" i="30"/>
  <c r="C1353" i="30"/>
  <c r="C1354" i="30"/>
  <c r="C1355" i="30"/>
  <c r="C1356" i="30"/>
  <c r="C1357" i="30"/>
  <c r="C1358" i="30"/>
  <c r="C1359" i="30"/>
  <c r="C1360" i="30"/>
  <c r="C1361" i="30"/>
  <c r="C1362" i="30"/>
  <c r="C1363" i="30"/>
  <c r="C1364" i="30"/>
  <c r="C1365" i="30"/>
  <c r="C1366" i="30"/>
  <c r="C1367" i="30"/>
  <c r="C1368" i="30"/>
  <c r="C1369" i="30"/>
  <c r="C1370" i="30"/>
  <c r="C1371" i="30"/>
  <c r="C1372" i="30"/>
  <c r="C1373" i="30"/>
  <c r="C1374" i="30"/>
  <c r="C1375" i="30"/>
  <c r="C1376" i="30"/>
  <c r="C1377" i="30"/>
  <c r="C1378" i="30"/>
  <c r="C1379" i="30"/>
  <c r="C1380" i="30"/>
  <c r="C1381" i="30"/>
  <c r="C1382" i="30"/>
  <c r="C1383" i="30"/>
  <c r="C1384" i="30"/>
  <c r="C1385" i="30"/>
  <c r="C1386" i="30"/>
  <c r="C1387" i="30"/>
  <c r="C1388" i="30"/>
  <c r="C1389" i="30"/>
  <c r="C1390" i="30"/>
  <c r="C1391" i="30"/>
  <c r="C1392" i="30"/>
  <c r="C1393" i="30"/>
  <c r="C1394" i="30"/>
  <c r="C1395" i="30"/>
  <c r="C1396" i="30"/>
  <c r="C1397" i="30"/>
  <c r="C1398" i="30"/>
  <c r="C1399" i="30"/>
  <c r="C1400" i="30"/>
  <c r="C1401" i="30"/>
  <c r="C1402" i="30"/>
  <c r="C1403" i="30"/>
  <c r="C1404" i="30"/>
  <c r="C1405" i="30"/>
  <c r="C1406" i="30"/>
  <c r="C1407" i="30"/>
  <c r="C1408" i="30"/>
  <c r="C1409" i="30"/>
  <c r="C1410" i="30"/>
  <c r="C1411" i="30"/>
  <c r="C1412" i="30"/>
  <c r="C1413" i="30"/>
  <c r="C1414" i="30"/>
  <c r="C1415" i="30"/>
  <c r="C1416" i="30"/>
  <c r="C1417" i="30"/>
  <c r="C1418" i="30"/>
  <c r="C1419" i="30"/>
  <c r="C1420" i="30"/>
  <c r="C1421" i="30"/>
  <c r="C1422" i="30"/>
  <c r="C1423" i="30"/>
  <c r="C1424" i="30"/>
  <c r="C1425" i="30"/>
  <c r="C1426" i="30"/>
  <c r="C1427" i="30"/>
  <c r="C1428" i="30"/>
  <c r="C1429" i="30"/>
  <c r="C1430" i="30"/>
  <c r="C1431" i="30"/>
  <c r="C1432" i="30"/>
  <c r="C1433" i="30"/>
  <c r="C1434" i="30"/>
  <c r="C1435" i="30"/>
  <c r="C1436" i="30"/>
  <c r="C1437" i="30"/>
  <c r="C1438" i="30"/>
  <c r="C1439" i="30"/>
  <c r="C1440" i="30"/>
  <c r="C1441" i="30"/>
  <c r="C1442" i="30"/>
  <c r="C1443" i="30"/>
  <c r="C1444" i="30"/>
  <c r="C1445" i="30"/>
  <c r="C1446" i="30"/>
  <c r="C1447" i="30"/>
  <c r="C1448" i="30"/>
  <c r="C1449" i="30"/>
  <c r="C1450" i="30"/>
  <c r="C1451" i="30"/>
  <c r="C1452" i="30"/>
  <c r="C1453" i="30"/>
  <c r="C1454" i="30"/>
  <c r="C1455" i="30"/>
  <c r="C1456" i="30"/>
  <c r="C1457" i="30"/>
  <c r="C1458" i="30"/>
  <c r="C1459" i="30"/>
  <c r="C1460" i="30"/>
  <c r="C1461" i="30"/>
  <c r="C1462" i="30"/>
  <c r="C1463" i="30"/>
  <c r="C1464" i="30"/>
  <c r="C1465" i="30"/>
  <c r="C1466" i="30"/>
  <c r="C1467" i="30"/>
  <c r="C1468" i="30"/>
  <c r="C1469" i="30"/>
  <c r="C1470" i="30"/>
  <c r="C1471" i="30"/>
  <c r="C1472" i="30"/>
  <c r="C1473" i="30"/>
  <c r="C1474" i="30"/>
  <c r="C1475" i="30"/>
  <c r="C1476" i="30"/>
  <c r="C1477" i="30"/>
  <c r="C1478" i="30"/>
  <c r="C1479" i="30"/>
  <c r="C1480" i="30"/>
  <c r="C1481" i="30"/>
  <c r="C1482" i="30"/>
  <c r="C1483" i="30"/>
  <c r="C1484" i="30"/>
  <c r="C1485" i="30"/>
  <c r="C1486" i="30"/>
  <c r="C1487" i="30"/>
  <c r="C1488" i="30"/>
  <c r="C1489" i="30"/>
  <c r="C1490" i="30"/>
  <c r="C1491" i="30"/>
  <c r="C1492" i="30"/>
  <c r="C1493" i="30"/>
  <c r="C1494" i="30"/>
  <c r="C1495" i="30"/>
  <c r="C1496" i="30"/>
  <c r="C1497" i="30"/>
  <c r="C1498" i="30"/>
  <c r="C1499" i="30"/>
  <c r="C1500" i="30"/>
  <c r="C1501" i="30"/>
  <c r="C1502" i="30"/>
  <c r="C1503" i="30"/>
  <c r="C1504" i="30"/>
  <c r="C1505" i="30"/>
  <c r="C1506" i="30"/>
  <c r="C1507" i="30"/>
  <c r="C1508" i="30"/>
  <c r="C1509" i="30"/>
  <c r="C1510" i="30"/>
  <c r="C1511" i="30"/>
  <c r="C1512" i="30"/>
  <c r="C1513" i="30"/>
  <c r="C1514" i="30"/>
  <c r="C1515" i="30"/>
  <c r="C1516" i="30"/>
  <c r="C1517" i="30"/>
  <c r="C1518" i="30"/>
  <c r="C1519" i="30"/>
  <c r="C1520" i="30"/>
  <c r="C1521" i="30"/>
  <c r="C1522" i="30"/>
  <c r="C1523" i="30"/>
  <c r="C1524" i="30"/>
  <c r="C1525" i="30"/>
  <c r="C1526" i="30"/>
  <c r="C1527" i="30"/>
  <c r="C1528" i="30"/>
  <c r="C1529" i="30"/>
  <c r="C1530" i="30"/>
  <c r="C1531" i="30"/>
  <c r="C1532" i="30"/>
  <c r="C1533" i="30"/>
  <c r="C1534" i="30"/>
  <c r="C1535" i="30"/>
  <c r="C1536" i="30"/>
  <c r="C1537" i="30"/>
  <c r="C1538" i="30"/>
  <c r="C1539" i="30"/>
  <c r="C1540" i="30"/>
  <c r="C1541" i="30"/>
  <c r="C1542" i="30"/>
  <c r="C1543" i="30"/>
  <c r="C1544" i="30"/>
  <c r="C1545" i="30"/>
  <c r="C1546" i="30"/>
  <c r="C1547" i="30"/>
  <c r="C1548" i="30"/>
  <c r="C1549" i="30"/>
  <c r="C1550" i="30"/>
  <c r="C1551" i="30"/>
  <c r="C1552" i="30"/>
  <c r="C1553" i="30"/>
  <c r="C1554" i="30"/>
  <c r="C1555" i="30"/>
  <c r="C1556" i="30"/>
  <c r="C1557" i="30"/>
  <c r="C1558" i="30"/>
  <c r="C1559" i="30"/>
  <c r="C1560" i="30"/>
  <c r="C1561" i="30"/>
  <c r="C1562" i="30"/>
  <c r="C1563" i="30"/>
  <c r="C1564" i="30"/>
  <c r="C1565" i="30"/>
  <c r="C1566" i="30"/>
  <c r="C1567" i="30"/>
  <c r="C1568" i="30"/>
  <c r="C1569" i="30"/>
  <c r="C1570" i="30"/>
  <c r="C1571" i="30"/>
  <c r="C1572" i="30"/>
  <c r="C1573" i="30"/>
  <c r="C1574" i="30"/>
  <c r="C1575" i="30"/>
  <c r="C1576" i="30"/>
  <c r="C1577" i="30"/>
  <c r="C1578" i="30"/>
  <c r="C1579" i="30"/>
  <c r="C1580" i="30"/>
  <c r="C1581" i="30"/>
  <c r="C1582" i="30"/>
  <c r="C1583" i="30"/>
  <c r="C1584" i="30"/>
  <c r="C1585" i="30"/>
  <c r="C1586" i="30"/>
  <c r="C1587" i="30"/>
  <c r="C1588" i="30"/>
  <c r="C1589" i="30"/>
  <c r="C1590" i="30"/>
  <c r="C1591" i="30"/>
  <c r="C1592" i="30"/>
  <c r="C1593" i="30"/>
  <c r="C1594" i="30"/>
  <c r="C1595" i="30"/>
  <c r="C1596" i="30"/>
  <c r="C1597" i="30"/>
  <c r="C1598" i="30"/>
  <c r="C1599" i="30"/>
  <c r="C1600" i="30"/>
  <c r="C1601" i="30"/>
  <c r="C1602" i="30"/>
  <c r="C1603" i="30"/>
  <c r="C1604" i="30"/>
  <c r="C1605" i="30"/>
  <c r="C1606" i="30"/>
  <c r="C1607" i="30"/>
  <c r="C1608" i="30"/>
  <c r="C1609" i="30"/>
  <c r="C1610" i="30"/>
  <c r="C1611" i="30"/>
  <c r="C1612" i="30"/>
  <c r="C1613" i="30"/>
  <c r="C1614" i="30"/>
  <c r="C1615" i="30"/>
  <c r="C1616" i="30"/>
  <c r="C1617" i="30"/>
  <c r="C1618" i="30"/>
  <c r="C1619" i="30"/>
  <c r="C1620" i="30"/>
  <c r="C1621" i="30"/>
  <c r="C1622" i="30"/>
  <c r="C1623" i="30"/>
  <c r="C1624" i="30"/>
  <c r="C1625" i="30"/>
  <c r="C1626" i="30"/>
  <c r="C1627" i="30"/>
  <c r="C1628" i="30"/>
  <c r="C1629" i="30"/>
  <c r="C1630" i="30"/>
  <c r="C1631" i="30"/>
  <c r="C1632" i="30"/>
  <c r="C1633" i="30"/>
  <c r="C1634" i="30"/>
  <c r="C1635" i="30"/>
  <c r="C1636" i="30"/>
  <c r="C1637" i="30"/>
  <c r="C1638" i="30"/>
  <c r="C1639" i="30"/>
  <c r="C1640" i="30"/>
  <c r="C1641" i="30"/>
  <c r="C1642" i="30"/>
  <c r="C1643" i="30"/>
  <c r="C1644" i="30"/>
  <c r="C1645" i="30"/>
  <c r="C1646" i="30"/>
  <c r="C1647" i="30"/>
  <c r="C1648" i="30"/>
  <c r="C1649" i="30"/>
  <c r="C1650" i="30"/>
  <c r="C1651" i="30"/>
  <c r="C1652" i="30"/>
  <c r="C1653" i="30"/>
  <c r="C1654" i="30"/>
  <c r="C1655" i="30"/>
  <c r="C1656" i="30"/>
  <c r="C1657" i="30"/>
  <c r="C1658" i="30"/>
  <c r="C1659" i="30"/>
  <c r="C1660" i="30"/>
  <c r="C1661" i="30"/>
  <c r="C1662" i="30"/>
  <c r="C1663" i="30"/>
  <c r="C1664" i="30"/>
  <c r="C1665" i="30"/>
  <c r="C1666" i="30"/>
  <c r="C1667" i="30"/>
  <c r="C1668" i="30"/>
  <c r="C1669" i="30"/>
  <c r="C1670" i="30"/>
  <c r="C1671" i="30"/>
  <c r="C1672" i="30"/>
  <c r="C1673" i="30"/>
  <c r="C1674" i="30"/>
  <c r="C1675" i="30"/>
  <c r="C1676" i="30"/>
  <c r="C1677" i="30"/>
  <c r="C1678" i="30"/>
  <c r="C1679" i="30"/>
  <c r="C1680" i="30"/>
  <c r="C1681" i="30"/>
  <c r="C1682" i="30"/>
  <c r="C1683" i="30"/>
  <c r="C1684" i="30"/>
  <c r="C1685" i="30"/>
  <c r="C1686" i="30"/>
  <c r="C1687" i="30"/>
  <c r="C1688" i="30"/>
  <c r="C1689" i="30"/>
  <c r="C1690" i="30"/>
  <c r="C1691" i="30"/>
  <c r="C1692" i="30"/>
  <c r="C1693" i="30"/>
  <c r="C1694" i="30"/>
  <c r="C1695" i="30"/>
  <c r="C1696" i="30"/>
  <c r="C1697" i="30"/>
  <c r="C1698" i="30"/>
  <c r="C1699" i="30"/>
  <c r="C1700" i="30"/>
  <c r="C1701" i="30"/>
  <c r="C1702" i="30"/>
  <c r="C1703" i="30"/>
  <c r="C1704" i="30"/>
  <c r="C1705" i="30"/>
  <c r="C1706" i="30"/>
  <c r="C1707" i="30"/>
  <c r="C1708" i="30"/>
  <c r="C1709" i="30"/>
  <c r="C1710" i="30"/>
  <c r="C1711" i="30"/>
  <c r="C1712" i="30"/>
  <c r="C1713" i="30"/>
  <c r="C1714" i="30"/>
  <c r="C1715" i="30"/>
  <c r="C1716" i="30"/>
  <c r="C1717" i="30"/>
  <c r="C1718" i="30"/>
  <c r="C1719" i="30"/>
  <c r="C1720" i="30"/>
  <c r="C1721" i="30"/>
  <c r="C1722" i="30"/>
  <c r="C1723" i="30"/>
  <c r="C1724" i="30"/>
  <c r="C1725" i="30"/>
  <c r="C1726" i="30"/>
  <c r="C1727" i="30"/>
  <c r="C1728" i="30"/>
  <c r="C1729" i="30"/>
  <c r="C1730" i="30"/>
  <c r="C1731" i="30"/>
  <c r="C1732" i="30"/>
  <c r="C1733" i="30"/>
  <c r="C1734" i="30"/>
  <c r="C1735" i="30"/>
  <c r="C1736" i="30"/>
  <c r="C1737" i="30"/>
  <c r="C1738" i="30"/>
  <c r="C1739" i="30"/>
  <c r="C1740" i="30"/>
  <c r="C1741" i="30"/>
  <c r="C1742" i="30"/>
  <c r="C1743" i="30"/>
  <c r="C1744" i="30"/>
  <c r="C1745" i="30"/>
  <c r="C1746" i="30"/>
  <c r="C1747" i="30"/>
  <c r="C1748" i="30"/>
  <c r="C1749" i="30"/>
  <c r="C1750" i="30"/>
  <c r="C1751" i="30"/>
  <c r="C1752" i="30"/>
  <c r="C1753" i="30"/>
  <c r="C1754" i="30"/>
  <c r="C1755" i="30"/>
  <c r="C1756" i="30"/>
  <c r="C1757" i="30"/>
  <c r="C1758" i="30"/>
  <c r="C1759" i="30"/>
  <c r="C1760" i="30"/>
  <c r="C1761" i="30"/>
  <c r="C1762" i="30"/>
  <c r="C1763" i="30"/>
  <c r="C1764" i="30"/>
  <c r="C1765" i="30"/>
  <c r="C1766" i="30"/>
  <c r="C1767" i="30"/>
  <c r="C1768" i="30"/>
  <c r="C1769" i="30"/>
  <c r="C1770" i="30"/>
  <c r="C1771" i="30"/>
  <c r="C1772" i="30"/>
  <c r="C1773" i="30"/>
  <c r="C1774" i="30"/>
  <c r="C1775" i="30"/>
  <c r="C1776" i="30"/>
  <c r="C1777" i="30"/>
  <c r="C1778" i="30"/>
  <c r="C1779" i="30"/>
  <c r="C1780" i="30"/>
  <c r="C1781" i="30"/>
  <c r="C1782" i="30"/>
  <c r="C1783" i="30"/>
  <c r="C1784" i="30"/>
  <c r="C1785" i="30"/>
  <c r="C1786" i="30"/>
  <c r="C1787" i="30"/>
  <c r="C1788" i="30"/>
  <c r="C1789" i="30"/>
  <c r="C1790" i="30"/>
  <c r="C1791" i="30"/>
  <c r="C1792" i="30"/>
  <c r="C1793" i="30"/>
  <c r="C1794" i="30"/>
  <c r="C1795" i="30"/>
  <c r="C1796" i="30"/>
  <c r="C1797" i="30"/>
  <c r="C1798" i="30"/>
  <c r="C1799" i="30"/>
  <c r="C1800" i="30"/>
  <c r="C1801" i="30"/>
  <c r="C1802" i="30"/>
  <c r="C1803" i="30"/>
  <c r="C1804" i="30"/>
  <c r="C1805" i="30"/>
  <c r="C1806" i="30"/>
  <c r="C1807" i="30"/>
  <c r="C1808" i="30"/>
  <c r="C1809" i="30"/>
  <c r="C1810" i="30"/>
  <c r="C1811" i="30"/>
  <c r="C1812" i="30"/>
  <c r="C1813" i="30"/>
  <c r="C1814" i="30"/>
  <c r="C1815" i="30"/>
  <c r="C1816" i="30"/>
  <c r="C1817" i="30"/>
  <c r="C1818" i="30"/>
  <c r="C1819" i="30"/>
  <c r="C1820" i="30"/>
  <c r="C1821" i="30"/>
  <c r="C1822" i="30"/>
  <c r="C1823" i="30"/>
  <c r="C1824" i="30"/>
  <c r="C1825" i="30"/>
  <c r="C1826" i="30"/>
  <c r="C1827" i="30"/>
  <c r="C1828" i="30"/>
  <c r="C1829" i="30"/>
  <c r="C1830" i="30"/>
  <c r="C1831" i="30"/>
  <c r="C1832" i="30"/>
  <c r="C1833" i="30"/>
  <c r="C1834" i="30"/>
  <c r="C1835" i="30"/>
  <c r="C1836" i="30"/>
  <c r="C1837" i="30"/>
  <c r="C1838" i="30"/>
  <c r="C1839" i="30"/>
  <c r="C1840" i="30"/>
  <c r="C1841" i="30"/>
  <c r="C1842" i="30"/>
  <c r="C1843" i="30"/>
  <c r="C1844" i="30"/>
  <c r="C1845" i="30"/>
  <c r="C1846" i="30"/>
  <c r="C1847" i="30"/>
  <c r="C1848" i="30"/>
  <c r="C1849" i="30"/>
  <c r="C1850" i="30"/>
  <c r="C1851" i="30"/>
  <c r="C1852" i="30"/>
  <c r="C1853" i="30"/>
  <c r="C1854" i="30"/>
  <c r="C1855" i="30"/>
  <c r="C1856" i="30"/>
  <c r="C1857" i="30"/>
  <c r="C1858" i="30"/>
  <c r="C1859" i="30"/>
  <c r="C1860" i="30"/>
  <c r="C1861" i="30"/>
  <c r="C1862" i="30"/>
  <c r="C1863" i="30"/>
  <c r="C1864" i="30"/>
  <c r="C1865" i="30"/>
  <c r="C1866" i="30"/>
  <c r="C1867" i="30"/>
  <c r="C1868" i="30"/>
  <c r="C1869" i="30"/>
  <c r="C1870" i="30"/>
  <c r="C1871" i="30"/>
  <c r="C1872" i="30"/>
  <c r="C1873" i="30"/>
  <c r="C1874" i="30"/>
  <c r="C1875" i="30"/>
  <c r="C1876" i="30"/>
  <c r="C1877" i="30"/>
  <c r="C1878" i="30"/>
  <c r="C1879" i="30"/>
  <c r="C1880" i="30"/>
  <c r="C1881" i="30"/>
  <c r="C1882" i="30"/>
  <c r="C1883" i="30"/>
  <c r="C1884" i="30"/>
  <c r="C1885" i="30"/>
  <c r="C1886" i="30"/>
  <c r="C1887" i="30"/>
  <c r="C1888" i="30"/>
  <c r="C1889" i="30"/>
  <c r="C1890" i="30"/>
  <c r="C1891" i="30"/>
  <c r="C1892" i="30"/>
  <c r="C1893" i="30"/>
  <c r="C1894" i="30"/>
  <c r="C1895" i="30"/>
  <c r="C1896" i="30"/>
  <c r="C1897" i="30"/>
  <c r="C1898" i="30"/>
  <c r="C1899" i="30"/>
  <c r="C1900" i="30"/>
  <c r="C1901" i="30"/>
  <c r="C1902" i="30"/>
  <c r="C1903" i="30"/>
  <c r="C1904" i="30"/>
  <c r="C1905" i="30"/>
  <c r="C1906" i="30"/>
  <c r="C1907" i="30"/>
  <c r="C1908" i="30"/>
  <c r="C1909" i="30"/>
  <c r="C1910" i="30"/>
  <c r="C1911" i="30"/>
  <c r="C1912" i="30"/>
  <c r="C1913" i="30"/>
  <c r="C1914" i="30"/>
  <c r="C1915" i="30"/>
  <c r="C1916" i="30"/>
  <c r="C1917" i="30"/>
  <c r="C1918" i="30"/>
  <c r="C1919" i="30"/>
  <c r="C1920" i="30"/>
  <c r="C1921" i="30"/>
  <c r="C1922" i="30"/>
  <c r="C1923" i="30"/>
  <c r="C1924" i="30"/>
  <c r="C1925" i="30"/>
  <c r="C1926" i="30"/>
  <c r="C1927" i="30"/>
  <c r="C1928" i="30"/>
  <c r="C1929" i="30"/>
  <c r="C1930" i="30"/>
  <c r="C1931" i="30"/>
  <c r="C1932" i="30"/>
  <c r="C1933" i="30"/>
  <c r="C1934" i="30"/>
  <c r="C1935" i="30"/>
  <c r="C1936" i="30"/>
  <c r="C1937" i="30"/>
  <c r="C1938" i="30"/>
  <c r="C1939" i="30"/>
  <c r="C1940" i="30"/>
  <c r="C1941" i="30"/>
  <c r="C1942" i="30"/>
  <c r="C1943" i="30"/>
  <c r="C1944" i="30"/>
  <c r="C1945" i="30"/>
  <c r="C1946" i="30"/>
  <c r="C1947" i="30"/>
  <c r="C1948" i="30"/>
  <c r="C1949" i="30"/>
  <c r="C1950" i="30"/>
  <c r="C1951" i="30"/>
  <c r="C1952" i="30"/>
  <c r="C1953" i="30"/>
  <c r="C1954" i="30"/>
  <c r="C1955" i="30"/>
  <c r="C1956" i="30"/>
  <c r="C1957" i="30"/>
  <c r="C1958" i="30"/>
  <c r="C1959" i="30"/>
  <c r="C1960" i="30"/>
  <c r="C1961" i="30"/>
  <c r="C1962" i="30"/>
  <c r="C1963" i="30"/>
  <c r="C1964" i="30"/>
  <c r="C1965" i="30"/>
  <c r="C1966" i="30"/>
  <c r="C1967" i="30"/>
  <c r="C1968" i="30"/>
  <c r="C1969" i="30"/>
  <c r="C1970" i="30"/>
  <c r="C1971" i="30"/>
  <c r="C1972" i="30"/>
  <c r="C1973" i="30"/>
  <c r="C1974" i="30"/>
  <c r="C1975" i="30"/>
  <c r="C1976" i="30"/>
  <c r="C1977" i="30"/>
  <c r="C1978" i="30"/>
  <c r="C1979" i="30"/>
  <c r="C1980" i="30"/>
  <c r="C1981" i="30"/>
  <c r="C1982" i="30"/>
  <c r="C1983" i="30"/>
  <c r="C1984" i="30"/>
  <c r="C1985" i="30"/>
  <c r="C1986" i="30"/>
  <c r="C1987" i="30"/>
  <c r="C1988" i="30"/>
  <c r="C1989" i="30"/>
  <c r="C1990" i="30"/>
  <c r="C1991" i="30"/>
  <c r="C1992" i="30"/>
  <c r="C1993" i="30"/>
  <c r="C1994" i="30"/>
  <c r="C1995" i="30"/>
  <c r="C1996" i="30"/>
  <c r="C1997" i="30"/>
  <c r="C1998" i="30"/>
  <c r="C1999" i="30"/>
  <c r="C2000" i="30"/>
  <c r="C2001" i="30"/>
  <c r="C2002" i="30"/>
  <c r="C2003" i="30"/>
  <c r="C2004" i="30"/>
  <c r="C2005" i="30"/>
  <c r="C2006" i="30"/>
  <c r="C2007" i="30"/>
  <c r="C2008" i="30"/>
  <c r="C2009" i="30"/>
  <c r="C2010" i="30"/>
  <c r="C2011" i="30"/>
  <c r="C2012" i="30"/>
  <c r="C2013" i="30"/>
  <c r="C2014" i="30"/>
  <c r="C2015" i="30"/>
  <c r="C2016" i="30"/>
  <c r="C2017" i="30"/>
  <c r="C2018" i="30"/>
  <c r="C2019" i="30"/>
  <c r="C2020" i="30"/>
  <c r="C2021" i="30"/>
  <c r="C2022" i="30"/>
  <c r="C2023" i="30"/>
  <c r="C2024" i="30"/>
  <c r="C2025" i="30"/>
  <c r="C2026" i="30"/>
  <c r="C2027" i="30"/>
  <c r="C2028" i="30"/>
  <c r="C2029" i="30"/>
  <c r="C2030" i="30"/>
  <c r="C2031" i="30"/>
  <c r="C2032" i="30"/>
  <c r="C2033" i="30"/>
  <c r="C2034" i="30"/>
  <c r="C2035" i="30"/>
  <c r="C2036" i="30"/>
  <c r="C2037" i="30"/>
  <c r="C2038" i="30"/>
  <c r="C2039" i="30"/>
  <c r="C2040" i="30"/>
  <c r="C2041" i="30"/>
  <c r="C2042" i="30"/>
  <c r="C2043" i="30"/>
  <c r="C2044" i="30"/>
  <c r="C2045" i="30"/>
  <c r="C2046" i="30"/>
  <c r="C2047" i="30"/>
  <c r="C2048" i="30"/>
  <c r="C2049" i="30"/>
  <c r="C2050" i="30"/>
  <c r="C2051" i="30"/>
  <c r="C2052" i="30"/>
  <c r="C2053" i="30"/>
  <c r="C2054" i="30"/>
  <c r="C2055" i="30"/>
  <c r="C2056" i="30"/>
  <c r="C2057" i="30"/>
  <c r="C2058" i="30"/>
  <c r="C2059" i="30"/>
  <c r="C2060" i="30"/>
  <c r="C2061" i="30"/>
  <c r="C2062" i="30"/>
  <c r="C2063" i="30"/>
  <c r="C2064" i="30"/>
  <c r="C2065" i="30"/>
  <c r="C2066" i="30"/>
  <c r="C2067" i="30"/>
  <c r="C2068" i="30"/>
  <c r="C2069" i="30"/>
  <c r="C2070" i="30"/>
  <c r="C2071" i="30"/>
  <c r="C2072" i="30"/>
  <c r="C2073" i="30"/>
  <c r="C2074" i="30"/>
  <c r="C2075" i="30"/>
  <c r="C2076" i="30"/>
  <c r="C2077" i="30"/>
  <c r="C2078" i="30"/>
  <c r="C2079" i="30"/>
  <c r="C2080" i="30"/>
  <c r="C2081" i="30"/>
  <c r="C2082" i="30"/>
  <c r="C2083" i="30"/>
  <c r="C2084" i="30"/>
  <c r="C2085" i="30"/>
  <c r="C2086" i="30"/>
  <c r="C2087" i="30"/>
  <c r="C2088" i="30"/>
  <c r="C2089" i="30"/>
  <c r="C2090" i="30"/>
  <c r="C2091" i="30"/>
  <c r="C2092" i="30"/>
  <c r="C2093" i="30"/>
  <c r="C2094" i="30"/>
  <c r="C2095" i="30"/>
  <c r="C2096" i="30"/>
  <c r="C2097" i="30"/>
  <c r="C2098" i="30"/>
  <c r="C2099" i="30"/>
  <c r="C2100" i="30"/>
  <c r="C2101" i="30"/>
  <c r="C2102" i="30"/>
  <c r="C2103" i="30"/>
  <c r="C2104" i="30"/>
  <c r="C2105" i="30"/>
  <c r="C2106" i="30"/>
  <c r="C2107" i="30"/>
  <c r="C2108" i="30"/>
  <c r="C2109" i="30"/>
  <c r="C2110" i="30"/>
  <c r="C2111" i="30"/>
  <c r="C2112" i="30"/>
  <c r="C2113" i="30"/>
  <c r="C2114" i="30"/>
  <c r="C2115" i="30"/>
  <c r="C2116" i="30"/>
  <c r="C2117" i="30"/>
  <c r="C2118" i="30"/>
  <c r="C2119" i="30"/>
  <c r="C2120" i="30"/>
  <c r="C2121" i="30"/>
  <c r="C2122" i="30"/>
  <c r="C2123" i="30"/>
  <c r="C2124" i="30"/>
  <c r="C2125" i="30"/>
  <c r="C2126" i="30"/>
  <c r="C2127" i="30"/>
  <c r="C2128" i="30"/>
  <c r="C2129" i="30"/>
  <c r="C2130" i="30"/>
  <c r="C2131" i="30"/>
  <c r="C2132" i="30"/>
  <c r="C2133" i="30"/>
  <c r="C2134" i="30"/>
  <c r="C2135" i="30"/>
  <c r="C2136" i="30"/>
  <c r="C2137" i="30"/>
  <c r="C2138" i="30"/>
  <c r="C2139" i="30"/>
  <c r="C2140" i="30"/>
  <c r="C2141" i="30"/>
  <c r="C2142" i="30"/>
  <c r="C2143" i="30"/>
  <c r="C2144" i="30"/>
  <c r="C2145" i="30"/>
  <c r="C2146" i="30"/>
  <c r="C2147" i="30"/>
  <c r="C2148" i="30"/>
  <c r="C2149" i="30"/>
  <c r="C2150" i="30"/>
  <c r="C2151" i="30"/>
  <c r="C2152" i="30"/>
  <c r="C2153" i="30"/>
  <c r="C2154" i="30"/>
  <c r="C2155" i="30"/>
  <c r="C2156" i="30"/>
  <c r="C2157" i="30"/>
  <c r="C2158" i="30"/>
  <c r="C2159" i="30"/>
  <c r="C2160" i="30"/>
  <c r="C2161" i="30"/>
  <c r="C2162" i="30"/>
  <c r="C2163" i="30"/>
  <c r="C2164" i="30"/>
  <c r="C2165" i="30"/>
  <c r="C2166" i="30"/>
  <c r="C2167" i="30"/>
  <c r="C2168" i="30"/>
  <c r="C2169" i="30"/>
  <c r="C2170" i="30"/>
  <c r="C2171" i="30"/>
  <c r="C2172" i="30"/>
  <c r="C2173" i="30"/>
  <c r="C2174" i="30"/>
  <c r="C2175" i="30"/>
  <c r="C2176" i="30"/>
  <c r="C2177" i="30"/>
  <c r="C2178" i="30"/>
  <c r="C2179" i="30"/>
  <c r="C2180" i="30"/>
  <c r="C2181" i="30"/>
  <c r="C2182" i="30"/>
  <c r="C2183" i="30"/>
  <c r="C2184" i="30"/>
  <c r="C2185" i="30"/>
  <c r="C2186" i="30"/>
  <c r="C2187" i="30"/>
  <c r="C2188" i="30"/>
  <c r="C2189" i="30"/>
  <c r="C2190" i="30"/>
  <c r="C2191" i="30"/>
  <c r="C2192" i="30"/>
  <c r="C2193" i="30"/>
  <c r="C2194" i="30"/>
  <c r="C2195" i="30"/>
  <c r="C2196" i="30"/>
  <c r="C2197" i="30"/>
  <c r="C2198" i="30"/>
  <c r="C2199" i="30"/>
  <c r="C2200" i="30"/>
  <c r="C2201" i="30"/>
  <c r="C2202" i="30"/>
  <c r="C2203" i="30"/>
  <c r="C2204" i="30"/>
  <c r="C2205" i="30"/>
  <c r="C2206" i="30"/>
  <c r="C2207" i="30"/>
  <c r="C2208" i="30"/>
  <c r="C2209" i="30"/>
  <c r="C2210" i="30"/>
  <c r="C2211" i="30"/>
  <c r="C2212" i="30"/>
  <c r="C2213" i="30"/>
  <c r="C2214" i="30"/>
  <c r="C2215" i="30"/>
  <c r="C2216" i="30"/>
  <c r="C2217" i="30"/>
  <c r="C2218" i="30"/>
  <c r="C2219" i="30"/>
  <c r="C2220" i="30"/>
  <c r="C2221" i="30"/>
  <c r="C2222" i="30"/>
  <c r="C2223" i="30"/>
  <c r="C2224" i="30"/>
  <c r="C2225" i="30"/>
  <c r="C2226" i="30"/>
  <c r="C2227" i="30"/>
  <c r="C2228" i="30"/>
  <c r="C2229" i="30"/>
  <c r="C2230" i="30"/>
  <c r="C2231" i="30"/>
  <c r="C2232" i="30"/>
  <c r="C2233" i="30"/>
  <c r="C2234" i="30"/>
  <c r="C2235" i="30"/>
  <c r="C2236" i="30"/>
  <c r="C2237" i="30"/>
  <c r="C2238" i="30"/>
  <c r="C2239" i="30"/>
  <c r="C2240" i="30"/>
  <c r="C2241" i="30"/>
  <c r="C2242" i="30"/>
  <c r="C2243" i="30"/>
  <c r="C2244" i="30"/>
  <c r="C2245" i="30"/>
  <c r="C2246" i="30"/>
  <c r="C2247" i="30"/>
  <c r="C2248" i="30"/>
  <c r="C2249" i="30"/>
  <c r="C2250" i="30"/>
  <c r="C2251" i="30"/>
  <c r="C2252" i="30"/>
  <c r="C2253" i="30"/>
  <c r="C2254" i="30"/>
  <c r="C2255" i="30"/>
  <c r="C2256" i="30"/>
  <c r="C2257" i="30"/>
  <c r="C2258" i="30"/>
  <c r="C2259" i="30"/>
  <c r="C2260" i="30"/>
  <c r="C2261" i="30"/>
  <c r="C2262" i="30"/>
  <c r="C2263" i="30"/>
  <c r="C2264" i="30"/>
  <c r="C2265" i="30"/>
  <c r="C2266" i="30"/>
  <c r="C2267" i="30"/>
  <c r="C2268" i="30"/>
  <c r="C2269" i="30"/>
  <c r="C2270" i="30"/>
  <c r="C2271" i="30"/>
  <c r="C2272" i="30"/>
  <c r="C2273" i="30"/>
  <c r="C2274" i="30"/>
  <c r="C2275" i="30"/>
  <c r="C2276" i="30"/>
  <c r="C2277" i="30"/>
  <c r="C2278" i="30"/>
  <c r="C2279" i="30"/>
  <c r="C2280" i="30"/>
  <c r="C2281" i="30"/>
  <c r="C2282" i="30"/>
  <c r="C2283" i="30"/>
  <c r="C2284" i="30"/>
  <c r="C2285" i="30"/>
  <c r="C2286" i="30"/>
  <c r="C2287" i="30"/>
  <c r="C2288" i="30"/>
  <c r="C2289" i="30"/>
  <c r="C2290" i="30"/>
  <c r="C2291" i="30"/>
  <c r="C2292" i="30"/>
  <c r="C2293" i="30"/>
  <c r="C2294" i="30"/>
  <c r="C2295" i="30"/>
  <c r="C2296" i="30"/>
  <c r="C2297" i="30"/>
  <c r="C2298" i="30"/>
  <c r="C2299" i="30"/>
  <c r="C2300" i="30"/>
  <c r="C2301" i="30"/>
  <c r="C2302" i="30"/>
  <c r="C2303" i="30"/>
  <c r="C2304" i="30"/>
  <c r="C2305" i="30"/>
  <c r="C2306" i="30"/>
  <c r="C2307" i="30"/>
  <c r="C2308" i="30"/>
  <c r="C2309" i="30"/>
  <c r="C2310" i="30"/>
  <c r="C2311" i="30"/>
  <c r="C2312" i="30"/>
  <c r="C2313" i="30"/>
  <c r="C2314" i="30"/>
  <c r="C2315" i="30"/>
  <c r="C2316" i="30"/>
  <c r="C2317" i="30"/>
  <c r="C2318" i="30"/>
  <c r="C2319" i="30"/>
  <c r="C2320" i="30"/>
  <c r="C2321" i="30"/>
  <c r="C2322" i="30"/>
  <c r="C2323" i="30"/>
  <c r="C2324" i="30"/>
  <c r="C2325" i="30"/>
  <c r="C2326" i="30"/>
  <c r="C2327" i="30"/>
  <c r="C2328" i="30"/>
  <c r="C2329" i="30"/>
  <c r="C2330" i="30"/>
  <c r="C2331" i="30"/>
  <c r="C2332" i="30"/>
  <c r="C2333" i="30"/>
  <c r="C2334" i="30"/>
  <c r="C2335" i="30"/>
  <c r="C2336" i="30"/>
  <c r="C2337" i="30"/>
  <c r="C2338" i="30"/>
  <c r="C2339" i="30"/>
  <c r="C2340" i="30"/>
  <c r="C2341" i="30"/>
  <c r="C2342" i="30"/>
  <c r="C2343" i="30"/>
  <c r="C2344" i="30"/>
  <c r="C2345" i="30"/>
  <c r="C2346" i="30"/>
  <c r="C2347" i="30"/>
  <c r="C2348" i="30"/>
  <c r="C2349" i="30"/>
  <c r="C2350" i="30"/>
  <c r="C2351" i="30"/>
  <c r="C2352" i="30"/>
  <c r="C2353" i="30"/>
  <c r="C2354" i="30"/>
  <c r="C2355" i="30"/>
  <c r="C2356" i="30"/>
  <c r="C2357" i="30"/>
  <c r="C2358" i="30"/>
  <c r="C2359" i="30"/>
  <c r="C2360" i="30"/>
  <c r="C2361" i="30"/>
  <c r="C2362" i="30"/>
  <c r="C2363" i="30"/>
  <c r="C2364" i="30"/>
  <c r="C2365" i="30"/>
  <c r="C2366" i="30"/>
  <c r="C2367" i="30"/>
  <c r="C2368" i="30"/>
  <c r="C2369" i="30"/>
  <c r="C2370" i="30"/>
  <c r="C2371" i="30"/>
  <c r="C2372" i="30"/>
  <c r="C2373" i="30"/>
  <c r="C2374" i="30"/>
  <c r="C2375" i="30"/>
  <c r="C2376" i="30"/>
  <c r="C2377" i="30"/>
  <c r="C2378" i="30"/>
  <c r="C2379" i="30"/>
  <c r="C2380" i="30"/>
  <c r="C2381" i="30"/>
  <c r="C2382" i="30"/>
  <c r="C2383" i="30"/>
  <c r="C2384" i="30"/>
  <c r="C2385" i="30"/>
  <c r="C2386" i="30"/>
  <c r="C2387" i="30"/>
  <c r="C2388" i="30"/>
  <c r="C2389" i="30"/>
  <c r="C2390" i="30"/>
  <c r="C2391" i="30"/>
  <c r="C2392" i="30"/>
  <c r="C2393" i="30"/>
  <c r="C2394" i="30"/>
  <c r="C2395" i="30"/>
  <c r="C2396" i="30"/>
  <c r="C2397" i="30"/>
  <c r="C2398" i="30"/>
  <c r="C2399" i="30"/>
  <c r="C2400" i="30"/>
  <c r="C2401" i="30"/>
  <c r="C2402" i="30"/>
  <c r="C2403" i="30"/>
  <c r="C2404" i="30"/>
  <c r="C2405" i="30"/>
  <c r="C2406" i="30"/>
  <c r="C2407" i="30"/>
  <c r="C2408" i="30"/>
  <c r="C2409" i="30"/>
  <c r="C2410" i="30"/>
  <c r="C2411" i="30"/>
  <c r="C2412" i="30"/>
  <c r="C2413" i="30"/>
  <c r="C2414" i="30"/>
  <c r="C2415" i="30"/>
  <c r="C2416" i="30"/>
  <c r="C2417" i="30"/>
  <c r="C2418" i="30"/>
  <c r="C2419" i="30"/>
  <c r="C2420" i="30"/>
  <c r="C2421" i="30"/>
  <c r="C2422" i="30"/>
  <c r="C2423" i="30"/>
  <c r="C2424" i="30"/>
  <c r="C2425" i="30"/>
  <c r="C2426" i="30"/>
  <c r="C2428" i="30"/>
  <c r="C2429" i="30"/>
  <c r="C2430" i="30"/>
  <c r="C2431" i="30"/>
  <c r="C2432" i="30"/>
  <c r="C2433" i="30"/>
  <c r="C2434" i="30"/>
  <c r="C2435" i="30"/>
  <c r="C2436" i="30"/>
  <c r="C2437" i="30"/>
  <c r="C2438" i="30"/>
  <c r="C2439" i="30"/>
  <c r="C2440" i="30"/>
  <c r="C2441" i="30"/>
  <c r="C2442" i="30"/>
  <c r="C2443" i="30"/>
  <c r="C2444" i="30"/>
  <c r="C2445" i="30"/>
  <c r="C2446" i="30"/>
  <c r="C2447" i="30"/>
  <c r="C2448" i="30"/>
  <c r="C2449" i="30"/>
  <c r="C2450" i="30"/>
  <c r="C2451" i="30"/>
  <c r="C2452" i="30"/>
  <c r="C2453" i="30"/>
  <c r="C2454" i="30"/>
  <c r="C2455" i="30"/>
  <c r="C2456" i="30"/>
  <c r="C2457" i="30"/>
  <c r="C2458" i="30"/>
  <c r="C2459" i="30"/>
  <c r="C2460" i="30"/>
  <c r="C2461" i="30"/>
  <c r="C2462" i="30"/>
  <c r="C2463" i="30"/>
  <c r="C2464" i="30"/>
  <c r="C2465" i="30"/>
  <c r="C2466" i="30"/>
  <c r="C2467" i="30"/>
  <c r="C2468" i="30"/>
  <c r="C2469" i="30"/>
  <c r="C2470" i="30"/>
  <c r="C2471" i="30"/>
  <c r="C2472" i="30"/>
  <c r="C2473" i="30"/>
  <c r="C2474" i="30"/>
  <c r="C2475" i="30"/>
  <c r="C2476" i="30"/>
  <c r="C2477" i="30"/>
  <c r="C2478" i="30"/>
  <c r="C2479" i="30"/>
  <c r="C2480" i="30"/>
  <c r="C2481" i="30"/>
  <c r="C2482" i="30"/>
  <c r="C2483" i="30"/>
  <c r="C2484" i="30"/>
  <c r="C2485" i="30"/>
  <c r="C2486" i="30"/>
  <c r="C2487" i="30"/>
  <c r="C2488" i="30"/>
  <c r="C2489" i="30"/>
  <c r="C2490" i="30"/>
  <c r="C2491" i="30"/>
  <c r="C2492" i="30"/>
  <c r="C2493" i="30"/>
  <c r="C2494" i="30"/>
  <c r="C2495" i="30"/>
  <c r="C2496" i="30"/>
  <c r="C2497" i="30"/>
  <c r="C2498" i="30"/>
  <c r="C2499" i="30"/>
  <c r="C2500" i="30"/>
  <c r="C2501" i="30"/>
  <c r="C2502" i="30"/>
  <c r="C2503" i="30"/>
  <c r="C2504" i="30"/>
  <c r="C2505" i="30"/>
  <c r="C2506" i="30"/>
  <c r="C2507" i="30"/>
  <c r="C2508" i="30"/>
  <c r="C2509" i="30"/>
  <c r="C2510" i="30"/>
  <c r="C2511" i="30"/>
  <c r="C2512" i="30"/>
  <c r="C2513" i="30"/>
  <c r="C2525" i="30"/>
  <c r="C2526" i="30"/>
  <c r="C2527" i="30"/>
  <c r="C2528" i="30"/>
  <c r="C2529" i="30"/>
  <c r="C2530" i="30"/>
  <c r="C2531" i="30"/>
  <c r="C2532" i="30"/>
  <c r="C2533" i="30"/>
  <c r="C2534" i="30"/>
  <c r="C2535" i="30"/>
  <c r="C2536" i="30"/>
  <c r="C2537" i="30"/>
  <c r="C2538" i="30"/>
  <c r="C2539" i="30"/>
  <c r="C2540" i="30"/>
  <c r="C2541" i="30"/>
  <c r="C2542" i="30"/>
  <c r="C2543" i="30"/>
  <c r="C2544" i="30"/>
  <c r="C2545" i="30"/>
  <c r="C2546" i="30"/>
  <c r="C2547" i="30"/>
  <c r="C2548" i="30"/>
  <c r="C2549" i="30"/>
  <c r="C2550" i="30"/>
  <c r="C2551" i="30"/>
  <c r="C2552" i="30"/>
  <c r="C2553" i="30"/>
  <c r="C2554" i="30"/>
  <c r="C2555" i="30"/>
  <c r="C2556" i="30"/>
  <c r="C2557" i="30"/>
  <c r="C2558" i="30"/>
  <c r="C2559" i="30"/>
  <c r="C2560" i="30"/>
  <c r="C2561" i="30"/>
  <c r="C2562" i="30"/>
  <c r="C2563" i="30"/>
  <c r="C2564" i="30"/>
  <c r="C2565" i="30"/>
  <c r="C2566" i="30"/>
  <c r="C2567" i="30"/>
  <c r="C2568" i="30"/>
  <c r="C2569" i="30"/>
  <c r="C2570" i="30"/>
  <c r="C2571" i="30"/>
  <c r="C2572" i="30"/>
  <c r="C2573" i="30"/>
  <c r="C2574" i="30"/>
  <c r="C2575" i="30"/>
  <c r="C2576" i="30"/>
  <c r="C2577" i="30"/>
  <c r="C2578" i="30"/>
  <c r="C2579" i="30"/>
  <c r="C2580" i="30"/>
  <c r="C2581" i="30"/>
  <c r="C2582" i="30"/>
  <c r="C2583" i="30"/>
  <c r="C2584" i="30"/>
  <c r="C2585" i="30"/>
  <c r="C2586" i="30"/>
  <c r="C2587" i="30"/>
  <c r="C2588" i="30"/>
  <c r="C2589" i="30"/>
  <c r="C2590" i="30"/>
  <c r="C2591" i="30"/>
  <c r="C2592" i="30"/>
  <c r="C2593" i="30"/>
  <c r="C2594" i="30"/>
  <c r="C2595" i="30"/>
  <c r="C2596" i="30"/>
  <c r="C2597" i="30"/>
  <c r="C2598" i="30"/>
  <c r="C2599" i="30"/>
  <c r="C2600" i="30"/>
  <c r="C2601" i="30"/>
  <c r="C2602" i="30"/>
  <c r="C2603" i="30"/>
  <c r="C2604" i="30"/>
  <c r="C2605" i="30"/>
  <c r="C2606" i="30"/>
  <c r="C2607" i="30"/>
  <c r="C2608" i="30"/>
  <c r="C2609" i="30"/>
  <c r="C2610" i="30"/>
  <c r="C2611" i="30"/>
  <c r="C2612" i="30"/>
  <c r="C2613" i="30"/>
  <c r="C2614" i="30"/>
  <c r="C2615" i="30"/>
  <c r="C2616" i="30"/>
  <c r="C2617" i="30"/>
  <c r="C2618" i="30"/>
  <c r="C2619" i="30"/>
  <c r="C2620" i="30"/>
  <c r="C2621" i="30"/>
  <c r="C2622" i="30"/>
  <c r="C2623" i="30"/>
  <c r="C2624" i="30"/>
  <c r="C2625" i="30"/>
  <c r="C2626" i="30"/>
  <c r="C2627" i="30"/>
  <c r="C2628" i="30"/>
  <c r="C2629" i="30"/>
  <c r="C2630" i="30"/>
  <c r="C2631" i="30"/>
  <c r="C2632" i="30"/>
  <c r="C2633" i="30"/>
  <c r="C2634" i="30"/>
  <c r="C2635" i="30"/>
  <c r="C2636" i="30"/>
  <c r="C2637" i="30"/>
  <c r="C2638" i="30"/>
  <c r="C2639" i="30"/>
  <c r="C2640" i="30"/>
  <c r="C2641" i="30"/>
  <c r="C2642" i="30"/>
  <c r="C2643" i="30"/>
  <c r="C2644" i="30"/>
  <c r="C2645" i="30"/>
  <c r="C2646" i="30"/>
  <c r="C2647" i="30"/>
  <c r="C2648" i="30"/>
  <c r="C2649" i="30"/>
  <c r="C2650" i="30"/>
  <c r="C2651" i="30"/>
  <c r="C2652" i="30"/>
  <c r="C2653" i="30"/>
  <c r="C2654" i="30"/>
  <c r="C2655" i="30"/>
  <c r="C2656" i="30"/>
  <c r="C2657" i="30"/>
  <c r="C2658" i="30"/>
  <c r="C2659" i="30"/>
  <c r="C2660" i="30"/>
  <c r="C2661" i="30"/>
  <c r="C2662" i="30"/>
  <c r="C2663" i="30"/>
  <c r="C2664" i="30"/>
  <c r="C2665" i="30"/>
  <c r="C2666" i="30"/>
  <c r="C2667" i="30"/>
  <c r="C2668" i="30"/>
  <c r="C2669" i="30"/>
  <c r="C2670" i="30"/>
  <c r="C2671" i="30"/>
  <c r="C2672" i="30"/>
  <c r="C2673" i="30"/>
  <c r="C2674" i="30"/>
  <c r="C2675" i="30"/>
  <c r="C2676" i="30"/>
  <c r="C2677" i="30"/>
  <c r="C2678" i="30"/>
  <c r="C2679" i="30"/>
  <c r="C2680" i="30"/>
  <c r="C2681" i="30"/>
  <c r="C2682" i="30"/>
  <c r="C2683" i="30"/>
  <c r="C2684" i="30"/>
  <c r="C2685" i="30"/>
  <c r="C2686" i="30"/>
  <c r="C2687" i="30"/>
  <c r="C2688" i="30"/>
  <c r="C2689" i="30"/>
  <c r="C2690" i="30"/>
  <c r="C2691" i="30"/>
  <c r="C2692" i="30"/>
  <c r="C2693" i="30"/>
  <c r="C2694" i="30"/>
  <c r="C2695" i="30"/>
  <c r="C2696" i="30"/>
  <c r="C2697" i="30"/>
  <c r="C2698" i="30"/>
  <c r="C2699" i="30"/>
  <c r="C2700" i="30"/>
  <c r="C2701" i="30"/>
  <c r="C2702" i="30"/>
  <c r="C2703" i="30"/>
  <c r="C2704" i="30"/>
  <c r="C2705" i="30"/>
  <c r="C2706" i="30"/>
  <c r="C2707" i="30"/>
  <c r="C2708" i="30"/>
  <c r="C2709" i="30"/>
  <c r="C2710" i="30"/>
  <c r="C2711" i="30"/>
  <c r="C2712" i="30"/>
  <c r="C2713" i="30"/>
  <c r="C2714" i="30"/>
  <c r="C2715" i="30"/>
  <c r="C2716" i="30"/>
  <c r="C2717" i="30"/>
  <c r="C2718" i="30"/>
  <c r="C2719" i="30"/>
  <c r="C2720" i="30"/>
  <c r="C2721" i="30"/>
  <c r="C2722" i="30"/>
  <c r="C2723" i="30"/>
  <c r="C2724" i="30"/>
  <c r="C2725" i="30"/>
  <c r="C2726" i="30"/>
  <c r="C2727" i="30"/>
  <c r="C2728" i="30"/>
  <c r="C2729" i="30"/>
  <c r="C2730" i="30"/>
  <c r="C2731" i="30"/>
  <c r="C2732" i="30"/>
  <c r="C2733" i="30"/>
  <c r="C2734" i="30"/>
  <c r="C2735" i="30"/>
  <c r="C2736" i="30"/>
  <c r="C2737" i="30"/>
  <c r="C2738" i="30"/>
  <c r="C2739" i="30"/>
  <c r="C2740" i="30"/>
  <c r="C2741" i="30"/>
  <c r="C2742" i="30"/>
  <c r="C2743" i="30"/>
  <c r="C2744" i="30"/>
  <c r="C2745" i="30"/>
  <c r="C2746" i="30"/>
  <c r="C2747" i="30"/>
  <c r="C2748" i="30"/>
  <c r="C2749" i="30"/>
  <c r="C2750" i="30"/>
  <c r="C2751" i="30"/>
  <c r="C2752" i="30"/>
  <c r="C2753" i="30"/>
  <c r="C2754" i="30"/>
  <c r="C2755" i="30"/>
  <c r="C2756" i="30"/>
  <c r="C2757" i="30"/>
  <c r="C2758" i="30"/>
  <c r="C2759" i="30"/>
  <c r="C2760" i="30"/>
  <c r="C2761" i="30"/>
  <c r="C2762" i="30"/>
  <c r="C2763" i="30"/>
  <c r="C2764" i="30"/>
  <c r="C2765" i="30"/>
  <c r="C2766" i="30"/>
  <c r="C2767" i="30"/>
  <c r="C2768" i="30"/>
  <c r="C2769" i="30"/>
  <c r="C2770" i="30"/>
  <c r="C2771" i="30"/>
  <c r="C2772" i="30"/>
  <c r="C2773" i="30"/>
  <c r="C2774" i="30"/>
  <c r="C2775" i="30"/>
  <c r="C2776" i="30"/>
  <c r="C2777" i="30"/>
  <c r="C2778" i="30"/>
  <c r="C2779" i="30"/>
  <c r="C2780" i="30"/>
  <c r="C2781" i="30"/>
  <c r="C2782" i="30"/>
  <c r="C2783" i="30"/>
  <c r="C2784" i="30"/>
  <c r="C2785" i="30"/>
  <c r="C2786" i="30"/>
  <c r="C2787" i="30"/>
  <c r="C2788" i="30"/>
  <c r="C2789" i="30"/>
  <c r="C2790" i="30"/>
  <c r="C2791" i="30"/>
  <c r="C2792" i="30"/>
  <c r="C2793" i="30"/>
  <c r="C2794" i="30"/>
  <c r="C2795" i="30"/>
  <c r="C2796" i="30"/>
  <c r="C2797" i="30"/>
  <c r="C2798" i="30"/>
  <c r="C2799" i="30"/>
  <c r="C2800" i="30"/>
  <c r="C2801" i="30"/>
  <c r="C2802" i="30"/>
  <c r="C2803" i="30"/>
  <c r="C2804" i="30"/>
  <c r="C2805" i="30"/>
  <c r="C2806" i="30"/>
  <c r="C2807" i="30"/>
  <c r="C2808" i="30"/>
  <c r="C2809" i="30"/>
  <c r="C2810" i="30"/>
  <c r="C2811" i="30"/>
  <c r="C2812" i="30"/>
  <c r="C2813" i="30"/>
  <c r="C2814" i="30"/>
  <c r="C2815" i="30"/>
  <c r="C2816" i="30"/>
  <c r="C2817" i="30"/>
  <c r="C2818" i="30"/>
  <c r="C2819" i="30"/>
  <c r="C2820" i="30"/>
  <c r="C2821" i="30"/>
  <c r="C2822" i="30"/>
  <c r="C2823" i="30"/>
  <c r="C2824" i="30"/>
  <c r="C2825" i="30"/>
  <c r="C2826" i="30"/>
  <c r="C2827" i="30"/>
  <c r="C2828" i="30"/>
  <c r="C2829" i="30"/>
  <c r="C2830" i="30"/>
  <c r="C2831" i="30"/>
  <c r="C2832" i="30"/>
  <c r="C2833" i="30"/>
  <c r="C2834" i="30"/>
  <c r="C2835" i="30"/>
  <c r="C2836" i="30"/>
  <c r="C2837" i="30"/>
  <c r="C2838" i="30"/>
  <c r="C2839" i="30"/>
  <c r="C2840" i="30"/>
  <c r="C2841" i="30"/>
  <c r="C2842" i="30"/>
  <c r="C2843" i="30"/>
  <c r="C2844" i="30"/>
  <c r="C2845" i="30"/>
  <c r="C2846" i="30"/>
  <c r="C2847" i="30"/>
  <c r="C2848" i="30"/>
  <c r="C2849" i="30"/>
  <c r="C2850" i="30"/>
  <c r="C2851" i="30"/>
  <c r="C2852" i="30"/>
  <c r="C2853" i="30"/>
  <c r="C2854" i="30"/>
  <c r="C2855" i="30"/>
  <c r="C2856" i="30"/>
  <c r="C2857" i="30"/>
  <c r="C2858" i="30"/>
  <c r="C2859" i="30"/>
  <c r="C2860" i="30"/>
  <c r="C2861" i="30"/>
  <c r="C2862" i="30"/>
  <c r="C2863" i="30"/>
  <c r="C2864" i="30"/>
  <c r="C2865" i="30"/>
  <c r="C2866" i="30"/>
  <c r="C2867" i="30"/>
  <c r="C2868" i="30"/>
  <c r="C2869" i="30"/>
  <c r="C2870" i="30"/>
  <c r="C2871" i="30"/>
  <c r="C2872" i="30"/>
  <c r="C2873" i="30"/>
  <c r="C2874" i="30"/>
  <c r="C2875" i="30"/>
  <c r="C2876" i="30"/>
  <c r="C2877" i="30"/>
  <c r="C2878" i="30"/>
  <c r="C2879" i="30"/>
  <c r="C2880" i="30"/>
  <c r="C2881" i="30"/>
  <c r="C2882" i="30"/>
  <c r="C2883" i="30"/>
  <c r="C2884" i="30"/>
  <c r="C2885" i="30"/>
  <c r="C2886" i="30"/>
  <c r="C2887" i="30"/>
  <c r="C2888" i="30"/>
  <c r="C2889" i="30"/>
  <c r="C2890" i="30"/>
  <c r="C2891" i="30"/>
  <c r="C2892" i="30"/>
  <c r="C2893" i="30"/>
  <c r="C2897" i="30"/>
  <c r="C2898" i="30"/>
  <c r="C2896" i="30"/>
  <c r="C2894" i="30"/>
  <c r="C2895" i="30"/>
  <c r="C2899" i="30"/>
  <c r="C2900" i="30"/>
  <c r="C2901" i="30"/>
  <c r="C2902" i="30"/>
  <c r="C2903" i="30"/>
  <c r="C2904" i="30"/>
  <c r="C2907" i="30"/>
  <c r="C2990" i="30"/>
  <c r="C2991" i="30"/>
  <c r="C2908" i="30"/>
  <c r="C2909" i="30"/>
  <c r="C2910" i="30"/>
  <c r="C2911" i="30"/>
  <c r="C2912" i="30"/>
  <c r="C2913" i="30"/>
  <c r="C2914" i="30"/>
  <c r="C2915" i="30"/>
  <c r="C2916" i="30"/>
  <c r="C2917" i="30"/>
  <c r="C2918" i="30"/>
  <c r="C2919" i="30"/>
  <c r="C2920" i="30"/>
  <c r="C2921" i="30"/>
  <c r="C2922" i="30"/>
  <c r="C2923" i="30"/>
  <c r="C2924" i="30"/>
  <c r="C2925" i="30"/>
  <c r="C2926" i="30"/>
  <c r="C2927" i="30"/>
  <c r="C2928" i="30"/>
  <c r="C2929" i="30"/>
  <c r="C2930" i="30"/>
  <c r="C2931" i="30"/>
  <c r="C2932" i="30"/>
  <c r="C2933" i="30"/>
  <c r="C2934" i="30"/>
  <c r="C2935" i="30"/>
  <c r="C2936" i="30"/>
  <c r="C2937" i="30"/>
  <c r="C2938" i="30"/>
  <c r="C2939" i="30"/>
  <c r="C2940" i="30"/>
  <c r="C2941" i="30"/>
  <c r="C2942" i="30"/>
  <c r="C2943" i="30"/>
  <c r="C2944" i="30"/>
  <c r="C2945" i="30"/>
  <c r="C2946" i="30"/>
  <c r="C2947" i="30"/>
  <c r="C2948" i="30"/>
  <c r="C2949" i="30"/>
  <c r="C2950" i="30"/>
  <c r="C2951" i="30"/>
  <c r="C2952" i="30"/>
  <c r="C2953" i="30"/>
  <c r="C2954" i="30"/>
  <c r="C2955" i="30"/>
  <c r="C2956" i="30"/>
  <c r="C2957" i="30"/>
  <c r="C2958" i="30"/>
  <c r="C2959" i="30"/>
  <c r="C2960" i="30"/>
  <c r="C2961" i="30"/>
  <c r="C2962" i="30"/>
  <c r="C2963" i="30"/>
  <c r="C2964" i="30"/>
  <c r="C2965" i="30"/>
  <c r="C2966" i="30"/>
  <c r="C2967" i="30"/>
  <c r="C2968" i="30"/>
  <c r="C2969" i="30"/>
  <c r="C2970" i="30"/>
  <c r="C2971" i="30"/>
  <c r="C2972" i="30"/>
  <c r="C2973" i="30"/>
  <c r="C2974" i="30"/>
  <c r="C2975" i="30"/>
  <c r="C2976" i="30"/>
  <c r="C2977" i="30"/>
  <c r="C2978" i="30"/>
  <c r="C2979" i="30"/>
  <c r="C2980" i="30"/>
  <c r="C2981" i="30"/>
  <c r="C2982" i="30"/>
  <c r="C2983" i="30"/>
  <c r="C2984" i="30"/>
  <c r="C2985" i="30"/>
  <c r="C2986" i="30"/>
  <c r="C2987" i="30"/>
  <c r="C2988" i="30"/>
  <c r="C2989" i="30"/>
  <c r="C3015" i="30"/>
  <c r="C3035" i="30"/>
  <c r="C3036" i="30"/>
  <c r="C3066" i="30"/>
  <c r="C2994" i="30"/>
  <c r="C2995" i="30"/>
  <c r="C2996" i="30"/>
  <c r="C2997" i="30"/>
  <c r="C2998" i="30"/>
  <c r="C2999" i="30"/>
  <c r="C3000" i="30"/>
  <c r="C3001" i="30"/>
  <c r="C3002" i="30"/>
  <c r="C3003" i="30"/>
  <c r="C3004" i="30"/>
  <c r="C3005" i="30"/>
  <c r="C3006" i="30"/>
  <c r="C3007" i="30"/>
  <c r="C3008" i="30"/>
  <c r="C3009" i="30"/>
  <c r="C3010" i="30"/>
  <c r="C3011" i="30"/>
  <c r="C3012" i="30"/>
  <c r="C3013" i="30"/>
  <c r="C3014" i="30"/>
  <c r="C3067" i="30"/>
  <c r="C3016" i="30"/>
  <c r="C3017" i="30"/>
  <c r="C3018" i="30"/>
  <c r="C3019" i="30"/>
  <c r="C3020" i="30"/>
  <c r="C3021" i="30"/>
  <c r="C3022" i="30"/>
  <c r="C3023" i="30"/>
  <c r="C3024" i="30"/>
  <c r="C3025" i="30"/>
  <c r="C3026" i="30"/>
  <c r="C3027" i="30"/>
  <c r="C3028" i="30"/>
  <c r="C3029" i="30"/>
  <c r="C3030" i="30"/>
  <c r="C3031" i="30"/>
  <c r="C3032" i="30"/>
  <c r="C3033" i="30"/>
  <c r="C3034" i="30"/>
  <c r="C3068" i="30"/>
  <c r="C3092" i="30"/>
  <c r="C3037" i="30"/>
  <c r="C3038" i="30"/>
  <c r="C3039" i="30"/>
  <c r="C3040" i="30"/>
  <c r="C3041" i="30"/>
  <c r="C3042" i="30"/>
  <c r="C3043" i="30"/>
  <c r="C3044" i="30"/>
  <c r="C3045" i="30"/>
  <c r="C3046" i="30"/>
  <c r="C3047" i="30"/>
  <c r="C3048" i="30"/>
  <c r="C3049" i="30"/>
  <c r="C3050" i="30"/>
  <c r="C3051" i="30"/>
  <c r="C3052" i="30"/>
  <c r="C3053" i="30"/>
  <c r="C3054" i="30"/>
  <c r="C3055" i="30"/>
  <c r="C3056" i="30"/>
  <c r="C3057" i="30"/>
  <c r="C3058" i="30"/>
  <c r="C3059" i="30"/>
  <c r="C3060" i="30"/>
  <c r="C3061" i="30"/>
  <c r="C3062" i="30"/>
  <c r="C3063" i="30"/>
  <c r="C3064" i="30"/>
  <c r="C3065" i="30"/>
  <c r="C3108" i="30"/>
  <c r="C3109" i="30"/>
  <c r="C3107" i="30"/>
  <c r="C3069" i="30"/>
  <c r="C3070" i="30"/>
  <c r="C3071" i="30"/>
  <c r="C3072" i="30"/>
  <c r="C3073" i="30"/>
  <c r="C3074" i="30"/>
  <c r="C3075" i="30"/>
  <c r="C3076" i="30"/>
  <c r="C3077" i="30"/>
  <c r="C3078" i="30"/>
  <c r="C3079" i="30"/>
  <c r="C3080" i="30"/>
  <c r="C3081" i="30"/>
  <c r="C3082" i="30"/>
  <c r="C3083" i="30"/>
  <c r="C3084" i="30"/>
  <c r="C3085" i="30"/>
  <c r="C3086" i="30"/>
  <c r="C3087" i="30"/>
  <c r="C3088" i="30"/>
  <c r="C3089" i="30"/>
  <c r="C3090" i="30"/>
  <c r="C3091" i="30"/>
  <c r="C3140" i="30"/>
  <c r="C3141" i="30"/>
  <c r="C3142" i="30"/>
  <c r="C3143" i="30"/>
  <c r="C3158" i="30"/>
  <c r="C3097" i="30"/>
  <c r="C3098" i="30"/>
  <c r="C3099" i="30"/>
  <c r="C3100" i="30"/>
  <c r="C3101" i="30"/>
  <c r="C3102" i="30"/>
  <c r="C3103" i="30"/>
  <c r="C3104" i="30"/>
  <c r="C3105" i="30"/>
  <c r="C3106" i="30"/>
  <c r="C3159" i="30"/>
  <c r="C3208" i="30"/>
  <c r="C3209" i="30"/>
  <c r="C3110" i="30"/>
  <c r="C3111" i="30"/>
  <c r="C3112" i="30"/>
  <c r="C3113" i="30"/>
  <c r="C3114" i="30"/>
  <c r="C3115" i="30"/>
  <c r="C3116" i="30"/>
  <c r="C3117" i="30"/>
  <c r="C3118" i="30"/>
  <c r="C3119" i="30"/>
  <c r="C3120" i="30"/>
  <c r="C3121" i="30"/>
  <c r="C3122" i="30"/>
  <c r="C3123" i="30"/>
  <c r="C3124" i="30"/>
  <c r="C3125" i="30"/>
  <c r="C3126" i="30"/>
  <c r="C3127" i="30"/>
  <c r="C3128" i="30"/>
  <c r="C3129" i="30"/>
  <c r="C3130" i="30"/>
  <c r="C3131" i="30"/>
  <c r="C3132" i="30"/>
  <c r="C3133" i="30"/>
  <c r="C3134" i="30"/>
  <c r="C3135" i="30"/>
  <c r="C3136" i="30"/>
  <c r="C3137" i="30"/>
  <c r="C3138" i="30"/>
  <c r="C3093" i="30"/>
  <c r="C3094" i="30"/>
  <c r="C3095" i="30"/>
  <c r="C3096" i="30"/>
  <c r="C3144" i="30"/>
  <c r="C3145" i="30"/>
  <c r="C3146" i="30"/>
  <c r="C3147" i="30"/>
  <c r="C3148" i="30"/>
  <c r="C3149" i="30"/>
  <c r="C3151" i="30"/>
  <c r="C3152" i="30"/>
  <c r="C3153" i="30"/>
  <c r="C3154" i="30"/>
  <c r="C3155" i="30"/>
  <c r="C3156" i="30"/>
  <c r="C3157" i="30"/>
  <c r="C3210" i="30"/>
  <c r="C3211" i="30"/>
  <c r="C3160" i="30"/>
  <c r="C3161" i="30"/>
  <c r="C3162" i="30"/>
  <c r="C3163" i="30"/>
  <c r="C3164" i="30"/>
  <c r="C3165" i="30"/>
  <c r="C3166" i="30"/>
  <c r="C3167" i="30"/>
  <c r="C3168" i="30"/>
  <c r="C3169" i="30"/>
  <c r="C3170" i="30"/>
  <c r="C3171" i="30"/>
  <c r="C3172" i="30"/>
  <c r="C3173" i="30"/>
  <c r="C3174" i="30"/>
  <c r="C3175" i="30"/>
  <c r="C3176" i="30"/>
  <c r="C3177" i="30"/>
  <c r="C3178" i="30"/>
  <c r="C3179" i="30"/>
  <c r="C3180" i="30"/>
  <c r="C3181" i="30"/>
  <c r="C3182" i="30"/>
  <c r="C3183" i="30"/>
  <c r="C3184" i="30"/>
  <c r="C3185" i="30"/>
  <c r="C3186" i="30"/>
  <c r="C3187" i="30"/>
  <c r="C3188" i="30"/>
  <c r="C3189" i="30"/>
  <c r="C3190" i="30"/>
  <c r="C3191" i="30"/>
  <c r="C3192" i="30"/>
  <c r="C3193" i="30"/>
  <c r="C3194" i="30"/>
  <c r="C3195" i="30"/>
  <c r="C3196" i="30"/>
  <c r="C3197" i="30"/>
  <c r="C3198" i="30"/>
  <c r="C3199" i="30"/>
  <c r="C3200" i="30"/>
  <c r="C3201" i="30"/>
  <c r="C3202" i="30"/>
  <c r="C3203" i="30"/>
  <c r="C3204" i="30"/>
  <c r="C3205" i="30"/>
  <c r="C3206" i="30"/>
  <c r="C3207" i="30"/>
  <c r="C3258" i="30"/>
  <c r="C3259" i="30"/>
  <c r="C3260" i="30"/>
  <c r="C3212" i="30"/>
  <c r="C3213" i="30"/>
  <c r="C3214" i="30"/>
  <c r="C3244" i="30"/>
  <c r="C3215" i="30"/>
  <c r="C3216" i="30"/>
  <c r="C3217" i="30"/>
  <c r="C3218" i="30"/>
  <c r="C3219" i="30"/>
  <c r="C3220" i="30"/>
  <c r="C3221" i="30"/>
  <c r="C3222" i="30"/>
  <c r="C3223" i="30"/>
  <c r="C3224" i="30"/>
  <c r="C3225" i="30"/>
  <c r="C3226" i="30"/>
  <c r="C3227" i="30"/>
  <c r="C3228" i="30"/>
  <c r="C3229" i="30"/>
  <c r="C3230" i="30"/>
  <c r="C3231" i="30"/>
  <c r="C3232" i="30"/>
  <c r="C3233" i="30"/>
  <c r="C3234" i="30"/>
  <c r="C3235" i="30"/>
  <c r="C3236" i="30"/>
  <c r="C3237" i="30"/>
  <c r="C3238" i="30"/>
  <c r="C3239" i="30"/>
  <c r="C3240" i="30"/>
  <c r="C3241" i="30"/>
  <c r="C3242" i="30"/>
  <c r="C3243" i="30"/>
  <c r="C3245" i="30"/>
  <c r="C3257" i="30"/>
  <c r="C3246" i="30"/>
  <c r="C3247" i="30"/>
  <c r="C3248" i="30"/>
  <c r="C3249" i="30"/>
  <c r="C3250" i="30"/>
  <c r="C3251" i="30"/>
  <c r="C3252" i="30"/>
  <c r="C3253" i="30"/>
  <c r="C3254" i="30"/>
  <c r="C3255" i="30"/>
  <c r="C3256" i="30"/>
  <c r="C3289" i="30"/>
  <c r="C3290" i="30"/>
  <c r="C3291" i="30"/>
  <c r="C3292" i="30"/>
  <c r="C3261" i="30"/>
  <c r="C3262" i="30"/>
  <c r="C3263" i="30"/>
  <c r="C3264" i="30"/>
  <c r="C3265" i="30"/>
  <c r="C3266" i="30"/>
  <c r="C3267" i="30"/>
  <c r="C3268" i="30"/>
  <c r="C3269" i="30"/>
  <c r="C3270" i="30"/>
  <c r="C3271" i="30"/>
  <c r="C3272" i="30"/>
  <c r="C3273" i="30"/>
  <c r="C3274" i="30"/>
  <c r="C3275" i="30"/>
  <c r="C3276" i="30"/>
  <c r="C3277" i="30"/>
  <c r="C3278" i="30"/>
  <c r="C3279" i="30"/>
  <c r="C3280" i="30"/>
  <c r="C3281" i="30"/>
  <c r="C3282" i="30"/>
  <c r="C3283" i="30"/>
  <c r="C3284" i="30"/>
  <c r="C3285" i="30"/>
  <c r="C3286" i="30"/>
  <c r="C3287" i="30"/>
  <c r="C3288" i="30"/>
  <c r="C3293" i="30"/>
  <c r="C3294" i="30"/>
  <c r="C3295" i="30"/>
  <c r="C3321" i="30"/>
  <c r="C3322" i="30"/>
  <c r="C3323" i="30"/>
  <c r="C3324" i="30"/>
  <c r="C3296" i="30"/>
  <c r="C3297" i="30"/>
  <c r="C3298" i="30"/>
  <c r="C3299" i="30"/>
  <c r="C3300" i="30"/>
  <c r="C3301" i="30"/>
  <c r="C3302" i="30"/>
  <c r="C3303" i="30"/>
  <c r="C3304" i="30"/>
  <c r="C3305" i="30"/>
  <c r="C3306" i="30"/>
  <c r="C3307" i="30"/>
  <c r="C3308" i="30"/>
  <c r="C3309" i="30"/>
  <c r="C3310" i="30"/>
  <c r="C3311" i="30"/>
  <c r="C3312" i="30"/>
  <c r="C3313" i="30"/>
  <c r="C3314" i="30"/>
  <c r="C3315" i="30"/>
  <c r="C3316" i="30"/>
  <c r="C3317" i="30"/>
  <c r="C3318" i="30"/>
  <c r="C3319" i="30"/>
  <c r="C3320" i="30"/>
  <c r="C3325" i="30"/>
  <c r="C3326" i="30"/>
  <c r="C3339" i="30"/>
  <c r="C3400" i="30"/>
  <c r="C3401" i="30"/>
  <c r="C3402" i="30"/>
  <c r="C3327" i="30"/>
  <c r="C3328" i="30"/>
  <c r="C3329" i="30"/>
  <c r="C3330" i="30"/>
  <c r="C3331" i="30"/>
  <c r="C3332" i="30"/>
  <c r="C3333" i="30"/>
  <c r="C3334" i="30"/>
  <c r="C3335" i="30"/>
  <c r="C3336" i="30"/>
  <c r="C3337" i="30"/>
  <c r="C3338" i="30"/>
  <c r="C3403" i="30"/>
  <c r="C3340" i="30"/>
  <c r="C3341" i="30"/>
  <c r="C3342" i="30"/>
  <c r="C3343" i="30"/>
  <c r="C3344" i="30"/>
  <c r="C3345" i="30"/>
  <c r="C3346" i="30"/>
  <c r="C3347" i="30"/>
  <c r="C3348" i="30"/>
  <c r="C3349" i="30"/>
  <c r="C3350" i="30"/>
  <c r="C3351" i="30"/>
  <c r="C3352" i="30"/>
  <c r="C3353" i="30"/>
  <c r="C3354" i="30"/>
  <c r="C3355" i="30"/>
  <c r="C3356" i="30"/>
  <c r="C3357" i="30"/>
  <c r="C3358" i="30"/>
  <c r="C3359" i="30"/>
  <c r="C3360" i="30"/>
  <c r="C3361" i="30"/>
  <c r="C3362" i="30"/>
  <c r="C3363" i="30"/>
  <c r="C3364" i="30"/>
  <c r="C3365" i="30"/>
  <c r="C3366" i="30"/>
  <c r="C3367" i="30"/>
  <c r="C3368" i="30"/>
  <c r="C3369" i="30"/>
  <c r="C3370" i="30"/>
  <c r="C3371" i="30"/>
  <c r="C3372" i="30"/>
  <c r="C3373" i="30"/>
  <c r="C3374" i="30"/>
  <c r="C3375" i="30"/>
  <c r="C3376" i="30"/>
  <c r="C3377" i="30"/>
  <c r="C3378" i="30"/>
  <c r="C3379" i="30"/>
  <c r="C3380" i="30"/>
  <c r="C3381" i="30"/>
  <c r="C3382" i="30"/>
  <c r="C3383" i="30"/>
  <c r="C3384" i="30"/>
  <c r="C3385" i="30"/>
  <c r="C3386" i="30"/>
  <c r="C3387" i="30"/>
  <c r="C3388" i="30"/>
  <c r="C3389" i="30"/>
  <c r="C3390" i="30"/>
  <c r="C3391" i="30"/>
  <c r="C3392" i="30"/>
  <c r="C3393" i="30"/>
  <c r="C3394" i="30"/>
  <c r="C3395" i="30"/>
  <c r="C3396" i="30"/>
  <c r="C3397" i="30"/>
  <c r="C3398" i="30"/>
  <c r="C3399" i="30"/>
  <c r="C3404" i="30"/>
  <c r="C3408" i="30"/>
  <c r="C3409" i="30"/>
  <c r="C3429" i="30"/>
  <c r="C3431" i="30"/>
  <c r="C3405" i="30"/>
  <c r="C3406" i="30"/>
  <c r="C3407" i="30"/>
  <c r="C3433" i="30"/>
  <c r="C3436" i="30"/>
  <c r="C3410" i="30"/>
  <c r="C3411" i="30"/>
  <c r="C3412" i="30"/>
  <c r="C3413" i="30"/>
  <c r="C3414" i="30"/>
  <c r="C3415" i="30"/>
  <c r="C3416" i="30"/>
  <c r="C3417" i="30"/>
  <c r="C3418" i="30"/>
  <c r="C3419" i="30"/>
  <c r="C3420" i="30"/>
  <c r="C3421" i="30"/>
  <c r="C3422" i="30"/>
  <c r="C3423" i="30"/>
  <c r="C3424" i="30"/>
  <c r="C3425" i="30"/>
  <c r="C3426" i="30"/>
  <c r="C3427" i="30"/>
  <c r="C3428" i="30"/>
  <c r="C3439" i="30"/>
  <c r="C3430" i="30"/>
  <c r="C3459" i="30"/>
  <c r="C3432" i="30"/>
  <c r="C3460" i="30"/>
  <c r="C3434" i="30"/>
  <c r="C3435" i="30"/>
  <c r="C3492" i="30"/>
  <c r="C3437" i="30"/>
  <c r="C3438" i="30"/>
  <c r="C3527" i="30"/>
  <c r="C3440" i="30"/>
  <c r="C3441" i="30"/>
  <c r="C3442" i="30"/>
  <c r="C3443" i="30"/>
  <c r="C3444" i="30"/>
  <c r="C3445" i="30"/>
  <c r="C3446" i="30"/>
  <c r="C3447" i="30"/>
  <c r="C3448" i="30"/>
  <c r="C3449" i="30"/>
  <c r="C3450" i="30"/>
  <c r="C3451" i="30"/>
  <c r="C3452" i="30"/>
  <c r="C3453" i="30"/>
  <c r="C3454" i="30"/>
  <c r="C3455" i="30"/>
  <c r="C3456" i="30"/>
  <c r="C3457" i="30"/>
  <c r="C3458" i="30"/>
  <c r="C3528" i="30"/>
  <c r="C3529" i="30"/>
  <c r="C3461" i="30"/>
  <c r="C3462" i="30"/>
  <c r="C3463" i="30"/>
  <c r="C3464" i="30"/>
  <c r="C3465" i="30"/>
  <c r="C3466" i="30"/>
  <c r="C3467" i="30"/>
  <c r="C3468" i="30"/>
  <c r="C3469" i="30"/>
  <c r="C3470" i="30"/>
  <c r="C3471" i="30"/>
  <c r="C3472" i="30"/>
  <c r="C3473" i="30"/>
  <c r="C3474" i="30"/>
  <c r="C3475" i="30"/>
  <c r="C3476" i="30"/>
  <c r="C3477" i="30"/>
  <c r="C3478" i="30"/>
  <c r="C3479" i="30"/>
  <c r="C3480" i="30"/>
  <c r="C3481" i="30"/>
  <c r="C3482" i="30"/>
  <c r="C3483" i="30"/>
  <c r="C3484" i="30"/>
  <c r="C3485" i="30"/>
  <c r="C3486" i="30"/>
  <c r="C3487" i="30"/>
  <c r="C3488" i="30"/>
  <c r="C3489" i="30"/>
  <c r="C3490" i="30"/>
  <c r="C3491" i="30"/>
  <c r="C3530" i="30"/>
  <c r="C3493" i="30"/>
  <c r="C3494" i="30"/>
  <c r="C3495" i="30"/>
  <c r="C3496" i="30"/>
  <c r="C3497" i="30"/>
  <c r="C3498" i="30"/>
  <c r="C3499" i="30"/>
  <c r="C3500" i="30"/>
  <c r="C3501" i="30"/>
  <c r="C3502" i="30"/>
  <c r="C3503" i="30"/>
  <c r="C3504" i="30"/>
  <c r="C3505" i="30"/>
  <c r="C3506" i="30"/>
  <c r="C3507" i="30"/>
  <c r="C3508" i="30"/>
  <c r="C3509" i="30"/>
  <c r="C3510" i="30"/>
  <c r="C3511" i="30"/>
  <c r="C3512" i="30"/>
  <c r="C3513" i="30"/>
  <c r="C3514" i="30"/>
  <c r="C3515" i="30"/>
  <c r="C3516" i="30"/>
  <c r="C3517" i="30"/>
  <c r="C3518" i="30"/>
  <c r="C3519" i="30"/>
  <c r="C3520" i="30"/>
  <c r="C3521" i="30"/>
  <c r="C3522" i="30"/>
  <c r="C3523" i="30"/>
  <c r="C3524" i="30"/>
  <c r="C3525" i="30"/>
  <c r="C3526" i="30"/>
  <c r="C3556" i="30"/>
  <c r="C3578" i="30"/>
  <c r="C3579" i="30"/>
  <c r="C3580" i="30"/>
  <c r="C3531" i="30"/>
  <c r="C3532" i="30"/>
  <c r="C3533" i="30"/>
  <c r="C3534" i="30"/>
  <c r="C3535" i="30"/>
  <c r="C3536" i="30"/>
  <c r="C3537" i="30"/>
  <c r="C3538" i="30"/>
  <c r="C3539" i="30"/>
  <c r="C3540" i="30"/>
  <c r="C3541" i="30"/>
  <c r="C3542" i="30"/>
  <c r="C3543" i="30"/>
  <c r="C3544" i="30"/>
  <c r="C3545" i="30"/>
  <c r="C3546" i="30"/>
  <c r="C3547" i="30"/>
  <c r="C3548" i="30"/>
  <c r="C3549" i="30"/>
  <c r="C3550" i="30"/>
  <c r="C3551" i="30"/>
  <c r="C3552" i="30"/>
  <c r="C3553" i="30"/>
  <c r="C3554" i="30"/>
  <c r="C3555" i="30"/>
  <c r="C3581" i="30"/>
  <c r="C3557" i="30"/>
  <c r="C3558" i="30"/>
  <c r="C3559" i="30"/>
  <c r="C3560" i="30"/>
  <c r="C3561" i="30"/>
  <c r="C3562" i="30"/>
  <c r="C3563" i="30"/>
  <c r="C3564" i="30"/>
  <c r="C3565" i="30"/>
  <c r="C3566" i="30"/>
  <c r="C3567" i="30"/>
  <c r="C3568" i="30"/>
  <c r="C3569" i="30"/>
  <c r="C3570" i="30"/>
  <c r="C3571" i="30"/>
  <c r="C3572" i="30"/>
  <c r="C3573" i="30"/>
  <c r="C3574" i="30"/>
  <c r="C3575" i="30"/>
  <c r="C3576" i="30"/>
  <c r="C3577" i="30"/>
  <c r="C2992" i="30"/>
  <c r="C2993" i="30"/>
  <c r="C3582" i="30"/>
  <c r="C3583" i="30"/>
  <c r="C3584" i="30"/>
  <c r="C2905" i="30"/>
  <c r="C2906" i="30"/>
  <c r="C3585" i="30"/>
  <c r="C3586" i="30"/>
  <c r="C3587" i="30"/>
  <c r="C3588" i="30"/>
  <c r="C3589" i="30"/>
  <c r="C3590" i="30"/>
  <c r="C3591" i="30"/>
  <c r="C3592" i="30"/>
  <c r="C3593" i="30"/>
  <c r="C3594" i="30"/>
  <c r="C3595" i="30"/>
  <c r="C3596" i="30"/>
  <c r="C3597" i="30"/>
  <c r="C3598" i="30"/>
  <c r="C3599" i="30"/>
  <c r="C3600" i="30"/>
  <c r="C3601" i="30"/>
  <c r="C3602" i="30"/>
  <c r="C3603" i="30"/>
  <c r="C3604" i="30"/>
  <c r="C3659" i="30"/>
  <c r="C3660" i="30"/>
  <c r="C3661" i="30"/>
  <c r="C3608" i="30"/>
  <c r="C3609" i="30"/>
  <c r="C3611" i="30"/>
  <c r="C3612" i="30"/>
  <c r="C3613" i="30"/>
  <c r="C3614" i="30"/>
  <c r="C3615" i="30"/>
  <c r="C3662" i="30"/>
  <c r="C3616" i="30"/>
  <c r="C3617" i="30"/>
  <c r="C3618" i="30"/>
  <c r="C3619" i="30"/>
  <c r="C3620" i="30"/>
  <c r="C3621" i="30"/>
  <c r="C3622" i="30"/>
  <c r="C3623" i="30"/>
  <c r="C3624" i="30"/>
  <c r="C3625" i="30"/>
  <c r="C3626" i="30"/>
  <c r="C3627" i="30"/>
  <c r="C3628" i="30"/>
  <c r="C3629" i="30"/>
  <c r="C3630" i="30"/>
  <c r="C3631" i="30"/>
  <c r="C3632" i="30"/>
  <c r="C3633" i="30"/>
  <c r="C3634" i="30"/>
  <c r="C3635" i="30"/>
  <c r="C3636" i="30"/>
  <c r="C3637" i="30"/>
  <c r="C3638" i="30"/>
  <c r="C3639" i="30"/>
  <c r="C3640" i="30"/>
  <c r="C3641" i="30"/>
  <c r="C3642" i="30"/>
  <c r="C3643" i="30"/>
  <c r="C3644" i="30"/>
  <c r="C3645" i="30"/>
  <c r="C3646" i="30"/>
  <c r="C3647" i="30"/>
  <c r="C3648" i="30"/>
  <c r="C3649" i="30"/>
  <c r="C3650" i="30"/>
  <c r="C3651" i="30"/>
  <c r="C3652" i="30"/>
  <c r="C3653" i="30"/>
  <c r="C3654" i="30"/>
  <c r="C3655" i="30"/>
  <c r="C3656" i="30"/>
  <c r="C3657" i="30"/>
  <c r="C3658" i="30"/>
  <c r="C3605" i="30"/>
  <c r="C3606" i="30"/>
  <c r="C3607" i="30"/>
  <c r="C3663" i="30"/>
  <c r="C3664" i="30"/>
  <c r="C3665" i="30"/>
  <c r="C3679" i="30"/>
  <c r="C3666" i="30"/>
  <c r="C3667" i="30"/>
  <c r="C3668" i="30"/>
  <c r="C3669" i="30"/>
  <c r="C3670" i="30"/>
  <c r="C3671" i="30"/>
  <c r="C3672" i="30"/>
  <c r="C3673" i="30"/>
  <c r="C3674" i="30"/>
  <c r="C3675" i="30"/>
  <c r="C3676" i="30"/>
  <c r="C3677" i="30"/>
  <c r="C3678" i="30"/>
  <c r="C3610" i="30"/>
  <c r="C3680" i="30"/>
  <c r="C3681" i="30"/>
  <c r="C3682" i="30"/>
  <c r="C3683" i="30"/>
  <c r="C3684" i="30"/>
  <c r="C3685" i="30"/>
  <c r="C3686" i="30"/>
  <c r="C3687" i="30"/>
  <c r="C3688" i="30"/>
  <c r="C3689" i="30"/>
  <c r="C3690" i="30"/>
  <c r="C3691" i="30"/>
  <c r="C3692" i="30"/>
  <c r="C3693" i="30"/>
  <c r="C3694" i="30"/>
  <c r="C3695" i="30"/>
  <c r="C3696" i="30"/>
  <c r="C3697" i="30"/>
  <c r="C3698" i="30"/>
  <c r="C3699" i="30"/>
  <c r="C3700" i="30"/>
  <c r="C3701" i="30"/>
  <c r="C3702" i="30"/>
  <c r="C3703" i="30"/>
  <c r="C3704" i="30"/>
  <c r="C3705" i="30"/>
  <c r="C3706" i="30"/>
  <c r="C3707" i="30"/>
  <c r="C3708" i="30"/>
  <c r="C3709" i="30"/>
  <c r="C3710" i="30"/>
  <c r="C3711" i="30"/>
  <c r="C3712" i="30"/>
  <c r="C3713" i="30"/>
  <c r="C3714" i="30"/>
  <c r="C3715" i="30"/>
  <c r="C3716" i="30"/>
  <c r="C3717" i="30"/>
  <c r="C3718" i="30"/>
  <c r="C3719" i="30"/>
  <c r="C3720" i="30"/>
  <c r="C3721" i="30"/>
  <c r="C3722" i="30"/>
  <c r="C3723" i="30"/>
  <c r="C3724" i="30"/>
  <c r="C3725" i="30"/>
  <c r="C3726" i="30"/>
  <c r="C3727" i="30"/>
  <c r="C3728" i="30"/>
  <c r="C3729" i="30"/>
  <c r="C3730" i="30"/>
  <c r="C3731" i="30"/>
  <c r="C3732" i="30"/>
  <c r="C3733" i="30"/>
  <c r="C3734" i="30"/>
  <c r="C3735" i="30"/>
  <c r="C3736" i="30"/>
  <c r="C3737" i="30"/>
  <c r="C3738" i="30"/>
  <c r="C3739" i="30"/>
  <c r="C3740" i="30"/>
  <c r="C3741" i="30"/>
  <c r="C3742" i="30"/>
  <c r="C3743" i="30"/>
  <c r="C3744" i="30"/>
  <c r="C3745" i="30"/>
  <c r="C3746" i="30"/>
  <c r="C3747" i="30"/>
  <c r="C3748" i="30"/>
  <c r="C3749" i="30"/>
  <c r="C3750" i="30"/>
  <c r="C3785" i="30"/>
  <c r="C3789" i="30"/>
  <c r="C3790" i="30"/>
  <c r="C3791" i="30"/>
  <c r="C3755" i="30"/>
  <c r="C3756" i="30"/>
  <c r="C3757" i="30"/>
  <c r="C3758" i="30"/>
  <c r="C3759" i="30"/>
  <c r="C3760" i="30"/>
  <c r="C3761" i="30"/>
  <c r="C3762" i="30"/>
  <c r="C3763" i="30"/>
  <c r="C3764" i="30"/>
  <c r="C3765" i="30"/>
  <c r="C3766" i="30"/>
  <c r="C3767" i="30"/>
  <c r="C3768" i="30"/>
  <c r="C3769" i="30"/>
  <c r="C3770" i="30"/>
  <c r="C3771" i="30"/>
  <c r="C3772" i="30"/>
  <c r="C3773" i="30"/>
  <c r="C3774" i="30"/>
  <c r="C3775" i="30"/>
  <c r="C3776" i="30"/>
  <c r="C3777" i="30"/>
  <c r="C3778" i="30"/>
  <c r="C3779" i="30"/>
  <c r="C3780" i="30"/>
  <c r="C3781" i="30"/>
  <c r="C3782" i="30"/>
  <c r="C3783" i="30"/>
  <c r="C3784" i="30"/>
  <c r="C3792" i="30"/>
  <c r="C3786" i="30"/>
  <c r="C3787" i="30"/>
  <c r="C3788" i="30"/>
  <c r="C3751" i="30"/>
  <c r="C3752" i="30"/>
  <c r="C3754" i="30"/>
  <c r="C3793" i="30"/>
  <c r="C3794" i="30"/>
  <c r="C3795" i="30"/>
  <c r="C3803" i="30"/>
  <c r="C3796" i="30"/>
  <c r="C3797" i="30"/>
  <c r="C3798" i="30"/>
  <c r="C3799" i="30"/>
  <c r="C3800" i="30"/>
  <c r="C3801" i="30"/>
  <c r="C3802" i="30"/>
  <c r="C3826" i="30"/>
  <c r="C3804" i="30"/>
  <c r="C3805" i="30"/>
  <c r="C3806" i="30"/>
  <c r="C3807" i="30"/>
  <c r="C3808" i="30"/>
  <c r="C3809" i="30"/>
  <c r="C3810" i="30"/>
  <c r="C3811" i="30"/>
  <c r="C3812" i="30"/>
  <c r="C3813" i="30"/>
  <c r="C3814" i="30"/>
  <c r="C3815" i="30"/>
  <c r="C3816" i="30"/>
  <c r="C3817" i="30"/>
  <c r="C3818" i="30"/>
  <c r="C3819" i="30"/>
  <c r="C3820" i="30"/>
  <c r="C3821" i="30"/>
  <c r="C3822" i="30"/>
  <c r="C3823" i="30"/>
  <c r="C3824" i="30"/>
  <c r="C3825" i="30"/>
  <c r="C3753" i="30"/>
  <c r="C3827" i="30"/>
  <c r="C3828" i="30"/>
  <c r="C3829" i="30"/>
  <c r="C3830" i="30"/>
  <c r="C3831" i="30"/>
  <c r="C3832" i="30"/>
  <c r="C3833" i="30"/>
  <c r="C3834" i="30"/>
  <c r="C3835" i="30"/>
  <c r="C3836" i="30"/>
  <c r="C3837" i="30"/>
  <c r="C3838" i="30"/>
  <c r="C3839" i="30"/>
  <c r="C3840" i="30"/>
  <c r="C3841" i="30"/>
  <c r="C3842" i="30"/>
  <c r="C3843" i="30"/>
  <c r="C3844" i="30"/>
  <c r="C3845" i="30"/>
  <c r="C3846" i="30"/>
  <c r="C3847" i="30"/>
  <c r="C3848" i="30"/>
  <c r="C3849" i="30"/>
  <c r="C3850" i="30"/>
  <c r="C3851" i="30"/>
  <c r="C3852" i="30"/>
  <c r="C3853" i="30"/>
  <c r="C3854" i="30"/>
  <c r="C3855" i="30"/>
  <c r="C3856" i="30"/>
  <c r="C3857" i="30"/>
  <c r="C3858" i="30"/>
  <c r="C3859" i="30"/>
  <c r="C3860" i="30"/>
  <c r="C3861" i="30"/>
  <c r="C3862" i="30"/>
  <c r="C3863" i="30"/>
  <c r="C3864" i="30"/>
  <c r="C3865" i="30"/>
  <c r="C3866" i="30"/>
  <c r="C3867" i="30"/>
  <c r="C3868" i="30"/>
  <c r="C3869" i="30"/>
  <c r="C3870" i="30"/>
  <c r="C3871" i="30"/>
  <c r="C3872" i="30"/>
  <c r="C3873" i="30"/>
  <c r="C3874" i="30"/>
  <c r="C3875" i="30"/>
  <c r="C3876" i="30"/>
  <c r="C3877" i="30"/>
  <c r="C3878" i="30"/>
  <c r="C3879" i="30"/>
  <c r="C3880" i="30"/>
  <c r="C3881" i="30"/>
  <c r="C3882" i="30"/>
  <c r="C3883" i="30"/>
  <c r="C3884" i="30"/>
  <c r="C3885" i="30"/>
  <c r="C3886" i="30"/>
  <c r="C3887" i="30"/>
  <c r="C3888" i="30"/>
  <c r="C3889" i="30"/>
  <c r="C3890" i="30"/>
  <c r="C3891" i="30"/>
  <c r="C3892" i="30"/>
  <c r="C3893" i="30"/>
  <c r="C3894" i="30"/>
  <c r="C3895" i="30"/>
  <c r="C3896" i="30"/>
  <c r="C3897" i="30"/>
  <c r="C3898" i="30"/>
  <c r="C3899" i="30"/>
  <c r="C3900" i="30"/>
  <c r="C3901" i="30"/>
  <c r="C3902" i="30"/>
  <c r="C3903" i="30"/>
  <c r="C3904" i="30"/>
  <c r="C3905" i="30"/>
  <c r="C3906" i="30"/>
  <c r="C3907" i="30"/>
  <c r="C3908" i="30"/>
  <c r="C3909" i="30"/>
  <c r="C3910" i="30"/>
  <c r="C3911" i="30"/>
  <c r="C3912" i="30"/>
  <c r="C3913" i="30"/>
  <c r="C3914" i="30"/>
  <c r="C3915" i="30"/>
  <c r="C3916" i="30"/>
  <c r="C3917" i="30"/>
  <c r="C3918" i="30"/>
  <c r="C3919" i="30"/>
  <c r="C3920" i="30"/>
  <c r="C3921" i="30"/>
  <c r="C3922" i="30"/>
  <c r="C3923" i="30"/>
  <c r="C3924" i="30"/>
  <c r="C3925" i="30"/>
  <c r="C3926" i="30"/>
  <c r="C3927" i="30"/>
  <c r="C3928" i="30"/>
  <c r="C3929" i="30"/>
  <c r="C3930" i="30"/>
  <c r="C3931" i="30"/>
  <c r="C3932" i="30"/>
  <c r="C3933" i="30"/>
  <c r="C3934" i="30"/>
  <c r="C3935" i="30"/>
  <c r="C3936" i="30"/>
  <c r="C3937" i="30"/>
  <c r="C3938" i="30"/>
  <c r="C3939" i="30"/>
  <c r="C3940" i="30"/>
  <c r="C3941" i="30"/>
  <c r="C3942" i="30"/>
  <c r="C3943" i="30"/>
  <c r="C3944" i="30"/>
  <c r="C3945" i="30"/>
  <c r="C3946" i="30"/>
  <c r="C3947" i="30"/>
  <c r="C3948" i="30"/>
  <c r="C3949" i="30"/>
  <c r="C3950" i="30"/>
  <c r="C3951" i="30"/>
  <c r="C3952" i="30"/>
  <c r="C3953" i="30"/>
  <c r="C3954" i="30"/>
  <c r="C3955" i="30"/>
  <c r="C3956" i="30"/>
  <c r="C3957" i="30"/>
  <c r="C3958" i="30"/>
  <c r="C3959" i="30"/>
  <c r="C3960" i="30"/>
  <c r="C3961" i="30"/>
  <c r="C3962" i="30"/>
  <c r="C3963" i="30"/>
  <c r="C3964" i="30"/>
  <c r="C3965" i="30"/>
  <c r="C3966" i="30"/>
  <c r="C3967" i="30"/>
  <c r="C3968" i="30"/>
  <c r="C3969" i="30"/>
  <c r="C3970" i="30"/>
  <c r="C3971" i="30"/>
  <c r="C3972" i="30"/>
  <c r="C3973" i="30"/>
  <c r="C3974" i="30"/>
  <c r="C3975" i="30"/>
  <c r="C3976" i="30"/>
  <c r="C3977" i="30"/>
  <c r="C3978" i="30"/>
  <c r="C3979" i="30"/>
  <c r="C3980" i="30"/>
  <c r="C3981" i="30"/>
  <c r="C3982" i="30"/>
  <c r="C3983" i="30"/>
  <c r="C3984" i="30"/>
  <c r="C3985" i="30"/>
  <c r="C3986" i="30"/>
  <c r="C3987" i="30"/>
  <c r="C3988" i="30"/>
  <c r="C3989" i="30"/>
  <c r="C3990" i="30"/>
  <c r="C3991" i="30"/>
  <c r="C3992" i="30"/>
  <c r="C3993" i="30"/>
  <c r="C3994" i="30"/>
  <c r="C3995" i="30"/>
  <c r="C3996" i="30"/>
  <c r="C3997" i="30"/>
  <c r="C3998" i="30"/>
  <c r="C3999" i="30"/>
  <c r="C4000" i="30"/>
  <c r="C4001" i="30"/>
  <c r="C4002" i="30"/>
  <c r="C4003" i="30"/>
  <c r="C4004" i="30"/>
  <c r="C4005" i="30"/>
  <c r="C4008" i="30"/>
  <c r="C4035" i="30"/>
  <c r="C4036" i="30"/>
  <c r="C4009" i="30"/>
  <c r="C4010" i="30"/>
  <c r="C4011" i="30"/>
  <c r="C4012" i="30"/>
  <c r="C4013" i="30"/>
  <c r="C4014" i="30"/>
  <c r="C4015" i="30"/>
  <c r="C4016" i="30"/>
  <c r="C4017" i="30"/>
  <c r="C4018" i="30"/>
  <c r="C4019" i="30"/>
  <c r="C4020" i="30"/>
  <c r="C4021" i="30"/>
  <c r="C4022" i="30"/>
  <c r="C4023" i="30"/>
  <c r="C4024" i="30"/>
  <c r="C4025" i="30"/>
  <c r="C4026" i="30"/>
  <c r="C4027" i="30"/>
  <c r="C4028" i="30"/>
  <c r="C4029" i="30"/>
  <c r="C4030" i="30"/>
  <c r="C4031" i="30"/>
  <c r="C4032" i="30"/>
  <c r="C4033" i="30"/>
  <c r="C4034" i="30"/>
  <c r="C4006" i="30"/>
  <c r="C4007" i="30"/>
  <c r="C4037" i="30"/>
  <c r="C4038" i="30"/>
  <c r="C4039" i="30"/>
  <c r="C4040" i="30"/>
  <c r="C4041" i="30"/>
  <c r="C4042" i="30"/>
  <c r="C4043" i="30"/>
  <c r="C4044" i="30"/>
  <c r="C4045" i="30"/>
  <c r="C4046" i="30"/>
  <c r="C4047" i="30"/>
  <c r="C4048" i="30"/>
  <c r="C4049" i="30"/>
  <c r="C4050" i="30"/>
  <c r="C4051" i="30"/>
  <c r="C4052" i="30"/>
  <c r="C4053" i="30"/>
  <c r="C4054" i="30"/>
  <c r="C4055" i="30"/>
  <c r="C4056" i="30"/>
  <c r="C4057" i="30"/>
  <c r="C4058" i="30"/>
  <c r="C4059" i="30"/>
  <c r="C4060" i="30"/>
  <c r="C4061" i="30"/>
  <c r="C4062" i="30"/>
  <c r="C4063" i="30"/>
  <c r="C4064" i="30"/>
  <c r="C4065" i="30"/>
  <c r="C4066" i="30"/>
  <c r="C4067" i="30"/>
  <c r="C4068" i="30"/>
  <c r="C4069" i="30"/>
  <c r="C4070" i="30"/>
  <c r="C4071" i="30"/>
  <c r="C4072" i="30"/>
  <c r="C4073" i="30"/>
  <c r="C4074" i="30"/>
  <c r="C4075" i="30"/>
  <c r="C4076" i="30"/>
  <c r="C4077" i="30"/>
  <c r="C4078" i="30"/>
  <c r="C4079" i="30"/>
  <c r="C4080" i="30"/>
  <c r="C4081" i="30"/>
  <c r="C4082" i="30"/>
  <c r="C4083" i="30"/>
  <c r="C4084" i="30"/>
  <c r="C4085" i="30"/>
  <c r="C4086" i="30"/>
  <c r="C4087" i="30"/>
  <c r="C4088" i="30"/>
  <c r="C4089" i="30"/>
  <c r="C4090" i="30"/>
  <c r="C4091" i="30"/>
  <c r="C4092" i="30"/>
  <c r="C4093" i="30"/>
  <c r="C4094" i="30"/>
  <c r="C4095" i="30"/>
  <c r="C4096" i="30"/>
  <c r="C4097" i="30"/>
  <c r="C4098" i="30"/>
  <c r="C4099" i="30"/>
  <c r="C4100" i="30"/>
  <c r="C4101" i="30"/>
  <c r="C4102" i="30"/>
  <c r="C4103" i="30"/>
  <c r="C4104" i="30"/>
  <c r="C4105" i="30"/>
  <c r="C4106" i="30"/>
  <c r="C4107" i="30"/>
  <c r="C4108" i="30"/>
  <c r="C4109" i="30"/>
  <c r="C4110" i="30"/>
  <c r="C4111" i="30"/>
  <c r="C4112" i="30"/>
  <c r="C4113" i="30"/>
  <c r="C4114" i="30"/>
  <c r="C4115" i="30"/>
  <c r="C4116" i="30"/>
  <c r="C4117" i="30"/>
  <c r="C4118" i="30"/>
  <c r="C4119" i="30"/>
  <c r="C4120" i="30"/>
  <c r="C4121" i="30"/>
  <c r="C4122" i="30"/>
  <c r="C4123" i="30"/>
  <c r="C4124" i="30"/>
  <c r="C4125" i="30"/>
  <c r="C4126" i="30"/>
  <c r="C4127" i="30"/>
  <c r="C4128" i="30"/>
  <c r="C4129" i="30"/>
  <c r="C4130" i="30"/>
  <c r="C4131" i="30"/>
  <c r="C4132" i="30"/>
  <c r="C4133" i="30"/>
  <c r="C4134" i="30"/>
  <c r="C4135" i="30"/>
  <c r="C4136" i="30"/>
  <c r="C4137" i="30"/>
  <c r="C4138" i="30"/>
  <c r="C4139" i="30"/>
  <c r="C4140" i="30"/>
  <c r="C4141" i="30"/>
  <c r="C4142" i="30"/>
  <c r="C4143" i="30"/>
  <c r="C4144" i="30"/>
  <c r="C4145" i="30"/>
  <c r="C4146" i="30"/>
  <c r="C4147" i="30"/>
  <c r="C4148" i="30"/>
  <c r="C4149" i="30"/>
  <c r="C4150" i="30"/>
  <c r="C4151" i="30"/>
  <c r="C4152" i="30"/>
  <c r="C4153" i="30"/>
  <c r="C4154" i="30"/>
  <c r="C4155" i="30"/>
  <c r="C4156" i="30"/>
  <c r="C4157" i="30"/>
  <c r="C4158" i="30"/>
  <c r="C4159" i="30"/>
  <c r="C4160" i="30"/>
  <c r="C4161" i="30"/>
  <c r="C4162" i="30"/>
  <c r="C4163" i="30"/>
  <c r="C4164" i="30"/>
  <c r="C4165" i="30"/>
  <c r="C4166" i="30"/>
  <c r="C4167" i="30"/>
  <c r="C4168" i="30"/>
  <c r="C4169" i="30"/>
  <c r="C4170" i="30"/>
  <c r="C4171" i="30"/>
  <c r="C4172" i="30"/>
  <c r="C4173" i="30"/>
  <c r="C4174" i="30"/>
  <c r="C4175" i="30"/>
  <c r="C4176" i="30"/>
  <c r="C4177" i="30"/>
  <c r="C4178" i="30"/>
  <c r="C4179" i="30"/>
  <c r="C4180" i="30"/>
  <c r="C4181" i="30"/>
  <c r="C4182" i="30"/>
  <c r="C4183" i="30"/>
  <c r="C4184" i="30"/>
  <c r="C4185" i="30"/>
  <c r="C4186" i="30"/>
  <c r="C4187" i="30"/>
  <c r="C4188" i="30"/>
  <c r="C4189" i="30"/>
  <c r="C4190" i="30"/>
  <c r="C4191" i="30"/>
  <c r="C4192" i="30"/>
  <c r="C4193" i="30"/>
  <c r="C4194" i="30"/>
  <c r="C4195" i="30"/>
  <c r="C4196" i="30"/>
  <c r="C4197" i="30"/>
  <c r="C4198" i="30"/>
  <c r="C4199" i="30"/>
  <c r="C4200" i="30"/>
  <c r="C4201" i="30"/>
  <c r="C4202" i="30"/>
  <c r="C4203" i="30"/>
  <c r="C4204" i="30"/>
  <c r="C4205" i="30"/>
  <c r="C4206" i="30"/>
  <c r="C4207" i="30"/>
  <c r="C4208" i="30"/>
  <c r="C4209" i="30"/>
  <c r="C4210" i="30"/>
  <c r="C4211" i="30"/>
  <c r="C4212" i="30"/>
  <c r="C4213" i="30"/>
  <c r="C4214" i="30"/>
  <c r="C4215" i="30"/>
  <c r="C4216" i="30"/>
  <c r="C4217" i="30"/>
  <c r="C4218" i="30"/>
  <c r="C4219" i="30"/>
  <c r="C4220" i="30"/>
  <c r="C4221" i="30"/>
  <c r="C4222" i="30"/>
  <c r="C4223" i="30"/>
  <c r="C4224" i="30"/>
  <c r="C4225" i="30"/>
  <c r="C4226" i="30"/>
  <c r="C4227" i="30"/>
  <c r="C4228" i="30"/>
  <c r="C4229" i="30"/>
  <c r="C4230" i="30"/>
  <c r="C4231" i="30"/>
  <c r="C4232" i="30"/>
  <c r="C4233" i="30"/>
  <c r="C4234" i="30"/>
  <c r="C4235" i="30"/>
  <c r="C4241" i="30"/>
  <c r="C4242" i="30"/>
  <c r="C4243" i="30"/>
  <c r="C4254" i="30"/>
  <c r="C4255" i="30"/>
  <c r="C4256" i="30"/>
  <c r="C4257" i="30"/>
  <c r="C4258" i="30"/>
  <c r="C4281" i="30"/>
  <c r="C4245" i="30"/>
  <c r="C4246" i="30"/>
  <c r="C4247" i="30"/>
  <c r="C4248" i="30"/>
  <c r="C4249" i="30"/>
  <c r="C4250" i="30"/>
  <c r="C4251" i="30"/>
  <c r="C4252" i="30"/>
  <c r="C4253" i="30"/>
  <c r="C4236" i="30"/>
  <c r="C4237" i="30"/>
  <c r="C4238" i="30"/>
  <c r="C4239" i="30"/>
  <c r="C4240" i="30"/>
  <c r="C4259" i="30"/>
  <c r="C4260" i="30"/>
  <c r="C4261" i="30"/>
  <c r="C4262" i="30"/>
  <c r="C4263" i="30"/>
  <c r="C4264" i="30"/>
  <c r="C4265" i="30"/>
  <c r="C4266" i="30"/>
  <c r="C4267" i="30"/>
  <c r="C4268" i="30"/>
  <c r="C4269" i="30"/>
  <c r="C4270" i="30"/>
  <c r="C4271" i="30"/>
  <c r="C4272" i="30"/>
  <c r="C4273" i="30"/>
  <c r="C4274" i="30"/>
  <c r="C4275" i="30"/>
  <c r="C4276" i="30"/>
  <c r="C4277" i="30"/>
  <c r="C4278" i="30"/>
  <c r="C4279" i="30"/>
  <c r="C4280" i="30"/>
  <c r="C4244" i="30"/>
  <c r="C4282" i="30"/>
  <c r="C4283" i="30"/>
  <c r="C4284" i="30"/>
  <c r="C4285" i="30"/>
  <c r="C4286" i="30"/>
  <c r="C4287" i="30"/>
  <c r="C4347" i="30"/>
  <c r="C4348" i="30"/>
  <c r="C4349" i="30"/>
  <c r="C4291" i="30"/>
  <c r="C4292" i="30"/>
  <c r="C4293" i="30"/>
  <c r="C4294" i="30"/>
  <c r="C4295" i="30"/>
  <c r="C4296" i="30"/>
  <c r="C4297" i="30"/>
  <c r="C4298" i="30"/>
  <c r="C4299" i="30"/>
  <c r="C4300" i="30"/>
  <c r="C4301" i="30"/>
  <c r="C4302" i="30"/>
  <c r="C4303" i="30"/>
  <c r="C4304" i="30"/>
  <c r="C4305" i="30"/>
  <c r="C4306" i="30"/>
  <c r="C4307" i="30"/>
  <c r="C4308" i="30"/>
  <c r="C4309" i="30"/>
  <c r="C4310" i="30"/>
  <c r="C4311" i="30"/>
  <c r="C4312" i="30"/>
  <c r="C4313" i="30"/>
  <c r="C4314" i="30"/>
  <c r="C4315" i="30"/>
  <c r="C4316" i="30"/>
  <c r="C4317" i="30"/>
  <c r="C4318" i="30"/>
  <c r="C4319" i="30"/>
  <c r="C4320" i="30"/>
  <c r="C4321" i="30"/>
  <c r="C4322" i="30"/>
  <c r="C4323" i="30"/>
  <c r="C4324" i="30"/>
  <c r="C4325" i="30"/>
  <c r="C4326" i="30"/>
  <c r="C4327" i="30"/>
  <c r="C4328" i="30"/>
  <c r="C4329" i="30"/>
  <c r="C4330" i="30"/>
  <c r="C4331" i="30"/>
  <c r="C4332" i="30"/>
  <c r="C4333" i="30"/>
  <c r="C4334" i="30"/>
  <c r="C4335" i="30"/>
  <c r="C4336" i="30"/>
  <c r="C4337" i="30"/>
  <c r="C4338" i="30"/>
  <c r="C4339" i="30"/>
  <c r="C4340" i="30"/>
  <c r="C4341" i="30"/>
  <c r="C4342" i="30"/>
  <c r="C4343" i="30"/>
  <c r="C4344" i="30"/>
  <c r="C4345" i="30"/>
  <c r="C4346" i="30"/>
  <c r="C4369" i="30"/>
  <c r="C4370" i="30"/>
  <c r="C4371" i="30"/>
  <c r="C4350" i="30"/>
  <c r="C4351" i="30"/>
  <c r="C4352" i="30"/>
  <c r="C4353" i="30"/>
  <c r="C4354" i="30"/>
  <c r="C4355" i="30"/>
  <c r="C4356" i="30"/>
  <c r="C4357" i="30"/>
  <c r="C4358" i="30"/>
  <c r="C4359" i="30"/>
  <c r="C4360" i="30"/>
  <c r="C4361" i="30"/>
  <c r="C4362" i="30"/>
  <c r="C4363" i="30"/>
  <c r="C4364" i="30"/>
  <c r="C4365" i="30"/>
  <c r="C4366" i="30"/>
  <c r="C4367" i="30"/>
  <c r="C4368" i="30"/>
  <c r="C4288" i="30"/>
  <c r="C4289" i="30"/>
  <c r="C4290" i="30"/>
  <c r="C4372" i="30"/>
  <c r="C4373" i="30"/>
  <c r="C4374" i="30"/>
  <c r="C4375" i="30"/>
  <c r="C4376" i="30"/>
  <c r="C4377" i="30"/>
  <c r="C4378" i="30"/>
  <c r="C4379" i="30"/>
  <c r="C4380" i="30"/>
  <c r="C4381" i="30"/>
  <c r="C4382" i="30"/>
  <c r="C4383" i="30"/>
  <c r="C4384" i="30"/>
  <c r="C4385" i="30"/>
  <c r="C4386" i="30"/>
  <c r="C4387" i="30"/>
  <c r="C4388" i="30"/>
  <c r="C4389" i="30"/>
  <c r="C4390" i="30"/>
  <c r="C4391" i="30"/>
  <c r="C4392" i="30"/>
  <c r="C4393" i="30"/>
  <c r="C4394" i="30"/>
  <c r="C4395" i="30"/>
  <c r="C4396" i="30"/>
  <c r="C4397" i="30"/>
  <c r="C4398" i="30"/>
  <c r="C4399" i="30"/>
  <c r="C4400" i="30"/>
  <c r="C4401" i="30"/>
  <c r="C4402" i="30"/>
  <c r="C4403" i="30"/>
  <c r="C4404" i="30"/>
  <c r="C4405" i="30"/>
  <c r="C4406" i="30"/>
  <c r="C4407" i="30"/>
  <c r="C4408" i="30"/>
  <c r="C4409" i="30"/>
  <c r="C4410" i="30"/>
  <c r="C4411" i="30"/>
  <c r="C4412" i="30"/>
  <c r="C4413" i="30"/>
  <c r="C4455" i="30"/>
  <c r="C4481" i="30"/>
  <c r="C4482" i="30"/>
  <c r="C4417" i="30"/>
  <c r="C4418" i="30"/>
  <c r="C4419" i="30"/>
  <c r="C4420" i="30"/>
  <c r="C4421" i="30"/>
  <c r="C4422" i="30"/>
  <c r="C4423" i="30"/>
  <c r="C4424" i="30"/>
  <c r="C4425" i="30"/>
  <c r="C4426" i="30"/>
  <c r="C4427" i="30"/>
  <c r="C4428" i="30"/>
  <c r="C4429" i="30"/>
  <c r="C4430" i="30"/>
  <c r="C4431" i="30"/>
  <c r="C4432" i="30"/>
  <c r="C4433" i="30"/>
  <c r="C4434" i="30"/>
  <c r="C4435" i="30"/>
  <c r="C4436" i="30"/>
  <c r="C4437" i="30"/>
  <c r="C4438" i="30"/>
  <c r="C4439" i="30"/>
  <c r="C4440" i="30"/>
  <c r="C4441" i="30"/>
  <c r="C4442" i="30"/>
  <c r="C4443" i="30"/>
  <c r="C4444" i="30"/>
  <c r="C4445" i="30"/>
  <c r="C4446" i="30"/>
  <c r="C4447" i="30"/>
  <c r="C4448" i="30"/>
  <c r="C4449" i="30"/>
  <c r="C4450" i="30"/>
  <c r="C4451" i="30"/>
  <c r="C4452" i="30"/>
  <c r="C4453" i="30"/>
  <c r="C4454" i="30"/>
  <c r="C4416" i="30"/>
  <c r="C4456" i="30"/>
  <c r="C4457" i="30"/>
  <c r="C4458" i="30"/>
  <c r="C4459" i="30"/>
  <c r="C4460" i="30"/>
  <c r="C4461" i="30"/>
  <c r="C4462" i="30"/>
  <c r="C4463" i="30"/>
  <c r="C4464" i="30"/>
  <c r="C4465" i="30"/>
  <c r="C4466" i="30"/>
  <c r="C4467" i="30"/>
  <c r="C4468" i="30"/>
  <c r="C4469" i="30"/>
  <c r="C4470" i="30"/>
  <c r="C4471" i="30"/>
  <c r="C4472" i="30"/>
  <c r="C4473" i="30"/>
  <c r="C4474" i="30"/>
  <c r="C4475" i="30"/>
  <c r="C4476" i="30"/>
  <c r="C4477" i="30"/>
  <c r="C4478" i="30"/>
  <c r="C4479" i="30"/>
  <c r="C4480" i="30"/>
  <c r="C4483" i="30"/>
  <c r="C4484" i="30"/>
  <c r="C4485" i="30"/>
  <c r="C4486" i="30"/>
  <c r="C4487" i="30"/>
  <c r="C4489" i="30"/>
  <c r="C4490" i="30"/>
  <c r="C4488" i="30"/>
  <c r="C4414" i="30"/>
  <c r="C4415" i="30"/>
  <c r="C4491" i="30"/>
  <c r="C4492" i="30"/>
  <c r="C4493" i="30"/>
  <c r="C4494" i="30"/>
  <c r="C4495" i="30"/>
  <c r="C4496" i="30"/>
  <c r="C4497" i="30"/>
  <c r="C4498" i="30"/>
  <c r="C4499" i="30"/>
  <c r="C4500" i="30"/>
  <c r="C4501" i="30"/>
  <c r="C4502" i="30"/>
  <c r="C4503" i="30"/>
  <c r="C4504" i="30"/>
  <c r="C4505" i="30"/>
  <c r="C4506" i="30"/>
  <c r="C4507" i="30"/>
  <c r="C4508" i="30"/>
  <c r="C4509" i="30"/>
  <c r="C4510" i="30"/>
  <c r="C4511" i="30"/>
  <c r="C4512" i="30"/>
  <c r="C4513" i="30"/>
  <c r="C4514" i="30"/>
  <c r="C4515" i="30"/>
  <c r="C4516" i="30"/>
  <c r="C4517" i="30"/>
  <c r="C4518" i="30"/>
  <c r="C4519" i="30"/>
  <c r="C4520" i="30"/>
  <c r="C4521" i="30"/>
  <c r="C4522" i="30"/>
  <c r="C4523" i="30"/>
  <c r="C4524" i="30"/>
  <c r="C4525" i="30"/>
  <c r="C4526" i="30"/>
  <c r="C4527" i="30"/>
  <c r="C4528" i="30"/>
  <c r="C4529" i="30"/>
  <c r="C4530" i="30"/>
  <c r="C4531" i="30"/>
  <c r="C4532" i="30"/>
  <c r="C4533" i="30"/>
  <c r="C4534" i="30"/>
  <c r="C4535" i="30"/>
  <c r="C4536" i="30"/>
  <c r="C4537" i="30"/>
  <c r="C4538" i="30"/>
  <c r="C4539" i="30"/>
  <c r="C4540" i="30"/>
  <c r="C4541" i="30"/>
  <c r="C4542" i="30"/>
  <c r="C4543" i="30"/>
  <c r="C4544" i="30"/>
  <c r="C4545" i="30"/>
  <c r="C4546" i="30"/>
  <c r="C4547" i="30"/>
  <c r="C4548" i="30"/>
  <c r="C4549" i="30"/>
  <c r="C4550" i="30"/>
  <c r="C4551" i="30"/>
  <c r="C4552" i="30"/>
  <c r="C4553" i="30"/>
  <c r="C4554" i="30"/>
  <c r="C4555" i="30"/>
  <c r="C4556" i="30"/>
  <c r="C4557" i="30"/>
  <c r="C4558" i="30"/>
  <c r="C4559" i="30"/>
  <c r="C4560" i="30"/>
  <c r="C4561" i="30"/>
  <c r="C4562" i="30"/>
  <c r="C4563" i="30"/>
  <c r="C4564" i="30"/>
  <c r="C4565" i="30"/>
  <c r="C4566" i="30"/>
  <c r="C4567" i="30"/>
  <c r="C4568" i="30"/>
  <c r="C4569" i="30"/>
  <c r="C4570" i="30"/>
  <c r="C4571" i="30"/>
  <c r="C4572" i="30"/>
  <c r="C4573" i="30"/>
  <c r="C4574" i="30"/>
  <c r="C4575" i="30"/>
  <c r="C4576" i="30"/>
  <c r="C4577" i="30"/>
  <c r="C4578" i="30"/>
  <c r="C4579" i="30"/>
  <c r="C4580" i="30"/>
  <c r="C4581" i="30"/>
  <c r="C4582" i="30"/>
  <c r="C4583" i="30"/>
  <c r="C4584" i="30"/>
  <c r="C4585" i="30"/>
  <c r="C4586" i="30"/>
  <c r="C4587" i="30"/>
  <c r="C4588" i="30"/>
  <c r="C4589" i="30"/>
  <c r="C4590" i="30"/>
  <c r="C4591" i="30"/>
  <c r="C4592" i="30"/>
  <c r="C4593" i="30"/>
  <c r="C4594" i="30"/>
  <c r="C4595" i="30"/>
  <c r="C4596" i="30"/>
  <c r="C4597" i="30"/>
  <c r="C4598" i="30"/>
  <c r="C4599" i="30"/>
  <c r="C4600" i="30"/>
  <c r="C4601" i="30"/>
  <c r="C4602" i="30"/>
  <c r="C4603" i="30"/>
  <c r="C4604" i="30"/>
  <c r="C4605" i="30"/>
  <c r="C4606" i="30"/>
  <c r="C4607" i="30"/>
  <c r="C4608" i="30"/>
  <c r="C4609" i="30"/>
  <c r="C4610" i="30"/>
  <c r="C4611" i="30"/>
  <c r="C4612" i="30"/>
  <c r="C4613" i="30"/>
  <c r="C4614" i="30"/>
  <c r="C4615" i="30"/>
  <c r="C4616" i="30"/>
  <c r="C4617" i="30"/>
  <c r="C4618" i="30"/>
  <c r="C4619" i="30"/>
  <c r="C4620" i="30"/>
  <c r="C4621" i="30"/>
  <c r="C4622" i="30"/>
  <c r="C4623" i="30"/>
  <c r="C4624" i="30"/>
  <c r="C4625" i="30"/>
  <c r="C4626" i="30"/>
  <c r="C4627" i="30"/>
  <c r="C4628" i="30"/>
  <c r="C4629" i="30"/>
  <c r="C4630" i="30"/>
  <c r="C4631" i="30"/>
  <c r="C4632" i="30"/>
  <c r="C4633" i="30"/>
  <c r="C4634" i="30"/>
  <c r="C4635" i="30"/>
  <c r="C4636" i="30"/>
  <c r="C4637" i="30"/>
  <c r="C4638" i="30"/>
  <c r="C4639" i="30"/>
  <c r="C4640" i="30"/>
  <c r="C4641" i="30"/>
  <c r="C4642" i="30"/>
  <c r="C4643" i="30"/>
  <c r="C4644" i="30"/>
  <c r="C4645" i="30"/>
  <c r="C4646" i="30"/>
  <c r="C4647" i="30"/>
  <c r="C4648" i="30"/>
  <c r="C4649" i="30"/>
  <c r="C4650" i="30"/>
  <c r="C4651" i="30"/>
  <c r="C4652" i="30"/>
  <c r="C4653" i="30"/>
  <c r="C4654" i="30"/>
  <c r="C4655" i="30"/>
  <c r="C4656" i="30"/>
  <c r="C4657" i="30"/>
  <c r="C4658" i="30"/>
  <c r="C4659" i="30"/>
  <c r="C4660" i="30"/>
  <c r="C4661" i="30"/>
  <c r="C4662" i="30"/>
  <c r="C4663" i="30"/>
  <c r="C4664" i="30"/>
  <c r="C4665" i="30"/>
  <c r="C4666" i="30"/>
  <c r="C4667" i="30"/>
  <c r="C4668" i="30"/>
  <c r="C4669" i="30"/>
  <c r="C4670" i="30"/>
  <c r="C4671" i="30"/>
  <c r="C4672" i="30"/>
  <c r="C4673" i="30"/>
  <c r="C4674" i="30"/>
  <c r="C4675" i="30"/>
  <c r="C4676" i="30"/>
  <c r="C4677" i="30"/>
  <c r="C4678" i="30"/>
  <c r="C4679" i="30"/>
  <c r="C4680" i="30"/>
  <c r="C4681" i="30"/>
  <c r="C4682" i="30"/>
  <c r="C4683" i="30"/>
  <c r="C4684" i="30"/>
  <c r="C4685" i="30"/>
  <c r="C4686" i="30"/>
  <c r="C4687" i="30"/>
  <c r="C4688" i="30"/>
  <c r="C4689" i="30"/>
  <c r="C4690" i="30"/>
  <c r="C4691" i="30"/>
  <c r="C4692" i="30"/>
  <c r="C4693" i="30"/>
  <c r="C4694" i="30"/>
  <c r="C4695" i="30"/>
  <c r="C4696" i="30"/>
  <c r="C4697" i="30"/>
  <c r="C4698" i="30"/>
  <c r="C4699" i="30"/>
  <c r="C4700" i="30"/>
  <c r="C4701" i="30"/>
  <c r="C4702" i="30"/>
  <c r="C4703" i="30"/>
  <c r="C4704" i="30"/>
  <c r="C4705" i="30"/>
  <c r="C4706" i="30"/>
  <c r="C4707" i="30"/>
  <c r="C4708" i="30"/>
  <c r="C4709" i="30"/>
  <c r="C4710" i="30"/>
  <c r="C4711" i="30"/>
  <c r="C4712" i="30"/>
  <c r="C4713" i="30"/>
  <c r="C4714" i="30"/>
  <c r="C4715" i="30"/>
  <c r="C4716" i="30"/>
  <c r="C4717" i="30"/>
  <c r="C4718" i="30"/>
  <c r="C4719" i="30"/>
  <c r="C4720" i="30"/>
  <c r="C4721" i="30"/>
  <c r="C4722" i="30"/>
  <c r="C4723" i="30"/>
  <c r="C4724" i="30"/>
  <c r="C4725" i="30"/>
  <c r="C4726" i="30"/>
  <c r="C4727" i="30"/>
  <c r="C4728" i="30"/>
  <c r="C4729" i="30"/>
  <c r="C4730" i="30"/>
  <c r="C4731" i="30"/>
  <c r="C4732" i="30"/>
  <c r="C4733" i="30"/>
  <c r="C4734" i="30"/>
  <c r="C4735" i="30"/>
  <c r="C4736" i="30"/>
  <c r="C4737" i="30"/>
  <c r="C4738" i="30"/>
  <c r="C4739" i="30"/>
  <c r="C4740" i="30"/>
  <c r="C4741" i="30"/>
  <c r="C4742" i="30"/>
  <c r="C4743" i="30"/>
  <c r="C4744" i="30"/>
  <c r="C4745" i="30"/>
  <c r="C4746" i="30"/>
  <c r="C4747" i="30"/>
  <c r="C4748" i="30"/>
  <c r="C4749" i="30"/>
  <c r="C4750" i="30"/>
  <c r="C4751" i="30"/>
  <c r="C4752" i="30"/>
  <c r="C4753" i="30"/>
  <c r="C4754" i="30"/>
  <c r="C4755" i="30"/>
  <c r="C4756" i="30"/>
  <c r="C4757" i="30"/>
  <c r="C4758" i="30"/>
  <c r="C4759" i="30"/>
  <c r="C4760" i="30"/>
  <c r="C4761" i="30"/>
  <c r="C4762" i="30"/>
  <c r="C4763" i="30"/>
  <c r="C4764" i="30"/>
  <c r="C4765" i="30"/>
  <c r="C4766" i="30"/>
  <c r="C4767" i="30"/>
  <c r="C4768" i="30"/>
  <c r="C4771" i="30"/>
  <c r="C4772" i="30"/>
  <c r="C4773" i="30"/>
  <c r="C4774" i="30"/>
  <c r="C4775" i="30"/>
  <c r="C4776" i="30"/>
  <c r="C4777" i="30"/>
  <c r="C4778" i="30"/>
  <c r="C4779" i="30"/>
  <c r="C4780" i="30"/>
  <c r="C4781" i="30"/>
  <c r="C4782" i="30"/>
  <c r="C4783" i="30"/>
  <c r="C4784" i="30"/>
  <c r="C4785" i="30"/>
  <c r="C4786" i="30"/>
  <c r="C4787" i="30"/>
  <c r="C4788" i="30"/>
  <c r="C4789" i="30"/>
  <c r="C4790" i="30"/>
  <c r="C4791" i="30"/>
  <c r="C4792" i="30"/>
  <c r="C4795" i="30"/>
  <c r="C4796" i="30"/>
  <c r="C4797" i="30"/>
  <c r="C4798" i="30"/>
  <c r="C4799" i="30"/>
  <c r="C4800" i="30"/>
  <c r="C4801" i="30"/>
  <c r="C4802" i="30"/>
  <c r="C4803" i="30"/>
  <c r="C4804" i="30"/>
  <c r="C4805" i="30"/>
  <c r="C4806" i="30"/>
  <c r="C4807" i="30"/>
  <c r="C4808" i="30"/>
  <c r="C4809" i="30"/>
  <c r="C4810" i="30"/>
  <c r="C4811" i="30"/>
  <c r="C4812" i="30"/>
  <c r="C4813" i="30"/>
  <c r="C4814" i="30"/>
  <c r="C4815" i="30"/>
  <c r="C4816" i="30"/>
  <c r="C4817" i="30"/>
  <c r="C4818" i="30"/>
  <c r="C4819" i="30"/>
  <c r="C4820" i="30"/>
  <c r="C4821" i="30"/>
  <c r="C4822" i="30"/>
  <c r="C4823" i="30"/>
  <c r="C4824" i="30"/>
  <c r="C4825" i="30"/>
  <c r="C4826" i="30"/>
  <c r="C4827" i="30"/>
  <c r="C4828" i="30"/>
  <c r="C4829" i="30"/>
  <c r="C4830" i="30"/>
  <c r="C4831" i="30"/>
  <c r="C4832" i="30"/>
  <c r="C4833" i="30"/>
  <c r="C4834" i="30"/>
  <c r="C4835" i="30"/>
  <c r="C4836" i="30"/>
  <c r="C4837" i="30"/>
  <c r="C4838" i="30"/>
  <c r="C4839" i="30"/>
  <c r="C4840" i="30"/>
  <c r="C4841" i="30"/>
  <c r="C4842" i="30"/>
  <c r="C4843" i="30"/>
  <c r="C4870" i="30"/>
  <c r="C4871" i="30"/>
  <c r="C4927" i="30"/>
  <c r="C4847" i="30"/>
  <c r="C4848" i="30"/>
  <c r="C4849" i="30"/>
  <c r="C4850" i="30"/>
  <c r="C4851" i="30"/>
  <c r="C4852" i="30"/>
  <c r="C4853" i="30"/>
  <c r="C4854" i="30"/>
  <c r="C4855" i="30"/>
  <c r="C4856" i="30"/>
  <c r="C4857" i="30"/>
  <c r="C4858" i="30"/>
  <c r="C4859" i="30"/>
  <c r="C4860" i="30"/>
  <c r="C4861" i="30"/>
  <c r="C4862" i="30"/>
  <c r="C4863" i="30"/>
  <c r="C4864" i="30"/>
  <c r="C4865" i="30"/>
  <c r="C4866" i="30"/>
  <c r="C4867" i="30"/>
  <c r="C4868" i="30"/>
  <c r="C4869" i="30"/>
  <c r="C4844" i="30"/>
  <c r="C4845" i="30"/>
  <c r="C4872" i="30"/>
  <c r="C4873" i="30"/>
  <c r="C4874" i="30"/>
  <c r="C4875" i="30"/>
  <c r="C4876" i="30"/>
  <c r="C4877" i="30"/>
  <c r="C4878" i="30"/>
  <c r="C4879" i="30"/>
  <c r="C4880" i="30"/>
  <c r="C4881" i="30"/>
  <c r="C4882" i="30"/>
  <c r="C4883" i="30"/>
  <c r="C4884" i="30"/>
  <c r="C4885" i="30"/>
  <c r="C4886" i="30"/>
  <c r="C4887" i="30"/>
  <c r="C4888" i="30"/>
  <c r="C4889" i="30"/>
  <c r="C4890" i="30"/>
  <c r="C4891" i="30"/>
  <c r="C4892" i="30"/>
  <c r="C4893" i="30"/>
  <c r="C4894" i="30"/>
  <c r="C4895" i="30"/>
  <c r="C4896" i="30"/>
  <c r="C4897" i="30"/>
  <c r="C4898" i="30"/>
  <c r="C4899" i="30"/>
  <c r="C4900" i="30"/>
  <c r="C4901" i="30"/>
  <c r="C4902" i="30"/>
  <c r="C4903" i="30"/>
  <c r="C4904" i="30"/>
  <c r="C4905" i="30"/>
  <c r="C4906" i="30"/>
  <c r="C4907" i="30"/>
  <c r="C4908" i="30"/>
  <c r="C4909" i="30"/>
  <c r="C4910" i="30"/>
  <c r="C4911" i="30"/>
  <c r="C4912" i="30"/>
  <c r="C4913" i="30"/>
  <c r="C4914" i="30"/>
  <c r="C4915" i="30"/>
  <c r="C4916" i="30"/>
  <c r="C4917" i="30"/>
  <c r="C4918" i="30"/>
  <c r="C4919" i="30"/>
  <c r="C4920" i="30"/>
  <c r="C4921" i="30"/>
  <c r="C4922" i="30"/>
  <c r="C4923" i="30"/>
  <c r="C4924" i="30"/>
  <c r="C4925" i="30"/>
  <c r="C4926" i="30"/>
  <c r="C4846" i="30"/>
  <c r="C4928" i="30"/>
  <c r="C4929" i="30"/>
  <c r="C4930" i="30"/>
  <c r="C4931" i="30"/>
  <c r="C4932" i="30"/>
  <c r="C4933" i="30"/>
  <c r="C4934" i="30"/>
  <c r="C4935" i="30"/>
  <c r="C4936" i="30"/>
  <c r="C4937" i="30"/>
  <c r="C4938" i="30"/>
  <c r="C4939" i="30"/>
  <c r="C4940" i="30"/>
  <c r="C4941" i="30"/>
  <c r="C4942" i="30"/>
  <c r="C4943" i="30"/>
  <c r="C4944" i="30"/>
  <c r="C4945" i="30"/>
  <c r="C4946" i="30"/>
  <c r="C4947" i="30"/>
  <c r="C4948" i="30"/>
  <c r="C4949" i="30"/>
  <c r="C4950" i="30"/>
  <c r="C4951" i="30"/>
  <c r="C4952" i="30"/>
  <c r="C4953" i="30"/>
  <c r="C4954" i="30"/>
  <c r="C4955" i="30"/>
  <c r="C4956" i="30"/>
  <c r="C4957" i="30"/>
  <c r="C4958" i="30"/>
  <c r="C4959" i="30"/>
  <c r="C4960" i="30"/>
  <c r="C4961" i="30"/>
  <c r="C4962" i="30"/>
  <c r="C4963" i="30"/>
  <c r="C4964" i="30"/>
  <c r="C4965" i="30"/>
  <c r="C4966" i="30"/>
  <c r="C4967" i="30"/>
  <c r="C4968" i="30"/>
  <c r="C4969" i="30"/>
  <c r="C4970" i="30"/>
  <c r="C4971" i="30"/>
  <c r="C4972" i="30"/>
  <c r="C4973" i="30"/>
  <c r="C4974" i="30"/>
  <c r="C4975" i="30"/>
  <c r="C4976" i="30"/>
  <c r="C4977" i="30"/>
  <c r="C4978" i="30"/>
  <c r="C4979" i="30"/>
  <c r="C4980" i="30"/>
  <c r="C4981" i="30"/>
  <c r="C4982" i="30"/>
  <c r="C4983" i="30"/>
  <c r="C4984" i="30"/>
  <c r="C4985" i="30"/>
  <c r="C4986" i="30"/>
  <c r="C4987" i="30"/>
  <c r="C4988" i="30"/>
  <c r="C4989" i="30"/>
  <c r="C4990" i="30"/>
  <c r="C4991" i="30"/>
  <c r="C4992" i="30"/>
  <c r="C4993" i="30"/>
  <c r="C4994" i="30"/>
  <c r="C4995" i="30"/>
  <c r="C4996" i="30"/>
  <c r="C4997" i="30"/>
  <c r="C4998" i="30"/>
  <c r="C4999" i="30"/>
  <c r="C5000" i="30"/>
  <c r="C5001" i="30"/>
  <c r="C5002" i="30"/>
  <c r="C5003" i="30"/>
  <c r="C5004" i="30"/>
  <c r="C5005" i="30"/>
  <c r="C5006" i="30"/>
  <c r="C5007" i="30"/>
  <c r="C5008" i="30"/>
  <c r="C5009" i="30"/>
  <c r="C5010" i="30"/>
  <c r="C5011" i="30"/>
  <c r="C5012" i="30"/>
  <c r="C5013" i="30"/>
  <c r="C5014" i="30"/>
  <c r="C5015" i="30"/>
  <c r="C5016" i="30"/>
  <c r="C5017" i="30"/>
  <c r="C5018" i="30"/>
  <c r="C5019" i="30"/>
  <c r="C5020" i="30"/>
  <c r="C5021" i="30"/>
  <c r="C5022" i="30"/>
  <c r="C5023" i="30"/>
  <c r="C5024" i="30"/>
  <c r="C5025" i="30"/>
  <c r="C5026" i="30"/>
  <c r="C5027" i="30"/>
  <c r="C5028" i="30"/>
  <c r="C5029" i="30"/>
  <c r="C5030" i="30"/>
  <c r="C5031" i="30"/>
  <c r="C5032" i="30"/>
  <c r="C5033" i="30"/>
  <c r="C5034" i="30"/>
  <c r="C5035" i="30"/>
  <c r="C5036" i="30"/>
  <c r="C5037" i="30"/>
  <c r="C5038" i="30"/>
  <c r="C5039" i="30"/>
  <c r="C5040" i="30"/>
  <c r="C5041" i="30"/>
  <c r="C5042" i="30"/>
  <c r="C5043" i="30"/>
  <c r="C5045" i="30"/>
  <c r="C5046" i="30"/>
  <c r="C5047" i="30"/>
  <c r="C5048" i="30"/>
  <c r="C5049" i="30"/>
  <c r="C5050" i="30"/>
  <c r="C5124" i="30"/>
  <c r="C5051" i="30"/>
  <c r="C5052" i="30"/>
  <c r="C5053" i="30"/>
  <c r="C5054" i="30"/>
  <c r="C5055" i="30"/>
  <c r="C5056" i="30"/>
  <c r="C5057" i="30"/>
  <c r="C5058" i="30"/>
  <c r="C5059" i="30"/>
  <c r="C5060" i="30"/>
  <c r="C5061" i="30"/>
  <c r="C5062" i="30"/>
  <c r="C5063" i="30"/>
  <c r="C5064" i="30"/>
  <c r="C5065" i="30"/>
  <c r="C5066" i="30"/>
  <c r="C5067" i="30"/>
  <c r="C5068" i="30"/>
  <c r="C5069" i="30"/>
  <c r="C5070" i="30"/>
  <c r="C5071" i="30"/>
  <c r="C5072" i="30"/>
  <c r="C5073" i="30"/>
  <c r="C5074" i="30"/>
  <c r="C5075" i="30"/>
  <c r="C5076" i="30"/>
  <c r="C5077" i="30"/>
  <c r="C5078" i="30"/>
  <c r="C5079" i="30"/>
  <c r="C5080" i="30"/>
  <c r="C5081" i="30"/>
  <c r="C5082" i="30"/>
  <c r="C5083" i="30"/>
  <c r="C5084" i="30"/>
  <c r="C5085" i="30"/>
  <c r="C5086" i="30"/>
  <c r="C5087" i="30"/>
  <c r="C5088" i="30"/>
  <c r="C5089" i="30"/>
  <c r="C5090" i="30"/>
  <c r="C5091" i="30"/>
  <c r="C5092" i="30"/>
  <c r="C5093" i="30"/>
  <c r="C5094" i="30"/>
  <c r="C5095" i="30"/>
  <c r="C5096" i="30"/>
  <c r="C5097" i="30"/>
  <c r="C5098" i="30"/>
  <c r="C5099" i="30"/>
  <c r="C5100" i="30"/>
  <c r="C5101" i="30"/>
  <c r="C5102" i="30"/>
  <c r="C5103" i="30"/>
  <c r="C5104" i="30"/>
  <c r="C5105" i="30"/>
  <c r="C5106" i="30"/>
  <c r="C5107" i="30"/>
  <c r="C5108" i="30"/>
  <c r="C5109" i="30"/>
  <c r="C5110" i="30"/>
  <c r="C5111" i="30"/>
  <c r="C5112" i="30"/>
  <c r="C5113" i="30"/>
  <c r="C5114" i="30"/>
  <c r="C5115" i="30"/>
  <c r="C5116" i="30"/>
  <c r="C5117" i="30"/>
  <c r="C5118" i="30"/>
  <c r="C5119" i="30"/>
  <c r="C5120" i="30"/>
  <c r="C5121" i="30"/>
  <c r="C5122" i="30"/>
  <c r="C5123" i="30"/>
  <c r="C5125" i="30"/>
  <c r="C5126" i="30"/>
  <c r="C5156" i="30"/>
  <c r="C5127" i="30"/>
  <c r="C5128" i="30"/>
  <c r="C5129" i="30"/>
  <c r="C5130" i="30"/>
  <c r="C5131" i="30"/>
  <c r="C5132" i="30"/>
  <c r="C5133" i="30"/>
  <c r="C5134" i="30"/>
  <c r="C5135" i="30"/>
  <c r="C5136" i="30"/>
  <c r="C5137" i="30"/>
  <c r="C5138" i="30"/>
  <c r="C5139" i="30"/>
  <c r="C5140" i="30"/>
  <c r="C5141" i="30"/>
  <c r="C5142" i="30"/>
  <c r="C5143" i="30"/>
  <c r="C5144" i="30"/>
  <c r="C5145" i="30"/>
  <c r="C5146" i="30"/>
  <c r="C5147" i="30"/>
  <c r="C5148" i="30"/>
  <c r="C5149" i="30"/>
  <c r="C5150" i="30"/>
  <c r="C5151" i="30"/>
  <c r="C5152" i="30"/>
  <c r="C5153" i="30"/>
  <c r="C5154" i="30"/>
  <c r="C5155" i="30"/>
  <c r="C5217" i="30"/>
  <c r="C5218" i="30"/>
  <c r="C5219" i="30"/>
  <c r="C5159" i="30"/>
  <c r="C5160" i="30"/>
  <c r="C5161" i="30"/>
  <c r="C5162" i="30"/>
  <c r="C5163" i="30"/>
  <c r="C5164" i="30"/>
  <c r="C5165" i="30"/>
  <c r="C5166" i="30"/>
  <c r="C5167" i="30"/>
  <c r="C5168" i="30"/>
  <c r="C5169" i="30"/>
  <c r="C5170" i="30"/>
  <c r="C5171" i="30"/>
  <c r="C5172" i="30"/>
  <c r="C5173" i="30"/>
  <c r="C5174" i="30"/>
  <c r="C5175" i="30"/>
  <c r="C5176" i="30"/>
  <c r="C5177" i="30"/>
  <c r="C5178" i="30"/>
  <c r="C5179" i="30"/>
  <c r="C5180" i="30"/>
  <c r="C5181" i="30"/>
  <c r="C5182" i="30"/>
  <c r="C5183" i="30"/>
  <c r="C5184" i="30"/>
  <c r="C5185" i="30"/>
  <c r="C5186" i="30"/>
  <c r="C5187" i="30"/>
  <c r="C5188" i="30"/>
  <c r="C5189" i="30"/>
  <c r="C5190" i="30"/>
  <c r="C5191" i="30"/>
  <c r="C5192" i="30"/>
  <c r="C5193" i="30"/>
  <c r="C5194" i="30"/>
  <c r="C5195" i="30"/>
  <c r="C5196" i="30"/>
  <c r="C5197" i="30"/>
  <c r="C5198" i="30"/>
  <c r="C5199" i="30"/>
  <c r="C5200" i="30"/>
  <c r="C5201" i="30"/>
  <c r="C5202" i="30"/>
  <c r="C5203" i="30"/>
  <c r="C5204" i="30"/>
  <c r="C5205" i="30"/>
  <c r="C5206" i="30"/>
  <c r="C5207" i="30"/>
  <c r="C5208" i="30"/>
  <c r="C5209" i="30"/>
  <c r="C5210" i="30"/>
  <c r="C5211" i="30"/>
  <c r="C5212" i="30"/>
  <c r="C5213" i="30"/>
  <c r="C5214" i="30"/>
  <c r="C5157" i="30"/>
  <c r="C5158" i="30"/>
  <c r="C5215" i="30"/>
  <c r="C5220" i="30"/>
  <c r="C5221" i="30"/>
  <c r="C5251" i="30"/>
  <c r="C5284" i="30"/>
  <c r="C5222" i="30"/>
  <c r="C5223" i="30"/>
  <c r="C5224" i="30"/>
  <c r="C5225" i="30"/>
  <c r="C5226" i="30"/>
  <c r="C5227" i="30"/>
  <c r="C5228" i="30"/>
  <c r="C5229" i="30"/>
  <c r="C5230" i="30"/>
  <c r="C5231" i="30"/>
  <c r="C5232" i="30"/>
  <c r="C5233" i="30"/>
  <c r="C5234" i="30"/>
  <c r="C5235" i="30"/>
  <c r="C5236" i="30"/>
  <c r="C5237" i="30"/>
  <c r="C5238" i="30"/>
  <c r="C5239" i="30"/>
  <c r="C5240" i="30"/>
  <c r="C5241" i="30"/>
  <c r="C5242" i="30"/>
  <c r="C5243" i="30"/>
  <c r="C5244" i="30"/>
  <c r="C5245" i="30"/>
  <c r="C5246" i="30"/>
  <c r="C5247" i="30"/>
  <c r="C5248" i="30"/>
  <c r="C5249" i="30"/>
  <c r="C5250" i="30"/>
  <c r="C5216" i="30"/>
  <c r="C5252" i="30"/>
  <c r="C5253" i="30"/>
  <c r="C5254" i="30"/>
  <c r="C5255" i="30"/>
  <c r="C5256" i="30"/>
  <c r="C5257" i="30"/>
  <c r="C5258" i="30"/>
  <c r="C5259" i="30"/>
  <c r="C5260" i="30"/>
  <c r="C5261" i="30"/>
  <c r="C5262" i="30"/>
  <c r="C5263" i="30"/>
  <c r="C5264" i="30"/>
  <c r="C5265" i="30"/>
  <c r="C5266" i="30"/>
  <c r="C5267" i="30"/>
  <c r="C5268" i="30"/>
  <c r="C5269" i="30"/>
  <c r="C5270" i="30"/>
  <c r="C5271" i="30"/>
  <c r="C5272" i="30"/>
  <c r="C5273" i="30"/>
  <c r="C5274" i="30"/>
  <c r="C5275" i="30"/>
  <c r="C5276" i="30"/>
  <c r="C5277" i="30"/>
  <c r="C5278" i="30"/>
  <c r="C5279" i="30"/>
  <c r="C5280" i="30"/>
  <c r="C5281" i="30"/>
  <c r="C5282" i="30"/>
  <c r="C5283" i="30"/>
  <c r="C5285" i="30"/>
  <c r="C5286" i="30"/>
  <c r="C5287" i="30"/>
  <c r="C5288" i="30"/>
  <c r="C5289" i="30"/>
  <c r="C5290" i="30"/>
  <c r="C5347" i="30"/>
  <c r="C5291" i="30"/>
  <c r="C5292" i="30"/>
  <c r="C5293" i="30"/>
  <c r="C5294" i="30"/>
  <c r="C5295" i="30"/>
  <c r="C5296" i="30"/>
  <c r="C5297" i="30"/>
  <c r="C5298" i="30"/>
  <c r="C5299" i="30"/>
  <c r="C5300" i="30"/>
  <c r="C5301" i="30"/>
  <c r="C5302" i="30"/>
  <c r="C5303" i="30"/>
  <c r="C5304" i="30"/>
  <c r="C5305" i="30"/>
  <c r="C5306" i="30"/>
  <c r="C5307" i="30"/>
  <c r="C5308" i="30"/>
  <c r="C5309" i="30"/>
  <c r="C5310" i="30"/>
  <c r="C5311" i="30"/>
  <c r="C5312" i="30"/>
  <c r="C5313" i="30"/>
  <c r="C5314" i="30"/>
  <c r="C5315" i="30"/>
  <c r="C5316" i="30"/>
  <c r="C5317" i="30"/>
  <c r="C5318" i="30"/>
  <c r="C5319" i="30"/>
  <c r="C5320" i="30"/>
  <c r="C5321" i="30"/>
  <c r="C5322" i="30"/>
  <c r="C5323" i="30"/>
  <c r="C5324" i="30"/>
  <c r="C5325" i="30"/>
  <c r="C5326" i="30"/>
  <c r="C5327" i="30"/>
  <c r="C5328" i="30"/>
  <c r="C5329" i="30"/>
  <c r="C5330" i="30"/>
  <c r="C5331" i="30"/>
  <c r="C5332" i="30"/>
  <c r="C5333" i="30"/>
  <c r="C5334" i="30"/>
  <c r="C5335" i="30"/>
  <c r="C5336" i="30"/>
  <c r="C5337" i="30"/>
  <c r="C5338" i="30"/>
  <c r="C5339" i="30"/>
  <c r="C5340" i="30"/>
  <c r="C5341" i="30"/>
  <c r="C5342" i="30"/>
  <c r="C5343" i="30"/>
  <c r="C5344" i="30"/>
  <c r="C5345" i="30"/>
  <c r="C5346" i="30"/>
  <c r="C5348" i="30"/>
  <c r="C5349" i="30"/>
  <c r="C5350" i="30"/>
  <c r="C5376" i="30"/>
  <c r="C5351" i="30"/>
  <c r="C5352" i="30"/>
  <c r="C5353" i="30"/>
  <c r="C5354" i="30"/>
  <c r="C5355" i="30"/>
  <c r="C5356" i="30"/>
  <c r="C5357" i="30"/>
  <c r="C5358" i="30"/>
  <c r="C5359" i="30"/>
  <c r="C5360" i="30"/>
  <c r="C5361" i="30"/>
  <c r="C5362" i="30"/>
  <c r="C5363" i="30"/>
  <c r="C5364" i="30"/>
  <c r="C5365" i="30"/>
  <c r="C5366" i="30"/>
  <c r="C5367" i="30"/>
  <c r="C5368" i="30"/>
  <c r="C5369" i="30"/>
  <c r="C5370" i="30"/>
  <c r="C5371" i="30"/>
  <c r="C5372" i="30"/>
  <c r="C5373" i="30"/>
  <c r="C5374" i="30"/>
  <c r="C5375" i="30"/>
  <c r="C5378" i="30"/>
  <c r="C5379" i="30"/>
  <c r="C5417" i="30"/>
  <c r="C5428" i="30"/>
  <c r="C5380" i="30"/>
  <c r="C5381" i="30"/>
  <c r="C5382" i="30"/>
  <c r="C5383" i="30"/>
  <c r="C5384" i="30"/>
  <c r="C5385" i="30"/>
  <c r="C5386" i="30"/>
  <c r="C5387" i="30"/>
  <c r="C5388" i="30"/>
  <c r="C5389" i="30"/>
  <c r="C5390" i="30"/>
  <c r="C5391" i="30"/>
  <c r="C5392" i="30"/>
  <c r="C5393" i="30"/>
  <c r="C5394" i="30"/>
  <c r="C5395" i="30"/>
  <c r="C5396" i="30"/>
  <c r="C5397" i="30"/>
  <c r="C5398" i="30"/>
  <c r="C5399" i="30"/>
  <c r="C5400" i="30"/>
  <c r="C5401" i="30"/>
  <c r="C5402" i="30"/>
  <c r="C5403" i="30"/>
  <c r="C5404" i="30"/>
  <c r="C5405" i="30"/>
  <c r="C5406" i="30"/>
  <c r="C5407" i="30"/>
  <c r="C5408" i="30"/>
  <c r="C5409" i="30"/>
  <c r="C5410" i="30"/>
  <c r="C5411" i="30"/>
  <c r="C5412" i="30"/>
  <c r="C5413" i="30"/>
  <c r="C5414" i="30"/>
  <c r="C5415" i="30"/>
  <c r="C5416" i="30"/>
  <c r="C5377" i="30"/>
  <c r="C5418" i="30"/>
  <c r="C5419" i="30"/>
  <c r="C5420" i="30"/>
  <c r="C5421" i="30"/>
  <c r="C5422" i="30"/>
  <c r="C5423" i="30"/>
  <c r="C5424" i="30"/>
  <c r="C5425" i="30"/>
  <c r="C5426" i="30"/>
  <c r="C5427" i="30"/>
  <c r="C5429" i="30"/>
  <c r="C5430" i="30"/>
  <c r="C5431" i="30"/>
  <c r="C5474" i="30"/>
  <c r="C5432" i="30"/>
  <c r="C5433" i="30"/>
  <c r="C5434" i="30"/>
  <c r="C5435" i="30"/>
  <c r="C5436" i="30"/>
  <c r="C5437" i="30"/>
  <c r="C5438" i="30"/>
  <c r="C5439" i="30"/>
  <c r="C5440" i="30"/>
  <c r="C5441" i="30"/>
  <c r="C5442" i="30"/>
  <c r="C5443" i="30"/>
  <c r="C5444" i="30"/>
  <c r="C5445" i="30"/>
  <c r="C5446" i="30"/>
  <c r="C5447" i="30"/>
  <c r="C5448" i="30"/>
  <c r="C5449" i="30"/>
  <c r="C5450" i="30"/>
  <c r="C5451" i="30"/>
  <c r="C5452" i="30"/>
  <c r="C5453" i="30"/>
  <c r="C5454" i="30"/>
  <c r="C5455" i="30"/>
  <c r="C5456" i="30"/>
  <c r="C5457" i="30"/>
  <c r="C5458" i="30"/>
  <c r="C5459" i="30"/>
  <c r="C5460" i="30"/>
  <c r="C5461" i="30"/>
  <c r="C5462" i="30"/>
  <c r="C5463" i="30"/>
  <c r="C5464" i="30"/>
  <c r="C5465" i="30"/>
  <c r="C5466" i="30"/>
  <c r="C5467" i="30"/>
  <c r="C5468" i="30"/>
  <c r="C5469" i="30"/>
  <c r="C5470" i="30"/>
  <c r="C5471" i="30"/>
  <c r="C5472" i="30"/>
  <c r="C5473" i="30"/>
  <c r="C5485" i="30"/>
  <c r="C5486" i="30"/>
  <c r="C5611" i="30"/>
  <c r="C5477" i="30"/>
  <c r="C5478" i="30"/>
  <c r="C5479" i="30"/>
  <c r="C5480" i="30"/>
  <c r="C5481" i="30"/>
  <c r="C5482" i="30"/>
  <c r="C5475" i="30"/>
  <c r="C5476" i="30"/>
  <c r="C5483" i="30"/>
  <c r="C5484" i="30"/>
  <c r="C5487" i="30"/>
  <c r="C5488" i="30"/>
  <c r="C5489" i="30"/>
  <c r="C5490" i="30"/>
  <c r="C5491" i="30"/>
  <c r="C5492" i="30"/>
  <c r="C5493" i="30"/>
  <c r="C5494" i="30"/>
  <c r="C5495" i="30"/>
  <c r="C5496" i="30"/>
  <c r="C5497" i="30"/>
  <c r="C5498" i="30"/>
  <c r="C5499" i="30"/>
  <c r="C5500" i="30"/>
  <c r="C5501" i="30"/>
  <c r="C5502" i="30"/>
  <c r="C5503" i="30"/>
  <c r="C5504" i="30"/>
  <c r="C5505" i="30"/>
  <c r="C5506" i="30"/>
  <c r="C5507" i="30"/>
  <c r="C5508" i="30"/>
  <c r="C5509" i="30"/>
  <c r="C5510" i="30"/>
  <c r="C5511" i="30"/>
  <c r="C5512" i="30"/>
  <c r="C5513" i="30"/>
  <c r="C5514" i="30"/>
  <c r="C5515" i="30"/>
  <c r="C5516" i="30"/>
  <c r="C5517" i="30"/>
  <c r="C5518" i="30"/>
  <c r="C5519" i="30"/>
  <c r="C5520" i="30"/>
  <c r="C5521" i="30"/>
  <c r="C5522" i="30"/>
  <c r="C5523" i="30"/>
  <c r="C5524" i="30"/>
  <c r="C5525" i="30"/>
  <c r="C5526" i="30"/>
  <c r="C5527" i="30"/>
  <c r="C5528" i="30"/>
  <c r="C5529" i="30"/>
  <c r="C5530" i="30"/>
  <c r="C5531" i="30"/>
  <c r="C5532" i="30"/>
  <c r="C5533" i="30"/>
  <c r="C5534" i="30"/>
  <c r="C5535" i="30"/>
  <c r="C5536" i="30"/>
  <c r="C5537" i="30"/>
  <c r="C5538" i="30"/>
  <c r="C5539" i="30"/>
  <c r="C5540" i="30"/>
  <c r="C5541" i="30"/>
  <c r="C5542" i="30"/>
  <c r="C5543" i="30"/>
  <c r="C5544" i="30"/>
  <c r="C5545" i="30"/>
  <c r="C5546" i="30"/>
  <c r="C5547" i="30"/>
  <c r="C5548" i="30"/>
  <c r="C5549" i="30"/>
  <c r="C5550" i="30"/>
  <c r="C5551" i="30"/>
  <c r="C5552" i="30"/>
  <c r="C5553" i="30"/>
  <c r="C5554" i="30"/>
  <c r="C5555" i="30"/>
  <c r="C5556" i="30"/>
  <c r="C5557" i="30"/>
  <c r="C5558" i="30"/>
  <c r="C5559" i="30"/>
  <c r="C5560" i="30"/>
  <c r="C5561" i="30"/>
  <c r="C5562" i="30"/>
  <c r="C5563" i="30"/>
  <c r="C5564" i="30"/>
  <c r="C5565" i="30"/>
  <c r="C5566" i="30"/>
  <c r="C5567" i="30"/>
  <c r="C5568" i="30"/>
  <c r="C5569" i="30"/>
  <c r="C5570" i="30"/>
  <c r="C5571" i="30"/>
  <c r="C5572" i="30"/>
  <c r="C5573" i="30"/>
  <c r="C5574" i="30"/>
  <c r="C5575" i="30"/>
  <c r="C5576" i="30"/>
  <c r="C5577" i="30"/>
  <c r="C5578" i="30"/>
  <c r="C5579" i="30"/>
  <c r="C5580" i="30"/>
  <c r="C5581" i="30"/>
  <c r="C5582" i="30"/>
  <c r="C5583" i="30"/>
  <c r="C5584" i="30"/>
  <c r="C5585" i="30"/>
  <c r="C5586" i="30"/>
  <c r="C5587" i="30"/>
  <c r="C5588" i="30"/>
  <c r="C5589" i="30"/>
  <c r="C5590" i="30"/>
  <c r="C5591" i="30"/>
  <c r="C5592" i="30"/>
  <c r="C5593" i="30"/>
  <c r="C5594" i="30"/>
  <c r="C5595" i="30"/>
  <c r="C5596" i="30"/>
  <c r="C5597" i="30"/>
  <c r="C5598" i="30"/>
  <c r="C5599" i="30"/>
  <c r="C5600" i="30"/>
  <c r="C5601" i="30"/>
  <c r="C5602" i="30"/>
  <c r="C5603" i="30"/>
  <c r="C5604" i="30"/>
  <c r="C5605" i="30"/>
  <c r="C5606" i="30"/>
  <c r="C5607" i="30"/>
  <c r="C5608" i="30"/>
  <c r="C5609" i="30"/>
  <c r="C5610" i="30"/>
  <c r="C5615" i="30"/>
  <c r="C5612" i="30"/>
  <c r="C5613" i="30"/>
  <c r="C5614" i="30"/>
  <c r="C5616" i="30"/>
  <c r="C5617" i="30"/>
  <c r="C5666" i="30"/>
  <c r="C5618" i="30"/>
  <c r="C5619" i="30"/>
  <c r="C5620" i="30"/>
  <c r="C5621" i="30"/>
  <c r="C5622" i="30"/>
  <c r="C5623" i="30"/>
  <c r="C5624" i="30"/>
  <c r="C5625" i="30"/>
  <c r="C5626" i="30"/>
  <c r="C5627" i="30"/>
  <c r="C5628" i="30"/>
  <c r="C5629" i="30"/>
  <c r="C5630" i="30"/>
  <c r="C5631" i="30"/>
  <c r="C5632" i="30"/>
  <c r="C5633" i="30"/>
  <c r="C5634" i="30"/>
  <c r="C5635" i="30"/>
  <c r="C5636" i="30"/>
  <c r="C5637" i="30"/>
  <c r="C5638" i="30"/>
  <c r="C5639" i="30"/>
  <c r="C5640" i="30"/>
  <c r="C5641" i="30"/>
  <c r="C5642" i="30"/>
  <c r="C5643" i="30"/>
  <c r="C5644" i="30"/>
  <c r="C5645" i="30"/>
  <c r="C5646" i="30"/>
  <c r="C5647" i="30"/>
  <c r="C5648" i="30"/>
  <c r="C5649" i="30"/>
  <c r="C5650" i="30"/>
  <c r="C5651" i="30"/>
  <c r="C5652" i="30"/>
  <c r="C5653" i="30"/>
  <c r="C5654" i="30"/>
  <c r="C5655" i="30"/>
  <c r="C5656" i="30"/>
  <c r="C5657" i="30"/>
  <c r="C5658" i="30"/>
  <c r="C5659" i="30"/>
  <c r="C5660" i="30"/>
  <c r="C5661" i="30"/>
  <c r="C5662" i="30"/>
  <c r="C5663" i="30"/>
  <c r="C5664" i="30"/>
  <c r="C5665" i="30"/>
  <c r="C5667" i="30"/>
  <c r="C5668" i="30"/>
  <c r="C5669" i="30"/>
  <c r="C5670" i="30"/>
  <c r="C5671" i="30"/>
  <c r="C5672" i="30"/>
  <c r="C5673" i="30"/>
  <c r="C5674" i="30"/>
  <c r="C5675" i="30"/>
  <c r="C5717" i="30"/>
  <c r="C5720" i="30"/>
  <c r="C5677" i="30"/>
  <c r="C5678" i="30"/>
  <c r="C5679" i="30"/>
  <c r="C5680" i="30"/>
  <c r="C5681" i="30"/>
  <c r="C5682" i="30"/>
  <c r="C5683" i="30"/>
  <c r="C5684" i="30"/>
  <c r="C5685" i="30"/>
  <c r="C5686" i="30"/>
  <c r="C5687" i="30"/>
  <c r="C5688" i="30"/>
  <c r="C5689" i="30"/>
  <c r="C5690" i="30"/>
  <c r="C5691" i="30"/>
  <c r="C5692" i="30"/>
  <c r="C5693" i="30"/>
  <c r="C5694" i="30"/>
  <c r="C5695" i="30"/>
  <c r="C5696" i="30"/>
  <c r="C5697" i="30"/>
  <c r="C5698" i="30"/>
  <c r="C5699" i="30"/>
  <c r="C5700" i="30"/>
  <c r="C5701" i="30"/>
  <c r="C5702" i="30"/>
  <c r="C5703" i="30"/>
  <c r="C5704" i="30"/>
  <c r="C5705" i="30"/>
  <c r="C5706" i="30"/>
  <c r="C5707" i="30"/>
  <c r="C5708" i="30"/>
  <c r="C5709" i="30"/>
  <c r="C5710" i="30"/>
  <c r="C5711" i="30"/>
  <c r="C5712" i="30"/>
  <c r="C5713" i="30"/>
  <c r="C5714" i="30"/>
  <c r="C5715" i="30"/>
  <c r="C5716" i="30"/>
  <c r="C5044" i="30"/>
  <c r="C5718" i="30"/>
  <c r="C5719" i="30"/>
  <c r="C5676" i="30"/>
  <c r="C5721" i="30"/>
  <c r="C5722" i="30"/>
  <c r="C5723" i="30"/>
  <c r="C5724" i="30"/>
  <c r="C5725" i="30"/>
  <c r="C5726" i="30"/>
  <c r="C5727" i="30"/>
  <c r="C5728" i="30"/>
  <c r="C5729" i="30"/>
  <c r="C5730" i="30"/>
  <c r="C5731" i="30"/>
  <c r="C5732" i="30"/>
  <c r="C5733" i="30"/>
  <c r="C5734" i="30"/>
  <c r="C5735" i="30"/>
  <c r="C5736" i="30"/>
  <c r="C5737" i="30"/>
  <c r="C5738" i="30"/>
  <c r="C5739" i="30"/>
  <c r="C5740" i="30"/>
  <c r="C5741" i="30"/>
  <c r="C5742" i="30"/>
  <c r="C5743" i="30"/>
  <c r="C5744" i="30"/>
  <c r="C5745" i="30"/>
  <c r="C5788" i="30"/>
  <c r="C5747" i="30"/>
  <c r="C5748" i="30"/>
  <c r="C5749" i="30"/>
  <c r="C5750" i="30"/>
  <c r="C5751" i="30"/>
  <c r="C5752" i="30"/>
  <c r="C5753" i="30"/>
  <c r="C5754" i="30"/>
  <c r="C5755" i="30"/>
  <c r="C5756" i="30"/>
  <c r="C5757" i="30"/>
  <c r="C5758" i="30"/>
  <c r="C5759" i="30"/>
  <c r="C5760" i="30"/>
  <c r="C5761" i="30"/>
  <c r="C5762" i="30"/>
  <c r="C5763" i="30"/>
  <c r="C5764" i="30"/>
  <c r="C5765" i="30"/>
  <c r="C5766" i="30"/>
  <c r="C5767" i="30"/>
  <c r="C5768" i="30"/>
  <c r="C5769" i="30"/>
  <c r="C5770" i="30"/>
  <c r="C5771" i="30"/>
  <c r="C5772" i="30"/>
  <c r="C5773" i="30"/>
  <c r="C5774" i="30"/>
  <c r="C5775" i="30"/>
  <c r="C5776" i="30"/>
  <c r="C5777" i="30"/>
  <c r="C5778" i="30"/>
  <c r="C5779" i="30"/>
  <c r="C5780" i="30"/>
  <c r="C5781" i="30"/>
  <c r="C5782" i="30"/>
  <c r="C5783" i="30"/>
  <c r="C5784" i="30"/>
  <c r="C5785" i="30"/>
  <c r="C5786" i="30"/>
  <c r="C5787" i="30"/>
  <c r="C5796" i="30"/>
  <c r="C5814" i="30"/>
  <c r="C5790" i="30"/>
  <c r="C5791" i="30"/>
  <c r="C5792" i="30"/>
  <c r="C5793" i="30"/>
  <c r="C5794" i="30"/>
  <c r="C5789" i="30"/>
  <c r="C5795" i="30"/>
  <c r="C5797" i="30"/>
  <c r="C5798" i="30"/>
  <c r="C5799" i="30"/>
  <c r="C5800" i="30"/>
  <c r="C5801" i="30"/>
  <c r="C5802" i="30"/>
  <c r="C5803" i="30"/>
  <c r="C5804" i="30"/>
  <c r="C5805" i="30"/>
  <c r="C5806" i="30"/>
  <c r="C5807" i="30"/>
  <c r="C5808" i="30"/>
  <c r="C5809" i="30"/>
  <c r="C5810" i="30"/>
  <c r="C5811" i="30"/>
  <c r="C5812" i="30"/>
  <c r="C5813" i="30"/>
  <c r="C5746" i="30"/>
  <c r="C5815" i="30"/>
  <c r="C5816" i="30"/>
  <c r="C5817" i="30"/>
  <c r="C5818" i="30"/>
  <c r="C5819" i="30"/>
  <c r="C5820" i="30"/>
  <c r="C5821" i="30"/>
  <c r="C5822" i="30"/>
  <c r="C5823" i="30"/>
  <c r="C5824" i="30"/>
  <c r="C5825" i="30"/>
  <c r="C5826" i="30"/>
  <c r="C5827" i="30"/>
  <c r="C5828" i="30"/>
  <c r="C5829" i="30"/>
  <c r="C5830" i="30"/>
  <c r="C5831" i="30"/>
  <c r="C5832" i="30"/>
  <c r="C5833" i="30"/>
  <c r="C5834" i="30"/>
  <c r="C5835" i="30"/>
  <c r="C5836" i="30"/>
  <c r="C5837" i="30"/>
  <c r="C5838" i="30"/>
  <c r="C5839" i="30"/>
  <c r="C5840" i="30"/>
  <c r="C5841" i="30"/>
  <c r="C5842" i="30"/>
  <c r="C5843" i="30"/>
  <c r="C5844" i="30"/>
  <c r="C5845" i="30"/>
  <c r="C5846" i="30"/>
  <c r="C5847" i="30"/>
  <c r="C5848" i="30"/>
  <c r="C5849" i="30"/>
  <c r="C5850" i="30"/>
  <c r="C5851" i="30"/>
  <c r="C5852" i="30"/>
  <c r="C5853" i="30"/>
  <c r="C5854" i="30"/>
  <c r="C5855" i="30"/>
  <c r="C5856" i="30"/>
  <c r="C5857" i="30"/>
  <c r="C5858" i="30"/>
  <c r="C5859" i="30"/>
  <c r="C5860" i="30"/>
  <c r="C5861" i="30"/>
  <c r="C5862" i="30"/>
  <c r="C5863" i="30"/>
  <c r="C5864" i="30"/>
  <c r="C5865" i="30"/>
  <c r="C5866" i="30"/>
  <c r="C5867" i="30"/>
  <c r="C5868" i="30"/>
  <c r="C5869" i="30"/>
  <c r="C5870" i="30"/>
  <c r="C5871" i="30"/>
  <c r="C5872" i="30"/>
  <c r="C5873" i="30"/>
  <c r="C5874" i="30"/>
  <c r="C5888" i="30"/>
  <c r="C5912" i="30"/>
  <c r="C5995" i="30"/>
  <c r="C5878" i="30"/>
  <c r="C5879" i="30"/>
  <c r="C5880" i="30"/>
  <c r="C5881" i="30"/>
  <c r="C5882" i="30"/>
  <c r="C5883" i="30"/>
  <c r="C5884" i="30"/>
  <c r="C5885" i="30"/>
  <c r="C5877" i="30"/>
  <c r="C5886" i="30"/>
  <c r="C5887" i="30"/>
  <c r="C5889" i="30"/>
  <c r="C5890" i="30"/>
  <c r="C5891" i="30"/>
  <c r="C5892" i="30"/>
  <c r="C5893" i="30"/>
  <c r="C5894" i="30"/>
  <c r="C5895" i="30"/>
  <c r="C5896" i="30"/>
  <c r="C5897" i="30"/>
  <c r="C5898" i="30"/>
  <c r="C5899" i="30"/>
  <c r="C5900" i="30"/>
  <c r="C5901" i="30"/>
  <c r="C5902" i="30"/>
  <c r="C5903" i="30"/>
  <c r="C5904" i="30"/>
  <c r="C5905" i="30"/>
  <c r="C5906" i="30"/>
  <c r="C5907" i="30"/>
  <c r="C5908" i="30"/>
  <c r="C5909" i="30"/>
  <c r="C5910" i="30"/>
  <c r="C5911" i="30"/>
  <c r="C5996" i="30"/>
  <c r="C5913" i="30"/>
  <c r="C5914" i="30"/>
  <c r="C5915" i="30"/>
  <c r="C5916" i="30"/>
  <c r="C5917" i="30"/>
  <c r="C5918" i="30"/>
  <c r="C5919" i="30"/>
  <c r="C5920" i="30"/>
  <c r="C5921" i="30"/>
  <c r="C5922" i="30"/>
  <c r="C5923" i="30"/>
  <c r="C5924" i="30"/>
  <c r="C5925" i="30"/>
  <c r="C5926" i="30"/>
  <c r="C5927" i="30"/>
  <c r="C5928" i="30"/>
  <c r="C5929" i="30"/>
  <c r="C5930" i="30"/>
  <c r="C5931" i="30"/>
  <c r="C5932" i="30"/>
  <c r="C5933" i="30"/>
  <c r="C5934" i="30"/>
  <c r="C5935" i="30"/>
  <c r="C5936" i="30"/>
  <c r="C5937" i="30"/>
  <c r="C5938" i="30"/>
  <c r="C5939" i="30"/>
  <c r="C5940" i="30"/>
  <c r="C5941" i="30"/>
  <c r="C5942" i="30"/>
  <c r="C5943" i="30"/>
  <c r="C5944" i="30"/>
  <c r="C5945" i="30"/>
  <c r="C5946" i="30"/>
  <c r="C5947" i="30"/>
  <c r="C5948" i="30"/>
  <c r="C5949" i="30"/>
  <c r="C5950" i="30"/>
  <c r="C5951" i="30"/>
  <c r="C5952" i="30"/>
  <c r="C5953" i="30"/>
  <c r="C5954" i="30"/>
  <c r="C5955" i="30"/>
  <c r="C5956" i="30"/>
  <c r="C5957" i="30"/>
  <c r="C5958" i="30"/>
  <c r="C5959" i="30"/>
  <c r="C5960" i="30"/>
  <c r="C5961" i="30"/>
  <c r="C5962" i="30"/>
  <c r="C5963" i="30"/>
  <c r="C5964" i="30"/>
  <c r="C5965" i="30"/>
  <c r="C5966" i="30"/>
  <c r="C5967" i="30"/>
  <c r="C5968" i="30"/>
  <c r="C5969" i="30"/>
  <c r="C5970" i="30"/>
  <c r="C5971" i="30"/>
  <c r="C5972" i="30"/>
  <c r="C5973" i="30"/>
  <c r="C5974" i="30"/>
  <c r="C5975" i="30"/>
  <c r="C5976" i="30"/>
  <c r="C5977" i="30"/>
  <c r="C5978" i="30"/>
  <c r="C5979" i="30"/>
  <c r="C5980" i="30"/>
  <c r="C5981" i="30"/>
  <c r="C5982" i="30"/>
  <c r="C5983" i="30"/>
  <c r="C5984" i="30"/>
  <c r="C5985" i="30"/>
  <c r="C5986" i="30"/>
  <c r="C5987" i="30"/>
  <c r="C5988" i="30"/>
  <c r="C5989" i="30"/>
  <c r="C5990" i="30"/>
  <c r="C5991" i="30"/>
  <c r="C5992" i="30"/>
  <c r="C5993" i="30"/>
  <c r="C5994" i="30"/>
  <c r="C5997" i="30"/>
  <c r="C5998" i="30"/>
  <c r="C5999" i="30"/>
  <c r="C6000" i="30"/>
  <c r="C6031" i="30"/>
  <c r="C6055" i="30"/>
  <c r="C6001" i="30"/>
  <c r="C6002" i="30"/>
  <c r="C6003" i="30"/>
  <c r="C6004" i="30"/>
  <c r="C6005" i="30"/>
  <c r="C6006" i="30"/>
  <c r="C6007" i="30"/>
  <c r="C6008" i="30"/>
  <c r="C6009" i="30"/>
  <c r="C6010" i="30"/>
  <c r="C6011" i="30"/>
  <c r="C6012" i="30"/>
  <c r="C5875" i="30"/>
  <c r="C5876" i="30"/>
  <c r="C6015" i="30"/>
  <c r="C6016" i="30"/>
  <c r="C6017" i="30"/>
  <c r="C6018" i="30"/>
  <c r="C6019" i="30"/>
  <c r="C6020" i="30"/>
  <c r="C6021" i="30"/>
  <c r="C6022" i="30"/>
  <c r="C6023" i="30"/>
  <c r="C6024" i="30"/>
  <c r="C6025" i="30"/>
  <c r="C6026" i="30"/>
  <c r="C6027" i="30"/>
  <c r="C6028" i="30"/>
  <c r="C6123" i="30"/>
  <c r="C6125" i="30"/>
  <c r="C6154" i="30"/>
  <c r="C6032" i="30"/>
  <c r="C6033" i="30"/>
  <c r="C6034" i="30"/>
  <c r="C6035" i="30"/>
  <c r="C6036" i="30"/>
  <c r="C6037" i="30"/>
  <c r="Q283" i="42" l="1"/>
  <c r="I725" i="29"/>
  <c r="J725" i="29" s="1"/>
  <c r="R283" i="42" l="1"/>
  <c r="R304" i="42" s="1"/>
  <c r="Q304" i="42"/>
  <c r="X556" i="4"/>
  <c r="X554" i="4"/>
  <c r="X555" i="4"/>
  <c r="X557" i="4"/>
  <c r="X558" i="4"/>
  <c r="X559" i="4"/>
  <c r="X560" i="4"/>
  <c r="AC554" i="4"/>
  <c r="AD554" i="4" s="1"/>
  <c r="AC555" i="4"/>
  <c r="AD555" i="4" s="1"/>
  <c r="AC556" i="4"/>
  <c r="AD556" i="4" s="1"/>
  <c r="AC557" i="4"/>
  <c r="AD557" i="4" s="1"/>
  <c r="AC558" i="4"/>
  <c r="AD558" i="4" s="1"/>
  <c r="AC559" i="4"/>
  <c r="AD559" i="4" s="1"/>
  <c r="AC560" i="4"/>
  <c r="AD560" i="4" s="1"/>
  <c r="T300" i="1"/>
  <c r="T301" i="1"/>
  <c r="I721" i="29"/>
  <c r="I722" i="29"/>
  <c r="J722" i="29" s="1"/>
  <c r="I723" i="29"/>
  <c r="J723" i="29" s="1"/>
  <c r="U152" i="42" s="1"/>
  <c r="I724" i="29"/>
  <c r="J724" i="29" s="1"/>
  <c r="T298" i="1" l="1"/>
  <c r="U298" i="42"/>
  <c r="T299" i="1"/>
  <c r="U299" i="42"/>
  <c r="AQ152" i="42"/>
  <c r="AT40" i="42" s="1"/>
  <c r="K179" i="1"/>
  <c r="J721" i="29" l="1"/>
  <c r="X553" i="4" l="1"/>
  <c r="AC553" i="4"/>
  <c r="AD553" i="4" s="1"/>
  <c r="X552" i="4"/>
  <c r="AC552" i="4"/>
  <c r="AD552" i="4" s="1"/>
  <c r="X551" i="4"/>
  <c r="AC551" i="4"/>
  <c r="AD551" i="4" s="1"/>
  <c r="X550" i="4"/>
  <c r="AC550" i="4"/>
  <c r="AD550" i="4" s="1"/>
  <c r="X549" i="4"/>
  <c r="AC549" i="4"/>
  <c r="AD549" i="4" s="1"/>
  <c r="X548" i="4"/>
  <c r="AC548" i="4"/>
  <c r="AD548" i="4" s="1"/>
  <c r="X544" i="4"/>
  <c r="X545" i="4"/>
  <c r="X546" i="4"/>
  <c r="X547" i="4"/>
  <c r="AC544" i="4"/>
  <c r="AD544" i="4" s="1"/>
  <c r="AC545" i="4"/>
  <c r="AD545" i="4" s="1"/>
  <c r="AC546" i="4"/>
  <c r="AD546" i="4" s="1"/>
  <c r="AC547" i="4"/>
  <c r="AD547" i="4" s="1"/>
  <c r="AK282" i="1"/>
  <c r="AK283" i="1"/>
  <c r="AK284" i="1"/>
  <c r="AK285" i="1"/>
  <c r="AK286" i="1"/>
  <c r="AK287" i="1"/>
  <c r="AK288" i="1"/>
  <c r="AK289" i="1"/>
  <c r="AK290" i="1"/>
  <c r="AK291" i="1"/>
  <c r="AK292" i="1"/>
  <c r="AK293" i="1"/>
  <c r="AK294" i="1"/>
  <c r="AK295" i="1"/>
  <c r="AK296" i="1"/>
  <c r="AK297" i="1"/>
  <c r="AK298" i="1"/>
  <c r="AK299" i="1"/>
  <c r="AK300" i="1"/>
  <c r="AK301" i="1"/>
  <c r="AK303" i="1"/>
  <c r="AK264" i="1"/>
  <c r="AK265" i="1"/>
  <c r="AK266" i="1"/>
  <c r="AK267" i="1"/>
  <c r="AK268" i="1"/>
  <c r="AK269" i="1"/>
  <c r="AK270" i="1"/>
  <c r="AK271" i="1"/>
  <c r="AK272" i="1"/>
  <c r="AK273" i="1"/>
  <c r="AK274" i="1"/>
  <c r="AK275" i="1"/>
  <c r="AK276" i="1"/>
  <c r="AK277" i="1"/>
  <c r="AK278" i="1"/>
  <c r="AK279" i="1"/>
  <c r="AK280" i="1"/>
  <c r="AK281" i="1"/>
  <c r="AJ281" i="1"/>
  <c r="AJ282" i="1"/>
  <c r="AJ283" i="1"/>
  <c r="AJ284" i="1"/>
  <c r="AJ285" i="1"/>
  <c r="AJ286" i="1"/>
  <c r="AJ287" i="1"/>
  <c r="AJ288" i="1"/>
  <c r="AJ289" i="1"/>
  <c r="AJ290" i="1"/>
  <c r="AJ291" i="1"/>
  <c r="AJ292" i="1"/>
  <c r="AJ293" i="1"/>
  <c r="AJ294" i="1"/>
  <c r="AJ295" i="1"/>
  <c r="AJ296" i="1"/>
  <c r="AJ297" i="1"/>
  <c r="AJ298" i="1"/>
  <c r="AJ299" i="1"/>
  <c r="AJ300" i="1"/>
  <c r="AJ301" i="1"/>
  <c r="AJ303" i="1"/>
  <c r="AI282" i="1"/>
  <c r="AI283" i="1"/>
  <c r="AI284" i="1"/>
  <c r="AI285" i="1"/>
  <c r="AI286" i="1"/>
  <c r="AI287" i="1"/>
  <c r="AI288" i="1"/>
  <c r="AI289" i="1"/>
  <c r="AI290" i="1"/>
  <c r="AI291" i="1"/>
  <c r="AI292" i="1"/>
  <c r="AI293" i="1"/>
  <c r="AI294" i="1"/>
  <c r="AI295" i="1"/>
  <c r="AI296" i="1"/>
  <c r="AI297" i="1"/>
  <c r="AI298" i="1"/>
  <c r="AI299" i="1"/>
  <c r="AI300" i="1"/>
  <c r="AI301" i="1"/>
  <c r="AI303" i="1"/>
  <c r="AI281" i="1"/>
  <c r="Q303" i="1"/>
  <c r="O303" i="1"/>
  <c r="N303" i="1"/>
  <c r="L303" i="1"/>
  <c r="K303" i="1"/>
  <c r="J303" i="1"/>
  <c r="I303" i="1"/>
  <c r="H303" i="1"/>
  <c r="Q301" i="1"/>
  <c r="O301" i="1"/>
  <c r="N301" i="1"/>
  <c r="L301" i="1"/>
  <c r="K301" i="1"/>
  <c r="J301" i="1"/>
  <c r="I301" i="1"/>
  <c r="H301" i="1"/>
  <c r="Q300" i="1"/>
  <c r="O300" i="1"/>
  <c r="N300" i="1"/>
  <c r="L300" i="1"/>
  <c r="K300" i="1"/>
  <c r="J300" i="1"/>
  <c r="I300" i="1"/>
  <c r="H300" i="1"/>
  <c r="Q299" i="1"/>
  <c r="O299" i="1"/>
  <c r="N299" i="1"/>
  <c r="L299" i="1"/>
  <c r="K299" i="1"/>
  <c r="J299" i="1"/>
  <c r="I299" i="1"/>
  <c r="H299" i="1"/>
  <c r="Q298" i="1"/>
  <c r="O298" i="1"/>
  <c r="N298" i="1"/>
  <c r="L298" i="1"/>
  <c r="K298" i="1"/>
  <c r="J298" i="1"/>
  <c r="I298" i="1"/>
  <c r="H298" i="1"/>
  <c r="Q297" i="1"/>
  <c r="O297" i="1"/>
  <c r="N297" i="1"/>
  <c r="L297" i="1"/>
  <c r="K297" i="1"/>
  <c r="J297" i="1"/>
  <c r="I297" i="1"/>
  <c r="H297" i="1"/>
  <c r="Q296" i="1"/>
  <c r="O296" i="1"/>
  <c r="N296" i="1"/>
  <c r="L296" i="1"/>
  <c r="K296" i="1"/>
  <c r="J296" i="1"/>
  <c r="I296" i="1"/>
  <c r="H296" i="1"/>
  <c r="Q295" i="1"/>
  <c r="O295" i="1"/>
  <c r="N295" i="1"/>
  <c r="L295" i="1"/>
  <c r="K295" i="1"/>
  <c r="J295" i="1"/>
  <c r="I295" i="1"/>
  <c r="H295" i="1"/>
  <c r="Q294" i="1"/>
  <c r="O294" i="1"/>
  <c r="N294" i="1"/>
  <c r="L294" i="1"/>
  <c r="K294" i="1"/>
  <c r="J294" i="1"/>
  <c r="I294" i="1"/>
  <c r="H294" i="1"/>
  <c r="Q293" i="1"/>
  <c r="O293" i="1"/>
  <c r="N293" i="1"/>
  <c r="L293" i="1"/>
  <c r="K293" i="1"/>
  <c r="J293" i="1"/>
  <c r="I293" i="1"/>
  <c r="H293" i="1"/>
  <c r="AB571" i="4" s="1"/>
  <c r="AE571" i="4" s="1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AD303" i="1" l="1"/>
  <c r="AD298" i="1"/>
  <c r="AD299" i="1"/>
  <c r="AD301" i="1"/>
  <c r="AD300" i="1"/>
  <c r="AD293" i="1"/>
  <c r="AD294" i="1"/>
  <c r="AD295" i="1"/>
  <c r="AD296" i="1"/>
  <c r="AD297" i="1"/>
  <c r="M293" i="1"/>
  <c r="M300" i="1"/>
  <c r="M296" i="1"/>
  <c r="M297" i="1"/>
  <c r="M298" i="1"/>
  <c r="M301" i="1"/>
  <c r="M299" i="1"/>
  <c r="M303" i="1"/>
  <c r="M294" i="1"/>
  <c r="M295" i="1"/>
  <c r="I708" i="29" l="1"/>
  <c r="J708" i="29" s="1"/>
  <c r="I709" i="29"/>
  <c r="J709" i="29" s="1"/>
  <c r="I710" i="29"/>
  <c r="J710" i="29" s="1"/>
  <c r="I711" i="29"/>
  <c r="J711" i="29" s="1"/>
  <c r="I712" i="29"/>
  <c r="J712" i="29" s="1"/>
  <c r="I713" i="29"/>
  <c r="J713" i="29" s="1"/>
  <c r="I714" i="29"/>
  <c r="J714" i="29" s="1"/>
  <c r="I715" i="29"/>
  <c r="J715" i="29" s="1"/>
  <c r="I716" i="29"/>
  <c r="J716" i="29" s="1"/>
  <c r="I717" i="29"/>
  <c r="J717" i="29" s="1"/>
  <c r="I718" i="29"/>
  <c r="J718" i="29" s="1"/>
  <c r="I719" i="29"/>
  <c r="J719" i="29" s="1"/>
  <c r="I720" i="29"/>
  <c r="J720" i="29" s="1"/>
  <c r="T296" i="1" l="1"/>
  <c r="U296" i="42"/>
  <c r="T293" i="1"/>
  <c r="U293" i="42"/>
  <c r="T295" i="1"/>
  <c r="U295" i="42"/>
  <c r="T297" i="1"/>
  <c r="U297" i="42"/>
  <c r="T294" i="1"/>
  <c r="U294" i="42"/>
  <c r="X542" i="4"/>
  <c r="X543" i="4"/>
  <c r="AC542" i="4"/>
  <c r="AD542" i="4" s="1"/>
  <c r="AC543" i="4"/>
  <c r="AD543" i="4" s="1"/>
  <c r="X539" i="4"/>
  <c r="X540" i="4"/>
  <c r="X541" i="4"/>
  <c r="AC539" i="4"/>
  <c r="AD539" i="4" s="1"/>
  <c r="AC540" i="4"/>
  <c r="AD540" i="4" s="1"/>
  <c r="AC541" i="4"/>
  <c r="AD541" i="4" s="1"/>
  <c r="X534" i="4"/>
  <c r="X535" i="4"/>
  <c r="X536" i="4"/>
  <c r="X537" i="4"/>
  <c r="X538" i="4"/>
  <c r="AC534" i="4"/>
  <c r="AD534" i="4" s="1"/>
  <c r="AC535" i="4"/>
  <c r="AD535" i="4" s="1"/>
  <c r="AC536" i="4"/>
  <c r="AD536" i="4" s="1"/>
  <c r="AC537" i="4"/>
  <c r="AD537" i="4" s="1"/>
  <c r="AC538" i="4"/>
  <c r="AD538" i="4" s="1"/>
  <c r="J836" i="4" l="1"/>
  <c r="J837" i="4"/>
  <c r="J838" i="4"/>
  <c r="J839" i="4"/>
  <c r="J840" i="4"/>
  <c r="J841" i="4"/>
  <c r="J842" i="4"/>
  <c r="J843" i="4"/>
  <c r="J844" i="4"/>
  <c r="J845" i="4"/>
  <c r="J846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H288" i="1" l="1"/>
  <c r="I288" i="1"/>
  <c r="J288" i="1"/>
  <c r="K288" i="1"/>
  <c r="L288" i="1"/>
  <c r="N288" i="1"/>
  <c r="O288" i="1"/>
  <c r="Q288" i="1"/>
  <c r="H289" i="1"/>
  <c r="I289" i="1"/>
  <c r="J289" i="1"/>
  <c r="K289" i="1"/>
  <c r="L289" i="1"/>
  <c r="N289" i="1"/>
  <c r="O289" i="1"/>
  <c r="Q289" i="1"/>
  <c r="H290" i="1"/>
  <c r="I290" i="1"/>
  <c r="J290" i="1"/>
  <c r="K290" i="1"/>
  <c r="L290" i="1"/>
  <c r="N290" i="1"/>
  <c r="O290" i="1"/>
  <c r="Q290" i="1"/>
  <c r="H291" i="1"/>
  <c r="I291" i="1"/>
  <c r="J291" i="1"/>
  <c r="K291" i="1"/>
  <c r="L291" i="1"/>
  <c r="N291" i="1"/>
  <c r="O291" i="1"/>
  <c r="Q291" i="1"/>
  <c r="H292" i="1"/>
  <c r="I292" i="1"/>
  <c r="J292" i="1"/>
  <c r="K292" i="1"/>
  <c r="L292" i="1"/>
  <c r="N292" i="1"/>
  <c r="O292" i="1"/>
  <c r="Q292" i="1"/>
  <c r="I690" i="29"/>
  <c r="J690" i="29" s="1"/>
  <c r="I691" i="29"/>
  <c r="J691" i="29" s="1"/>
  <c r="I692" i="29"/>
  <c r="J692" i="29" s="1"/>
  <c r="I693" i="29"/>
  <c r="J693" i="29" s="1"/>
  <c r="U302" i="42" s="1"/>
  <c r="I694" i="29"/>
  <c r="J694" i="29" s="1"/>
  <c r="I695" i="29"/>
  <c r="J695" i="29" s="1"/>
  <c r="I696" i="29"/>
  <c r="J696" i="29" s="1"/>
  <c r="I697" i="29"/>
  <c r="J697" i="29" s="1"/>
  <c r="I698" i="29"/>
  <c r="J698" i="29" s="1"/>
  <c r="I699" i="29"/>
  <c r="J699" i="29" s="1"/>
  <c r="I700" i="29"/>
  <c r="J700" i="29" s="1"/>
  <c r="I701" i="29"/>
  <c r="J701" i="29" s="1"/>
  <c r="I702" i="29"/>
  <c r="J702" i="29" s="1"/>
  <c r="I703" i="29"/>
  <c r="J703" i="29" s="1"/>
  <c r="I704" i="29"/>
  <c r="J704" i="29" s="1"/>
  <c r="I705" i="29"/>
  <c r="J705" i="29" s="1"/>
  <c r="I706" i="29"/>
  <c r="J706" i="29" s="1"/>
  <c r="I707" i="29"/>
  <c r="J707" i="29" s="1"/>
  <c r="U303" i="42" l="1"/>
  <c r="T302" i="1"/>
  <c r="T292" i="1"/>
  <c r="U292" i="42"/>
  <c r="T291" i="1"/>
  <c r="U291" i="42"/>
  <c r="T290" i="1"/>
  <c r="U290" i="42"/>
  <c r="T289" i="1"/>
  <c r="U289" i="42"/>
  <c r="T288" i="1"/>
  <c r="T303" i="1"/>
  <c r="AD292" i="1"/>
  <c r="AD291" i="1"/>
  <c r="AD290" i="1"/>
  <c r="AD289" i="1"/>
  <c r="AD288" i="1"/>
  <c r="M292" i="1"/>
  <c r="M288" i="1"/>
  <c r="M289" i="1"/>
  <c r="AB559" i="4" s="1"/>
  <c r="AE559" i="4" s="1"/>
  <c r="M291" i="1"/>
  <c r="M290" i="1"/>
  <c r="Q286" i="1" l="1"/>
  <c r="O286" i="1"/>
  <c r="N286" i="1"/>
  <c r="L286" i="1"/>
  <c r="K286" i="1"/>
  <c r="J286" i="1"/>
  <c r="I286" i="1"/>
  <c r="H286" i="1"/>
  <c r="AD286" i="1" l="1"/>
  <c r="M286" i="1"/>
  <c r="J821" i="4" l="1"/>
  <c r="J820" i="4"/>
  <c r="J819" i="4"/>
  <c r="J818" i="4"/>
  <c r="X526" i="4" l="1"/>
  <c r="X527" i="4"/>
  <c r="X528" i="4"/>
  <c r="X529" i="4"/>
  <c r="X530" i="4"/>
  <c r="X531" i="4"/>
  <c r="X532" i="4"/>
  <c r="X533" i="4"/>
  <c r="AC526" i="4"/>
  <c r="AD526" i="4" s="1"/>
  <c r="AC527" i="4"/>
  <c r="AD527" i="4" s="1"/>
  <c r="AC528" i="4"/>
  <c r="AD528" i="4" s="1"/>
  <c r="AC529" i="4"/>
  <c r="AD529" i="4" s="1"/>
  <c r="AC530" i="4"/>
  <c r="AD530" i="4" s="1"/>
  <c r="AC531" i="4"/>
  <c r="AD531" i="4" s="1"/>
  <c r="AC532" i="4"/>
  <c r="AD532" i="4" s="1"/>
  <c r="AC533" i="4"/>
  <c r="AD533" i="4" s="1"/>
  <c r="X521" i="4"/>
  <c r="X522" i="4"/>
  <c r="X523" i="4"/>
  <c r="X524" i="4"/>
  <c r="X525" i="4"/>
  <c r="AC521" i="4"/>
  <c r="AD521" i="4" s="1"/>
  <c r="AC522" i="4"/>
  <c r="AD522" i="4" s="1"/>
  <c r="AC523" i="4"/>
  <c r="AD523" i="4" s="1"/>
  <c r="AC524" i="4"/>
  <c r="AD524" i="4" s="1"/>
  <c r="AC525" i="4"/>
  <c r="AD525" i="4" s="1"/>
  <c r="X520" i="4"/>
  <c r="AC520" i="4"/>
  <c r="AD520" i="4" s="1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799" i="4"/>
  <c r="I689" i="29" l="1"/>
  <c r="J689" i="29" s="1"/>
  <c r="I688" i="29"/>
  <c r="J688" i="29" s="1"/>
  <c r="I687" i="29"/>
  <c r="J687" i="29" s="1"/>
  <c r="I686" i="29"/>
  <c r="J686" i="29" s="1"/>
  <c r="U285" i="42" s="1"/>
  <c r="I685" i="29"/>
  <c r="J685" i="29" s="1"/>
  <c r="I684" i="29"/>
  <c r="J684" i="29" s="1"/>
  <c r="Q285" i="1"/>
  <c r="Q287" i="1"/>
  <c r="O285" i="1"/>
  <c r="O287" i="1"/>
  <c r="N284" i="1"/>
  <c r="N285" i="1"/>
  <c r="N287" i="1"/>
  <c r="L285" i="1"/>
  <c r="L287" i="1"/>
  <c r="K285" i="1"/>
  <c r="K287" i="1"/>
  <c r="J285" i="1"/>
  <c r="J287" i="1"/>
  <c r="I284" i="1"/>
  <c r="I285" i="1"/>
  <c r="I287" i="1"/>
  <c r="H284" i="1"/>
  <c r="H285" i="1"/>
  <c r="H287" i="1"/>
  <c r="AQ285" i="42" l="1"/>
  <c r="AT203" i="42" s="1"/>
  <c r="T286" i="1"/>
  <c r="U286" i="42"/>
  <c r="T287" i="1"/>
  <c r="U287" i="42"/>
  <c r="AD287" i="1"/>
  <c r="AD285" i="1"/>
  <c r="T285" i="1"/>
  <c r="M287" i="1"/>
  <c r="M285" i="1"/>
  <c r="Q284" i="1"/>
  <c r="O284" i="1"/>
  <c r="O282" i="1"/>
  <c r="O283" i="1"/>
  <c r="L284" i="1"/>
  <c r="K284" i="1"/>
  <c r="J284" i="1"/>
  <c r="AQ286" i="42" l="1"/>
  <c r="AQ287" i="42"/>
  <c r="AT142" i="42" s="1"/>
  <c r="AD284" i="1"/>
  <c r="M284" i="1"/>
  <c r="H282" i="1"/>
  <c r="I283" i="1"/>
  <c r="X121" i="4"/>
  <c r="AC121" i="4"/>
  <c r="AD121" i="4" s="1"/>
  <c r="J790" i="4"/>
  <c r="J791" i="4"/>
  <c r="J792" i="4"/>
  <c r="J793" i="4"/>
  <c r="J794" i="4"/>
  <c r="J795" i="4"/>
  <c r="J796" i="4"/>
  <c r="J797" i="4"/>
  <c r="J798" i="4"/>
  <c r="I683" i="29"/>
  <c r="J683" i="29" s="1"/>
  <c r="U284" i="42" s="1"/>
  <c r="I682" i="29"/>
  <c r="J682" i="29" s="1"/>
  <c r="I681" i="29"/>
  <c r="J681" i="29" s="1"/>
  <c r="AQ284" i="42" l="1"/>
  <c r="AT229" i="42" s="1"/>
  <c r="T284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" i="1"/>
  <c r="N2" i="1"/>
  <c r="N3" i="1"/>
  <c r="P3" i="1" s="1"/>
  <c r="Q3" i="1" s="1"/>
  <c r="N4" i="1"/>
  <c r="P4" i="1" s="1"/>
  <c r="Q4" i="1" s="1"/>
  <c r="N5" i="1"/>
  <c r="P5" i="1" s="1"/>
  <c r="Q5" i="1" s="1"/>
  <c r="N6" i="1"/>
  <c r="P6" i="1" s="1"/>
  <c r="Q6" i="1" s="1"/>
  <c r="N7" i="1"/>
  <c r="P7" i="1" s="1"/>
  <c r="Q7" i="1" s="1"/>
  <c r="N8" i="1"/>
  <c r="P8" i="1" s="1"/>
  <c r="Q8" i="1" s="1"/>
  <c r="N9" i="1"/>
  <c r="P9" i="1" s="1"/>
  <c r="Q9" i="1" s="1"/>
  <c r="N10" i="1"/>
  <c r="P10" i="1" s="1"/>
  <c r="Q10" i="1" s="1"/>
  <c r="N11" i="1"/>
  <c r="P11" i="1" s="1"/>
  <c r="Q11" i="1" s="1"/>
  <c r="N12" i="1"/>
  <c r="P12" i="1" s="1"/>
  <c r="Q12" i="1" s="1"/>
  <c r="N13" i="1"/>
  <c r="P13" i="1" s="1"/>
  <c r="Q13" i="1" s="1"/>
  <c r="N14" i="1"/>
  <c r="P14" i="1" s="1"/>
  <c r="Q14" i="1" s="1"/>
  <c r="N15" i="1"/>
  <c r="P15" i="1" s="1"/>
  <c r="Q15" i="1" s="1"/>
  <c r="N16" i="1"/>
  <c r="P16" i="1" s="1"/>
  <c r="Q16" i="1" s="1"/>
  <c r="N17" i="1"/>
  <c r="P17" i="1" s="1"/>
  <c r="Q17" i="1" s="1"/>
  <c r="N18" i="1"/>
  <c r="P18" i="1" s="1"/>
  <c r="Q18" i="1" s="1"/>
  <c r="N19" i="1"/>
  <c r="P19" i="1" s="1"/>
  <c r="Q19" i="1" s="1"/>
  <c r="N20" i="1"/>
  <c r="P20" i="1" s="1"/>
  <c r="Q20" i="1" s="1"/>
  <c r="N21" i="1"/>
  <c r="P21" i="1" s="1"/>
  <c r="Q21" i="1" s="1"/>
  <c r="N22" i="1"/>
  <c r="P22" i="1" s="1"/>
  <c r="Q22" i="1" s="1"/>
  <c r="N23" i="1"/>
  <c r="P23" i="1" s="1"/>
  <c r="Q23" i="1" s="1"/>
  <c r="N24" i="1"/>
  <c r="P24" i="1" s="1"/>
  <c r="Q24" i="1" s="1"/>
  <c r="N25" i="1"/>
  <c r="P25" i="1" s="1"/>
  <c r="Q25" i="1" s="1"/>
  <c r="N26" i="1"/>
  <c r="P26" i="1" s="1"/>
  <c r="Q26" i="1" s="1"/>
  <c r="N27" i="1"/>
  <c r="P27" i="1" s="1"/>
  <c r="Q27" i="1" s="1"/>
  <c r="N28" i="1"/>
  <c r="P28" i="1" s="1"/>
  <c r="Q28" i="1" s="1"/>
  <c r="N29" i="1"/>
  <c r="P29" i="1" s="1"/>
  <c r="Q29" i="1" s="1"/>
  <c r="N30" i="1"/>
  <c r="P30" i="1" s="1"/>
  <c r="Q30" i="1" s="1"/>
  <c r="N31" i="1"/>
  <c r="P31" i="1" s="1"/>
  <c r="Q31" i="1" s="1"/>
  <c r="N32" i="1"/>
  <c r="P32" i="1" s="1"/>
  <c r="Q32" i="1" s="1"/>
  <c r="N33" i="1"/>
  <c r="P33" i="1" s="1"/>
  <c r="Q33" i="1" s="1"/>
  <c r="N34" i="1"/>
  <c r="P34" i="1" s="1"/>
  <c r="Q34" i="1" s="1"/>
  <c r="N35" i="1"/>
  <c r="P35" i="1" s="1"/>
  <c r="Q35" i="1" s="1"/>
  <c r="N36" i="1"/>
  <c r="P36" i="1" s="1"/>
  <c r="Q36" i="1" s="1"/>
  <c r="N37" i="1"/>
  <c r="P37" i="1" s="1"/>
  <c r="Q37" i="1" s="1"/>
  <c r="N38" i="1"/>
  <c r="P38" i="1" s="1"/>
  <c r="Q38" i="1" s="1"/>
  <c r="N39" i="1"/>
  <c r="P39" i="1" s="1"/>
  <c r="Q39" i="1" s="1"/>
  <c r="N40" i="1"/>
  <c r="P40" i="1" s="1"/>
  <c r="Q40" i="1" s="1"/>
  <c r="N41" i="1"/>
  <c r="P41" i="1" s="1"/>
  <c r="Q41" i="1" s="1"/>
  <c r="N42" i="1"/>
  <c r="P42" i="1" s="1"/>
  <c r="Q42" i="1" s="1"/>
  <c r="N43" i="1"/>
  <c r="P43" i="1" s="1"/>
  <c r="Q43" i="1" s="1"/>
  <c r="N44" i="1"/>
  <c r="P44" i="1" s="1"/>
  <c r="Q44" i="1" s="1"/>
  <c r="N45" i="1"/>
  <c r="P45" i="1" s="1"/>
  <c r="Q45" i="1" s="1"/>
  <c r="N46" i="1"/>
  <c r="P46" i="1" s="1"/>
  <c r="Q46" i="1" s="1"/>
  <c r="N47" i="1"/>
  <c r="P47" i="1" s="1"/>
  <c r="Q47" i="1" s="1"/>
  <c r="N48" i="1"/>
  <c r="P48" i="1" s="1"/>
  <c r="Q48" i="1" s="1"/>
  <c r="N49" i="1"/>
  <c r="P49" i="1" s="1"/>
  <c r="Q49" i="1" s="1"/>
  <c r="N50" i="1"/>
  <c r="P50" i="1" s="1"/>
  <c r="Q50" i="1" s="1"/>
  <c r="N51" i="1"/>
  <c r="P51" i="1" s="1"/>
  <c r="Q51" i="1" s="1"/>
  <c r="N52" i="1"/>
  <c r="P52" i="1" s="1"/>
  <c r="Q52" i="1" s="1"/>
  <c r="N53" i="1"/>
  <c r="P53" i="1" s="1"/>
  <c r="Q53" i="1" s="1"/>
  <c r="N54" i="1"/>
  <c r="P54" i="1" s="1"/>
  <c r="Q54" i="1" s="1"/>
  <c r="N55" i="1"/>
  <c r="P55" i="1" s="1"/>
  <c r="Q55" i="1" s="1"/>
  <c r="N56" i="1"/>
  <c r="P56" i="1" s="1"/>
  <c r="Q56" i="1" s="1"/>
  <c r="N57" i="1"/>
  <c r="P57" i="1" s="1"/>
  <c r="Q57" i="1" s="1"/>
  <c r="N58" i="1"/>
  <c r="P58" i="1" s="1"/>
  <c r="Q58" i="1" s="1"/>
  <c r="N59" i="1"/>
  <c r="P59" i="1" s="1"/>
  <c r="Q59" i="1" s="1"/>
  <c r="N60" i="1"/>
  <c r="P60" i="1" s="1"/>
  <c r="Q60" i="1" s="1"/>
  <c r="N61" i="1"/>
  <c r="P61" i="1" s="1"/>
  <c r="Q61" i="1" s="1"/>
  <c r="N62" i="1"/>
  <c r="P62" i="1" s="1"/>
  <c r="Q62" i="1" s="1"/>
  <c r="N63" i="1"/>
  <c r="P63" i="1" s="1"/>
  <c r="Q63" i="1" s="1"/>
  <c r="N64" i="1"/>
  <c r="P64" i="1" s="1"/>
  <c r="Q64" i="1" s="1"/>
  <c r="N65" i="1"/>
  <c r="P65" i="1" s="1"/>
  <c r="Q65" i="1" s="1"/>
  <c r="N66" i="1"/>
  <c r="P66" i="1" s="1"/>
  <c r="Q66" i="1" s="1"/>
  <c r="N67" i="1"/>
  <c r="P67" i="1" s="1"/>
  <c r="Q67" i="1" s="1"/>
  <c r="N68" i="1"/>
  <c r="P68" i="1" s="1"/>
  <c r="Q68" i="1" s="1"/>
  <c r="N69" i="1"/>
  <c r="P69" i="1" s="1"/>
  <c r="Q69" i="1" s="1"/>
  <c r="N70" i="1"/>
  <c r="P70" i="1" s="1"/>
  <c r="Q70" i="1" s="1"/>
  <c r="N71" i="1"/>
  <c r="P71" i="1" s="1"/>
  <c r="Q71" i="1" s="1"/>
  <c r="N72" i="1"/>
  <c r="P72" i="1" s="1"/>
  <c r="Q72" i="1" s="1"/>
  <c r="N73" i="1"/>
  <c r="P73" i="1" s="1"/>
  <c r="Q73" i="1" s="1"/>
  <c r="N74" i="1"/>
  <c r="P74" i="1" s="1"/>
  <c r="Q74" i="1" s="1"/>
  <c r="N75" i="1"/>
  <c r="P75" i="1" s="1"/>
  <c r="Q75" i="1" s="1"/>
  <c r="N76" i="1"/>
  <c r="P76" i="1" s="1"/>
  <c r="Q76" i="1" s="1"/>
  <c r="N77" i="1"/>
  <c r="P77" i="1" s="1"/>
  <c r="Q77" i="1" s="1"/>
  <c r="N78" i="1"/>
  <c r="P78" i="1" s="1"/>
  <c r="Q78" i="1" s="1"/>
  <c r="N79" i="1"/>
  <c r="P79" i="1" s="1"/>
  <c r="Q79" i="1" s="1"/>
  <c r="N80" i="1"/>
  <c r="P80" i="1" s="1"/>
  <c r="Q80" i="1" s="1"/>
  <c r="N81" i="1"/>
  <c r="P81" i="1" s="1"/>
  <c r="Q81" i="1" s="1"/>
  <c r="N82" i="1"/>
  <c r="P82" i="1" s="1"/>
  <c r="Q82" i="1" s="1"/>
  <c r="N83" i="1"/>
  <c r="P83" i="1" s="1"/>
  <c r="Q83" i="1" s="1"/>
  <c r="N84" i="1"/>
  <c r="P84" i="1" s="1"/>
  <c r="Q84" i="1" s="1"/>
  <c r="N85" i="1"/>
  <c r="P85" i="1" s="1"/>
  <c r="Q85" i="1" s="1"/>
  <c r="N86" i="1"/>
  <c r="P86" i="1" s="1"/>
  <c r="Q86" i="1" s="1"/>
  <c r="N87" i="1"/>
  <c r="P87" i="1" s="1"/>
  <c r="Q87" i="1" s="1"/>
  <c r="N88" i="1"/>
  <c r="P88" i="1" s="1"/>
  <c r="Q88" i="1" s="1"/>
  <c r="N89" i="1"/>
  <c r="P89" i="1" s="1"/>
  <c r="Q89" i="1" s="1"/>
  <c r="N90" i="1"/>
  <c r="P90" i="1" s="1"/>
  <c r="Q90" i="1" s="1"/>
  <c r="N91" i="1"/>
  <c r="P91" i="1" s="1"/>
  <c r="Q91" i="1" s="1"/>
  <c r="N92" i="1"/>
  <c r="P92" i="1" s="1"/>
  <c r="Q92" i="1" s="1"/>
  <c r="N93" i="1"/>
  <c r="P93" i="1" s="1"/>
  <c r="Q93" i="1" s="1"/>
  <c r="N94" i="1"/>
  <c r="P94" i="1" s="1"/>
  <c r="Q94" i="1" s="1"/>
  <c r="N95" i="1"/>
  <c r="P95" i="1" s="1"/>
  <c r="Q95" i="1" s="1"/>
  <c r="N96" i="1"/>
  <c r="P96" i="1" s="1"/>
  <c r="Q96" i="1" s="1"/>
  <c r="N97" i="1"/>
  <c r="P97" i="1" s="1"/>
  <c r="Q97" i="1" s="1"/>
  <c r="N98" i="1"/>
  <c r="P98" i="1" s="1"/>
  <c r="Q98" i="1" s="1"/>
  <c r="N99" i="1"/>
  <c r="P99" i="1" s="1"/>
  <c r="Q99" i="1" s="1"/>
  <c r="N100" i="1"/>
  <c r="P100" i="1" s="1"/>
  <c r="Q100" i="1" s="1"/>
  <c r="N101" i="1"/>
  <c r="P101" i="1" s="1"/>
  <c r="Q101" i="1" s="1"/>
  <c r="N102" i="1"/>
  <c r="P102" i="1" s="1"/>
  <c r="Q102" i="1" s="1"/>
  <c r="N103" i="1"/>
  <c r="P103" i="1" s="1"/>
  <c r="Q103" i="1" s="1"/>
  <c r="N104" i="1"/>
  <c r="P104" i="1" s="1"/>
  <c r="Q104" i="1" s="1"/>
  <c r="N105" i="1"/>
  <c r="P105" i="1" s="1"/>
  <c r="Q105" i="1" s="1"/>
  <c r="N106" i="1"/>
  <c r="P106" i="1" s="1"/>
  <c r="Q106" i="1" s="1"/>
  <c r="N107" i="1"/>
  <c r="P107" i="1" s="1"/>
  <c r="Q107" i="1" s="1"/>
  <c r="N108" i="1"/>
  <c r="P108" i="1" s="1"/>
  <c r="Q108" i="1" s="1"/>
  <c r="N109" i="1"/>
  <c r="P109" i="1" s="1"/>
  <c r="Q109" i="1" s="1"/>
  <c r="N110" i="1"/>
  <c r="P110" i="1" s="1"/>
  <c r="Q110" i="1" s="1"/>
  <c r="N111" i="1"/>
  <c r="P111" i="1" s="1"/>
  <c r="Q111" i="1" s="1"/>
  <c r="N112" i="1"/>
  <c r="P112" i="1" s="1"/>
  <c r="Q112" i="1" s="1"/>
  <c r="N113" i="1"/>
  <c r="P113" i="1" s="1"/>
  <c r="Q113" i="1" s="1"/>
  <c r="N114" i="1"/>
  <c r="P114" i="1" s="1"/>
  <c r="Q114" i="1" s="1"/>
  <c r="N115" i="1"/>
  <c r="P115" i="1" s="1"/>
  <c r="Q115" i="1" s="1"/>
  <c r="N116" i="1"/>
  <c r="P116" i="1" s="1"/>
  <c r="Q116" i="1" s="1"/>
  <c r="N117" i="1"/>
  <c r="P117" i="1" s="1"/>
  <c r="Q117" i="1" s="1"/>
  <c r="N118" i="1"/>
  <c r="P118" i="1" s="1"/>
  <c r="Q118" i="1" s="1"/>
  <c r="N119" i="1"/>
  <c r="P119" i="1" s="1"/>
  <c r="Q119" i="1" s="1"/>
  <c r="N120" i="1"/>
  <c r="P120" i="1" s="1"/>
  <c r="Q120" i="1" s="1"/>
  <c r="N121" i="1"/>
  <c r="P121" i="1" s="1"/>
  <c r="Q121" i="1" s="1"/>
  <c r="N122" i="1"/>
  <c r="P122" i="1" s="1"/>
  <c r="Q122" i="1" s="1"/>
  <c r="N123" i="1"/>
  <c r="P123" i="1" s="1"/>
  <c r="Q123" i="1" s="1"/>
  <c r="N124" i="1"/>
  <c r="P124" i="1" s="1"/>
  <c r="Q124" i="1" s="1"/>
  <c r="N125" i="1"/>
  <c r="P125" i="1" s="1"/>
  <c r="Q125" i="1" s="1"/>
  <c r="N126" i="1"/>
  <c r="P126" i="1" s="1"/>
  <c r="Q126" i="1" s="1"/>
  <c r="N127" i="1"/>
  <c r="P127" i="1" s="1"/>
  <c r="Q127" i="1" s="1"/>
  <c r="N128" i="1"/>
  <c r="P128" i="1" s="1"/>
  <c r="Q128" i="1" s="1"/>
  <c r="N129" i="1"/>
  <c r="P129" i="1" s="1"/>
  <c r="Q129" i="1" s="1"/>
  <c r="N130" i="1"/>
  <c r="P130" i="1" s="1"/>
  <c r="Q130" i="1" s="1"/>
  <c r="N131" i="1"/>
  <c r="P131" i="1" s="1"/>
  <c r="Q131" i="1" s="1"/>
  <c r="N132" i="1"/>
  <c r="P132" i="1" s="1"/>
  <c r="Q132" i="1" s="1"/>
  <c r="N133" i="1"/>
  <c r="P133" i="1" s="1"/>
  <c r="Q133" i="1" s="1"/>
  <c r="N134" i="1"/>
  <c r="P134" i="1" s="1"/>
  <c r="Q134" i="1" s="1"/>
  <c r="N135" i="1"/>
  <c r="P135" i="1" s="1"/>
  <c r="Q135" i="1" s="1"/>
  <c r="N136" i="1"/>
  <c r="P136" i="1" s="1"/>
  <c r="Q136" i="1" s="1"/>
  <c r="N137" i="1"/>
  <c r="P137" i="1" s="1"/>
  <c r="Q137" i="1" s="1"/>
  <c r="N138" i="1"/>
  <c r="P138" i="1" s="1"/>
  <c r="Q138" i="1" s="1"/>
  <c r="N139" i="1"/>
  <c r="P139" i="1" s="1"/>
  <c r="Q139" i="1" s="1"/>
  <c r="N140" i="1"/>
  <c r="P140" i="1" s="1"/>
  <c r="Q140" i="1" s="1"/>
  <c r="N141" i="1"/>
  <c r="P141" i="1" s="1"/>
  <c r="Q141" i="1" s="1"/>
  <c r="N142" i="1"/>
  <c r="P142" i="1" s="1"/>
  <c r="Q142" i="1" s="1"/>
  <c r="N143" i="1"/>
  <c r="P143" i="1" s="1"/>
  <c r="Q143" i="1" s="1"/>
  <c r="N144" i="1"/>
  <c r="P144" i="1" s="1"/>
  <c r="Q144" i="1" s="1"/>
  <c r="N145" i="1"/>
  <c r="P145" i="1" s="1"/>
  <c r="Q145" i="1" s="1"/>
  <c r="N146" i="1"/>
  <c r="P146" i="1" s="1"/>
  <c r="Q146" i="1" s="1"/>
  <c r="N147" i="1"/>
  <c r="P147" i="1" s="1"/>
  <c r="Q147" i="1" s="1"/>
  <c r="N148" i="1"/>
  <c r="P148" i="1" s="1"/>
  <c r="Q148" i="1" s="1"/>
  <c r="N149" i="1"/>
  <c r="P149" i="1" s="1"/>
  <c r="Q149" i="1" s="1"/>
  <c r="N150" i="1"/>
  <c r="P150" i="1" s="1"/>
  <c r="Q150" i="1" s="1"/>
  <c r="N151" i="1"/>
  <c r="P151" i="1" s="1"/>
  <c r="Q151" i="1" s="1"/>
  <c r="N152" i="1"/>
  <c r="P152" i="1" s="1"/>
  <c r="Q152" i="1" s="1"/>
  <c r="N153" i="1"/>
  <c r="P153" i="1" s="1"/>
  <c r="Q153" i="1" s="1"/>
  <c r="N154" i="1"/>
  <c r="P154" i="1" s="1"/>
  <c r="Q154" i="1" s="1"/>
  <c r="N155" i="1"/>
  <c r="P155" i="1" s="1"/>
  <c r="Q155" i="1" s="1"/>
  <c r="N156" i="1"/>
  <c r="P156" i="1" s="1"/>
  <c r="Q156" i="1" s="1"/>
  <c r="N157" i="1"/>
  <c r="P157" i="1" s="1"/>
  <c r="Q157" i="1" s="1"/>
  <c r="N158" i="1"/>
  <c r="P158" i="1" s="1"/>
  <c r="Q158" i="1" s="1"/>
  <c r="N159" i="1"/>
  <c r="P159" i="1" s="1"/>
  <c r="Q159" i="1" s="1"/>
  <c r="N160" i="1"/>
  <c r="P160" i="1" s="1"/>
  <c r="Q160" i="1" s="1"/>
  <c r="N161" i="1"/>
  <c r="P161" i="1" s="1"/>
  <c r="Q161" i="1" s="1"/>
  <c r="N162" i="1"/>
  <c r="P162" i="1" s="1"/>
  <c r="Q162" i="1" s="1"/>
  <c r="N163" i="1"/>
  <c r="P163" i="1" s="1"/>
  <c r="Q163" i="1" s="1"/>
  <c r="N164" i="1"/>
  <c r="P164" i="1" s="1"/>
  <c r="Q164" i="1" s="1"/>
  <c r="N165" i="1"/>
  <c r="P165" i="1" s="1"/>
  <c r="Q165" i="1" s="1"/>
  <c r="N166" i="1"/>
  <c r="P166" i="1" s="1"/>
  <c r="Q166" i="1" s="1"/>
  <c r="N167" i="1"/>
  <c r="P167" i="1" s="1"/>
  <c r="Q167" i="1" s="1"/>
  <c r="N168" i="1"/>
  <c r="P168" i="1" s="1"/>
  <c r="Q168" i="1" s="1"/>
  <c r="N169" i="1"/>
  <c r="P169" i="1" s="1"/>
  <c r="Q169" i="1" s="1"/>
  <c r="N170" i="1"/>
  <c r="P170" i="1" s="1"/>
  <c r="Q170" i="1" s="1"/>
  <c r="N171" i="1"/>
  <c r="P171" i="1" s="1"/>
  <c r="Q171" i="1" s="1"/>
  <c r="N172" i="1"/>
  <c r="P172" i="1" s="1"/>
  <c r="Q172" i="1" s="1"/>
  <c r="N173" i="1"/>
  <c r="P173" i="1" s="1"/>
  <c r="Q173" i="1" s="1"/>
  <c r="N174" i="1"/>
  <c r="P174" i="1" s="1"/>
  <c r="Q174" i="1" s="1"/>
  <c r="N175" i="1"/>
  <c r="P175" i="1" s="1"/>
  <c r="Q175" i="1" s="1"/>
  <c r="N176" i="1"/>
  <c r="P176" i="1" s="1"/>
  <c r="Q176" i="1" s="1"/>
  <c r="N177" i="1"/>
  <c r="P177" i="1" s="1"/>
  <c r="Q177" i="1" s="1"/>
  <c r="N178" i="1"/>
  <c r="P178" i="1" s="1"/>
  <c r="Q178" i="1" s="1"/>
  <c r="N179" i="1"/>
  <c r="P179" i="1" s="1"/>
  <c r="Q179" i="1" s="1"/>
  <c r="N180" i="1"/>
  <c r="P180" i="1" s="1"/>
  <c r="Q180" i="1" s="1"/>
  <c r="N181" i="1"/>
  <c r="P181" i="1" s="1"/>
  <c r="Q181" i="1" s="1"/>
  <c r="N182" i="1"/>
  <c r="P182" i="1" s="1"/>
  <c r="Q182" i="1" s="1"/>
  <c r="N183" i="1"/>
  <c r="P183" i="1" s="1"/>
  <c r="Q183" i="1" s="1"/>
  <c r="N184" i="1"/>
  <c r="P184" i="1" s="1"/>
  <c r="Q184" i="1" s="1"/>
  <c r="N185" i="1"/>
  <c r="P185" i="1" s="1"/>
  <c r="Q185" i="1" s="1"/>
  <c r="N186" i="1"/>
  <c r="P186" i="1" s="1"/>
  <c r="Q186" i="1" s="1"/>
  <c r="N187" i="1"/>
  <c r="P187" i="1" s="1"/>
  <c r="Q187" i="1" s="1"/>
  <c r="N188" i="1"/>
  <c r="P188" i="1" s="1"/>
  <c r="Q188" i="1" s="1"/>
  <c r="N189" i="1"/>
  <c r="P189" i="1" s="1"/>
  <c r="Q189" i="1" s="1"/>
  <c r="N190" i="1"/>
  <c r="P190" i="1" s="1"/>
  <c r="Q190" i="1" s="1"/>
  <c r="N191" i="1"/>
  <c r="P191" i="1" s="1"/>
  <c r="Q191" i="1" s="1"/>
  <c r="N192" i="1"/>
  <c r="P192" i="1" s="1"/>
  <c r="Q192" i="1" s="1"/>
  <c r="N193" i="1"/>
  <c r="P193" i="1" s="1"/>
  <c r="Q193" i="1" s="1"/>
  <c r="N194" i="1"/>
  <c r="P194" i="1" s="1"/>
  <c r="Q194" i="1" s="1"/>
  <c r="N195" i="1"/>
  <c r="P195" i="1" s="1"/>
  <c r="Q195" i="1" s="1"/>
  <c r="N196" i="1"/>
  <c r="P196" i="1" s="1"/>
  <c r="Q196" i="1" s="1"/>
  <c r="N197" i="1"/>
  <c r="P197" i="1" s="1"/>
  <c r="Q197" i="1" s="1"/>
  <c r="N198" i="1"/>
  <c r="P198" i="1" s="1"/>
  <c r="Q198" i="1" s="1"/>
  <c r="N199" i="1"/>
  <c r="P199" i="1" s="1"/>
  <c r="Q199" i="1" s="1"/>
  <c r="N200" i="1"/>
  <c r="P200" i="1" s="1"/>
  <c r="Q200" i="1" s="1"/>
  <c r="N201" i="1"/>
  <c r="P201" i="1" s="1"/>
  <c r="Q201" i="1" s="1"/>
  <c r="N202" i="1"/>
  <c r="P202" i="1" s="1"/>
  <c r="Q202" i="1" s="1"/>
  <c r="N203" i="1"/>
  <c r="P203" i="1" s="1"/>
  <c r="Q203" i="1" s="1"/>
  <c r="N204" i="1"/>
  <c r="P204" i="1" s="1"/>
  <c r="Q204" i="1" s="1"/>
  <c r="N205" i="1"/>
  <c r="P205" i="1" s="1"/>
  <c r="Q205" i="1" s="1"/>
  <c r="N206" i="1"/>
  <c r="P206" i="1" s="1"/>
  <c r="Q206" i="1" s="1"/>
  <c r="N207" i="1"/>
  <c r="P207" i="1" s="1"/>
  <c r="Q207" i="1" s="1"/>
  <c r="N208" i="1"/>
  <c r="P208" i="1" s="1"/>
  <c r="Q208" i="1" s="1"/>
  <c r="N209" i="1"/>
  <c r="P209" i="1" s="1"/>
  <c r="Q209" i="1" s="1"/>
  <c r="N210" i="1"/>
  <c r="P210" i="1" s="1"/>
  <c r="Q210" i="1" s="1"/>
  <c r="N211" i="1"/>
  <c r="P211" i="1" s="1"/>
  <c r="Q211" i="1" s="1"/>
  <c r="N212" i="1"/>
  <c r="P212" i="1" s="1"/>
  <c r="Q212" i="1" s="1"/>
  <c r="N213" i="1"/>
  <c r="P213" i="1" s="1"/>
  <c r="Q213" i="1" s="1"/>
  <c r="N214" i="1"/>
  <c r="P214" i="1" s="1"/>
  <c r="Q214" i="1" s="1"/>
  <c r="N215" i="1"/>
  <c r="P215" i="1" s="1"/>
  <c r="Q215" i="1" s="1"/>
  <c r="N216" i="1"/>
  <c r="P216" i="1" s="1"/>
  <c r="Q216" i="1" s="1"/>
  <c r="N218" i="1"/>
  <c r="P218" i="1" s="1"/>
  <c r="Q218" i="1" s="1"/>
  <c r="N219" i="1"/>
  <c r="P219" i="1" s="1"/>
  <c r="Q219" i="1" s="1"/>
  <c r="N220" i="1"/>
  <c r="P220" i="1" s="1"/>
  <c r="Q220" i="1" s="1"/>
  <c r="N221" i="1"/>
  <c r="P221" i="1" s="1"/>
  <c r="Q221" i="1" s="1"/>
  <c r="N222" i="1"/>
  <c r="P222" i="1" s="1"/>
  <c r="Q222" i="1" s="1"/>
  <c r="N223" i="1"/>
  <c r="P223" i="1" s="1"/>
  <c r="Q223" i="1" s="1"/>
  <c r="N224" i="1"/>
  <c r="P224" i="1" s="1"/>
  <c r="Q224" i="1" s="1"/>
  <c r="N225" i="1"/>
  <c r="P225" i="1" s="1"/>
  <c r="Q225" i="1" s="1"/>
  <c r="N226" i="1"/>
  <c r="P226" i="1" s="1"/>
  <c r="Q226" i="1" s="1"/>
  <c r="N227" i="1"/>
  <c r="P227" i="1" s="1"/>
  <c r="Q227" i="1" s="1"/>
  <c r="N228" i="1"/>
  <c r="P228" i="1" s="1"/>
  <c r="Q228" i="1" s="1"/>
  <c r="N229" i="1"/>
  <c r="P229" i="1" s="1"/>
  <c r="Q229" i="1" s="1"/>
  <c r="N230" i="1"/>
  <c r="P230" i="1" s="1"/>
  <c r="Q230" i="1" s="1"/>
  <c r="N231" i="1"/>
  <c r="P231" i="1" s="1"/>
  <c r="Q231" i="1" s="1"/>
  <c r="N232" i="1"/>
  <c r="P232" i="1" s="1"/>
  <c r="Q232" i="1" s="1"/>
  <c r="N233" i="1"/>
  <c r="P233" i="1" s="1"/>
  <c r="Q233" i="1" s="1"/>
  <c r="N234" i="1"/>
  <c r="P234" i="1" s="1"/>
  <c r="Q234" i="1" s="1"/>
  <c r="N235" i="1"/>
  <c r="P235" i="1" s="1"/>
  <c r="Q235" i="1" s="1"/>
  <c r="N236" i="1"/>
  <c r="P236" i="1" s="1"/>
  <c r="Q236" i="1" s="1"/>
  <c r="N237" i="1"/>
  <c r="P237" i="1" s="1"/>
  <c r="Q237" i="1" s="1"/>
  <c r="N238" i="1"/>
  <c r="P238" i="1" s="1"/>
  <c r="Q238" i="1" s="1"/>
  <c r="N239" i="1"/>
  <c r="P239" i="1" s="1"/>
  <c r="Q239" i="1" s="1"/>
  <c r="N240" i="1"/>
  <c r="P240" i="1" s="1"/>
  <c r="Q240" i="1" s="1"/>
  <c r="N241" i="1"/>
  <c r="P241" i="1" s="1"/>
  <c r="Q241" i="1" s="1"/>
  <c r="N242" i="1"/>
  <c r="P242" i="1" s="1"/>
  <c r="Q242" i="1" s="1"/>
  <c r="N243" i="1"/>
  <c r="P243" i="1" s="1"/>
  <c r="Q243" i="1" s="1"/>
  <c r="N244" i="1"/>
  <c r="P244" i="1" s="1"/>
  <c r="Q244" i="1" s="1"/>
  <c r="N245" i="1"/>
  <c r="P245" i="1" s="1"/>
  <c r="Q245" i="1" s="1"/>
  <c r="N246" i="1"/>
  <c r="P246" i="1" s="1"/>
  <c r="Q246" i="1" s="1"/>
  <c r="N247" i="1"/>
  <c r="P247" i="1" s="1"/>
  <c r="Q247" i="1" s="1"/>
  <c r="N248" i="1"/>
  <c r="P248" i="1" s="1"/>
  <c r="Q248" i="1" s="1"/>
  <c r="N249" i="1"/>
  <c r="P249" i="1" s="1"/>
  <c r="Q249" i="1" s="1"/>
  <c r="N250" i="1"/>
  <c r="P250" i="1" s="1"/>
  <c r="Q250" i="1" s="1"/>
  <c r="N251" i="1"/>
  <c r="P251" i="1" s="1"/>
  <c r="Q251" i="1" s="1"/>
  <c r="N252" i="1"/>
  <c r="P252" i="1" s="1"/>
  <c r="Q252" i="1" s="1"/>
  <c r="N253" i="1"/>
  <c r="P253" i="1" s="1"/>
  <c r="Q253" i="1" s="1"/>
  <c r="N254" i="1"/>
  <c r="P254" i="1" s="1"/>
  <c r="Q254" i="1" s="1"/>
  <c r="N255" i="1"/>
  <c r="P255" i="1" s="1"/>
  <c r="Q255" i="1" s="1"/>
  <c r="N256" i="1"/>
  <c r="P256" i="1" s="1"/>
  <c r="Q256" i="1" s="1"/>
  <c r="N257" i="1"/>
  <c r="P257" i="1" s="1"/>
  <c r="Q257" i="1" s="1"/>
  <c r="N258" i="1"/>
  <c r="P258" i="1" s="1"/>
  <c r="Q258" i="1" s="1"/>
  <c r="N259" i="1"/>
  <c r="P259" i="1" s="1"/>
  <c r="Q259" i="1" s="1"/>
  <c r="N260" i="1"/>
  <c r="P260" i="1" s="1"/>
  <c r="Q260" i="1" s="1"/>
  <c r="N261" i="1"/>
  <c r="P261" i="1" s="1"/>
  <c r="Q261" i="1" s="1"/>
  <c r="N262" i="1"/>
  <c r="P262" i="1" s="1"/>
  <c r="Q262" i="1" s="1"/>
  <c r="N263" i="1"/>
  <c r="P263" i="1" s="1"/>
  <c r="Q263" i="1" s="1"/>
  <c r="N264" i="1"/>
  <c r="P264" i="1" s="1"/>
  <c r="Q264" i="1" s="1"/>
  <c r="N265" i="1"/>
  <c r="P265" i="1" s="1"/>
  <c r="Q265" i="1" s="1"/>
  <c r="N266" i="1"/>
  <c r="P266" i="1" s="1"/>
  <c r="Q266" i="1" s="1"/>
  <c r="N267" i="1"/>
  <c r="P267" i="1" s="1"/>
  <c r="Q267" i="1" s="1"/>
  <c r="N268" i="1"/>
  <c r="P268" i="1" s="1"/>
  <c r="Q268" i="1" s="1"/>
  <c r="N269" i="1"/>
  <c r="P269" i="1" s="1"/>
  <c r="Q269" i="1" s="1"/>
  <c r="N270" i="1"/>
  <c r="P270" i="1" s="1"/>
  <c r="Q270" i="1" s="1"/>
  <c r="N271" i="1"/>
  <c r="P271" i="1" s="1"/>
  <c r="Q271" i="1" s="1"/>
  <c r="N272" i="1"/>
  <c r="P272" i="1" s="1"/>
  <c r="Q272" i="1" s="1"/>
  <c r="N273" i="1"/>
  <c r="P273" i="1" s="1"/>
  <c r="Q273" i="1" s="1"/>
  <c r="N274" i="1"/>
  <c r="P274" i="1" s="1"/>
  <c r="Q274" i="1" s="1"/>
  <c r="N275" i="1"/>
  <c r="P275" i="1" s="1"/>
  <c r="Q275" i="1" s="1"/>
  <c r="N276" i="1"/>
  <c r="P276" i="1" s="1"/>
  <c r="Q276" i="1" s="1"/>
  <c r="N277" i="1"/>
  <c r="P277" i="1" s="1"/>
  <c r="Q277" i="1" s="1"/>
  <c r="N278" i="1"/>
  <c r="P278" i="1" s="1"/>
  <c r="Q278" i="1" s="1"/>
  <c r="N279" i="1"/>
  <c r="P279" i="1" s="1"/>
  <c r="Q279" i="1" s="1"/>
  <c r="N280" i="1"/>
  <c r="P280" i="1" s="1"/>
  <c r="Q280" i="1" s="1"/>
  <c r="N281" i="1"/>
  <c r="P281" i="1" s="1"/>
  <c r="Q281" i="1" s="1"/>
  <c r="N282" i="1"/>
  <c r="P282" i="1" s="1"/>
  <c r="Q282" i="1" s="1"/>
  <c r="N283" i="1"/>
  <c r="N304" i="1" l="1"/>
  <c r="O304" i="1"/>
  <c r="P2" i="1"/>
  <c r="Q2" i="1" l="1"/>
  <c r="L283" i="1"/>
  <c r="K283" i="1"/>
  <c r="J283" i="1"/>
  <c r="H283" i="1"/>
  <c r="I680" i="29"/>
  <c r="J680" i="29" s="1"/>
  <c r="U283" i="42" s="1"/>
  <c r="I679" i="29"/>
  <c r="J679" i="29" s="1"/>
  <c r="I678" i="29"/>
  <c r="J678" i="29" s="1"/>
  <c r="I677" i="29"/>
  <c r="J677" i="29" s="1"/>
  <c r="AQ283" i="42" l="1"/>
  <c r="AT156" i="42" s="1"/>
  <c r="T283" i="1"/>
  <c r="AD283" i="1"/>
  <c r="M283" i="1"/>
  <c r="L282" i="1" l="1"/>
  <c r="K282" i="1"/>
  <c r="J282" i="1"/>
  <c r="I282" i="1"/>
  <c r="I676" i="29"/>
  <c r="J676" i="29" s="1"/>
  <c r="U282" i="42" s="1"/>
  <c r="I675" i="29"/>
  <c r="J675" i="29" s="1"/>
  <c r="I674" i="29"/>
  <c r="J674" i="29" s="1"/>
  <c r="AQ282" i="42" l="1"/>
  <c r="T282" i="1"/>
  <c r="AD282" i="1"/>
  <c r="M282" i="1"/>
  <c r="I653" i="29" l="1"/>
  <c r="J653" i="29" s="1"/>
  <c r="I654" i="29"/>
  <c r="J654" i="29" s="1"/>
  <c r="I655" i="29"/>
  <c r="J655" i="29" s="1"/>
  <c r="I656" i="29"/>
  <c r="J656" i="29" s="1"/>
  <c r="I657" i="29"/>
  <c r="J657" i="29" s="1"/>
  <c r="I658" i="29"/>
  <c r="J658" i="29" s="1"/>
  <c r="I659" i="29"/>
  <c r="J659" i="29" s="1"/>
  <c r="I660" i="29"/>
  <c r="J660" i="29" s="1"/>
  <c r="I661" i="29"/>
  <c r="J661" i="29" s="1"/>
  <c r="I662" i="29"/>
  <c r="J662" i="29" s="1"/>
  <c r="U164" i="42" s="1"/>
  <c r="I663" i="29"/>
  <c r="J663" i="29" s="1"/>
  <c r="I664" i="29"/>
  <c r="J664" i="29" s="1"/>
  <c r="I665" i="29"/>
  <c r="J665" i="29" s="1"/>
  <c r="I666" i="29"/>
  <c r="J666" i="29" s="1"/>
  <c r="I667" i="29"/>
  <c r="J667" i="29" s="1"/>
  <c r="I668" i="29"/>
  <c r="J668" i="29" s="1"/>
  <c r="I669" i="29"/>
  <c r="J669" i="29" s="1"/>
  <c r="I670" i="29"/>
  <c r="J670" i="29" s="1"/>
  <c r="I671" i="29"/>
  <c r="J671" i="29" s="1"/>
  <c r="I672" i="29"/>
  <c r="J672" i="29" s="1"/>
  <c r="I673" i="29"/>
  <c r="J673" i="29" s="1"/>
  <c r="AQ164" i="42" l="1"/>
  <c r="AT149" i="42" s="1"/>
  <c r="X495" i="4"/>
  <c r="X496" i="4"/>
  <c r="AC495" i="4"/>
  <c r="AD495" i="4" s="1"/>
  <c r="AC496" i="4"/>
  <c r="AD496" i="4" s="1"/>
  <c r="AI260" i="1"/>
  <c r="AJ260" i="1"/>
  <c r="AK260" i="1"/>
  <c r="AI261" i="1"/>
  <c r="AJ261" i="1"/>
  <c r="AK261" i="1"/>
  <c r="AI262" i="1"/>
  <c r="AJ262" i="1"/>
  <c r="AK262" i="1"/>
  <c r="AI263" i="1"/>
  <c r="AJ263" i="1"/>
  <c r="AK263" i="1"/>
  <c r="AI264" i="1"/>
  <c r="AJ264" i="1"/>
  <c r="AI265" i="1"/>
  <c r="AJ265" i="1"/>
  <c r="AI266" i="1"/>
  <c r="AJ266" i="1"/>
  <c r="AI267" i="1"/>
  <c r="AJ267" i="1"/>
  <c r="AI268" i="1"/>
  <c r="AJ268" i="1"/>
  <c r="AI269" i="1"/>
  <c r="AJ269" i="1"/>
  <c r="AI270" i="1"/>
  <c r="AJ270" i="1"/>
  <c r="AI271" i="1"/>
  <c r="AJ271" i="1"/>
  <c r="AI272" i="1"/>
  <c r="AJ272" i="1"/>
  <c r="AI273" i="1"/>
  <c r="AJ273" i="1"/>
  <c r="AI274" i="1"/>
  <c r="AJ274" i="1"/>
  <c r="AI275" i="1"/>
  <c r="AJ275" i="1"/>
  <c r="AI276" i="1"/>
  <c r="AJ276" i="1"/>
  <c r="AI277" i="1"/>
  <c r="AJ277" i="1"/>
  <c r="AI278" i="1"/>
  <c r="AJ278" i="1"/>
  <c r="AI279" i="1"/>
  <c r="AJ279" i="1"/>
  <c r="AI280" i="1"/>
  <c r="AJ280" i="1"/>
  <c r="X279" i="4"/>
  <c r="X288" i="4"/>
  <c r="X167" i="4"/>
  <c r="X190" i="4"/>
  <c r="X368" i="4"/>
  <c r="X166" i="4"/>
  <c r="X186" i="4"/>
  <c r="X287" i="4"/>
  <c r="X278" i="4"/>
  <c r="X323" i="4" l="1"/>
  <c r="X514" i="4"/>
  <c r="X515" i="4"/>
  <c r="X516" i="4"/>
  <c r="X517" i="4"/>
  <c r="X518" i="4"/>
  <c r="X519" i="4"/>
  <c r="AC323" i="4"/>
  <c r="AD323" i="4" s="1"/>
  <c r="AC514" i="4"/>
  <c r="AD514" i="4" s="1"/>
  <c r="AC515" i="4"/>
  <c r="AD515" i="4" s="1"/>
  <c r="AC516" i="4"/>
  <c r="AD516" i="4" s="1"/>
  <c r="AC517" i="4"/>
  <c r="AD517" i="4" s="1"/>
  <c r="AC518" i="4"/>
  <c r="AD518" i="4" s="1"/>
  <c r="AC519" i="4"/>
  <c r="AD519" i="4" s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2" i="1"/>
  <c r="L63" i="1"/>
  <c r="L64" i="1"/>
  <c r="L65" i="1"/>
  <c r="L66" i="1"/>
  <c r="L67" i="1"/>
  <c r="L68" i="1"/>
  <c r="L69" i="1"/>
  <c r="L70" i="1"/>
  <c r="L71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5" i="1"/>
  <c r="L116" i="1"/>
  <c r="L117" i="1"/>
  <c r="L118" i="1"/>
  <c r="L119" i="1"/>
  <c r="L120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H3" i="1"/>
  <c r="H4" i="1"/>
  <c r="H5" i="1"/>
  <c r="AB583" i="4" s="1"/>
  <c r="AE583" i="4" s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AB581" i="4" s="1"/>
  <c r="AE581" i="4" s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AB579" i="4" s="1"/>
  <c r="AE579" i="4" s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8" i="1"/>
  <c r="H219" i="1"/>
  <c r="H220" i="1"/>
  <c r="H221" i="1"/>
  <c r="H222" i="1"/>
  <c r="AB578" i="4" s="1"/>
  <c r="AE578" i="4" s="1"/>
  <c r="H223" i="1"/>
  <c r="H224" i="1"/>
  <c r="H225" i="1"/>
  <c r="H226" i="1"/>
  <c r="AB577" i="4" s="1"/>
  <c r="AE577" i="4" s="1"/>
  <c r="H227" i="1"/>
  <c r="H228" i="1"/>
  <c r="H229" i="1"/>
  <c r="H230" i="1"/>
  <c r="H231" i="1"/>
  <c r="AB575" i="4" s="1"/>
  <c r="AE575" i="4" s="1"/>
  <c r="H232" i="1"/>
  <c r="H233" i="1"/>
  <c r="H234" i="1"/>
  <c r="H235" i="1"/>
  <c r="H236" i="1"/>
  <c r="H237" i="1"/>
  <c r="H238" i="1"/>
  <c r="AB570" i="4" s="1"/>
  <c r="AE570" i="4" s="1"/>
  <c r="H239" i="1"/>
  <c r="H240" i="1"/>
  <c r="H241" i="1"/>
  <c r="H242" i="1"/>
  <c r="H243" i="1"/>
  <c r="H244" i="1"/>
  <c r="H245" i="1"/>
  <c r="H246" i="1"/>
  <c r="H247" i="1"/>
  <c r="AB582" i="4" s="1"/>
  <c r="AE582" i="4" s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AB580" i="4" s="1"/>
  <c r="AE580" i="4" s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AB576" i="4" s="1"/>
  <c r="AE576" i="4" s="1"/>
  <c r="H281" i="1"/>
  <c r="T3" i="1"/>
  <c r="T4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8" i="1"/>
  <c r="T39" i="1"/>
  <c r="T40" i="1"/>
  <c r="T41" i="1"/>
  <c r="T42" i="1"/>
  <c r="T45" i="1"/>
  <c r="T46" i="1"/>
  <c r="T47" i="1"/>
  <c r="T48" i="1"/>
  <c r="T50" i="1"/>
  <c r="T51" i="1"/>
  <c r="T52" i="1"/>
  <c r="T53" i="1"/>
  <c r="T55" i="1"/>
  <c r="T56" i="1"/>
  <c r="T57" i="1"/>
  <c r="T58" i="1"/>
  <c r="T62" i="1"/>
  <c r="T63" i="1"/>
  <c r="T64" i="1"/>
  <c r="T65" i="1"/>
  <c r="T66" i="1"/>
  <c r="T67" i="1"/>
  <c r="T68" i="1"/>
  <c r="T69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2" i="1"/>
  <c r="T93" i="1"/>
  <c r="T94" i="1"/>
  <c r="T95" i="1"/>
  <c r="T96" i="1"/>
  <c r="T97" i="1"/>
  <c r="T99" i="1"/>
  <c r="T100" i="1"/>
  <c r="T101" i="1"/>
  <c r="T102" i="1"/>
  <c r="T103" i="1"/>
  <c r="T104" i="1"/>
  <c r="T105" i="1"/>
  <c r="T106" i="1"/>
  <c r="T108" i="1"/>
  <c r="T109" i="1"/>
  <c r="T110" i="1"/>
  <c r="T111" i="1"/>
  <c r="T113" i="1"/>
  <c r="T116" i="1"/>
  <c r="T118" i="1"/>
  <c r="T120" i="1"/>
  <c r="T121" i="1"/>
  <c r="T122" i="1"/>
  <c r="T123" i="1"/>
  <c r="T124" i="1"/>
  <c r="T125" i="1"/>
  <c r="T126" i="1"/>
  <c r="T127" i="1"/>
  <c r="T128" i="1"/>
  <c r="T129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9" i="1"/>
  <c r="T150" i="1"/>
  <c r="T152" i="1"/>
  <c r="T153" i="1"/>
  <c r="T154" i="1"/>
  <c r="T155" i="1"/>
  <c r="T156" i="1"/>
  <c r="T157" i="1"/>
  <c r="T158" i="1"/>
  <c r="T159" i="1"/>
  <c r="T161" i="1"/>
  <c r="T162" i="1"/>
  <c r="T163" i="1"/>
  <c r="T164" i="1"/>
  <c r="T165" i="1"/>
  <c r="T166" i="1"/>
  <c r="T167" i="1"/>
  <c r="T168" i="1"/>
  <c r="T171" i="1"/>
  <c r="T174" i="1"/>
  <c r="T175" i="1"/>
  <c r="T177" i="1"/>
  <c r="T178" i="1"/>
  <c r="T180" i="1"/>
  <c r="T181" i="1"/>
  <c r="T182" i="1"/>
  <c r="T184" i="1"/>
  <c r="T185" i="1"/>
  <c r="T186" i="1"/>
  <c r="T188" i="1"/>
  <c r="T190" i="1"/>
  <c r="T192" i="1"/>
  <c r="T195" i="1"/>
  <c r="T198" i="1"/>
  <c r="T199" i="1"/>
  <c r="T201" i="1"/>
  <c r="T203" i="1"/>
  <c r="T236" i="1"/>
  <c r="T260" i="1"/>
  <c r="X510" i="4"/>
  <c r="X511" i="4"/>
  <c r="X512" i="4"/>
  <c r="AC510" i="4"/>
  <c r="AD510" i="4" s="1"/>
  <c r="AC511" i="4"/>
  <c r="AD511" i="4" s="1"/>
  <c r="AC512" i="4"/>
  <c r="AD512" i="4" s="1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AB569" i="4" l="1"/>
  <c r="AE569" i="4" s="1"/>
  <c r="AB584" i="4"/>
  <c r="AE584" i="4" s="1"/>
  <c r="AB572" i="4"/>
  <c r="AE572" i="4" s="1"/>
  <c r="AB586" i="4"/>
  <c r="AE586" i="4" s="1"/>
  <c r="AB574" i="4"/>
  <c r="AE574" i="4" s="1"/>
  <c r="AB587" i="4"/>
  <c r="AE587" i="4" s="1"/>
  <c r="AB573" i="4"/>
  <c r="AE573" i="4" s="1"/>
  <c r="AB585" i="4"/>
  <c r="AE585" i="4" s="1"/>
  <c r="AP287" i="1"/>
  <c r="AP286" i="1"/>
  <c r="M75" i="1"/>
  <c r="M43" i="1"/>
  <c r="M107" i="1"/>
  <c r="AD281" i="1"/>
  <c r="M11" i="1"/>
  <c r="AD280" i="1"/>
  <c r="AD276" i="1"/>
  <c r="AD272" i="1"/>
  <c r="AD268" i="1"/>
  <c r="AD264" i="1"/>
  <c r="AD260" i="1"/>
  <c r="AD277" i="1"/>
  <c r="AD273" i="1"/>
  <c r="AD269" i="1"/>
  <c r="AD265" i="1"/>
  <c r="AD261" i="1"/>
  <c r="AD278" i="1"/>
  <c r="AD270" i="1"/>
  <c r="AD262" i="1"/>
  <c r="AD274" i="1"/>
  <c r="AD266" i="1"/>
  <c r="AD279" i="1"/>
  <c r="AD275" i="1"/>
  <c r="AD271" i="1"/>
  <c r="AD267" i="1"/>
  <c r="AD263" i="1"/>
  <c r="M262" i="1"/>
  <c r="AB546" i="4" s="1"/>
  <c r="AE546" i="4" s="1"/>
  <c r="M231" i="1"/>
  <c r="M171" i="1"/>
  <c r="M139" i="1"/>
  <c r="M269" i="1"/>
  <c r="M146" i="1"/>
  <c r="M82" i="1"/>
  <c r="M66" i="1"/>
  <c r="M268" i="1"/>
  <c r="M206" i="1"/>
  <c r="M145" i="1"/>
  <c r="M81" i="1"/>
  <c r="M205" i="1"/>
  <c r="M80" i="1"/>
  <c r="M16" i="1"/>
  <c r="M266" i="1"/>
  <c r="M204" i="1"/>
  <c r="M143" i="1"/>
  <c r="M79" i="1"/>
  <c r="M15" i="1"/>
  <c r="M233" i="1"/>
  <c r="M174" i="1"/>
  <c r="M78" i="1"/>
  <c r="M12" i="1"/>
  <c r="M237" i="1"/>
  <c r="M178" i="1"/>
  <c r="M34" i="1"/>
  <c r="M236" i="1"/>
  <c r="M177" i="1"/>
  <c r="M113" i="1"/>
  <c r="M48" i="1"/>
  <c r="M234" i="1"/>
  <c r="M175" i="1"/>
  <c r="M111" i="1"/>
  <c r="M47" i="1"/>
  <c r="M265" i="1"/>
  <c r="M203" i="1"/>
  <c r="M142" i="1"/>
  <c r="M110" i="1"/>
  <c r="M46" i="1"/>
  <c r="M45" i="1"/>
  <c r="M65" i="1"/>
  <c r="M33" i="1"/>
  <c r="M273" i="1"/>
  <c r="AB516" i="4" s="1"/>
  <c r="AE516" i="4" s="1"/>
  <c r="M241" i="1"/>
  <c r="M211" i="1"/>
  <c r="M182" i="1"/>
  <c r="M150" i="1"/>
  <c r="M118" i="1"/>
  <c r="M86" i="1"/>
  <c r="M54" i="1"/>
  <c r="M22" i="1"/>
  <c r="M239" i="1"/>
  <c r="M84" i="1"/>
  <c r="M52" i="1"/>
  <c r="M20" i="1"/>
  <c r="M68" i="1"/>
  <c r="M36" i="1"/>
  <c r="M4" i="1"/>
  <c r="M270" i="1"/>
  <c r="M238" i="1"/>
  <c r="M208" i="1"/>
  <c r="AB566" i="4" s="1"/>
  <c r="AE566" i="4" s="1"/>
  <c r="M179" i="1"/>
  <c r="M147" i="1"/>
  <c r="AB542" i="4" s="1"/>
  <c r="AE542" i="4" s="1"/>
  <c r="M115" i="1"/>
  <c r="M83" i="1"/>
  <c r="M67" i="1"/>
  <c r="M35" i="1"/>
  <c r="M3" i="1"/>
  <c r="M14" i="1"/>
  <c r="M64" i="1"/>
  <c r="M32" i="1"/>
  <c r="M63" i="1"/>
  <c r="M31" i="1"/>
  <c r="M263" i="1"/>
  <c r="AB529" i="4" s="1"/>
  <c r="AE529" i="4" s="1"/>
  <c r="M76" i="1"/>
  <c r="M44" i="1"/>
  <c r="M272" i="1"/>
  <c r="M240" i="1"/>
  <c r="M210" i="1"/>
  <c r="M149" i="1"/>
  <c r="M117" i="1"/>
  <c r="M85" i="1"/>
  <c r="M53" i="1"/>
  <c r="M21" i="1"/>
  <c r="M69" i="1"/>
  <c r="M29" i="1"/>
  <c r="M70" i="1"/>
  <c r="M38" i="1"/>
  <c r="M6" i="1"/>
  <c r="M37" i="1"/>
  <c r="M5" i="1"/>
  <c r="M274" i="1"/>
  <c r="M242" i="1"/>
  <c r="M212" i="1"/>
  <c r="M183" i="1"/>
  <c r="M151" i="1"/>
  <c r="M119" i="1"/>
  <c r="M87" i="1"/>
  <c r="M55" i="1"/>
  <c r="M23" i="1"/>
  <c r="M71" i="1"/>
  <c r="M39" i="1"/>
  <c r="M7" i="1"/>
  <c r="M62" i="1"/>
  <c r="M30" i="1"/>
  <c r="M60" i="1"/>
  <c r="M28" i="1"/>
  <c r="M59" i="1"/>
  <c r="M27" i="1"/>
  <c r="M92" i="1"/>
  <c r="M278" i="1"/>
  <c r="M246" i="1"/>
  <c r="M216" i="1"/>
  <c r="M187" i="1"/>
  <c r="M155" i="1"/>
  <c r="M123" i="1"/>
  <c r="M91" i="1"/>
  <c r="M50" i="1"/>
  <c r="M248" i="1"/>
  <c r="M125" i="1"/>
  <c r="M49" i="1"/>
  <c r="M218" i="1"/>
  <c r="M93" i="1"/>
  <c r="M277" i="1"/>
  <c r="AB565" i="4" s="1"/>
  <c r="AE565" i="4" s="1"/>
  <c r="M245" i="1"/>
  <c r="M215" i="1"/>
  <c r="M186" i="1"/>
  <c r="M154" i="1"/>
  <c r="M122" i="1"/>
  <c r="AB531" i="4" s="1"/>
  <c r="AE531" i="4" s="1"/>
  <c r="M90" i="1"/>
  <c r="M58" i="1"/>
  <c r="M26" i="1"/>
  <c r="M74" i="1"/>
  <c r="M42" i="1"/>
  <c r="M10" i="1"/>
  <c r="M51" i="1"/>
  <c r="M18" i="1"/>
  <c r="M17" i="1"/>
  <c r="M189" i="1"/>
  <c r="M276" i="1"/>
  <c r="M244" i="1"/>
  <c r="M214" i="1"/>
  <c r="M185" i="1"/>
  <c r="M153" i="1"/>
  <c r="M89" i="1"/>
  <c r="M57" i="1"/>
  <c r="M25" i="1"/>
  <c r="M73" i="1"/>
  <c r="M41" i="1"/>
  <c r="M9" i="1"/>
  <c r="M19" i="1"/>
  <c r="M280" i="1"/>
  <c r="AB538" i="4" s="1"/>
  <c r="AE538" i="4" s="1"/>
  <c r="M157" i="1"/>
  <c r="M13" i="1"/>
  <c r="M243" i="1"/>
  <c r="M213" i="1"/>
  <c r="M184" i="1"/>
  <c r="M88" i="1"/>
  <c r="M56" i="1"/>
  <c r="M40" i="1"/>
  <c r="M8" i="1"/>
  <c r="M264" i="1"/>
  <c r="M232" i="1"/>
  <c r="M173" i="1"/>
  <c r="M141" i="1"/>
  <c r="M109" i="1"/>
  <c r="M77" i="1"/>
  <c r="M261" i="1"/>
  <c r="AB567" i="4" s="1"/>
  <c r="AE567" i="4" s="1"/>
  <c r="M138" i="1"/>
  <c r="M260" i="1"/>
  <c r="M137" i="1"/>
  <c r="M167" i="1"/>
  <c r="M257" i="1"/>
  <c r="M134" i="1"/>
  <c r="M256" i="1"/>
  <c r="M133" i="1"/>
  <c r="M131" i="1"/>
  <c r="M253" i="1"/>
  <c r="M98" i="1"/>
  <c r="M129" i="1"/>
  <c r="M227" i="1"/>
  <c r="M195" i="1"/>
  <c r="M194" i="1"/>
  <c r="M252" i="1"/>
  <c r="M161" i="1"/>
  <c r="M192" i="1"/>
  <c r="M250" i="1"/>
  <c r="AB553" i="4" s="1"/>
  <c r="AE553" i="4" s="1"/>
  <c r="M220" i="1"/>
  <c r="M191" i="1"/>
  <c r="M159" i="1"/>
  <c r="M127" i="1"/>
  <c r="M95" i="1"/>
  <c r="M230" i="1"/>
  <c r="M106" i="1"/>
  <c r="M201" i="1"/>
  <c r="M135" i="1"/>
  <c r="M226" i="1"/>
  <c r="AB519" i="4" s="1"/>
  <c r="AE519" i="4" s="1"/>
  <c r="M102" i="1"/>
  <c r="M225" i="1"/>
  <c r="M101" i="1"/>
  <c r="M224" i="1"/>
  <c r="M254" i="1"/>
  <c r="AB539" i="4" s="1"/>
  <c r="AE539" i="4" s="1"/>
  <c r="M99" i="1"/>
  <c r="M222" i="1"/>
  <c r="AB544" i="4" s="1"/>
  <c r="AE544" i="4" s="1"/>
  <c r="M193" i="1"/>
  <c r="M97" i="1"/>
  <c r="M281" i="1"/>
  <c r="M249" i="1"/>
  <c r="M219" i="1"/>
  <c r="M190" i="1"/>
  <c r="M158" i="1"/>
  <c r="M126" i="1"/>
  <c r="M94" i="1"/>
  <c r="M170" i="1"/>
  <c r="M229" i="1"/>
  <c r="M105" i="1"/>
  <c r="M199" i="1"/>
  <c r="M166" i="1"/>
  <c r="M165" i="1"/>
  <c r="M163" i="1"/>
  <c r="M130" i="1"/>
  <c r="AB543" i="4" s="1"/>
  <c r="AE543" i="4" s="1"/>
  <c r="M202" i="1"/>
  <c r="M169" i="1"/>
  <c r="M259" i="1"/>
  <c r="AB517" i="4" s="1"/>
  <c r="AE517" i="4" s="1"/>
  <c r="M104" i="1"/>
  <c r="M258" i="1"/>
  <c r="AB564" i="4" s="1"/>
  <c r="AE564" i="4" s="1"/>
  <c r="M103" i="1"/>
  <c r="M197" i="1"/>
  <c r="M223" i="1"/>
  <c r="M162" i="1"/>
  <c r="M271" i="1"/>
  <c r="M267" i="1"/>
  <c r="M255" i="1"/>
  <c r="M251" i="1"/>
  <c r="M247" i="1"/>
  <c r="AB549" i="4" s="1"/>
  <c r="AE549" i="4" s="1"/>
  <c r="M235" i="1"/>
  <c r="M228" i="1"/>
  <c r="M221" i="1"/>
  <c r="M209" i="1"/>
  <c r="M200" i="1"/>
  <c r="M196" i="1"/>
  <c r="M188" i="1"/>
  <c r="M180" i="1"/>
  <c r="M176" i="1"/>
  <c r="M168" i="1"/>
  <c r="M164" i="1"/>
  <c r="M160" i="1"/>
  <c r="M156" i="1"/>
  <c r="M152" i="1"/>
  <c r="AB545" i="4" s="1"/>
  <c r="AE545" i="4" s="1"/>
  <c r="M148" i="1"/>
  <c r="M144" i="1"/>
  <c r="M140" i="1"/>
  <c r="M132" i="1"/>
  <c r="M128" i="1"/>
  <c r="M124" i="1"/>
  <c r="M120" i="1"/>
  <c r="M116" i="1"/>
  <c r="M108" i="1"/>
  <c r="M100" i="1"/>
  <c r="M96" i="1"/>
  <c r="M207" i="1"/>
  <c r="AB562" i="4" s="1"/>
  <c r="AE562" i="4" s="1"/>
  <c r="M279" i="1"/>
  <c r="M275" i="1"/>
  <c r="M172" i="1"/>
  <c r="AB496" i="4" l="1"/>
  <c r="AE496" i="4" s="1"/>
  <c r="AB561" i="4"/>
  <c r="AE561" i="4" s="1"/>
  <c r="AB495" i="4"/>
  <c r="AE495" i="4" s="1"/>
  <c r="AB563" i="4"/>
  <c r="AE563" i="4" s="1"/>
  <c r="AB560" i="4"/>
  <c r="AE560" i="4" s="1"/>
  <c r="AB568" i="4"/>
  <c r="AE568" i="4" s="1"/>
  <c r="AB550" i="4"/>
  <c r="AE550" i="4" s="1"/>
  <c r="AB554" i="4"/>
  <c r="AE554" i="4" s="1"/>
  <c r="AB515" i="4"/>
  <c r="AE515" i="4" s="1"/>
  <c r="AB556" i="4"/>
  <c r="AE556" i="4" s="1"/>
  <c r="AB537" i="4"/>
  <c r="AE537" i="4" s="1"/>
  <c r="AB558" i="4"/>
  <c r="AE558" i="4" s="1"/>
  <c r="AB552" i="4"/>
  <c r="AE552" i="4" s="1"/>
  <c r="AB555" i="4"/>
  <c r="AE555" i="4" s="1"/>
  <c r="AB518" i="4"/>
  <c r="AE518" i="4" s="1"/>
  <c r="AB557" i="4"/>
  <c r="AE557" i="4" s="1"/>
  <c r="AB522" i="4"/>
  <c r="AE522" i="4" s="1"/>
  <c r="AB547" i="4"/>
  <c r="AE547" i="4" s="1"/>
  <c r="AB551" i="4"/>
  <c r="AE551" i="4" s="1"/>
  <c r="AB548" i="4"/>
  <c r="AE548" i="4" s="1"/>
  <c r="AB121" i="4"/>
  <c r="AE121" i="4" s="1"/>
  <c r="AB534" i="4"/>
  <c r="AE534" i="4" s="1"/>
  <c r="AB540" i="4"/>
  <c r="AE540" i="4" s="1"/>
  <c r="AB530" i="4"/>
  <c r="AE530" i="4" s="1"/>
  <c r="AB536" i="4"/>
  <c r="AE536" i="4" s="1"/>
  <c r="AB524" i="4"/>
  <c r="AE524" i="4" s="1"/>
  <c r="AB535" i="4"/>
  <c r="AE535" i="4" s="1"/>
  <c r="AB541" i="4"/>
  <c r="AE541" i="4" s="1"/>
  <c r="AB525" i="4"/>
  <c r="AE525" i="4" s="1"/>
  <c r="AB532" i="4"/>
  <c r="AE532" i="4" s="1"/>
  <c r="AB527" i="4"/>
  <c r="AE527" i="4" s="1"/>
  <c r="AB520" i="4"/>
  <c r="AE520" i="4" s="1"/>
  <c r="AB528" i="4"/>
  <c r="AE528" i="4" s="1"/>
  <c r="AB521" i="4"/>
  <c r="AE521" i="4" s="1"/>
  <c r="AB533" i="4"/>
  <c r="AE533" i="4" s="1"/>
  <c r="AB514" i="4"/>
  <c r="AE514" i="4" s="1"/>
  <c r="AB323" i="4"/>
  <c r="AE323" i="4" s="1"/>
  <c r="J768" i="4" l="1"/>
  <c r="J769" i="4"/>
  <c r="J770" i="4"/>
  <c r="J767" i="4"/>
  <c r="J765" i="4"/>
  <c r="J766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45" i="4"/>
  <c r="J746" i="4"/>
  <c r="J747" i="4"/>
  <c r="U496" i="28"/>
  <c r="U497" i="28"/>
  <c r="U498" i="28"/>
  <c r="U499" i="28"/>
  <c r="U500" i="28"/>
  <c r="U501" i="28"/>
  <c r="U502" i="28"/>
  <c r="U503" i="28"/>
  <c r="U504" i="28"/>
  <c r="U505" i="28"/>
  <c r="U506" i="28"/>
  <c r="U507" i="28"/>
  <c r="U508" i="28"/>
  <c r="U509" i="28"/>
  <c r="U510" i="28"/>
  <c r="U511" i="28"/>
  <c r="U512" i="28"/>
  <c r="U513" i="28"/>
  <c r="U514" i="28"/>
  <c r="U515" i="28"/>
  <c r="U516" i="28"/>
  <c r="U517" i="28"/>
  <c r="U518" i="28"/>
  <c r="U519" i="28"/>
  <c r="U520" i="28"/>
  <c r="U521" i="28"/>
  <c r="U495" i="28"/>
  <c r="I648" i="29" l="1"/>
  <c r="J648" i="29" s="1"/>
  <c r="I649" i="29"/>
  <c r="J649" i="29" s="1"/>
  <c r="I650" i="29"/>
  <c r="J650" i="29" s="1"/>
  <c r="I651" i="29"/>
  <c r="J651" i="29" s="1"/>
  <c r="I652" i="29"/>
  <c r="J652" i="29" s="1"/>
  <c r="I647" i="29"/>
  <c r="J647" i="29" s="1"/>
  <c r="I646" i="29"/>
  <c r="J646" i="29" s="1"/>
  <c r="I645" i="29"/>
  <c r="J645" i="29" s="1"/>
  <c r="U267" i="42" s="1"/>
  <c r="I644" i="29"/>
  <c r="J644" i="29" s="1"/>
  <c r="I643" i="29"/>
  <c r="J643" i="29" s="1"/>
  <c r="I642" i="29"/>
  <c r="J642" i="29" s="1"/>
  <c r="I641" i="29"/>
  <c r="J641" i="29" s="1"/>
  <c r="I640" i="29"/>
  <c r="J640" i="29" s="1"/>
  <c r="I639" i="29"/>
  <c r="J639" i="29" s="1"/>
  <c r="I638" i="29"/>
  <c r="J638" i="29" s="1"/>
  <c r="I637" i="29"/>
  <c r="J637" i="29" s="1"/>
  <c r="I636" i="29"/>
  <c r="J636" i="29" s="1"/>
  <c r="I635" i="29"/>
  <c r="J635" i="29" s="1"/>
  <c r="I634" i="29"/>
  <c r="J634" i="29" s="1"/>
  <c r="I633" i="29"/>
  <c r="J633" i="29" s="1"/>
  <c r="I632" i="29"/>
  <c r="J632" i="29" s="1"/>
  <c r="I631" i="29"/>
  <c r="J631" i="29" s="1"/>
  <c r="I630" i="29"/>
  <c r="J630" i="29" s="1"/>
  <c r="I629" i="29"/>
  <c r="J629" i="29" s="1"/>
  <c r="I628" i="29"/>
  <c r="J628" i="29" s="1"/>
  <c r="I627" i="29"/>
  <c r="J627" i="29" s="1"/>
  <c r="I626" i="29"/>
  <c r="J626" i="29" s="1"/>
  <c r="I625" i="29"/>
  <c r="J625" i="29" s="1"/>
  <c r="I624" i="29"/>
  <c r="J624" i="29" s="1"/>
  <c r="I623" i="29"/>
  <c r="J623" i="29" s="1"/>
  <c r="I622" i="29"/>
  <c r="J622" i="29" s="1"/>
  <c r="AQ267" i="42" l="1"/>
  <c r="AT213" i="42" s="1"/>
  <c r="U280" i="42"/>
  <c r="T281" i="1"/>
  <c r="U281" i="42"/>
  <c r="T267" i="1"/>
  <c r="AQ280" i="42" l="1"/>
  <c r="AT214" i="42" s="1"/>
  <c r="AQ281" i="42"/>
  <c r="AT157" i="42" s="1"/>
  <c r="J742" i="4"/>
  <c r="J743" i="4"/>
  <c r="J744" i="4"/>
  <c r="J741" i="4"/>
  <c r="J732" i="4"/>
  <c r="J733" i="4"/>
  <c r="J734" i="4"/>
  <c r="J735" i="4"/>
  <c r="J736" i="4"/>
  <c r="J737" i="4"/>
  <c r="J738" i="4"/>
  <c r="J739" i="4"/>
  <c r="J740" i="4"/>
  <c r="J731" i="4"/>
  <c r="X503" i="4" l="1"/>
  <c r="X504" i="4"/>
  <c r="X505" i="4"/>
  <c r="X506" i="4"/>
  <c r="X507" i="4"/>
  <c r="X329" i="4"/>
  <c r="X509" i="4"/>
  <c r="AC503" i="4"/>
  <c r="AD503" i="4" s="1"/>
  <c r="AC504" i="4"/>
  <c r="AD504" i="4" s="1"/>
  <c r="AC505" i="4"/>
  <c r="AD505" i="4" s="1"/>
  <c r="AC506" i="4"/>
  <c r="AD506" i="4" s="1"/>
  <c r="AC507" i="4"/>
  <c r="AD507" i="4" s="1"/>
  <c r="AC329" i="4"/>
  <c r="AD329" i="4" s="1"/>
  <c r="AC509" i="4"/>
  <c r="AD509" i="4" s="1"/>
  <c r="X497" i="4"/>
  <c r="X243" i="4"/>
  <c r="X499" i="4"/>
  <c r="X500" i="4"/>
  <c r="X501" i="4"/>
  <c r="X502" i="4"/>
  <c r="AC497" i="4"/>
  <c r="AD497" i="4" s="1"/>
  <c r="AC243" i="4"/>
  <c r="AD243" i="4" s="1"/>
  <c r="AC499" i="4"/>
  <c r="AD499" i="4" s="1"/>
  <c r="AC500" i="4"/>
  <c r="AD500" i="4" s="1"/>
  <c r="AC501" i="4"/>
  <c r="AD501" i="4" s="1"/>
  <c r="AC502" i="4"/>
  <c r="AD502" i="4" s="1"/>
  <c r="J715" i="4" l="1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U464" i="28"/>
  <c r="U465" i="28"/>
  <c r="U466" i="28"/>
  <c r="U467" i="28"/>
  <c r="U468" i="28"/>
  <c r="U469" i="28"/>
  <c r="U470" i="28"/>
  <c r="U471" i="28"/>
  <c r="U472" i="28"/>
  <c r="U473" i="28"/>
  <c r="U474" i="28"/>
  <c r="U475" i="28"/>
  <c r="U476" i="28"/>
  <c r="U477" i="28"/>
  <c r="U478" i="28"/>
  <c r="U463" i="28"/>
  <c r="I596" i="29" l="1"/>
  <c r="J596" i="29" s="1"/>
  <c r="I597" i="29"/>
  <c r="J597" i="29" s="1"/>
  <c r="I598" i="29"/>
  <c r="J598" i="29" s="1"/>
  <c r="I599" i="29"/>
  <c r="J599" i="29" s="1"/>
  <c r="I600" i="29"/>
  <c r="J600" i="29" s="1"/>
  <c r="I601" i="29"/>
  <c r="J601" i="29" s="1"/>
  <c r="I602" i="29"/>
  <c r="J602" i="29" s="1"/>
  <c r="I603" i="29"/>
  <c r="J603" i="29" s="1"/>
  <c r="I604" i="29"/>
  <c r="J604" i="29" s="1"/>
  <c r="I605" i="29"/>
  <c r="J605" i="29" s="1"/>
  <c r="I606" i="29"/>
  <c r="J606" i="29" s="1"/>
  <c r="I607" i="29"/>
  <c r="J607" i="29" s="1"/>
  <c r="I608" i="29"/>
  <c r="J608" i="29" s="1"/>
  <c r="I609" i="29"/>
  <c r="J609" i="29" s="1"/>
  <c r="I610" i="29"/>
  <c r="J610" i="29" s="1"/>
  <c r="I611" i="29"/>
  <c r="J611" i="29" s="1"/>
  <c r="I612" i="29"/>
  <c r="J612" i="29" s="1"/>
  <c r="I613" i="29"/>
  <c r="J613" i="29" s="1"/>
  <c r="I614" i="29"/>
  <c r="J614" i="29" s="1"/>
  <c r="I615" i="29"/>
  <c r="J615" i="29" s="1"/>
  <c r="I616" i="29"/>
  <c r="J616" i="29" s="1"/>
  <c r="I617" i="29"/>
  <c r="J617" i="29" s="1"/>
  <c r="I618" i="29"/>
  <c r="J618" i="29" s="1"/>
  <c r="I619" i="29"/>
  <c r="J619" i="29" s="1"/>
  <c r="I620" i="29"/>
  <c r="J620" i="29" s="1"/>
  <c r="I621" i="29"/>
  <c r="J621" i="29" s="1"/>
  <c r="U278" i="42" s="1"/>
  <c r="T279" i="1" l="1"/>
  <c r="U279" i="42"/>
  <c r="AQ278" i="42"/>
  <c r="T278" i="1"/>
  <c r="AQ279" i="42" l="1"/>
  <c r="AT191" i="42" s="1"/>
  <c r="AP12" i="26"/>
  <c r="AP13" i="26"/>
  <c r="AP14" i="26"/>
  <c r="AP15" i="26"/>
  <c r="AP16" i="26"/>
  <c r="AP17" i="26"/>
  <c r="AS12" i="26" a="1"/>
  <c r="AS12" i="26" s="1"/>
  <c r="AS13" i="26" a="1"/>
  <c r="AS13" i="26" s="1"/>
  <c r="AS14" i="26" a="1"/>
  <c r="AS14" i="26" s="1"/>
  <c r="AS15" i="26" a="1"/>
  <c r="AS15" i="26" s="1"/>
  <c r="AS16" i="26" a="1"/>
  <c r="AS16" i="26" s="1"/>
  <c r="AS17" i="26" a="1"/>
  <c r="AS17" i="26" s="1"/>
  <c r="AR12" i="26" a="1"/>
  <c r="AR12" i="26" s="1"/>
  <c r="AR13" i="26" a="1"/>
  <c r="AR13" i="26" s="1"/>
  <c r="AR14" i="26" a="1"/>
  <c r="AR14" i="26" s="1"/>
  <c r="AR15" i="26" a="1"/>
  <c r="AR15" i="26" s="1"/>
  <c r="AR16" i="26" a="1"/>
  <c r="AR16" i="26" s="1"/>
  <c r="AR17" i="26" a="1"/>
  <c r="AR17" i="26" s="1"/>
  <c r="AQ12" i="26" a="1"/>
  <c r="AQ12" i="26" s="1"/>
  <c r="AT12" i="26" s="1"/>
  <c r="AQ13" i="26" a="1"/>
  <c r="AQ13" i="26" s="1"/>
  <c r="AT13" i="26" s="1"/>
  <c r="AQ14" i="26" a="1"/>
  <c r="AQ14" i="26" s="1"/>
  <c r="AT14" i="26" s="1"/>
  <c r="AQ15" i="26" a="1"/>
  <c r="AQ15" i="26" s="1"/>
  <c r="AT15" i="26" s="1"/>
  <c r="AQ16" i="26" a="1"/>
  <c r="AQ16" i="26" s="1"/>
  <c r="AT16" i="26" s="1"/>
  <c r="AQ17" i="26" a="1"/>
  <c r="AQ17" i="26" s="1"/>
  <c r="AT17" i="26" s="1"/>
  <c r="AO12" i="26"/>
  <c r="AO13" i="26"/>
  <c r="AO14" i="26"/>
  <c r="AO15" i="26"/>
  <c r="AO16" i="26"/>
  <c r="AO17" i="26"/>
  <c r="J713" i="4"/>
  <c r="J714" i="4"/>
  <c r="J712" i="4" l="1"/>
  <c r="X2" i="4" l="1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2" i="4"/>
  <c r="X123" i="4"/>
  <c r="X124" i="4"/>
  <c r="X125" i="4"/>
  <c r="X126" i="4"/>
  <c r="X127" i="4"/>
  <c r="X128" i="4"/>
  <c r="X129" i="4"/>
  <c r="X130" i="4"/>
  <c r="X274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7" i="4"/>
  <c r="X188" i="4"/>
  <c r="X189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71" i="4"/>
  <c r="X212" i="4"/>
  <c r="X213" i="4"/>
  <c r="X214" i="4"/>
  <c r="X215" i="4"/>
  <c r="X216" i="4"/>
  <c r="X217" i="4"/>
  <c r="X218" i="4"/>
  <c r="X219" i="4"/>
  <c r="X220" i="4"/>
  <c r="X221" i="4"/>
  <c r="X222" i="4"/>
  <c r="X229" i="4"/>
  <c r="X224" i="4"/>
  <c r="X225" i="4"/>
  <c r="X226" i="4"/>
  <c r="X227" i="4"/>
  <c r="X228" i="4"/>
  <c r="X248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301" i="4"/>
  <c r="X244" i="4"/>
  <c r="X245" i="4"/>
  <c r="X246" i="4"/>
  <c r="X247" i="4"/>
  <c r="X264" i="4"/>
  <c r="X249" i="4"/>
  <c r="X250" i="4"/>
  <c r="X131" i="4"/>
  <c r="X252" i="4"/>
  <c r="X253" i="4"/>
  <c r="X254" i="4"/>
  <c r="X255" i="4"/>
  <c r="X354" i="4"/>
  <c r="X257" i="4"/>
  <c r="X258" i="4"/>
  <c r="X259" i="4"/>
  <c r="X260" i="4"/>
  <c r="X261" i="4"/>
  <c r="X262" i="4"/>
  <c r="X263" i="4"/>
  <c r="X251" i="4"/>
  <c r="X265" i="4"/>
  <c r="X266" i="4"/>
  <c r="X267" i="4"/>
  <c r="X268" i="4"/>
  <c r="X269" i="4"/>
  <c r="X270" i="4"/>
  <c r="X211" i="4"/>
  <c r="X272" i="4"/>
  <c r="X273" i="4"/>
  <c r="X256" i="4"/>
  <c r="X275" i="4"/>
  <c r="X276" i="4"/>
  <c r="X277" i="4"/>
  <c r="X280" i="4"/>
  <c r="X281" i="4"/>
  <c r="X282" i="4"/>
  <c r="X283" i="4"/>
  <c r="X284" i="4"/>
  <c r="X285" i="4"/>
  <c r="X286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424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430" i="4"/>
  <c r="X318" i="4"/>
  <c r="X319" i="4"/>
  <c r="X320" i="4"/>
  <c r="X321" i="4"/>
  <c r="X322" i="4"/>
  <c r="X440" i="4"/>
  <c r="X324" i="4"/>
  <c r="X325" i="4"/>
  <c r="X326" i="4"/>
  <c r="X327" i="4"/>
  <c r="X328" i="4"/>
  <c r="X457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466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76" i="4"/>
  <c r="X425" i="4"/>
  <c r="X426" i="4"/>
  <c r="X427" i="4"/>
  <c r="X428" i="4"/>
  <c r="X429" i="4"/>
  <c r="X498" i="4"/>
  <c r="X431" i="4"/>
  <c r="X432" i="4"/>
  <c r="X433" i="4"/>
  <c r="X434" i="4"/>
  <c r="X435" i="4"/>
  <c r="X436" i="4"/>
  <c r="X437" i="4"/>
  <c r="X438" i="4"/>
  <c r="X439" i="4"/>
  <c r="X223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508" i="4"/>
  <c r="X458" i="4"/>
  <c r="X459" i="4"/>
  <c r="X460" i="4"/>
  <c r="X461" i="4"/>
  <c r="X462" i="4"/>
  <c r="X463" i="4"/>
  <c r="X464" i="4"/>
  <c r="X465" i="4"/>
  <c r="X317" i="4"/>
  <c r="X467" i="4"/>
  <c r="X468" i="4"/>
  <c r="X469" i="4"/>
  <c r="X470" i="4"/>
  <c r="X471" i="4"/>
  <c r="X472" i="4"/>
  <c r="X473" i="4"/>
  <c r="X474" i="4"/>
  <c r="X475" i="4"/>
  <c r="X513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J708" i="4"/>
  <c r="J709" i="4"/>
  <c r="J710" i="4"/>
  <c r="J711" i="4"/>
  <c r="AG3" i="26" l="1" a="1"/>
  <c r="J707" i="4"/>
  <c r="AC489" i="4"/>
  <c r="AD489" i="4" s="1"/>
  <c r="AC490" i="4"/>
  <c r="AD490" i="4" s="1"/>
  <c r="AC491" i="4"/>
  <c r="AD491" i="4" s="1"/>
  <c r="AC492" i="4"/>
  <c r="AD492" i="4" s="1"/>
  <c r="AC493" i="4"/>
  <c r="AD493" i="4" s="1"/>
  <c r="AC494" i="4"/>
  <c r="AD494" i="4" s="1"/>
  <c r="AS11" i="26" l="1" a="1"/>
  <c r="AS11" i="26" s="1"/>
  <c r="AS9" i="26" a="1"/>
  <c r="AS9" i="26" s="1"/>
  <c r="AO5" i="26"/>
  <c r="AS10" i="26" a="1"/>
  <c r="AS10" i="26" s="1"/>
  <c r="AO11" i="26"/>
  <c r="AO7" i="26"/>
  <c r="AO8" i="26"/>
  <c r="AO10" i="26"/>
  <c r="AG3" i="26"/>
  <c r="AO3" i="26"/>
  <c r="AO4" i="26"/>
  <c r="AO9" i="26"/>
  <c r="AS8" i="26" a="1"/>
  <c r="AS8" i="26" s="1"/>
  <c r="AS7" i="26" a="1"/>
  <c r="AS7" i="26" s="1"/>
  <c r="AO6" i="26"/>
  <c r="AB507" i="4" l="1"/>
  <c r="AE507" i="4" s="1"/>
  <c r="AB502" i="4"/>
  <c r="AE502" i="4" s="1"/>
  <c r="J690" i="4" l="1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I592" i="29" l="1"/>
  <c r="J592" i="29" s="1"/>
  <c r="I593" i="29"/>
  <c r="J593" i="29" s="1"/>
  <c r="U274" i="42" s="1"/>
  <c r="I594" i="29"/>
  <c r="J594" i="29" s="1"/>
  <c r="U275" i="42" s="1"/>
  <c r="I595" i="29"/>
  <c r="J595" i="29" s="1"/>
  <c r="U276" i="42" s="1"/>
  <c r="I589" i="29"/>
  <c r="J589" i="29" s="1"/>
  <c r="I590" i="29"/>
  <c r="J590" i="29" s="1"/>
  <c r="U272" i="42" s="1"/>
  <c r="I591" i="29"/>
  <c r="J591" i="29" s="1"/>
  <c r="U273" i="42" l="1"/>
  <c r="AQ273" i="42" s="1"/>
  <c r="AQ276" i="42"/>
  <c r="AT248" i="42" s="1"/>
  <c r="AQ275" i="42"/>
  <c r="AT273" i="42" s="1"/>
  <c r="AQ272" i="42"/>
  <c r="AQ274" i="42"/>
  <c r="T273" i="1"/>
  <c r="T272" i="1"/>
  <c r="T276" i="1"/>
  <c r="T275" i="1"/>
  <c r="T274" i="1"/>
  <c r="AB497" i="4"/>
  <c r="AE497" i="4" s="1"/>
  <c r="I564" i="29"/>
  <c r="J564" i="29" s="1"/>
  <c r="I565" i="29"/>
  <c r="J565" i="29" s="1"/>
  <c r="I566" i="29"/>
  <c r="J566" i="29" s="1"/>
  <c r="I567" i="29"/>
  <c r="J567" i="29" s="1"/>
  <c r="I568" i="29"/>
  <c r="J568" i="29" s="1"/>
  <c r="I569" i="29"/>
  <c r="J569" i="29" s="1"/>
  <c r="I570" i="29"/>
  <c r="J570" i="29" s="1"/>
  <c r="I571" i="29"/>
  <c r="J571" i="29" s="1"/>
  <c r="I572" i="29"/>
  <c r="J572" i="29" s="1"/>
  <c r="I573" i="29"/>
  <c r="J573" i="29" s="1"/>
  <c r="I574" i="29"/>
  <c r="J574" i="29" s="1"/>
  <c r="I575" i="29"/>
  <c r="J575" i="29" s="1"/>
  <c r="I576" i="29"/>
  <c r="J576" i="29" s="1"/>
  <c r="I577" i="29"/>
  <c r="J577" i="29" s="1"/>
  <c r="I578" i="29"/>
  <c r="J578" i="29" s="1"/>
  <c r="U277" i="42" s="1"/>
  <c r="I579" i="29"/>
  <c r="J579" i="29" s="1"/>
  <c r="I580" i="29"/>
  <c r="J580" i="29" s="1"/>
  <c r="I581" i="29"/>
  <c r="J581" i="29" s="1"/>
  <c r="I582" i="29"/>
  <c r="J582" i="29" s="1"/>
  <c r="I583" i="29"/>
  <c r="J583" i="29" s="1"/>
  <c r="I584" i="29"/>
  <c r="J584" i="29" s="1"/>
  <c r="I585" i="29"/>
  <c r="J585" i="29" s="1"/>
  <c r="I586" i="29"/>
  <c r="J586" i="29" s="1"/>
  <c r="I587" i="29"/>
  <c r="J587" i="29" s="1"/>
  <c r="I588" i="29"/>
  <c r="J588" i="29" s="1"/>
  <c r="AT272" i="42" l="1"/>
  <c r="AQ277" i="42"/>
  <c r="T277" i="1"/>
  <c r="AC342" i="4"/>
  <c r="AD342" i="4" s="1"/>
  <c r="AC343" i="4"/>
  <c r="AD343" i="4" s="1"/>
  <c r="AC344" i="4"/>
  <c r="AD344" i="4" s="1"/>
  <c r="AC345" i="4"/>
  <c r="AD345" i="4" s="1"/>
  <c r="H1127" i="11" l="1"/>
  <c r="H1128" i="11"/>
  <c r="H1129" i="11"/>
  <c r="H1130" i="11"/>
  <c r="H1122" i="11"/>
  <c r="H1123" i="11"/>
  <c r="H1124" i="11"/>
  <c r="H1125" i="11"/>
  <c r="H1126" i="11"/>
  <c r="H1121" i="11"/>
  <c r="AC483" i="4"/>
  <c r="AD483" i="4" s="1"/>
  <c r="AC484" i="4"/>
  <c r="AD484" i="4" s="1"/>
  <c r="AC485" i="4"/>
  <c r="AD485" i="4" s="1"/>
  <c r="AC486" i="4"/>
  <c r="AD486" i="4" s="1"/>
  <c r="AC487" i="4"/>
  <c r="AD487" i="4" s="1"/>
  <c r="AC488" i="4"/>
  <c r="AD488" i="4" s="1"/>
  <c r="AC482" i="4"/>
  <c r="AD482" i="4" s="1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AI245" i="1"/>
  <c r="I563" i="29"/>
  <c r="J563" i="29" s="1"/>
  <c r="U271" i="42" s="1"/>
  <c r="I562" i="29"/>
  <c r="J562" i="29" s="1"/>
  <c r="U270" i="42" s="1"/>
  <c r="I561" i="29"/>
  <c r="J561" i="29" s="1"/>
  <c r="I560" i="29"/>
  <c r="J560" i="29" s="1"/>
  <c r="I559" i="29"/>
  <c r="J559" i="29" s="1"/>
  <c r="I558" i="29"/>
  <c r="J558" i="29" s="1"/>
  <c r="I557" i="29"/>
  <c r="J557" i="29" s="1"/>
  <c r="I556" i="29"/>
  <c r="J556" i="29" s="1"/>
  <c r="I555" i="29"/>
  <c r="J555" i="29" s="1"/>
  <c r="I554" i="29"/>
  <c r="J554" i="29" s="1"/>
  <c r="I553" i="29"/>
  <c r="J553" i="29" s="1"/>
  <c r="I552" i="29"/>
  <c r="J552" i="29" s="1"/>
  <c r="I551" i="29"/>
  <c r="J551" i="29" s="1"/>
  <c r="I550" i="29"/>
  <c r="J550" i="29" s="1"/>
  <c r="I549" i="29"/>
  <c r="J549" i="29" s="1"/>
  <c r="I548" i="29"/>
  <c r="J548" i="29" s="1"/>
  <c r="I547" i="29"/>
  <c r="J547" i="29" s="1"/>
  <c r="I546" i="29"/>
  <c r="J546" i="29" s="1"/>
  <c r="I545" i="29"/>
  <c r="J545" i="29" s="1"/>
  <c r="I544" i="29"/>
  <c r="J544" i="29" s="1"/>
  <c r="I543" i="29"/>
  <c r="J543" i="29" s="1"/>
  <c r="I542" i="29"/>
  <c r="J542" i="29" s="1"/>
  <c r="I541" i="29"/>
  <c r="J541" i="29" s="1"/>
  <c r="U269" i="42" s="1"/>
  <c r="W427" i="29"/>
  <c r="I540" i="29"/>
  <c r="J540" i="29" s="1"/>
  <c r="I539" i="29"/>
  <c r="J539" i="29" s="1"/>
  <c r="U268" i="42" l="1"/>
  <c r="AQ268" i="42" s="1"/>
  <c r="AQ269" i="42"/>
  <c r="AT188" i="42" s="1"/>
  <c r="T237" i="1"/>
  <c r="U237" i="42"/>
  <c r="AQ270" i="42"/>
  <c r="AT285" i="42" s="1"/>
  <c r="AQ271" i="42"/>
  <c r="T268" i="1"/>
  <c r="T270" i="1"/>
  <c r="T271" i="1"/>
  <c r="T269" i="1"/>
  <c r="AP279" i="1" s="1"/>
  <c r="AC481" i="4"/>
  <c r="AD481" i="4" s="1"/>
  <c r="AC480" i="4"/>
  <c r="AD480" i="4" s="1"/>
  <c r="AC479" i="4"/>
  <c r="AD479" i="4" s="1"/>
  <c r="AC478" i="4"/>
  <c r="AD478" i="4" s="1"/>
  <c r="I498" i="29"/>
  <c r="J498" i="29" s="1"/>
  <c r="I497" i="29"/>
  <c r="J497" i="29" s="1"/>
  <c r="AT280" i="42" l="1"/>
  <c r="AT281" i="42"/>
  <c r="AP280" i="1"/>
  <c r="AQ237" i="42"/>
  <c r="AT144" i="42" s="1"/>
  <c r="AX24" i="30"/>
  <c r="L24" i="1" l="1"/>
  <c r="M24" i="1" s="1"/>
  <c r="M24" i="42"/>
  <c r="AC474" i="4"/>
  <c r="AD474" i="4" s="1"/>
  <c r="AC475" i="4"/>
  <c r="AD475" i="4" s="1"/>
  <c r="AC513" i="4"/>
  <c r="AD513" i="4" s="1"/>
  <c r="AC477" i="4"/>
  <c r="AD477" i="4" s="1"/>
  <c r="AC473" i="4"/>
  <c r="AD473" i="4" s="1"/>
  <c r="AC317" i="4"/>
  <c r="AD317" i="4" s="1"/>
  <c r="AC467" i="4"/>
  <c r="AD467" i="4" s="1"/>
  <c r="AC468" i="4"/>
  <c r="AD468" i="4" s="1"/>
  <c r="AC469" i="4"/>
  <c r="AD469" i="4" s="1"/>
  <c r="AC470" i="4"/>
  <c r="AD470" i="4" s="1"/>
  <c r="AC471" i="4"/>
  <c r="AD471" i="4" s="1"/>
  <c r="AC472" i="4"/>
  <c r="AD472" i="4" s="1"/>
  <c r="J659" i="4"/>
  <c r="J660" i="4"/>
  <c r="J661" i="4"/>
  <c r="J662" i="4"/>
  <c r="J663" i="4"/>
  <c r="J664" i="4"/>
  <c r="J665" i="4"/>
  <c r="J666" i="4"/>
  <c r="J667" i="4"/>
  <c r="J668" i="4"/>
  <c r="J669" i="4"/>
  <c r="J670" i="4"/>
  <c r="I527" i="29"/>
  <c r="J527" i="29" s="1"/>
  <c r="I528" i="29"/>
  <c r="J528" i="29" s="1"/>
  <c r="I529" i="29"/>
  <c r="J529" i="29" s="1"/>
  <c r="I530" i="29"/>
  <c r="J530" i="29" s="1"/>
  <c r="I531" i="29"/>
  <c r="J531" i="29" s="1"/>
  <c r="I532" i="29"/>
  <c r="J532" i="29" s="1"/>
  <c r="I533" i="29"/>
  <c r="J533" i="29" s="1"/>
  <c r="I534" i="29"/>
  <c r="J534" i="29" s="1"/>
  <c r="I535" i="29"/>
  <c r="J535" i="29" s="1"/>
  <c r="I536" i="29"/>
  <c r="J536" i="29" s="1"/>
  <c r="I537" i="29"/>
  <c r="J537" i="29" s="1"/>
  <c r="I538" i="29"/>
  <c r="J538" i="29" s="1"/>
  <c r="N24" i="42" l="1"/>
  <c r="AE24" i="42"/>
  <c r="J649" i="4"/>
  <c r="J650" i="4"/>
  <c r="J651" i="4"/>
  <c r="J652" i="4"/>
  <c r="J653" i="4"/>
  <c r="J654" i="4"/>
  <c r="J655" i="4"/>
  <c r="J656" i="4"/>
  <c r="J657" i="4"/>
  <c r="J658" i="4"/>
  <c r="J647" i="4" l="1"/>
  <c r="J648" i="4"/>
  <c r="J643" i="4"/>
  <c r="J644" i="4"/>
  <c r="J645" i="4"/>
  <c r="J646" i="4"/>
  <c r="I521" i="29" l="1"/>
  <c r="J521" i="29" s="1"/>
  <c r="I522" i="29"/>
  <c r="J522" i="29" s="1"/>
  <c r="I523" i="29"/>
  <c r="J523" i="29" s="1"/>
  <c r="I524" i="29"/>
  <c r="J524" i="29" s="1"/>
  <c r="I525" i="29"/>
  <c r="J525" i="29" s="1"/>
  <c r="I526" i="29"/>
  <c r="J526" i="29" s="1"/>
  <c r="AB499" i="4" l="1"/>
  <c r="AE499" i="4" s="1"/>
  <c r="I520" i="29" l="1"/>
  <c r="J520" i="29" s="1"/>
  <c r="I519" i="29"/>
  <c r="J519" i="29" s="1"/>
  <c r="I503" i="29"/>
  <c r="J503" i="29" s="1"/>
  <c r="I504" i="29"/>
  <c r="J504" i="29" s="1"/>
  <c r="I505" i="29"/>
  <c r="J505" i="29" s="1"/>
  <c r="U266" i="42" s="1"/>
  <c r="I506" i="29"/>
  <c r="J506" i="29" s="1"/>
  <c r="I507" i="29"/>
  <c r="J507" i="29" s="1"/>
  <c r="I508" i="29"/>
  <c r="J508" i="29" s="1"/>
  <c r="I509" i="29"/>
  <c r="J509" i="29" s="1"/>
  <c r="I510" i="29"/>
  <c r="J510" i="29" s="1"/>
  <c r="I511" i="29"/>
  <c r="J511" i="29" s="1"/>
  <c r="I512" i="29"/>
  <c r="J512" i="29" s="1"/>
  <c r="I513" i="29"/>
  <c r="J513" i="29" s="1"/>
  <c r="I514" i="29"/>
  <c r="J514" i="29" s="1"/>
  <c r="I515" i="29"/>
  <c r="J515" i="29" s="1"/>
  <c r="I516" i="29"/>
  <c r="J516" i="29" s="1"/>
  <c r="I517" i="29"/>
  <c r="J517" i="29" s="1"/>
  <c r="I518" i="29"/>
  <c r="J518" i="29" s="1"/>
  <c r="I500" i="29"/>
  <c r="J500" i="29" s="1"/>
  <c r="I501" i="29"/>
  <c r="J501" i="29" s="1"/>
  <c r="I502" i="29"/>
  <c r="J502" i="29" s="1"/>
  <c r="U265" i="42" s="1"/>
  <c r="AQ265" i="42" l="1"/>
  <c r="T263" i="1"/>
  <c r="U263" i="42"/>
  <c r="AQ266" i="42"/>
  <c r="AT274" i="42" s="1"/>
  <c r="T262" i="1"/>
  <c r="U262" i="42"/>
  <c r="T265" i="1"/>
  <c r="T266" i="1"/>
  <c r="J1128" i="11"/>
  <c r="M1128" i="11" s="1"/>
  <c r="J1129" i="11"/>
  <c r="M1129" i="11" s="1"/>
  <c r="J1130" i="11"/>
  <c r="M1130" i="11" s="1"/>
  <c r="O1128" i="11"/>
  <c r="O1129" i="11"/>
  <c r="O1130" i="11"/>
  <c r="AC508" i="4"/>
  <c r="AD508" i="4" s="1"/>
  <c r="AC458" i="4"/>
  <c r="AD458" i="4" s="1"/>
  <c r="AC459" i="4"/>
  <c r="AD459" i="4" s="1"/>
  <c r="AC460" i="4"/>
  <c r="AD460" i="4" s="1"/>
  <c r="AC461" i="4"/>
  <c r="AD461" i="4" s="1"/>
  <c r="AC462" i="4"/>
  <c r="AD462" i="4" s="1"/>
  <c r="AC463" i="4"/>
  <c r="AD463" i="4" s="1"/>
  <c r="AC464" i="4"/>
  <c r="AD464" i="4" s="1"/>
  <c r="AC465" i="4"/>
  <c r="AD465" i="4" s="1"/>
  <c r="J1122" i="11"/>
  <c r="M1122" i="11" s="1"/>
  <c r="J1123" i="11"/>
  <c r="M1123" i="11" s="1"/>
  <c r="J1124" i="11"/>
  <c r="M1124" i="11" s="1"/>
  <c r="J1125" i="11"/>
  <c r="M1125" i="11" s="1"/>
  <c r="J1126" i="11"/>
  <c r="M1126" i="11" s="1"/>
  <c r="J1127" i="11"/>
  <c r="M1127" i="11" s="1"/>
  <c r="O1122" i="11"/>
  <c r="O1123" i="11"/>
  <c r="O1124" i="11"/>
  <c r="O1125" i="11"/>
  <c r="O1126" i="11"/>
  <c r="O1127" i="11"/>
  <c r="AC451" i="4"/>
  <c r="AD451" i="4" s="1"/>
  <c r="AC452" i="4"/>
  <c r="AD452" i="4" s="1"/>
  <c r="AC453" i="4"/>
  <c r="AD453" i="4" s="1"/>
  <c r="AC454" i="4"/>
  <c r="AD454" i="4" s="1"/>
  <c r="AC455" i="4"/>
  <c r="AD455" i="4" s="1"/>
  <c r="AC456" i="4"/>
  <c r="AD456" i="4" s="1"/>
  <c r="AQ262" i="42" l="1"/>
  <c r="AQ263" i="42"/>
  <c r="N1130" i="11"/>
  <c r="N1129" i="11"/>
  <c r="N1125" i="11"/>
  <c r="N1128" i="11"/>
  <c r="N1124" i="11"/>
  <c r="N1127" i="11"/>
  <c r="N1126" i="11"/>
  <c r="N1122" i="11"/>
  <c r="N1123" i="11"/>
  <c r="AT278" i="42" l="1"/>
  <c r="AT279" i="42"/>
  <c r="J639" i="4"/>
  <c r="J640" i="4"/>
  <c r="J641" i="4"/>
  <c r="J642" i="4"/>
  <c r="J623" i="4" l="1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AA7" i="26" l="1" a="1"/>
  <c r="AA7" i="26" s="1"/>
  <c r="AA12" i="26" a="1"/>
  <c r="AA12" i="26" s="1"/>
  <c r="AA14" i="26" a="1"/>
  <c r="AA14" i="26" s="1"/>
  <c r="AA15" i="26" a="1"/>
  <c r="AA15" i="26" s="1"/>
  <c r="AA16" i="26" a="1"/>
  <c r="AA16" i="26" s="1"/>
  <c r="AA17" i="26" a="1"/>
  <c r="AA17" i="26" s="1"/>
  <c r="AA18" i="26" a="1"/>
  <c r="AA18" i="26" s="1"/>
  <c r="AA19" i="26" a="1"/>
  <c r="AA19" i="26" s="1"/>
  <c r="AA20" i="26" a="1"/>
  <c r="AA20" i="26" s="1"/>
  <c r="AA21" i="26" a="1"/>
  <c r="AA21" i="26" s="1"/>
  <c r="AA22" i="26" a="1"/>
  <c r="AA22" i="26" s="1"/>
  <c r="V22" i="26" a="1"/>
  <c r="V22" i="26" s="1"/>
  <c r="V18" i="26" a="1"/>
  <c r="V18" i="26" s="1"/>
  <c r="L2" i="1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AX198" i="30"/>
  <c r="AY267" i="30"/>
  <c r="AZ267" i="30"/>
  <c r="AX121" i="30"/>
  <c r="AX114" i="30"/>
  <c r="AX72" i="30"/>
  <c r="AX136" i="30"/>
  <c r="AX61" i="30"/>
  <c r="L198" i="1" l="1"/>
  <c r="M198" i="1" s="1"/>
  <c r="M198" i="42"/>
  <c r="L61" i="1"/>
  <c r="M61" i="1" s="1"/>
  <c r="AB523" i="4" s="1"/>
  <c r="AE523" i="4" s="1"/>
  <c r="M61" i="42"/>
  <c r="L136" i="1"/>
  <c r="M136" i="1" s="1"/>
  <c r="M136" i="42"/>
  <c r="L72" i="1"/>
  <c r="M72" i="1" s="1"/>
  <c r="C14" i="39" s="1"/>
  <c r="M72" i="42"/>
  <c r="L114" i="1"/>
  <c r="M114" i="1" s="1"/>
  <c r="M114" i="42"/>
  <c r="L121" i="1"/>
  <c r="M121" i="1" s="1"/>
  <c r="AB526" i="4" s="1"/>
  <c r="AE526" i="4" s="1"/>
  <c r="M121" i="42"/>
  <c r="V21" i="26" a="1"/>
  <c r="V21" i="26" s="1"/>
  <c r="V20" i="26" a="1"/>
  <c r="V20" i="26" s="1"/>
  <c r="V19" i="26" a="1"/>
  <c r="V19" i="26" s="1"/>
  <c r="V13" i="26" a="1"/>
  <c r="V13" i="26" s="1"/>
  <c r="V14" i="26" a="1"/>
  <c r="V14" i="26" s="1"/>
  <c r="V11" i="26" a="1"/>
  <c r="V11" i="26" s="1"/>
  <c r="V15" i="26" a="1"/>
  <c r="V15" i="26" s="1"/>
  <c r="V17" i="26" a="1"/>
  <c r="V17" i="26" s="1"/>
  <c r="V12" i="26" a="1"/>
  <c r="V12" i="26" s="1"/>
  <c r="V10" i="26" a="1"/>
  <c r="V10" i="26" s="1"/>
  <c r="V7" i="26" a="1"/>
  <c r="V7" i="26" s="1"/>
  <c r="V8" i="26" a="1"/>
  <c r="V8" i="26" s="1"/>
  <c r="V9" i="26" a="1"/>
  <c r="V9" i="26" s="1"/>
  <c r="V5" i="26" a="1"/>
  <c r="V5" i="26" s="1"/>
  <c r="V4" i="26" a="1"/>
  <c r="V4" i="26" s="1"/>
  <c r="V6" i="26" a="1"/>
  <c r="V6" i="26" s="1"/>
  <c r="V3" i="26" a="1"/>
  <c r="V3" i="26" s="1"/>
  <c r="V16" i="26" a="1"/>
  <c r="V16" i="26" s="1"/>
  <c r="I2" i="29"/>
  <c r="I3" i="29"/>
  <c r="I4" i="29"/>
  <c r="I5" i="29"/>
  <c r="I6" i="29"/>
  <c r="I7" i="29"/>
  <c r="I8" i="29"/>
  <c r="I9" i="29"/>
  <c r="I10" i="29"/>
  <c r="I11" i="29"/>
  <c r="I12" i="29"/>
  <c r="I13" i="29"/>
  <c r="I14" i="29"/>
  <c r="I15" i="29"/>
  <c r="I16" i="29"/>
  <c r="I17" i="29"/>
  <c r="I18" i="29"/>
  <c r="I19" i="29"/>
  <c r="I20" i="29"/>
  <c r="I21" i="29"/>
  <c r="I22" i="29"/>
  <c r="I23" i="29"/>
  <c r="I24" i="29"/>
  <c r="I25" i="29"/>
  <c r="I26" i="29"/>
  <c r="I27" i="29"/>
  <c r="I28" i="29"/>
  <c r="I29" i="29"/>
  <c r="I30" i="29"/>
  <c r="I31" i="29"/>
  <c r="I32" i="29"/>
  <c r="I33" i="29"/>
  <c r="I34" i="29"/>
  <c r="I35" i="29"/>
  <c r="I36" i="29"/>
  <c r="I37" i="29"/>
  <c r="I38" i="29"/>
  <c r="I39" i="29"/>
  <c r="I40" i="29"/>
  <c r="I41" i="29"/>
  <c r="I42" i="29"/>
  <c r="I43" i="29"/>
  <c r="I44" i="29"/>
  <c r="I45" i="29"/>
  <c r="I46" i="29"/>
  <c r="I47" i="29"/>
  <c r="I48" i="29"/>
  <c r="I49" i="29"/>
  <c r="I50" i="29"/>
  <c r="I51" i="29"/>
  <c r="I52" i="29"/>
  <c r="I53" i="29"/>
  <c r="I54" i="29"/>
  <c r="I55" i="29"/>
  <c r="I56" i="29"/>
  <c r="I57" i="29"/>
  <c r="I58" i="29"/>
  <c r="I59" i="29"/>
  <c r="I60" i="29"/>
  <c r="I61" i="29"/>
  <c r="I62" i="29"/>
  <c r="I63" i="29"/>
  <c r="I64" i="29"/>
  <c r="I65" i="29"/>
  <c r="I66" i="29"/>
  <c r="I67" i="29"/>
  <c r="I68" i="29"/>
  <c r="I69" i="29"/>
  <c r="I70" i="29"/>
  <c r="I71" i="29"/>
  <c r="I72" i="29"/>
  <c r="I73" i="29"/>
  <c r="I74" i="29"/>
  <c r="I75" i="29"/>
  <c r="I76" i="29"/>
  <c r="I77" i="29"/>
  <c r="I78" i="29"/>
  <c r="I79" i="29"/>
  <c r="I80" i="29"/>
  <c r="I81" i="29"/>
  <c r="I82" i="29"/>
  <c r="I83" i="29"/>
  <c r="I84" i="29"/>
  <c r="I85" i="29"/>
  <c r="I86" i="29"/>
  <c r="I87" i="29"/>
  <c r="I88" i="29"/>
  <c r="I89" i="29"/>
  <c r="I90" i="29"/>
  <c r="I91" i="29"/>
  <c r="I92" i="29"/>
  <c r="I93" i="29"/>
  <c r="I94" i="29"/>
  <c r="I95" i="29"/>
  <c r="I96" i="29"/>
  <c r="I97" i="29"/>
  <c r="I98" i="29"/>
  <c r="I99" i="29"/>
  <c r="I100" i="29"/>
  <c r="I101" i="29"/>
  <c r="I102" i="29"/>
  <c r="I103" i="29"/>
  <c r="I104" i="29"/>
  <c r="I105" i="29"/>
  <c r="I106" i="29"/>
  <c r="I107" i="29"/>
  <c r="I108" i="29"/>
  <c r="I109" i="29"/>
  <c r="I110" i="29"/>
  <c r="I111" i="29"/>
  <c r="I112" i="29"/>
  <c r="I113" i="29"/>
  <c r="I114" i="29"/>
  <c r="I115" i="29"/>
  <c r="I116" i="29"/>
  <c r="I117" i="29"/>
  <c r="I118" i="29"/>
  <c r="I119" i="29"/>
  <c r="I120" i="29"/>
  <c r="I121" i="29"/>
  <c r="I122" i="29"/>
  <c r="I123" i="29"/>
  <c r="I124" i="29"/>
  <c r="I125" i="29"/>
  <c r="I126" i="29"/>
  <c r="I127" i="29"/>
  <c r="I128" i="29"/>
  <c r="I129" i="29"/>
  <c r="I130" i="29"/>
  <c r="I131" i="29"/>
  <c r="I132" i="29"/>
  <c r="I133" i="29"/>
  <c r="I134" i="29"/>
  <c r="I135" i="29"/>
  <c r="I136" i="29"/>
  <c r="I137" i="29"/>
  <c r="I138" i="29"/>
  <c r="I139" i="29"/>
  <c r="I140" i="29"/>
  <c r="I141" i="29"/>
  <c r="I142" i="29"/>
  <c r="I143" i="29"/>
  <c r="I144" i="29"/>
  <c r="I145" i="29"/>
  <c r="I146" i="29"/>
  <c r="I147" i="29"/>
  <c r="I148" i="29"/>
  <c r="I149" i="29"/>
  <c r="I150" i="29"/>
  <c r="I151" i="29"/>
  <c r="I152" i="29"/>
  <c r="I153" i="29"/>
  <c r="I154" i="29"/>
  <c r="I155" i="29"/>
  <c r="I156" i="29"/>
  <c r="I157" i="29"/>
  <c r="I158" i="29"/>
  <c r="I159" i="29"/>
  <c r="I160" i="29"/>
  <c r="I161" i="29"/>
  <c r="I162" i="29"/>
  <c r="I163" i="29"/>
  <c r="I164" i="29"/>
  <c r="I165" i="29"/>
  <c r="I166" i="29"/>
  <c r="I167" i="29"/>
  <c r="I168" i="29"/>
  <c r="I169" i="29"/>
  <c r="I170" i="29"/>
  <c r="I171" i="29"/>
  <c r="I172" i="29"/>
  <c r="I173" i="29"/>
  <c r="I174" i="29"/>
  <c r="I175" i="29"/>
  <c r="I176" i="29"/>
  <c r="I177" i="29"/>
  <c r="I178" i="29"/>
  <c r="I179" i="29"/>
  <c r="I180" i="29"/>
  <c r="I181" i="29"/>
  <c r="I182" i="29"/>
  <c r="I183" i="29"/>
  <c r="I184" i="29"/>
  <c r="I185" i="29"/>
  <c r="I186" i="29"/>
  <c r="I187" i="29"/>
  <c r="I188" i="29"/>
  <c r="I189" i="29"/>
  <c r="I190" i="29"/>
  <c r="I191" i="29"/>
  <c r="I192" i="29"/>
  <c r="I193" i="29"/>
  <c r="I194" i="29"/>
  <c r="I195" i="29"/>
  <c r="I196" i="29"/>
  <c r="I197" i="29"/>
  <c r="I198" i="29"/>
  <c r="I199" i="29"/>
  <c r="I200" i="29"/>
  <c r="I201" i="29"/>
  <c r="I202" i="29"/>
  <c r="I203" i="29"/>
  <c r="I204" i="29"/>
  <c r="I205" i="29"/>
  <c r="I206" i="29"/>
  <c r="I207" i="29"/>
  <c r="I208" i="29"/>
  <c r="I209" i="29"/>
  <c r="I210" i="29"/>
  <c r="I211" i="29"/>
  <c r="I212" i="29"/>
  <c r="I213" i="29"/>
  <c r="I214" i="29"/>
  <c r="I215" i="29"/>
  <c r="I216" i="29"/>
  <c r="I217" i="29"/>
  <c r="I218" i="29"/>
  <c r="I219" i="29"/>
  <c r="I220" i="29"/>
  <c r="I221" i="29"/>
  <c r="I222" i="29"/>
  <c r="I223" i="29"/>
  <c r="I224" i="29"/>
  <c r="I225" i="29"/>
  <c r="I226" i="29"/>
  <c r="I227" i="29"/>
  <c r="I228" i="29"/>
  <c r="I229" i="29"/>
  <c r="I230" i="29"/>
  <c r="I231" i="29"/>
  <c r="I232" i="29"/>
  <c r="I233" i="29"/>
  <c r="I234" i="29"/>
  <c r="I235" i="29"/>
  <c r="I236" i="29"/>
  <c r="I237" i="29"/>
  <c r="I238" i="29"/>
  <c r="I239" i="29"/>
  <c r="I240" i="29"/>
  <c r="I241" i="29"/>
  <c r="I242" i="29"/>
  <c r="I243" i="29"/>
  <c r="I244" i="29"/>
  <c r="I245" i="29"/>
  <c r="I246" i="29"/>
  <c r="I247" i="29"/>
  <c r="I248" i="29"/>
  <c r="I249" i="29"/>
  <c r="I250" i="29"/>
  <c r="I251" i="29"/>
  <c r="I252" i="29"/>
  <c r="I253" i="29"/>
  <c r="I254" i="29"/>
  <c r="I255" i="29"/>
  <c r="I256" i="29"/>
  <c r="I257" i="29"/>
  <c r="I258" i="29"/>
  <c r="I259" i="29"/>
  <c r="I260" i="29"/>
  <c r="I261" i="29"/>
  <c r="I262" i="29"/>
  <c r="I263" i="29"/>
  <c r="I264" i="29"/>
  <c r="I265" i="29"/>
  <c r="I266" i="29"/>
  <c r="I267" i="29"/>
  <c r="I268" i="29"/>
  <c r="I269" i="29"/>
  <c r="I270" i="29"/>
  <c r="I271" i="29"/>
  <c r="I272" i="29"/>
  <c r="I273" i="29"/>
  <c r="I274" i="29"/>
  <c r="I275" i="29"/>
  <c r="I276" i="29"/>
  <c r="I277" i="29"/>
  <c r="I278" i="29"/>
  <c r="I279" i="29"/>
  <c r="I280" i="29"/>
  <c r="I281" i="29"/>
  <c r="I282" i="29"/>
  <c r="I283" i="29"/>
  <c r="I284" i="29"/>
  <c r="I285" i="29"/>
  <c r="I286" i="29"/>
  <c r="I287" i="29"/>
  <c r="I288" i="29"/>
  <c r="I289" i="29"/>
  <c r="I290" i="29"/>
  <c r="I291" i="29"/>
  <c r="I292" i="29"/>
  <c r="I293" i="29"/>
  <c r="I294" i="29"/>
  <c r="I295" i="29"/>
  <c r="I296" i="29"/>
  <c r="I297" i="29"/>
  <c r="I298" i="29"/>
  <c r="I299" i="29"/>
  <c r="I300" i="29"/>
  <c r="I301" i="29"/>
  <c r="I302" i="29"/>
  <c r="I303" i="29"/>
  <c r="I304" i="29"/>
  <c r="I305" i="29"/>
  <c r="I306" i="29"/>
  <c r="I307" i="29"/>
  <c r="I308" i="29"/>
  <c r="I309" i="29"/>
  <c r="I310" i="29"/>
  <c r="I311" i="29"/>
  <c r="I312" i="29"/>
  <c r="I313" i="29"/>
  <c r="I314" i="29"/>
  <c r="I315" i="29"/>
  <c r="I316" i="29"/>
  <c r="I317" i="29"/>
  <c r="I318" i="29"/>
  <c r="I319" i="29"/>
  <c r="I320" i="29"/>
  <c r="I321" i="29"/>
  <c r="I322" i="29"/>
  <c r="I323" i="29"/>
  <c r="I324" i="29"/>
  <c r="I325" i="29"/>
  <c r="I326" i="29"/>
  <c r="I327" i="29"/>
  <c r="I328" i="29"/>
  <c r="I329" i="29"/>
  <c r="I330" i="29"/>
  <c r="I331" i="29"/>
  <c r="I332" i="29"/>
  <c r="I333" i="29"/>
  <c r="I334" i="29"/>
  <c r="I335" i="29"/>
  <c r="I336" i="29"/>
  <c r="I337" i="29"/>
  <c r="I338" i="29"/>
  <c r="I339" i="29"/>
  <c r="I340" i="29"/>
  <c r="I341" i="29"/>
  <c r="I342" i="29"/>
  <c r="I343" i="29"/>
  <c r="I344" i="29"/>
  <c r="I345" i="29"/>
  <c r="I346" i="29"/>
  <c r="I347" i="29"/>
  <c r="I348" i="29"/>
  <c r="I349" i="29"/>
  <c r="I350" i="29"/>
  <c r="I351" i="29"/>
  <c r="I352" i="29"/>
  <c r="I353" i="29"/>
  <c r="I354" i="29"/>
  <c r="I355" i="29"/>
  <c r="I356" i="29"/>
  <c r="I357" i="29"/>
  <c r="I358" i="29"/>
  <c r="I359" i="29"/>
  <c r="I360" i="29"/>
  <c r="I361" i="29"/>
  <c r="I362" i="29"/>
  <c r="I363" i="29"/>
  <c r="I364" i="29"/>
  <c r="I365" i="29"/>
  <c r="I366" i="29"/>
  <c r="I367" i="29"/>
  <c r="I368" i="29"/>
  <c r="I369" i="29"/>
  <c r="I370" i="29"/>
  <c r="I371" i="29"/>
  <c r="I372" i="29"/>
  <c r="I373" i="29"/>
  <c r="I374" i="29"/>
  <c r="I375" i="29"/>
  <c r="I376" i="29"/>
  <c r="I377" i="29"/>
  <c r="I378" i="29"/>
  <c r="I379" i="29"/>
  <c r="I380" i="29"/>
  <c r="I381" i="29"/>
  <c r="I382" i="29"/>
  <c r="I383" i="29"/>
  <c r="I384" i="29"/>
  <c r="I385" i="29"/>
  <c r="I386" i="29"/>
  <c r="I387" i="29"/>
  <c r="I388" i="29"/>
  <c r="I389" i="29"/>
  <c r="I390" i="29"/>
  <c r="I391" i="29"/>
  <c r="I392" i="29"/>
  <c r="I393" i="29"/>
  <c r="I394" i="29"/>
  <c r="I395" i="29"/>
  <c r="I396" i="29"/>
  <c r="I397" i="29"/>
  <c r="I398" i="29"/>
  <c r="I399" i="29"/>
  <c r="I400" i="29"/>
  <c r="I401" i="29"/>
  <c r="I402" i="29"/>
  <c r="I403" i="29"/>
  <c r="I404" i="29"/>
  <c r="I405" i="29"/>
  <c r="I406" i="29"/>
  <c r="I407" i="29"/>
  <c r="I408" i="29"/>
  <c r="I409" i="29"/>
  <c r="I410" i="29"/>
  <c r="I411" i="29"/>
  <c r="I412" i="29"/>
  <c r="I413" i="29"/>
  <c r="I414" i="29"/>
  <c r="I415" i="29"/>
  <c r="I416" i="29"/>
  <c r="I417" i="29"/>
  <c r="I418" i="29"/>
  <c r="I419" i="29"/>
  <c r="I420" i="29"/>
  <c r="I421" i="29"/>
  <c r="I422" i="29"/>
  <c r="I423" i="29"/>
  <c r="I424" i="29"/>
  <c r="I425" i="29"/>
  <c r="I426" i="29"/>
  <c r="I427" i="29"/>
  <c r="I428" i="29"/>
  <c r="I429" i="29"/>
  <c r="I430" i="29"/>
  <c r="I431" i="29"/>
  <c r="I432" i="29"/>
  <c r="I433" i="29"/>
  <c r="I434" i="29"/>
  <c r="I435" i="29"/>
  <c r="I436" i="29"/>
  <c r="I437" i="29"/>
  <c r="I438" i="29"/>
  <c r="I439" i="29"/>
  <c r="I440" i="29"/>
  <c r="I441" i="29"/>
  <c r="I442" i="29"/>
  <c r="I443" i="29"/>
  <c r="I444" i="29"/>
  <c r="I445" i="29"/>
  <c r="I446" i="29"/>
  <c r="I447" i="29"/>
  <c r="I448" i="29"/>
  <c r="I449" i="29"/>
  <c r="I450" i="29"/>
  <c r="I451" i="29"/>
  <c r="I452" i="29"/>
  <c r="I453" i="29"/>
  <c r="I454" i="29"/>
  <c r="I455" i="29"/>
  <c r="I456" i="29"/>
  <c r="I457" i="29"/>
  <c r="I458" i="29"/>
  <c r="I459" i="29"/>
  <c r="I460" i="29"/>
  <c r="I461" i="29"/>
  <c r="I462" i="29"/>
  <c r="I463" i="29"/>
  <c r="I464" i="29"/>
  <c r="I465" i="29"/>
  <c r="I466" i="29"/>
  <c r="I467" i="29"/>
  <c r="I468" i="29"/>
  <c r="I469" i="29"/>
  <c r="I470" i="29"/>
  <c r="I471" i="29"/>
  <c r="I472" i="29"/>
  <c r="I473" i="29"/>
  <c r="I474" i="29"/>
  <c r="I475" i="29"/>
  <c r="I476" i="29"/>
  <c r="I477" i="29"/>
  <c r="I478" i="29"/>
  <c r="I479" i="29"/>
  <c r="I480" i="29"/>
  <c r="I481" i="29"/>
  <c r="I482" i="29"/>
  <c r="I483" i="29"/>
  <c r="I484" i="29"/>
  <c r="I485" i="29"/>
  <c r="I486" i="29"/>
  <c r="I487" i="29"/>
  <c r="I488" i="29"/>
  <c r="I489" i="29"/>
  <c r="I490" i="29"/>
  <c r="I491" i="29"/>
  <c r="I492" i="29"/>
  <c r="I493" i="29"/>
  <c r="I494" i="29"/>
  <c r="I495" i="29"/>
  <c r="I496" i="29"/>
  <c r="I499" i="29"/>
  <c r="J499" i="29" s="1"/>
  <c r="V2" i="26" l="1" a="1"/>
  <c r="V2" i="26" s="1"/>
  <c r="L304" i="1"/>
  <c r="AE121" i="42"/>
  <c r="N121" i="42"/>
  <c r="AE114" i="42"/>
  <c r="N114" i="42"/>
  <c r="N72" i="42"/>
  <c r="AE72" i="42"/>
  <c r="N136" i="42"/>
  <c r="AE136" i="42"/>
  <c r="N61" i="42"/>
  <c r="AE61" i="42"/>
  <c r="M304" i="42"/>
  <c r="N198" i="42"/>
  <c r="AE198" i="42"/>
  <c r="C7" i="39"/>
  <c r="D30" i="39"/>
  <c r="E30" i="39" s="1"/>
  <c r="D28" i="39"/>
  <c r="E28" i="39" s="1"/>
  <c r="D18" i="39"/>
  <c r="E18" i="39" s="1"/>
  <c r="D10" i="39"/>
  <c r="E10" i="39" s="1"/>
  <c r="D8" i="39"/>
  <c r="E8" i="39" s="1"/>
  <c r="D16" i="39"/>
  <c r="E16" i="39" s="1"/>
  <c r="D5" i="39"/>
  <c r="E5" i="39" s="1"/>
  <c r="D2" i="39"/>
  <c r="E2" i="39" s="1"/>
  <c r="D20" i="39"/>
  <c r="E20" i="39" s="1"/>
  <c r="D17" i="39"/>
  <c r="E17" i="39" s="1"/>
  <c r="D21" i="39"/>
  <c r="E21" i="39" s="1"/>
  <c r="D14" i="39"/>
  <c r="E14" i="39" s="1"/>
  <c r="F14" i="39" s="1"/>
  <c r="D12" i="39"/>
  <c r="E12" i="39" s="1"/>
  <c r="D32" i="39"/>
  <c r="E32" i="39" s="1"/>
  <c r="D25" i="39"/>
  <c r="E25" i="39" s="1"/>
  <c r="D23" i="39"/>
  <c r="E23" i="39" s="1"/>
  <c r="D22" i="39"/>
  <c r="E22" i="39" s="1"/>
  <c r="D33" i="39"/>
  <c r="E33" i="39" s="1"/>
  <c r="D29" i="39"/>
  <c r="E29" i="39" s="1"/>
  <c r="D27" i="39"/>
  <c r="E27" i="39" s="1"/>
  <c r="D15" i="39"/>
  <c r="E15" i="39" s="1"/>
  <c r="D9" i="39"/>
  <c r="E9" i="39" s="1"/>
  <c r="D3" i="39"/>
  <c r="E3" i="39" s="1"/>
  <c r="D6" i="39"/>
  <c r="E6" i="39" s="1"/>
  <c r="D4" i="39"/>
  <c r="E4" i="39" s="1"/>
  <c r="D31" i="39"/>
  <c r="E31" i="39" s="1"/>
  <c r="D13" i="39"/>
  <c r="E13" i="39" s="1"/>
  <c r="D11" i="39"/>
  <c r="E11" i="39" s="1"/>
  <c r="D26" i="39"/>
  <c r="E26" i="39" s="1"/>
  <c r="D24" i="39"/>
  <c r="E24" i="39" s="1"/>
  <c r="D19" i="39"/>
  <c r="E19" i="39" s="1"/>
  <c r="C32" i="39"/>
  <c r="C5" i="39"/>
  <c r="C29" i="39"/>
  <c r="C10" i="39"/>
  <c r="C31" i="39"/>
  <c r="C22" i="39"/>
  <c r="C19" i="39"/>
  <c r="C20" i="39"/>
  <c r="C15" i="39"/>
  <c r="C3" i="39"/>
  <c r="C21" i="39"/>
  <c r="C11" i="39"/>
  <c r="C9" i="39"/>
  <c r="C4" i="39"/>
  <c r="C24" i="39"/>
  <c r="C27" i="39"/>
  <c r="C13" i="39"/>
  <c r="C18" i="39"/>
  <c r="C26" i="39"/>
  <c r="C16" i="39"/>
  <c r="C12" i="39"/>
  <c r="C28" i="39"/>
  <c r="C2" i="39"/>
  <c r="C17" i="39"/>
  <c r="C23" i="39"/>
  <c r="C33" i="39"/>
  <c r="C30" i="39"/>
  <c r="C25" i="39"/>
  <c r="AC210" i="4"/>
  <c r="AD210" i="4" s="1"/>
  <c r="AC271" i="4"/>
  <c r="AD271" i="4" s="1"/>
  <c r="AC212" i="4"/>
  <c r="AD212" i="4" s="1"/>
  <c r="AC213" i="4"/>
  <c r="AD213" i="4" s="1"/>
  <c r="AC214" i="4"/>
  <c r="AD214" i="4" s="1"/>
  <c r="AC215" i="4"/>
  <c r="AD215" i="4" s="1"/>
  <c r="AC216" i="4"/>
  <c r="AD216" i="4" s="1"/>
  <c r="AC217" i="4"/>
  <c r="AD217" i="4" s="1"/>
  <c r="AC218" i="4"/>
  <c r="AD218" i="4" s="1"/>
  <c r="AC219" i="4"/>
  <c r="AD219" i="4" s="1"/>
  <c r="AC220" i="4"/>
  <c r="AD220" i="4" s="1"/>
  <c r="AC221" i="4"/>
  <c r="AD221" i="4" s="1"/>
  <c r="AC222" i="4"/>
  <c r="AD222" i="4" s="1"/>
  <c r="AC229" i="4"/>
  <c r="AD229" i="4" s="1"/>
  <c r="AC224" i="4"/>
  <c r="AD224" i="4" s="1"/>
  <c r="AC225" i="4"/>
  <c r="AD225" i="4" s="1"/>
  <c r="AC226" i="4"/>
  <c r="AD226" i="4" s="1"/>
  <c r="AC227" i="4"/>
  <c r="AD227" i="4" s="1"/>
  <c r="AC228" i="4"/>
  <c r="AD228" i="4" s="1"/>
  <c r="AC248" i="4"/>
  <c r="AD248" i="4" s="1"/>
  <c r="AC230" i="4"/>
  <c r="AD230" i="4" s="1"/>
  <c r="AC231" i="4"/>
  <c r="AD231" i="4" s="1"/>
  <c r="AC232" i="4"/>
  <c r="AD232" i="4" s="1"/>
  <c r="AC233" i="4"/>
  <c r="AD233" i="4" s="1"/>
  <c r="AC234" i="4"/>
  <c r="AD234" i="4" s="1"/>
  <c r="AC235" i="4"/>
  <c r="AD235" i="4" s="1"/>
  <c r="AC236" i="4"/>
  <c r="AD236" i="4" s="1"/>
  <c r="AC237" i="4"/>
  <c r="AD237" i="4" s="1"/>
  <c r="AC238" i="4"/>
  <c r="AD238" i="4" s="1"/>
  <c r="AC239" i="4"/>
  <c r="AD239" i="4" s="1"/>
  <c r="AC240" i="4"/>
  <c r="AD240" i="4" s="1"/>
  <c r="AC241" i="4"/>
  <c r="AD241" i="4" s="1"/>
  <c r="AC242" i="4"/>
  <c r="AD242" i="4" s="1"/>
  <c r="AC301" i="4"/>
  <c r="AD301" i="4" s="1"/>
  <c r="AC244" i="4"/>
  <c r="AD244" i="4" s="1"/>
  <c r="AC245" i="4"/>
  <c r="AD245" i="4" s="1"/>
  <c r="AC246" i="4"/>
  <c r="AD246" i="4" s="1"/>
  <c r="AC247" i="4"/>
  <c r="AD247" i="4" s="1"/>
  <c r="AC264" i="4"/>
  <c r="AD264" i="4" s="1"/>
  <c r="AC249" i="4"/>
  <c r="AD249" i="4" s="1"/>
  <c r="AC250" i="4"/>
  <c r="AD250" i="4" s="1"/>
  <c r="AC131" i="4"/>
  <c r="AD131" i="4" s="1"/>
  <c r="AC252" i="4"/>
  <c r="AD252" i="4" s="1"/>
  <c r="AC253" i="4"/>
  <c r="AD253" i="4" s="1"/>
  <c r="AC254" i="4"/>
  <c r="AD254" i="4" s="1"/>
  <c r="AC255" i="4"/>
  <c r="AD255" i="4" s="1"/>
  <c r="AC354" i="4"/>
  <c r="AD354" i="4" s="1"/>
  <c r="AC257" i="4"/>
  <c r="AD257" i="4" s="1"/>
  <c r="AC258" i="4"/>
  <c r="AD258" i="4" s="1"/>
  <c r="AC259" i="4"/>
  <c r="AD259" i="4" s="1"/>
  <c r="AC260" i="4"/>
  <c r="AD260" i="4" s="1"/>
  <c r="AC261" i="4"/>
  <c r="AD261" i="4" s="1"/>
  <c r="AC262" i="4"/>
  <c r="AD262" i="4" s="1"/>
  <c r="AC263" i="4"/>
  <c r="AD263" i="4" s="1"/>
  <c r="AC251" i="4"/>
  <c r="AD251" i="4" s="1"/>
  <c r="AC265" i="4"/>
  <c r="AD265" i="4" s="1"/>
  <c r="AC266" i="4"/>
  <c r="AD266" i="4" s="1"/>
  <c r="AC267" i="4"/>
  <c r="AD267" i="4" s="1"/>
  <c r="AC268" i="4"/>
  <c r="AD268" i="4" s="1"/>
  <c r="AC269" i="4"/>
  <c r="AD269" i="4" s="1"/>
  <c r="AC270" i="4"/>
  <c r="AD270" i="4" s="1"/>
  <c r="AC211" i="4"/>
  <c r="AD211" i="4" s="1"/>
  <c r="AC272" i="4"/>
  <c r="AD272" i="4" s="1"/>
  <c r="AC273" i="4"/>
  <c r="AD273" i="4" s="1"/>
  <c r="AC256" i="4"/>
  <c r="AD256" i="4" s="1"/>
  <c r="AC275" i="4"/>
  <c r="AD275" i="4" s="1"/>
  <c r="AC276" i="4"/>
  <c r="AD276" i="4" s="1"/>
  <c r="AC277" i="4"/>
  <c r="AD277" i="4" s="1"/>
  <c r="AC278" i="4"/>
  <c r="AD278" i="4" s="1"/>
  <c r="AC279" i="4"/>
  <c r="AD279" i="4" s="1"/>
  <c r="AC280" i="4"/>
  <c r="AD280" i="4" s="1"/>
  <c r="AC281" i="4"/>
  <c r="AD281" i="4" s="1"/>
  <c r="AC282" i="4"/>
  <c r="AD282" i="4" s="1"/>
  <c r="AC283" i="4"/>
  <c r="AD283" i="4" s="1"/>
  <c r="AC284" i="4"/>
  <c r="AD284" i="4" s="1"/>
  <c r="AC285" i="4"/>
  <c r="AD285" i="4" s="1"/>
  <c r="AC286" i="4"/>
  <c r="AD286" i="4" s="1"/>
  <c r="AC287" i="4"/>
  <c r="AD287" i="4" s="1"/>
  <c r="AC288" i="4"/>
  <c r="AD288" i="4" s="1"/>
  <c r="AC289" i="4"/>
  <c r="AD289" i="4" s="1"/>
  <c r="AC290" i="4"/>
  <c r="AD290" i="4" s="1"/>
  <c r="AC291" i="4"/>
  <c r="AD291" i="4" s="1"/>
  <c r="AC292" i="4"/>
  <c r="AD292" i="4" s="1"/>
  <c r="AC293" i="4"/>
  <c r="AD293" i="4" s="1"/>
  <c r="AC294" i="4"/>
  <c r="AD294" i="4" s="1"/>
  <c r="AC295" i="4"/>
  <c r="AD295" i="4" s="1"/>
  <c r="AC296" i="4"/>
  <c r="AD296" i="4" s="1"/>
  <c r="AC297" i="4"/>
  <c r="AD297" i="4" s="1"/>
  <c r="AC298" i="4"/>
  <c r="AD298" i="4" s="1"/>
  <c r="AC299" i="4"/>
  <c r="AD299" i="4" s="1"/>
  <c r="AC300" i="4"/>
  <c r="AD300" i="4" s="1"/>
  <c r="AC424" i="4"/>
  <c r="AD424" i="4" s="1"/>
  <c r="AC302" i="4"/>
  <c r="AD302" i="4" s="1"/>
  <c r="AC303" i="4"/>
  <c r="AD303" i="4" s="1"/>
  <c r="AC304" i="4"/>
  <c r="AD304" i="4" s="1"/>
  <c r="AC305" i="4"/>
  <c r="AD305" i="4" s="1"/>
  <c r="AC306" i="4"/>
  <c r="AD306" i="4" s="1"/>
  <c r="AC307" i="4"/>
  <c r="AD307" i="4" s="1"/>
  <c r="AC308" i="4"/>
  <c r="AD308" i="4" s="1"/>
  <c r="AC309" i="4"/>
  <c r="AD309" i="4" s="1"/>
  <c r="AC310" i="4"/>
  <c r="AD310" i="4" s="1"/>
  <c r="AC311" i="4"/>
  <c r="AD311" i="4" s="1"/>
  <c r="AC312" i="4"/>
  <c r="AD312" i="4" s="1"/>
  <c r="AC313" i="4"/>
  <c r="AD313" i="4" s="1"/>
  <c r="AC314" i="4"/>
  <c r="AD314" i="4" s="1"/>
  <c r="AC315" i="4"/>
  <c r="AD315" i="4" s="1"/>
  <c r="AC316" i="4"/>
  <c r="AD316" i="4" s="1"/>
  <c r="AC430" i="4"/>
  <c r="AD430" i="4" s="1"/>
  <c r="AC318" i="4"/>
  <c r="AD318" i="4" s="1"/>
  <c r="AC319" i="4"/>
  <c r="AD319" i="4" s="1"/>
  <c r="AC320" i="4"/>
  <c r="AD320" i="4" s="1"/>
  <c r="AC321" i="4"/>
  <c r="AD321" i="4" s="1"/>
  <c r="AC322" i="4"/>
  <c r="AD322" i="4" s="1"/>
  <c r="AC440" i="4"/>
  <c r="AD440" i="4" s="1"/>
  <c r="AC324" i="4"/>
  <c r="AD324" i="4" s="1"/>
  <c r="AC325" i="4"/>
  <c r="AD325" i="4" s="1"/>
  <c r="AC326" i="4"/>
  <c r="AD326" i="4" s="1"/>
  <c r="AC327" i="4"/>
  <c r="AD327" i="4" s="1"/>
  <c r="AC328" i="4"/>
  <c r="AD328" i="4" s="1"/>
  <c r="AC457" i="4"/>
  <c r="AD457" i="4" s="1"/>
  <c r="AC330" i="4"/>
  <c r="AD330" i="4" s="1"/>
  <c r="AC331" i="4"/>
  <c r="AD331" i="4" s="1"/>
  <c r="AC332" i="4"/>
  <c r="AD332" i="4" s="1"/>
  <c r="AC333" i="4"/>
  <c r="AD333" i="4" s="1"/>
  <c r="AC334" i="4"/>
  <c r="AD334" i="4" s="1"/>
  <c r="AC335" i="4"/>
  <c r="AD335" i="4" s="1"/>
  <c r="AC336" i="4"/>
  <c r="AD336" i="4" s="1"/>
  <c r="AC337" i="4"/>
  <c r="AD337" i="4" s="1"/>
  <c r="AC338" i="4"/>
  <c r="AD338" i="4" s="1"/>
  <c r="AC339" i="4"/>
  <c r="AD339" i="4" s="1"/>
  <c r="AC340" i="4"/>
  <c r="AD340" i="4" s="1"/>
  <c r="AC341" i="4"/>
  <c r="AD341" i="4" s="1"/>
  <c r="AC346" i="4"/>
  <c r="AD346" i="4" s="1"/>
  <c r="AC347" i="4"/>
  <c r="AD347" i="4" s="1"/>
  <c r="AC348" i="4"/>
  <c r="AD348" i="4" s="1"/>
  <c r="AC349" i="4"/>
  <c r="AD349" i="4" s="1"/>
  <c r="AC350" i="4"/>
  <c r="AD350" i="4" s="1"/>
  <c r="AC351" i="4"/>
  <c r="AD351" i="4" s="1"/>
  <c r="AC352" i="4"/>
  <c r="AD352" i="4" s="1"/>
  <c r="AC353" i="4"/>
  <c r="AD353" i="4" s="1"/>
  <c r="AC466" i="4"/>
  <c r="AD466" i="4" s="1"/>
  <c r="AC355" i="4"/>
  <c r="AD355" i="4" s="1"/>
  <c r="AC356" i="4"/>
  <c r="AD356" i="4" s="1"/>
  <c r="AC357" i="4"/>
  <c r="AD357" i="4" s="1"/>
  <c r="AC358" i="4"/>
  <c r="AD358" i="4" s="1"/>
  <c r="AC359" i="4"/>
  <c r="AD359" i="4" s="1"/>
  <c r="AC360" i="4"/>
  <c r="AD360" i="4" s="1"/>
  <c r="AC361" i="4"/>
  <c r="AD361" i="4" s="1"/>
  <c r="AC362" i="4"/>
  <c r="AD362" i="4" s="1"/>
  <c r="AC363" i="4"/>
  <c r="AD363" i="4" s="1"/>
  <c r="AC364" i="4"/>
  <c r="AD364" i="4" s="1"/>
  <c r="AC365" i="4"/>
  <c r="AD365" i="4" s="1"/>
  <c r="AC366" i="4"/>
  <c r="AD366" i="4" s="1"/>
  <c r="AC367" i="4"/>
  <c r="AD367" i="4" s="1"/>
  <c r="AC368" i="4"/>
  <c r="AD368" i="4" s="1"/>
  <c r="AC369" i="4"/>
  <c r="AD369" i="4" s="1"/>
  <c r="AC370" i="4"/>
  <c r="AD370" i="4" s="1"/>
  <c r="AC371" i="4"/>
  <c r="AD371" i="4" s="1"/>
  <c r="AC372" i="4"/>
  <c r="AD372" i="4" s="1"/>
  <c r="AC373" i="4"/>
  <c r="AD373" i="4" s="1"/>
  <c r="AC374" i="4"/>
  <c r="AD374" i="4" s="1"/>
  <c r="AC375" i="4"/>
  <c r="AD375" i="4" s="1"/>
  <c r="AC376" i="4"/>
  <c r="AD376" i="4" s="1"/>
  <c r="AC377" i="4"/>
  <c r="AD377" i="4" s="1"/>
  <c r="AC378" i="4"/>
  <c r="AD378" i="4" s="1"/>
  <c r="AC379" i="4"/>
  <c r="AD379" i="4" s="1"/>
  <c r="AC380" i="4"/>
  <c r="AD380" i="4" s="1"/>
  <c r="AC381" i="4"/>
  <c r="AD381" i="4" s="1"/>
  <c r="AC382" i="4"/>
  <c r="AD382" i="4" s="1"/>
  <c r="AC383" i="4"/>
  <c r="AD383" i="4" s="1"/>
  <c r="AC384" i="4"/>
  <c r="AD384" i="4" s="1"/>
  <c r="AC385" i="4"/>
  <c r="AD385" i="4" s="1"/>
  <c r="AC386" i="4"/>
  <c r="AD386" i="4" s="1"/>
  <c r="AC387" i="4"/>
  <c r="AD387" i="4" s="1"/>
  <c r="AC388" i="4"/>
  <c r="AD388" i="4" s="1"/>
  <c r="AC389" i="4"/>
  <c r="AD389" i="4" s="1"/>
  <c r="AC390" i="4"/>
  <c r="AD390" i="4" s="1"/>
  <c r="AC391" i="4"/>
  <c r="AD391" i="4" s="1"/>
  <c r="AC392" i="4"/>
  <c r="AD392" i="4" s="1"/>
  <c r="AC393" i="4"/>
  <c r="AD393" i="4" s="1"/>
  <c r="AC394" i="4"/>
  <c r="AD394" i="4" s="1"/>
  <c r="AC395" i="4"/>
  <c r="AD395" i="4" s="1"/>
  <c r="AC396" i="4"/>
  <c r="AD396" i="4" s="1"/>
  <c r="AC397" i="4"/>
  <c r="AD397" i="4" s="1"/>
  <c r="AC398" i="4"/>
  <c r="AD398" i="4" s="1"/>
  <c r="AC399" i="4"/>
  <c r="AD399" i="4" s="1"/>
  <c r="AC400" i="4"/>
  <c r="AD400" i="4" s="1"/>
  <c r="AC401" i="4"/>
  <c r="AD401" i="4" s="1"/>
  <c r="AC402" i="4"/>
  <c r="AD402" i="4" s="1"/>
  <c r="AC403" i="4"/>
  <c r="AD403" i="4" s="1"/>
  <c r="AC404" i="4"/>
  <c r="AD404" i="4" s="1"/>
  <c r="AC405" i="4"/>
  <c r="AD405" i="4" s="1"/>
  <c r="AC406" i="4"/>
  <c r="AD406" i="4" s="1"/>
  <c r="AC407" i="4"/>
  <c r="AD407" i="4" s="1"/>
  <c r="AC408" i="4"/>
  <c r="AD408" i="4" s="1"/>
  <c r="AC409" i="4"/>
  <c r="AD409" i="4" s="1"/>
  <c r="AC410" i="4"/>
  <c r="AD410" i="4" s="1"/>
  <c r="AC411" i="4"/>
  <c r="AD411" i="4" s="1"/>
  <c r="AC412" i="4"/>
  <c r="AD412" i="4" s="1"/>
  <c r="AC413" i="4"/>
  <c r="AD413" i="4" s="1"/>
  <c r="AC414" i="4"/>
  <c r="AD414" i="4" s="1"/>
  <c r="AC415" i="4"/>
  <c r="AD415" i="4" s="1"/>
  <c r="AC416" i="4"/>
  <c r="AD416" i="4" s="1"/>
  <c r="AC417" i="4"/>
  <c r="AD417" i="4" s="1"/>
  <c r="AC418" i="4"/>
  <c r="AD418" i="4" s="1"/>
  <c r="AC419" i="4"/>
  <c r="AD419" i="4" s="1"/>
  <c r="AC420" i="4"/>
  <c r="AD420" i="4" s="1"/>
  <c r="AC421" i="4"/>
  <c r="AD421" i="4" s="1"/>
  <c r="AC422" i="4"/>
  <c r="AD422" i="4" s="1"/>
  <c r="AC423" i="4"/>
  <c r="AD423" i="4" s="1"/>
  <c r="AC476" i="4"/>
  <c r="AD476" i="4" s="1"/>
  <c r="AC425" i="4"/>
  <c r="AD425" i="4" s="1"/>
  <c r="AC426" i="4"/>
  <c r="AD426" i="4" s="1"/>
  <c r="AC427" i="4"/>
  <c r="AD427" i="4" s="1"/>
  <c r="AC428" i="4"/>
  <c r="AD428" i="4" s="1"/>
  <c r="AC429" i="4"/>
  <c r="AD429" i="4" s="1"/>
  <c r="AC498" i="4"/>
  <c r="AD498" i="4" s="1"/>
  <c r="AC431" i="4"/>
  <c r="AD431" i="4" s="1"/>
  <c r="AC432" i="4"/>
  <c r="AD432" i="4" s="1"/>
  <c r="AC433" i="4"/>
  <c r="AD433" i="4" s="1"/>
  <c r="AC434" i="4"/>
  <c r="AD434" i="4" s="1"/>
  <c r="AC435" i="4"/>
  <c r="AD435" i="4" s="1"/>
  <c r="AC436" i="4"/>
  <c r="AD436" i="4" s="1"/>
  <c r="AC437" i="4"/>
  <c r="AD437" i="4" s="1"/>
  <c r="AC438" i="4"/>
  <c r="AD438" i="4" s="1"/>
  <c r="AC439" i="4"/>
  <c r="AD439" i="4" s="1"/>
  <c r="AC223" i="4"/>
  <c r="AD223" i="4" s="1"/>
  <c r="AC441" i="4"/>
  <c r="AD441" i="4" s="1"/>
  <c r="AC442" i="4"/>
  <c r="AD442" i="4" s="1"/>
  <c r="AC443" i="4"/>
  <c r="AD443" i="4" s="1"/>
  <c r="AC444" i="4"/>
  <c r="AD444" i="4" s="1"/>
  <c r="AC445" i="4"/>
  <c r="AD445" i="4" s="1"/>
  <c r="AC446" i="4"/>
  <c r="AD446" i="4" s="1"/>
  <c r="AC447" i="4"/>
  <c r="AD447" i="4" s="1"/>
  <c r="AC448" i="4"/>
  <c r="AD448" i="4" s="1"/>
  <c r="AC449" i="4"/>
  <c r="AD449" i="4" s="1"/>
  <c r="AC450" i="4"/>
  <c r="AD450" i="4" s="1"/>
  <c r="F22" i="39" l="1"/>
  <c r="F20" i="39"/>
  <c r="F30" i="39"/>
  <c r="F4" i="39"/>
  <c r="F23" i="39"/>
  <c r="F10" i="39"/>
  <c r="F2" i="39"/>
  <c r="F25" i="39"/>
  <c r="F27" i="39"/>
  <c r="F11" i="39"/>
  <c r="F26" i="39"/>
  <c r="F24" i="39"/>
  <c r="F21" i="39"/>
  <c r="F19" i="39"/>
  <c r="F29" i="39"/>
  <c r="F18" i="39"/>
  <c r="F3" i="39"/>
  <c r="F5" i="39"/>
  <c r="F33" i="39"/>
  <c r="F28" i="39"/>
  <c r="F12" i="39"/>
  <c r="F13" i="39"/>
  <c r="F9" i="39"/>
  <c r="F15" i="39"/>
  <c r="F31" i="39"/>
  <c r="F32" i="39"/>
  <c r="F17" i="39"/>
  <c r="F16" i="39"/>
  <c r="S21" i="26" a="1"/>
  <c r="S21" i="26" s="1"/>
  <c r="T21" i="26" a="1"/>
  <c r="T21" i="26" s="1"/>
  <c r="I2" i="1"/>
  <c r="I304" i="1" s="1"/>
  <c r="J2" i="1"/>
  <c r="J304" i="1" s="1"/>
  <c r="AB504" i="4"/>
  <c r="AE504" i="4" s="1"/>
  <c r="AB343" i="4"/>
  <c r="AE343" i="4" s="1"/>
  <c r="AB511" i="4"/>
  <c r="AE511" i="4" s="1"/>
  <c r="AB344" i="4"/>
  <c r="AE344" i="4" s="1"/>
  <c r="AB345" i="4"/>
  <c r="AE345" i="4" s="1"/>
  <c r="R21" i="26" a="1"/>
  <c r="R21" i="26" s="1"/>
  <c r="AB467" i="4"/>
  <c r="AE467" i="4" s="1"/>
  <c r="AQ8" i="26" a="1"/>
  <c r="AQ8" i="26" s="1"/>
  <c r="AT8" i="26" s="1"/>
  <c r="AP8" i="26" s="1"/>
  <c r="AQ7" i="26" a="1"/>
  <c r="AQ7" i="26" s="1"/>
  <c r="AT7" i="26" s="1"/>
  <c r="AP7" i="26" s="1"/>
  <c r="AB500" i="4"/>
  <c r="AE500" i="4" s="1"/>
  <c r="AB506" i="4"/>
  <c r="AE506" i="4" s="1"/>
  <c r="AB503" i="4"/>
  <c r="AE503" i="4" s="1"/>
  <c r="AB493" i="4"/>
  <c r="AE493" i="4" s="1"/>
  <c r="H2" i="1"/>
  <c r="AV267" i="30"/>
  <c r="AU267" i="30"/>
  <c r="U22" i="26" a="1"/>
  <c r="U22" i="26" s="1"/>
  <c r="AT181" i="30"/>
  <c r="AT112" i="30"/>
  <c r="U18" i="26" a="1"/>
  <c r="U18" i="26" s="1"/>
  <c r="AX267" i="30"/>
  <c r="K2" i="1"/>
  <c r="K304" i="1" s="1"/>
  <c r="H112" i="1" l="1"/>
  <c r="M112" i="1" s="1"/>
  <c r="C8" i="39" s="1"/>
  <c r="F8" i="39" s="1"/>
  <c r="I112" i="42"/>
  <c r="H181" i="1"/>
  <c r="M181" i="1" s="1"/>
  <c r="I181" i="42"/>
  <c r="AB483" i="4"/>
  <c r="AE483" i="4" s="1"/>
  <c r="AB510" i="4"/>
  <c r="AE510" i="4" s="1"/>
  <c r="U21" i="26" a="1"/>
  <c r="U21" i="26" s="1"/>
  <c r="T22" i="26" a="1"/>
  <c r="T22" i="26" s="1"/>
  <c r="R22" i="26" a="1"/>
  <c r="R22" i="26" s="1"/>
  <c r="S22" i="26" a="1"/>
  <c r="S22" i="26" s="1"/>
  <c r="AB508" i="4"/>
  <c r="AE508" i="4" s="1"/>
  <c r="U20" i="26" a="1"/>
  <c r="U20" i="26" s="1"/>
  <c r="AB243" i="4"/>
  <c r="AE243" i="4" s="1"/>
  <c r="AB329" i="4"/>
  <c r="AE329" i="4" s="1"/>
  <c r="AQ4" i="26" a="1"/>
  <c r="AQ4" i="26" s="1"/>
  <c r="AT4" i="26" s="1"/>
  <c r="AP4" i="26" s="1"/>
  <c r="S12" i="26" a="1"/>
  <c r="S12" i="26" s="1"/>
  <c r="T17" i="26" a="1"/>
  <c r="T17" i="26" s="1"/>
  <c r="T13" i="26" a="1"/>
  <c r="T13" i="26" s="1"/>
  <c r="S15" i="26" a="1"/>
  <c r="S15" i="26" s="1"/>
  <c r="S17" i="26" a="1"/>
  <c r="S17" i="26" s="1"/>
  <c r="T15" i="26" a="1"/>
  <c r="T15" i="26" s="1"/>
  <c r="T12" i="26" a="1"/>
  <c r="T12" i="26" s="1"/>
  <c r="S19" i="26" a="1"/>
  <c r="S19" i="26" s="1"/>
  <c r="U17" i="26" a="1"/>
  <c r="U17" i="26" s="1"/>
  <c r="U13" i="26" a="1"/>
  <c r="U13" i="26" s="1"/>
  <c r="T11" i="26" a="1"/>
  <c r="T11" i="26" s="1"/>
  <c r="T20" i="26" a="1"/>
  <c r="T20" i="26" s="1"/>
  <c r="T18" i="26" a="1"/>
  <c r="T18" i="26" s="1"/>
  <c r="U11" i="26" a="1"/>
  <c r="U11" i="26" s="1"/>
  <c r="U15" i="26" a="1"/>
  <c r="U15" i="26" s="1"/>
  <c r="AB484" i="4"/>
  <c r="AE484" i="4" s="1"/>
  <c r="S11" i="26" a="1"/>
  <c r="S11" i="26" s="1"/>
  <c r="S13" i="26" a="1"/>
  <c r="S13" i="26" s="1"/>
  <c r="S20" i="26" a="1"/>
  <c r="S20" i="26" s="1"/>
  <c r="S18" i="26" a="1"/>
  <c r="S18" i="26" s="1"/>
  <c r="T19" i="26" a="1"/>
  <c r="T19" i="26" s="1"/>
  <c r="AB486" i="4"/>
  <c r="AE486" i="4" s="1"/>
  <c r="AB460" i="4"/>
  <c r="AE460" i="4" s="1"/>
  <c r="AB474" i="4"/>
  <c r="AE474" i="4" s="1"/>
  <c r="AB461" i="4"/>
  <c r="AE461" i="4" s="1"/>
  <c r="AB485" i="4"/>
  <c r="AE485" i="4" s="1"/>
  <c r="AB513" i="4"/>
  <c r="AE513" i="4" s="1"/>
  <c r="AB320" i="4"/>
  <c r="AE320" i="4" s="1"/>
  <c r="AB471" i="4"/>
  <c r="AE471" i="4" s="1"/>
  <c r="AB480" i="4"/>
  <c r="AE480" i="4" s="1"/>
  <c r="T8" i="26" a="1"/>
  <c r="T8" i="26" s="1"/>
  <c r="T7" i="26" a="1"/>
  <c r="T7" i="26" s="1"/>
  <c r="AB468" i="4"/>
  <c r="AE468" i="4" s="1"/>
  <c r="AB454" i="4"/>
  <c r="AE454" i="4" s="1"/>
  <c r="AB475" i="4"/>
  <c r="AE475" i="4" s="1"/>
  <c r="AB451" i="4"/>
  <c r="AE451" i="4" s="1"/>
  <c r="AB317" i="4"/>
  <c r="AE317" i="4" s="1"/>
  <c r="S8" i="26" a="1"/>
  <c r="S8" i="26" s="1"/>
  <c r="S7" i="26" a="1"/>
  <c r="S7" i="26" s="1"/>
  <c r="T9" i="26" a="1"/>
  <c r="T9" i="26" s="1"/>
  <c r="U10" i="26" a="1"/>
  <c r="U10" i="26" s="1"/>
  <c r="T3" i="26" a="1"/>
  <c r="T3" i="26" s="1"/>
  <c r="T10" i="26" a="1"/>
  <c r="T10" i="26" s="1"/>
  <c r="U9" i="26" a="1"/>
  <c r="U9" i="26" s="1"/>
  <c r="S9" i="26" a="1"/>
  <c r="S9" i="26" s="1"/>
  <c r="S3" i="26" a="1"/>
  <c r="S3" i="26" s="1"/>
  <c r="S10" i="26" a="1"/>
  <c r="S10" i="26" s="1"/>
  <c r="T5" i="26" a="1"/>
  <c r="T5" i="26" s="1"/>
  <c r="S5" i="26" a="1"/>
  <c r="S5" i="26" s="1"/>
  <c r="U4" i="26" a="1"/>
  <c r="U4" i="26" s="1"/>
  <c r="T6" i="26" a="1"/>
  <c r="T6" i="26" s="1"/>
  <c r="U6" i="26" a="1"/>
  <c r="U6" i="26" s="1"/>
  <c r="S6" i="26" a="1"/>
  <c r="S6" i="26" s="1"/>
  <c r="S4" i="26" a="1"/>
  <c r="S4" i="26" s="1"/>
  <c r="U5" i="26" a="1"/>
  <c r="U5" i="26" s="1"/>
  <c r="T4" i="26" a="1"/>
  <c r="T4" i="26" s="1"/>
  <c r="S2" i="26" a="1"/>
  <c r="S2" i="26" s="1"/>
  <c r="T2" i="26" a="1"/>
  <c r="T2" i="26" s="1"/>
  <c r="R18" i="26" a="1"/>
  <c r="R18" i="26" s="1"/>
  <c r="R6" i="26" a="1"/>
  <c r="R6" i="26" s="1"/>
  <c r="R13" i="26" a="1"/>
  <c r="R13" i="26" s="1"/>
  <c r="R19" i="26" a="1"/>
  <c r="R19" i="26" s="1"/>
  <c r="R2" i="26" a="1"/>
  <c r="R2" i="26" s="1"/>
  <c r="U14" i="26" a="1"/>
  <c r="U14" i="26" s="1"/>
  <c r="U16" i="26" a="1"/>
  <c r="U16" i="26" s="1"/>
  <c r="R5" i="26" a="1"/>
  <c r="R5" i="26" s="1"/>
  <c r="AB266" i="4"/>
  <c r="AE266" i="4" s="1"/>
  <c r="R11" i="26" a="1"/>
  <c r="R11" i="26" s="1"/>
  <c r="R4" i="26" a="1"/>
  <c r="R4" i="26" s="1"/>
  <c r="R12" i="26" a="1"/>
  <c r="R12" i="26" s="1"/>
  <c r="AB452" i="4"/>
  <c r="AE452" i="4" s="1"/>
  <c r="R14" i="26" a="1"/>
  <c r="R14" i="26" s="1"/>
  <c r="R16" i="26" a="1"/>
  <c r="R16" i="26" s="1"/>
  <c r="R15" i="26" a="1"/>
  <c r="R15" i="26" s="1"/>
  <c r="R10" i="26" a="1"/>
  <c r="R10" i="26" s="1"/>
  <c r="T14" i="26" a="1"/>
  <c r="T14" i="26" s="1"/>
  <c r="T16" i="26" a="1"/>
  <c r="T16" i="26" s="1"/>
  <c r="R9" i="26" a="1"/>
  <c r="R9" i="26" s="1"/>
  <c r="AB280" i="4"/>
  <c r="AE280" i="4" s="1"/>
  <c r="R3" i="26" a="1"/>
  <c r="R3" i="26" s="1"/>
  <c r="R20" i="26" a="1"/>
  <c r="R20" i="26" s="1"/>
  <c r="S14" i="26" a="1"/>
  <c r="S14" i="26" s="1"/>
  <c r="S16" i="26" a="1"/>
  <c r="S16" i="26" s="1"/>
  <c r="R17" i="26" a="1"/>
  <c r="R17" i="26" s="1"/>
  <c r="AQ10" i="26" a="1"/>
  <c r="AQ10" i="26" s="1"/>
  <c r="AT10" i="26" s="1"/>
  <c r="AP10" i="26" s="1"/>
  <c r="R8" i="26" a="1"/>
  <c r="R8" i="26" s="1"/>
  <c r="AQ9" i="26" a="1"/>
  <c r="AQ9" i="26" s="1"/>
  <c r="AT9" i="26" s="1"/>
  <c r="AP9" i="26" s="1"/>
  <c r="R7" i="26" a="1"/>
  <c r="R7" i="26" s="1"/>
  <c r="AB371" i="4"/>
  <c r="AE371" i="4" s="1"/>
  <c r="AB264" i="4"/>
  <c r="AE264" i="4" s="1"/>
  <c r="AB429" i="4"/>
  <c r="AE429" i="4" s="1"/>
  <c r="AB256" i="4"/>
  <c r="AE256" i="4" s="1"/>
  <c r="AB275" i="4"/>
  <c r="AE275" i="4" s="1"/>
  <c r="AB227" i="4"/>
  <c r="AE227" i="4" s="1"/>
  <c r="AB218" i="4"/>
  <c r="AE218" i="4" s="1"/>
  <c r="AB228" i="4"/>
  <c r="AE228" i="4" s="1"/>
  <c r="AB308" i="4"/>
  <c r="AE308" i="4" s="1"/>
  <c r="AB282" i="4"/>
  <c r="AE282" i="4" s="1"/>
  <c r="AB420" i="4"/>
  <c r="AE420" i="4" s="1"/>
  <c r="AB410" i="4"/>
  <c r="AE410" i="4" s="1"/>
  <c r="AB310" i="4"/>
  <c r="AE310" i="4" s="1"/>
  <c r="AB441" i="4"/>
  <c r="AE441" i="4" s="1"/>
  <c r="AB368" i="4"/>
  <c r="AE368" i="4" s="1"/>
  <c r="AB316" i="4"/>
  <c r="AE316" i="4" s="1"/>
  <c r="AB313" i="4"/>
  <c r="AE313" i="4" s="1"/>
  <c r="AB315" i="4"/>
  <c r="AE315" i="4" s="1"/>
  <c r="AB436" i="4"/>
  <c r="AE436" i="4" s="1"/>
  <c r="M2" i="1"/>
  <c r="AT267" i="30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3" i="1"/>
  <c r="AD114" i="1"/>
  <c r="AD115" i="1"/>
  <c r="AD116" i="1"/>
  <c r="AD117" i="1"/>
  <c r="AD118" i="1"/>
  <c r="AD119" i="1"/>
  <c r="AD120" i="1"/>
  <c r="AD121" i="1"/>
  <c r="AD122" i="1"/>
  <c r="AD123" i="1"/>
  <c r="AD124" i="1"/>
  <c r="AD125" i="1"/>
  <c r="AD126" i="1"/>
  <c r="AD127" i="1"/>
  <c r="AD128" i="1"/>
  <c r="AD129" i="1"/>
  <c r="AD130" i="1"/>
  <c r="AD131" i="1"/>
  <c r="AD132" i="1"/>
  <c r="AD133" i="1"/>
  <c r="AD134" i="1"/>
  <c r="AD135" i="1"/>
  <c r="AD136" i="1"/>
  <c r="AD137" i="1"/>
  <c r="AD138" i="1"/>
  <c r="AD139" i="1"/>
  <c r="AD140" i="1"/>
  <c r="AD141" i="1"/>
  <c r="AD142" i="1"/>
  <c r="AD143" i="1"/>
  <c r="AD144" i="1"/>
  <c r="AD145" i="1"/>
  <c r="AD146" i="1"/>
  <c r="AD147" i="1"/>
  <c r="AD148" i="1"/>
  <c r="AD149" i="1"/>
  <c r="AD150" i="1"/>
  <c r="AD151" i="1"/>
  <c r="AD152" i="1"/>
  <c r="AD153" i="1"/>
  <c r="AD154" i="1"/>
  <c r="AD155" i="1"/>
  <c r="AD156" i="1"/>
  <c r="AD157" i="1"/>
  <c r="AD158" i="1"/>
  <c r="AD159" i="1"/>
  <c r="AD160" i="1"/>
  <c r="AD161" i="1"/>
  <c r="AD162" i="1"/>
  <c r="AD163" i="1"/>
  <c r="AD164" i="1"/>
  <c r="AD165" i="1"/>
  <c r="AD166" i="1"/>
  <c r="AD167" i="1"/>
  <c r="AD168" i="1"/>
  <c r="AD169" i="1"/>
  <c r="AD170" i="1"/>
  <c r="AD171" i="1"/>
  <c r="AD172" i="1"/>
  <c r="AD173" i="1"/>
  <c r="AD174" i="1"/>
  <c r="AD175" i="1"/>
  <c r="AD176" i="1"/>
  <c r="AD177" i="1"/>
  <c r="AD178" i="1"/>
  <c r="AD179" i="1"/>
  <c r="AD180" i="1"/>
  <c r="AD182" i="1"/>
  <c r="AD183" i="1"/>
  <c r="AD184" i="1"/>
  <c r="AD185" i="1"/>
  <c r="AD186" i="1"/>
  <c r="AD187" i="1"/>
  <c r="AD188" i="1"/>
  <c r="AD189" i="1"/>
  <c r="AD190" i="1"/>
  <c r="AD191" i="1"/>
  <c r="AD192" i="1"/>
  <c r="AD193" i="1"/>
  <c r="AD194" i="1"/>
  <c r="AD195" i="1"/>
  <c r="AD196" i="1"/>
  <c r="AD197" i="1"/>
  <c r="AD198" i="1"/>
  <c r="AD199" i="1"/>
  <c r="AD200" i="1"/>
  <c r="AD201" i="1"/>
  <c r="AD202" i="1"/>
  <c r="AD203" i="1"/>
  <c r="AD204" i="1"/>
  <c r="AD205" i="1"/>
  <c r="AD206" i="1"/>
  <c r="AD207" i="1"/>
  <c r="AD208" i="1"/>
  <c r="AD209" i="1"/>
  <c r="AD210" i="1"/>
  <c r="AD211" i="1"/>
  <c r="AD212" i="1"/>
  <c r="AD213" i="1"/>
  <c r="AD214" i="1"/>
  <c r="AD215" i="1"/>
  <c r="AD216" i="1"/>
  <c r="AD218" i="1"/>
  <c r="AD219" i="1"/>
  <c r="AD220" i="1"/>
  <c r="AD221" i="1"/>
  <c r="AD223" i="1"/>
  <c r="AD224" i="1"/>
  <c r="AD225" i="1"/>
  <c r="AD226" i="1"/>
  <c r="AD227" i="1"/>
  <c r="AD228" i="1"/>
  <c r="AD229" i="1"/>
  <c r="AD230" i="1"/>
  <c r="AD231" i="1"/>
  <c r="AD232" i="1"/>
  <c r="AD233" i="1"/>
  <c r="AD234" i="1"/>
  <c r="AD235" i="1"/>
  <c r="AD236" i="1"/>
  <c r="AD237" i="1"/>
  <c r="AD238" i="1"/>
  <c r="AD239" i="1"/>
  <c r="AD240" i="1"/>
  <c r="AD241" i="1"/>
  <c r="AD242" i="1"/>
  <c r="AD243" i="1"/>
  <c r="AD244" i="1"/>
  <c r="AD245" i="1"/>
  <c r="AD246" i="1"/>
  <c r="AD247" i="1"/>
  <c r="AD248" i="1"/>
  <c r="AD249" i="1"/>
  <c r="AD250" i="1"/>
  <c r="AD251" i="1"/>
  <c r="AD252" i="1"/>
  <c r="AD253" i="1"/>
  <c r="AD254" i="1"/>
  <c r="AD255" i="1"/>
  <c r="AD256" i="1"/>
  <c r="AD257" i="1"/>
  <c r="AD258" i="1"/>
  <c r="AD259" i="1"/>
  <c r="T2" i="1"/>
  <c r="AM116" i="4"/>
  <c r="AM117" i="4"/>
  <c r="AM118" i="4"/>
  <c r="AM119" i="4"/>
  <c r="AM120" i="4"/>
  <c r="AM121" i="4"/>
  <c r="AM122" i="4"/>
  <c r="AM123" i="4"/>
  <c r="AM124" i="4"/>
  <c r="AM125" i="4"/>
  <c r="AM126" i="4"/>
  <c r="AM127" i="4"/>
  <c r="AM128" i="4"/>
  <c r="AM129" i="4"/>
  <c r="AM130" i="4"/>
  <c r="AM131" i="4"/>
  <c r="AM132" i="4"/>
  <c r="AM133" i="4"/>
  <c r="AM134" i="4"/>
  <c r="AM135" i="4"/>
  <c r="AM136" i="4"/>
  <c r="AM137" i="4"/>
  <c r="AM138" i="4"/>
  <c r="AM139" i="4"/>
  <c r="AM140" i="4"/>
  <c r="AM141" i="4"/>
  <c r="AM142" i="4"/>
  <c r="AM143" i="4"/>
  <c r="AM144" i="4"/>
  <c r="AM145" i="4"/>
  <c r="M304" i="1" l="1"/>
  <c r="H304" i="1"/>
  <c r="AD304" i="1" s="1"/>
  <c r="N181" i="42"/>
  <c r="AE181" i="42"/>
  <c r="I304" i="42"/>
  <c r="AE304" i="42" s="1"/>
  <c r="N112" i="42"/>
  <c r="AE112" i="42"/>
  <c r="C6" i="39"/>
  <c r="F6" i="39" s="1"/>
  <c r="AB509" i="4"/>
  <c r="AE509" i="4" s="1"/>
  <c r="AB512" i="4"/>
  <c r="AE512" i="4" s="1"/>
  <c r="AB492" i="4"/>
  <c r="AE492" i="4" s="1"/>
  <c r="W19" i="26" a="1"/>
  <c r="W19" i="26" s="1"/>
  <c r="I19" i="26" s="1"/>
  <c r="W18" i="26" a="1"/>
  <c r="W18" i="26" s="1"/>
  <c r="AB18" i="26" s="1"/>
  <c r="H18" i="26" s="1"/>
  <c r="W12" i="26" a="1"/>
  <c r="W12" i="26" s="1"/>
  <c r="I12" i="26" s="1"/>
  <c r="AB453" i="4"/>
  <c r="AE453" i="4" s="1"/>
  <c r="AB505" i="4"/>
  <c r="AE505" i="4" s="1"/>
  <c r="AQ6" i="26" a="1"/>
  <c r="AQ6" i="26" s="1"/>
  <c r="AT6" i="26" s="1"/>
  <c r="AP6" i="26" s="1"/>
  <c r="AB501" i="4"/>
  <c r="AE501" i="4" s="1"/>
  <c r="AQ5" i="26" a="1"/>
  <c r="AQ5" i="26" s="1"/>
  <c r="AT5" i="26" s="1"/>
  <c r="AP5" i="26" s="1"/>
  <c r="AQ3" i="26" a="1"/>
  <c r="AQ3" i="26" s="1"/>
  <c r="AT3" i="26" s="1"/>
  <c r="AP3" i="26" s="1"/>
  <c r="W10" i="26" a="1"/>
  <c r="W10" i="26" s="1"/>
  <c r="AB10" i="26" s="1"/>
  <c r="AB489" i="4"/>
  <c r="AE489" i="4" s="1"/>
  <c r="AQ11" i="26" a="1"/>
  <c r="AQ11" i="26" s="1"/>
  <c r="AT11" i="26" s="1"/>
  <c r="AP11" i="26" s="1"/>
  <c r="W21" i="26" a="1"/>
  <c r="W21" i="26" s="1"/>
  <c r="I21" i="26" s="1"/>
  <c r="AB491" i="4"/>
  <c r="AE491" i="4" s="1"/>
  <c r="W3" i="26" a="1"/>
  <c r="W3" i="26" s="1"/>
  <c r="AB494" i="4"/>
  <c r="AE494" i="4" s="1"/>
  <c r="W7" i="26" a="1"/>
  <c r="W7" i="26" s="1"/>
  <c r="AB490" i="4"/>
  <c r="AE490" i="4" s="1"/>
  <c r="AB473" i="4"/>
  <c r="AE473" i="4" s="1"/>
  <c r="AB319" i="4"/>
  <c r="AE319" i="4" s="1"/>
  <c r="AB212" i="4"/>
  <c r="AE212" i="4" s="1"/>
  <c r="AB314" i="4"/>
  <c r="AE314" i="4" s="1"/>
  <c r="W17" i="26" a="1"/>
  <c r="W17" i="26" s="1"/>
  <c r="I17" i="26" s="1"/>
  <c r="AB312" i="4"/>
  <c r="AE312" i="4" s="1"/>
  <c r="AB470" i="4"/>
  <c r="AE470" i="4" s="1"/>
  <c r="AB342" i="4"/>
  <c r="AE342" i="4" s="1"/>
  <c r="W20" i="26" a="1"/>
  <c r="W20" i="26" s="1"/>
  <c r="I20" i="26" s="1"/>
  <c r="W9" i="26" a="1"/>
  <c r="W9" i="26" s="1"/>
  <c r="W22" i="26" a="1"/>
  <c r="W22" i="26" s="1"/>
  <c r="W11" i="26" a="1"/>
  <c r="W11" i="26" s="1"/>
  <c r="AB136" i="4"/>
  <c r="AB434" i="4"/>
  <c r="AE434" i="4" s="1"/>
  <c r="AB469" i="4"/>
  <c r="AE469" i="4" s="1"/>
  <c r="AB464" i="4"/>
  <c r="AE464" i="4" s="1"/>
  <c r="W13" i="26" a="1"/>
  <c r="W13" i="26" s="1"/>
  <c r="AB463" i="4"/>
  <c r="AE463" i="4" s="1"/>
  <c r="AB482" i="4"/>
  <c r="AE482" i="4" s="1"/>
  <c r="AB478" i="4"/>
  <c r="AE478" i="4" s="1"/>
  <c r="AB479" i="4"/>
  <c r="AE479" i="4" s="1"/>
  <c r="AB487" i="4"/>
  <c r="AE487" i="4" s="1"/>
  <c r="AB481" i="4"/>
  <c r="AE481" i="4" s="1"/>
  <c r="AB488" i="4"/>
  <c r="AE488" i="4" s="1"/>
  <c r="AB472" i="4"/>
  <c r="AE472" i="4" s="1"/>
  <c r="AB477" i="4"/>
  <c r="AE477" i="4" s="1"/>
  <c r="AB459" i="4"/>
  <c r="AE459" i="4" s="1"/>
  <c r="AB465" i="4"/>
  <c r="AE465" i="4" s="1"/>
  <c r="W6" i="26" a="1"/>
  <c r="W6" i="26" s="1"/>
  <c r="W2" i="26" a="1"/>
  <c r="W2" i="26" s="1"/>
  <c r="W8" i="26" a="1"/>
  <c r="W8" i="26" s="1"/>
  <c r="AB458" i="4"/>
  <c r="AE458" i="4" s="1"/>
  <c r="AB462" i="4"/>
  <c r="AE462" i="4" s="1"/>
  <c r="W4" i="26" a="1"/>
  <c r="W4" i="26" s="1"/>
  <c r="AB456" i="4"/>
  <c r="AE456" i="4" s="1"/>
  <c r="W15" i="26" a="1"/>
  <c r="W15" i="26" s="1"/>
  <c r="AB455" i="4"/>
  <c r="AE455" i="4" s="1"/>
  <c r="W5" i="26" a="1"/>
  <c r="W5" i="26" s="1"/>
  <c r="AB276" i="4"/>
  <c r="AE276" i="4" s="1"/>
  <c r="AB322" i="4"/>
  <c r="AE322" i="4" s="1"/>
  <c r="AB338" i="4"/>
  <c r="AE338" i="4" s="1"/>
  <c r="AB278" i="4"/>
  <c r="AE278" i="4" s="1"/>
  <c r="W16" i="26" a="1"/>
  <c r="W16" i="26" s="1"/>
  <c r="W14" i="26" a="1"/>
  <c r="W14" i="26" s="1"/>
  <c r="AB341" i="4"/>
  <c r="AE341" i="4" s="1"/>
  <c r="AB277" i="4"/>
  <c r="AE277" i="4" s="1"/>
  <c r="AB302" i="4"/>
  <c r="AE302" i="4" s="1"/>
  <c r="AB438" i="4"/>
  <c r="AE438" i="4" s="1"/>
  <c r="AB303" i="4"/>
  <c r="AE303" i="4" s="1"/>
  <c r="AB326" i="4"/>
  <c r="AE326" i="4" s="1"/>
  <c r="AB349" i="4"/>
  <c r="AE349" i="4" s="1"/>
  <c r="AB298" i="4"/>
  <c r="AE298" i="4" s="1"/>
  <c r="AB352" i="4"/>
  <c r="AE352" i="4" s="1"/>
  <c r="AB300" i="4"/>
  <c r="AE300" i="4" s="1"/>
  <c r="AB306" i="4"/>
  <c r="AE306" i="4" s="1"/>
  <c r="AB334" i="4"/>
  <c r="AE334" i="4" s="1"/>
  <c r="AB245" i="4"/>
  <c r="AE245" i="4" s="1"/>
  <c r="AB281" i="4"/>
  <c r="AE281" i="4" s="1"/>
  <c r="AB406" i="4"/>
  <c r="AE406" i="4" s="1"/>
  <c r="AB448" i="4"/>
  <c r="AE448" i="4" s="1"/>
  <c r="AB240" i="4"/>
  <c r="AE240" i="4" s="1"/>
  <c r="AB377" i="4"/>
  <c r="AE377" i="4" s="1"/>
  <c r="AB443" i="4"/>
  <c r="AE443" i="4" s="1"/>
  <c r="AB217" i="4"/>
  <c r="AE217" i="4" s="1"/>
  <c r="AB412" i="4"/>
  <c r="AE412" i="4" s="1"/>
  <c r="AB418" i="4"/>
  <c r="AE418" i="4" s="1"/>
  <c r="AB422" i="4"/>
  <c r="AE422" i="4" s="1"/>
  <c r="AB235" i="4"/>
  <c r="AE235" i="4" s="1"/>
  <c r="AB381" i="4"/>
  <c r="AE381" i="4" s="1"/>
  <c r="AB357" i="4"/>
  <c r="AE357" i="4" s="1"/>
  <c r="AB387" i="4"/>
  <c r="AE387" i="4" s="1"/>
  <c r="AB384" i="4"/>
  <c r="AE384" i="4" s="1"/>
  <c r="AB365" i="4"/>
  <c r="AE365" i="4" s="1"/>
  <c r="AB238" i="4"/>
  <c r="AE238" i="4" s="1"/>
  <c r="AB376" i="4"/>
  <c r="AE376" i="4" s="1"/>
  <c r="AB285" i="4"/>
  <c r="AE285" i="4" s="1"/>
  <c r="AB359" i="4"/>
  <c r="AE359" i="4" s="1"/>
  <c r="AB399" i="4"/>
  <c r="AE399" i="4" s="1"/>
  <c r="AB397" i="4"/>
  <c r="AE397" i="4" s="1"/>
  <c r="AB421" i="4"/>
  <c r="AE421" i="4" s="1"/>
  <c r="AB261" i="4"/>
  <c r="AE261" i="4" s="1"/>
  <c r="AB267" i="4"/>
  <c r="AE267" i="4" s="1"/>
  <c r="AB270" i="4"/>
  <c r="AE270" i="4" s="1"/>
  <c r="AB332" i="4"/>
  <c r="AE332" i="4" s="1"/>
  <c r="AB404" i="4"/>
  <c r="AE404" i="4" s="1"/>
  <c r="AB244" i="4"/>
  <c r="AE244" i="4" s="1"/>
  <c r="AB446" i="4"/>
  <c r="AE446" i="4" s="1"/>
  <c r="AB354" i="4"/>
  <c r="AE354" i="4" s="1"/>
  <c r="AB390" i="4"/>
  <c r="AE390" i="4" s="1"/>
  <c r="AB309" i="4"/>
  <c r="AE309" i="4" s="1"/>
  <c r="AB440" i="4"/>
  <c r="AE440" i="4" s="1"/>
  <c r="AB457" i="4"/>
  <c r="AE457" i="4" s="1"/>
  <c r="AB340" i="4"/>
  <c r="AE340" i="4" s="1"/>
  <c r="AB350" i="4"/>
  <c r="AE350" i="4" s="1"/>
  <c r="AB395" i="4"/>
  <c r="AE395" i="4" s="1"/>
  <c r="AB380" i="4"/>
  <c r="AE380" i="4" s="1"/>
  <c r="AB386" i="4"/>
  <c r="AE386" i="4" s="1"/>
  <c r="AB367" i="4"/>
  <c r="AE367" i="4" s="1"/>
  <c r="AB364" i="4"/>
  <c r="AE364" i="4" s="1"/>
  <c r="AB383" i="4"/>
  <c r="AE383" i="4" s="1"/>
  <c r="AB347" i="4"/>
  <c r="AE347" i="4" s="1"/>
  <c r="AB321" i="4"/>
  <c r="AE321" i="4" s="1"/>
  <c r="AB337" i="4"/>
  <c r="AE337" i="4" s="1"/>
  <c r="AB339" i="4"/>
  <c r="AE339" i="4" s="1"/>
  <c r="AB286" i="4"/>
  <c r="AE286" i="4" s="1"/>
  <c r="AB360" i="4"/>
  <c r="AE360" i="4" s="1"/>
  <c r="AB222" i="4"/>
  <c r="AE222" i="4" s="1"/>
  <c r="AB413" i="4"/>
  <c r="AE413" i="4" s="1"/>
  <c r="AB476" i="4"/>
  <c r="AE476" i="4" s="1"/>
  <c r="AB219" i="4"/>
  <c r="AE219" i="4" s="1"/>
  <c r="AB304" i="4"/>
  <c r="AE304" i="4" s="1"/>
  <c r="AB131" i="4"/>
  <c r="AE131" i="4" s="1"/>
  <c r="AB294" i="4"/>
  <c r="AE294" i="4" s="1"/>
  <c r="AB231" i="4"/>
  <c r="AE231" i="4" s="1"/>
  <c r="AB259" i="4"/>
  <c r="AE259" i="4" s="1"/>
  <c r="AB234" i="4"/>
  <c r="AE234" i="4" s="1"/>
  <c r="AB393" i="4"/>
  <c r="AE393" i="4" s="1"/>
  <c r="AB290" i="4"/>
  <c r="AE290" i="4" s="1"/>
  <c r="AB356" i="4"/>
  <c r="AE356" i="4" s="1"/>
  <c r="AB249" i="4"/>
  <c r="AE249" i="4" s="1"/>
  <c r="AB279" i="4"/>
  <c r="AE279" i="4" s="1"/>
  <c r="AB409" i="4"/>
  <c r="AE409" i="4" s="1"/>
  <c r="AB400" i="4"/>
  <c r="AE400" i="4" s="1"/>
  <c r="AB336" i="4"/>
  <c r="AE336" i="4" s="1"/>
  <c r="AB402" i="4"/>
  <c r="AE402" i="4" s="1"/>
  <c r="AB450" i="4"/>
  <c r="AE450" i="4" s="1"/>
  <c r="AB408" i="4"/>
  <c r="AE408" i="4" s="1"/>
  <c r="AB215" i="4"/>
  <c r="AE215" i="4" s="1"/>
  <c r="AB233" i="4"/>
  <c r="AE233" i="4" s="1"/>
  <c r="AB239" i="4"/>
  <c r="AE239" i="4" s="1"/>
  <c r="AB247" i="4"/>
  <c r="AE247" i="4" s="1"/>
  <c r="AB257" i="4"/>
  <c r="AE257" i="4" s="1"/>
  <c r="AB297" i="4"/>
  <c r="AE297" i="4" s="1"/>
  <c r="AB254" i="4"/>
  <c r="AE254" i="4" s="1"/>
  <c r="AB284" i="4"/>
  <c r="AE284" i="4" s="1"/>
  <c r="AB375" i="4"/>
  <c r="AE375" i="4" s="1"/>
  <c r="AB442" i="4"/>
  <c r="AE442" i="4" s="1"/>
  <c r="AB369" i="4"/>
  <c r="AE369" i="4" s="1"/>
  <c r="AB391" i="4"/>
  <c r="AE391" i="4" s="1"/>
  <c r="AB248" i="4"/>
  <c r="AE248" i="4" s="1"/>
  <c r="AB425" i="4"/>
  <c r="AE425" i="4" s="1"/>
  <c r="AB416" i="4"/>
  <c r="AE416" i="4" s="1"/>
  <c r="AB498" i="4"/>
  <c r="AE498" i="4" s="1"/>
  <c r="AB213" i="4"/>
  <c r="AE213" i="4" s="1"/>
  <c r="AB224" i="4"/>
  <c r="AE224" i="4" s="1"/>
  <c r="AB414" i="4"/>
  <c r="AE414" i="4" s="1"/>
  <c r="AB271" i="4"/>
  <c r="AE271" i="4" s="1"/>
  <c r="AB230" i="4"/>
  <c r="AE230" i="4" s="1"/>
  <c r="AB237" i="4"/>
  <c r="AE237" i="4" s="1"/>
  <c r="AB301" i="4"/>
  <c r="AE301" i="4" s="1"/>
  <c r="AB255" i="4"/>
  <c r="AE255" i="4" s="1"/>
  <c r="AB229" i="4"/>
  <c r="AE229" i="4" s="1"/>
  <c r="AB426" i="4"/>
  <c r="AE426" i="4" s="1"/>
  <c r="AB431" i="4"/>
  <c r="AE431" i="4" s="1"/>
  <c r="AB250" i="4"/>
  <c r="AE250" i="4" s="1"/>
  <c r="AB389" i="4"/>
  <c r="AE389" i="4" s="1"/>
  <c r="AB419" i="4"/>
  <c r="AE419" i="4" s="1"/>
  <c r="AB223" i="4"/>
  <c r="AE223" i="4" s="1"/>
  <c r="AB289" i="4"/>
  <c r="AE289" i="4" s="1"/>
  <c r="AB330" i="4"/>
  <c r="AE330" i="4" s="1"/>
  <c r="AB466" i="4"/>
  <c r="AE466" i="4" s="1"/>
  <c r="AB372" i="4"/>
  <c r="AE372" i="4" s="1"/>
  <c r="AB398" i="4"/>
  <c r="AE398" i="4" s="1"/>
  <c r="AB445" i="4"/>
  <c r="AE445" i="4" s="1"/>
  <c r="AB361" i="4"/>
  <c r="AE361" i="4" s="1"/>
  <c r="AB355" i="4"/>
  <c r="AE355" i="4" s="1"/>
  <c r="AB403" i="4"/>
  <c r="AE403" i="4" s="1"/>
  <c r="AB211" i="4"/>
  <c r="AE211" i="4" s="1"/>
  <c r="AB262" i="4"/>
  <c r="AE262" i="4" s="1"/>
  <c r="AB268" i="4"/>
  <c r="AE268" i="4" s="1"/>
  <c r="AB437" i="4"/>
  <c r="AE437" i="4" s="1"/>
  <c r="AB221" i="4"/>
  <c r="AE221" i="4" s="1"/>
  <c r="AB424" i="4"/>
  <c r="AE424" i="4" s="1"/>
  <c r="AB307" i="4"/>
  <c r="AE307" i="4" s="1"/>
  <c r="AB328" i="4"/>
  <c r="AE328" i="4" s="1"/>
  <c r="AB348" i="4"/>
  <c r="AE348" i="4" s="1"/>
  <c r="AB353" i="4"/>
  <c r="AE353" i="4" s="1"/>
  <c r="AB439" i="4"/>
  <c r="AE439" i="4" s="1"/>
  <c r="AB324" i="4"/>
  <c r="AE324" i="4" s="1"/>
  <c r="AB253" i="4"/>
  <c r="AE253" i="4" s="1"/>
  <c r="AB283" i="4"/>
  <c r="AE283" i="4" s="1"/>
  <c r="AB291" i="4"/>
  <c r="AE291" i="4" s="1"/>
  <c r="AB295" i="4"/>
  <c r="AE295" i="4" s="1"/>
  <c r="AB299" i="4"/>
  <c r="AE299" i="4" s="1"/>
  <c r="AB305" i="4"/>
  <c r="AE305" i="4" s="1"/>
  <c r="AB430" i="4"/>
  <c r="AE430" i="4" s="1"/>
  <c r="AB335" i="4"/>
  <c r="AE335" i="4" s="1"/>
  <c r="AB288" i="4"/>
  <c r="AE288" i="4" s="1"/>
  <c r="AB246" i="4"/>
  <c r="AE246" i="4" s="1"/>
  <c r="AB394" i="4"/>
  <c r="AE394" i="4" s="1"/>
  <c r="AB396" i="4"/>
  <c r="AE396" i="4" s="1"/>
  <c r="AB236" i="4"/>
  <c r="AE236" i="4" s="1"/>
  <c r="AB260" i="4"/>
  <c r="AE260" i="4" s="1"/>
  <c r="AB373" i="4"/>
  <c r="AE373" i="4" s="1"/>
  <c r="AB407" i="4"/>
  <c r="AE407" i="4" s="1"/>
  <c r="AB346" i="4"/>
  <c r="AE346" i="4" s="1"/>
  <c r="AB358" i="4"/>
  <c r="AE358" i="4" s="1"/>
  <c r="AB379" i="4"/>
  <c r="AE379" i="4" s="1"/>
  <c r="AB423" i="4"/>
  <c r="AE423" i="4" s="1"/>
  <c r="AB220" i="4"/>
  <c r="AE220" i="4" s="1"/>
  <c r="AB362" i="4"/>
  <c r="AE362" i="4" s="1"/>
  <c r="AB411" i="4"/>
  <c r="AE411" i="4" s="1"/>
  <c r="AB449" i="4"/>
  <c r="AE449" i="4" s="1"/>
  <c r="AB327" i="4"/>
  <c r="AE327" i="4" s="1"/>
  <c r="AB351" i="4"/>
  <c r="AE351" i="4" s="1"/>
  <c r="AB216" i="4"/>
  <c r="AE216" i="4" s="1"/>
  <c r="AB331" i="4"/>
  <c r="AE331" i="4" s="1"/>
  <c r="AB210" i="4"/>
  <c r="AE210" i="4" s="1"/>
  <c r="AB226" i="4"/>
  <c r="AE226" i="4" s="1"/>
  <c r="AB241" i="4"/>
  <c r="AE241" i="4" s="1"/>
  <c r="AB273" i="4"/>
  <c r="AE273" i="4" s="1"/>
  <c r="AB287" i="4"/>
  <c r="AE287" i="4" s="1"/>
  <c r="AB311" i="4"/>
  <c r="AE311" i="4" s="1"/>
  <c r="AB325" i="4"/>
  <c r="AE325" i="4" s="1"/>
  <c r="AB251" i="4"/>
  <c r="AE251" i="4" s="1"/>
  <c r="AB318" i="4"/>
  <c r="AE318" i="4" s="1"/>
  <c r="AB363" i="4"/>
  <c r="AE363" i="4" s="1"/>
  <c r="AB370" i="4"/>
  <c r="AE370" i="4" s="1"/>
  <c r="AB378" i="4"/>
  <c r="AE378" i="4" s="1"/>
  <c r="AB388" i="4"/>
  <c r="AE388" i="4" s="1"/>
  <c r="AB292" i="4"/>
  <c r="AE292" i="4" s="1"/>
  <c r="AB385" i="4"/>
  <c r="AE385" i="4" s="1"/>
  <c r="AB401" i="4"/>
  <c r="AE401" i="4" s="1"/>
  <c r="AB428" i="4"/>
  <c r="AE428" i="4" s="1"/>
  <c r="AB444" i="4"/>
  <c r="AE444" i="4" s="1"/>
  <c r="AB382" i="4"/>
  <c r="AE382" i="4" s="1"/>
  <c r="AB366" i="4"/>
  <c r="AE366" i="4" s="1"/>
  <c r="AB417" i="4"/>
  <c r="AE417" i="4" s="1"/>
  <c r="AB433" i="4"/>
  <c r="AE433" i="4" s="1"/>
  <c r="AB333" i="4"/>
  <c r="AE333" i="4" s="1"/>
  <c r="AB405" i="4"/>
  <c r="AE405" i="4" s="1"/>
  <c r="AB258" i="4"/>
  <c r="AE258" i="4" s="1"/>
  <c r="AB392" i="4"/>
  <c r="AE392" i="4" s="1"/>
  <c r="AB447" i="4"/>
  <c r="AE447" i="4" s="1"/>
  <c r="AB242" i="4"/>
  <c r="AE242" i="4" s="1"/>
  <c r="AB427" i="4"/>
  <c r="AE427" i="4" s="1"/>
  <c r="AB432" i="4"/>
  <c r="AE432" i="4" s="1"/>
  <c r="AB214" i="4"/>
  <c r="AE214" i="4" s="1"/>
  <c r="AB232" i="4"/>
  <c r="AE232" i="4" s="1"/>
  <c r="AB293" i="4"/>
  <c r="AE293" i="4" s="1"/>
  <c r="AB225" i="4"/>
  <c r="AE225" i="4" s="1"/>
  <c r="AB252" i="4"/>
  <c r="AE252" i="4" s="1"/>
  <c r="AB415" i="4"/>
  <c r="AE415" i="4" s="1"/>
  <c r="AB263" i="4"/>
  <c r="AE263" i="4" s="1"/>
  <c r="AB269" i="4"/>
  <c r="AE269" i="4" s="1"/>
  <c r="AB272" i="4"/>
  <c r="AE272" i="4" s="1"/>
  <c r="AB296" i="4"/>
  <c r="AE296" i="4" s="1"/>
  <c r="AB374" i="4"/>
  <c r="AE374" i="4" s="1"/>
  <c r="AB265" i="4"/>
  <c r="AE265" i="4" s="1"/>
  <c r="AB435" i="4"/>
  <c r="AE435" i="4" s="1"/>
  <c r="AD24" i="1"/>
  <c r="AI3" i="1"/>
  <c r="AJ3" i="1"/>
  <c r="AI4" i="1"/>
  <c r="AJ4" i="1"/>
  <c r="AI5" i="1"/>
  <c r="AJ5" i="1"/>
  <c r="AI6" i="1"/>
  <c r="AJ6" i="1"/>
  <c r="AI7" i="1"/>
  <c r="AJ7" i="1"/>
  <c r="AI8" i="1"/>
  <c r="AJ8" i="1"/>
  <c r="AI9" i="1"/>
  <c r="AJ9" i="1"/>
  <c r="AI10" i="1"/>
  <c r="AJ10" i="1"/>
  <c r="AI11" i="1"/>
  <c r="AJ11" i="1"/>
  <c r="AI12" i="1"/>
  <c r="AJ12" i="1"/>
  <c r="AI13" i="1"/>
  <c r="AJ13" i="1"/>
  <c r="AI14" i="1"/>
  <c r="AJ14" i="1"/>
  <c r="AI15" i="1"/>
  <c r="AJ15" i="1"/>
  <c r="AI16" i="1"/>
  <c r="AJ16" i="1"/>
  <c r="AI17" i="1"/>
  <c r="AJ17" i="1"/>
  <c r="AI18" i="1"/>
  <c r="AJ18" i="1"/>
  <c r="AI19" i="1"/>
  <c r="AJ19" i="1"/>
  <c r="AI20" i="1"/>
  <c r="AJ20" i="1"/>
  <c r="AI21" i="1"/>
  <c r="AJ21" i="1"/>
  <c r="AI22" i="1"/>
  <c r="AJ22" i="1"/>
  <c r="AI23" i="1"/>
  <c r="AJ23" i="1"/>
  <c r="AI24" i="1"/>
  <c r="AJ24" i="1"/>
  <c r="AI25" i="1"/>
  <c r="AJ25" i="1"/>
  <c r="AI26" i="1"/>
  <c r="AJ26" i="1"/>
  <c r="AI27" i="1"/>
  <c r="AJ27" i="1"/>
  <c r="AI28" i="1"/>
  <c r="AJ28" i="1"/>
  <c r="AI29" i="1"/>
  <c r="AJ29" i="1"/>
  <c r="AI30" i="1"/>
  <c r="AJ30" i="1"/>
  <c r="AI31" i="1"/>
  <c r="AJ31" i="1"/>
  <c r="AI32" i="1"/>
  <c r="AJ32" i="1"/>
  <c r="AI33" i="1"/>
  <c r="AJ33" i="1"/>
  <c r="AI34" i="1"/>
  <c r="AJ34" i="1"/>
  <c r="AI35" i="1"/>
  <c r="AJ35" i="1"/>
  <c r="AI36" i="1"/>
  <c r="AJ36" i="1"/>
  <c r="AI37" i="1"/>
  <c r="AJ37" i="1"/>
  <c r="AI38" i="1"/>
  <c r="AJ38" i="1"/>
  <c r="AI39" i="1"/>
  <c r="AJ39" i="1"/>
  <c r="AI40" i="1"/>
  <c r="AJ40" i="1"/>
  <c r="AI41" i="1"/>
  <c r="AJ41" i="1"/>
  <c r="AI42" i="1"/>
  <c r="AJ42" i="1"/>
  <c r="AI43" i="1"/>
  <c r="AJ43" i="1"/>
  <c r="AI44" i="1"/>
  <c r="AJ44" i="1"/>
  <c r="AI45" i="1"/>
  <c r="AJ45" i="1"/>
  <c r="AI46" i="1"/>
  <c r="AJ46" i="1"/>
  <c r="AI47" i="1"/>
  <c r="AJ47" i="1"/>
  <c r="AI48" i="1"/>
  <c r="AJ48" i="1"/>
  <c r="AI49" i="1"/>
  <c r="AJ49" i="1"/>
  <c r="AI50" i="1"/>
  <c r="AJ50" i="1"/>
  <c r="AI51" i="1"/>
  <c r="AJ51" i="1"/>
  <c r="AI52" i="1"/>
  <c r="AJ52" i="1"/>
  <c r="AI53" i="1"/>
  <c r="AJ53" i="1"/>
  <c r="AI54" i="1"/>
  <c r="AJ54" i="1"/>
  <c r="AI55" i="1"/>
  <c r="AJ55" i="1"/>
  <c r="AI56" i="1"/>
  <c r="AJ56" i="1"/>
  <c r="AI57" i="1"/>
  <c r="AJ57" i="1"/>
  <c r="AI58" i="1"/>
  <c r="AJ58" i="1"/>
  <c r="AI59" i="1"/>
  <c r="AJ59" i="1"/>
  <c r="AI60" i="1"/>
  <c r="AJ60" i="1"/>
  <c r="AI61" i="1"/>
  <c r="AJ61" i="1"/>
  <c r="AI62" i="1"/>
  <c r="AJ62" i="1"/>
  <c r="AI63" i="1"/>
  <c r="AJ63" i="1"/>
  <c r="AI64" i="1"/>
  <c r="AJ64" i="1"/>
  <c r="AI65" i="1"/>
  <c r="AJ65" i="1"/>
  <c r="AI66" i="1"/>
  <c r="AJ66" i="1"/>
  <c r="AI67" i="1"/>
  <c r="AJ67" i="1"/>
  <c r="AI68" i="1"/>
  <c r="AJ68" i="1"/>
  <c r="AI69" i="1"/>
  <c r="AJ69" i="1"/>
  <c r="AI70" i="1"/>
  <c r="AJ70" i="1"/>
  <c r="AI71" i="1"/>
  <c r="AJ71" i="1"/>
  <c r="AI72" i="1"/>
  <c r="AJ72" i="1"/>
  <c r="AI73" i="1"/>
  <c r="AJ73" i="1"/>
  <c r="AI74" i="1"/>
  <c r="AJ74" i="1"/>
  <c r="AI75" i="1"/>
  <c r="AJ75" i="1"/>
  <c r="AI76" i="1"/>
  <c r="AJ76" i="1"/>
  <c r="AI77" i="1"/>
  <c r="AJ77" i="1"/>
  <c r="AI78" i="1"/>
  <c r="AJ78" i="1"/>
  <c r="AI79" i="1"/>
  <c r="AJ79" i="1"/>
  <c r="AI80" i="1"/>
  <c r="AJ80" i="1"/>
  <c r="AI81" i="1"/>
  <c r="AJ81" i="1"/>
  <c r="AI82" i="1"/>
  <c r="AJ82" i="1"/>
  <c r="AI83" i="1"/>
  <c r="AJ83" i="1"/>
  <c r="AI84" i="1"/>
  <c r="AJ84" i="1"/>
  <c r="AI85" i="1"/>
  <c r="AJ85" i="1"/>
  <c r="AI86" i="1"/>
  <c r="AJ86" i="1"/>
  <c r="AI87" i="1"/>
  <c r="AJ87" i="1"/>
  <c r="AI88" i="1"/>
  <c r="AJ88" i="1"/>
  <c r="AI89" i="1"/>
  <c r="AJ89" i="1"/>
  <c r="AI90" i="1"/>
  <c r="AJ90" i="1"/>
  <c r="AI91" i="1"/>
  <c r="AJ91" i="1"/>
  <c r="AI92" i="1"/>
  <c r="AJ92" i="1"/>
  <c r="AI93" i="1"/>
  <c r="AJ93" i="1"/>
  <c r="AI94" i="1"/>
  <c r="AJ94" i="1"/>
  <c r="AI95" i="1"/>
  <c r="AJ95" i="1"/>
  <c r="AI96" i="1"/>
  <c r="AJ96" i="1"/>
  <c r="AI97" i="1"/>
  <c r="AJ97" i="1"/>
  <c r="AI98" i="1"/>
  <c r="AJ98" i="1"/>
  <c r="AI99" i="1"/>
  <c r="AJ99" i="1"/>
  <c r="AI100" i="1"/>
  <c r="AJ100" i="1"/>
  <c r="AI101" i="1"/>
  <c r="AJ101" i="1"/>
  <c r="AI102" i="1"/>
  <c r="AJ102" i="1"/>
  <c r="AI103" i="1"/>
  <c r="AJ103" i="1"/>
  <c r="AI104" i="1"/>
  <c r="AJ104" i="1"/>
  <c r="AI105" i="1"/>
  <c r="AJ105" i="1"/>
  <c r="AI106" i="1"/>
  <c r="AJ106" i="1"/>
  <c r="AI107" i="1"/>
  <c r="AJ107" i="1"/>
  <c r="AI108" i="1"/>
  <c r="AJ108" i="1"/>
  <c r="AI109" i="1"/>
  <c r="AJ109" i="1"/>
  <c r="AI110" i="1"/>
  <c r="AJ110" i="1"/>
  <c r="AI111" i="1"/>
  <c r="AJ111" i="1"/>
  <c r="AI112" i="1"/>
  <c r="AJ112" i="1"/>
  <c r="AI113" i="1"/>
  <c r="AJ113" i="1"/>
  <c r="AI114" i="1"/>
  <c r="AJ114" i="1"/>
  <c r="AI116" i="1"/>
  <c r="AJ116" i="1"/>
  <c r="AI117" i="1"/>
  <c r="AJ117" i="1"/>
  <c r="AI118" i="1"/>
  <c r="AJ118" i="1"/>
  <c r="AI119" i="1"/>
  <c r="AJ119" i="1"/>
  <c r="AI120" i="1"/>
  <c r="AJ120" i="1"/>
  <c r="AI121" i="1"/>
  <c r="AJ121" i="1"/>
  <c r="AI122" i="1"/>
  <c r="AJ122" i="1"/>
  <c r="AI123" i="1"/>
  <c r="AJ123" i="1"/>
  <c r="AI124" i="1"/>
  <c r="AJ124" i="1"/>
  <c r="AI125" i="1"/>
  <c r="AJ125" i="1"/>
  <c r="AI126" i="1"/>
  <c r="AJ126" i="1"/>
  <c r="AI127" i="1"/>
  <c r="AJ127" i="1"/>
  <c r="AI128" i="1"/>
  <c r="AJ128" i="1"/>
  <c r="AI129" i="1"/>
  <c r="AJ129" i="1"/>
  <c r="AI130" i="1"/>
  <c r="AJ130" i="1"/>
  <c r="AI131" i="1"/>
  <c r="AJ131" i="1"/>
  <c r="AI132" i="1"/>
  <c r="AJ132" i="1"/>
  <c r="AI133" i="1"/>
  <c r="AJ133" i="1"/>
  <c r="AI134" i="1"/>
  <c r="AJ134" i="1"/>
  <c r="AI135" i="1"/>
  <c r="AJ135" i="1"/>
  <c r="AI136" i="1"/>
  <c r="AJ136" i="1"/>
  <c r="AI137" i="1"/>
  <c r="AJ137" i="1"/>
  <c r="AI138" i="1"/>
  <c r="AJ138" i="1"/>
  <c r="AI139" i="1"/>
  <c r="AJ139" i="1"/>
  <c r="AI140" i="1"/>
  <c r="AJ140" i="1"/>
  <c r="AI141" i="1"/>
  <c r="AJ141" i="1"/>
  <c r="AI142" i="1"/>
  <c r="AJ142" i="1"/>
  <c r="AI143" i="1"/>
  <c r="AJ143" i="1"/>
  <c r="AI144" i="1"/>
  <c r="AJ144" i="1"/>
  <c r="AI145" i="1"/>
  <c r="AJ145" i="1"/>
  <c r="AI146" i="1"/>
  <c r="AJ146" i="1"/>
  <c r="AI148" i="1"/>
  <c r="AJ148" i="1"/>
  <c r="AI149" i="1"/>
  <c r="AJ149" i="1"/>
  <c r="AI150" i="1"/>
  <c r="AJ150" i="1"/>
  <c r="AI151" i="1"/>
  <c r="AJ151" i="1"/>
  <c r="AI153" i="1"/>
  <c r="AJ153" i="1"/>
  <c r="AI154" i="1"/>
  <c r="AJ154" i="1"/>
  <c r="AI155" i="1"/>
  <c r="AJ155" i="1"/>
  <c r="AI156" i="1"/>
  <c r="AJ156" i="1"/>
  <c r="AI157" i="1"/>
  <c r="AJ157" i="1"/>
  <c r="AI158" i="1"/>
  <c r="AJ158" i="1"/>
  <c r="AI159" i="1"/>
  <c r="AJ159" i="1"/>
  <c r="AI160" i="1"/>
  <c r="AJ160" i="1"/>
  <c r="AI161" i="1"/>
  <c r="AJ161" i="1"/>
  <c r="AI162" i="1"/>
  <c r="AJ162" i="1"/>
  <c r="AI163" i="1"/>
  <c r="AJ163" i="1"/>
  <c r="AI164" i="1"/>
  <c r="AJ164" i="1"/>
  <c r="AI165" i="1"/>
  <c r="AJ165" i="1"/>
  <c r="AI166" i="1"/>
  <c r="AJ166" i="1"/>
  <c r="AI167" i="1"/>
  <c r="AJ167" i="1"/>
  <c r="AI169" i="1"/>
  <c r="AJ169" i="1"/>
  <c r="AI170" i="1"/>
  <c r="AJ170" i="1"/>
  <c r="AI171" i="1"/>
  <c r="AJ171" i="1"/>
  <c r="AI172" i="1"/>
  <c r="AJ172" i="1"/>
  <c r="AI173" i="1"/>
  <c r="AJ173" i="1"/>
  <c r="AI174" i="1"/>
  <c r="AJ174" i="1"/>
  <c r="AI175" i="1"/>
  <c r="AJ175" i="1"/>
  <c r="AI176" i="1"/>
  <c r="AJ176" i="1"/>
  <c r="AI177" i="1"/>
  <c r="AJ177" i="1"/>
  <c r="AI179" i="1"/>
  <c r="AJ179" i="1"/>
  <c r="AI180" i="1"/>
  <c r="AJ180" i="1"/>
  <c r="AI181" i="1"/>
  <c r="AJ181" i="1"/>
  <c r="AI182" i="1"/>
  <c r="AJ182" i="1"/>
  <c r="AI183" i="1"/>
  <c r="AJ183" i="1"/>
  <c r="AI184" i="1"/>
  <c r="AJ184" i="1"/>
  <c r="AI185" i="1"/>
  <c r="AJ185" i="1"/>
  <c r="AI186" i="1"/>
  <c r="AJ186" i="1"/>
  <c r="AI188" i="1"/>
  <c r="AJ188" i="1"/>
  <c r="AI189" i="1"/>
  <c r="AJ189" i="1"/>
  <c r="AI191" i="1"/>
  <c r="AJ191" i="1"/>
  <c r="AI192" i="1"/>
  <c r="AJ192" i="1"/>
  <c r="AI193" i="1"/>
  <c r="AJ193" i="1"/>
  <c r="AI194" i="1"/>
  <c r="AJ194" i="1"/>
  <c r="AI195" i="1"/>
  <c r="AJ195" i="1"/>
  <c r="AI196" i="1"/>
  <c r="AJ196" i="1"/>
  <c r="AI197" i="1"/>
  <c r="AJ197" i="1"/>
  <c r="AI198" i="1"/>
  <c r="AJ198" i="1"/>
  <c r="AI199" i="1"/>
  <c r="AJ199" i="1"/>
  <c r="AI200" i="1"/>
  <c r="AJ200" i="1"/>
  <c r="AI201" i="1"/>
  <c r="AJ201" i="1"/>
  <c r="AI202" i="1"/>
  <c r="AJ202" i="1"/>
  <c r="AI203" i="1"/>
  <c r="AJ203" i="1"/>
  <c r="AI204" i="1"/>
  <c r="AJ204" i="1"/>
  <c r="AI205" i="1"/>
  <c r="AJ205" i="1"/>
  <c r="AI206" i="1"/>
  <c r="AJ206" i="1"/>
  <c r="AI207" i="1"/>
  <c r="AJ207" i="1"/>
  <c r="AI208" i="1"/>
  <c r="AJ208" i="1"/>
  <c r="AI209" i="1"/>
  <c r="AJ209" i="1"/>
  <c r="AI210" i="1"/>
  <c r="AJ210" i="1"/>
  <c r="AI211" i="1"/>
  <c r="AJ211" i="1"/>
  <c r="AI213" i="1"/>
  <c r="AJ213" i="1"/>
  <c r="AI214" i="1"/>
  <c r="AJ214" i="1"/>
  <c r="AI215" i="1"/>
  <c r="AJ215" i="1"/>
  <c r="AI216" i="1"/>
  <c r="AJ216" i="1"/>
  <c r="AI218" i="1"/>
  <c r="AJ218" i="1"/>
  <c r="AI219" i="1"/>
  <c r="AJ219" i="1"/>
  <c r="AI220" i="1"/>
  <c r="AJ220" i="1"/>
  <c r="AI221" i="1"/>
  <c r="AJ221" i="1"/>
  <c r="AI222" i="1"/>
  <c r="AJ222" i="1"/>
  <c r="AI224" i="1"/>
  <c r="AJ224" i="1"/>
  <c r="AI225" i="1"/>
  <c r="AJ225" i="1"/>
  <c r="AI226" i="1"/>
  <c r="AJ226" i="1"/>
  <c r="AI227" i="1"/>
  <c r="AJ227" i="1"/>
  <c r="AI228" i="1"/>
  <c r="AJ228" i="1"/>
  <c r="AI229" i="1"/>
  <c r="AJ229" i="1"/>
  <c r="AI230" i="1"/>
  <c r="AJ230" i="1"/>
  <c r="AI231" i="1"/>
  <c r="AJ231" i="1"/>
  <c r="AI232" i="1"/>
  <c r="AJ232" i="1"/>
  <c r="AI233" i="1"/>
  <c r="AJ233" i="1"/>
  <c r="AI234" i="1"/>
  <c r="AJ234" i="1"/>
  <c r="AI235" i="1"/>
  <c r="AJ235" i="1"/>
  <c r="AI236" i="1"/>
  <c r="AJ236" i="1"/>
  <c r="AI237" i="1"/>
  <c r="AJ237" i="1"/>
  <c r="AI238" i="1"/>
  <c r="AJ238" i="1"/>
  <c r="AI239" i="1"/>
  <c r="AJ239" i="1"/>
  <c r="AI240" i="1"/>
  <c r="AJ240" i="1"/>
  <c r="AI241" i="1"/>
  <c r="AJ241" i="1"/>
  <c r="AI242" i="1"/>
  <c r="AJ242" i="1"/>
  <c r="AI243" i="1"/>
  <c r="AJ243" i="1"/>
  <c r="AI244" i="1"/>
  <c r="AJ244" i="1"/>
  <c r="AJ245" i="1"/>
  <c r="AI246" i="1"/>
  <c r="AJ246" i="1"/>
  <c r="AI247" i="1"/>
  <c r="AJ247" i="1"/>
  <c r="AI248" i="1"/>
  <c r="AJ248" i="1"/>
  <c r="AI249" i="1"/>
  <c r="AJ249" i="1"/>
  <c r="AI250" i="1"/>
  <c r="AJ250" i="1"/>
  <c r="AI251" i="1"/>
  <c r="AJ251" i="1"/>
  <c r="AI252" i="1"/>
  <c r="AJ252" i="1"/>
  <c r="AI253" i="1"/>
  <c r="AJ253" i="1"/>
  <c r="AI254" i="1"/>
  <c r="AJ254" i="1"/>
  <c r="AI255" i="1"/>
  <c r="AJ255" i="1"/>
  <c r="AI256" i="1"/>
  <c r="AJ256" i="1"/>
  <c r="AI257" i="1"/>
  <c r="AJ257" i="1"/>
  <c r="AI258" i="1"/>
  <c r="AJ258" i="1"/>
  <c r="AI259" i="1"/>
  <c r="AJ259" i="1"/>
  <c r="AI304" i="1"/>
  <c r="AJ304" i="1"/>
  <c r="AJ2" i="1"/>
  <c r="AI2" i="1"/>
  <c r="N304" i="42" l="1"/>
  <c r="I18" i="26"/>
  <c r="AB19" i="26"/>
  <c r="H19" i="26" s="1"/>
  <c r="AB12" i="26"/>
  <c r="H12" i="26" s="1"/>
  <c r="I10" i="26"/>
  <c r="AB11" i="26"/>
  <c r="AB3" i="26"/>
  <c r="H3" i="26" s="1"/>
  <c r="I13" i="26"/>
  <c r="AB9" i="26"/>
  <c r="AB7" i="26"/>
  <c r="I7" i="26"/>
  <c r="AB21" i="26"/>
  <c r="H21" i="26" s="1"/>
  <c r="I3" i="26"/>
  <c r="AB17" i="26"/>
  <c r="H17" i="26" s="1"/>
  <c r="AB20" i="26"/>
  <c r="H20" i="26" s="1"/>
  <c r="I9" i="26"/>
  <c r="I11" i="26"/>
  <c r="I22" i="26"/>
  <c r="AB22" i="26"/>
  <c r="H22" i="26" s="1"/>
  <c r="AB13" i="26"/>
  <c r="H13" i="26" s="1"/>
  <c r="AB6" i="26"/>
  <c r="I6" i="26"/>
  <c r="I16" i="26"/>
  <c r="AB16" i="26"/>
  <c r="H16" i="26" s="1"/>
  <c r="I15" i="26"/>
  <c r="AB15" i="26"/>
  <c r="H15" i="26" s="1"/>
  <c r="AB8" i="26"/>
  <c r="I8" i="26"/>
  <c r="AB14" i="26"/>
  <c r="H14" i="26" s="1"/>
  <c r="I14" i="26"/>
  <c r="AB5" i="26"/>
  <c r="I5" i="26"/>
  <c r="AB4" i="26"/>
  <c r="I4" i="26"/>
  <c r="AB2" i="26"/>
  <c r="H2" i="26" s="1"/>
  <c r="I2" i="26"/>
  <c r="AI187" i="1"/>
  <c r="AB162" i="4" l="1"/>
  <c r="AB184" i="4"/>
  <c r="AB178" i="4"/>
  <c r="AB133" i="4"/>
  <c r="AB158" i="4"/>
  <c r="AB2" i="4"/>
  <c r="AB104" i="4"/>
  <c r="AB144" i="4"/>
  <c r="AB156" i="4"/>
  <c r="AB165" i="4"/>
  <c r="AB205" i="4"/>
  <c r="AB87" i="4"/>
  <c r="AB200" i="4"/>
  <c r="AI212" i="1"/>
  <c r="AB183" i="4"/>
  <c r="AB180" i="4"/>
  <c r="AB182" i="4"/>
  <c r="AB202" i="4"/>
  <c r="AB209" i="4"/>
  <c r="AB206" i="4"/>
  <c r="AB190" i="4"/>
  <c r="AB201" i="4"/>
  <c r="AB78" i="4"/>
  <c r="AB157" i="4"/>
  <c r="AB72" i="4"/>
  <c r="AB55" i="4"/>
  <c r="AB143" i="4"/>
  <c r="AB51" i="4"/>
  <c r="AB35" i="4"/>
  <c r="AB5" i="4"/>
  <c r="AB16" i="4"/>
  <c r="AB196" i="4"/>
  <c r="AB185" i="4"/>
  <c r="AB28" i="4"/>
  <c r="AB139" i="4"/>
  <c r="AB44" i="4"/>
  <c r="AB60" i="4"/>
  <c r="AB65" i="4"/>
  <c r="AB46" i="4"/>
  <c r="AB148" i="4"/>
  <c r="AB161" i="4"/>
  <c r="AB40" i="4"/>
  <c r="AB39" i="4"/>
  <c r="AB68" i="4"/>
  <c r="AB199" i="4"/>
  <c r="AB191" i="4"/>
  <c r="AB19" i="4"/>
  <c r="AB22" i="4"/>
  <c r="AB203" i="4"/>
  <c r="AB96" i="4"/>
  <c r="AI223" i="1"/>
  <c r="AB194" i="4"/>
  <c r="AB155" i="4"/>
  <c r="AB71" i="4"/>
  <c r="AB103" i="4"/>
  <c r="AB153" i="4"/>
  <c r="AB170" i="4"/>
  <c r="AB120" i="4"/>
  <c r="AB4" i="4"/>
  <c r="AB41" i="4"/>
  <c r="AB47" i="4"/>
  <c r="AB125" i="4"/>
  <c r="AB29" i="4"/>
  <c r="AB188" i="4"/>
  <c r="AB34" i="4"/>
  <c r="AB52" i="4"/>
  <c r="AB146" i="4"/>
  <c r="AB82" i="4"/>
  <c r="AB31" i="4"/>
  <c r="AB61" i="4"/>
  <c r="AB181" i="4"/>
  <c r="AB198" i="4"/>
  <c r="AB204" i="4"/>
  <c r="AB186" i="4"/>
  <c r="AB9" i="4"/>
  <c r="AI115" i="1"/>
  <c r="AB74" i="4"/>
  <c r="AB10" i="4"/>
  <c r="AB154" i="4"/>
  <c r="AI147" i="1"/>
  <c r="AB140" i="4"/>
  <c r="AB192" i="4"/>
  <c r="AB123" i="4"/>
  <c r="AB122" i="4"/>
  <c r="AB167" i="4"/>
  <c r="AB127" i="4"/>
  <c r="AB163" i="4"/>
  <c r="AB174" i="4"/>
  <c r="AB135" i="4"/>
  <c r="AB150" i="4"/>
  <c r="AB171" i="4"/>
  <c r="AB54" i="4"/>
  <c r="AB23" i="4"/>
  <c r="AB11" i="4"/>
  <c r="AB24" i="4"/>
  <c r="AB14" i="4"/>
  <c r="AB208" i="4"/>
  <c r="AB89" i="4"/>
  <c r="AB177" i="4"/>
  <c r="AB195" i="4"/>
  <c r="AB138" i="4"/>
  <c r="AB115" i="4"/>
  <c r="AB187" i="4"/>
  <c r="AI152" i="1"/>
  <c r="AB106" i="4"/>
  <c r="AB152" i="4"/>
  <c r="AB169" i="4"/>
  <c r="AB119" i="4"/>
  <c r="AI190" i="1"/>
  <c r="AB116" i="4"/>
  <c r="AB149" i="4"/>
  <c r="AB166" i="4"/>
  <c r="AB26" i="4"/>
  <c r="AB100" i="4"/>
  <c r="AB107" i="4"/>
  <c r="AB17" i="4"/>
  <c r="AB67" i="4"/>
  <c r="AB59" i="4"/>
  <c r="AB91" i="4"/>
  <c r="AB12" i="4"/>
  <c r="AB113" i="4"/>
  <c r="AB109" i="4"/>
  <c r="AB77" i="4"/>
  <c r="AB50" i="4"/>
  <c r="AB33" i="4"/>
  <c r="AB145" i="4"/>
  <c r="AB6" i="4"/>
  <c r="AB58" i="4"/>
  <c r="AB102" i="4"/>
  <c r="AB110" i="4"/>
  <c r="AB124" i="4"/>
  <c r="AB128" i="4"/>
  <c r="AB160" i="4"/>
  <c r="AB15" i="4"/>
  <c r="AB20" i="4"/>
  <c r="AB79" i="4"/>
  <c r="AB95" i="4"/>
  <c r="AB69" i="4"/>
  <c r="AB137" i="4"/>
  <c r="AB179" i="4"/>
  <c r="AB92" i="4"/>
  <c r="AB197" i="4"/>
  <c r="AB88" i="4"/>
  <c r="AB193" i="4"/>
  <c r="AB114" i="4"/>
  <c r="AB207" i="4"/>
  <c r="AB85" i="4"/>
  <c r="AB13" i="4"/>
  <c r="AI168" i="1"/>
  <c r="AI178" i="1"/>
  <c r="J470" i="29" l="1"/>
  <c r="J471" i="29"/>
  <c r="J472" i="29"/>
  <c r="J473" i="29"/>
  <c r="J474" i="29"/>
  <c r="J475" i="29"/>
  <c r="J476" i="29"/>
  <c r="J477" i="29"/>
  <c r="J478" i="29"/>
  <c r="J479" i="29"/>
  <c r="J480" i="29"/>
  <c r="J481" i="29"/>
  <c r="J482" i="29"/>
  <c r="J483" i="29"/>
  <c r="J484" i="29"/>
  <c r="J485" i="29"/>
  <c r="J486" i="29"/>
  <c r="J487" i="29"/>
  <c r="J488" i="29"/>
  <c r="J489" i="29"/>
  <c r="J490" i="29"/>
  <c r="U264" i="42" s="1"/>
  <c r="J491" i="29"/>
  <c r="J492" i="29"/>
  <c r="J493" i="29"/>
  <c r="J494" i="29"/>
  <c r="J495" i="29"/>
  <c r="J496" i="29"/>
  <c r="T258" i="1" l="1"/>
  <c r="U258" i="42"/>
  <c r="T261" i="1"/>
  <c r="U261" i="42"/>
  <c r="T257" i="1"/>
  <c r="U257" i="42"/>
  <c r="AQ264" i="42"/>
  <c r="T259" i="1"/>
  <c r="U259" i="42"/>
  <c r="T264" i="1"/>
  <c r="AQ261" i="42" l="1"/>
  <c r="AT286" i="42" s="1"/>
  <c r="AQ257" i="42"/>
  <c r="AT176" i="42" s="1"/>
  <c r="AQ258" i="42"/>
  <c r="AT287" i="42" s="1"/>
  <c r="AQ259" i="42"/>
  <c r="AD112" i="1"/>
  <c r="AB94" i="4"/>
  <c r="AB117" i="4"/>
  <c r="AB97" i="4"/>
  <c r="H1115" i="11"/>
  <c r="H1116" i="11"/>
  <c r="H1117" i="11"/>
  <c r="H1118" i="11"/>
  <c r="H1119" i="11"/>
  <c r="H1120" i="11"/>
  <c r="O1115" i="11"/>
  <c r="O1116" i="11"/>
  <c r="O1117" i="11"/>
  <c r="O1118" i="11"/>
  <c r="O1119" i="11"/>
  <c r="O1120" i="11"/>
  <c r="O1121" i="11"/>
  <c r="J607" i="4"/>
  <c r="J606" i="4"/>
  <c r="X359" i="28"/>
  <c r="J469" i="29"/>
  <c r="AT277" i="42" l="1"/>
  <c r="J468" i="29"/>
  <c r="T252" i="1" l="1"/>
  <c r="U252" i="42"/>
  <c r="AB18" i="4"/>
  <c r="AB90" i="4"/>
  <c r="AB132" i="4"/>
  <c r="AB25" i="4"/>
  <c r="AB63" i="4"/>
  <c r="AB73" i="4"/>
  <c r="AB84" i="4"/>
  <c r="AB32" i="4"/>
  <c r="AB37" i="4"/>
  <c r="AB43" i="4"/>
  <c r="AB48" i="4"/>
  <c r="AB64" i="4"/>
  <c r="AB101" i="4"/>
  <c r="AB112" i="4"/>
  <c r="AB76" i="4"/>
  <c r="AB81" i="4"/>
  <c r="AB108" i="4"/>
  <c r="AB129" i="4"/>
  <c r="AB3" i="4"/>
  <c r="AB56" i="4"/>
  <c r="J467" i="29"/>
  <c r="J466" i="29"/>
  <c r="T255" i="1" l="1"/>
  <c r="U255" i="42"/>
  <c r="T256" i="1"/>
  <c r="U256" i="42"/>
  <c r="AQ252" i="42"/>
  <c r="AT282" i="42" s="1"/>
  <c r="AD222" i="1"/>
  <c r="AB30" i="4"/>
  <c r="AB38" i="4"/>
  <c r="AB42" i="4"/>
  <c r="AB62" i="4"/>
  <c r="AB66" i="4"/>
  <c r="AB70" i="4"/>
  <c r="AB86" i="4"/>
  <c r="AB98" i="4"/>
  <c r="AB118" i="4"/>
  <c r="AB164" i="4"/>
  <c r="AB168" i="4"/>
  <c r="AB172" i="4"/>
  <c r="AB36" i="4"/>
  <c r="AB57" i="4"/>
  <c r="AB105" i="4"/>
  <c r="AB111" i="4"/>
  <c r="AB126" i="4"/>
  <c r="AB274" i="4"/>
  <c r="AB151" i="4"/>
  <c r="AB189" i="4"/>
  <c r="AB21" i="4"/>
  <c r="AB27" i="4"/>
  <c r="AB53" i="4"/>
  <c r="AB75" i="4"/>
  <c r="AB80" i="4"/>
  <c r="AB142" i="4"/>
  <c r="AB147" i="4"/>
  <c r="AB49" i="4"/>
  <c r="AB134" i="4"/>
  <c r="AB159" i="4"/>
  <c r="AB175" i="4"/>
  <c r="AB45" i="4"/>
  <c r="AB8" i="4"/>
  <c r="AB93" i="4"/>
  <c r="AB83" i="4"/>
  <c r="AB99" i="4"/>
  <c r="J465" i="29"/>
  <c r="J464" i="29"/>
  <c r="AK259" i="1"/>
  <c r="AK258" i="1"/>
  <c r="AK257" i="1"/>
  <c r="AK256" i="1"/>
  <c r="AK255" i="1"/>
  <c r="AK254" i="1"/>
  <c r="AK253" i="1"/>
  <c r="T254" i="1" l="1"/>
  <c r="U254" i="42"/>
  <c r="AQ256" i="42"/>
  <c r="AQ255" i="42"/>
  <c r="AT196" i="42" s="1"/>
  <c r="T253" i="1"/>
  <c r="U253" i="42"/>
  <c r="AC196" i="4"/>
  <c r="AD196" i="4" s="1"/>
  <c r="AC197" i="4"/>
  <c r="AD197" i="4" s="1"/>
  <c r="AC198" i="4"/>
  <c r="AD198" i="4" s="1"/>
  <c r="J601" i="4"/>
  <c r="J602" i="4"/>
  <c r="J603" i="4"/>
  <c r="J604" i="4"/>
  <c r="J605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449" i="29"/>
  <c r="J450" i="29"/>
  <c r="J451" i="29"/>
  <c r="J452" i="29"/>
  <c r="J453" i="29"/>
  <c r="J454" i="29"/>
  <c r="J455" i="29"/>
  <c r="J456" i="29"/>
  <c r="J457" i="29"/>
  <c r="J458" i="29"/>
  <c r="J459" i="29"/>
  <c r="J460" i="29"/>
  <c r="J461" i="29"/>
  <c r="J462" i="29"/>
  <c r="J463" i="29"/>
  <c r="AQ253" i="42" l="1"/>
  <c r="T251" i="1"/>
  <c r="U251" i="42"/>
  <c r="T250" i="1"/>
  <c r="U250" i="42"/>
  <c r="AQ254" i="42"/>
  <c r="AT265" i="42" s="1"/>
  <c r="T71" i="1"/>
  <c r="U71" i="42"/>
  <c r="AD181" i="1"/>
  <c r="AB176" i="4"/>
  <c r="AB173" i="4"/>
  <c r="AC194" i="4"/>
  <c r="AD194" i="4" s="1"/>
  <c r="AC195" i="4"/>
  <c r="AD195" i="4" s="1"/>
  <c r="AC2" i="4"/>
  <c r="AD2" i="4" s="1"/>
  <c r="AC84" i="4"/>
  <c r="AD84" i="4" s="1"/>
  <c r="AC85" i="4"/>
  <c r="AD85" i="4" s="1"/>
  <c r="AC86" i="4"/>
  <c r="AD86" i="4" s="1"/>
  <c r="AC87" i="4"/>
  <c r="AD87" i="4" s="1"/>
  <c r="AC88" i="4"/>
  <c r="AD88" i="4" s="1"/>
  <c r="AC89" i="4"/>
  <c r="AD89" i="4" s="1"/>
  <c r="AC123" i="4"/>
  <c r="AD123" i="4" s="1"/>
  <c r="AC124" i="4"/>
  <c r="AD124" i="4" s="1"/>
  <c r="AC56" i="4"/>
  <c r="AD56" i="4" s="1"/>
  <c r="AC57" i="4"/>
  <c r="AD57" i="4" s="1"/>
  <c r="AC58" i="4"/>
  <c r="AD58" i="4" s="1"/>
  <c r="AC59" i="4"/>
  <c r="AD59" i="4" s="1"/>
  <c r="AC207" i="4"/>
  <c r="AD207" i="4" s="1"/>
  <c r="AC208" i="4"/>
  <c r="AD208" i="4" s="1"/>
  <c r="AC209" i="4"/>
  <c r="AD209" i="4" s="1"/>
  <c r="J433" i="29"/>
  <c r="J434" i="29"/>
  <c r="J435" i="29"/>
  <c r="J436" i="29"/>
  <c r="J437" i="29"/>
  <c r="J438" i="29"/>
  <c r="J439" i="29"/>
  <c r="J440" i="29"/>
  <c r="J441" i="29"/>
  <c r="J442" i="29"/>
  <c r="J443" i="29"/>
  <c r="J444" i="29"/>
  <c r="J445" i="29"/>
  <c r="J446" i="29"/>
  <c r="J447" i="29"/>
  <c r="J448" i="29"/>
  <c r="AT264" i="42" l="1"/>
  <c r="AQ251" i="42"/>
  <c r="AQ71" i="42"/>
  <c r="AT103" i="42" s="1"/>
  <c r="AQ250" i="42"/>
  <c r="Y39" i="31"/>
  <c r="AT275" i="42" l="1"/>
  <c r="AT276" i="42"/>
  <c r="AT271" i="42"/>
  <c r="J432" i="29"/>
  <c r="U40" i="31" l="1"/>
  <c r="T40" i="31"/>
  <c r="X38" i="31"/>
  <c r="L44" i="31" s="1"/>
  <c r="L45" i="31" l="1"/>
  <c r="H1111" i="11"/>
  <c r="H1112" i="11"/>
  <c r="H1113" i="11"/>
  <c r="H1114" i="11"/>
  <c r="H1110" i="11"/>
  <c r="O1111" i="11"/>
  <c r="O1112" i="11"/>
  <c r="O1113" i="11"/>
  <c r="O1114" i="11"/>
  <c r="H1104" i="11"/>
  <c r="H1105" i="11"/>
  <c r="H1106" i="11"/>
  <c r="H1107" i="11"/>
  <c r="H1108" i="11"/>
  <c r="H1109" i="11"/>
  <c r="O1105" i="11"/>
  <c r="O1106" i="11"/>
  <c r="O1107" i="11"/>
  <c r="O1108" i="11"/>
  <c r="O1109" i="11"/>
  <c r="O1110" i="11"/>
  <c r="O93" i="4"/>
  <c r="P93" i="4"/>
  <c r="J564" i="4"/>
  <c r="J565" i="4"/>
  <c r="J561" i="4"/>
  <c r="J562" i="4"/>
  <c r="J56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431" i="29" l="1"/>
  <c r="T249" i="1" l="1"/>
  <c r="AP268" i="1" s="1"/>
  <c r="U249" i="42"/>
  <c r="J428" i="29"/>
  <c r="J429" i="29"/>
  <c r="J430" i="29"/>
  <c r="T248" i="1" l="1"/>
  <c r="AP267" i="1" s="1"/>
  <c r="U248" i="42"/>
  <c r="T247" i="1"/>
  <c r="U247" i="42"/>
  <c r="AQ249" i="42"/>
  <c r="J410" i="29"/>
  <c r="J411" i="29"/>
  <c r="J412" i="29"/>
  <c r="J413" i="29"/>
  <c r="J414" i="29"/>
  <c r="J415" i="29"/>
  <c r="J416" i="29"/>
  <c r="J417" i="29"/>
  <c r="J418" i="29"/>
  <c r="J419" i="29"/>
  <c r="J420" i="29"/>
  <c r="J421" i="29"/>
  <c r="J422" i="29"/>
  <c r="J423" i="29"/>
  <c r="J424" i="29"/>
  <c r="J425" i="29"/>
  <c r="J426" i="29"/>
  <c r="J427" i="29"/>
  <c r="AQ247" i="42" l="1"/>
  <c r="AQ248" i="42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O996" i="11"/>
  <c r="O997" i="11"/>
  <c r="O998" i="11"/>
  <c r="O999" i="11"/>
  <c r="O1000" i="11"/>
  <c r="O1001" i="11"/>
  <c r="O1002" i="11"/>
  <c r="O1003" i="11"/>
  <c r="O1004" i="11"/>
  <c r="O1005" i="11"/>
  <c r="O1006" i="11"/>
  <c r="O1007" i="11"/>
  <c r="O1008" i="11"/>
  <c r="O1009" i="11"/>
  <c r="O1010" i="11"/>
  <c r="O1011" i="11"/>
  <c r="O1012" i="11"/>
  <c r="O1013" i="11"/>
  <c r="O1014" i="11"/>
  <c r="O1015" i="11"/>
  <c r="O1016" i="11"/>
  <c r="O1017" i="11"/>
  <c r="O1018" i="11"/>
  <c r="O1019" i="11"/>
  <c r="O1020" i="11"/>
  <c r="O1021" i="11"/>
  <c r="O1022" i="11"/>
  <c r="O1023" i="11"/>
  <c r="O1024" i="11"/>
  <c r="O1025" i="11"/>
  <c r="O1026" i="11"/>
  <c r="O1027" i="11"/>
  <c r="O1028" i="11"/>
  <c r="O1029" i="11"/>
  <c r="O1030" i="11"/>
  <c r="O1031" i="11"/>
  <c r="O1032" i="11"/>
  <c r="O1033" i="11"/>
  <c r="O1034" i="11"/>
  <c r="O1035" i="11"/>
  <c r="O1036" i="11"/>
  <c r="O1037" i="11"/>
  <c r="O1038" i="11"/>
  <c r="O1039" i="11"/>
  <c r="O1040" i="11"/>
  <c r="O1041" i="11"/>
  <c r="O1042" i="11"/>
  <c r="O1043" i="11"/>
  <c r="O1044" i="11"/>
  <c r="O1045" i="11"/>
  <c r="O1046" i="11"/>
  <c r="O1047" i="11"/>
  <c r="O1048" i="11"/>
  <c r="O1049" i="11"/>
  <c r="O1050" i="11"/>
  <c r="O1051" i="11"/>
  <c r="O1052" i="11"/>
  <c r="O1053" i="11"/>
  <c r="O1054" i="11"/>
  <c r="O1055" i="11"/>
  <c r="O1056" i="11"/>
  <c r="O1057" i="11"/>
  <c r="O1058" i="11"/>
  <c r="O1059" i="11"/>
  <c r="O1060" i="11"/>
  <c r="O1061" i="11"/>
  <c r="O1062" i="11"/>
  <c r="O1063" i="11"/>
  <c r="O1064" i="11"/>
  <c r="O1065" i="11"/>
  <c r="O1066" i="11"/>
  <c r="O1067" i="11"/>
  <c r="O1068" i="11"/>
  <c r="O1069" i="11"/>
  <c r="O1070" i="11"/>
  <c r="O1071" i="11"/>
  <c r="O1072" i="11"/>
  <c r="O1073" i="11"/>
  <c r="O1074" i="11"/>
  <c r="O1075" i="11"/>
  <c r="O1076" i="11"/>
  <c r="O1077" i="11"/>
  <c r="O1078" i="11"/>
  <c r="O1079" i="11"/>
  <c r="O1080" i="11"/>
  <c r="O1081" i="11"/>
  <c r="O1082" i="11"/>
  <c r="O1083" i="11"/>
  <c r="O1084" i="11"/>
  <c r="O1085" i="11"/>
  <c r="O1086" i="11"/>
  <c r="O1087" i="11"/>
  <c r="O1088" i="11"/>
  <c r="O1089" i="11"/>
  <c r="O1090" i="11"/>
  <c r="O1091" i="11"/>
  <c r="O1092" i="11"/>
  <c r="O1093" i="11"/>
  <c r="O1094" i="11"/>
  <c r="O1095" i="11"/>
  <c r="O1096" i="11"/>
  <c r="O1097" i="11"/>
  <c r="O1098" i="11"/>
  <c r="O1099" i="11"/>
  <c r="O1100" i="11"/>
  <c r="O1101" i="11"/>
  <c r="O1102" i="11"/>
  <c r="O1103" i="11"/>
  <c r="O1104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H687" i="11"/>
  <c r="H688" i="11"/>
  <c r="H689" i="11"/>
  <c r="H690" i="11"/>
  <c r="H691" i="11"/>
  <c r="H692" i="11"/>
  <c r="H693" i="11"/>
  <c r="H694" i="11"/>
  <c r="H695" i="11"/>
  <c r="H696" i="11"/>
  <c r="H697" i="11"/>
  <c r="H698" i="11"/>
  <c r="H699" i="11"/>
  <c r="H700" i="11"/>
  <c r="H701" i="11"/>
  <c r="H702" i="11"/>
  <c r="H703" i="11"/>
  <c r="H704" i="11"/>
  <c r="H705" i="11"/>
  <c r="H706" i="11"/>
  <c r="H707" i="11"/>
  <c r="H708" i="11"/>
  <c r="H709" i="11"/>
  <c r="H710" i="11"/>
  <c r="H711" i="11"/>
  <c r="H712" i="11"/>
  <c r="H713" i="11"/>
  <c r="H714" i="11"/>
  <c r="H715" i="11"/>
  <c r="H716" i="11"/>
  <c r="H717" i="11"/>
  <c r="H718" i="11"/>
  <c r="H719" i="11"/>
  <c r="H720" i="11"/>
  <c r="H721" i="11"/>
  <c r="H722" i="11"/>
  <c r="H723" i="11"/>
  <c r="H724" i="11"/>
  <c r="H725" i="11"/>
  <c r="H726" i="11"/>
  <c r="H727" i="11"/>
  <c r="H728" i="11"/>
  <c r="H729" i="11"/>
  <c r="H730" i="11"/>
  <c r="H731" i="11"/>
  <c r="H732" i="11"/>
  <c r="H733" i="11"/>
  <c r="H734" i="11"/>
  <c r="H735" i="11"/>
  <c r="H736" i="11"/>
  <c r="H737" i="11"/>
  <c r="H738" i="11"/>
  <c r="H739" i="11"/>
  <c r="H740" i="11"/>
  <c r="H741" i="11"/>
  <c r="H742" i="11"/>
  <c r="H743" i="11"/>
  <c r="H744" i="11"/>
  <c r="H745" i="11"/>
  <c r="H746" i="11"/>
  <c r="H747" i="11"/>
  <c r="H748" i="11"/>
  <c r="H749" i="11"/>
  <c r="H750" i="11"/>
  <c r="H751" i="11"/>
  <c r="H752" i="11"/>
  <c r="H753" i="11"/>
  <c r="H754" i="11"/>
  <c r="H755" i="11"/>
  <c r="H756" i="11"/>
  <c r="H757" i="11"/>
  <c r="H758" i="11"/>
  <c r="H759" i="11"/>
  <c r="H760" i="11"/>
  <c r="H761" i="11"/>
  <c r="H762" i="11"/>
  <c r="H763" i="11"/>
  <c r="H764" i="11"/>
  <c r="H765" i="11"/>
  <c r="H766" i="11"/>
  <c r="H767" i="11"/>
  <c r="H768" i="11"/>
  <c r="H769" i="11"/>
  <c r="H770" i="11"/>
  <c r="H771" i="11"/>
  <c r="H772" i="11"/>
  <c r="H773" i="11"/>
  <c r="H774" i="11"/>
  <c r="H775" i="11"/>
  <c r="H776" i="11"/>
  <c r="H777" i="11"/>
  <c r="H778" i="11"/>
  <c r="H779" i="11"/>
  <c r="H780" i="11"/>
  <c r="H781" i="11"/>
  <c r="H782" i="11"/>
  <c r="H783" i="11"/>
  <c r="H784" i="11"/>
  <c r="H785" i="11"/>
  <c r="H786" i="11"/>
  <c r="H787" i="11"/>
  <c r="H788" i="11"/>
  <c r="H789" i="11"/>
  <c r="H790" i="11"/>
  <c r="H791" i="11"/>
  <c r="H792" i="11"/>
  <c r="H793" i="11"/>
  <c r="H794" i="11"/>
  <c r="H795" i="11"/>
  <c r="H796" i="11"/>
  <c r="H797" i="11"/>
  <c r="H798" i="11"/>
  <c r="H799" i="11"/>
  <c r="H800" i="11"/>
  <c r="H801" i="11"/>
  <c r="H802" i="11"/>
  <c r="H803" i="11"/>
  <c r="H804" i="11"/>
  <c r="H805" i="11"/>
  <c r="H806" i="11"/>
  <c r="H807" i="11"/>
  <c r="H808" i="11"/>
  <c r="H809" i="11"/>
  <c r="H810" i="11"/>
  <c r="H811" i="11"/>
  <c r="H812" i="11"/>
  <c r="H813" i="11"/>
  <c r="H814" i="11"/>
  <c r="H815" i="11"/>
  <c r="H816" i="11"/>
  <c r="H817" i="11"/>
  <c r="H818" i="11"/>
  <c r="H819" i="11"/>
  <c r="H820" i="11"/>
  <c r="H821" i="11"/>
  <c r="H822" i="11"/>
  <c r="H823" i="11"/>
  <c r="H824" i="11"/>
  <c r="H825" i="11"/>
  <c r="H826" i="11"/>
  <c r="H827" i="11"/>
  <c r="H828" i="11"/>
  <c r="H829" i="11"/>
  <c r="H830" i="11"/>
  <c r="H831" i="11"/>
  <c r="H832" i="11"/>
  <c r="H833" i="11"/>
  <c r="H834" i="11"/>
  <c r="H835" i="11"/>
  <c r="H836" i="11"/>
  <c r="H837" i="11"/>
  <c r="H838" i="11"/>
  <c r="H839" i="11"/>
  <c r="H840" i="11"/>
  <c r="H841" i="11"/>
  <c r="H842" i="11"/>
  <c r="H843" i="11"/>
  <c r="H844" i="11"/>
  <c r="H845" i="11"/>
  <c r="H846" i="11"/>
  <c r="H847" i="11"/>
  <c r="H848" i="11"/>
  <c r="H849" i="11"/>
  <c r="H850" i="11"/>
  <c r="H851" i="11"/>
  <c r="H852" i="11"/>
  <c r="H853" i="11"/>
  <c r="H854" i="11"/>
  <c r="H855" i="11"/>
  <c r="H856" i="11"/>
  <c r="H857" i="11"/>
  <c r="H858" i="11"/>
  <c r="H859" i="11"/>
  <c r="H860" i="11"/>
  <c r="H861" i="11"/>
  <c r="H862" i="11"/>
  <c r="H863" i="11"/>
  <c r="H864" i="11"/>
  <c r="H865" i="11"/>
  <c r="H866" i="11"/>
  <c r="H867" i="11"/>
  <c r="H868" i="11"/>
  <c r="H869" i="11"/>
  <c r="H870" i="11"/>
  <c r="H871" i="11"/>
  <c r="H872" i="11"/>
  <c r="H873" i="11"/>
  <c r="H874" i="11"/>
  <c r="H875" i="11"/>
  <c r="H876" i="11"/>
  <c r="H877" i="11"/>
  <c r="H878" i="11"/>
  <c r="H879" i="11"/>
  <c r="H880" i="11"/>
  <c r="H881" i="11"/>
  <c r="H882" i="11"/>
  <c r="H883" i="11"/>
  <c r="H884" i="11"/>
  <c r="H885" i="11"/>
  <c r="H886" i="11"/>
  <c r="H887" i="11"/>
  <c r="H888" i="11"/>
  <c r="H889" i="11"/>
  <c r="H890" i="11"/>
  <c r="H891" i="11"/>
  <c r="H892" i="11"/>
  <c r="H893" i="11"/>
  <c r="H894" i="11"/>
  <c r="H895" i="11"/>
  <c r="H896" i="11"/>
  <c r="H897" i="11"/>
  <c r="H898" i="11"/>
  <c r="H899" i="11"/>
  <c r="H900" i="11"/>
  <c r="H901" i="11"/>
  <c r="H902" i="11"/>
  <c r="H903" i="11"/>
  <c r="H904" i="11"/>
  <c r="H905" i="11"/>
  <c r="H906" i="11"/>
  <c r="H907" i="11"/>
  <c r="H908" i="11"/>
  <c r="H909" i="11"/>
  <c r="H910" i="11"/>
  <c r="H911" i="11"/>
  <c r="H912" i="11"/>
  <c r="H913" i="11"/>
  <c r="H914" i="11"/>
  <c r="H915" i="11"/>
  <c r="H916" i="11"/>
  <c r="H917" i="11"/>
  <c r="H918" i="11"/>
  <c r="H919" i="11"/>
  <c r="H920" i="11"/>
  <c r="H921" i="11"/>
  <c r="H922" i="11"/>
  <c r="H923" i="11"/>
  <c r="H924" i="11"/>
  <c r="H925" i="11"/>
  <c r="H926" i="11"/>
  <c r="H927" i="11"/>
  <c r="H928" i="11"/>
  <c r="H929" i="11"/>
  <c r="H930" i="11"/>
  <c r="H931" i="11"/>
  <c r="H932" i="11"/>
  <c r="H933" i="11"/>
  <c r="H934" i="11"/>
  <c r="H935" i="11"/>
  <c r="H936" i="11"/>
  <c r="H937" i="11"/>
  <c r="H938" i="11"/>
  <c r="H939" i="11"/>
  <c r="H940" i="11"/>
  <c r="H941" i="11"/>
  <c r="H942" i="11"/>
  <c r="H943" i="11"/>
  <c r="H944" i="11"/>
  <c r="H945" i="11"/>
  <c r="H946" i="11"/>
  <c r="H947" i="11"/>
  <c r="H948" i="11"/>
  <c r="H949" i="11"/>
  <c r="H950" i="11"/>
  <c r="H951" i="11"/>
  <c r="H952" i="11"/>
  <c r="H953" i="11"/>
  <c r="H954" i="11"/>
  <c r="H955" i="11"/>
  <c r="H956" i="11"/>
  <c r="H957" i="11"/>
  <c r="H958" i="11"/>
  <c r="H959" i="11"/>
  <c r="H960" i="11"/>
  <c r="H961" i="11"/>
  <c r="H962" i="11"/>
  <c r="H963" i="11"/>
  <c r="H964" i="11"/>
  <c r="H965" i="11"/>
  <c r="H966" i="11"/>
  <c r="H967" i="11"/>
  <c r="H968" i="11"/>
  <c r="H969" i="11"/>
  <c r="H970" i="11"/>
  <c r="H971" i="11"/>
  <c r="H972" i="11"/>
  <c r="H973" i="11"/>
  <c r="H974" i="11"/>
  <c r="H975" i="11"/>
  <c r="H976" i="11"/>
  <c r="H977" i="11"/>
  <c r="H978" i="11"/>
  <c r="H979" i="11"/>
  <c r="H980" i="11"/>
  <c r="H981" i="11"/>
  <c r="H982" i="11"/>
  <c r="H983" i="11"/>
  <c r="H984" i="11"/>
  <c r="H985" i="11"/>
  <c r="H986" i="11"/>
  <c r="H987" i="11"/>
  <c r="H988" i="11"/>
  <c r="H989" i="11"/>
  <c r="H990" i="11"/>
  <c r="H991" i="11"/>
  <c r="H992" i="11"/>
  <c r="H993" i="11"/>
  <c r="H994" i="11"/>
  <c r="H995" i="11"/>
  <c r="H996" i="11"/>
  <c r="H997" i="11"/>
  <c r="H998" i="11"/>
  <c r="H999" i="11"/>
  <c r="H1000" i="11"/>
  <c r="H1001" i="11"/>
  <c r="H1002" i="11"/>
  <c r="H1003" i="11"/>
  <c r="H1004" i="11"/>
  <c r="H1005" i="11"/>
  <c r="H1006" i="11"/>
  <c r="H1007" i="11"/>
  <c r="H1008" i="11"/>
  <c r="H1009" i="11"/>
  <c r="H1010" i="11"/>
  <c r="H1011" i="11"/>
  <c r="H1012" i="11"/>
  <c r="H1013" i="11"/>
  <c r="H1014" i="11"/>
  <c r="H1015" i="11"/>
  <c r="H1016" i="11"/>
  <c r="H1017" i="11"/>
  <c r="H1018" i="11"/>
  <c r="H1019" i="11"/>
  <c r="H1020" i="11"/>
  <c r="H1021" i="11"/>
  <c r="H1022" i="11"/>
  <c r="H1023" i="11"/>
  <c r="H1024" i="11"/>
  <c r="H1025" i="11"/>
  <c r="H1026" i="11"/>
  <c r="H1027" i="11"/>
  <c r="H1028" i="11"/>
  <c r="H1029" i="11"/>
  <c r="H1030" i="11"/>
  <c r="H1031" i="11"/>
  <c r="H1032" i="11"/>
  <c r="H1033" i="11"/>
  <c r="H1034" i="11"/>
  <c r="H1035" i="11"/>
  <c r="H1036" i="11"/>
  <c r="H1037" i="11"/>
  <c r="H1038" i="11"/>
  <c r="H1039" i="11"/>
  <c r="H1040" i="11"/>
  <c r="H1041" i="11"/>
  <c r="H1042" i="11"/>
  <c r="H1043" i="11"/>
  <c r="H1044" i="11"/>
  <c r="H1045" i="11"/>
  <c r="H1046" i="11"/>
  <c r="H1047" i="11"/>
  <c r="H1048" i="11"/>
  <c r="H1049" i="11"/>
  <c r="H1050" i="11"/>
  <c r="H1051" i="11"/>
  <c r="H1052" i="11"/>
  <c r="H1053" i="11"/>
  <c r="H1054" i="11"/>
  <c r="H1055" i="11"/>
  <c r="H1056" i="11"/>
  <c r="H1057" i="11"/>
  <c r="H1058" i="11"/>
  <c r="H1059" i="11"/>
  <c r="H1060" i="11"/>
  <c r="H1061" i="11"/>
  <c r="H1062" i="11"/>
  <c r="H1063" i="11"/>
  <c r="H1064" i="11"/>
  <c r="H1065" i="11"/>
  <c r="H1066" i="11"/>
  <c r="H1067" i="11"/>
  <c r="H1068" i="11"/>
  <c r="H1069" i="11"/>
  <c r="H1070" i="11"/>
  <c r="H1071" i="11"/>
  <c r="H1072" i="11"/>
  <c r="H1073" i="11"/>
  <c r="H1074" i="11"/>
  <c r="H1075" i="11"/>
  <c r="H1076" i="11"/>
  <c r="H1077" i="11"/>
  <c r="H1078" i="11"/>
  <c r="H1079" i="11"/>
  <c r="H1080" i="11"/>
  <c r="H1081" i="11"/>
  <c r="H1082" i="11"/>
  <c r="H1083" i="11"/>
  <c r="H1084" i="11"/>
  <c r="H1085" i="11"/>
  <c r="H1086" i="11"/>
  <c r="H1087" i="11"/>
  <c r="H1088" i="11"/>
  <c r="H1089" i="11"/>
  <c r="H1090" i="11"/>
  <c r="H1091" i="11"/>
  <c r="H1092" i="11"/>
  <c r="H1093" i="11"/>
  <c r="H1094" i="11"/>
  <c r="H1095" i="11"/>
  <c r="H1096" i="11"/>
  <c r="H1097" i="11"/>
  <c r="H1098" i="11"/>
  <c r="H1099" i="11"/>
  <c r="H1100" i="11"/>
  <c r="H1101" i="11"/>
  <c r="H1102" i="11"/>
  <c r="H1103" i="11"/>
  <c r="AT283" i="42" l="1"/>
  <c r="AT284" i="42"/>
  <c r="AT270" i="42"/>
  <c r="L40" i="31"/>
  <c r="L42" i="31" s="1"/>
  <c r="Y37" i="31"/>
  <c r="AB37" i="31" s="1"/>
  <c r="J525" i="4" l="1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409" i="29" l="1"/>
  <c r="T246" i="1" l="1"/>
  <c r="U246" i="42"/>
  <c r="J387" i="29"/>
  <c r="J388" i="29"/>
  <c r="J389" i="29"/>
  <c r="J390" i="29"/>
  <c r="J391" i="29"/>
  <c r="J392" i="29"/>
  <c r="J393" i="29"/>
  <c r="J394" i="29"/>
  <c r="J395" i="29"/>
  <c r="J396" i="29"/>
  <c r="J397" i="29"/>
  <c r="J398" i="29"/>
  <c r="J399" i="29"/>
  <c r="J400" i="29"/>
  <c r="J401" i="29"/>
  <c r="J402" i="29"/>
  <c r="J403" i="29"/>
  <c r="J404" i="29"/>
  <c r="J405" i="29"/>
  <c r="J406" i="29"/>
  <c r="J407" i="29"/>
  <c r="J408" i="29"/>
  <c r="T204" i="1" l="1"/>
  <c r="U204" i="42"/>
  <c r="AQ246" i="42"/>
  <c r="AT210" i="42" s="1"/>
  <c r="X36" i="31"/>
  <c r="J524" i="4"/>
  <c r="Y36" i="31"/>
  <c r="AP269" i="1" l="1"/>
  <c r="AP282" i="1"/>
  <c r="AQ204" i="42"/>
  <c r="AT193" i="42" s="1"/>
  <c r="W36" i="31"/>
  <c r="AB141" i="4" l="1"/>
  <c r="AB7" i="4"/>
  <c r="AB130" i="4"/>
  <c r="J386" i="29" l="1"/>
  <c r="J385" i="29"/>
  <c r="AP52" i="1" l="1"/>
  <c r="AP58" i="1"/>
  <c r="AP73" i="1"/>
  <c r="AP75" i="1"/>
  <c r="AP78" i="1"/>
  <c r="AP85" i="1"/>
  <c r="AP86" i="1"/>
  <c r="AP87" i="1"/>
  <c r="AP92" i="1"/>
  <c r="AP94" i="1"/>
  <c r="AP95" i="1"/>
  <c r="AP96" i="1"/>
  <c r="AP103" i="1"/>
  <c r="AP110" i="1"/>
  <c r="AP124" i="1"/>
  <c r="AP126" i="1"/>
  <c r="AP127" i="1"/>
  <c r="AP128" i="1"/>
  <c r="AP129" i="1"/>
  <c r="AP132" i="1"/>
  <c r="AP159" i="1"/>
  <c r="AP162" i="1"/>
  <c r="AP164" i="1"/>
  <c r="AP167" i="1"/>
  <c r="AP171" i="1"/>
  <c r="AC34" i="31"/>
  <c r="X34" i="31" l="1"/>
  <c r="Y34" i="31" l="1"/>
  <c r="AB34" i="31" s="1"/>
  <c r="J523" i="4"/>
  <c r="Z34" i="31"/>
  <c r="AA34" i="31"/>
  <c r="Z35" i="31"/>
  <c r="AA35" i="31"/>
  <c r="AB35" i="31"/>
  <c r="AC35" i="31"/>
  <c r="Z36" i="31"/>
  <c r="AA36" i="31"/>
  <c r="AB36" i="31"/>
  <c r="AC36" i="31"/>
  <c r="Z37" i="31"/>
  <c r="AA37" i="31"/>
  <c r="AC37" i="31"/>
  <c r="Z38" i="31"/>
  <c r="AA38" i="31"/>
  <c r="AB38" i="31"/>
  <c r="AC38" i="31"/>
  <c r="Z39" i="31"/>
  <c r="AA39" i="31"/>
  <c r="AB39" i="31"/>
  <c r="AC39" i="31"/>
  <c r="Z40" i="31"/>
  <c r="AA40" i="31"/>
  <c r="AB40" i="31"/>
  <c r="AC40" i="31"/>
  <c r="Z41" i="31"/>
  <c r="AA41" i="31"/>
  <c r="AB41" i="31"/>
  <c r="AC41" i="31"/>
  <c r="Z42" i="31"/>
  <c r="AA42" i="31"/>
  <c r="AB42" i="31"/>
  <c r="AC42" i="31"/>
  <c r="Z43" i="31"/>
  <c r="AA43" i="31"/>
  <c r="AB43" i="31"/>
  <c r="AC43" i="31"/>
  <c r="Z44" i="31"/>
  <c r="AA44" i="31"/>
  <c r="AB44" i="31"/>
  <c r="AC44" i="31"/>
  <c r="Z45" i="31"/>
  <c r="AA45" i="31"/>
  <c r="AB45" i="31"/>
  <c r="AC45" i="31"/>
  <c r="Z46" i="31"/>
  <c r="AA46" i="31"/>
  <c r="AB46" i="31"/>
  <c r="AC46" i="31"/>
  <c r="Z47" i="31"/>
  <c r="AA47" i="31"/>
  <c r="AB47" i="31"/>
  <c r="AC47" i="31"/>
  <c r="Z48" i="31"/>
  <c r="AA48" i="31"/>
  <c r="AB48" i="31"/>
  <c r="AC48" i="31"/>
  <c r="Z49" i="31"/>
  <c r="AA49" i="31"/>
  <c r="AB49" i="31"/>
  <c r="AC49" i="31"/>
  <c r="Z50" i="31"/>
  <c r="AA50" i="31"/>
  <c r="AB50" i="31"/>
  <c r="AC50" i="31"/>
  <c r="Z51" i="31"/>
  <c r="AA51" i="31"/>
  <c r="AB51" i="31"/>
  <c r="AC51" i="31"/>
  <c r="Z52" i="31"/>
  <c r="AA52" i="31"/>
  <c r="AB52" i="31"/>
  <c r="AC52" i="31"/>
  <c r="AC33" i="31" l="1"/>
  <c r="AB33" i="31"/>
  <c r="AA33" i="31"/>
  <c r="Z33" i="31"/>
  <c r="AC32" i="31"/>
  <c r="AB32" i="31"/>
  <c r="Z32" i="31"/>
  <c r="AC31" i="31"/>
  <c r="Z31" i="31"/>
  <c r="AC30" i="31"/>
  <c r="AA30" i="31"/>
  <c r="Z30" i="31"/>
  <c r="AC29" i="31"/>
  <c r="AA29" i="31"/>
  <c r="Z29" i="31"/>
  <c r="AC28" i="31"/>
  <c r="AA28" i="31"/>
  <c r="Z28" i="31"/>
  <c r="AC27" i="31"/>
  <c r="Z27" i="31"/>
  <c r="AC26" i="31"/>
  <c r="AB26" i="31"/>
  <c r="AA26" i="31"/>
  <c r="Z26" i="31"/>
  <c r="AC25" i="31"/>
  <c r="Z25" i="31"/>
  <c r="AB24" i="31"/>
  <c r="AA24" i="31"/>
  <c r="Z24" i="31"/>
  <c r="AB23" i="31"/>
  <c r="Z23" i="31"/>
  <c r="AB22" i="31"/>
  <c r="Z22" i="31"/>
  <c r="Z21" i="31"/>
  <c r="AB20" i="31"/>
  <c r="AA20" i="31"/>
  <c r="Z20" i="31"/>
  <c r="AB19" i="31"/>
  <c r="AA19" i="31"/>
  <c r="Z19" i="31"/>
  <c r="AB18" i="31"/>
  <c r="Z18" i="31"/>
  <c r="AB17" i="31"/>
  <c r="AA17" i="31"/>
  <c r="Z17" i="31"/>
  <c r="AB16" i="31"/>
  <c r="AA16" i="31"/>
  <c r="Z16" i="31"/>
  <c r="AB15" i="31"/>
  <c r="AA15" i="31"/>
  <c r="Z15" i="31"/>
  <c r="AB14" i="31"/>
  <c r="AA14" i="31"/>
  <c r="Z14" i="31"/>
  <c r="AB13" i="31"/>
  <c r="Z13" i="31"/>
  <c r="AB12" i="31"/>
  <c r="AA12" i="31"/>
  <c r="Z12" i="31"/>
  <c r="AB11" i="31"/>
  <c r="AA11" i="31"/>
  <c r="Z11" i="31"/>
  <c r="AA10" i="31"/>
  <c r="Z10" i="31"/>
  <c r="AB9" i="31"/>
  <c r="AA9" i="31"/>
  <c r="Z9" i="31"/>
  <c r="AB8" i="31"/>
  <c r="AA8" i="31"/>
  <c r="Z8" i="31"/>
  <c r="AB7" i="31"/>
  <c r="Z7" i="31"/>
  <c r="AB6" i="31"/>
  <c r="AA6" i="31"/>
  <c r="Z6" i="31"/>
  <c r="AB5" i="31"/>
  <c r="AA5" i="31"/>
  <c r="Z5" i="31"/>
  <c r="Q22" i="26" a="1"/>
  <c r="Q22" i="26" s="1"/>
  <c r="P22" i="26" a="1"/>
  <c r="P22" i="26" s="1"/>
  <c r="O22" i="26" a="1"/>
  <c r="O22" i="26" s="1"/>
  <c r="N22" i="26" a="1"/>
  <c r="N22" i="26" s="1"/>
  <c r="M22" i="26" a="1"/>
  <c r="M22" i="26" s="1"/>
  <c r="L22" i="26" a="1"/>
  <c r="L22" i="26" s="1"/>
  <c r="K22" i="26" a="1"/>
  <c r="K22" i="26" s="1"/>
  <c r="J22" i="26" a="1"/>
  <c r="J22" i="26" s="1"/>
  <c r="Q21" i="26" a="1"/>
  <c r="Q21" i="26" s="1"/>
  <c r="P21" i="26" a="1"/>
  <c r="P21" i="26" s="1"/>
  <c r="O21" i="26" a="1"/>
  <c r="O21" i="26" s="1"/>
  <c r="N21" i="26" a="1"/>
  <c r="N21" i="26" s="1"/>
  <c r="M21" i="26" a="1"/>
  <c r="M21" i="26" s="1"/>
  <c r="L21" i="26" a="1"/>
  <c r="L21" i="26" s="1"/>
  <c r="K21" i="26" a="1"/>
  <c r="K21" i="26" s="1"/>
  <c r="J21" i="26" a="1"/>
  <c r="J21" i="26" s="1"/>
  <c r="Q20" i="26" a="1"/>
  <c r="Q20" i="26" s="1"/>
  <c r="P20" i="26" a="1"/>
  <c r="P20" i="26" s="1"/>
  <c r="O20" i="26" a="1"/>
  <c r="O20" i="26" s="1"/>
  <c r="N20" i="26" a="1"/>
  <c r="N20" i="26" s="1"/>
  <c r="M20" i="26" a="1"/>
  <c r="M20" i="26" s="1"/>
  <c r="L20" i="26" a="1"/>
  <c r="L20" i="26" s="1"/>
  <c r="K20" i="26" a="1"/>
  <c r="K20" i="26" s="1"/>
  <c r="J20" i="26" a="1"/>
  <c r="J20" i="26" s="1"/>
  <c r="Q19" i="26" a="1"/>
  <c r="Q19" i="26" s="1"/>
  <c r="P19" i="26" a="1"/>
  <c r="P19" i="26" s="1"/>
  <c r="O19" i="26" a="1"/>
  <c r="O19" i="26" s="1"/>
  <c r="N19" i="26" a="1"/>
  <c r="N19" i="26" s="1"/>
  <c r="M19" i="26" a="1"/>
  <c r="M19" i="26" s="1"/>
  <c r="L19" i="26" a="1"/>
  <c r="L19" i="26" s="1"/>
  <c r="K19" i="26" a="1"/>
  <c r="K19" i="26" s="1"/>
  <c r="J19" i="26" a="1"/>
  <c r="J19" i="26" s="1"/>
  <c r="Q18" i="26" a="1"/>
  <c r="Q18" i="26" s="1"/>
  <c r="P18" i="26" a="1"/>
  <c r="P18" i="26" s="1"/>
  <c r="O18" i="26" a="1"/>
  <c r="O18" i="26" s="1"/>
  <c r="N18" i="26" a="1"/>
  <c r="N18" i="26" s="1"/>
  <c r="M18" i="26" a="1"/>
  <c r="M18" i="26" s="1"/>
  <c r="L18" i="26" a="1"/>
  <c r="L18" i="26" s="1"/>
  <c r="K18" i="26" a="1"/>
  <c r="K18" i="26" s="1"/>
  <c r="J18" i="26" a="1"/>
  <c r="J18" i="26" s="1"/>
  <c r="Q17" i="26" a="1"/>
  <c r="Q17" i="26" s="1"/>
  <c r="P17" i="26" a="1"/>
  <c r="P17" i="26" s="1"/>
  <c r="O17" i="26" a="1"/>
  <c r="O17" i="26" s="1"/>
  <c r="N17" i="26" a="1"/>
  <c r="N17" i="26" s="1"/>
  <c r="M17" i="26" a="1"/>
  <c r="M17" i="26" s="1"/>
  <c r="L17" i="26" a="1"/>
  <c r="L17" i="26" s="1"/>
  <c r="K17" i="26" a="1"/>
  <c r="K17" i="26" s="1"/>
  <c r="J17" i="26" a="1"/>
  <c r="J17" i="26" s="1"/>
  <c r="Q16" i="26" a="1"/>
  <c r="Q16" i="26" s="1"/>
  <c r="P16" i="26" a="1"/>
  <c r="P16" i="26" s="1"/>
  <c r="O16" i="26" a="1"/>
  <c r="O16" i="26" s="1"/>
  <c r="N16" i="26" a="1"/>
  <c r="N16" i="26" s="1"/>
  <c r="M16" i="26" a="1"/>
  <c r="M16" i="26" s="1"/>
  <c r="L16" i="26" a="1"/>
  <c r="L16" i="26" s="1"/>
  <c r="K16" i="26" a="1"/>
  <c r="K16" i="26" s="1"/>
  <c r="J16" i="26" a="1"/>
  <c r="J16" i="26" s="1"/>
  <c r="Q15" i="26" a="1"/>
  <c r="Q15" i="26" s="1"/>
  <c r="P15" i="26" a="1"/>
  <c r="P15" i="26" s="1"/>
  <c r="O15" i="26" a="1"/>
  <c r="O15" i="26" s="1"/>
  <c r="N15" i="26" a="1"/>
  <c r="N15" i="26" s="1"/>
  <c r="M15" i="26" a="1"/>
  <c r="M15" i="26" s="1"/>
  <c r="L15" i="26" a="1"/>
  <c r="L15" i="26" s="1"/>
  <c r="K15" i="26" a="1"/>
  <c r="K15" i="26" s="1"/>
  <c r="J15" i="26" a="1"/>
  <c r="J15" i="26" s="1"/>
  <c r="Q14" i="26" a="1"/>
  <c r="Q14" i="26" s="1"/>
  <c r="P14" i="26" a="1"/>
  <c r="P14" i="26" s="1"/>
  <c r="O14" i="26" a="1"/>
  <c r="O14" i="26" s="1"/>
  <c r="N14" i="26" a="1"/>
  <c r="N14" i="26" s="1"/>
  <c r="M14" i="26" a="1"/>
  <c r="M14" i="26" s="1"/>
  <c r="L14" i="26" a="1"/>
  <c r="L14" i="26" s="1"/>
  <c r="K14" i="26" a="1"/>
  <c r="K14" i="26" s="1"/>
  <c r="J14" i="26" a="1"/>
  <c r="J14" i="26" s="1"/>
  <c r="Q13" i="26" a="1"/>
  <c r="Q13" i="26" s="1"/>
  <c r="P13" i="26" a="1"/>
  <c r="P13" i="26" s="1"/>
  <c r="O13" i="26" a="1"/>
  <c r="O13" i="26" s="1"/>
  <c r="N13" i="26" a="1"/>
  <c r="N13" i="26" s="1"/>
  <c r="M13" i="26" a="1"/>
  <c r="M13" i="26" s="1"/>
  <c r="L13" i="26" a="1"/>
  <c r="L13" i="26" s="1"/>
  <c r="K13" i="26" a="1"/>
  <c r="K13" i="26" s="1"/>
  <c r="J13" i="26" a="1"/>
  <c r="J13" i="26" s="1"/>
  <c r="Q12" i="26" a="1"/>
  <c r="Q12" i="26" s="1"/>
  <c r="P12" i="26" a="1"/>
  <c r="P12" i="26" s="1"/>
  <c r="O12" i="26" a="1"/>
  <c r="O12" i="26" s="1"/>
  <c r="N12" i="26" a="1"/>
  <c r="N12" i="26" s="1"/>
  <c r="M12" i="26" a="1"/>
  <c r="M12" i="26" s="1"/>
  <c r="L12" i="26" a="1"/>
  <c r="L12" i="26" s="1"/>
  <c r="K12" i="26" a="1"/>
  <c r="K12" i="26" s="1"/>
  <c r="J12" i="26" a="1"/>
  <c r="J12" i="26" s="1"/>
  <c r="Q11" i="26" a="1"/>
  <c r="Q11" i="26" s="1"/>
  <c r="P11" i="26" a="1"/>
  <c r="P11" i="26" s="1"/>
  <c r="O11" i="26" a="1"/>
  <c r="O11" i="26" s="1"/>
  <c r="N11" i="26" a="1"/>
  <c r="N11" i="26" s="1"/>
  <c r="M11" i="26" a="1"/>
  <c r="M11" i="26" s="1"/>
  <c r="L11" i="26" a="1"/>
  <c r="L11" i="26" s="1"/>
  <c r="K11" i="26" a="1"/>
  <c r="K11" i="26" s="1"/>
  <c r="J11" i="26" a="1"/>
  <c r="J11" i="26" s="1"/>
  <c r="Q10" i="26" a="1"/>
  <c r="Q10" i="26" s="1"/>
  <c r="P10" i="26" a="1"/>
  <c r="P10" i="26" s="1"/>
  <c r="O10" i="26" a="1"/>
  <c r="O10" i="26" s="1"/>
  <c r="N10" i="26" a="1"/>
  <c r="N10" i="26" s="1"/>
  <c r="M10" i="26" a="1"/>
  <c r="M10" i="26" s="1"/>
  <c r="L10" i="26" a="1"/>
  <c r="L10" i="26" s="1"/>
  <c r="K10" i="26" a="1"/>
  <c r="K10" i="26" s="1"/>
  <c r="J10" i="26" a="1"/>
  <c r="J10" i="26" s="1"/>
  <c r="Q9" i="26" a="1"/>
  <c r="Q9" i="26" s="1"/>
  <c r="P9" i="26" a="1"/>
  <c r="P9" i="26" s="1"/>
  <c r="O9" i="26" a="1"/>
  <c r="O9" i="26" s="1"/>
  <c r="N9" i="26" a="1"/>
  <c r="N9" i="26" s="1"/>
  <c r="M9" i="26" a="1"/>
  <c r="M9" i="26" s="1"/>
  <c r="L9" i="26" a="1"/>
  <c r="L9" i="26" s="1"/>
  <c r="K9" i="26" a="1"/>
  <c r="K9" i="26" s="1"/>
  <c r="J9" i="26" a="1"/>
  <c r="J9" i="26" s="1"/>
  <c r="Q8" i="26" a="1"/>
  <c r="Q8" i="26" s="1"/>
  <c r="P8" i="26" a="1"/>
  <c r="P8" i="26" s="1"/>
  <c r="O8" i="26" a="1"/>
  <c r="O8" i="26" s="1"/>
  <c r="N8" i="26" a="1"/>
  <c r="N8" i="26" s="1"/>
  <c r="M8" i="26" a="1"/>
  <c r="M8" i="26" s="1"/>
  <c r="L8" i="26" a="1"/>
  <c r="L8" i="26" s="1"/>
  <c r="K8" i="26" a="1"/>
  <c r="K8" i="26" s="1"/>
  <c r="J8" i="26" a="1"/>
  <c r="J8" i="26" s="1"/>
  <c r="Q7" i="26" a="1"/>
  <c r="Q7" i="26" s="1"/>
  <c r="P7" i="26" a="1"/>
  <c r="P7" i="26" s="1"/>
  <c r="O7" i="26" a="1"/>
  <c r="O7" i="26" s="1"/>
  <c r="N7" i="26" a="1"/>
  <c r="N7" i="26" s="1"/>
  <c r="M7" i="26" a="1"/>
  <c r="M7" i="26" s="1"/>
  <c r="L7" i="26" a="1"/>
  <c r="L7" i="26" s="1"/>
  <c r="K7" i="26" a="1"/>
  <c r="K7" i="26" s="1"/>
  <c r="J7" i="26" a="1"/>
  <c r="J7" i="26" s="1"/>
  <c r="Q6" i="26" a="1"/>
  <c r="Q6" i="26" s="1"/>
  <c r="P6" i="26" a="1"/>
  <c r="P6" i="26" s="1"/>
  <c r="O6" i="26" a="1"/>
  <c r="O6" i="26" s="1"/>
  <c r="N6" i="26" a="1"/>
  <c r="N6" i="26" s="1"/>
  <c r="M6" i="26" a="1"/>
  <c r="M6" i="26" s="1"/>
  <c r="L6" i="26" a="1"/>
  <c r="L6" i="26" s="1"/>
  <c r="K6" i="26" a="1"/>
  <c r="K6" i="26" s="1"/>
  <c r="J6" i="26" a="1"/>
  <c r="J6" i="26" s="1"/>
  <c r="Q5" i="26" a="1"/>
  <c r="Q5" i="26" s="1"/>
  <c r="P5" i="26" a="1"/>
  <c r="P5" i="26" s="1"/>
  <c r="O5" i="26" a="1"/>
  <c r="O5" i="26" s="1"/>
  <c r="N5" i="26" a="1"/>
  <c r="N5" i="26" s="1"/>
  <c r="M5" i="26" a="1"/>
  <c r="M5" i="26" s="1"/>
  <c r="L5" i="26" a="1"/>
  <c r="L5" i="26" s="1"/>
  <c r="K5" i="26" a="1"/>
  <c r="K5" i="26" s="1"/>
  <c r="J5" i="26" a="1"/>
  <c r="J5" i="26" s="1"/>
  <c r="Q4" i="26" a="1"/>
  <c r="Q4" i="26" s="1"/>
  <c r="P4" i="26" a="1"/>
  <c r="P4" i="26" s="1"/>
  <c r="O4" i="26" a="1"/>
  <c r="O4" i="26" s="1"/>
  <c r="N4" i="26" a="1"/>
  <c r="N4" i="26" s="1"/>
  <c r="M4" i="26" a="1"/>
  <c r="M4" i="26" s="1"/>
  <c r="L4" i="26" a="1"/>
  <c r="L4" i="26" s="1"/>
  <c r="K4" i="26" a="1"/>
  <c r="K4" i="26" s="1"/>
  <c r="J4" i="26" a="1"/>
  <c r="J4" i="26" s="1"/>
  <c r="Q3" i="26" a="1"/>
  <c r="Q3" i="26" s="1"/>
  <c r="P3" i="26" a="1"/>
  <c r="P3" i="26" s="1"/>
  <c r="O3" i="26" a="1"/>
  <c r="O3" i="26" s="1"/>
  <c r="N3" i="26" a="1"/>
  <c r="N3" i="26" s="1"/>
  <c r="M3" i="26" a="1"/>
  <c r="M3" i="26" s="1"/>
  <c r="L3" i="26" a="1"/>
  <c r="L3" i="26" s="1"/>
  <c r="K3" i="26" a="1"/>
  <c r="K3" i="26" s="1"/>
  <c r="J3" i="26" a="1"/>
  <c r="J3" i="26" s="1"/>
  <c r="Q2" i="26" a="1"/>
  <c r="Q2" i="26" s="1"/>
  <c r="P2" i="26" a="1"/>
  <c r="P2" i="26" s="1"/>
  <c r="O2" i="26" a="1"/>
  <c r="O2" i="26" s="1"/>
  <c r="N2" i="26" a="1"/>
  <c r="N2" i="26" s="1"/>
  <c r="M2" i="26" a="1"/>
  <c r="M2" i="26" s="1"/>
  <c r="L2" i="26" a="1"/>
  <c r="L2" i="26" s="1"/>
  <c r="K2" i="26" a="1"/>
  <c r="K2" i="26" s="1"/>
  <c r="J2" i="26" a="1"/>
  <c r="J2" i="26" s="1"/>
  <c r="H556" i="11"/>
  <c r="H555" i="11"/>
  <c r="O554" i="11"/>
  <c r="H554" i="11"/>
  <c r="O553" i="11"/>
  <c r="H553" i="11"/>
  <c r="O552" i="11"/>
  <c r="H552" i="11"/>
  <c r="O551" i="11"/>
  <c r="H551" i="11"/>
  <c r="O550" i="11"/>
  <c r="H550" i="11"/>
  <c r="O549" i="11"/>
  <c r="H549" i="11"/>
  <c r="O548" i="11"/>
  <c r="H548" i="11"/>
  <c r="O547" i="11"/>
  <c r="H547" i="11"/>
  <c r="O546" i="11"/>
  <c r="H546" i="11"/>
  <c r="O545" i="11"/>
  <c r="H545" i="11"/>
  <c r="O544" i="11"/>
  <c r="H544" i="11"/>
  <c r="O543" i="11"/>
  <c r="H543" i="11"/>
  <c r="O542" i="11"/>
  <c r="H542" i="11"/>
  <c r="O541" i="11"/>
  <c r="H541" i="11"/>
  <c r="O540" i="11"/>
  <c r="H540" i="11"/>
  <c r="O539" i="11"/>
  <c r="H539" i="11"/>
  <c r="O538" i="11"/>
  <c r="H538" i="11"/>
  <c r="O537" i="11"/>
  <c r="H537" i="11"/>
  <c r="O536" i="11"/>
  <c r="H536" i="11"/>
  <c r="O535" i="11"/>
  <c r="H535" i="11"/>
  <c r="O534" i="11"/>
  <c r="H534" i="11"/>
  <c r="O533" i="11"/>
  <c r="H533" i="11"/>
  <c r="O532" i="11"/>
  <c r="H532" i="11"/>
  <c r="O531" i="11"/>
  <c r="H531" i="11"/>
  <c r="O530" i="11"/>
  <c r="H530" i="11"/>
  <c r="O529" i="11"/>
  <c r="H529" i="11"/>
  <c r="O528" i="11"/>
  <c r="H528" i="11"/>
  <c r="O527" i="11"/>
  <c r="H527" i="11"/>
  <c r="O526" i="11"/>
  <c r="H526" i="11"/>
  <c r="O525" i="11"/>
  <c r="H525" i="11"/>
  <c r="O524" i="11"/>
  <c r="H524" i="11"/>
  <c r="O523" i="11"/>
  <c r="H523" i="11"/>
  <c r="O522" i="11"/>
  <c r="H522" i="11"/>
  <c r="O521" i="11"/>
  <c r="H521" i="11"/>
  <c r="O520" i="11"/>
  <c r="H520" i="11"/>
  <c r="O519" i="11"/>
  <c r="H519" i="11"/>
  <c r="O518" i="11"/>
  <c r="H518" i="11"/>
  <c r="O517" i="11"/>
  <c r="H517" i="11"/>
  <c r="O516" i="11"/>
  <c r="H516" i="11"/>
  <c r="O515" i="11"/>
  <c r="H515" i="11"/>
  <c r="O514" i="11"/>
  <c r="H514" i="11"/>
  <c r="O513" i="11"/>
  <c r="H513" i="11"/>
  <c r="O512" i="11"/>
  <c r="H512" i="11"/>
  <c r="O511" i="11"/>
  <c r="H511" i="11"/>
  <c r="O510" i="11"/>
  <c r="H510" i="11"/>
  <c r="O509" i="11"/>
  <c r="H509" i="11"/>
  <c r="O508" i="11"/>
  <c r="H508" i="11"/>
  <c r="O507" i="11"/>
  <c r="H507" i="11"/>
  <c r="O506" i="11"/>
  <c r="H506" i="11"/>
  <c r="O505" i="11"/>
  <c r="H505" i="11"/>
  <c r="O504" i="11"/>
  <c r="H504" i="11"/>
  <c r="O503" i="11"/>
  <c r="H503" i="11"/>
  <c r="O502" i="11"/>
  <c r="H502" i="11"/>
  <c r="O501" i="11"/>
  <c r="H501" i="11"/>
  <c r="O500" i="11"/>
  <c r="H500" i="11"/>
  <c r="O499" i="11"/>
  <c r="H499" i="11"/>
  <c r="O498" i="11"/>
  <c r="H498" i="11"/>
  <c r="O497" i="11"/>
  <c r="H497" i="11"/>
  <c r="O496" i="11"/>
  <c r="H496" i="11"/>
  <c r="O495" i="11"/>
  <c r="H495" i="11"/>
  <c r="O494" i="11"/>
  <c r="H494" i="11"/>
  <c r="O493" i="11"/>
  <c r="H493" i="11"/>
  <c r="O492" i="11"/>
  <c r="H492" i="11"/>
  <c r="O491" i="11"/>
  <c r="H491" i="11"/>
  <c r="O490" i="11"/>
  <c r="H490" i="11"/>
  <c r="O489" i="11"/>
  <c r="H489" i="11"/>
  <c r="O488" i="11"/>
  <c r="H488" i="11"/>
  <c r="O487" i="11"/>
  <c r="H487" i="11"/>
  <c r="O486" i="11"/>
  <c r="H486" i="11"/>
  <c r="O485" i="11"/>
  <c r="H485" i="11"/>
  <c r="O484" i="11"/>
  <c r="H484" i="11"/>
  <c r="O483" i="11"/>
  <c r="H483" i="11"/>
  <c r="O482" i="11"/>
  <c r="H482" i="11"/>
  <c r="O481" i="11"/>
  <c r="H481" i="11"/>
  <c r="O480" i="11"/>
  <c r="H480" i="11"/>
  <c r="O479" i="11"/>
  <c r="H479" i="11"/>
  <c r="O478" i="11"/>
  <c r="H478" i="11"/>
  <c r="O477" i="11"/>
  <c r="H477" i="11"/>
  <c r="O476" i="11"/>
  <c r="H476" i="11"/>
  <c r="O475" i="11"/>
  <c r="H475" i="11"/>
  <c r="O474" i="11"/>
  <c r="H474" i="11"/>
  <c r="O473" i="11"/>
  <c r="H473" i="11"/>
  <c r="O472" i="11"/>
  <c r="H472" i="11"/>
  <c r="O471" i="11"/>
  <c r="H471" i="11"/>
  <c r="O470" i="11"/>
  <c r="H470" i="11"/>
  <c r="O469" i="11"/>
  <c r="H469" i="11"/>
  <c r="O468" i="11"/>
  <c r="H468" i="11"/>
  <c r="O467" i="11"/>
  <c r="H467" i="11"/>
  <c r="O466" i="11"/>
  <c r="H466" i="11"/>
  <c r="O465" i="11"/>
  <c r="H465" i="11"/>
  <c r="O464" i="11"/>
  <c r="H464" i="11"/>
  <c r="O463" i="11"/>
  <c r="H463" i="11"/>
  <c r="O462" i="11"/>
  <c r="H462" i="11"/>
  <c r="O461" i="11"/>
  <c r="H461" i="11"/>
  <c r="O460" i="11"/>
  <c r="H460" i="11"/>
  <c r="O459" i="11"/>
  <c r="H459" i="11"/>
  <c r="O458" i="11"/>
  <c r="H458" i="11"/>
  <c r="O457" i="11"/>
  <c r="H457" i="11"/>
  <c r="O456" i="11"/>
  <c r="H456" i="11"/>
  <c r="O455" i="11"/>
  <c r="H455" i="11"/>
  <c r="O454" i="11"/>
  <c r="H454" i="11"/>
  <c r="O453" i="11"/>
  <c r="H453" i="11"/>
  <c r="O452" i="11"/>
  <c r="H452" i="11"/>
  <c r="O451" i="11"/>
  <c r="H451" i="11"/>
  <c r="O450" i="11"/>
  <c r="H450" i="11"/>
  <c r="O449" i="11"/>
  <c r="H449" i="11"/>
  <c r="O448" i="11"/>
  <c r="H448" i="11"/>
  <c r="O447" i="11"/>
  <c r="H447" i="11"/>
  <c r="O446" i="11"/>
  <c r="H446" i="11"/>
  <c r="O445" i="11"/>
  <c r="H445" i="11"/>
  <c r="O444" i="11"/>
  <c r="H444" i="11"/>
  <c r="O443" i="11"/>
  <c r="H443" i="11"/>
  <c r="O442" i="11"/>
  <c r="H442" i="11"/>
  <c r="O441" i="11"/>
  <c r="H441" i="11"/>
  <c r="O440" i="11"/>
  <c r="H440" i="11"/>
  <c r="O439" i="11"/>
  <c r="H439" i="11"/>
  <c r="O438" i="11"/>
  <c r="H438" i="11"/>
  <c r="O437" i="11"/>
  <c r="H437" i="11"/>
  <c r="O436" i="11"/>
  <c r="H436" i="11"/>
  <c r="O435" i="11"/>
  <c r="H435" i="11"/>
  <c r="O434" i="11"/>
  <c r="H434" i="11"/>
  <c r="O433" i="11"/>
  <c r="H433" i="11"/>
  <c r="O432" i="11"/>
  <c r="H432" i="11"/>
  <c r="O431" i="11"/>
  <c r="H431" i="11"/>
  <c r="O430" i="11"/>
  <c r="H430" i="11"/>
  <c r="O429" i="11"/>
  <c r="H429" i="11"/>
  <c r="O428" i="11"/>
  <c r="H428" i="11"/>
  <c r="O427" i="11"/>
  <c r="H427" i="11"/>
  <c r="O426" i="11"/>
  <c r="H426" i="11"/>
  <c r="O425" i="11"/>
  <c r="H425" i="11"/>
  <c r="O424" i="11"/>
  <c r="H424" i="11"/>
  <c r="O423" i="11"/>
  <c r="H423" i="11"/>
  <c r="O422" i="11"/>
  <c r="H422" i="11"/>
  <c r="O421" i="11"/>
  <c r="H421" i="11"/>
  <c r="O420" i="11"/>
  <c r="H420" i="11"/>
  <c r="O419" i="11"/>
  <c r="H419" i="11"/>
  <c r="O418" i="11"/>
  <c r="H418" i="11"/>
  <c r="O417" i="11"/>
  <c r="H417" i="11"/>
  <c r="O416" i="11"/>
  <c r="H416" i="11"/>
  <c r="O415" i="11"/>
  <c r="H415" i="11"/>
  <c r="O414" i="11"/>
  <c r="H414" i="11"/>
  <c r="O413" i="11"/>
  <c r="H413" i="11"/>
  <c r="O412" i="11"/>
  <c r="H412" i="11"/>
  <c r="O411" i="11"/>
  <c r="H411" i="11"/>
  <c r="O410" i="11"/>
  <c r="H410" i="11"/>
  <c r="O409" i="11"/>
  <c r="H409" i="11"/>
  <c r="O408" i="11"/>
  <c r="H408" i="11"/>
  <c r="O407" i="11"/>
  <c r="H407" i="11"/>
  <c r="O406" i="11"/>
  <c r="H406" i="11"/>
  <c r="O405" i="11"/>
  <c r="H405" i="11"/>
  <c r="O404" i="11"/>
  <c r="H404" i="11"/>
  <c r="O403" i="11"/>
  <c r="H403" i="11"/>
  <c r="O402" i="11"/>
  <c r="H402" i="11"/>
  <c r="O401" i="11"/>
  <c r="H401" i="11"/>
  <c r="O400" i="11"/>
  <c r="H400" i="11"/>
  <c r="O399" i="11"/>
  <c r="H399" i="11"/>
  <c r="O398" i="11"/>
  <c r="H398" i="11"/>
  <c r="O397" i="11"/>
  <c r="H397" i="11"/>
  <c r="O396" i="11"/>
  <c r="H396" i="11"/>
  <c r="O395" i="11"/>
  <c r="H395" i="11"/>
  <c r="O394" i="11"/>
  <c r="H394" i="11"/>
  <c r="O393" i="11"/>
  <c r="H393" i="11"/>
  <c r="O392" i="11"/>
  <c r="H392" i="11"/>
  <c r="O391" i="11"/>
  <c r="H391" i="11"/>
  <c r="O390" i="11"/>
  <c r="H390" i="11"/>
  <c r="O389" i="11"/>
  <c r="H389" i="11"/>
  <c r="O388" i="11"/>
  <c r="H388" i="11"/>
  <c r="O387" i="11"/>
  <c r="H387" i="11"/>
  <c r="O386" i="11"/>
  <c r="H386" i="11"/>
  <c r="O385" i="11"/>
  <c r="H385" i="11"/>
  <c r="O384" i="11"/>
  <c r="H384" i="11"/>
  <c r="O383" i="11"/>
  <c r="H383" i="11"/>
  <c r="O382" i="11"/>
  <c r="H382" i="11"/>
  <c r="O381" i="11"/>
  <c r="H381" i="11"/>
  <c r="O380" i="11"/>
  <c r="H380" i="11"/>
  <c r="O379" i="11"/>
  <c r="H379" i="11"/>
  <c r="O378" i="11"/>
  <c r="H378" i="11"/>
  <c r="O377" i="11"/>
  <c r="H377" i="11"/>
  <c r="O376" i="11"/>
  <c r="H376" i="11"/>
  <c r="O375" i="11"/>
  <c r="H375" i="11"/>
  <c r="O374" i="11"/>
  <c r="H374" i="11"/>
  <c r="O373" i="11"/>
  <c r="H373" i="11"/>
  <c r="O372" i="11"/>
  <c r="H372" i="11"/>
  <c r="O371" i="11"/>
  <c r="H371" i="11"/>
  <c r="O370" i="11"/>
  <c r="H370" i="11"/>
  <c r="O369" i="11"/>
  <c r="H369" i="11"/>
  <c r="O368" i="11"/>
  <c r="H368" i="11"/>
  <c r="O367" i="11"/>
  <c r="H367" i="11"/>
  <c r="O366" i="11"/>
  <c r="H366" i="11"/>
  <c r="O365" i="11"/>
  <c r="H365" i="11"/>
  <c r="O364" i="11"/>
  <c r="H364" i="11"/>
  <c r="O363" i="11"/>
  <c r="H363" i="11"/>
  <c r="O362" i="11"/>
  <c r="H362" i="11"/>
  <c r="O361" i="11"/>
  <c r="H361" i="11"/>
  <c r="O360" i="11"/>
  <c r="H360" i="11"/>
  <c r="O359" i="11"/>
  <c r="H359" i="11"/>
  <c r="O358" i="11"/>
  <c r="H358" i="11"/>
  <c r="O357" i="11"/>
  <c r="H357" i="11"/>
  <c r="O356" i="11"/>
  <c r="H356" i="11"/>
  <c r="O355" i="11"/>
  <c r="H355" i="11"/>
  <c r="O354" i="11"/>
  <c r="H354" i="11"/>
  <c r="O353" i="11"/>
  <c r="H353" i="11"/>
  <c r="O352" i="11"/>
  <c r="H352" i="11"/>
  <c r="O351" i="11"/>
  <c r="H351" i="11"/>
  <c r="O350" i="11"/>
  <c r="H350" i="11"/>
  <c r="O349" i="11"/>
  <c r="H349" i="11"/>
  <c r="O348" i="11"/>
  <c r="H348" i="11"/>
  <c r="O347" i="11"/>
  <c r="H347" i="11"/>
  <c r="O346" i="11"/>
  <c r="H346" i="11"/>
  <c r="O345" i="11"/>
  <c r="H345" i="11"/>
  <c r="O344" i="11"/>
  <c r="H344" i="11"/>
  <c r="O343" i="11"/>
  <c r="H343" i="11"/>
  <c r="O342" i="11"/>
  <c r="H342" i="11"/>
  <c r="O341" i="11"/>
  <c r="H341" i="11"/>
  <c r="O340" i="11"/>
  <c r="H340" i="11"/>
  <c r="O339" i="11"/>
  <c r="H339" i="11"/>
  <c r="O338" i="11"/>
  <c r="H338" i="11"/>
  <c r="O337" i="11"/>
  <c r="H337" i="11"/>
  <c r="O336" i="11"/>
  <c r="H336" i="11"/>
  <c r="O335" i="11"/>
  <c r="H335" i="11"/>
  <c r="O334" i="11"/>
  <c r="H334" i="11"/>
  <c r="O333" i="11"/>
  <c r="H333" i="11"/>
  <c r="O332" i="11"/>
  <c r="H332" i="11"/>
  <c r="O331" i="11"/>
  <c r="H331" i="11"/>
  <c r="O330" i="11"/>
  <c r="H330" i="11"/>
  <c r="O329" i="11"/>
  <c r="H329" i="11"/>
  <c r="O328" i="11"/>
  <c r="H328" i="11"/>
  <c r="O327" i="11"/>
  <c r="H327" i="11"/>
  <c r="O326" i="11"/>
  <c r="H326" i="11"/>
  <c r="O325" i="11"/>
  <c r="H325" i="11"/>
  <c r="O324" i="11"/>
  <c r="H324" i="11"/>
  <c r="O323" i="11"/>
  <c r="H323" i="11"/>
  <c r="O322" i="11"/>
  <c r="H322" i="11"/>
  <c r="O321" i="11"/>
  <c r="H321" i="11"/>
  <c r="O320" i="11"/>
  <c r="H320" i="11"/>
  <c r="O319" i="11"/>
  <c r="H319" i="11"/>
  <c r="O318" i="11"/>
  <c r="H318" i="11"/>
  <c r="O317" i="11"/>
  <c r="H317" i="11"/>
  <c r="O316" i="11"/>
  <c r="H316" i="11"/>
  <c r="O315" i="11"/>
  <c r="H315" i="11"/>
  <c r="O314" i="11"/>
  <c r="H314" i="11"/>
  <c r="O313" i="11"/>
  <c r="H313" i="11"/>
  <c r="O312" i="11"/>
  <c r="H312" i="11"/>
  <c r="O311" i="11"/>
  <c r="H311" i="11"/>
  <c r="O310" i="11"/>
  <c r="H310" i="11"/>
  <c r="O309" i="11"/>
  <c r="H309" i="11"/>
  <c r="O308" i="11"/>
  <c r="H308" i="11"/>
  <c r="O307" i="11"/>
  <c r="H307" i="11"/>
  <c r="O306" i="11"/>
  <c r="H306" i="11"/>
  <c r="O305" i="11"/>
  <c r="H305" i="11"/>
  <c r="O304" i="11"/>
  <c r="H304" i="11"/>
  <c r="O303" i="11"/>
  <c r="H303" i="11"/>
  <c r="O302" i="11"/>
  <c r="H302" i="11"/>
  <c r="O301" i="11"/>
  <c r="H301" i="11"/>
  <c r="O300" i="11"/>
  <c r="H300" i="11"/>
  <c r="O299" i="11"/>
  <c r="H299" i="11"/>
  <c r="O298" i="11"/>
  <c r="H298" i="11"/>
  <c r="O297" i="11"/>
  <c r="H297" i="11"/>
  <c r="O296" i="11"/>
  <c r="H296" i="11"/>
  <c r="O295" i="11"/>
  <c r="H295" i="11"/>
  <c r="O294" i="11"/>
  <c r="H294" i="11"/>
  <c r="O293" i="11"/>
  <c r="H293" i="11"/>
  <c r="O292" i="11"/>
  <c r="H292" i="11"/>
  <c r="O291" i="11"/>
  <c r="H291" i="11"/>
  <c r="O290" i="11"/>
  <c r="H290" i="11"/>
  <c r="O289" i="11"/>
  <c r="H289" i="11"/>
  <c r="O288" i="11"/>
  <c r="H288" i="11"/>
  <c r="O287" i="11"/>
  <c r="H287" i="11"/>
  <c r="O286" i="11"/>
  <c r="H286" i="11"/>
  <c r="O285" i="11"/>
  <c r="H285" i="11"/>
  <c r="O284" i="11"/>
  <c r="H284" i="11"/>
  <c r="O283" i="11"/>
  <c r="H283" i="11"/>
  <c r="O282" i="11"/>
  <c r="H282" i="11"/>
  <c r="O281" i="11"/>
  <c r="H281" i="11"/>
  <c r="O280" i="11"/>
  <c r="H280" i="11"/>
  <c r="O279" i="11"/>
  <c r="H279" i="11"/>
  <c r="O278" i="11"/>
  <c r="H278" i="11"/>
  <c r="O277" i="11"/>
  <c r="H277" i="11"/>
  <c r="O276" i="11"/>
  <c r="H276" i="11"/>
  <c r="O275" i="11"/>
  <c r="H275" i="11"/>
  <c r="O274" i="11"/>
  <c r="H274" i="11"/>
  <c r="O273" i="11"/>
  <c r="H273" i="11"/>
  <c r="O272" i="11"/>
  <c r="H272" i="11"/>
  <c r="O271" i="11"/>
  <c r="H271" i="11"/>
  <c r="O270" i="11"/>
  <c r="H270" i="11"/>
  <c r="O269" i="11"/>
  <c r="H269" i="11"/>
  <c r="O268" i="11"/>
  <c r="H268" i="11"/>
  <c r="O267" i="11"/>
  <c r="H267" i="11"/>
  <c r="O266" i="11"/>
  <c r="H266" i="11"/>
  <c r="O265" i="11"/>
  <c r="H265" i="11"/>
  <c r="O264" i="11"/>
  <c r="H264" i="11"/>
  <c r="O263" i="11"/>
  <c r="H263" i="11"/>
  <c r="O262" i="11"/>
  <c r="H262" i="11"/>
  <c r="O261" i="11"/>
  <c r="H261" i="11"/>
  <c r="O260" i="11"/>
  <c r="H260" i="11"/>
  <c r="O259" i="11"/>
  <c r="H259" i="11"/>
  <c r="O258" i="11"/>
  <c r="H258" i="11"/>
  <c r="O257" i="11"/>
  <c r="H257" i="11"/>
  <c r="O256" i="11"/>
  <c r="H256" i="11"/>
  <c r="O255" i="11"/>
  <c r="H255" i="11"/>
  <c r="O254" i="11"/>
  <c r="H254" i="11"/>
  <c r="O253" i="11"/>
  <c r="H253" i="11"/>
  <c r="O252" i="11"/>
  <c r="H252" i="11"/>
  <c r="O251" i="11"/>
  <c r="H251" i="11"/>
  <c r="O250" i="11"/>
  <c r="H250" i="11"/>
  <c r="O249" i="11"/>
  <c r="H249" i="11"/>
  <c r="O248" i="11"/>
  <c r="H248" i="11"/>
  <c r="O247" i="11"/>
  <c r="H247" i="11"/>
  <c r="O246" i="11"/>
  <c r="H246" i="11"/>
  <c r="O245" i="11"/>
  <c r="H245" i="11"/>
  <c r="O244" i="11"/>
  <c r="H244" i="11"/>
  <c r="O243" i="11"/>
  <c r="H243" i="11"/>
  <c r="O242" i="11"/>
  <c r="H242" i="11"/>
  <c r="O241" i="11"/>
  <c r="H241" i="11"/>
  <c r="O240" i="11"/>
  <c r="H240" i="11"/>
  <c r="O239" i="11"/>
  <c r="H239" i="11"/>
  <c r="O238" i="11"/>
  <c r="H238" i="11"/>
  <c r="O237" i="11"/>
  <c r="H237" i="11"/>
  <c r="O236" i="11"/>
  <c r="H236" i="11"/>
  <c r="O235" i="11"/>
  <c r="H235" i="11"/>
  <c r="O234" i="11"/>
  <c r="H234" i="11"/>
  <c r="O233" i="11"/>
  <c r="H233" i="11"/>
  <c r="O232" i="11"/>
  <c r="H232" i="11"/>
  <c r="O231" i="11"/>
  <c r="H231" i="11"/>
  <c r="O230" i="11"/>
  <c r="H230" i="11"/>
  <c r="O229" i="11"/>
  <c r="H229" i="11"/>
  <c r="O228" i="11"/>
  <c r="H228" i="11"/>
  <c r="O227" i="11"/>
  <c r="H227" i="11"/>
  <c r="O226" i="11"/>
  <c r="H226" i="11"/>
  <c r="O225" i="11"/>
  <c r="H225" i="11"/>
  <c r="O224" i="11"/>
  <c r="H224" i="11"/>
  <c r="O223" i="11"/>
  <c r="H223" i="11"/>
  <c r="O222" i="11"/>
  <c r="H222" i="11"/>
  <c r="O221" i="11"/>
  <c r="H221" i="11"/>
  <c r="O220" i="11"/>
  <c r="H220" i="11"/>
  <c r="O219" i="11"/>
  <c r="H219" i="11"/>
  <c r="O218" i="11"/>
  <c r="H218" i="11"/>
  <c r="O217" i="11"/>
  <c r="H217" i="11"/>
  <c r="O216" i="11"/>
  <c r="H216" i="11"/>
  <c r="O215" i="11"/>
  <c r="H215" i="11"/>
  <c r="O214" i="11"/>
  <c r="H214" i="11"/>
  <c r="O213" i="11"/>
  <c r="H213" i="11"/>
  <c r="O212" i="11"/>
  <c r="H212" i="11"/>
  <c r="O211" i="11"/>
  <c r="H211" i="11"/>
  <c r="O210" i="11"/>
  <c r="H210" i="11"/>
  <c r="O209" i="11"/>
  <c r="H209" i="11"/>
  <c r="O208" i="11"/>
  <c r="H208" i="11"/>
  <c r="O207" i="11"/>
  <c r="H207" i="11"/>
  <c r="O206" i="11"/>
  <c r="H206" i="11"/>
  <c r="O205" i="11"/>
  <c r="H205" i="11"/>
  <c r="O204" i="11"/>
  <c r="H204" i="11"/>
  <c r="O203" i="11"/>
  <c r="H203" i="11"/>
  <c r="O202" i="11"/>
  <c r="H202" i="11"/>
  <c r="O201" i="11"/>
  <c r="H201" i="11"/>
  <c r="O200" i="11"/>
  <c r="H200" i="11"/>
  <c r="O199" i="11"/>
  <c r="H199" i="11"/>
  <c r="O198" i="11"/>
  <c r="H198" i="11"/>
  <c r="O197" i="11"/>
  <c r="H197" i="11"/>
  <c r="O196" i="11"/>
  <c r="H196" i="11"/>
  <c r="O195" i="11"/>
  <c r="H195" i="11"/>
  <c r="O194" i="11"/>
  <c r="H194" i="11"/>
  <c r="O193" i="11"/>
  <c r="H193" i="11"/>
  <c r="O192" i="11"/>
  <c r="H192" i="11"/>
  <c r="O191" i="11"/>
  <c r="H191" i="11"/>
  <c r="O190" i="11"/>
  <c r="H190" i="11"/>
  <c r="O189" i="11"/>
  <c r="H189" i="11"/>
  <c r="O188" i="11"/>
  <c r="H188" i="11"/>
  <c r="O187" i="11"/>
  <c r="H187" i="11"/>
  <c r="O186" i="11"/>
  <c r="H186" i="11"/>
  <c r="O185" i="11"/>
  <c r="H185" i="11"/>
  <c r="O184" i="11"/>
  <c r="H184" i="11"/>
  <c r="O183" i="11"/>
  <c r="H183" i="11"/>
  <c r="O182" i="11"/>
  <c r="H182" i="11"/>
  <c r="O181" i="11"/>
  <c r="H181" i="11"/>
  <c r="O180" i="11"/>
  <c r="H180" i="11"/>
  <c r="O179" i="11"/>
  <c r="H179" i="11"/>
  <c r="O178" i="11"/>
  <c r="H178" i="11"/>
  <c r="O177" i="11"/>
  <c r="H177" i="11"/>
  <c r="O176" i="11"/>
  <c r="H176" i="11"/>
  <c r="O175" i="11"/>
  <c r="H175" i="11"/>
  <c r="O174" i="11"/>
  <c r="H174" i="11"/>
  <c r="O173" i="11"/>
  <c r="H173" i="11"/>
  <c r="O172" i="11"/>
  <c r="H172" i="11"/>
  <c r="O171" i="11"/>
  <c r="H171" i="11"/>
  <c r="O170" i="11"/>
  <c r="H170" i="11"/>
  <c r="O169" i="11"/>
  <c r="H169" i="11"/>
  <c r="O168" i="11"/>
  <c r="H168" i="11"/>
  <c r="O167" i="11"/>
  <c r="H167" i="11"/>
  <c r="O166" i="11"/>
  <c r="H166" i="11"/>
  <c r="O165" i="11"/>
  <c r="H165" i="11"/>
  <c r="O164" i="11"/>
  <c r="H164" i="11"/>
  <c r="O163" i="11"/>
  <c r="H163" i="11"/>
  <c r="O162" i="11"/>
  <c r="H162" i="11"/>
  <c r="O161" i="11"/>
  <c r="H161" i="11"/>
  <c r="O160" i="11"/>
  <c r="H160" i="11"/>
  <c r="O159" i="11"/>
  <c r="H159" i="11"/>
  <c r="O158" i="11"/>
  <c r="H158" i="11"/>
  <c r="O157" i="11"/>
  <c r="H157" i="11"/>
  <c r="O156" i="11"/>
  <c r="H156" i="11"/>
  <c r="O155" i="11"/>
  <c r="H155" i="11"/>
  <c r="O154" i="11"/>
  <c r="H154" i="11"/>
  <c r="O153" i="11"/>
  <c r="H153" i="11"/>
  <c r="O152" i="11"/>
  <c r="H152" i="11"/>
  <c r="O151" i="11"/>
  <c r="H151" i="11"/>
  <c r="O150" i="11"/>
  <c r="H150" i="11"/>
  <c r="O149" i="11"/>
  <c r="H149" i="11"/>
  <c r="O148" i="11"/>
  <c r="H148" i="11"/>
  <c r="O147" i="11"/>
  <c r="H147" i="11"/>
  <c r="O146" i="11"/>
  <c r="H146" i="11"/>
  <c r="O145" i="11"/>
  <c r="H145" i="11"/>
  <c r="O144" i="11"/>
  <c r="H144" i="11"/>
  <c r="O143" i="11"/>
  <c r="H143" i="11"/>
  <c r="O142" i="11"/>
  <c r="H142" i="11"/>
  <c r="O141" i="11"/>
  <c r="H141" i="11"/>
  <c r="O140" i="11"/>
  <c r="H140" i="11"/>
  <c r="O139" i="11"/>
  <c r="H139" i="11"/>
  <c r="O138" i="11"/>
  <c r="H138" i="11"/>
  <c r="O137" i="11"/>
  <c r="H137" i="11"/>
  <c r="O136" i="11"/>
  <c r="H136" i="11"/>
  <c r="O135" i="11"/>
  <c r="H135" i="11"/>
  <c r="O134" i="11"/>
  <c r="H134" i="11"/>
  <c r="O133" i="11"/>
  <c r="H133" i="11"/>
  <c r="O132" i="11"/>
  <c r="H132" i="11"/>
  <c r="O131" i="11"/>
  <c r="H131" i="11"/>
  <c r="O130" i="11"/>
  <c r="H130" i="11"/>
  <c r="O129" i="11"/>
  <c r="H129" i="11"/>
  <c r="O128" i="11"/>
  <c r="H128" i="11"/>
  <c r="O127" i="11"/>
  <c r="H127" i="11"/>
  <c r="O126" i="11"/>
  <c r="H126" i="11"/>
  <c r="O125" i="11"/>
  <c r="H125" i="11"/>
  <c r="O124" i="11"/>
  <c r="H124" i="11"/>
  <c r="O123" i="11"/>
  <c r="H123" i="11"/>
  <c r="O122" i="11"/>
  <c r="H122" i="11"/>
  <c r="O121" i="11"/>
  <c r="H121" i="11"/>
  <c r="O120" i="11"/>
  <c r="H120" i="11"/>
  <c r="O119" i="11"/>
  <c r="H119" i="11"/>
  <c r="O118" i="11"/>
  <c r="H118" i="11"/>
  <c r="O117" i="11"/>
  <c r="H117" i="11"/>
  <c r="O116" i="11"/>
  <c r="H116" i="11"/>
  <c r="O115" i="11"/>
  <c r="H115" i="11"/>
  <c r="O114" i="11"/>
  <c r="H114" i="11"/>
  <c r="O113" i="11"/>
  <c r="H113" i="11"/>
  <c r="O112" i="11"/>
  <c r="H112" i="11"/>
  <c r="O111" i="11"/>
  <c r="H111" i="11"/>
  <c r="O110" i="11"/>
  <c r="H110" i="11"/>
  <c r="O109" i="11"/>
  <c r="H109" i="11"/>
  <c r="O108" i="11"/>
  <c r="H108" i="11"/>
  <c r="O107" i="11"/>
  <c r="H107" i="11"/>
  <c r="O106" i="11"/>
  <c r="H106" i="11"/>
  <c r="O105" i="11"/>
  <c r="H105" i="11"/>
  <c r="O104" i="11"/>
  <c r="H104" i="11"/>
  <c r="O103" i="11"/>
  <c r="H103" i="11"/>
  <c r="O102" i="11"/>
  <c r="H102" i="11"/>
  <c r="O101" i="11"/>
  <c r="H101" i="11"/>
  <c r="O100" i="11"/>
  <c r="H100" i="11"/>
  <c r="O99" i="11"/>
  <c r="H99" i="11"/>
  <c r="O98" i="11"/>
  <c r="H98" i="11"/>
  <c r="O97" i="11"/>
  <c r="H97" i="11"/>
  <c r="O96" i="11"/>
  <c r="H96" i="11"/>
  <c r="O95" i="11"/>
  <c r="H95" i="11"/>
  <c r="O94" i="11"/>
  <c r="H94" i="11"/>
  <c r="O93" i="11"/>
  <c r="H93" i="11"/>
  <c r="O92" i="11"/>
  <c r="H92" i="11"/>
  <c r="O91" i="11"/>
  <c r="H91" i="11"/>
  <c r="O90" i="11"/>
  <c r="H90" i="11"/>
  <c r="O89" i="11"/>
  <c r="H89" i="11"/>
  <c r="O88" i="11"/>
  <c r="H88" i="11"/>
  <c r="O87" i="11"/>
  <c r="H87" i="11"/>
  <c r="O86" i="11"/>
  <c r="H86" i="11"/>
  <c r="O85" i="11"/>
  <c r="H85" i="11"/>
  <c r="O84" i="11"/>
  <c r="H84" i="11"/>
  <c r="O83" i="11"/>
  <c r="H83" i="11"/>
  <c r="O82" i="11"/>
  <c r="H82" i="11"/>
  <c r="O81" i="11"/>
  <c r="H81" i="11"/>
  <c r="O80" i="11"/>
  <c r="H80" i="11"/>
  <c r="O79" i="11"/>
  <c r="H79" i="11"/>
  <c r="O78" i="11"/>
  <c r="H78" i="11"/>
  <c r="O77" i="11"/>
  <c r="H77" i="11"/>
  <c r="O76" i="11"/>
  <c r="H76" i="11"/>
  <c r="O75" i="11"/>
  <c r="H75" i="11"/>
  <c r="O74" i="11"/>
  <c r="H74" i="11"/>
  <c r="O73" i="11"/>
  <c r="H73" i="11"/>
  <c r="O72" i="11"/>
  <c r="H72" i="11"/>
  <c r="O71" i="11"/>
  <c r="H71" i="11"/>
  <c r="O70" i="11"/>
  <c r="H70" i="11"/>
  <c r="O69" i="11"/>
  <c r="H69" i="11"/>
  <c r="O68" i="11"/>
  <c r="H68" i="11"/>
  <c r="O67" i="11"/>
  <c r="H67" i="11"/>
  <c r="O66" i="11"/>
  <c r="H66" i="11"/>
  <c r="O65" i="11"/>
  <c r="H65" i="11"/>
  <c r="O64" i="11"/>
  <c r="H64" i="11"/>
  <c r="O63" i="11"/>
  <c r="H63" i="11"/>
  <c r="O62" i="11"/>
  <c r="H62" i="11"/>
  <c r="O61" i="11"/>
  <c r="H61" i="11"/>
  <c r="O60" i="11"/>
  <c r="H60" i="11"/>
  <c r="O59" i="11"/>
  <c r="H59" i="11"/>
  <c r="O58" i="11"/>
  <c r="H58" i="11"/>
  <c r="O57" i="11"/>
  <c r="H57" i="11"/>
  <c r="O56" i="11"/>
  <c r="H56" i="11"/>
  <c r="O55" i="11"/>
  <c r="H55" i="11"/>
  <c r="O54" i="11"/>
  <c r="H54" i="11"/>
  <c r="O53" i="11"/>
  <c r="H53" i="11"/>
  <c r="O52" i="11"/>
  <c r="H52" i="11"/>
  <c r="O51" i="11"/>
  <c r="H51" i="11"/>
  <c r="O50" i="11"/>
  <c r="H50" i="11"/>
  <c r="O49" i="11"/>
  <c r="H49" i="11"/>
  <c r="O48" i="11"/>
  <c r="H48" i="11"/>
  <c r="O47" i="11"/>
  <c r="H47" i="11"/>
  <c r="O46" i="11"/>
  <c r="H46" i="11"/>
  <c r="O45" i="11"/>
  <c r="H45" i="11"/>
  <c r="O44" i="11"/>
  <c r="H44" i="11"/>
  <c r="O43" i="11"/>
  <c r="H43" i="11"/>
  <c r="O42" i="11"/>
  <c r="H42" i="11"/>
  <c r="O41" i="11"/>
  <c r="H41" i="11"/>
  <c r="O40" i="11"/>
  <c r="H40" i="11"/>
  <c r="O39" i="11"/>
  <c r="H39" i="11"/>
  <c r="O38" i="11"/>
  <c r="H38" i="11"/>
  <c r="O37" i="11"/>
  <c r="H37" i="11"/>
  <c r="O36" i="11"/>
  <c r="H36" i="11"/>
  <c r="O35" i="11"/>
  <c r="H35" i="11"/>
  <c r="O34" i="11"/>
  <c r="H34" i="11"/>
  <c r="O33" i="11"/>
  <c r="H33" i="11"/>
  <c r="O32" i="11"/>
  <c r="H32" i="11"/>
  <c r="O31" i="11"/>
  <c r="H31" i="11"/>
  <c r="O30" i="11"/>
  <c r="H30" i="11"/>
  <c r="O29" i="11"/>
  <c r="H29" i="11"/>
  <c r="O28" i="11"/>
  <c r="H28" i="11"/>
  <c r="O27" i="11"/>
  <c r="H27" i="11"/>
  <c r="O26" i="11"/>
  <c r="H26" i="11"/>
  <c r="O25" i="11"/>
  <c r="H25" i="11"/>
  <c r="O24" i="11"/>
  <c r="H24" i="11"/>
  <c r="O23" i="11"/>
  <c r="H23" i="11"/>
  <c r="O22" i="11"/>
  <c r="H22" i="11"/>
  <c r="O21" i="11"/>
  <c r="H21" i="11"/>
  <c r="O20" i="11"/>
  <c r="H20" i="11"/>
  <c r="O19" i="11"/>
  <c r="H19" i="11"/>
  <c r="O18" i="11"/>
  <c r="H18" i="11"/>
  <c r="O17" i="11"/>
  <c r="H17" i="11"/>
  <c r="O16" i="11"/>
  <c r="H16" i="11"/>
  <c r="O15" i="11"/>
  <c r="H15" i="11"/>
  <c r="O14" i="11"/>
  <c r="H14" i="11"/>
  <c r="O13" i="11"/>
  <c r="H13" i="11"/>
  <c r="O12" i="11"/>
  <c r="H12" i="11"/>
  <c r="O11" i="11"/>
  <c r="H11" i="11"/>
  <c r="O10" i="11"/>
  <c r="H10" i="11"/>
  <c r="O9" i="11"/>
  <c r="H9" i="11"/>
  <c r="O8" i="11"/>
  <c r="H8" i="11"/>
  <c r="O7" i="11"/>
  <c r="H7" i="11"/>
  <c r="O6" i="11"/>
  <c r="H6" i="11"/>
  <c r="O5" i="11"/>
  <c r="H5" i="11"/>
  <c r="O4" i="11"/>
  <c r="H4" i="11"/>
  <c r="O3" i="11"/>
  <c r="H3" i="11"/>
  <c r="O2" i="11"/>
  <c r="H2" i="11"/>
  <c r="J519" i="4"/>
  <c r="J518" i="4"/>
  <c r="J517" i="4"/>
  <c r="J516" i="4"/>
  <c r="J515" i="4"/>
  <c r="J514" i="4"/>
  <c r="J513" i="4"/>
  <c r="J512" i="4"/>
  <c r="J511" i="4"/>
  <c r="J510" i="4"/>
  <c r="J509" i="4"/>
  <c r="J508" i="4"/>
  <c r="J507" i="4"/>
  <c r="J506" i="4"/>
  <c r="J505" i="4"/>
  <c r="J504" i="4"/>
  <c r="J503" i="4"/>
  <c r="J502" i="4"/>
  <c r="J501" i="4"/>
  <c r="J500" i="4"/>
  <c r="J499" i="4"/>
  <c r="J498" i="4"/>
  <c r="J497" i="4"/>
  <c r="J496" i="4"/>
  <c r="J495" i="4"/>
  <c r="J494" i="4"/>
  <c r="J493" i="4"/>
  <c r="J492" i="4"/>
  <c r="J491" i="4"/>
  <c r="J490" i="4"/>
  <c r="J489" i="4"/>
  <c r="J488" i="4"/>
  <c r="J487" i="4"/>
  <c r="J486" i="4"/>
  <c r="J485" i="4"/>
  <c r="J484" i="4"/>
  <c r="J483" i="4"/>
  <c r="J482" i="4"/>
  <c r="J481" i="4"/>
  <c r="J480" i="4"/>
  <c r="J479" i="4"/>
  <c r="J478" i="4"/>
  <c r="J477" i="4"/>
  <c r="J476" i="4"/>
  <c r="J475" i="4"/>
  <c r="J474" i="4"/>
  <c r="J473" i="4"/>
  <c r="J472" i="4"/>
  <c r="J471" i="4"/>
  <c r="J470" i="4"/>
  <c r="J469" i="4"/>
  <c r="J468" i="4"/>
  <c r="J467" i="4"/>
  <c r="J466" i="4"/>
  <c r="J465" i="4"/>
  <c r="J464" i="4"/>
  <c r="J463" i="4"/>
  <c r="J462" i="4"/>
  <c r="J461" i="4"/>
  <c r="J460" i="4"/>
  <c r="J459" i="4"/>
  <c r="J458" i="4"/>
  <c r="J457" i="4"/>
  <c r="J456" i="4"/>
  <c r="J455" i="4"/>
  <c r="J454" i="4"/>
  <c r="J453" i="4"/>
  <c r="J452" i="4"/>
  <c r="J451" i="4"/>
  <c r="J450" i="4"/>
  <c r="J449" i="4"/>
  <c r="J448" i="4"/>
  <c r="J447" i="4"/>
  <c r="J446" i="4"/>
  <c r="J445" i="4"/>
  <c r="J444" i="4"/>
  <c r="J443" i="4"/>
  <c r="J442" i="4"/>
  <c r="J441" i="4"/>
  <c r="J440" i="4"/>
  <c r="J439" i="4"/>
  <c r="J438" i="4"/>
  <c r="J437" i="4"/>
  <c r="J436" i="4"/>
  <c r="J435" i="4"/>
  <c r="J434" i="4"/>
  <c r="J433" i="4"/>
  <c r="J432" i="4"/>
  <c r="J431" i="4"/>
  <c r="J430" i="4"/>
  <c r="J429" i="4"/>
  <c r="J428" i="4"/>
  <c r="J427" i="4"/>
  <c r="J426" i="4"/>
  <c r="J425" i="4"/>
  <c r="J424" i="4"/>
  <c r="J423" i="4"/>
  <c r="J422" i="4"/>
  <c r="J421" i="4"/>
  <c r="J420" i="4"/>
  <c r="J419" i="4"/>
  <c r="J418" i="4"/>
  <c r="J417" i="4"/>
  <c r="J416" i="4"/>
  <c r="J415" i="4"/>
  <c r="J414" i="4"/>
  <c r="J413" i="4"/>
  <c r="J412" i="4"/>
  <c r="J411" i="4"/>
  <c r="J410" i="4"/>
  <c r="J409" i="4"/>
  <c r="J408" i="4"/>
  <c r="J407" i="4"/>
  <c r="J406" i="4"/>
  <c r="J405" i="4"/>
  <c r="J404" i="4"/>
  <c r="J403" i="4"/>
  <c r="J402" i="4"/>
  <c r="J401" i="4"/>
  <c r="AJ400" i="4"/>
  <c r="J400" i="4"/>
  <c r="AJ399" i="4"/>
  <c r="J399" i="4"/>
  <c r="AJ398" i="4"/>
  <c r="J398" i="4"/>
  <c r="AJ397" i="4"/>
  <c r="J397" i="4"/>
  <c r="AJ396" i="4"/>
  <c r="J396" i="4"/>
  <c r="AJ395" i="4"/>
  <c r="J395" i="4"/>
  <c r="AJ394" i="4"/>
  <c r="J394" i="4"/>
  <c r="AJ393" i="4"/>
  <c r="J393" i="4"/>
  <c r="AJ392" i="4"/>
  <c r="J392" i="4"/>
  <c r="AJ391" i="4"/>
  <c r="J391" i="4"/>
  <c r="AJ390" i="4"/>
  <c r="J390" i="4"/>
  <c r="AJ389" i="4"/>
  <c r="J389" i="4"/>
  <c r="AJ388" i="4"/>
  <c r="J388" i="4"/>
  <c r="AJ387" i="4"/>
  <c r="J387" i="4"/>
  <c r="AJ386" i="4"/>
  <c r="J386" i="4"/>
  <c r="AJ385" i="4"/>
  <c r="J385" i="4"/>
  <c r="AJ384" i="4"/>
  <c r="J384" i="4"/>
  <c r="AJ383" i="4"/>
  <c r="J383" i="4"/>
  <c r="AJ382" i="4"/>
  <c r="J382" i="4"/>
  <c r="AJ381" i="4"/>
  <c r="J381" i="4"/>
  <c r="AJ380" i="4"/>
  <c r="J380" i="4"/>
  <c r="AJ379" i="4"/>
  <c r="J379" i="4"/>
  <c r="AJ378" i="4"/>
  <c r="J378" i="4"/>
  <c r="AJ377" i="4"/>
  <c r="J377" i="4"/>
  <c r="AJ376" i="4"/>
  <c r="J376" i="4"/>
  <c r="AJ375" i="4"/>
  <c r="J375" i="4"/>
  <c r="AJ374" i="4"/>
  <c r="J374" i="4"/>
  <c r="AJ373" i="4"/>
  <c r="J373" i="4"/>
  <c r="AJ372" i="4"/>
  <c r="J372" i="4"/>
  <c r="AJ371" i="4"/>
  <c r="J371" i="4"/>
  <c r="AJ370" i="4"/>
  <c r="J370" i="4"/>
  <c r="AJ369" i="4"/>
  <c r="J369" i="4"/>
  <c r="AJ368" i="4"/>
  <c r="J368" i="4"/>
  <c r="AJ367" i="4"/>
  <c r="J367" i="4"/>
  <c r="AJ366" i="4"/>
  <c r="J366" i="4"/>
  <c r="AJ365" i="4"/>
  <c r="J365" i="4"/>
  <c r="AJ364" i="4"/>
  <c r="J364" i="4"/>
  <c r="AJ363" i="4"/>
  <c r="J363" i="4"/>
  <c r="AJ362" i="4"/>
  <c r="J362" i="4"/>
  <c r="AJ361" i="4"/>
  <c r="J361" i="4"/>
  <c r="AJ360" i="4"/>
  <c r="J360" i="4"/>
  <c r="AJ359" i="4"/>
  <c r="J359" i="4"/>
  <c r="AJ358" i="4"/>
  <c r="J358" i="4"/>
  <c r="AJ357" i="4"/>
  <c r="J357" i="4"/>
  <c r="AJ356" i="4"/>
  <c r="J356" i="4"/>
  <c r="AJ355" i="4"/>
  <c r="J355" i="4"/>
  <c r="AJ354" i="4"/>
  <c r="J354" i="4"/>
  <c r="AJ353" i="4"/>
  <c r="J353" i="4"/>
  <c r="AJ352" i="4"/>
  <c r="J352" i="4"/>
  <c r="AJ351" i="4"/>
  <c r="J351" i="4"/>
  <c r="AJ350" i="4"/>
  <c r="J350" i="4"/>
  <c r="AJ349" i="4"/>
  <c r="J349" i="4"/>
  <c r="AJ348" i="4"/>
  <c r="J348" i="4"/>
  <c r="AJ347" i="4"/>
  <c r="J347" i="4"/>
  <c r="AJ346" i="4"/>
  <c r="J346" i="4"/>
  <c r="AJ345" i="4"/>
  <c r="J345" i="4"/>
  <c r="AJ344" i="4"/>
  <c r="J344" i="4"/>
  <c r="AJ343" i="4"/>
  <c r="J343" i="4"/>
  <c r="AJ342" i="4"/>
  <c r="J342" i="4"/>
  <c r="AJ341" i="4"/>
  <c r="J341" i="4"/>
  <c r="AJ340" i="4"/>
  <c r="J340" i="4"/>
  <c r="AJ339" i="4"/>
  <c r="J339" i="4"/>
  <c r="AJ338" i="4"/>
  <c r="J338" i="4"/>
  <c r="AJ337" i="4"/>
  <c r="J337" i="4"/>
  <c r="AJ336" i="4"/>
  <c r="J336" i="4"/>
  <c r="AJ335" i="4"/>
  <c r="J335" i="4"/>
  <c r="AJ334" i="4"/>
  <c r="J334" i="4"/>
  <c r="AJ333" i="4"/>
  <c r="J333" i="4"/>
  <c r="AJ332" i="4"/>
  <c r="J332" i="4"/>
  <c r="AJ331" i="4"/>
  <c r="J331" i="4"/>
  <c r="AJ330" i="4"/>
  <c r="J330" i="4"/>
  <c r="AJ329" i="4"/>
  <c r="J329" i="4"/>
  <c r="AJ328" i="4"/>
  <c r="J328" i="4"/>
  <c r="AJ327" i="4"/>
  <c r="J327" i="4"/>
  <c r="AJ326" i="4"/>
  <c r="J326" i="4"/>
  <c r="AJ325" i="4"/>
  <c r="J325" i="4"/>
  <c r="AJ324" i="4"/>
  <c r="J324" i="4"/>
  <c r="AJ323" i="4"/>
  <c r="J323" i="4"/>
  <c r="AJ322" i="4"/>
  <c r="J322" i="4"/>
  <c r="AJ321" i="4"/>
  <c r="J321" i="4"/>
  <c r="AJ320" i="4"/>
  <c r="J320" i="4"/>
  <c r="AJ319" i="4"/>
  <c r="J319" i="4"/>
  <c r="AJ318" i="4"/>
  <c r="J318" i="4"/>
  <c r="AJ317" i="4"/>
  <c r="J317" i="4"/>
  <c r="AJ316" i="4"/>
  <c r="J316" i="4"/>
  <c r="AJ315" i="4"/>
  <c r="J315" i="4"/>
  <c r="AJ314" i="4"/>
  <c r="J314" i="4"/>
  <c r="AJ313" i="4"/>
  <c r="J313" i="4"/>
  <c r="AJ312" i="4"/>
  <c r="J312" i="4"/>
  <c r="AJ311" i="4"/>
  <c r="J311" i="4"/>
  <c r="AJ310" i="4"/>
  <c r="J310" i="4"/>
  <c r="AJ309" i="4"/>
  <c r="J309" i="4"/>
  <c r="AJ308" i="4"/>
  <c r="J308" i="4"/>
  <c r="AJ307" i="4"/>
  <c r="J307" i="4"/>
  <c r="AJ306" i="4"/>
  <c r="J306" i="4"/>
  <c r="AJ305" i="4"/>
  <c r="J305" i="4"/>
  <c r="AJ304" i="4"/>
  <c r="J304" i="4"/>
  <c r="AJ303" i="4"/>
  <c r="J303" i="4"/>
  <c r="AJ302" i="4"/>
  <c r="J302" i="4"/>
  <c r="AJ301" i="4"/>
  <c r="J301" i="4"/>
  <c r="AJ300" i="4"/>
  <c r="J300" i="4"/>
  <c r="AJ299" i="4"/>
  <c r="J299" i="4"/>
  <c r="AJ298" i="4"/>
  <c r="J298" i="4"/>
  <c r="J297" i="4"/>
  <c r="J296" i="4"/>
  <c r="J295" i="4"/>
  <c r="J294" i="4"/>
  <c r="J293" i="4"/>
  <c r="J292" i="4"/>
  <c r="J291" i="4"/>
  <c r="J290" i="4"/>
  <c r="J289" i="4"/>
  <c r="J288" i="4"/>
  <c r="J287" i="4"/>
  <c r="J286" i="4"/>
  <c r="J285" i="4"/>
  <c r="J284" i="4"/>
  <c r="J283" i="4"/>
  <c r="J282" i="4"/>
  <c r="J281" i="4"/>
  <c r="J280" i="4"/>
  <c r="J279" i="4"/>
  <c r="J278" i="4"/>
  <c r="J277" i="4"/>
  <c r="J276" i="4"/>
  <c r="J275" i="4"/>
  <c r="J274" i="4"/>
  <c r="J273" i="4"/>
  <c r="J272" i="4"/>
  <c r="J271" i="4"/>
  <c r="J270" i="4"/>
  <c r="J269" i="4"/>
  <c r="J268" i="4"/>
  <c r="J267" i="4"/>
  <c r="J266" i="4"/>
  <c r="J265" i="4"/>
  <c r="J264" i="4"/>
  <c r="J263" i="4"/>
  <c r="J262" i="4"/>
  <c r="J261" i="4"/>
  <c r="J260" i="4"/>
  <c r="J259" i="4"/>
  <c r="J258" i="4"/>
  <c r="J257" i="4"/>
  <c r="J256" i="4"/>
  <c r="J255" i="4"/>
  <c r="J254" i="4"/>
  <c r="J253" i="4"/>
  <c r="J252" i="4"/>
  <c r="J251" i="4"/>
  <c r="J250" i="4"/>
  <c r="J249" i="4"/>
  <c r="J248" i="4"/>
  <c r="J247" i="4"/>
  <c r="J246" i="4"/>
  <c r="J245" i="4"/>
  <c r="J244" i="4"/>
  <c r="J243" i="4"/>
  <c r="J242" i="4"/>
  <c r="J241" i="4"/>
  <c r="J240" i="4"/>
  <c r="J239" i="4"/>
  <c r="J238" i="4"/>
  <c r="J237" i="4"/>
  <c r="J236" i="4"/>
  <c r="J235" i="4"/>
  <c r="J234" i="4"/>
  <c r="J233" i="4"/>
  <c r="J232" i="4"/>
  <c r="J231" i="4"/>
  <c r="J230" i="4"/>
  <c r="J229" i="4"/>
  <c r="J228" i="4"/>
  <c r="J227" i="4"/>
  <c r="J226" i="4"/>
  <c r="J225" i="4"/>
  <c r="J224" i="4"/>
  <c r="J223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8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5" i="4"/>
  <c r="J194" i="4"/>
  <c r="J193" i="4"/>
  <c r="J192" i="4"/>
  <c r="J191" i="4"/>
  <c r="J190" i="4"/>
  <c r="J189" i="4"/>
  <c r="J188" i="4"/>
  <c r="J187" i="4"/>
  <c r="J186" i="4"/>
  <c r="AJ185" i="4"/>
  <c r="J185" i="4"/>
  <c r="J184" i="4"/>
  <c r="J183" i="4"/>
  <c r="J182" i="4"/>
  <c r="J181" i="4"/>
  <c r="J180" i="4"/>
  <c r="J179" i="4"/>
  <c r="J178" i="4"/>
  <c r="BA177" i="4"/>
  <c r="J177" i="4"/>
  <c r="BA176" i="4"/>
  <c r="J176" i="4"/>
  <c r="BA175" i="4"/>
  <c r="J175" i="4"/>
  <c r="BA174" i="4"/>
  <c r="J174" i="4"/>
  <c r="BA173" i="4"/>
  <c r="J173" i="4"/>
  <c r="BA172" i="4"/>
  <c r="J172" i="4"/>
  <c r="BA171" i="4"/>
  <c r="J171" i="4"/>
  <c r="BA170" i="4"/>
  <c r="J170" i="4"/>
  <c r="BA169" i="4"/>
  <c r="J169" i="4"/>
  <c r="BA168" i="4"/>
  <c r="J168" i="4"/>
  <c r="BA167" i="4"/>
  <c r="J167" i="4"/>
  <c r="BA166" i="4"/>
  <c r="J166" i="4"/>
  <c r="BA165" i="4"/>
  <c r="J165" i="4"/>
  <c r="BA164" i="4"/>
  <c r="J164" i="4"/>
  <c r="BA163" i="4"/>
  <c r="J163" i="4"/>
  <c r="BA162" i="4"/>
  <c r="J162" i="4"/>
  <c r="BA161" i="4"/>
  <c r="J161" i="4"/>
  <c r="BA160" i="4"/>
  <c r="J160" i="4"/>
  <c r="BA159" i="4"/>
  <c r="J159" i="4"/>
  <c r="BA158" i="4"/>
  <c r="J158" i="4"/>
  <c r="BA157" i="4"/>
  <c r="J157" i="4"/>
  <c r="BA156" i="4"/>
  <c r="J156" i="4"/>
  <c r="BA155" i="4"/>
  <c r="J155" i="4"/>
  <c r="BA154" i="4"/>
  <c r="J154" i="4"/>
  <c r="BA153" i="4"/>
  <c r="J153" i="4"/>
  <c r="BA152" i="4"/>
  <c r="J152" i="4"/>
  <c r="BA151" i="4"/>
  <c r="J151" i="4"/>
  <c r="BA150" i="4"/>
  <c r="J150" i="4"/>
  <c r="BA149" i="4"/>
  <c r="AT149" i="4"/>
  <c r="J149" i="4"/>
  <c r="BA148" i="4"/>
  <c r="AT148" i="4"/>
  <c r="J148" i="4"/>
  <c r="BA147" i="4"/>
  <c r="AT147" i="4"/>
  <c r="J147" i="4"/>
  <c r="BA146" i="4"/>
  <c r="AT146" i="4"/>
  <c r="J146" i="4"/>
  <c r="BA145" i="4"/>
  <c r="AT145" i="4"/>
  <c r="AJ145" i="4"/>
  <c r="J145" i="4"/>
  <c r="BA144" i="4"/>
  <c r="AT144" i="4"/>
  <c r="AJ144" i="4"/>
  <c r="J144" i="4"/>
  <c r="BA143" i="4"/>
  <c r="AT143" i="4"/>
  <c r="AJ143" i="4"/>
  <c r="J143" i="4"/>
  <c r="BA142" i="4"/>
  <c r="AT142" i="4"/>
  <c r="AJ142" i="4"/>
  <c r="J142" i="4"/>
  <c r="BA141" i="4"/>
  <c r="AT141" i="4"/>
  <c r="AJ141" i="4"/>
  <c r="J141" i="4"/>
  <c r="BA140" i="4"/>
  <c r="AT140" i="4"/>
  <c r="AJ140" i="4"/>
  <c r="J140" i="4"/>
  <c r="BA139" i="4"/>
  <c r="AT139" i="4"/>
  <c r="AJ139" i="4"/>
  <c r="J139" i="4"/>
  <c r="BA138" i="4"/>
  <c r="AT138" i="4"/>
  <c r="AJ138" i="4"/>
  <c r="J138" i="4"/>
  <c r="BA137" i="4"/>
  <c r="AT137" i="4"/>
  <c r="AJ137" i="4"/>
  <c r="J137" i="4"/>
  <c r="BA136" i="4"/>
  <c r="AT136" i="4"/>
  <c r="AJ136" i="4"/>
  <c r="J136" i="4"/>
  <c r="BA135" i="4"/>
  <c r="AT135" i="4"/>
  <c r="AJ135" i="4"/>
  <c r="J135" i="4"/>
  <c r="BA134" i="4"/>
  <c r="AT134" i="4"/>
  <c r="AJ134" i="4"/>
  <c r="J134" i="4"/>
  <c r="BA133" i="4"/>
  <c r="AT133" i="4"/>
  <c r="AJ133" i="4"/>
  <c r="J133" i="4"/>
  <c r="BA132" i="4"/>
  <c r="AT132" i="4"/>
  <c r="AJ132" i="4"/>
  <c r="J132" i="4"/>
  <c r="BA131" i="4"/>
  <c r="AT131" i="4"/>
  <c r="AJ131" i="4"/>
  <c r="J131" i="4"/>
  <c r="BA130" i="4"/>
  <c r="AT130" i="4"/>
  <c r="AJ130" i="4"/>
  <c r="J130" i="4"/>
  <c r="BA129" i="4"/>
  <c r="AT129" i="4"/>
  <c r="AJ129" i="4"/>
  <c r="J129" i="4"/>
  <c r="BA128" i="4"/>
  <c r="AT128" i="4"/>
  <c r="AJ128" i="4"/>
  <c r="J128" i="4"/>
  <c r="BA127" i="4"/>
  <c r="AT127" i="4"/>
  <c r="AJ127" i="4"/>
  <c r="J127" i="4"/>
  <c r="BA126" i="4"/>
  <c r="AT126" i="4"/>
  <c r="AJ126" i="4"/>
  <c r="J126" i="4"/>
  <c r="BA125" i="4"/>
  <c r="AT125" i="4"/>
  <c r="AJ125" i="4"/>
  <c r="J125" i="4"/>
  <c r="BA124" i="4"/>
  <c r="AT124" i="4"/>
  <c r="AJ124" i="4"/>
  <c r="J124" i="4"/>
  <c r="BA123" i="4"/>
  <c r="AT123" i="4"/>
  <c r="AJ123" i="4"/>
  <c r="J123" i="4"/>
  <c r="BA122" i="4"/>
  <c r="AT122" i="4"/>
  <c r="AJ122" i="4"/>
  <c r="J122" i="4"/>
  <c r="BA121" i="4"/>
  <c r="AT121" i="4"/>
  <c r="AJ121" i="4"/>
  <c r="J121" i="4"/>
  <c r="BA120" i="4"/>
  <c r="AT120" i="4"/>
  <c r="AJ120" i="4"/>
  <c r="J120" i="4"/>
  <c r="BA119" i="4"/>
  <c r="AT119" i="4"/>
  <c r="AJ119" i="4"/>
  <c r="J119" i="4"/>
  <c r="BA118" i="4"/>
  <c r="AT118" i="4"/>
  <c r="AJ118" i="4"/>
  <c r="J118" i="4"/>
  <c r="BA117" i="4"/>
  <c r="AT117" i="4"/>
  <c r="AJ117" i="4"/>
  <c r="J117" i="4"/>
  <c r="BA116" i="4"/>
  <c r="AT116" i="4"/>
  <c r="AJ116" i="4"/>
  <c r="J116" i="4"/>
  <c r="BA115" i="4"/>
  <c r="AT115" i="4"/>
  <c r="J115" i="4"/>
  <c r="BA114" i="4"/>
  <c r="AT114" i="4"/>
  <c r="J114" i="4"/>
  <c r="BA113" i="4"/>
  <c r="J113" i="4"/>
  <c r="BA112" i="4"/>
  <c r="J112" i="4"/>
  <c r="BA111" i="4"/>
  <c r="J111" i="4"/>
  <c r="BA110" i="4"/>
  <c r="J110" i="4"/>
  <c r="BA109" i="4"/>
  <c r="J109" i="4"/>
  <c r="BA108" i="4"/>
  <c r="J108" i="4"/>
  <c r="BA107" i="4"/>
  <c r="J107" i="4"/>
  <c r="BA106" i="4"/>
  <c r="J106" i="4"/>
  <c r="BA105" i="4"/>
  <c r="J105" i="4"/>
  <c r="BA104" i="4"/>
  <c r="J104" i="4"/>
  <c r="BA103" i="4"/>
  <c r="J103" i="4"/>
  <c r="BA102" i="4"/>
  <c r="J102" i="4"/>
  <c r="BA101" i="4"/>
  <c r="J101" i="4"/>
  <c r="BA100" i="4"/>
  <c r="J100" i="4"/>
  <c r="BA99" i="4"/>
  <c r="J99" i="4"/>
  <c r="BA98" i="4"/>
  <c r="J98" i="4"/>
  <c r="BA97" i="4"/>
  <c r="J97" i="4"/>
  <c r="BA96" i="4"/>
  <c r="J96" i="4"/>
  <c r="BA95" i="4"/>
  <c r="J95" i="4"/>
  <c r="BA94" i="4"/>
  <c r="J94" i="4"/>
  <c r="BA93" i="4"/>
  <c r="J93" i="4"/>
  <c r="BA92" i="4"/>
  <c r="J92" i="4"/>
  <c r="BA91" i="4"/>
  <c r="J91" i="4"/>
  <c r="BA90" i="4"/>
  <c r="J90" i="4"/>
  <c r="BA89" i="4"/>
  <c r="J89" i="4"/>
  <c r="BA88" i="4"/>
  <c r="J88" i="4"/>
  <c r="BA87" i="4"/>
  <c r="J87" i="4"/>
  <c r="BA86" i="4"/>
  <c r="J86" i="4"/>
  <c r="BA85" i="4"/>
  <c r="J85" i="4"/>
  <c r="BA84" i="4"/>
  <c r="J84" i="4"/>
  <c r="BA83" i="4"/>
  <c r="J83" i="4"/>
  <c r="BA82" i="4"/>
  <c r="J82" i="4"/>
  <c r="BA81" i="4"/>
  <c r="J81" i="4"/>
  <c r="BA80" i="4"/>
  <c r="J80" i="4"/>
  <c r="BA79" i="4"/>
  <c r="J79" i="4"/>
  <c r="BA78" i="4"/>
  <c r="J78" i="4"/>
  <c r="BA77" i="4"/>
  <c r="J77" i="4"/>
  <c r="BA76" i="4"/>
  <c r="J76" i="4"/>
  <c r="BA75" i="4"/>
  <c r="J75" i="4"/>
  <c r="BA74" i="4"/>
  <c r="J74" i="4"/>
  <c r="BA73" i="4"/>
  <c r="J73" i="4"/>
  <c r="BA72" i="4"/>
  <c r="J72" i="4"/>
  <c r="BA71" i="4"/>
  <c r="J71" i="4"/>
  <c r="BA70" i="4"/>
  <c r="J70" i="4"/>
  <c r="BA69" i="4"/>
  <c r="J69" i="4"/>
  <c r="BA68" i="4"/>
  <c r="J68" i="4"/>
  <c r="J67" i="4"/>
  <c r="J66" i="4"/>
  <c r="J65" i="4"/>
  <c r="J64" i="4"/>
  <c r="J63" i="4"/>
  <c r="J62" i="4"/>
  <c r="J61" i="4"/>
  <c r="J60" i="4"/>
  <c r="J59" i="4"/>
  <c r="J58" i="4"/>
  <c r="J57" i="4"/>
  <c r="J56" i="4"/>
  <c r="J55" i="4"/>
  <c r="J54" i="4"/>
  <c r="J53" i="4"/>
  <c r="J52" i="4"/>
  <c r="J51" i="4"/>
  <c r="J50" i="4"/>
  <c r="J49" i="4"/>
  <c r="J48" i="4"/>
  <c r="J47" i="4"/>
  <c r="J46" i="4"/>
  <c r="J45" i="4"/>
  <c r="J44" i="4"/>
  <c r="J43" i="4"/>
  <c r="J42" i="4"/>
  <c r="J41" i="4"/>
  <c r="J40" i="4"/>
  <c r="J39" i="4"/>
  <c r="J38" i="4"/>
  <c r="J37" i="4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  <c r="J522" i="4"/>
  <c r="J521" i="4"/>
  <c r="J520" i="4"/>
  <c r="AX3" i="26" l="1" a="1"/>
  <c r="AX3" i="26" s="1"/>
  <c r="P283" i="1"/>
  <c r="P304" i="1" s="1"/>
  <c r="B19" i="26"/>
  <c r="B20" i="26"/>
  <c r="B21" i="26"/>
  <c r="B5" i="26"/>
  <c r="B6" i="26"/>
  <c r="B10" i="26"/>
  <c r="B14" i="26"/>
  <c r="B18" i="26"/>
  <c r="B22" i="26"/>
  <c r="B8" i="26"/>
  <c r="B9" i="26"/>
  <c r="B13" i="26"/>
  <c r="B17" i="26"/>
  <c r="B12" i="26"/>
  <c r="B16" i="26"/>
  <c r="B7" i="26"/>
  <c r="B11" i="26"/>
  <c r="B15" i="26"/>
  <c r="B3" i="26"/>
  <c r="B4" i="26"/>
  <c r="B2" i="26"/>
  <c r="AD2" i="1"/>
  <c r="D7" i="39" l="1"/>
  <c r="E7" i="39" s="1"/>
  <c r="F7" i="39" s="1"/>
  <c r="Q283" i="1"/>
  <c r="Q304" i="1" s="1"/>
  <c r="AK230" i="1"/>
  <c r="AK231" i="1"/>
  <c r="AK232" i="1"/>
  <c r="AK233" i="1"/>
  <c r="AK234" i="1"/>
  <c r="AK235" i="1"/>
  <c r="AK236" i="1"/>
  <c r="AK237" i="1"/>
  <c r="AK238" i="1"/>
  <c r="AK239" i="1"/>
  <c r="AK240" i="1"/>
  <c r="AK241" i="1"/>
  <c r="AK242" i="1"/>
  <c r="AK243" i="1"/>
  <c r="AK244" i="1"/>
  <c r="AK245" i="1"/>
  <c r="AK246" i="1"/>
  <c r="AK247" i="1"/>
  <c r="AK248" i="1"/>
  <c r="AK249" i="1"/>
  <c r="AK250" i="1"/>
  <c r="AK251" i="1"/>
  <c r="AK252" i="1"/>
  <c r="J384" i="29"/>
  <c r="T183" i="1" l="1"/>
  <c r="U183" i="42"/>
  <c r="J369" i="29"/>
  <c r="J370" i="29"/>
  <c r="J371" i="29"/>
  <c r="J372" i="29"/>
  <c r="J373" i="29"/>
  <c r="J374" i="29"/>
  <c r="J375" i="29"/>
  <c r="J376" i="29"/>
  <c r="J377" i="29"/>
  <c r="J378" i="29"/>
  <c r="J379" i="29"/>
  <c r="J380" i="29"/>
  <c r="J381" i="29"/>
  <c r="J382" i="29"/>
  <c r="J383" i="29"/>
  <c r="T245" i="1" l="1"/>
  <c r="AP266" i="1" s="1"/>
  <c r="U245" i="42"/>
  <c r="AQ183" i="42"/>
  <c r="AT217" i="42" s="1"/>
  <c r="J368" i="29"/>
  <c r="J367" i="29"/>
  <c r="T244" i="1" l="1"/>
  <c r="U244" i="42"/>
  <c r="AQ245" i="42"/>
  <c r="K29" i="27"/>
  <c r="K53" i="27"/>
  <c r="K46" i="27"/>
  <c r="J326" i="29"/>
  <c r="J334" i="29"/>
  <c r="J333" i="29"/>
  <c r="W31" i="31"/>
  <c r="X32" i="31"/>
  <c r="W32" i="31"/>
  <c r="J366" i="29"/>
  <c r="J353" i="29"/>
  <c r="J354" i="29"/>
  <c r="J355" i="29"/>
  <c r="J356" i="29"/>
  <c r="J357" i="29"/>
  <c r="J358" i="29"/>
  <c r="J359" i="29"/>
  <c r="J360" i="29"/>
  <c r="J361" i="29"/>
  <c r="J362" i="29"/>
  <c r="J363" i="29"/>
  <c r="J364" i="29"/>
  <c r="J365" i="29"/>
  <c r="J352" i="29"/>
  <c r="Z249" i="11"/>
  <c r="X31" i="31"/>
  <c r="Y31" i="31"/>
  <c r="AB31" i="31" s="1"/>
  <c r="J312" i="29"/>
  <c r="J306" i="29"/>
  <c r="J351" i="29"/>
  <c r="J297" i="29"/>
  <c r="J350" i="29"/>
  <c r="K54" i="27"/>
  <c r="K40" i="27"/>
  <c r="Y30" i="31"/>
  <c r="AB30" i="31" s="1"/>
  <c r="J343" i="29"/>
  <c r="J344" i="29"/>
  <c r="J345" i="29"/>
  <c r="J346" i="29"/>
  <c r="J347" i="29"/>
  <c r="J348" i="29"/>
  <c r="J349" i="29"/>
  <c r="J300" i="29"/>
  <c r="J325" i="29"/>
  <c r="J327" i="29"/>
  <c r="J328" i="29"/>
  <c r="J329" i="29"/>
  <c r="J330" i="29"/>
  <c r="J331" i="29"/>
  <c r="J332" i="29"/>
  <c r="J335" i="29"/>
  <c r="J336" i="29"/>
  <c r="J337" i="29"/>
  <c r="J338" i="29"/>
  <c r="J339" i="29"/>
  <c r="J340" i="29"/>
  <c r="J341" i="29"/>
  <c r="J342" i="29"/>
  <c r="Y29" i="31"/>
  <c r="AB29" i="31" s="1"/>
  <c r="J301" i="29"/>
  <c r="J258" i="29"/>
  <c r="J248" i="29"/>
  <c r="J304" i="29"/>
  <c r="J296" i="29"/>
  <c r="J265" i="29"/>
  <c r="Y28" i="31"/>
  <c r="AB28" i="31" s="1"/>
  <c r="J284" i="29"/>
  <c r="J283" i="29"/>
  <c r="J324" i="29"/>
  <c r="J323" i="29"/>
  <c r="W27" i="31"/>
  <c r="X27" i="31"/>
  <c r="Y27" i="31"/>
  <c r="AB27" i="31" s="1"/>
  <c r="J303" i="29"/>
  <c r="J292" i="29"/>
  <c r="J291" i="29"/>
  <c r="J279" i="29"/>
  <c r="J278" i="29"/>
  <c r="J274" i="29"/>
  <c r="J273" i="29"/>
  <c r="J267" i="29"/>
  <c r="J264" i="29"/>
  <c r="J247" i="29"/>
  <c r="J235" i="29"/>
  <c r="J229" i="29"/>
  <c r="J221" i="29"/>
  <c r="J219" i="29"/>
  <c r="J210" i="29"/>
  <c r="J209" i="29"/>
  <c r="J208" i="29"/>
  <c r="J207" i="29"/>
  <c r="J205" i="29"/>
  <c r="J202" i="29"/>
  <c r="J201" i="29"/>
  <c r="J200" i="29"/>
  <c r="J199" i="29"/>
  <c r="J198" i="29"/>
  <c r="J189" i="29"/>
  <c r="J186" i="29"/>
  <c r="J180" i="29"/>
  <c r="J179" i="29"/>
  <c r="J174" i="29"/>
  <c r="J169" i="29"/>
  <c r="J167" i="29"/>
  <c r="J166" i="29"/>
  <c r="J160" i="29"/>
  <c r="J156" i="29"/>
  <c r="J143" i="29"/>
  <c r="J142" i="29"/>
  <c r="J139" i="29"/>
  <c r="J138" i="29"/>
  <c r="J137" i="29"/>
  <c r="J129" i="29"/>
  <c r="J110" i="29"/>
  <c r="J109" i="29"/>
  <c r="J99" i="29"/>
  <c r="J98" i="29"/>
  <c r="J91" i="29"/>
  <c r="J72" i="29"/>
  <c r="J69" i="29"/>
  <c r="J62" i="29"/>
  <c r="J61" i="29"/>
  <c r="J60" i="29"/>
  <c r="J59" i="29"/>
  <c r="J58" i="29"/>
  <c r="J57" i="29"/>
  <c r="J55" i="29"/>
  <c r="J51" i="29"/>
  <c r="J48" i="29"/>
  <c r="J47" i="29"/>
  <c r="J41" i="29"/>
  <c r="J38" i="29"/>
  <c r="J36" i="29"/>
  <c r="T22" i="31"/>
  <c r="AL134" i="4"/>
  <c r="AK135" i="4"/>
  <c r="AL136" i="4"/>
  <c r="AL137" i="4"/>
  <c r="AL138" i="4"/>
  <c r="AK140" i="4"/>
  <c r="AK141" i="4"/>
  <c r="AK145" i="4"/>
  <c r="AL116" i="4"/>
  <c r="AK118" i="4"/>
  <c r="AL119" i="4"/>
  <c r="AL122" i="4"/>
  <c r="AL124" i="4"/>
  <c r="AL127" i="4"/>
  <c r="AI2" i="4" a="1"/>
  <c r="AK122" i="4"/>
  <c r="AL118" i="4"/>
  <c r="AK124" i="4"/>
  <c r="AK116" i="4"/>
  <c r="AK127" i="4"/>
  <c r="AK119" i="4"/>
  <c r="AL140" i="4"/>
  <c r="AK136" i="4"/>
  <c r="AK138" i="4"/>
  <c r="J314" i="29"/>
  <c r="J315" i="29"/>
  <c r="J316" i="29"/>
  <c r="J317" i="29"/>
  <c r="J318" i="29"/>
  <c r="J319" i="29"/>
  <c r="J320" i="29"/>
  <c r="J321" i="29"/>
  <c r="J322" i="29"/>
  <c r="AC202" i="4"/>
  <c r="AD202" i="4" s="1"/>
  <c r="AC201" i="4"/>
  <c r="AD201" i="4" s="1"/>
  <c r="AC200" i="4"/>
  <c r="AD200" i="4" s="1"/>
  <c r="AC199" i="4"/>
  <c r="AD199" i="4" s="1"/>
  <c r="AC162" i="4"/>
  <c r="AD162" i="4" s="1"/>
  <c r="W25" i="31"/>
  <c r="AA25" i="31" s="1"/>
  <c r="Y25" i="31"/>
  <c r="AB25" i="31" s="1"/>
  <c r="J287" i="29"/>
  <c r="J288" i="29"/>
  <c r="J289" i="29"/>
  <c r="J290" i="29"/>
  <c r="J293" i="29"/>
  <c r="J294" i="29"/>
  <c r="J295" i="29"/>
  <c r="J298" i="29"/>
  <c r="J299" i="29"/>
  <c r="J302" i="29"/>
  <c r="J305" i="29"/>
  <c r="J307" i="29"/>
  <c r="J308" i="29"/>
  <c r="J309" i="29"/>
  <c r="J310" i="29"/>
  <c r="J311" i="29"/>
  <c r="J313" i="29"/>
  <c r="N2" i="4" a="1"/>
  <c r="AC206" i="4"/>
  <c r="AD206" i="4" s="1"/>
  <c r="AC205" i="4"/>
  <c r="AD205" i="4" s="1"/>
  <c r="AC204" i="4"/>
  <c r="AD204" i="4" s="1"/>
  <c r="AC184" i="4"/>
  <c r="AD184" i="4" s="1"/>
  <c r="AC183" i="4"/>
  <c r="AD183" i="4" s="1"/>
  <c r="AC182" i="4"/>
  <c r="AD182" i="4" s="1"/>
  <c r="AC181" i="4"/>
  <c r="AD181" i="4" s="1"/>
  <c r="AC180" i="4"/>
  <c r="AD180" i="4" s="1"/>
  <c r="AC179" i="4"/>
  <c r="AD179" i="4" s="1"/>
  <c r="AC178" i="4"/>
  <c r="AD178" i="4" s="1"/>
  <c r="AC177" i="4"/>
  <c r="AD177" i="4" s="1"/>
  <c r="AC193" i="4"/>
  <c r="AD193" i="4" s="1"/>
  <c r="AC192" i="4"/>
  <c r="AD192" i="4" s="1"/>
  <c r="AC191" i="4"/>
  <c r="AD191" i="4" s="1"/>
  <c r="AC190" i="4"/>
  <c r="AD190" i="4" s="1"/>
  <c r="AC189" i="4"/>
  <c r="AD189" i="4" s="1"/>
  <c r="AC188" i="4"/>
  <c r="AD188" i="4" s="1"/>
  <c r="AC187" i="4"/>
  <c r="AD187" i="4" s="1"/>
  <c r="AC186" i="4"/>
  <c r="AD186" i="4" s="1"/>
  <c r="AC185" i="4"/>
  <c r="AD185" i="4" s="1"/>
  <c r="AC203" i="4"/>
  <c r="AD203" i="4" s="1"/>
  <c r="AC176" i="4"/>
  <c r="AD176" i="4" s="1"/>
  <c r="AC175" i="4"/>
  <c r="AD175" i="4" s="1"/>
  <c r="AC174" i="4"/>
  <c r="AD174" i="4" s="1"/>
  <c r="AC93" i="4"/>
  <c r="AD93" i="4" s="1"/>
  <c r="AC92" i="4"/>
  <c r="AD92" i="4" s="1"/>
  <c r="AC91" i="4"/>
  <c r="AD91" i="4" s="1"/>
  <c r="AC90" i="4"/>
  <c r="AD90" i="4" s="1"/>
  <c r="AC24" i="4"/>
  <c r="AD24" i="4" s="1"/>
  <c r="AC23" i="4"/>
  <c r="AD23" i="4" s="1"/>
  <c r="AC22" i="4"/>
  <c r="AD22" i="4" s="1"/>
  <c r="AC170" i="4"/>
  <c r="AD170" i="4" s="1"/>
  <c r="AC169" i="4"/>
  <c r="AD169" i="4" s="1"/>
  <c r="AC168" i="4"/>
  <c r="AD168" i="4" s="1"/>
  <c r="AC167" i="4"/>
  <c r="AD167" i="4" s="1"/>
  <c r="AC166" i="4"/>
  <c r="AD166" i="4" s="1"/>
  <c r="AC164" i="4"/>
  <c r="AD164" i="4" s="1"/>
  <c r="AC163" i="4"/>
  <c r="AD163" i="4" s="1"/>
  <c r="AC83" i="4"/>
  <c r="AD83" i="4" s="1"/>
  <c r="AC82" i="4"/>
  <c r="AD82" i="4" s="1"/>
  <c r="AC81" i="4"/>
  <c r="AD81" i="4" s="1"/>
  <c r="AC70" i="4"/>
  <c r="AD70" i="4" s="1"/>
  <c r="AC69" i="4"/>
  <c r="AD69" i="4" s="1"/>
  <c r="AC68" i="4"/>
  <c r="AD68" i="4" s="1"/>
  <c r="AC67" i="4"/>
  <c r="AD67" i="4" s="1"/>
  <c r="AC11" i="4"/>
  <c r="AD11" i="4" s="1"/>
  <c r="AC10" i="4"/>
  <c r="AD10" i="4" s="1"/>
  <c r="AC9" i="4"/>
  <c r="AD9" i="4" s="1"/>
  <c r="AC38" i="4"/>
  <c r="AD38" i="4" s="1"/>
  <c r="AC37" i="4"/>
  <c r="AD37" i="4" s="1"/>
  <c r="AC8" i="4"/>
  <c r="AD8" i="4" s="1"/>
  <c r="AC7" i="4"/>
  <c r="AD7" i="4" s="1"/>
  <c r="AC6" i="4"/>
  <c r="AD6" i="4" s="1"/>
  <c r="AC5" i="4"/>
  <c r="AD5" i="4" s="1"/>
  <c r="AC4" i="4"/>
  <c r="AD4" i="4" s="1"/>
  <c r="AC3" i="4"/>
  <c r="AD3" i="4" s="1"/>
  <c r="AC142" i="4"/>
  <c r="AD142" i="4" s="1"/>
  <c r="AC141" i="4"/>
  <c r="AD141" i="4" s="1"/>
  <c r="AC140" i="4"/>
  <c r="AD140" i="4" s="1"/>
  <c r="AC139" i="4"/>
  <c r="AD139" i="4" s="1"/>
  <c r="AC138" i="4"/>
  <c r="AD138" i="4" s="1"/>
  <c r="AC63" i="4"/>
  <c r="AD63" i="4" s="1"/>
  <c r="AC62" i="4"/>
  <c r="AD62" i="4" s="1"/>
  <c r="AC61" i="4"/>
  <c r="AD61" i="4" s="1"/>
  <c r="AC60" i="4"/>
  <c r="AD60" i="4" s="1"/>
  <c r="AC165" i="4"/>
  <c r="AD165" i="4" s="1"/>
  <c r="AC173" i="4"/>
  <c r="AD173" i="4" s="1"/>
  <c r="AC172" i="4"/>
  <c r="AD172" i="4" s="1"/>
  <c r="AC171" i="4"/>
  <c r="AD171" i="4" s="1"/>
  <c r="AC106" i="4"/>
  <c r="AD106" i="4" s="1"/>
  <c r="AC105" i="4"/>
  <c r="AD105" i="4" s="1"/>
  <c r="AC104" i="4"/>
  <c r="AD104" i="4" s="1"/>
  <c r="AC103" i="4"/>
  <c r="AD103" i="4" s="1"/>
  <c r="AC148" i="4"/>
  <c r="AD148" i="4" s="1"/>
  <c r="AC147" i="4"/>
  <c r="AD147" i="4" s="1"/>
  <c r="AC146" i="4"/>
  <c r="AD146" i="4" s="1"/>
  <c r="AC145" i="4"/>
  <c r="AD145" i="4" s="1"/>
  <c r="AC144" i="4"/>
  <c r="AD144" i="4" s="1"/>
  <c r="AC143" i="4"/>
  <c r="AD143" i="4" s="1"/>
  <c r="AC55" i="4"/>
  <c r="AD55" i="4" s="1"/>
  <c r="AC54" i="4"/>
  <c r="AD54" i="4" s="1"/>
  <c r="AC153" i="4"/>
  <c r="AD153" i="4" s="1"/>
  <c r="AC152" i="4"/>
  <c r="AD152" i="4" s="1"/>
  <c r="AC151" i="4"/>
  <c r="AD151" i="4" s="1"/>
  <c r="AC150" i="4"/>
  <c r="AD150" i="4" s="1"/>
  <c r="AC149" i="4"/>
  <c r="AD149" i="4" s="1"/>
  <c r="AC161" i="4"/>
  <c r="AD161" i="4" s="1"/>
  <c r="AC160" i="4"/>
  <c r="AD160" i="4" s="1"/>
  <c r="AC159" i="4"/>
  <c r="AD159" i="4" s="1"/>
  <c r="AC158" i="4"/>
  <c r="AD158" i="4" s="1"/>
  <c r="AC157" i="4"/>
  <c r="AD157" i="4" s="1"/>
  <c r="AC156" i="4"/>
  <c r="AD156" i="4" s="1"/>
  <c r="AC155" i="4"/>
  <c r="AD155" i="4" s="1"/>
  <c r="AC154" i="4"/>
  <c r="AD154" i="4" s="1"/>
  <c r="AC137" i="4"/>
  <c r="AD137" i="4" s="1"/>
  <c r="AC136" i="4"/>
  <c r="AD136" i="4" s="1"/>
  <c r="AC135" i="4"/>
  <c r="AD135" i="4" s="1"/>
  <c r="AC134" i="4"/>
  <c r="AD134" i="4" s="1"/>
  <c r="AC133" i="4"/>
  <c r="AD133" i="4" s="1"/>
  <c r="AC132" i="4"/>
  <c r="AD132" i="4" s="1"/>
  <c r="AC274" i="4"/>
  <c r="AD274" i="4" s="1"/>
  <c r="AC130" i="4"/>
  <c r="AD130" i="4" s="1"/>
  <c r="AC129" i="4"/>
  <c r="AD129" i="4" s="1"/>
  <c r="AC128" i="4"/>
  <c r="AD128" i="4" s="1"/>
  <c r="AC127" i="4"/>
  <c r="AD127" i="4" s="1"/>
  <c r="AC126" i="4"/>
  <c r="AD126" i="4" s="1"/>
  <c r="AC125" i="4"/>
  <c r="AD125" i="4" s="1"/>
  <c r="AC122" i="4"/>
  <c r="AD122" i="4" s="1"/>
  <c r="X23" i="31"/>
  <c r="AA23" i="31" s="1"/>
  <c r="J268" i="29"/>
  <c r="J269" i="29"/>
  <c r="J270" i="29"/>
  <c r="J271" i="29"/>
  <c r="J272" i="29"/>
  <c r="J275" i="29"/>
  <c r="J276" i="29"/>
  <c r="J277" i="29"/>
  <c r="J280" i="29"/>
  <c r="J281" i="29"/>
  <c r="J282" i="29"/>
  <c r="J285" i="29"/>
  <c r="X22" i="31"/>
  <c r="AA22" i="31" s="1"/>
  <c r="Z239" i="11"/>
  <c r="Y21" i="31"/>
  <c r="AB21" i="31" s="1"/>
  <c r="X21" i="31"/>
  <c r="AA21" i="31" s="1"/>
  <c r="J234" i="29"/>
  <c r="J236" i="29"/>
  <c r="J237" i="29"/>
  <c r="J238" i="29"/>
  <c r="J239" i="29"/>
  <c r="J240" i="29"/>
  <c r="J241" i="29"/>
  <c r="J242" i="29"/>
  <c r="J243" i="29"/>
  <c r="J244" i="29"/>
  <c r="J245" i="29"/>
  <c r="J246" i="29"/>
  <c r="J249" i="29"/>
  <c r="J250" i="29"/>
  <c r="J251" i="29"/>
  <c r="J252" i="29"/>
  <c r="J253" i="29"/>
  <c r="J254" i="29"/>
  <c r="J255" i="29"/>
  <c r="J256" i="29"/>
  <c r="J257" i="29"/>
  <c r="J259" i="29"/>
  <c r="J260" i="29"/>
  <c r="J261" i="29"/>
  <c r="J262" i="29"/>
  <c r="J263" i="29"/>
  <c r="J266" i="29"/>
  <c r="Z240" i="11"/>
  <c r="Z241" i="11"/>
  <c r="J225" i="29"/>
  <c r="J226" i="29"/>
  <c r="J227" i="29"/>
  <c r="J230" i="29"/>
  <c r="J231" i="29"/>
  <c r="J232" i="29"/>
  <c r="J233" i="29"/>
  <c r="Z242" i="11"/>
  <c r="Z245" i="11"/>
  <c r="Z246" i="11"/>
  <c r="Z247" i="11"/>
  <c r="Z248" i="11"/>
  <c r="AK229" i="1"/>
  <c r="X18" i="31"/>
  <c r="AA18" i="31" s="1"/>
  <c r="J214" i="29"/>
  <c r="J215" i="29"/>
  <c r="J216" i="29"/>
  <c r="J217" i="29"/>
  <c r="J218" i="29"/>
  <c r="J220" i="29"/>
  <c r="J222" i="29"/>
  <c r="J223" i="29"/>
  <c r="J224" i="29"/>
  <c r="J213" i="29"/>
  <c r="Z243" i="11"/>
  <c r="Z244" i="11"/>
  <c r="J193" i="29"/>
  <c r="J196" i="29"/>
  <c r="J197" i="29"/>
  <c r="J203" i="29"/>
  <c r="J204" i="29"/>
  <c r="J206" i="29"/>
  <c r="J211" i="29"/>
  <c r="J212" i="29"/>
  <c r="X13" i="31"/>
  <c r="AA13" i="31" s="1"/>
  <c r="J182" i="29"/>
  <c r="J183" i="29"/>
  <c r="J184" i="29"/>
  <c r="J185" i="29"/>
  <c r="J187" i="29"/>
  <c r="J188" i="29"/>
  <c r="J190" i="29"/>
  <c r="J191" i="29"/>
  <c r="J192" i="29"/>
  <c r="Y10" i="31"/>
  <c r="AB10" i="31" s="1"/>
  <c r="J157" i="29"/>
  <c r="J158" i="29"/>
  <c r="J159" i="29"/>
  <c r="J161" i="29"/>
  <c r="J162" i="29"/>
  <c r="J163" i="29"/>
  <c r="J164" i="29"/>
  <c r="J165" i="29"/>
  <c r="J168" i="29"/>
  <c r="J170" i="29"/>
  <c r="J171" i="29"/>
  <c r="J172" i="29"/>
  <c r="J173" i="29"/>
  <c r="J175" i="29"/>
  <c r="J176" i="29"/>
  <c r="J177" i="29"/>
  <c r="J178" i="29"/>
  <c r="J181" i="29"/>
  <c r="J146" i="29"/>
  <c r="J147" i="29"/>
  <c r="J148" i="29"/>
  <c r="J149" i="29"/>
  <c r="J150" i="29"/>
  <c r="J151" i="29"/>
  <c r="J152" i="29"/>
  <c r="J153" i="29"/>
  <c r="J154" i="29"/>
  <c r="J155" i="29"/>
  <c r="W7" i="31"/>
  <c r="AA7" i="31" s="1"/>
  <c r="J49" i="34"/>
  <c r="J49" i="32"/>
  <c r="J145" i="29"/>
  <c r="J140" i="29"/>
  <c r="J141" i="29"/>
  <c r="J144" i="29"/>
  <c r="U4" i="31"/>
  <c r="J120" i="29"/>
  <c r="J121" i="29"/>
  <c r="J122" i="29"/>
  <c r="J123" i="29"/>
  <c r="J124" i="29"/>
  <c r="J125" i="29"/>
  <c r="J126" i="29"/>
  <c r="J127" i="29"/>
  <c r="J128" i="29"/>
  <c r="J130" i="29"/>
  <c r="J131" i="29"/>
  <c r="J132" i="29"/>
  <c r="J133" i="29"/>
  <c r="J134" i="29"/>
  <c r="J135" i="29"/>
  <c r="J136" i="29"/>
  <c r="AA188" i="30"/>
  <c r="AA136" i="30"/>
  <c r="AA71" i="30"/>
  <c r="Z235" i="30"/>
  <c r="Y235" i="30"/>
  <c r="X235" i="30"/>
  <c r="J113" i="29"/>
  <c r="J114" i="29"/>
  <c r="J115" i="29"/>
  <c r="J116" i="29"/>
  <c r="J117" i="29"/>
  <c r="J118" i="29"/>
  <c r="J119" i="29"/>
  <c r="J111" i="29"/>
  <c r="J112" i="29"/>
  <c r="J92" i="29"/>
  <c r="J93" i="29"/>
  <c r="J94" i="29"/>
  <c r="J95" i="29"/>
  <c r="J96" i="29"/>
  <c r="J97" i="29"/>
  <c r="J100" i="29"/>
  <c r="J101" i="29"/>
  <c r="J102" i="29"/>
  <c r="J103" i="29"/>
  <c r="J104" i="29"/>
  <c r="J105" i="29"/>
  <c r="J106" i="29"/>
  <c r="J107" i="29"/>
  <c r="J108" i="29"/>
  <c r="J90" i="29"/>
  <c r="J89" i="29"/>
  <c r="J88" i="29"/>
  <c r="J74" i="29"/>
  <c r="J75" i="29"/>
  <c r="J76" i="29"/>
  <c r="J77" i="29"/>
  <c r="J78" i="29"/>
  <c r="J79" i="29"/>
  <c r="J80" i="29"/>
  <c r="J81" i="29"/>
  <c r="J82" i="29"/>
  <c r="J83" i="29"/>
  <c r="J84" i="29"/>
  <c r="J85" i="29"/>
  <c r="J86" i="29"/>
  <c r="J87" i="29"/>
  <c r="J73" i="29"/>
  <c r="J64" i="29"/>
  <c r="J65" i="29"/>
  <c r="J66" i="29"/>
  <c r="J67" i="29"/>
  <c r="J68" i="29"/>
  <c r="J70" i="29"/>
  <c r="J71" i="29"/>
  <c r="J63" i="29"/>
  <c r="AC12" i="4"/>
  <c r="AD12" i="4" s="1"/>
  <c r="AC13" i="4"/>
  <c r="AD13" i="4" s="1"/>
  <c r="AC14" i="4"/>
  <c r="AD14" i="4" s="1"/>
  <c r="AC15" i="4"/>
  <c r="AD15" i="4" s="1"/>
  <c r="AC16" i="4"/>
  <c r="AD16" i="4" s="1"/>
  <c r="AC17" i="4"/>
  <c r="AD17" i="4" s="1"/>
  <c r="AC18" i="4"/>
  <c r="AD18" i="4" s="1"/>
  <c r="AC19" i="4"/>
  <c r="AD19" i="4" s="1"/>
  <c r="AC20" i="4"/>
  <c r="AD20" i="4" s="1"/>
  <c r="AC21" i="4"/>
  <c r="AD21" i="4" s="1"/>
  <c r="AC25" i="4"/>
  <c r="AD25" i="4" s="1"/>
  <c r="AC26" i="4"/>
  <c r="AD26" i="4" s="1"/>
  <c r="AC27" i="4"/>
  <c r="AD27" i="4" s="1"/>
  <c r="AC28" i="4"/>
  <c r="AD28" i="4" s="1"/>
  <c r="AC29" i="4"/>
  <c r="AD29" i="4" s="1"/>
  <c r="AC30" i="4"/>
  <c r="AD30" i="4" s="1"/>
  <c r="AC31" i="4"/>
  <c r="AD31" i="4" s="1"/>
  <c r="AC32" i="4"/>
  <c r="AD32" i="4" s="1"/>
  <c r="AC33" i="4"/>
  <c r="AD33" i="4" s="1"/>
  <c r="AC34" i="4"/>
  <c r="AD34" i="4" s="1"/>
  <c r="AC35" i="4"/>
  <c r="AD35" i="4" s="1"/>
  <c r="AC36" i="4"/>
  <c r="AD36" i="4" s="1"/>
  <c r="AC39" i="4"/>
  <c r="AD39" i="4" s="1"/>
  <c r="AC40" i="4"/>
  <c r="AD40" i="4" s="1"/>
  <c r="AC41" i="4"/>
  <c r="AD41" i="4" s="1"/>
  <c r="AC42" i="4"/>
  <c r="AD42" i="4" s="1"/>
  <c r="AC43" i="4"/>
  <c r="AD43" i="4" s="1"/>
  <c r="AC44" i="4"/>
  <c r="AD44" i="4" s="1"/>
  <c r="AC45" i="4"/>
  <c r="AD45" i="4" s="1"/>
  <c r="AC46" i="4"/>
  <c r="AD46" i="4" s="1"/>
  <c r="AC47" i="4"/>
  <c r="AD47" i="4" s="1"/>
  <c r="AC48" i="4"/>
  <c r="AD48" i="4" s="1"/>
  <c r="AC49" i="4"/>
  <c r="AD49" i="4" s="1"/>
  <c r="AC50" i="4"/>
  <c r="AD50" i="4" s="1"/>
  <c r="AC51" i="4"/>
  <c r="AD51" i="4" s="1"/>
  <c r="AC52" i="4"/>
  <c r="AD52" i="4" s="1"/>
  <c r="AC53" i="4"/>
  <c r="AD53" i="4" s="1"/>
  <c r="AC64" i="4"/>
  <c r="AD64" i="4" s="1"/>
  <c r="AC65" i="4"/>
  <c r="AD65" i="4" s="1"/>
  <c r="AC66" i="4"/>
  <c r="AD66" i="4" s="1"/>
  <c r="AC71" i="4"/>
  <c r="AD71" i="4" s="1"/>
  <c r="AC72" i="4"/>
  <c r="AD72" i="4" s="1"/>
  <c r="AC73" i="4"/>
  <c r="AD73" i="4" s="1"/>
  <c r="AC74" i="4"/>
  <c r="AD74" i="4" s="1"/>
  <c r="AC75" i="4"/>
  <c r="AD75" i="4" s="1"/>
  <c r="AC76" i="4"/>
  <c r="AD76" i="4" s="1"/>
  <c r="AC77" i="4"/>
  <c r="AD77" i="4" s="1"/>
  <c r="AC78" i="4"/>
  <c r="AD78" i="4" s="1"/>
  <c r="AC79" i="4"/>
  <c r="AD79" i="4" s="1"/>
  <c r="AC80" i="4"/>
  <c r="AD80" i="4" s="1"/>
  <c r="AC94" i="4"/>
  <c r="AD94" i="4" s="1"/>
  <c r="AC95" i="4"/>
  <c r="AD95" i="4" s="1"/>
  <c r="AC96" i="4"/>
  <c r="AD96" i="4" s="1"/>
  <c r="AC97" i="4"/>
  <c r="AD97" i="4" s="1"/>
  <c r="AC98" i="4"/>
  <c r="AD98" i="4" s="1"/>
  <c r="AC99" i="4"/>
  <c r="AD99" i="4" s="1"/>
  <c r="AC100" i="4"/>
  <c r="AD100" i="4" s="1"/>
  <c r="AC101" i="4"/>
  <c r="AD101" i="4" s="1"/>
  <c r="AC102" i="4"/>
  <c r="AD102" i="4" s="1"/>
  <c r="AC107" i="4"/>
  <c r="AD107" i="4" s="1"/>
  <c r="AC108" i="4"/>
  <c r="AD108" i="4" s="1"/>
  <c r="AC109" i="4"/>
  <c r="AD109" i="4" s="1"/>
  <c r="AC110" i="4"/>
  <c r="AD110" i="4" s="1"/>
  <c r="AC111" i="4"/>
  <c r="AD111" i="4" s="1"/>
  <c r="AC112" i="4"/>
  <c r="AD112" i="4" s="1"/>
  <c r="AC113" i="4"/>
  <c r="AD113" i="4" s="1"/>
  <c r="AC114" i="4"/>
  <c r="AD114" i="4" s="1"/>
  <c r="AC115" i="4"/>
  <c r="AD115" i="4" s="1"/>
  <c r="AC116" i="4"/>
  <c r="AD116" i="4" s="1"/>
  <c r="AC117" i="4"/>
  <c r="AD117" i="4" s="1"/>
  <c r="AC118" i="4"/>
  <c r="AD118" i="4" s="1"/>
  <c r="AC119" i="4"/>
  <c r="AD119" i="4" s="1"/>
  <c r="AC120" i="4"/>
  <c r="AD120" i="4" s="1"/>
  <c r="J40" i="29"/>
  <c r="AK228" i="1"/>
  <c r="AK227" i="1"/>
  <c r="AK226" i="1"/>
  <c r="AK225" i="1"/>
  <c r="AK224" i="1"/>
  <c r="AK222" i="1"/>
  <c r="AK221" i="1"/>
  <c r="AK220" i="1"/>
  <c r="AK219" i="1"/>
  <c r="AK218" i="1"/>
  <c r="AK216" i="1"/>
  <c r="AK215" i="1"/>
  <c r="AK214" i="1"/>
  <c r="AK213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5" i="1"/>
  <c r="AK194" i="1"/>
  <c r="AK193" i="1"/>
  <c r="AK192" i="1"/>
  <c r="AK191" i="1"/>
  <c r="AK190" i="1"/>
  <c r="AK189" i="1"/>
  <c r="AK187" i="1"/>
  <c r="AK186" i="1"/>
  <c r="AK185" i="1"/>
  <c r="AK184" i="1"/>
  <c r="AK183" i="1"/>
  <c r="AK182" i="1"/>
  <c r="AK181" i="1"/>
  <c r="AK180" i="1"/>
  <c r="AK179" i="1"/>
  <c r="AK178" i="1"/>
  <c r="AK177" i="1"/>
  <c r="AK175" i="1"/>
  <c r="AK174" i="1"/>
  <c r="AK173" i="1"/>
  <c r="AK172" i="1"/>
  <c r="AK171" i="1"/>
  <c r="AK170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1" i="1"/>
  <c r="AK150" i="1"/>
  <c r="AK149" i="1"/>
  <c r="AK148" i="1"/>
  <c r="AK146" i="1"/>
  <c r="AK145" i="1"/>
  <c r="AK144" i="1"/>
  <c r="AK142" i="1"/>
  <c r="AK141" i="1"/>
  <c r="AK140" i="1"/>
  <c r="AK139" i="1"/>
  <c r="AK138" i="1"/>
  <c r="AK137" i="1"/>
  <c r="AK136" i="1"/>
  <c r="AK135" i="1"/>
  <c r="AK134" i="1"/>
  <c r="AK133" i="1"/>
  <c r="AK132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/>
  <c r="F35" i="29"/>
  <c r="J35" i="29" s="1"/>
  <c r="F33" i="29"/>
  <c r="F29" i="29"/>
  <c r="J29" i="29" s="1"/>
  <c r="F28" i="29"/>
  <c r="F23" i="29"/>
  <c r="F20" i="29"/>
  <c r="F19" i="29"/>
  <c r="J19" i="29" s="1"/>
  <c r="F18" i="29"/>
  <c r="J18" i="29" s="1"/>
  <c r="F17" i="29"/>
  <c r="J17" i="29" s="1"/>
  <c r="F8" i="29"/>
  <c r="J8" i="29" s="1"/>
  <c r="F7" i="29"/>
  <c r="F4" i="29"/>
  <c r="J4" i="29" s="1"/>
  <c r="F3" i="29"/>
  <c r="J3" i="29" s="1"/>
  <c r="R197" i="30"/>
  <c r="R180" i="30"/>
  <c r="J42" i="29"/>
  <c r="J43" i="29"/>
  <c r="J44" i="29"/>
  <c r="J45" i="29"/>
  <c r="J46" i="29"/>
  <c r="J49" i="29"/>
  <c r="J50" i="29"/>
  <c r="J52" i="29"/>
  <c r="J53" i="29"/>
  <c r="J54" i="29"/>
  <c r="J56" i="29"/>
  <c r="F14" i="29"/>
  <c r="BC97" i="4"/>
  <c r="BC98" i="4"/>
  <c r="BC99" i="4"/>
  <c r="BC100" i="4"/>
  <c r="BC101" i="4"/>
  <c r="BC102" i="4"/>
  <c r="BC103" i="4"/>
  <c r="BC104" i="4"/>
  <c r="BC105" i="4"/>
  <c r="BC106" i="4"/>
  <c r="BC107" i="4"/>
  <c r="BC108" i="4"/>
  <c r="BC109" i="4"/>
  <c r="BC110" i="4"/>
  <c r="BC111" i="4"/>
  <c r="BC112" i="4"/>
  <c r="BC113" i="4"/>
  <c r="BC114" i="4"/>
  <c r="BC115" i="4"/>
  <c r="BC116" i="4"/>
  <c r="BC117" i="4"/>
  <c r="BC118" i="4"/>
  <c r="BC119" i="4"/>
  <c r="BC120" i="4"/>
  <c r="BC121" i="4"/>
  <c r="BC122" i="4"/>
  <c r="BC123" i="4"/>
  <c r="BC124" i="4"/>
  <c r="BC125" i="4"/>
  <c r="BC126" i="4"/>
  <c r="BC127" i="4"/>
  <c r="BC128" i="4"/>
  <c r="BC129" i="4"/>
  <c r="BC130" i="4"/>
  <c r="BC131" i="4"/>
  <c r="BC132" i="4"/>
  <c r="BC133" i="4"/>
  <c r="BC134" i="4"/>
  <c r="BC135" i="4"/>
  <c r="BC136" i="4"/>
  <c r="BC137" i="4"/>
  <c r="BC138" i="4"/>
  <c r="BC139" i="4"/>
  <c r="BC140" i="4"/>
  <c r="BC141" i="4"/>
  <c r="BC142" i="4"/>
  <c r="BC143" i="4"/>
  <c r="BC144" i="4"/>
  <c r="BC145" i="4"/>
  <c r="BC146" i="4"/>
  <c r="BC147" i="4"/>
  <c r="BC148" i="4"/>
  <c r="BC149" i="4"/>
  <c r="BC150" i="4"/>
  <c r="BC151" i="4"/>
  <c r="BC152" i="4"/>
  <c r="BC153" i="4"/>
  <c r="BC154" i="4"/>
  <c r="BC155" i="4"/>
  <c r="BC156" i="4"/>
  <c r="BC157" i="4"/>
  <c r="BC158" i="4"/>
  <c r="BC159" i="4"/>
  <c r="BC160" i="4"/>
  <c r="BC161" i="4"/>
  <c r="BC162" i="4"/>
  <c r="BC163" i="4"/>
  <c r="BC164" i="4"/>
  <c r="BC165" i="4"/>
  <c r="BC166" i="4"/>
  <c r="BC167" i="4"/>
  <c r="BC168" i="4"/>
  <c r="BC169" i="4"/>
  <c r="BC170" i="4"/>
  <c r="BC171" i="4"/>
  <c r="BC172" i="4"/>
  <c r="BC173" i="4"/>
  <c r="BC174" i="4"/>
  <c r="BC175" i="4"/>
  <c r="BC176" i="4"/>
  <c r="BC177" i="4"/>
  <c r="O2" i="30"/>
  <c r="J10" i="29"/>
  <c r="J11" i="29"/>
  <c r="J22" i="29"/>
  <c r="J24" i="29"/>
  <c r="J27" i="29"/>
  <c r="J32" i="29"/>
  <c r="J34" i="29"/>
  <c r="J37" i="29"/>
  <c r="J39" i="29"/>
  <c r="J31" i="29"/>
  <c r="J30" i="29"/>
  <c r="J26" i="29"/>
  <c r="F25" i="29"/>
  <c r="J25" i="29" s="1"/>
  <c r="J21" i="29"/>
  <c r="F16" i="29"/>
  <c r="J16" i="29" s="1"/>
  <c r="J15" i="29"/>
  <c r="F13" i="29"/>
  <c r="J13" i="29" s="1"/>
  <c r="F12" i="29"/>
  <c r="F9" i="29"/>
  <c r="J9" i="29" s="1"/>
  <c r="F6" i="29"/>
  <c r="J6" i="29" s="1"/>
  <c r="F5" i="29"/>
  <c r="F2" i="29"/>
  <c r="J2" i="29" s="1"/>
  <c r="G11" i="26"/>
  <c r="H11" i="26" s="1"/>
  <c r="G10" i="26"/>
  <c r="H10" i="26" s="1"/>
  <c r="G9" i="26"/>
  <c r="H9" i="26" s="1"/>
  <c r="G8" i="26"/>
  <c r="H8" i="26" s="1"/>
  <c r="G7" i="26"/>
  <c r="H7" i="26" s="1"/>
  <c r="G6" i="26"/>
  <c r="H6" i="26" s="1"/>
  <c r="G5" i="26"/>
  <c r="G4" i="26"/>
  <c r="C15" i="24"/>
  <c r="J13" i="24"/>
  <c r="AB2" i="13"/>
  <c r="AC2" i="13" s="1"/>
  <c r="AB3" i="13"/>
  <c r="AC3" i="13" s="1"/>
  <c r="AB4" i="13"/>
  <c r="AC4" i="13" s="1"/>
  <c r="AB5" i="13"/>
  <c r="AC5" i="13" s="1"/>
  <c r="AB6" i="13"/>
  <c r="AC6" i="13" s="1"/>
  <c r="AB7" i="13"/>
  <c r="AC7" i="13" s="1"/>
  <c r="AB8" i="13"/>
  <c r="AB9" i="13"/>
  <c r="AC9" i="13" s="1"/>
  <c r="AB10" i="13"/>
  <c r="AC10" i="13" s="1"/>
  <c r="AB11" i="13"/>
  <c r="AC11" i="13" s="1"/>
  <c r="AB12" i="13"/>
  <c r="AC12" i="13" s="1"/>
  <c r="AB13" i="13"/>
  <c r="AC13" i="13" s="1"/>
  <c r="AB14" i="13"/>
  <c r="AB15" i="13"/>
  <c r="AC15" i="13" s="1"/>
  <c r="AB16" i="13"/>
  <c r="AC16" i="13" s="1"/>
  <c r="AB17" i="13"/>
  <c r="AB18" i="13"/>
  <c r="AC18" i="13" s="1"/>
  <c r="AB19" i="13"/>
  <c r="AC19" i="13" s="1"/>
  <c r="AB20" i="13"/>
  <c r="AC20" i="13" s="1"/>
  <c r="AB21" i="13"/>
  <c r="AC21" i="13" s="1"/>
  <c r="AB22" i="13"/>
  <c r="AC22" i="13" s="1"/>
  <c r="AB23" i="13"/>
  <c r="AC23" i="13" s="1"/>
  <c r="AB24" i="13"/>
  <c r="AB25" i="13"/>
  <c r="AC25" i="13" s="1"/>
  <c r="AB26" i="13"/>
  <c r="AC26" i="13" s="1"/>
  <c r="AB27" i="13"/>
  <c r="AC27" i="13" s="1"/>
  <c r="AB28" i="13"/>
  <c r="AC28" i="13" s="1"/>
  <c r="AB29" i="13"/>
  <c r="AC29" i="13" s="1"/>
  <c r="AB30" i="13"/>
  <c r="AC30" i="13" s="1"/>
  <c r="AB31" i="13"/>
  <c r="AC31" i="13" s="1"/>
  <c r="AB32" i="13"/>
  <c r="AC32" i="13" s="1"/>
  <c r="AB33" i="13"/>
  <c r="AC33" i="13" s="1"/>
  <c r="AB34" i="13"/>
  <c r="AC34" i="13" s="1"/>
  <c r="AB35" i="13"/>
  <c r="AC35" i="13" s="1"/>
  <c r="AB36" i="13"/>
  <c r="AC36" i="13" s="1"/>
  <c r="AB37" i="13"/>
  <c r="AC37" i="13" s="1"/>
  <c r="AB38" i="13"/>
  <c r="AC38" i="13" s="1"/>
  <c r="AB39" i="13"/>
  <c r="AC39" i="13" s="1"/>
  <c r="AB40" i="13"/>
  <c r="AC40" i="13" s="1"/>
  <c r="AB41" i="13"/>
  <c r="AC41" i="13" s="1"/>
  <c r="AB42" i="13"/>
  <c r="AC42" i="13" s="1"/>
  <c r="AB43" i="13"/>
  <c r="AC43" i="13" s="1"/>
  <c r="AB44" i="13"/>
  <c r="AC44" i="13" s="1"/>
  <c r="AB45" i="13"/>
  <c r="AC45" i="13" s="1"/>
  <c r="AB46" i="13"/>
  <c r="AC46" i="13" s="1"/>
  <c r="AB47" i="13"/>
  <c r="AC47" i="13" s="1"/>
  <c r="AB48" i="13"/>
  <c r="AC48" i="13" s="1"/>
  <c r="AB49" i="13"/>
  <c r="AC49" i="13" s="1"/>
  <c r="AB50" i="13"/>
  <c r="AC50" i="13" s="1"/>
  <c r="AB51" i="13"/>
  <c r="AC51" i="13" s="1"/>
  <c r="AB52" i="13"/>
  <c r="AC52" i="13" s="1"/>
  <c r="AB53" i="13"/>
  <c r="AC53" i="13" s="1"/>
  <c r="AB54" i="13"/>
  <c r="AC54" i="13" s="1"/>
  <c r="AB55" i="13"/>
  <c r="AC55" i="13" s="1"/>
  <c r="AB56" i="13"/>
  <c r="AC56" i="13" s="1"/>
  <c r="AB57" i="13"/>
  <c r="AC57" i="13" s="1"/>
  <c r="AB58" i="13"/>
  <c r="AC58" i="13" s="1"/>
  <c r="AB59" i="13"/>
  <c r="AB60" i="13"/>
  <c r="AC60" i="13" s="1"/>
  <c r="AB61" i="13"/>
  <c r="AC61" i="13" s="1"/>
  <c r="AB62" i="13"/>
  <c r="AC62" i="13" s="1"/>
  <c r="AB63" i="13"/>
  <c r="AC63" i="13" s="1"/>
  <c r="AB64" i="13"/>
  <c r="AC64" i="13" s="1"/>
  <c r="AB65" i="13"/>
  <c r="AC65" i="13" s="1"/>
  <c r="AB66" i="13"/>
  <c r="AC66" i="13" s="1"/>
  <c r="AB67" i="13"/>
  <c r="AC67" i="13" s="1"/>
  <c r="AB68" i="13"/>
  <c r="AC68" i="13" s="1"/>
  <c r="AB69" i="13"/>
  <c r="AC69" i="13" s="1"/>
  <c r="AB70" i="13"/>
  <c r="AC70" i="13" s="1"/>
  <c r="AB71" i="13"/>
  <c r="AC71" i="13" s="1"/>
  <c r="AB72" i="13"/>
  <c r="AC72" i="13" s="1"/>
  <c r="AB73" i="13"/>
  <c r="AC73" i="13" s="1"/>
  <c r="AB74" i="13"/>
  <c r="AC74" i="13" s="1"/>
  <c r="AB75" i="13"/>
  <c r="AC75" i="13" s="1"/>
  <c r="AB76" i="13"/>
  <c r="AC76" i="13" s="1"/>
  <c r="AB77" i="13"/>
  <c r="AC77" i="13" s="1"/>
  <c r="AB78" i="13"/>
  <c r="AC78" i="13" s="1"/>
  <c r="AB79" i="13"/>
  <c r="AC79" i="13" s="1"/>
  <c r="AB80" i="13"/>
  <c r="AC80" i="13" s="1"/>
  <c r="AB81" i="13"/>
  <c r="AC81" i="13" s="1"/>
  <c r="AB82" i="13"/>
  <c r="AC82" i="13" s="1"/>
  <c r="AB83" i="13"/>
  <c r="AC83" i="13" s="1"/>
  <c r="AB84" i="13"/>
  <c r="AC84" i="13" s="1"/>
  <c r="AB85" i="13"/>
  <c r="AC85" i="13" s="1"/>
  <c r="AB86" i="13"/>
  <c r="AC86" i="13" s="1"/>
  <c r="AB87" i="13"/>
  <c r="AC87" i="13" s="1"/>
  <c r="AB88" i="13"/>
  <c r="AC88" i="13" s="1"/>
  <c r="AB89" i="13"/>
  <c r="AC89" i="13" s="1"/>
  <c r="AB90" i="13"/>
  <c r="AC90" i="13" s="1"/>
  <c r="AB91" i="13"/>
  <c r="AF18" i="13" s="1"/>
  <c r="AG18" i="13" s="1"/>
  <c r="AB92" i="13"/>
  <c r="AC92" i="13" s="1"/>
  <c r="AB93" i="13"/>
  <c r="AC93" i="13" s="1"/>
  <c r="AB94" i="13"/>
  <c r="AC94" i="13" s="1"/>
  <c r="AB95" i="13"/>
  <c r="AC95" i="13" s="1"/>
  <c r="AB96" i="13"/>
  <c r="AC96" i="13" s="1"/>
  <c r="AB97" i="13"/>
  <c r="AC97" i="13" s="1"/>
  <c r="AB98" i="13"/>
  <c r="AC98" i="13" s="1"/>
  <c r="AB99" i="13"/>
  <c r="AC99" i="13" s="1"/>
  <c r="AB100" i="13"/>
  <c r="AC100" i="13" s="1"/>
  <c r="AB101" i="13"/>
  <c r="AC101" i="13" s="1"/>
  <c r="AB102" i="13"/>
  <c r="AC102" i="13" s="1"/>
  <c r="AB103" i="13"/>
  <c r="AC103" i="13" s="1"/>
  <c r="AB104" i="13"/>
  <c r="AC104" i="13" s="1"/>
  <c r="AB105" i="13"/>
  <c r="AC105" i="13" s="1"/>
  <c r="AB106" i="13"/>
  <c r="AC106" i="13" s="1"/>
  <c r="AB107" i="13"/>
  <c r="AC107" i="13" s="1"/>
  <c r="AB108" i="13"/>
  <c r="AC108" i="13" s="1"/>
  <c r="AB109" i="13"/>
  <c r="AC109" i="13" s="1"/>
  <c r="AB110" i="13"/>
  <c r="AC110" i="13" s="1"/>
  <c r="AB111" i="13"/>
  <c r="AC111" i="13" s="1"/>
  <c r="AB112" i="13"/>
  <c r="AC112" i="13" s="1"/>
  <c r="AB113" i="13"/>
  <c r="AC113" i="13" s="1"/>
  <c r="AB114" i="13"/>
  <c r="AC114" i="13" s="1"/>
  <c r="AB115" i="13"/>
  <c r="AB116" i="13"/>
  <c r="AB117" i="13"/>
  <c r="AC117" i="13" s="1"/>
  <c r="AB118" i="13"/>
  <c r="AC118" i="13" s="1"/>
  <c r="AB119" i="13"/>
  <c r="AC119" i="13" s="1"/>
  <c r="AB120" i="13"/>
  <c r="AC120" i="13" s="1"/>
  <c r="AB121" i="13"/>
  <c r="AC121" i="13" s="1"/>
  <c r="AB122" i="13"/>
  <c r="AC122" i="13" s="1"/>
  <c r="AB123" i="13"/>
  <c r="AC123" i="13" s="1"/>
  <c r="AB124" i="13"/>
  <c r="AC124" i="13" s="1"/>
  <c r="AB125" i="13"/>
  <c r="AC125" i="13" s="1"/>
  <c r="AB126" i="13"/>
  <c r="AC126" i="13" s="1"/>
  <c r="AB127" i="13"/>
  <c r="AC127" i="13" s="1"/>
  <c r="AB128" i="13"/>
  <c r="AC128" i="13" s="1"/>
  <c r="AB129" i="13"/>
  <c r="AC129" i="13" s="1"/>
  <c r="AB130" i="13"/>
  <c r="AC130" i="13" s="1"/>
  <c r="AB131" i="13"/>
  <c r="AC131" i="13" s="1"/>
  <c r="AB132" i="13"/>
  <c r="AC132" i="13" s="1"/>
  <c r="AB133" i="13"/>
  <c r="AC133" i="13" s="1"/>
  <c r="AB134" i="13"/>
  <c r="AC134" i="13" s="1"/>
  <c r="AB135" i="13"/>
  <c r="AC135" i="13" s="1"/>
  <c r="AB136" i="13"/>
  <c r="AC136" i="13" s="1"/>
  <c r="AB137" i="13"/>
  <c r="AC137" i="13" s="1"/>
  <c r="AB138" i="13"/>
  <c r="AC138" i="13" s="1"/>
  <c r="AB139" i="13"/>
  <c r="AC139" i="13" s="1"/>
  <c r="AB140" i="13"/>
  <c r="AC140" i="13" s="1"/>
  <c r="AB141" i="13"/>
  <c r="AC141" i="13" s="1"/>
  <c r="AB142" i="13"/>
  <c r="AC142" i="13" s="1"/>
  <c r="AB143" i="13"/>
  <c r="AC143" i="13" s="1"/>
  <c r="AB144" i="13"/>
  <c r="AC144" i="13" s="1"/>
  <c r="AB145" i="13"/>
  <c r="AC145" i="13" s="1"/>
  <c r="AB146" i="13"/>
  <c r="AC146" i="13" s="1"/>
  <c r="AB147" i="13"/>
  <c r="AC147" i="13" s="1"/>
  <c r="AB148" i="13"/>
  <c r="AC148" i="13" s="1"/>
  <c r="AB149" i="13"/>
  <c r="AC149" i="13" s="1"/>
  <c r="AB150" i="13"/>
  <c r="AC150" i="13" s="1"/>
  <c r="AB151" i="13"/>
  <c r="AC151" i="13" s="1"/>
  <c r="AB152" i="13"/>
  <c r="AC152" i="13" s="1"/>
  <c r="AB153" i="13"/>
  <c r="AC153" i="13" s="1"/>
  <c r="AB154" i="13"/>
  <c r="AC154" i="13" s="1"/>
  <c r="AB155" i="13"/>
  <c r="AC155" i="13" s="1"/>
  <c r="AB156" i="13"/>
  <c r="AC156" i="13" s="1"/>
  <c r="AB157" i="13"/>
  <c r="AC157" i="13" s="1"/>
  <c r="AB158" i="13"/>
  <c r="AC158" i="13" s="1"/>
  <c r="AB159" i="13"/>
  <c r="AC159" i="13" s="1"/>
  <c r="AB160" i="13"/>
  <c r="AC160" i="13" s="1"/>
  <c r="AB161" i="13"/>
  <c r="AC161" i="13" s="1"/>
  <c r="AB162" i="13"/>
  <c r="AC162" i="13" s="1"/>
  <c r="AB163" i="13"/>
  <c r="AC163" i="13" s="1"/>
  <c r="AB164" i="13"/>
  <c r="AC164" i="13" s="1"/>
  <c r="AB165" i="13"/>
  <c r="AC165" i="13" s="1"/>
  <c r="AB166" i="13"/>
  <c r="AC166" i="13" s="1"/>
  <c r="AB167" i="13"/>
  <c r="AC167" i="13" s="1"/>
  <c r="AB168" i="13"/>
  <c r="AB169" i="13"/>
  <c r="AC169" i="13" s="1"/>
  <c r="AB170" i="13"/>
  <c r="AC170" i="13" s="1"/>
  <c r="AB171" i="13"/>
  <c r="AC171" i="13" s="1"/>
  <c r="AB172" i="13"/>
  <c r="AC172" i="13" s="1"/>
  <c r="AB173" i="13"/>
  <c r="AC173" i="13" s="1"/>
  <c r="AB174" i="13"/>
  <c r="AC174" i="13" s="1"/>
  <c r="AB175" i="13"/>
  <c r="AC175" i="13" s="1"/>
  <c r="AB176" i="13"/>
  <c r="AC176" i="13" s="1"/>
  <c r="AB177" i="13"/>
  <c r="AC177" i="13" s="1"/>
  <c r="AB178" i="13"/>
  <c r="AC178" i="13" s="1"/>
  <c r="AB179" i="13"/>
  <c r="AC179" i="13" s="1"/>
  <c r="AB180" i="13"/>
  <c r="AC180" i="13" s="1"/>
  <c r="AB181" i="13"/>
  <c r="AC181" i="13" s="1"/>
  <c r="AB182" i="13"/>
  <c r="AC182" i="13" s="1"/>
  <c r="AB183" i="13"/>
  <c r="AC183" i="13" s="1"/>
  <c r="AB184" i="13"/>
  <c r="AC184" i="13" s="1"/>
  <c r="AB185" i="13"/>
  <c r="AC185" i="13" s="1"/>
  <c r="AB186" i="13"/>
  <c r="AC186" i="13" s="1"/>
  <c r="AB187" i="13"/>
  <c r="AC187" i="13" s="1"/>
  <c r="AB188" i="13"/>
  <c r="AC188" i="13" s="1"/>
  <c r="AB189" i="13"/>
  <c r="AC189" i="13" s="1"/>
  <c r="AB190" i="13"/>
  <c r="AC190" i="13" s="1"/>
  <c r="AB191" i="13"/>
  <c r="AC191" i="13" s="1"/>
  <c r="AB192" i="13"/>
  <c r="AC192" i="13" s="1"/>
  <c r="AB193" i="13"/>
  <c r="AC193" i="13" s="1"/>
  <c r="AB194" i="13"/>
  <c r="AC194" i="13" s="1"/>
  <c r="AB195" i="13"/>
  <c r="AC195" i="13" s="1"/>
  <c r="AB196" i="13"/>
  <c r="AC196" i="13" s="1"/>
  <c r="AB197" i="13"/>
  <c r="AC197" i="13" s="1"/>
  <c r="AB198" i="13"/>
  <c r="AC198" i="13" s="1"/>
  <c r="AB199" i="13"/>
  <c r="AC199" i="13" s="1"/>
  <c r="AB200" i="13"/>
  <c r="AC200" i="13" s="1"/>
  <c r="AB201" i="13"/>
  <c r="AC201" i="13" s="1"/>
  <c r="AB202" i="13"/>
  <c r="AC202" i="13" s="1"/>
  <c r="AB203" i="13"/>
  <c r="AC203" i="13" s="1"/>
  <c r="AB204" i="13"/>
  <c r="AC204" i="13" s="1"/>
  <c r="AB205" i="13"/>
  <c r="AC205" i="13" s="1"/>
  <c r="AB206" i="13"/>
  <c r="AC206" i="13" s="1"/>
  <c r="AB207" i="13"/>
  <c r="AC207" i="13" s="1"/>
  <c r="AB208" i="13"/>
  <c r="AC208" i="13" s="1"/>
  <c r="AB209" i="13"/>
  <c r="AC209" i="13" s="1"/>
  <c r="AB210" i="13"/>
  <c r="AC210" i="13" s="1"/>
  <c r="AB211" i="13"/>
  <c r="AC211" i="13" s="1"/>
  <c r="AB212" i="13"/>
  <c r="AC212" i="13" s="1"/>
  <c r="AB213" i="13"/>
  <c r="AC213" i="13" s="1"/>
  <c r="AB214" i="13"/>
  <c r="AC214" i="13" s="1"/>
  <c r="AB215" i="13"/>
  <c r="AC215" i="13" s="1"/>
  <c r="AB216" i="13"/>
  <c r="AB217" i="13"/>
  <c r="AC217" i="13" s="1"/>
  <c r="AB218" i="13"/>
  <c r="AC218" i="13" s="1"/>
  <c r="AB219" i="13"/>
  <c r="AC219" i="13" s="1"/>
  <c r="AB220" i="13"/>
  <c r="AC220" i="13" s="1"/>
  <c r="AB221" i="13"/>
  <c r="AC221" i="13" s="1"/>
  <c r="AB222" i="13"/>
  <c r="AC222" i="13" s="1"/>
  <c r="AB223" i="13"/>
  <c r="AC223" i="13" s="1"/>
  <c r="AB224" i="13"/>
  <c r="AC224" i="13" s="1"/>
  <c r="AB225" i="13"/>
  <c r="AC225" i="13" s="1"/>
  <c r="AB226" i="13"/>
  <c r="AC226" i="13" s="1"/>
  <c r="AB227" i="13"/>
  <c r="AC227" i="13" s="1"/>
  <c r="AB228" i="13"/>
  <c r="AC228" i="13" s="1"/>
  <c r="AB229" i="13"/>
  <c r="AC229" i="13" s="1"/>
  <c r="AB230" i="13"/>
  <c r="AC230" i="13" s="1"/>
  <c r="AB231" i="13"/>
  <c r="AC231" i="13" s="1"/>
  <c r="AB232" i="13"/>
  <c r="AC232" i="13" s="1"/>
  <c r="AB233" i="13"/>
  <c r="AC233" i="13" s="1"/>
  <c r="AB234" i="13"/>
  <c r="AB235" i="13"/>
  <c r="AC235" i="13" s="1"/>
  <c r="AB236" i="13"/>
  <c r="AC236" i="13" s="1"/>
  <c r="AB237" i="13"/>
  <c r="AC237" i="13" s="1"/>
  <c r="AB238" i="13"/>
  <c r="AC238" i="13" s="1"/>
  <c r="AB239" i="13"/>
  <c r="AC239" i="13" s="1"/>
  <c r="AB240" i="13"/>
  <c r="AC240" i="13" s="1"/>
  <c r="AB241" i="13"/>
  <c r="AC241" i="13" s="1"/>
  <c r="AB242" i="13"/>
  <c r="AB243" i="13"/>
  <c r="AC243" i="13" s="1"/>
  <c r="AB244" i="13"/>
  <c r="AC244" i="13" s="1"/>
  <c r="AB245" i="13"/>
  <c r="AC245" i="13" s="1"/>
  <c r="AB246" i="13"/>
  <c r="AC246" i="13" s="1"/>
  <c r="AB247" i="13"/>
  <c r="AC247" i="13" s="1"/>
  <c r="AB248" i="13"/>
  <c r="AC248" i="13" s="1"/>
  <c r="AB249" i="13"/>
  <c r="AC249" i="13" s="1"/>
  <c r="AB250" i="13"/>
  <c r="AC250" i="13" s="1"/>
  <c r="AB251" i="13"/>
  <c r="AC251" i="13" s="1"/>
  <c r="AB252" i="13"/>
  <c r="AC252" i="13" s="1"/>
  <c r="AB253" i="13"/>
  <c r="AC253" i="13" s="1"/>
  <c r="AB254" i="13"/>
  <c r="AC254" i="13" s="1"/>
  <c r="AB255" i="13"/>
  <c r="AC255" i="13" s="1"/>
  <c r="AB256" i="13"/>
  <c r="AC256" i="13" s="1"/>
  <c r="AB257" i="13"/>
  <c r="AC257" i="13" s="1"/>
  <c r="AB258" i="13"/>
  <c r="AC258" i="13" s="1"/>
  <c r="AB259" i="13"/>
  <c r="AC259" i="13" s="1"/>
  <c r="AB260" i="13"/>
  <c r="AC260" i="13" s="1"/>
  <c r="AB261" i="13"/>
  <c r="AC261" i="13" s="1"/>
  <c r="AB262" i="13"/>
  <c r="AC262" i="13" s="1"/>
  <c r="AB263" i="13"/>
  <c r="AC263" i="13" s="1"/>
  <c r="AB264" i="13"/>
  <c r="AB265" i="13"/>
  <c r="AC265" i="13" s="1"/>
  <c r="AB266" i="13"/>
  <c r="AC266" i="13" s="1"/>
  <c r="AB267" i="13"/>
  <c r="AC267" i="13" s="1"/>
  <c r="AB268" i="13"/>
  <c r="AC268" i="13" s="1"/>
  <c r="AB269" i="13"/>
  <c r="AC269" i="13" s="1"/>
  <c r="AB270" i="13"/>
  <c r="AC270" i="13" s="1"/>
  <c r="AB271" i="13"/>
  <c r="AC271" i="13" s="1"/>
  <c r="AB272" i="13"/>
  <c r="AC272" i="13" s="1"/>
  <c r="AB273" i="13"/>
  <c r="AC273" i="13" s="1"/>
  <c r="AB274" i="13"/>
  <c r="AC274" i="13" s="1"/>
  <c r="AB275" i="13"/>
  <c r="AC275" i="13" s="1"/>
  <c r="AB276" i="13"/>
  <c r="AC276" i="13" s="1"/>
  <c r="AB277" i="13"/>
  <c r="AC277" i="13" s="1"/>
  <c r="AB278" i="13"/>
  <c r="AC278" i="13" s="1"/>
  <c r="AB279" i="13"/>
  <c r="AC279" i="13" s="1"/>
  <c r="AB280" i="13"/>
  <c r="AC280" i="13" s="1"/>
  <c r="AB281" i="13"/>
  <c r="AC281" i="13" s="1"/>
  <c r="AB282" i="13"/>
  <c r="AC282" i="13" s="1"/>
  <c r="AB283" i="13"/>
  <c r="AC283" i="13" s="1"/>
  <c r="AB284" i="13"/>
  <c r="AC284" i="13" s="1"/>
  <c r="AB285" i="13"/>
  <c r="AC285" i="13" s="1"/>
  <c r="AB286" i="13"/>
  <c r="AC286" i="13" s="1"/>
  <c r="AB287" i="13"/>
  <c r="AC287" i="13" s="1"/>
  <c r="AB288" i="13"/>
  <c r="AC288" i="13" s="1"/>
  <c r="AB289" i="13"/>
  <c r="AC289" i="13" s="1"/>
  <c r="AB290" i="13"/>
  <c r="AC290" i="13" s="1"/>
  <c r="AB291" i="13"/>
  <c r="AC291" i="13" s="1"/>
  <c r="AB292" i="13"/>
  <c r="AC292" i="13" s="1"/>
  <c r="AB293" i="13"/>
  <c r="AC293" i="13" s="1"/>
  <c r="AB294" i="13"/>
  <c r="AC294" i="13" s="1"/>
  <c r="AB295" i="13"/>
  <c r="AC295" i="13" s="1"/>
  <c r="AB296" i="13"/>
  <c r="AC296" i="13" s="1"/>
  <c r="AB297" i="13"/>
  <c r="AC297" i="13" s="1"/>
  <c r="AB298" i="13"/>
  <c r="AC298" i="13" s="1"/>
  <c r="AB299" i="13"/>
  <c r="AC299" i="13" s="1"/>
  <c r="AB300" i="13"/>
  <c r="AC300" i="13" s="1"/>
  <c r="AB301" i="13"/>
  <c r="AC301" i="13" s="1"/>
  <c r="AB302" i="13"/>
  <c r="AC302" i="13" s="1"/>
  <c r="AB303" i="13"/>
  <c r="AC303" i="13" s="1"/>
  <c r="AB304" i="13"/>
  <c r="AC304" i="13" s="1"/>
  <c r="AB305" i="13"/>
  <c r="AC305" i="13" s="1"/>
  <c r="AB306" i="13"/>
  <c r="AC306" i="13" s="1"/>
  <c r="AB307" i="13"/>
  <c r="AC307" i="13" s="1"/>
  <c r="AB308" i="13"/>
  <c r="AC308" i="13" s="1"/>
  <c r="AB309" i="13"/>
  <c r="AC309" i="13" s="1"/>
  <c r="AB310" i="13"/>
  <c r="AC310" i="13" s="1"/>
  <c r="AB311" i="13"/>
  <c r="AB312" i="13"/>
  <c r="AC312" i="13" s="1"/>
  <c r="AB313" i="13"/>
  <c r="AC313" i="13" s="1"/>
  <c r="AB314" i="13"/>
  <c r="AC314" i="13" s="1"/>
  <c r="AB315" i="13"/>
  <c r="AC315" i="13" s="1"/>
  <c r="AB316" i="13"/>
  <c r="AC316" i="13" s="1"/>
  <c r="AB317" i="13"/>
  <c r="AC317" i="13" s="1"/>
  <c r="AB318" i="13"/>
  <c r="AC318" i="13" s="1"/>
  <c r="AB319" i="13"/>
  <c r="AC319" i="13" s="1"/>
  <c r="AB320" i="13"/>
  <c r="AC320" i="13" s="1"/>
  <c r="AB321" i="13"/>
  <c r="AC321" i="13" s="1"/>
  <c r="AB322" i="13"/>
  <c r="AC322" i="13" s="1"/>
  <c r="AB323" i="13"/>
  <c r="AC323" i="13" s="1"/>
  <c r="AB324" i="13"/>
  <c r="AC324" i="13" s="1"/>
  <c r="AB325" i="13"/>
  <c r="AC325" i="13" s="1"/>
  <c r="AB326" i="13"/>
  <c r="AC326" i="13" s="1"/>
  <c r="AB327" i="13"/>
  <c r="AB328" i="13"/>
  <c r="AC328" i="13" s="1"/>
  <c r="AB329" i="13"/>
  <c r="AC329" i="13" s="1"/>
  <c r="AB330" i="13"/>
  <c r="AB331" i="13"/>
  <c r="AB332" i="13"/>
  <c r="AC332" i="13" s="1"/>
  <c r="AB333" i="13"/>
  <c r="AC333" i="13" s="1"/>
  <c r="AB334" i="13"/>
  <c r="AC334" i="13" s="1"/>
  <c r="AB335" i="13"/>
  <c r="AC335" i="13" s="1"/>
  <c r="AB336" i="13"/>
  <c r="AC336" i="13" s="1"/>
  <c r="AB337" i="13"/>
  <c r="AC337" i="13" s="1"/>
  <c r="AB338" i="13"/>
  <c r="AC338" i="13" s="1"/>
  <c r="AB339" i="13"/>
  <c r="AC339" i="13" s="1"/>
  <c r="AB340" i="13"/>
  <c r="AC340" i="13" s="1"/>
  <c r="AB341" i="13"/>
  <c r="AC341" i="13" s="1"/>
  <c r="AB342" i="13"/>
  <c r="AC342" i="13" s="1"/>
  <c r="AB343" i="13"/>
  <c r="AB344" i="13"/>
  <c r="AC344" i="13" s="1"/>
  <c r="AB345" i="13"/>
  <c r="AC345" i="13" s="1"/>
  <c r="AB346" i="13"/>
  <c r="AC346" i="13" s="1"/>
  <c r="AB347" i="13"/>
  <c r="AC347" i="13" s="1"/>
  <c r="AB348" i="13"/>
  <c r="AC348" i="13" s="1"/>
  <c r="AB349" i="13"/>
  <c r="AC349" i="13" s="1"/>
  <c r="AB350" i="13"/>
  <c r="AC350" i="13" s="1"/>
  <c r="AB351" i="13"/>
  <c r="AC351" i="13" s="1"/>
  <c r="AB352" i="13"/>
  <c r="AC352" i="13" s="1"/>
  <c r="AB353" i="13"/>
  <c r="AC353" i="13" s="1"/>
  <c r="AB354" i="13"/>
  <c r="AC354" i="13" s="1"/>
  <c r="AB355" i="13"/>
  <c r="AC355" i="13" s="1"/>
  <c r="AB356" i="13"/>
  <c r="AC356" i="13" s="1"/>
  <c r="AB357" i="13"/>
  <c r="AC357" i="13" s="1"/>
  <c r="AB358" i="13"/>
  <c r="AC358" i="13" s="1"/>
  <c r="AB359" i="13"/>
  <c r="AC359" i="13" s="1"/>
  <c r="AB360" i="13"/>
  <c r="AC360" i="13" s="1"/>
  <c r="AB361" i="13"/>
  <c r="AC361" i="13" s="1"/>
  <c r="AB362" i="13"/>
  <c r="AC362" i="13" s="1"/>
  <c r="AB363" i="13"/>
  <c r="AC363" i="13" s="1"/>
  <c r="AB364" i="13"/>
  <c r="AC364" i="13" s="1"/>
  <c r="AB365" i="13"/>
  <c r="AC365" i="13" s="1"/>
  <c r="AB366" i="13"/>
  <c r="AC366" i="13" s="1"/>
  <c r="AB367" i="13"/>
  <c r="AC367" i="13" s="1"/>
  <c r="AB368" i="13"/>
  <c r="AC368" i="13" s="1"/>
  <c r="AB369" i="13"/>
  <c r="AC369" i="13" s="1"/>
  <c r="AB370" i="13"/>
  <c r="AC370" i="13" s="1"/>
  <c r="AB371" i="13"/>
  <c r="AC371" i="13" s="1"/>
  <c r="AB372" i="13"/>
  <c r="AC372" i="13" s="1"/>
  <c r="AB373" i="13"/>
  <c r="AC373" i="13" s="1"/>
  <c r="AB374" i="13"/>
  <c r="AC374" i="13" s="1"/>
  <c r="AB375" i="13"/>
  <c r="AC375" i="13" s="1"/>
  <c r="AB376" i="13"/>
  <c r="AC376" i="13" s="1"/>
  <c r="AB377" i="13"/>
  <c r="AC377" i="13" s="1"/>
  <c r="AB378" i="13"/>
  <c r="AC378" i="13" s="1"/>
  <c r="AB379" i="13"/>
  <c r="AC379" i="13" s="1"/>
  <c r="AB380" i="13"/>
  <c r="AC380" i="13" s="1"/>
  <c r="AB381" i="13"/>
  <c r="AC381" i="13" s="1"/>
  <c r="AB382" i="13"/>
  <c r="AC382" i="13" s="1"/>
  <c r="AB383" i="13"/>
  <c r="AC383" i="13" s="1"/>
  <c r="AB384" i="13"/>
  <c r="AC384" i="13" s="1"/>
  <c r="AB385" i="13"/>
  <c r="AC385" i="13" s="1"/>
  <c r="AB386" i="13"/>
  <c r="AC386" i="13" s="1"/>
  <c r="AB387" i="13"/>
  <c r="AC387" i="13" s="1"/>
  <c r="AB388" i="13"/>
  <c r="AC388" i="13" s="1"/>
  <c r="AB389" i="13"/>
  <c r="AC389" i="13" s="1"/>
  <c r="AB390" i="13"/>
  <c r="AC390" i="13" s="1"/>
  <c r="AB391" i="13"/>
  <c r="AC391" i="13" s="1"/>
  <c r="AB392" i="13"/>
  <c r="AC392" i="13" s="1"/>
  <c r="AB393" i="13"/>
  <c r="AC393" i="13" s="1"/>
  <c r="AB394" i="13"/>
  <c r="AC394" i="13" s="1"/>
  <c r="AB395" i="13"/>
  <c r="AC395" i="13" s="1"/>
  <c r="AB396" i="13"/>
  <c r="AC396" i="13" s="1"/>
  <c r="AB397" i="13"/>
  <c r="AC397" i="13" s="1"/>
  <c r="AB398" i="13"/>
  <c r="AC398" i="13" s="1"/>
  <c r="AB399" i="13"/>
  <c r="AC399" i="13" s="1"/>
  <c r="AB400" i="13"/>
  <c r="AC400" i="13" s="1"/>
  <c r="AB401" i="13"/>
  <c r="AC401" i="13" s="1"/>
  <c r="AB402" i="13"/>
  <c r="AC402" i="13" s="1"/>
  <c r="AB403" i="13"/>
  <c r="AC403" i="13" s="1"/>
  <c r="AB404" i="13"/>
  <c r="AC404" i="13" s="1"/>
  <c r="AB405" i="13"/>
  <c r="AC405" i="13" s="1"/>
  <c r="AB406" i="13"/>
  <c r="AC406" i="13" s="1"/>
  <c r="AB407" i="13"/>
  <c r="AC407" i="13" s="1"/>
  <c r="AB408" i="13"/>
  <c r="AC408" i="13" s="1"/>
  <c r="AB409" i="13"/>
  <c r="AC409" i="13" s="1"/>
  <c r="AB410" i="13"/>
  <c r="AC410" i="13" s="1"/>
  <c r="AB411" i="13"/>
  <c r="AC411" i="13" s="1"/>
  <c r="AB412" i="13"/>
  <c r="AC412" i="13" s="1"/>
  <c r="AB413" i="13"/>
  <c r="AC413" i="13" s="1"/>
  <c r="AB414" i="13"/>
  <c r="AC414" i="13" s="1"/>
  <c r="AB415" i="13"/>
  <c r="AC415" i="13" s="1"/>
  <c r="AB416" i="13"/>
  <c r="AC416" i="13" s="1"/>
  <c r="AB417" i="13"/>
  <c r="AC417" i="13" s="1"/>
  <c r="AB418" i="13"/>
  <c r="AC418" i="13" s="1"/>
  <c r="AB419" i="13"/>
  <c r="AC419" i="13" s="1"/>
  <c r="AB420" i="13"/>
  <c r="AC420" i="13" s="1"/>
  <c r="AB421" i="13"/>
  <c r="AC421" i="13" s="1"/>
  <c r="AB422" i="13"/>
  <c r="AC422" i="13" s="1"/>
  <c r="AB423" i="13"/>
  <c r="AC423" i="13" s="1"/>
  <c r="AB424" i="13"/>
  <c r="AC424" i="13" s="1"/>
  <c r="AB425" i="13"/>
  <c r="AC425" i="13" s="1"/>
  <c r="AB426" i="13"/>
  <c r="AC426" i="13" s="1"/>
  <c r="AB427" i="13"/>
  <c r="AC427" i="13" s="1"/>
  <c r="AB428" i="13"/>
  <c r="AC428" i="13" s="1"/>
  <c r="AB429" i="13"/>
  <c r="AC429" i="13" s="1"/>
  <c r="AB430" i="13"/>
  <c r="AC430" i="13" s="1"/>
  <c r="AB431" i="13"/>
  <c r="AC431" i="13" s="1"/>
  <c r="AB432" i="13"/>
  <c r="AC432" i="13" s="1"/>
  <c r="AB433" i="13"/>
  <c r="AC433" i="13" s="1"/>
  <c r="AB434" i="13"/>
  <c r="AC434" i="13" s="1"/>
  <c r="AB435" i="13"/>
  <c r="AC435" i="13" s="1"/>
  <c r="AB436" i="13"/>
  <c r="AC436" i="13" s="1"/>
  <c r="AB437" i="13"/>
  <c r="AC437" i="13" s="1"/>
  <c r="AB438" i="13"/>
  <c r="AC438" i="13" s="1"/>
  <c r="AB439" i="13"/>
  <c r="AC439" i="13" s="1"/>
  <c r="AB440" i="13"/>
  <c r="AC440" i="13" s="1"/>
  <c r="AB441" i="13"/>
  <c r="AC441" i="13" s="1"/>
  <c r="AB442" i="13"/>
  <c r="AC442" i="13" s="1"/>
  <c r="AB443" i="13"/>
  <c r="AC443" i="13" s="1"/>
  <c r="AB444" i="13"/>
  <c r="AC444" i="13" s="1"/>
  <c r="AB445" i="13"/>
  <c r="AC445" i="13" s="1"/>
  <c r="AB446" i="13"/>
  <c r="AC446" i="13" s="1"/>
  <c r="AB447" i="13"/>
  <c r="AC447" i="13" s="1"/>
  <c r="AB448" i="13"/>
  <c r="AC448" i="13" s="1"/>
  <c r="AB449" i="13"/>
  <c r="AC449" i="13" s="1"/>
  <c r="AB450" i="13"/>
  <c r="AC450" i="13" s="1"/>
  <c r="AB451" i="13"/>
  <c r="AC451" i="13" s="1"/>
  <c r="AB452" i="13"/>
  <c r="AC452" i="13" s="1"/>
  <c r="AB453" i="13"/>
  <c r="AC453" i="13" s="1"/>
  <c r="AB454" i="13"/>
  <c r="AC454" i="13" s="1"/>
  <c r="AB455" i="13"/>
  <c r="AC455" i="13" s="1"/>
  <c r="AB456" i="13"/>
  <c r="AC456" i="13" s="1"/>
  <c r="AB457" i="13"/>
  <c r="AC457" i="13" s="1"/>
  <c r="AB458" i="13"/>
  <c r="AC458" i="13" s="1"/>
  <c r="AB459" i="13"/>
  <c r="AC459" i="13" s="1"/>
  <c r="AB460" i="13"/>
  <c r="AC460" i="13" s="1"/>
  <c r="AB461" i="13"/>
  <c r="AC461" i="13" s="1"/>
  <c r="AB462" i="13"/>
  <c r="AC462" i="13" s="1"/>
  <c r="AB463" i="13"/>
  <c r="AC463" i="13" s="1"/>
  <c r="AB464" i="13"/>
  <c r="AC464" i="13" s="1"/>
  <c r="AB465" i="13"/>
  <c r="AC465" i="13" s="1"/>
  <c r="AB466" i="13"/>
  <c r="AC466" i="13" s="1"/>
  <c r="AB467" i="13"/>
  <c r="AC467" i="13" s="1"/>
  <c r="AB468" i="13"/>
  <c r="AC468" i="13" s="1"/>
  <c r="AB469" i="13"/>
  <c r="AC469" i="13" s="1"/>
  <c r="AB470" i="13"/>
  <c r="AC470" i="13" s="1"/>
  <c r="AB471" i="13"/>
  <c r="AC471" i="13" s="1"/>
  <c r="AB472" i="13"/>
  <c r="AC472" i="13" s="1"/>
  <c r="AB473" i="13"/>
  <c r="AC473" i="13" s="1"/>
  <c r="AB474" i="13"/>
  <c r="AC474" i="13" s="1"/>
  <c r="AB475" i="13"/>
  <c r="AC475" i="13" s="1"/>
  <c r="AB476" i="13"/>
  <c r="AC476" i="13" s="1"/>
  <c r="AB477" i="13"/>
  <c r="AC477" i="13" s="1"/>
  <c r="AB478" i="13"/>
  <c r="AC478" i="13" s="1"/>
  <c r="AB479" i="13"/>
  <c r="AC479" i="13" s="1"/>
  <c r="AB480" i="13"/>
  <c r="AC480" i="13" s="1"/>
  <c r="AB481" i="13"/>
  <c r="AC481" i="13" s="1"/>
  <c r="AB482" i="13"/>
  <c r="AC482" i="13" s="1"/>
  <c r="AB483" i="13"/>
  <c r="AC483" i="13" s="1"/>
  <c r="AB484" i="13"/>
  <c r="AC484" i="13" s="1"/>
  <c r="AB485" i="13"/>
  <c r="AC485" i="13" s="1"/>
  <c r="AB486" i="13"/>
  <c r="AC486" i="13" s="1"/>
  <c r="AB487" i="13"/>
  <c r="AC487" i="13" s="1"/>
  <c r="AB488" i="13"/>
  <c r="AC488" i="13" s="1"/>
  <c r="AB489" i="13"/>
  <c r="AC489" i="13" s="1"/>
  <c r="AB490" i="13"/>
  <c r="AC490" i="13" s="1"/>
  <c r="AB491" i="13"/>
  <c r="AC491" i="13" s="1"/>
  <c r="AB492" i="13"/>
  <c r="AC492" i="13" s="1"/>
  <c r="AB493" i="13"/>
  <c r="AC493" i="13" s="1"/>
  <c r="AB494" i="13"/>
  <c r="AC494" i="13" s="1"/>
  <c r="AB495" i="13"/>
  <c r="AB496" i="13"/>
  <c r="AC496" i="13" s="1"/>
  <c r="AB497" i="13"/>
  <c r="AC497" i="13" s="1"/>
  <c r="AB498" i="13"/>
  <c r="AC498" i="13" s="1"/>
  <c r="AB499" i="13"/>
  <c r="AC499" i="13" s="1"/>
  <c r="AB500" i="13"/>
  <c r="AC500" i="13" s="1"/>
  <c r="AB501" i="13"/>
  <c r="AC501" i="13" s="1"/>
  <c r="AB502" i="13"/>
  <c r="AC502" i="13" s="1"/>
  <c r="AB503" i="13"/>
  <c r="AC503" i="13" s="1"/>
  <c r="AB504" i="13"/>
  <c r="AC504" i="13" s="1"/>
  <c r="AB505" i="13"/>
  <c r="AC505" i="13" s="1"/>
  <c r="AB506" i="13"/>
  <c r="AC506" i="13" s="1"/>
  <c r="AB507" i="13"/>
  <c r="AC507" i="13" s="1"/>
  <c r="AB508" i="13"/>
  <c r="AC508" i="13" s="1"/>
  <c r="AB509" i="13"/>
  <c r="AC509" i="13" s="1"/>
  <c r="AB510" i="13"/>
  <c r="AC510" i="13" s="1"/>
  <c r="AB511" i="13"/>
  <c r="AC511" i="13" s="1"/>
  <c r="AB512" i="13"/>
  <c r="AC512" i="13" s="1"/>
  <c r="AB513" i="13"/>
  <c r="AC513" i="13" s="1"/>
  <c r="AB514" i="13"/>
  <c r="AC514" i="13" s="1"/>
  <c r="AB515" i="13"/>
  <c r="AC515" i="13" s="1"/>
  <c r="AB516" i="13"/>
  <c r="AC516" i="13" s="1"/>
  <c r="AB517" i="13"/>
  <c r="AC517" i="13" s="1"/>
  <c r="AB518" i="13"/>
  <c r="AC518" i="13" s="1"/>
  <c r="AB519" i="13"/>
  <c r="AC519" i="13" s="1"/>
  <c r="AB520" i="13"/>
  <c r="AC520" i="13" s="1"/>
  <c r="AB521" i="13"/>
  <c r="AC521" i="13" s="1"/>
  <c r="AB522" i="13"/>
  <c r="AC522" i="13" s="1"/>
  <c r="AB523" i="13"/>
  <c r="AC523" i="13" s="1"/>
  <c r="AB524" i="13"/>
  <c r="AC524" i="13" s="1"/>
  <c r="AB525" i="13"/>
  <c r="AC525" i="13" s="1"/>
  <c r="AB526" i="13"/>
  <c r="AC526" i="13" s="1"/>
  <c r="AB527" i="13"/>
  <c r="AC527" i="13" s="1"/>
  <c r="AB528" i="13"/>
  <c r="AC528" i="13" s="1"/>
  <c r="AB529" i="13"/>
  <c r="AC529" i="13" s="1"/>
  <c r="AB530" i="13"/>
  <c r="AC530" i="13" s="1"/>
  <c r="AB531" i="13"/>
  <c r="AC531" i="13" s="1"/>
  <c r="AB532" i="13"/>
  <c r="AC532" i="13" s="1"/>
  <c r="AB533" i="13"/>
  <c r="AC533" i="13" s="1"/>
  <c r="AB534" i="13"/>
  <c r="AC534" i="13" s="1"/>
  <c r="AB535" i="13"/>
  <c r="AC535" i="13" s="1"/>
  <c r="AB536" i="13"/>
  <c r="AC536" i="13" s="1"/>
  <c r="AB537" i="13"/>
  <c r="AC537" i="13" s="1"/>
  <c r="AB538" i="13"/>
  <c r="AC538" i="13" s="1"/>
  <c r="AB539" i="13"/>
  <c r="AC539" i="13" s="1"/>
  <c r="AB540" i="13"/>
  <c r="AC540" i="13" s="1"/>
  <c r="AB541" i="13"/>
  <c r="AC541" i="13" s="1"/>
  <c r="AB542" i="13"/>
  <c r="AC542" i="13" s="1"/>
  <c r="AB543" i="13"/>
  <c r="AC543" i="13" s="1"/>
  <c r="AB544" i="13"/>
  <c r="AC544" i="13" s="1"/>
  <c r="AB545" i="13"/>
  <c r="AC545" i="13" s="1"/>
  <c r="AB546" i="13"/>
  <c r="AC546" i="13" s="1"/>
  <c r="AB547" i="13"/>
  <c r="AC547" i="13" s="1"/>
  <c r="AB548" i="13"/>
  <c r="AC548" i="13" s="1"/>
  <c r="AB549" i="13"/>
  <c r="AC549" i="13" s="1"/>
  <c r="AB550" i="13"/>
  <c r="AC550" i="13" s="1"/>
  <c r="AB551" i="13"/>
  <c r="AC551" i="13" s="1"/>
  <c r="AB552" i="13"/>
  <c r="AC552" i="13" s="1"/>
  <c r="AB553" i="13"/>
  <c r="AC553" i="13" s="1"/>
  <c r="AA553" i="13"/>
  <c r="Q553" i="13"/>
  <c r="AA552" i="13"/>
  <c r="Q552" i="13"/>
  <c r="AA551" i="13"/>
  <c r="Q551" i="13"/>
  <c r="AA550" i="13"/>
  <c r="Q550" i="13"/>
  <c r="AA549" i="13"/>
  <c r="Q549" i="13"/>
  <c r="AA548" i="13"/>
  <c r="Q548" i="13"/>
  <c r="AA547" i="13"/>
  <c r="Q547" i="13"/>
  <c r="AA546" i="13"/>
  <c r="Q546" i="13"/>
  <c r="AA545" i="13"/>
  <c r="Q545" i="13"/>
  <c r="AA544" i="13"/>
  <c r="Q544" i="13"/>
  <c r="AA543" i="13"/>
  <c r="Q543" i="13"/>
  <c r="AA542" i="13"/>
  <c r="Q542" i="13"/>
  <c r="AA541" i="13"/>
  <c r="Q541" i="13"/>
  <c r="AA540" i="13"/>
  <c r="Q540" i="13"/>
  <c r="AA539" i="13"/>
  <c r="Q539" i="13"/>
  <c r="AA538" i="13"/>
  <c r="Q538" i="13"/>
  <c r="AA537" i="13"/>
  <c r="Q537" i="13"/>
  <c r="AA536" i="13"/>
  <c r="Q536" i="13"/>
  <c r="AA535" i="13"/>
  <c r="Q535" i="13"/>
  <c r="AA534" i="13"/>
  <c r="Q534" i="13"/>
  <c r="AA533" i="13"/>
  <c r="Q533" i="13"/>
  <c r="AA532" i="13"/>
  <c r="Q532" i="13"/>
  <c r="AA531" i="13"/>
  <c r="Q531" i="13"/>
  <c r="AA530" i="13"/>
  <c r="Q530" i="13"/>
  <c r="AA529" i="13"/>
  <c r="Q529" i="13"/>
  <c r="AA528" i="13"/>
  <c r="Q528" i="13"/>
  <c r="AA527" i="13"/>
  <c r="Q527" i="13"/>
  <c r="AA526" i="13"/>
  <c r="Q526" i="13"/>
  <c r="AA525" i="13"/>
  <c r="Q525" i="13"/>
  <c r="AA524" i="13"/>
  <c r="Q524" i="13"/>
  <c r="AA523" i="13"/>
  <c r="Q523" i="13"/>
  <c r="AA522" i="13"/>
  <c r="Q522" i="13"/>
  <c r="AA521" i="13"/>
  <c r="Q521" i="13"/>
  <c r="AA520" i="13"/>
  <c r="Q520" i="13"/>
  <c r="AA519" i="13"/>
  <c r="Q519" i="13"/>
  <c r="AA518" i="13"/>
  <c r="Q518" i="13"/>
  <c r="AA517" i="13"/>
  <c r="Q517" i="13"/>
  <c r="AA516" i="13"/>
  <c r="Q516" i="13"/>
  <c r="AA515" i="13"/>
  <c r="Q515" i="13"/>
  <c r="AA514" i="13"/>
  <c r="Q514" i="13"/>
  <c r="AA513" i="13"/>
  <c r="Q513" i="13"/>
  <c r="AA512" i="13"/>
  <c r="Q512" i="13"/>
  <c r="AA511" i="13"/>
  <c r="Q511" i="13"/>
  <c r="AA510" i="13"/>
  <c r="Q510" i="13"/>
  <c r="AA509" i="13"/>
  <c r="Q509" i="13"/>
  <c r="AA508" i="13"/>
  <c r="Q508" i="13"/>
  <c r="AA507" i="13"/>
  <c r="Q507" i="13"/>
  <c r="AA506" i="13"/>
  <c r="Q506" i="13"/>
  <c r="AA505" i="13"/>
  <c r="Q505" i="13"/>
  <c r="AA504" i="13"/>
  <c r="Q504" i="13"/>
  <c r="AA503" i="13"/>
  <c r="Q503" i="13"/>
  <c r="AA502" i="13"/>
  <c r="Q502" i="13"/>
  <c r="AA501" i="13"/>
  <c r="Q501" i="13"/>
  <c r="AA500" i="13"/>
  <c r="Q500" i="13"/>
  <c r="AA499" i="13"/>
  <c r="Q499" i="13"/>
  <c r="AA498" i="13"/>
  <c r="Q498" i="13"/>
  <c r="AA497" i="13"/>
  <c r="Q497" i="13"/>
  <c r="AA496" i="13"/>
  <c r="Q496" i="13"/>
  <c r="AA495" i="13"/>
  <c r="Q495" i="13"/>
  <c r="AA494" i="13"/>
  <c r="Q494" i="13"/>
  <c r="AA493" i="13"/>
  <c r="Q493" i="13"/>
  <c r="AA492" i="13"/>
  <c r="Q492" i="13"/>
  <c r="AA491" i="13"/>
  <c r="Q491" i="13"/>
  <c r="AA490" i="13"/>
  <c r="Q490" i="13"/>
  <c r="AA489" i="13"/>
  <c r="Q489" i="13"/>
  <c r="AA488" i="13"/>
  <c r="Q488" i="13"/>
  <c r="AA487" i="13"/>
  <c r="Q487" i="13"/>
  <c r="AA486" i="13"/>
  <c r="Q486" i="13"/>
  <c r="AA485" i="13"/>
  <c r="Q485" i="13"/>
  <c r="AA484" i="13"/>
  <c r="Q484" i="13"/>
  <c r="AA483" i="13"/>
  <c r="Q483" i="13"/>
  <c r="AA482" i="13"/>
  <c r="Q482" i="13"/>
  <c r="AA481" i="13"/>
  <c r="Q481" i="13"/>
  <c r="AA480" i="13"/>
  <c r="Q480" i="13"/>
  <c r="AA479" i="13"/>
  <c r="Q479" i="13"/>
  <c r="AA478" i="13"/>
  <c r="Q478" i="13"/>
  <c r="AA477" i="13"/>
  <c r="Q477" i="13"/>
  <c r="AA476" i="13"/>
  <c r="Q476" i="13"/>
  <c r="AA475" i="13"/>
  <c r="Q475" i="13"/>
  <c r="AA474" i="13"/>
  <c r="Q474" i="13"/>
  <c r="AA473" i="13"/>
  <c r="Q473" i="13"/>
  <c r="AA472" i="13"/>
  <c r="Q472" i="13"/>
  <c r="AA471" i="13"/>
  <c r="Q471" i="13"/>
  <c r="AA470" i="13"/>
  <c r="Q470" i="13"/>
  <c r="AA469" i="13"/>
  <c r="Q469" i="13"/>
  <c r="AA468" i="13"/>
  <c r="Q468" i="13"/>
  <c r="AA467" i="13"/>
  <c r="Q467" i="13"/>
  <c r="AA466" i="13"/>
  <c r="Q466" i="13"/>
  <c r="AA465" i="13"/>
  <c r="Q465" i="13"/>
  <c r="AA464" i="13"/>
  <c r="Q464" i="13"/>
  <c r="AA463" i="13"/>
  <c r="Q463" i="13"/>
  <c r="AA462" i="13"/>
  <c r="Q462" i="13"/>
  <c r="AA461" i="13"/>
  <c r="Q461" i="13"/>
  <c r="AA460" i="13"/>
  <c r="Q460" i="13"/>
  <c r="AA459" i="13"/>
  <c r="Q459" i="13"/>
  <c r="AA458" i="13"/>
  <c r="Q458" i="13"/>
  <c r="AA457" i="13"/>
  <c r="Q457" i="13"/>
  <c r="AA456" i="13"/>
  <c r="Q456" i="13"/>
  <c r="AA455" i="13"/>
  <c r="Q455" i="13"/>
  <c r="AA454" i="13"/>
  <c r="Q454" i="13"/>
  <c r="AA453" i="13"/>
  <c r="Q453" i="13"/>
  <c r="AA452" i="13"/>
  <c r="Q452" i="13"/>
  <c r="AA451" i="13"/>
  <c r="Q451" i="13"/>
  <c r="AA450" i="13"/>
  <c r="Q450" i="13"/>
  <c r="AA449" i="13"/>
  <c r="Q449" i="13"/>
  <c r="AA448" i="13"/>
  <c r="Q448" i="13"/>
  <c r="AA447" i="13"/>
  <c r="Q447" i="13"/>
  <c r="AA446" i="13"/>
  <c r="Q446" i="13"/>
  <c r="AA445" i="13"/>
  <c r="Q445" i="13"/>
  <c r="AA444" i="13"/>
  <c r="Q444" i="13"/>
  <c r="AA443" i="13"/>
  <c r="Q443" i="13"/>
  <c r="AA442" i="13"/>
  <c r="Q442" i="13"/>
  <c r="AA441" i="13"/>
  <c r="Q441" i="13"/>
  <c r="AA440" i="13"/>
  <c r="Q440" i="13"/>
  <c r="AA439" i="13"/>
  <c r="Q439" i="13"/>
  <c r="AA438" i="13"/>
  <c r="Q438" i="13"/>
  <c r="AA437" i="13"/>
  <c r="Q437" i="13"/>
  <c r="AA436" i="13"/>
  <c r="Q436" i="13"/>
  <c r="AA435" i="13"/>
  <c r="Q435" i="13"/>
  <c r="AA434" i="13"/>
  <c r="Q434" i="13"/>
  <c r="AA433" i="13"/>
  <c r="Q433" i="13"/>
  <c r="AA432" i="13"/>
  <c r="Q432" i="13"/>
  <c r="AA431" i="13"/>
  <c r="Q431" i="13"/>
  <c r="AA430" i="13"/>
  <c r="Q430" i="13"/>
  <c r="AA429" i="13"/>
  <c r="Q429" i="13"/>
  <c r="AA428" i="13"/>
  <c r="Q428" i="13"/>
  <c r="AA427" i="13"/>
  <c r="Q427" i="13"/>
  <c r="AA426" i="13"/>
  <c r="Q426" i="13"/>
  <c r="AA425" i="13"/>
  <c r="Q425" i="13"/>
  <c r="AA424" i="13"/>
  <c r="Q424" i="13"/>
  <c r="AA423" i="13"/>
  <c r="Q423" i="13"/>
  <c r="AA422" i="13"/>
  <c r="Q422" i="13"/>
  <c r="AA421" i="13"/>
  <c r="Q421" i="13"/>
  <c r="AA420" i="13"/>
  <c r="Q420" i="13"/>
  <c r="AA419" i="13"/>
  <c r="Q419" i="13"/>
  <c r="AA418" i="13"/>
  <c r="Q418" i="13"/>
  <c r="AA417" i="13"/>
  <c r="Q417" i="13"/>
  <c r="AA416" i="13"/>
  <c r="Q416" i="13"/>
  <c r="AA415" i="13"/>
  <c r="Q415" i="13"/>
  <c r="AA414" i="13"/>
  <c r="Q414" i="13"/>
  <c r="AA413" i="13"/>
  <c r="Q413" i="13"/>
  <c r="AA412" i="13"/>
  <c r="Q412" i="13"/>
  <c r="AA411" i="13"/>
  <c r="Q411" i="13"/>
  <c r="AA410" i="13"/>
  <c r="Q410" i="13"/>
  <c r="AA409" i="13"/>
  <c r="Q409" i="13"/>
  <c r="AA408" i="13"/>
  <c r="Q408" i="13"/>
  <c r="AA407" i="13"/>
  <c r="Q407" i="13"/>
  <c r="AA406" i="13"/>
  <c r="Q406" i="13"/>
  <c r="AA405" i="13"/>
  <c r="Q405" i="13"/>
  <c r="AA404" i="13"/>
  <c r="Q404" i="13"/>
  <c r="AA403" i="13"/>
  <c r="Q403" i="13"/>
  <c r="AA402" i="13"/>
  <c r="Q402" i="13"/>
  <c r="AA401" i="13"/>
  <c r="Q401" i="13"/>
  <c r="AA400" i="13"/>
  <c r="Q400" i="13"/>
  <c r="AA399" i="13"/>
  <c r="Q399" i="13"/>
  <c r="AA398" i="13"/>
  <c r="Q398" i="13"/>
  <c r="AA397" i="13"/>
  <c r="Q397" i="13"/>
  <c r="AA396" i="13"/>
  <c r="Q396" i="13"/>
  <c r="AA395" i="13"/>
  <c r="Q395" i="13"/>
  <c r="AA394" i="13"/>
  <c r="Q394" i="13"/>
  <c r="AA393" i="13"/>
  <c r="Q393" i="13"/>
  <c r="AA392" i="13"/>
  <c r="Q392" i="13"/>
  <c r="AA391" i="13"/>
  <c r="Q391" i="13"/>
  <c r="AA390" i="13"/>
  <c r="Q390" i="13"/>
  <c r="AA389" i="13"/>
  <c r="Q389" i="13"/>
  <c r="AA388" i="13"/>
  <c r="Q388" i="13"/>
  <c r="AA387" i="13"/>
  <c r="Q387" i="13"/>
  <c r="AA386" i="13"/>
  <c r="Q386" i="13"/>
  <c r="AA385" i="13"/>
  <c r="Q385" i="13"/>
  <c r="AA384" i="13"/>
  <c r="Q384" i="13"/>
  <c r="AA383" i="13"/>
  <c r="Q383" i="13"/>
  <c r="AA382" i="13"/>
  <c r="Q382" i="13"/>
  <c r="AA381" i="13"/>
  <c r="Q381" i="13"/>
  <c r="AA380" i="13"/>
  <c r="Q380" i="13"/>
  <c r="AA379" i="13"/>
  <c r="Q379" i="13"/>
  <c r="AA378" i="13"/>
  <c r="Q378" i="13"/>
  <c r="AA377" i="13"/>
  <c r="Q377" i="13"/>
  <c r="AA376" i="13"/>
  <c r="Q376" i="13"/>
  <c r="AA375" i="13"/>
  <c r="Q375" i="13"/>
  <c r="AA374" i="13"/>
  <c r="Q374" i="13"/>
  <c r="AA373" i="13"/>
  <c r="Q373" i="13"/>
  <c r="AA372" i="13"/>
  <c r="Q372" i="13"/>
  <c r="AA371" i="13"/>
  <c r="Q371" i="13"/>
  <c r="AA370" i="13"/>
  <c r="Q370" i="13"/>
  <c r="AA369" i="13"/>
  <c r="Q369" i="13"/>
  <c r="AA368" i="13"/>
  <c r="Q368" i="13"/>
  <c r="AA367" i="13"/>
  <c r="Q367" i="13"/>
  <c r="AA366" i="13"/>
  <c r="Q366" i="13"/>
  <c r="AA365" i="13"/>
  <c r="Q365" i="13"/>
  <c r="AA364" i="13"/>
  <c r="Q364" i="13"/>
  <c r="AA363" i="13"/>
  <c r="Q363" i="13"/>
  <c r="AA362" i="13"/>
  <c r="Q362" i="13"/>
  <c r="AA361" i="13"/>
  <c r="Q361" i="13"/>
  <c r="AA360" i="13"/>
  <c r="Q360" i="13"/>
  <c r="AA359" i="13"/>
  <c r="Q359" i="13"/>
  <c r="AA358" i="13"/>
  <c r="Q358" i="13"/>
  <c r="AA357" i="13"/>
  <c r="Q357" i="13"/>
  <c r="AA356" i="13"/>
  <c r="Q356" i="13"/>
  <c r="AA355" i="13"/>
  <c r="Q355" i="13"/>
  <c r="AA354" i="13"/>
  <c r="Q354" i="13"/>
  <c r="AA353" i="13"/>
  <c r="Q353" i="13"/>
  <c r="AA352" i="13"/>
  <c r="Q352" i="13"/>
  <c r="AA351" i="13"/>
  <c r="Q351" i="13"/>
  <c r="AA350" i="13"/>
  <c r="Q350" i="13"/>
  <c r="AA349" i="13"/>
  <c r="Q349" i="13"/>
  <c r="AA348" i="13"/>
  <c r="Q348" i="13"/>
  <c r="AA347" i="13"/>
  <c r="Q347" i="13"/>
  <c r="AA346" i="13"/>
  <c r="Q346" i="13"/>
  <c r="AA345" i="13"/>
  <c r="Q345" i="13"/>
  <c r="AA344" i="13"/>
  <c r="Q344" i="13"/>
  <c r="AA343" i="13"/>
  <c r="Q343" i="13"/>
  <c r="AA342" i="13"/>
  <c r="Q342" i="13"/>
  <c r="AA341" i="13"/>
  <c r="Q341" i="13"/>
  <c r="AA340" i="13"/>
  <c r="Q340" i="13"/>
  <c r="AA339" i="13"/>
  <c r="Q339" i="13"/>
  <c r="AA338" i="13"/>
  <c r="Q338" i="13"/>
  <c r="AA337" i="13"/>
  <c r="Q337" i="13"/>
  <c r="AA336" i="13"/>
  <c r="Q336" i="13"/>
  <c r="AA335" i="13"/>
  <c r="Q335" i="13"/>
  <c r="AA334" i="13"/>
  <c r="Q334" i="13"/>
  <c r="AA333" i="13"/>
  <c r="Q333" i="13"/>
  <c r="AA332" i="13"/>
  <c r="Q332" i="13"/>
  <c r="AA331" i="13"/>
  <c r="Q331" i="13"/>
  <c r="AA330" i="13"/>
  <c r="Q330" i="13"/>
  <c r="AA329" i="13"/>
  <c r="Q329" i="13"/>
  <c r="AA328" i="13"/>
  <c r="Q328" i="13"/>
  <c r="AA327" i="13"/>
  <c r="Q327" i="13"/>
  <c r="AA326" i="13"/>
  <c r="Q326" i="13"/>
  <c r="AA325" i="13"/>
  <c r="Q325" i="13"/>
  <c r="AA324" i="13"/>
  <c r="Q324" i="13"/>
  <c r="AA323" i="13"/>
  <c r="Q323" i="13"/>
  <c r="AA322" i="13"/>
  <c r="Q322" i="13"/>
  <c r="AA321" i="13"/>
  <c r="Q321" i="13"/>
  <c r="AA320" i="13"/>
  <c r="Q320" i="13"/>
  <c r="AA319" i="13"/>
  <c r="Q319" i="13"/>
  <c r="AA318" i="13"/>
  <c r="Q318" i="13"/>
  <c r="AA317" i="13"/>
  <c r="Q317" i="13"/>
  <c r="AA316" i="13"/>
  <c r="Q316" i="13"/>
  <c r="AA315" i="13"/>
  <c r="Q315" i="13"/>
  <c r="AA314" i="13"/>
  <c r="Q314" i="13"/>
  <c r="AA313" i="13"/>
  <c r="Q313" i="13"/>
  <c r="AA312" i="13"/>
  <c r="Q312" i="13"/>
  <c r="AA311" i="13"/>
  <c r="Q311" i="13"/>
  <c r="AA310" i="13"/>
  <c r="Q310" i="13"/>
  <c r="AA309" i="13"/>
  <c r="Q309" i="13"/>
  <c r="AA308" i="13"/>
  <c r="Q308" i="13"/>
  <c r="AA307" i="13"/>
  <c r="Q307" i="13"/>
  <c r="AA306" i="13"/>
  <c r="Q306" i="13"/>
  <c r="AA305" i="13"/>
  <c r="Q305" i="13"/>
  <c r="AA304" i="13"/>
  <c r="Q304" i="13"/>
  <c r="AA303" i="13"/>
  <c r="Q303" i="13"/>
  <c r="AA302" i="13"/>
  <c r="Q302" i="13"/>
  <c r="AA301" i="13"/>
  <c r="Q301" i="13"/>
  <c r="AA300" i="13"/>
  <c r="Q300" i="13"/>
  <c r="AA299" i="13"/>
  <c r="Q299" i="13"/>
  <c r="AA298" i="13"/>
  <c r="Q298" i="13"/>
  <c r="AA297" i="13"/>
  <c r="Q297" i="13"/>
  <c r="AA296" i="13"/>
  <c r="Q296" i="13"/>
  <c r="AA295" i="13"/>
  <c r="Q295" i="13"/>
  <c r="AA294" i="13"/>
  <c r="Q294" i="13"/>
  <c r="AA293" i="13"/>
  <c r="Q293" i="13"/>
  <c r="AA292" i="13"/>
  <c r="Q292" i="13"/>
  <c r="AA291" i="13"/>
  <c r="Q291" i="13"/>
  <c r="AA290" i="13"/>
  <c r="Q290" i="13"/>
  <c r="AA289" i="13"/>
  <c r="Q289" i="13"/>
  <c r="AA288" i="13"/>
  <c r="Q288" i="13"/>
  <c r="AA287" i="13"/>
  <c r="Q287" i="13"/>
  <c r="AA286" i="13"/>
  <c r="Q286" i="13"/>
  <c r="AA285" i="13"/>
  <c r="Q285" i="13"/>
  <c r="AA284" i="13"/>
  <c r="Q284" i="13"/>
  <c r="AA283" i="13"/>
  <c r="Q283" i="13"/>
  <c r="AA282" i="13"/>
  <c r="Q282" i="13"/>
  <c r="AA281" i="13"/>
  <c r="Q281" i="13"/>
  <c r="AA280" i="13"/>
  <c r="Q280" i="13"/>
  <c r="AA279" i="13"/>
  <c r="Q279" i="13"/>
  <c r="AA278" i="13"/>
  <c r="Q278" i="13"/>
  <c r="AA277" i="13"/>
  <c r="Q277" i="13"/>
  <c r="AA276" i="13"/>
  <c r="Q276" i="13"/>
  <c r="AA275" i="13"/>
  <c r="Q275" i="13"/>
  <c r="AA274" i="13"/>
  <c r="Q274" i="13"/>
  <c r="AA273" i="13"/>
  <c r="Q273" i="13"/>
  <c r="AA272" i="13"/>
  <c r="Q272" i="13"/>
  <c r="AA271" i="13"/>
  <c r="Q271" i="13"/>
  <c r="AA270" i="13"/>
  <c r="Q270" i="13"/>
  <c r="AA269" i="13"/>
  <c r="Q269" i="13"/>
  <c r="AA268" i="13"/>
  <c r="Q268" i="13"/>
  <c r="AA267" i="13"/>
  <c r="Q267" i="13"/>
  <c r="AA266" i="13"/>
  <c r="Q266" i="13"/>
  <c r="AA265" i="13"/>
  <c r="Q265" i="13"/>
  <c r="AA264" i="13"/>
  <c r="Q264" i="13"/>
  <c r="AA263" i="13"/>
  <c r="Q263" i="13"/>
  <c r="AA262" i="13"/>
  <c r="Q262" i="13"/>
  <c r="AA261" i="13"/>
  <c r="Q261" i="13"/>
  <c r="AA260" i="13"/>
  <c r="Q260" i="13"/>
  <c r="AA259" i="13"/>
  <c r="Q259" i="13"/>
  <c r="AA258" i="13"/>
  <c r="Q258" i="13"/>
  <c r="AA257" i="13"/>
  <c r="Q257" i="13"/>
  <c r="AA256" i="13"/>
  <c r="Q256" i="13"/>
  <c r="AA255" i="13"/>
  <c r="Q255" i="13"/>
  <c r="AA254" i="13"/>
  <c r="Q254" i="13"/>
  <c r="AA253" i="13"/>
  <c r="Q253" i="13"/>
  <c r="AA252" i="13"/>
  <c r="Q252" i="13"/>
  <c r="AA251" i="13"/>
  <c r="Q251" i="13"/>
  <c r="AA250" i="13"/>
  <c r="Q250" i="13"/>
  <c r="AA249" i="13"/>
  <c r="Q249" i="13"/>
  <c r="AA248" i="13"/>
  <c r="Q248" i="13"/>
  <c r="AA247" i="13"/>
  <c r="Q247" i="13"/>
  <c r="AA246" i="13"/>
  <c r="Q246" i="13"/>
  <c r="AA245" i="13"/>
  <c r="Q245" i="13"/>
  <c r="AA244" i="13"/>
  <c r="Q244" i="13"/>
  <c r="AA243" i="13"/>
  <c r="Q243" i="13"/>
  <c r="AA242" i="13"/>
  <c r="Q242" i="13"/>
  <c r="AA241" i="13"/>
  <c r="Q241" i="13"/>
  <c r="AA240" i="13"/>
  <c r="Q240" i="13"/>
  <c r="AA239" i="13"/>
  <c r="Q239" i="13"/>
  <c r="AA238" i="13"/>
  <c r="Q238" i="13"/>
  <c r="AA237" i="13"/>
  <c r="Q237" i="13"/>
  <c r="AA236" i="13"/>
  <c r="Q236" i="13"/>
  <c r="AA235" i="13"/>
  <c r="Q235" i="13"/>
  <c r="AA234" i="13"/>
  <c r="Q234" i="13"/>
  <c r="AA233" i="13"/>
  <c r="Q233" i="13"/>
  <c r="AA232" i="13"/>
  <c r="Q232" i="13"/>
  <c r="AA231" i="13"/>
  <c r="Q231" i="13"/>
  <c r="AA230" i="13"/>
  <c r="Q230" i="13"/>
  <c r="AA229" i="13"/>
  <c r="Q229" i="13"/>
  <c r="AA228" i="13"/>
  <c r="Q228" i="13"/>
  <c r="AA227" i="13"/>
  <c r="Q227" i="13"/>
  <c r="AA226" i="13"/>
  <c r="Q226" i="13"/>
  <c r="AA225" i="13"/>
  <c r="Q225" i="13"/>
  <c r="AA224" i="13"/>
  <c r="Q224" i="13"/>
  <c r="AA223" i="13"/>
  <c r="Q223" i="13"/>
  <c r="AA222" i="13"/>
  <c r="Q222" i="13"/>
  <c r="AA221" i="13"/>
  <c r="Q221" i="13"/>
  <c r="AA220" i="13"/>
  <c r="Q220" i="13"/>
  <c r="AA219" i="13"/>
  <c r="Q219" i="13"/>
  <c r="AA218" i="13"/>
  <c r="Q218" i="13"/>
  <c r="AA217" i="13"/>
  <c r="Q217" i="13"/>
  <c r="AA216" i="13"/>
  <c r="Q216" i="13"/>
  <c r="AA215" i="13"/>
  <c r="Q215" i="13"/>
  <c r="AA214" i="13"/>
  <c r="Q214" i="13"/>
  <c r="AA213" i="13"/>
  <c r="Q213" i="13"/>
  <c r="AA212" i="13"/>
  <c r="Q212" i="13"/>
  <c r="AA211" i="13"/>
  <c r="Q211" i="13"/>
  <c r="AA210" i="13"/>
  <c r="Q210" i="13"/>
  <c r="AA209" i="13"/>
  <c r="Q209" i="13"/>
  <c r="AA208" i="13"/>
  <c r="Q208" i="13"/>
  <c r="AA207" i="13"/>
  <c r="Q207" i="13"/>
  <c r="AA206" i="13"/>
  <c r="Q206" i="13"/>
  <c r="AA205" i="13"/>
  <c r="Q205" i="13"/>
  <c r="AA204" i="13"/>
  <c r="Q204" i="13"/>
  <c r="AA203" i="13"/>
  <c r="Q203" i="13"/>
  <c r="AA202" i="13"/>
  <c r="Q202" i="13"/>
  <c r="AA201" i="13"/>
  <c r="Q201" i="13"/>
  <c r="AA200" i="13"/>
  <c r="Q200" i="13"/>
  <c r="AA199" i="13"/>
  <c r="Q199" i="13"/>
  <c r="AA198" i="13"/>
  <c r="Q198" i="13"/>
  <c r="AA197" i="13"/>
  <c r="Q197" i="13"/>
  <c r="AA196" i="13"/>
  <c r="Q196" i="13"/>
  <c r="AA195" i="13"/>
  <c r="Q195" i="13"/>
  <c r="AA194" i="13"/>
  <c r="Q194" i="13"/>
  <c r="AA193" i="13"/>
  <c r="Q193" i="13"/>
  <c r="AA192" i="13"/>
  <c r="Q192" i="13"/>
  <c r="AA191" i="13"/>
  <c r="Q191" i="13"/>
  <c r="AA190" i="13"/>
  <c r="Q190" i="13"/>
  <c r="AA189" i="13"/>
  <c r="Q189" i="13"/>
  <c r="AA188" i="13"/>
  <c r="Q188" i="13"/>
  <c r="AA187" i="13"/>
  <c r="Q187" i="13"/>
  <c r="AA186" i="13"/>
  <c r="Q186" i="13"/>
  <c r="AA185" i="13"/>
  <c r="Q185" i="13"/>
  <c r="AA184" i="13"/>
  <c r="Q184" i="13"/>
  <c r="AA183" i="13"/>
  <c r="Q183" i="13"/>
  <c r="AA182" i="13"/>
  <c r="Q182" i="13"/>
  <c r="AA181" i="13"/>
  <c r="Q181" i="13"/>
  <c r="AA180" i="13"/>
  <c r="Q180" i="13"/>
  <c r="AA179" i="13"/>
  <c r="Q179" i="13"/>
  <c r="AA178" i="13"/>
  <c r="Q178" i="13"/>
  <c r="AA177" i="13"/>
  <c r="Q177" i="13"/>
  <c r="AA176" i="13"/>
  <c r="Q176" i="13"/>
  <c r="AA175" i="13"/>
  <c r="Q175" i="13"/>
  <c r="AA174" i="13"/>
  <c r="Q174" i="13"/>
  <c r="AA173" i="13"/>
  <c r="Q173" i="13"/>
  <c r="AA172" i="13"/>
  <c r="Q172" i="13"/>
  <c r="AA171" i="13"/>
  <c r="Q171" i="13"/>
  <c r="AA170" i="13"/>
  <c r="Q170" i="13"/>
  <c r="AA169" i="13"/>
  <c r="Q169" i="13"/>
  <c r="AA168" i="13"/>
  <c r="Q168" i="13"/>
  <c r="AA167" i="13"/>
  <c r="Q167" i="13"/>
  <c r="AA166" i="13"/>
  <c r="Q166" i="13"/>
  <c r="AA165" i="13"/>
  <c r="Q165" i="13"/>
  <c r="AA164" i="13"/>
  <c r="Q164" i="13"/>
  <c r="AA163" i="13"/>
  <c r="Q163" i="13"/>
  <c r="AA162" i="13"/>
  <c r="Q162" i="13"/>
  <c r="AA161" i="13"/>
  <c r="Q161" i="13"/>
  <c r="AA160" i="13"/>
  <c r="Q160" i="13"/>
  <c r="AA159" i="13"/>
  <c r="Q159" i="13"/>
  <c r="AA158" i="13"/>
  <c r="Q158" i="13"/>
  <c r="AA157" i="13"/>
  <c r="Q157" i="13"/>
  <c r="AA156" i="13"/>
  <c r="Q156" i="13"/>
  <c r="AA155" i="13"/>
  <c r="Q155" i="13"/>
  <c r="AA154" i="13"/>
  <c r="Q154" i="13"/>
  <c r="AA153" i="13"/>
  <c r="Q153" i="13"/>
  <c r="AA152" i="13"/>
  <c r="Q152" i="13"/>
  <c r="AA151" i="13"/>
  <c r="Q151" i="13"/>
  <c r="AA150" i="13"/>
  <c r="Q150" i="13"/>
  <c r="AA149" i="13"/>
  <c r="Q149" i="13"/>
  <c r="AA148" i="13"/>
  <c r="Q148" i="13"/>
  <c r="AA147" i="13"/>
  <c r="Q147" i="13"/>
  <c r="AA146" i="13"/>
  <c r="Q146" i="13"/>
  <c r="AA145" i="13"/>
  <c r="Q145" i="13"/>
  <c r="AA144" i="13"/>
  <c r="Q144" i="13"/>
  <c r="AA143" i="13"/>
  <c r="Q143" i="13"/>
  <c r="AA142" i="13"/>
  <c r="Q142" i="13"/>
  <c r="AA141" i="13"/>
  <c r="Q141" i="13"/>
  <c r="AA140" i="13"/>
  <c r="Q140" i="13"/>
  <c r="AA139" i="13"/>
  <c r="Q139" i="13"/>
  <c r="AA138" i="13"/>
  <c r="Q138" i="13"/>
  <c r="AA137" i="13"/>
  <c r="Q137" i="13"/>
  <c r="AA136" i="13"/>
  <c r="Q136" i="13"/>
  <c r="AA135" i="13"/>
  <c r="Q135" i="13"/>
  <c r="AA134" i="13"/>
  <c r="Q134" i="13"/>
  <c r="AA133" i="13"/>
  <c r="Q133" i="13"/>
  <c r="AA132" i="13"/>
  <c r="Q132" i="13"/>
  <c r="AA131" i="13"/>
  <c r="Q131" i="13"/>
  <c r="AA130" i="13"/>
  <c r="Q130" i="13"/>
  <c r="AA129" i="13"/>
  <c r="Q129" i="13"/>
  <c r="AA128" i="13"/>
  <c r="Q128" i="13"/>
  <c r="AA127" i="13"/>
  <c r="Q127" i="13"/>
  <c r="AA126" i="13"/>
  <c r="Q126" i="13"/>
  <c r="AA125" i="13"/>
  <c r="Q125" i="13"/>
  <c r="AA124" i="13"/>
  <c r="Q124" i="13"/>
  <c r="AA123" i="13"/>
  <c r="Q123" i="13"/>
  <c r="AA122" i="13"/>
  <c r="Q122" i="13"/>
  <c r="AA121" i="13"/>
  <c r="Q121" i="13"/>
  <c r="AA120" i="13"/>
  <c r="Q120" i="13"/>
  <c r="AA119" i="13"/>
  <c r="Q119" i="13"/>
  <c r="AA118" i="13"/>
  <c r="Q118" i="13"/>
  <c r="AA117" i="13"/>
  <c r="Q117" i="13"/>
  <c r="AA116" i="13"/>
  <c r="Q116" i="13"/>
  <c r="AA115" i="13"/>
  <c r="Q115" i="13"/>
  <c r="AA114" i="13"/>
  <c r="Q114" i="13"/>
  <c r="AA113" i="13"/>
  <c r="Q113" i="13"/>
  <c r="AA112" i="13"/>
  <c r="Q112" i="13"/>
  <c r="AA111" i="13"/>
  <c r="Q111" i="13"/>
  <c r="AA110" i="13"/>
  <c r="Q110" i="13"/>
  <c r="AA109" i="13"/>
  <c r="Q109" i="13"/>
  <c r="AA108" i="13"/>
  <c r="Q108" i="13"/>
  <c r="AA107" i="13"/>
  <c r="Q107" i="13"/>
  <c r="AA106" i="13"/>
  <c r="Q106" i="13"/>
  <c r="AA105" i="13"/>
  <c r="Q105" i="13"/>
  <c r="AA104" i="13"/>
  <c r="Q104" i="13"/>
  <c r="AA103" i="13"/>
  <c r="Q103" i="13"/>
  <c r="AA102" i="13"/>
  <c r="Q102" i="13"/>
  <c r="AA101" i="13"/>
  <c r="Q101" i="13"/>
  <c r="AA100" i="13"/>
  <c r="Q100" i="13"/>
  <c r="AA99" i="13"/>
  <c r="Q99" i="13"/>
  <c r="AA98" i="13"/>
  <c r="Q98" i="13"/>
  <c r="AA97" i="13"/>
  <c r="Q97" i="13"/>
  <c r="AA96" i="13"/>
  <c r="Q96" i="13"/>
  <c r="AA95" i="13"/>
  <c r="Q95" i="13"/>
  <c r="AA94" i="13"/>
  <c r="Q94" i="13"/>
  <c r="AA93" i="13"/>
  <c r="Q93" i="13"/>
  <c r="AA92" i="13"/>
  <c r="Q92" i="13"/>
  <c r="AA91" i="13"/>
  <c r="Q91" i="13"/>
  <c r="AA90" i="13"/>
  <c r="Q90" i="13"/>
  <c r="AA89" i="13"/>
  <c r="Q89" i="13"/>
  <c r="AA88" i="13"/>
  <c r="Q88" i="13"/>
  <c r="AA87" i="13"/>
  <c r="Q87" i="13"/>
  <c r="AA86" i="13"/>
  <c r="Q86" i="13"/>
  <c r="AA85" i="13"/>
  <c r="Q85" i="13"/>
  <c r="AA84" i="13"/>
  <c r="Q84" i="13"/>
  <c r="AA83" i="13"/>
  <c r="Q83" i="13"/>
  <c r="AA82" i="13"/>
  <c r="Q82" i="13"/>
  <c r="AA81" i="13"/>
  <c r="Q81" i="13"/>
  <c r="AA80" i="13"/>
  <c r="Q80" i="13"/>
  <c r="AA79" i="13"/>
  <c r="Q79" i="13"/>
  <c r="AA78" i="13"/>
  <c r="Q78" i="13"/>
  <c r="AA77" i="13"/>
  <c r="Q77" i="13"/>
  <c r="AA76" i="13"/>
  <c r="Q76" i="13"/>
  <c r="AA75" i="13"/>
  <c r="Q75" i="13"/>
  <c r="AA74" i="13"/>
  <c r="Q74" i="13"/>
  <c r="AA73" i="13"/>
  <c r="Q73" i="13"/>
  <c r="AA72" i="13"/>
  <c r="Q72" i="13"/>
  <c r="AA71" i="13"/>
  <c r="Q71" i="13"/>
  <c r="AA70" i="13"/>
  <c r="Q70" i="13"/>
  <c r="AA69" i="13"/>
  <c r="Q69" i="13"/>
  <c r="AA68" i="13"/>
  <c r="Q68" i="13"/>
  <c r="AA67" i="13"/>
  <c r="Q67" i="13"/>
  <c r="AA66" i="13"/>
  <c r="Q66" i="13"/>
  <c r="AA65" i="13"/>
  <c r="Q65" i="13"/>
  <c r="AA64" i="13"/>
  <c r="Q64" i="13"/>
  <c r="AA63" i="13"/>
  <c r="Q63" i="13"/>
  <c r="AA62" i="13"/>
  <c r="Q62" i="13"/>
  <c r="AA61" i="13"/>
  <c r="Q61" i="13"/>
  <c r="AA60" i="13"/>
  <c r="Q60" i="13"/>
  <c r="AA59" i="13"/>
  <c r="Q59" i="13"/>
  <c r="AA58" i="13"/>
  <c r="Q58" i="13"/>
  <c r="AA57" i="13"/>
  <c r="Q57" i="13"/>
  <c r="AA56" i="13"/>
  <c r="Q56" i="13"/>
  <c r="AA55" i="13"/>
  <c r="Q55" i="13"/>
  <c r="AA54" i="13"/>
  <c r="Q54" i="13"/>
  <c r="AA53" i="13"/>
  <c r="Q53" i="13"/>
  <c r="AA52" i="13"/>
  <c r="Q52" i="13"/>
  <c r="AA51" i="13"/>
  <c r="Q51" i="13"/>
  <c r="AA50" i="13"/>
  <c r="Q50" i="13"/>
  <c r="AA49" i="13"/>
  <c r="Q49" i="13"/>
  <c r="AA48" i="13"/>
  <c r="Q48" i="13"/>
  <c r="AA47" i="13"/>
  <c r="Q47" i="13"/>
  <c r="AA46" i="13"/>
  <c r="Q46" i="13"/>
  <c r="AA45" i="13"/>
  <c r="Q45" i="13"/>
  <c r="AA44" i="13"/>
  <c r="Q44" i="13"/>
  <c r="AA43" i="13"/>
  <c r="Q43" i="13"/>
  <c r="AA42" i="13"/>
  <c r="Q42" i="13"/>
  <c r="AA41" i="13"/>
  <c r="Q41" i="13"/>
  <c r="AA40" i="13"/>
  <c r="Q40" i="13"/>
  <c r="AA39" i="13"/>
  <c r="Q39" i="13"/>
  <c r="AA38" i="13"/>
  <c r="Q38" i="13"/>
  <c r="AA37" i="13"/>
  <c r="Q37" i="13"/>
  <c r="AA36" i="13"/>
  <c r="Q36" i="13"/>
  <c r="AA35" i="13"/>
  <c r="Q35" i="13"/>
  <c r="AA34" i="13"/>
  <c r="Q34" i="13"/>
  <c r="AA33" i="13"/>
  <c r="Q33" i="13"/>
  <c r="AA32" i="13"/>
  <c r="Q32" i="13"/>
  <c r="AA31" i="13"/>
  <c r="Q31" i="13"/>
  <c r="AA30" i="13"/>
  <c r="Q30" i="13"/>
  <c r="AA29" i="13"/>
  <c r="Q29" i="13"/>
  <c r="AA28" i="13"/>
  <c r="Q28" i="13"/>
  <c r="AA27" i="13"/>
  <c r="Q27" i="13"/>
  <c r="AA26" i="13"/>
  <c r="Q26" i="13"/>
  <c r="AA25" i="13"/>
  <c r="Q25" i="13"/>
  <c r="AA24" i="13"/>
  <c r="Q24" i="13"/>
  <c r="AA23" i="13"/>
  <c r="Q23" i="13"/>
  <c r="AA22" i="13"/>
  <c r="Q22" i="13"/>
  <c r="AA21" i="13"/>
  <c r="Q21" i="13"/>
  <c r="AA20" i="13"/>
  <c r="Q20" i="13"/>
  <c r="AA19" i="13"/>
  <c r="Q19" i="13"/>
  <c r="AA18" i="13"/>
  <c r="Q18" i="13"/>
  <c r="AA17" i="13"/>
  <c r="Q17" i="13"/>
  <c r="AA16" i="13"/>
  <c r="Q16" i="13"/>
  <c r="AA15" i="13"/>
  <c r="Q15" i="13"/>
  <c r="AA14" i="13"/>
  <c r="Q14" i="13"/>
  <c r="AA13" i="13"/>
  <c r="Q13" i="13"/>
  <c r="AA12" i="13"/>
  <c r="Q12" i="13"/>
  <c r="AA11" i="13"/>
  <c r="Q11" i="13"/>
  <c r="AA10" i="13"/>
  <c r="Q10" i="13"/>
  <c r="AA9" i="13"/>
  <c r="Q9" i="13"/>
  <c r="AA8" i="13"/>
  <c r="Q8" i="13"/>
  <c r="AA7" i="13"/>
  <c r="Q7" i="13"/>
  <c r="AA6" i="13"/>
  <c r="Q6" i="13"/>
  <c r="AA5" i="13"/>
  <c r="Q5" i="13"/>
  <c r="AA4" i="13"/>
  <c r="Q4" i="13"/>
  <c r="AA3" i="13"/>
  <c r="Q3" i="13"/>
  <c r="AA2" i="13"/>
  <c r="Q2" i="13"/>
  <c r="D15" i="5"/>
  <c r="AY2" i="4" a="1"/>
  <c r="AY2" i="4" s="1"/>
  <c r="BC68" i="4"/>
  <c r="BC72" i="4"/>
  <c r="BC76" i="4"/>
  <c r="BC80" i="4"/>
  <c r="BC84" i="4"/>
  <c r="BC88" i="4"/>
  <c r="BC92" i="4"/>
  <c r="BC96" i="4"/>
  <c r="BC69" i="4"/>
  <c r="BC73" i="4"/>
  <c r="BC77" i="4"/>
  <c r="BC81" i="4"/>
  <c r="BC85" i="4"/>
  <c r="BC89" i="4"/>
  <c r="BC93" i="4"/>
  <c r="BC70" i="4"/>
  <c r="BC74" i="4"/>
  <c r="BC78" i="4"/>
  <c r="BC82" i="4"/>
  <c r="BC86" i="4"/>
  <c r="BC90" i="4"/>
  <c r="BC94" i="4"/>
  <c r="BC71" i="4"/>
  <c r="BC75" i="4"/>
  <c r="BC79" i="4"/>
  <c r="BC83" i="4"/>
  <c r="BC87" i="4"/>
  <c r="BC91" i="4"/>
  <c r="BC95" i="4"/>
  <c r="AK196" i="1"/>
  <c r="AK30" i="1"/>
  <c r="AK143" i="1"/>
  <c r="N2" i="29" a="1"/>
  <c r="AR2" i="1" a="1"/>
  <c r="AT259" i="42" l="1"/>
  <c r="P92" i="4"/>
  <c r="O92" i="4"/>
  <c r="U114" i="42"/>
  <c r="AP265" i="1"/>
  <c r="AP272" i="1"/>
  <c r="U240" i="42"/>
  <c r="AQ240" i="42" s="1"/>
  <c r="U148" i="42"/>
  <c r="AQ148" i="42" s="1"/>
  <c r="AT145" i="42" s="1"/>
  <c r="U191" i="42"/>
  <c r="AQ191" i="42" s="1"/>
  <c r="AT223" i="42" s="1"/>
  <c r="U151" i="42"/>
  <c r="AQ151" i="42" s="1"/>
  <c r="AT5" i="42" s="1"/>
  <c r="U37" i="42"/>
  <c r="AQ37" i="42" s="1"/>
  <c r="AT49" i="42" s="1"/>
  <c r="AA32" i="31"/>
  <c r="U147" i="42"/>
  <c r="AQ147" i="42" s="1"/>
  <c r="AT147" i="42" s="1"/>
  <c r="U189" i="42"/>
  <c r="AQ189" i="42" s="1"/>
  <c r="AT162" i="42" s="1"/>
  <c r="U59" i="42"/>
  <c r="AQ59" i="42" s="1"/>
  <c r="AT37" i="42" s="1"/>
  <c r="U212" i="42"/>
  <c r="AQ212" i="42" s="1"/>
  <c r="AT204" i="42" s="1"/>
  <c r="U225" i="42"/>
  <c r="AQ225" i="42" s="1"/>
  <c r="U200" i="42"/>
  <c r="AQ200" i="42" s="1"/>
  <c r="U70" i="42"/>
  <c r="AQ70" i="42" s="1"/>
  <c r="AT80" i="42" s="1"/>
  <c r="U131" i="42"/>
  <c r="AQ131" i="42" s="1"/>
  <c r="AT177" i="42" s="1"/>
  <c r="U207" i="42"/>
  <c r="AQ207" i="42" s="1"/>
  <c r="AT234" i="42" s="1"/>
  <c r="U5" i="42"/>
  <c r="U107" i="42"/>
  <c r="AQ107" i="42" s="1"/>
  <c r="AT36" i="42" s="1"/>
  <c r="U98" i="42"/>
  <c r="AQ98" i="42" s="1"/>
  <c r="AT13" i="42" s="1"/>
  <c r="U222" i="42"/>
  <c r="AQ222" i="42" s="1"/>
  <c r="AT189" i="42" s="1"/>
  <c r="U54" i="42"/>
  <c r="AQ54" i="42" s="1"/>
  <c r="AT47" i="42" s="1"/>
  <c r="U197" i="42"/>
  <c r="AQ197" i="42" s="1"/>
  <c r="AT227" i="42" s="1"/>
  <c r="U216" i="42"/>
  <c r="AQ216" i="42" s="1"/>
  <c r="AT230" i="42" s="1"/>
  <c r="P91" i="4"/>
  <c r="O91" i="4"/>
  <c r="O90" i="4"/>
  <c r="P90" i="4"/>
  <c r="U160" i="42"/>
  <c r="AQ160" i="42" s="1"/>
  <c r="AT161" i="42" s="1"/>
  <c r="U217" i="42"/>
  <c r="AQ217" i="42" s="1"/>
  <c r="T217" i="1"/>
  <c r="T196" i="1"/>
  <c r="U196" i="42"/>
  <c r="U211" i="42"/>
  <c r="U173" i="42"/>
  <c r="AQ114" i="42"/>
  <c r="AT165" i="42" s="1"/>
  <c r="T193" i="1"/>
  <c r="AP77" i="1" s="1"/>
  <c r="U193" i="42"/>
  <c r="T91" i="1"/>
  <c r="U91" i="42"/>
  <c r="U61" i="42"/>
  <c r="U202" i="42"/>
  <c r="T219" i="1"/>
  <c r="U219" i="42"/>
  <c r="U44" i="42"/>
  <c r="U226" i="42"/>
  <c r="T231" i="1"/>
  <c r="AP57" i="1" s="1"/>
  <c r="U231" i="42"/>
  <c r="T234" i="1"/>
  <c r="AP285" i="1" s="1"/>
  <c r="U234" i="42"/>
  <c r="T239" i="1"/>
  <c r="AP261" i="1" s="1"/>
  <c r="U239" i="42"/>
  <c r="U214" i="42"/>
  <c r="U227" i="42"/>
  <c r="T170" i="1"/>
  <c r="U170" i="42"/>
  <c r="T205" i="1"/>
  <c r="U205" i="42"/>
  <c r="T119" i="1"/>
  <c r="AP274" i="1" s="1"/>
  <c r="U119" i="42"/>
  <c r="T210" i="1"/>
  <c r="U210" i="42"/>
  <c r="T187" i="1"/>
  <c r="U187" i="42"/>
  <c r="U215" i="42"/>
  <c r="U208" i="42"/>
  <c r="U221" i="42"/>
  <c r="U176" i="42"/>
  <c r="T228" i="1"/>
  <c r="AP125" i="1" s="1"/>
  <c r="U228" i="42"/>
  <c r="T241" i="1"/>
  <c r="AP71" i="1" s="1"/>
  <c r="U241" i="42"/>
  <c r="T243" i="1"/>
  <c r="U243" i="42"/>
  <c r="AQ244" i="42"/>
  <c r="T172" i="1"/>
  <c r="U172" i="42"/>
  <c r="T117" i="1"/>
  <c r="AP180" i="1" s="1"/>
  <c r="U117" i="42"/>
  <c r="U43" i="42"/>
  <c r="T213" i="1"/>
  <c r="AP190" i="1" s="1"/>
  <c r="U213" i="42"/>
  <c r="T220" i="1"/>
  <c r="U220" i="42"/>
  <c r="T218" i="1"/>
  <c r="U218" i="42"/>
  <c r="U223" i="42"/>
  <c r="T130" i="1"/>
  <c r="AP68" i="1" s="1"/>
  <c r="U130" i="42"/>
  <c r="U232" i="42"/>
  <c r="T229" i="1"/>
  <c r="U229" i="42"/>
  <c r="T230" i="1"/>
  <c r="U230" i="42"/>
  <c r="U209" i="42"/>
  <c r="T242" i="1"/>
  <c r="AP263" i="1" s="1"/>
  <c r="U242" i="42"/>
  <c r="O89" i="4"/>
  <c r="P89" i="4"/>
  <c r="P88" i="4"/>
  <c r="O88" i="4"/>
  <c r="P87" i="4"/>
  <c r="O87" i="4"/>
  <c r="O86" i="4"/>
  <c r="P86" i="4"/>
  <c r="O85" i="4"/>
  <c r="P85" i="4"/>
  <c r="P84" i="4"/>
  <c r="O84" i="4"/>
  <c r="P83" i="4"/>
  <c r="O83" i="4"/>
  <c r="T5" i="1"/>
  <c r="T240" i="1"/>
  <c r="T191" i="1"/>
  <c r="T200" i="1"/>
  <c r="T107" i="1"/>
  <c r="T70" i="1"/>
  <c r="T148" i="1"/>
  <c r="T160" i="1"/>
  <c r="AP45" i="1" s="1"/>
  <c r="T37" i="1"/>
  <c r="AP138" i="1"/>
  <c r="AP74" i="1"/>
  <c r="AP142" i="1"/>
  <c r="AP140" i="1"/>
  <c r="AP111" i="1"/>
  <c r="AP108" i="1"/>
  <c r="AP106" i="1"/>
  <c r="AP30" i="1"/>
  <c r="AM114" i="4"/>
  <c r="AM115" i="4"/>
  <c r="AJ115" i="4"/>
  <c r="AL115" i="4" s="1"/>
  <c r="AJ114" i="4"/>
  <c r="AL114" i="4" s="1"/>
  <c r="T147" i="1"/>
  <c r="AP271" i="1" s="1"/>
  <c r="T151" i="1"/>
  <c r="T225" i="1"/>
  <c r="T222" i="1"/>
  <c r="T54" i="1"/>
  <c r="T173" i="1"/>
  <c r="T211" i="1"/>
  <c r="T114" i="1"/>
  <c r="AP100" i="1" s="1"/>
  <c r="T189" i="1"/>
  <c r="T212" i="1"/>
  <c r="AP33" i="1" s="1"/>
  <c r="T216" i="1"/>
  <c r="T61" i="1"/>
  <c r="T202" i="1"/>
  <c r="T44" i="1"/>
  <c r="T226" i="1"/>
  <c r="T214" i="1"/>
  <c r="AP65" i="1" s="1"/>
  <c r="T227" i="1"/>
  <c r="AP270" i="1" s="1"/>
  <c r="T59" i="1"/>
  <c r="T215" i="1"/>
  <c r="AP283" i="1" s="1"/>
  <c r="T208" i="1"/>
  <c r="T221" i="1"/>
  <c r="AP273" i="1" s="1"/>
  <c r="T176" i="1"/>
  <c r="AP122" i="1" s="1"/>
  <c r="T131" i="1"/>
  <c r="AP42" i="1" s="1"/>
  <c r="T197" i="1"/>
  <c r="T207" i="1"/>
  <c r="AR9" i="26" s="1" a="1"/>
  <c r="AR9" i="26" s="1"/>
  <c r="T98" i="1"/>
  <c r="AP55" i="1" s="1"/>
  <c r="T43" i="1"/>
  <c r="T223" i="1"/>
  <c r="T232" i="1"/>
  <c r="T209" i="1"/>
  <c r="O82" i="4"/>
  <c r="P82" i="4"/>
  <c r="P80" i="4"/>
  <c r="P81" i="4"/>
  <c r="O80" i="4"/>
  <c r="O81" i="4"/>
  <c r="H4" i="26"/>
  <c r="H5" i="26"/>
  <c r="O77" i="4"/>
  <c r="P78" i="4"/>
  <c r="O78" i="4"/>
  <c r="P75" i="4"/>
  <c r="P79" i="4"/>
  <c r="O75" i="4"/>
  <c r="O79" i="4"/>
  <c r="P76" i="4"/>
  <c r="O76" i="4"/>
  <c r="P77" i="4"/>
  <c r="O74" i="4"/>
  <c r="P74" i="4"/>
  <c r="O73" i="4"/>
  <c r="P73" i="4"/>
  <c r="AM113" i="4"/>
  <c r="AJ113" i="4"/>
  <c r="AL113" i="4" s="1"/>
  <c r="AM112" i="4"/>
  <c r="AJ112" i="4"/>
  <c r="AL112" i="4" s="1"/>
  <c r="P72" i="4"/>
  <c r="O72" i="4"/>
  <c r="AM111" i="4"/>
  <c r="AJ111" i="4"/>
  <c r="AP120" i="1"/>
  <c r="AM110" i="4"/>
  <c r="AJ110" i="4"/>
  <c r="P71" i="4"/>
  <c r="O71" i="4"/>
  <c r="O70" i="4"/>
  <c r="P70" i="4"/>
  <c r="AM109" i="4"/>
  <c r="AJ109" i="4"/>
  <c r="AL109" i="4" s="1"/>
  <c r="AM66" i="4"/>
  <c r="AM67" i="4"/>
  <c r="AM72" i="4"/>
  <c r="AM63" i="4"/>
  <c r="AM65" i="4"/>
  <c r="AM91" i="4"/>
  <c r="AM102" i="4"/>
  <c r="AM31" i="4"/>
  <c r="AM105" i="4"/>
  <c r="AM84" i="4"/>
  <c r="AM44" i="4"/>
  <c r="AM38" i="4"/>
  <c r="AM12" i="4"/>
  <c r="AM39" i="4"/>
  <c r="AM45" i="4"/>
  <c r="AM78" i="4"/>
  <c r="AM11" i="4"/>
  <c r="AM24" i="4"/>
  <c r="AM79" i="4"/>
  <c r="AM97" i="4"/>
  <c r="AM43" i="4"/>
  <c r="AM20" i="4"/>
  <c r="AM82" i="4"/>
  <c r="AM42" i="4"/>
  <c r="AM33" i="4"/>
  <c r="AM23" i="4"/>
  <c r="AM74" i="4"/>
  <c r="AM108" i="4"/>
  <c r="AM54" i="4"/>
  <c r="AM51" i="4"/>
  <c r="AM96" i="4"/>
  <c r="AM86" i="4"/>
  <c r="AM59" i="4"/>
  <c r="AM60" i="4"/>
  <c r="AM18" i="4"/>
  <c r="AM104" i="4"/>
  <c r="AM80" i="4"/>
  <c r="AM94" i="4"/>
  <c r="AM95" i="4"/>
  <c r="AM85" i="4"/>
  <c r="AM26" i="4"/>
  <c r="AM99" i="4"/>
  <c r="AM34" i="4"/>
  <c r="AM47" i="4"/>
  <c r="AM25" i="4"/>
  <c r="AM56" i="4"/>
  <c r="AM37" i="4"/>
  <c r="AM9" i="4"/>
  <c r="AM30" i="4"/>
  <c r="AM22" i="4"/>
  <c r="AM69" i="4"/>
  <c r="AM28" i="4"/>
  <c r="AM29" i="4"/>
  <c r="AM36" i="4"/>
  <c r="AM93" i="4"/>
  <c r="AM7" i="4"/>
  <c r="AM48" i="4"/>
  <c r="AM41" i="4"/>
  <c r="AM5" i="4"/>
  <c r="AM21" i="4"/>
  <c r="AM4" i="4"/>
  <c r="AM106" i="4"/>
  <c r="AM32" i="4"/>
  <c r="AM57" i="4"/>
  <c r="AM50" i="4"/>
  <c r="AM16" i="4"/>
  <c r="AM62" i="4"/>
  <c r="AM14" i="4"/>
  <c r="AM15" i="4"/>
  <c r="AM13" i="4"/>
  <c r="AM73" i="4"/>
  <c r="AM10" i="4"/>
  <c r="AM40" i="4"/>
  <c r="AM46" i="4"/>
  <c r="AM103" i="4"/>
  <c r="AM68" i="4"/>
  <c r="AM49" i="4"/>
  <c r="AM76" i="4"/>
  <c r="AM100" i="4"/>
  <c r="AM98" i="4"/>
  <c r="AM101" i="4"/>
  <c r="AM70" i="4"/>
  <c r="AM64" i="4"/>
  <c r="AM53" i="4"/>
  <c r="AM55" i="4"/>
  <c r="AM27" i="4"/>
  <c r="AM19" i="4"/>
  <c r="AM77" i="4"/>
  <c r="AM107" i="4"/>
  <c r="AM58" i="4"/>
  <c r="AM89" i="4"/>
  <c r="AM88" i="4"/>
  <c r="AM87" i="4"/>
  <c r="AM90" i="4"/>
  <c r="AM71" i="4"/>
  <c r="AM75" i="4"/>
  <c r="AM17" i="4"/>
  <c r="AM3" i="4"/>
  <c r="AM92" i="4"/>
  <c r="AM81" i="4"/>
  <c r="AM35" i="4"/>
  <c r="AM52" i="4"/>
  <c r="AM6" i="4"/>
  <c r="AM61" i="4"/>
  <c r="AM83" i="4"/>
  <c r="AM8" i="4"/>
  <c r="AP165" i="1"/>
  <c r="J28" i="29"/>
  <c r="J12" i="29"/>
  <c r="AP51" i="1"/>
  <c r="AP76" i="1"/>
  <c r="AP177" i="1"/>
  <c r="AP113" i="1"/>
  <c r="AP104" i="1"/>
  <c r="AP135" i="1"/>
  <c r="AR7" i="26" a="1"/>
  <c r="AR7" i="26" s="1"/>
  <c r="J14" i="29"/>
  <c r="J33" i="29"/>
  <c r="AJ108" i="4"/>
  <c r="AL108" i="4" s="1"/>
  <c r="AJ107" i="4"/>
  <c r="AL107" i="4" s="1"/>
  <c r="AJ106" i="4"/>
  <c r="AL106" i="4" s="1"/>
  <c r="P69" i="4"/>
  <c r="O69" i="4"/>
  <c r="P68" i="4"/>
  <c r="O68" i="4"/>
  <c r="P67" i="4"/>
  <c r="O67" i="4"/>
  <c r="P66" i="4"/>
  <c r="O65" i="4"/>
  <c r="O66" i="4"/>
  <c r="P65" i="4"/>
  <c r="AF4" i="13"/>
  <c r="AG4" i="13" s="1"/>
  <c r="AF33" i="13"/>
  <c r="AG33" i="13" s="1"/>
  <c r="J23" i="29"/>
  <c r="AJ104" i="4"/>
  <c r="AL104" i="4" s="1"/>
  <c r="AJ105" i="4"/>
  <c r="AL105" i="4" s="1"/>
  <c r="O57" i="4"/>
  <c r="O61" i="4"/>
  <c r="P60" i="4"/>
  <c r="P64" i="4"/>
  <c r="O58" i="4"/>
  <c r="O62" i="4"/>
  <c r="P57" i="4"/>
  <c r="P61" i="4"/>
  <c r="O59" i="4"/>
  <c r="O63" i="4"/>
  <c r="P58" i="4"/>
  <c r="P62" i="4"/>
  <c r="O60" i="4"/>
  <c r="O64" i="4"/>
  <c r="P59" i="4"/>
  <c r="P63" i="4"/>
  <c r="J7" i="29"/>
  <c r="J195" i="29"/>
  <c r="AF11" i="13"/>
  <c r="AG11" i="13" s="1"/>
  <c r="AF21" i="13"/>
  <c r="AG21" i="13" s="1"/>
  <c r="AF23" i="13"/>
  <c r="AG23" i="13" s="1"/>
  <c r="AA27" i="31"/>
  <c r="AJ103" i="4"/>
  <c r="AL103" i="4" s="1"/>
  <c r="AF26" i="13"/>
  <c r="AG26" i="13" s="1"/>
  <c r="AC495" i="13"/>
  <c r="AF16" i="13"/>
  <c r="AG16" i="13" s="1"/>
  <c r="AC116" i="13"/>
  <c r="AF20" i="13"/>
  <c r="AG20" i="13" s="1"/>
  <c r="AF25" i="13"/>
  <c r="AG25" i="13" s="1"/>
  <c r="AC91" i="13"/>
  <c r="AJ51" i="4"/>
  <c r="AL51" i="4" s="1"/>
  <c r="AJ47" i="4"/>
  <c r="AL47" i="4" s="1"/>
  <c r="AJ43" i="4"/>
  <c r="AL43" i="4" s="1"/>
  <c r="AJ39" i="4"/>
  <c r="AL39" i="4" s="1"/>
  <c r="AJ35" i="4"/>
  <c r="AL35" i="4" s="1"/>
  <c r="AJ31" i="4"/>
  <c r="AL31" i="4" s="1"/>
  <c r="AJ27" i="4"/>
  <c r="AL27" i="4" s="1"/>
  <c r="AJ23" i="4"/>
  <c r="AL23" i="4" s="1"/>
  <c r="AJ19" i="4"/>
  <c r="AL19" i="4" s="1"/>
  <c r="AJ15" i="4"/>
  <c r="AL15" i="4" s="1"/>
  <c r="AJ11" i="4"/>
  <c r="AL11" i="4" s="1"/>
  <c r="AJ7" i="4"/>
  <c r="AL7" i="4" s="1"/>
  <c r="AJ52" i="4"/>
  <c r="AL52" i="4" s="1"/>
  <c r="AJ48" i="4"/>
  <c r="AL48" i="4" s="1"/>
  <c r="AJ44" i="4"/>
  <c r="AL44" i="4" s="1"/>
  <c r="AJ40" i="4"/>
  <c r="AL40" i="4" s="1"/>
  <c r="AJ36" i="4"/>
  <c r="AL36" i="4" s="1"/>
  <c r="AJ32" i="4"/>
  <c r="AL32" i="4" s="1"/>
  <c r="AJ28" i="4"/>
  <c r="AL28" i="4" s="1"/>
  <c r="AJ24" i="4"/>
  <c r="AL24" i="4" s="1"/>
  <c r="AJ20" i="4"/>
  <c r="AL20" i="4" s="1"/>
  <c r="AJ16" i="4"/>
  <c r="AL16" i="4" s="1"/>
  <c r="AJ12" i="4"/>
  <c r="AL12" i="4" s="1"/>
  <c r="AJ8" i="4"/>
  <c r="AL8" i="4" s="1"/>
  <c r="AJ4" i="4"/>
  <c r="AL4" i="4" s="1"/>
  <c r="AJ102" i="4"/>
  <c r="AL102" i="4" s="1"/>
  <c r="AJ101" i="4"/>
  <c r="AL101" i="4" s="1"/>
  <c r="AJ100" i="4"/>
  <c r="AL100" i="4" s="1"/>
  <c r="AJ99" i="4"/>
  <c r="AL99" i="4" s="1"/>
  <c r="AJ98" i="4"/>
  <c r="AL98" i="4" s="1"/>
  <c r="AJ97" i="4"/>
  <c r="AL97" i="4" s="1"/>
  <c r="AJ96" i="4"/>
  <c r="AL96" i="4" s="1"/>
  <c r="AJ95" i="4"/>
  <c r="AL95" i="4" s="1"/>
  <c r="AJ94" i="4"/>
  <c r="AL94" i="4" s="1"/>
  <c r="AJ93" i="4"/>
  <c r="AL93" i="4" s="1"/>
  <c r="AJ92" i="4"/>
  <c r="AL92" i="4" s="1"/>
  <c r="AJ91" i="4"/>
  <c r="AL91" i="4" s="1"/>
  <c r="AJ90" i="4"/>
  <c r="AL90" i="4" s="1"/>
  <c r="AJ89" i="4"/>
  <c r="AL89" i="4" s="1"/>
  <c r="AJ88" i="4"/>
  <c r="AL88" i="4" s="1"/>
  <c r="AJ87" i="4"/>
  <c r="AL87" i="4" s="1"/>
  <c r="AJ86" i="4"/>
  <c r="AL86" i="4" s="1"/>
  <c r="AJ85" i="4"/>
  <c r="AL85" i="4" s="1"/>
  <c r="AJ84" i="4"/>
  <c r="AL84" i="4" s="1"/>
  <c r="AJ83" i="4"/>
  <c r="AL83" i="4" s="1"/>
  <c r="AJ82" i="4"/>
  <c r="AL82" i="4" s="1"/>
  <c r="AJ81" i="4"/>
  <c r="AL81" i="4" s="1"/>
  <c r="AJ80" i="4"/>
  <c r="AL80" i="4" s="1"/>
  <c r="AJ79" i="4"/>
  <c r="AL79" i="4" s="1"/>
  <c r="AJ78" i="4"/>
  <c r="AL78" i="4" s="1"/>
  <c r="AJ77" i="4"/>
  <c r="AL77" i="4" s="1"/>
  <c r="AJ76" i="4"/>
  <c r="AL76" i="4" s="1"/>
  <c r="AJ75" i="4"/>
  <c r="AL75" i="4" s="1"/>
  <c r="AJ74" i="4"/>
  <c r="AL74" i="4" s="1"/>
  <c r="AJ73" i="4"/>
  <c r="AL73" i="4" s="1"/>
  <c r="AJ72" i="4"/>
  <c r="AL72" i="4" s="1"/>
  <c r="AJ71" i="4"/>
  <c r="AL71" i="4" s="1"/>
  <c r="AJ70" i="4"/>
  <c r="AL70" i="4" s="1"/>
  <c r="AJ69" i="4"/>
  <c r="AL69" i="4" s="1"/>
  <c r="AJ68" i="4"/>
  <c r="AL68" i="4" s="1"/>
  <c r="AJ67" i="4"/>
  <c r="AL67" i="4" s="1"/>
  <c r="AJ66" i="4"/>
  <c r="AL66" i="4" s="1"/>
  <c r="AJ65" i="4"/>
  <c r="AL65" i="4" s="1"/>
  <c r="AJ64" i="4"/>
  <c r="AL64" i="4" s="1"/>
  <c r="AJ63" i="4"/>
  <c r="AL63" i="4" s="1"/>
  <c r="AJ62" i="4"/>
  <c r="AL62" i="4" s="1"/>
  <c r="AJ61" i="4"/>
  <c r="AL61" i="4" s="1"/>
  <c r="AJ60" i="4"/>
  <c r="AL60" i="4" s="1"/>
  <c r="AJ59" i="4"/>
  <c r="AL59" i="4" s="1"/>
  <c r="AJ58" i="4"/>
  <c r="AL58" i="4" s="1"/>
  <c r="AJ57" i="4"/>
  <c r="AL57" i="4" s="1"/>
  <c r="AJ56" i="4"/>
  <c r="AL56" i="4" s="1"/>
  <c r="AJ55" i="4"/>
  <c r="AL55" i="4" s="1"/>
  <c r="AJ54" i="4"/>
  <c r="AL54" i="4" s="1"/>
  <c r="AJ53" i="4"/>
  <c r="AL53" i="4" s="1"/>
  <c r="AJ49" i="4"/>
  <c r="AL49" i="4" s="1"/>
  <c r="AJ45" i="4"/>
  <c r="AL45" i="4" s="1"/>
  <c r="AJ41" i="4"/>
  <c r="AL41" i="4" s="1"/>
  <c r="AJ37" i="4"/>
  <c r="AL37" i="4" s="1"/>
  <c r="AJ33" i="4"/>
  <c r="AL33" i="4" s="1"/>
  <c r="AJ29" i="4"/>
  <c r="AL29" i="4" s="1"/>
  <c r="AJ25" i="4"/>
  <c r="AL25" i="4" s="1"/>
  <c r="AJ21" i="4"/>
  <c r="AL21" i="4" s="1"/>
  <c r="AJ17" i="4"/>
  <c r="AL17" i="4" s="1"/>
  <c r="AJ13" i="4"/>
  <c r="AL13" i="4" s="1"/>
  <c r="AJ9" i="4"/>
  <c r="AL9" i="4" s="1"/>
  <c r="AJ5" i="4"/>
  <c r="AL5" i="4" s="1"/>
  <c r="AJ50" i="4"/>
  <c r="AL50" i="4" s="1"/>
  <c r="AJ46" i="4"/>
  <c r="AL46" i="4" s="1"/>
  <c r="AJ42" i="4"/>
  <c r="AL42" i="4" s="1"/>
  <c r="AJ38" i="4"/>
  <c r="AL38" i="4" s="1"/>
  <c r="AJ34" i="4"/>
  <c r="AL34" i="4" s="1"/>
  <c r="AJ30" i="4"/>
  <c r="AL30" i="4" s="1"/>
  <c r="AJ26" i="4"/>
  <c r="AL26" i="4" s="1"/>
  <c r="AJ22" i="4"/>
  <c r="AL22" i="4" s="1"/>
  <c r="AJ18" i="4"/>
  <c r="AL18" i="4" s="1"/>
  <c r="AJ14" i="4"/>
  <c r="AL14" i="4" s="1"/>
  <c r="AJ10" i="4"/>
  <c r="AL10" i="4" s="1"/>
  <c r="AJ6" i="4"/>
  <c r="AL6" i="4" s="1"/>
  <c r="AJ3" i="4"/>
  <c r="AL3" i="4" s="1"/>
  <c r="AA31" i="31"/>
  <c r="R3" i="29"/>
  <c r="O56" i="4"/>
  <c r="O52" i="4"/>
  <c r="O48" i="4"/>
  <c r="O44" i="4"/>
  <c r="O40" i="4"/>
  <c r="O36" i="4"/>
  <c r="O32" i="4"/>
  <c r="O28" i="4"/>
  <c r="O24" i="4"/>
  <c r="O20" i="4"/>
  <c r="O16" i="4"/>
  <c r="O12" i="4"/>
  <c r="O8" i="4"/>
  <c r="O4" i="4"/>
  <c r="O3" i="4"/>
  <c r="O53" i="4"/>
  <c r="O33" i="4"/>
  <c r="O29" i="4"/>
  <c r="O17" i="4"/>
  <c r="O13" i="4"/>
  <c r="O9" i="4"/>
  <c r="O55" i="4"/>
  <c r="O51" i="4"/>
  <c r="O47" i="4"/>
  <c r="O43" i="4"/>
  <c r="O39" i="4"/>
  <c r="O35" i="4"/>
  <c r="O31" i="4"/>
  <c r="O27" i="4"/>
  <c r="O23" i="4"/>
  <c r="O19" i="4"/>
  <c r="O15" i="4"/>
  <c r="O11" i="4"/>
  <c r="O7" i="4"/>
  <c r="O54" i="4"/>
  <c r="O50" i="4"/>
  <c r="O46" i="4"/>
  <c r="O42" i="4"/>
  <c r="O38" i="4"/>
  <c r="O34" i="4"/>
  <c r="O30" i="4"/>
  <c r="O26" i="4"/>
  <c r="O22" i="4"/>
  <c r="O18" i="4"/>
  <c r="O14" i="4"/>
  <c r="O10" i="4"/>
  <c r="O6" i="4"/>
  <c r="O49" i="4"/>
  <c r="O45" i="4"/>
  <c r="O41" i="4"/>
  <c r="O37" i="4"/>
  <c r="O25" i="4"/>
  <c r="O21" i="4"/>
  <c r="O5" i="4"/>
  <c r="P22" i="4"/>
  <c r="P56" i="4"/>
  <c r="P47" i="4"/>
  <c r="P5" i="4"/>
  <c r="P18" i="4"/>
  <c r="P31" i="4"/>
  <c r="P26" i="4"/>
  <c r="P25" i="4"/>
  <c r="P8" i="4"/>
  <c r="P35" i="4"/>
  <c r="P48" i="4"/>
  <c r="P7" i="4"/>
  <c r="M1" i="4"/>
  <c r="P17" i="4"/>
  <c r="AK125" i="4"/>
  <c r="AL125" i="4"/>
  <c r="AN125" i="4" s="1"/>
  <c r="AO125" i="4" s="1"/>
  <c r="AK121" i="4"/>
  <c r="AL121" i="4"/>
  <c r="AN121" i="4" s="1"/>
  <c r="AO121" i="4" s="1"/>
  <c r="AK117" i="4"/>
  <c r="AL117" i="4"/>
  <c r="AN117" i="4" s="1"/>
  <c r="AO117" i="4" s="1"/>
  <c r="AK133" i="4"/>
  <c r="AL133" i="4"/>
  <c r="AN133" i="4" s="1"/>
  <c r="AO133" i="4" s="1"/>
  <c r="J194" i="29"/>
  <c r="T224" i="1" s="1"/>
  <c r="J228" i="29"/>
  <c r="AC343" i="13"/>
  <c r="AF28" i="13"/>
  <c r="AG28" i="13" s="1"/>
  <c r="AC327" i="13"/>
  <c r="AF17" i="13"/>
  <c r="AG17" i="13" s="1"/>
  <c r="AC311" i="13"/>
  <c r="AF13" i="13"/>
  <c r="AG13" i="13" s="1"/>
  <c r="AC234" i="13"/>
  <c r="AF6" i="13"/>
  <c r="AG6" i="13" s="1"/>
  <c r="AF27" i="13"/>
  <c r="AG27" i="13" s="1"/>
  <c r="AC59" i="13"/>
  <c r="AF3" i="13"/>
  <c r="AG3" i="13" s="1"/>
  <c r="AC216" i="13"/>
  <c r="AF10" i="13"/>
  <c r="AG10" i="13" s="1"/>
  <c r="AF19" i="13"/>
  <c r="AG19" i="13" s="1"/>
  <c r="AC115" i="13"/>
  <c r="AC331" i="13"/>
  <c r="AF31" i="13"/>
  <c r="AG31" i="13" s="1"/>
  <c r="AF7" i="13"/>
  <c r="AG7" i="13" s="1"/>
  <c r="AC330" i="13"/>
  <c r="AF32" i="13"/>
  <c r="AG32" i="13" s="1"/>
  <c r="AC242" i="13"/>
  <c r="AF12" i="13"/>
  <c r="AG12" i="13" s="1"/>
  <c r="J20" i="29"/>
  <c r="AF9" i="13"/>
  <c r="AG9" i="13" s="1"/>
  <c r="AF22" i="13"/>
  <c r="AG22" i="13" s="1"/>
  <c r="AC24" i="13"/>
  <c r="AF2" i="13"/>
  <c r="AG2" i="13" s="1"/>
  <c r="AF14" i="13"/>
  <c r="AG14" i="13" s="1"/>
  <c r="AC17" i="13"/>
  <c r="AF15" i="13"/>
  <c r="AG15" i="13" s="1"/>
  <c r="AC14" i="13"/>
  <c r="AF30" i="13"/>
  <c r="AG30" i="13" s="1"/>
  <c r="AC8" i="13"/>
  <c r="AF29" i="13"/>
  <c r="AG29" i="13" s="1"/>
  <c r="AF5" i="13"/>
  <c r="AG5" i="13" s="1"/>
  <c r="AC264" i="13"/>
  <c r="AF8" i="13"/>
  <c r="AG8" i="13" s="1"/>
  <c r="AC168" i="13"/>
  <c r="AF24" i="13"/>
  <c r="AG24" i="13" s="1"/>
  <c r="AA235" i="30"/>
  <c r="N2" i="4"/>
  <c r="O2" i="4" s="1"/>
  <c r="P20" i="4"/>
  <c r="P39" i="4"/>
  <c r="P55" i="4"/>
  <c r="P27" i="4"/>
  <c r="P42" i="4"/>
  <c r="P43" i="4"/>
  <c r="P41" i="4"/>
  <c r="P49" i="4"/>
  <c r="P28" i="4"/>
  <c r="P4" i="4"/>
  <c r="P46" i="4"/>
  <c r="P21" i="4"/>
  <c r="P10" i="4"/>
  <c r="P54" i="4"/>
  <c r="P29" i="4"/>
  <c r="P50" i="4"/>
  <c r="P33" i="4"/>
  <c r="P44" i="4"/>
  <c r="P13" i="4"/>
  <c r="P6" i="4"/>
  <c r="P24" i="4"/>
  <c r="P16" i="4"/>
  <c r="P11" i="4"/>
  <c r="P40" i="4"/>
  <c r="P36" i="4"/>
  <c r="P30" i="4"/>
  <c r="P53" i="4"/>
  <c r="P34" i="4"/>
  <c r="P45" i="4"/>
  <c r="P51" i="4"/>
  <c r="P9" i="4"/>
  <c r="P19" i="4"/>
  <c r="P14" i="4"/>
  <c r="P3" i="4"/>
  <c r="P32" i="4"/>
  <c r="AL128" i="4"/>
  <c r="AN128" i="4" s="1"/>
  <c r="AO128" i="4" s="1"/>
  <c r="AK128" i="4"/>
  <c r="AL120" i="4"/>
  <c r="AN120" i="4" s="1"/>
  <c r="AO120" i="4" s="1"/>
  <c r="AK120" i="4"/>
  <c r="AI2" i="4"/>
  <c r="AM2" i="4" s="1"/>
  <c r="AK123" i="4"/>
  <c r="AL123" i="4"/>
  <c r="AN123" i="4" s="1"/>
  <c r="AO123" i="4" s="1"/>
  <c r="AK143" i="4"/>
  <c r="AL143" i="4"/>
  <c r="AN143" i="4" s="1"/>
  <c r="AO143" i="4" s="1"/>
  <c r="AL135" i="4"/>
  <c r="AN135" i="4" s="1"/>
  <c r="AO135" i="4" s="1"/>
  <c r="AL126" i="4"/>
  <c r="AN126" i="4" s="1"/>
  <c r="AO126" i="4" s="1"/>
  <c r="AK126" i="4"/>
  <c r="AN122" i="4"/>
  <c r="AO122" i="4" s="1"/>
  <c r="AN118" i="4"/>
  <c r="AO118" i="4" s="1"/>
  <c r="J286" i="29"/>
  <c r="AR2" i="1"/>
  <c r="J5" i="29"/>
  <c r="Q3" i="29"/>
  <c r="AL141" i="4"/>
  <c r="AN141" i="4" s="1"/>
  <c r="AO141" i="4" s="1"/>
  <c r="AL145" i="4"/>
  <c r="AN145" i="4" s="1"/>
  <c r="AO145" i="4" s="1"/>
  <c r="AK134" i="4"/>
  <c r="AK139" i="4"/>
  <c r="AL139" i="4"/>
  <c r="AN139" i="4" s="1"/>
  <c r="AO139" i="4" s="1"/>
  <c r="AK131" i="4"/>
  <c r="AL131" i="4"/>
  <c r="AN131" i="4" s="1"/>
  <c r="AO131" i="4" s="1"/>
  <c r="AN137" i="4"/>
  <c r="AO137" i="4" s="1"/>
  <c r="AK142" i="4"/>
  <c r="AL142" i="4"/>
  <c r="AN142" i="4" s="1"/>
  <c r="AO142" i="4" s="1"/>
  <c r="AK130" i="4"/>
  <c r="AL130" i="4"/>
  <c r="AN130" i="4" s="1"/>
  <c r="AO130" i="4" s="1"/>
  <c r="AK129" i="4"/>
  <c r="AL129" i="4"/>
  <c r="AN129" i="4" s="1"/>
  <c r="AO129" i="4" s="1"/>
  <c r="AK137" i="4"/>
  <c r="AN124" i="4"/>
  <c r="AO124" i="4" s="1"/>
  <c r="AN116" i="4"/>
  <c r="AO116" i="4" s="1"/>
  <c r="AL144" i="4"/>
  <c r="AN144" i="4" s="1"/>
  <c r="AO144" i="4" s="1"/>
  <c r="AK144" i="4"/>
  <c r="AL132" i="4"/>
  <c r="AN132" i="4" s="1"/>
  <c r="AO132" i="4" s="1"/>
  <c r="AK132" i="4"/>
  <c r="AN127" i="4"/>
  <c r="AO127" i="4" s="1"/>
  <c r="AN119" i="4"/>
  <c r="AO119" i="4" s="1"/>
  <c r="AN138" i="4"/>
  <c r="AO138" i="4" s="1"/>
  <c r="AN134" i="4"/>
  <c r="AO134" i="4" s="1"/>
  <c r="P15" i="4"/>
  <c r="AN140" i="4"/>
  <c r="AO140" i="4" s="1"/>
  <c r="AN136" i="4"/>
  <c r="AO136" i="4" s="1"/>
  <c r="P52" i="4"/>
  <c r="P37" i="4"/>
  <c r="P12" i="4"/>
  <c r="P38" i="4"/>
  <c r="P23" i="4"/>
  <c r="N2" i="29"/>
  <c r="O2" i="29" s="1"/>
  <c r="J751" i="29" l="1"/>
  <c r="N1" i="30" s="1"/>
  <c r="AT241" i="42"/>
  <c r="AT242" i="42"/>
  <c r="AT247" i="42"/>
  <c r="AP276" i="1"/>
  <c r="AT258" i="42"/>
  <c r="Z584" i="4"/>
  <c r="AA584" i="4" s="1"/>
  <c r="Z578" i="4"/>
  <c r="AA578" i="4" s="1"/>
  <c r="Z585" i="4"/>
  <c r="AA585" i="4" s="1"/>
  <c r="Z579" i="4"/>
  <c r="AA579" i="4" s="1"/>
  <c r="Z586" i="4"/>
  <c r="AA586" i="4" s="1"/>
  <c r="Z580" i="4"/>
  <c r="AA580" i="4" s="1"/>
  <c r="Z587" i="4"/>
  <c r="AA587" i="4" s="1"/>
  <c r="Z581" i="4"/>
  <c r="AA581" i="4" s="1"/>
  <c r="Z582" i="4"/>
  <c r="AA582" i="4" s="1"/>
  <c r="Z583" i="4"/>
  <c r="AA583" i="4" s="1"/>
  <c r="AQ5" i="42"/>
  <c r="AT6" i="42" s="1"/>
  <c r="AP109" i="1"/>
  <c r="AP102" i="1"/>
  <c r="AP84" i="1"/>
  <c r="AP81" i="1"/>
  <c r="AP82" i="1"/>
  <c r="AP38" i="1"/>
  <c r="AP134" i="1"/>
  <c r="AP62" i="1"/>
  <c r="AP69" i="1"/>
  <c r="AP275" i="1"/>
  <c r="AP105" i="1"/>
  <c r="AP281" i="1"/>
  <c r="AP166" i="1"/>
  <c r="AP155" i="1"/>
  <c r="AP88" i="1"/>
  <c r="AP64" i="1"/>
  <c r="AP284" i="1"/>
  <c r="AP262" i="1"/>
  <c r="AP83" i="1"/>
  <c r="AP278" i="1"/>
  <c r="AP40" i="1"/>
  <c r="AP277" i="1"/>
  <c r="AP203" i="1"/>
  <c r="AP264" i="1"/>
  <c r="AP90" i="1"/>
  <c r="AP8" i="1"/>
  <c r="AP168" i="1"/>
  <c r="AP47" i="1"/>
  <c r="AP63" i="1"/>
  <c r="AP149" i="1"/>
  <c r="AP80" i="1"/>
  <c r="AP99" i="1"/>
  <c r="AP204" i="1"/>
  <c r="AP191" i="1"/>
  <c r="AP241" i="1"/>
  <c r="AP199" i="1"/>
  <c r="AP24" i="1"/>
  <c r="AP53" i="1"/>
  <c r="AP28" i="1"/>
  <c r="AP10" i="1"/>
  <c r="AP3" i="1"/>
  <c r="AP259" i="1"/>
  <c r="AP250" i="1"/>
  <c r="AP39" i="1"/>
  <c r="AP247" i="1"/>
  <c r="Z572" i="4"/>
  <c r="AA572" i="4" s="1"/>
  <c r="Z576" i="4"/>
  <c r="AA576" i="4" s="1"/>
  <c r="Z569" i="4"/>
  <c r="AA569" i="4" s="1"/>
  <c r="Z573" i="4"/>
  <c r="AA573" i="4" s="1"/>
  <c r="Z577" i="4"/>
  <c r="AA577" i="4" s="1"/>
  <c r="Z571" i="4"/>
  <c r="AA571" i="4" s="1"/>
  <c r="Z575" i="4"/>
  <c r="AA575" i="4" s="1"/>
  <c r="Z570" i="4"/>
  <c r="AA570" i="4" s="1"/>
  <c r="Z574" i="4"/>
  <c r="AA574" i="4" s="1"/>
  <c r="U224" i="42"/>
  <c r="AQ224" i="42" s="1"/>
  <c r="AT231" i="42" s="1"/>
  <c r="T49" i="1"/>
  <c r="AP116" i="1" s="1"/>
  <c r="U49" i="42"/>
  <c r="T233" i="1"/>
  <c r="AP35" i="1" s="1"/>
  <c r="U233" i="42"/>
  <c r="T235" i="1"/>
  <c r="AP260" i="1" s="1"/>
  <c r="U235" i="42"/>
  <c r="T179" i="1"/>
  <c r="AP244" i="1" s="1"/>
  <c r="U179" i="42"/>
  <c r="T206" i="1"/>
  <c r="AP248" i="1" s="1"/>
  <c r="U206" i="42"/>
  <c r="AQ242" i="42"/>
  <c r="AT237" i="42" s="1"/>
  <c r="AQ223" i="42"/>
  <c r="AQ117" i="42"/>
  <c r="AT140" i="42" s="1"/>
  <c r="AQ172" i="42"/>
  <c r="AT200" i="42" s="1"/>
  <c r="AQ243" i="42"/>
  <c r="AQ221" i="42"/>
  <c r="AT219" i="42" s="1"/>
  <c r="AQ239" i="42"/>
  <c r="AQ231" i="42"/>
  <c r="AT220" i="42" s="1"/>
  <c r="AQ219" i="42"/>
  <c r="AT181" i="42" s="1"/>
  <c r="AQ193" i="42"/>
  <c r="AT239" i="42" s="1"/>
  <c r="AQ196" i="42"/>
  <c r="AT194" i="42" s="1"/>
  <c r="T238" i="1"/>
  <c r="AP245" i="1" s="1"/>
  <c r="U238" i="42"/>
  <c r="T169" i="1"/>
  <c r="AP169" i="1" s="1"/>
  <c r="U169" i="42"/>
  <c r="T60" i="1"/>
  <c r="AP6" i="1" s="1"/>
  <c r="U60" i="42"/>
  <c r="T115" i="1"/>
  <c r="AP101" i="1" s="1"/>
  <c r="U115" i="42"/>
  <c r="T112" i="1"/>
  <c r="AP114" i="1" s="1"/>
  <c r="U112" i="42"/>
  <c r="AQ229" i="42"/>
  <c r="AT251" i="42" s="1"/>
  <c r="AQ220" i="42"/>
  <c r="AQ208" i="42"/>
  <c r="AT235" i="42" s="1"/>
  <c r="AQ210" i="42"/>
  <c r="AT243" i="42" s="1"/>
  <c r="AQ119" i="42"/>
  <c r="AT166" i="42" s="1"/>
  <c r="AQ205" i="42"/>
  <c r="AQ170" i="42"/>
  <c r="AT206" i="42" s="1"/>
  <c r="T194" i="1"/>
  <c r="AP194" i="1" s="1"/>
  <c r="U194" i="42"/>
  <c r="AP187" i="1"/>
  <c r="AQ209" i="42"/>
  <c r="AQ130" i="42"/>
  <c r="AT148" i="42" s="1"/>
  <c r="AQ241" i="42"/>
  <c r="AT216" i="42" s="1"/>
  <c r="AQ228" i="42"/>
  <c r="AT260" i="42" s="1"/>
  <c r="AQ215" i="42"/>
  <c r="AT236" i="42" s="1"/>
  <c r="AQ227" i="42"/>
  <c r="AQ234" i="42"/>
  <c r="AT208" i="42" s="1"/>
  <c r="AQ226" i="42"/>
  <c r="AT158" i="42" s="1"/>
  <c r="AQ202" i="42"/>
  <c r="AT190" i="42" s="1"/>
  <c r="AQ91" i="42"/>
  <c r="AT90" i="42" s="1"/>
  <c r="AQ173" i="42"/>
  <c r="AT146" i="42" s="1"/>
  <c r="AQ230" i="42"/>
  <c r="AT41" i="42" s="1"/>
  <c r="AQ232" i="42"/>
  <c r="AQ218" i="42"/>
  <c r="AT238" i="42" s="1"/>
  <c r="AQ213" i="42"/>
  <c r="AQ43" i="42"/>
  <c r="AT14" i="42" s="1"/>
  <c r="AQ176" i="42"/>
  <c r="AT143" i="42" s="1"/>
  <c r="AQ187" i="42"/>
  <c r="AT202" i="42" s="1"/>
  <c r="AQ214" i="42"/>
  <c r="AQ44" i="42"/>
  <c r="AT51" i="42" s="1"/>
  <c r="AQ61" i="42"/>
  <c r="AT25" i="42" s="1"/>
  <c r="AQ211" i="42"/>
  <c r="L909" i="4"/>
  <c r="L900" i="4"/>
  <c r="AP7" i="1"/>
  <c r="AR8" i="26" a="1"/>
  <c r="AR8" i="26" s="1"/>
  <c r="AP31" i="1"/>
  <c r="AP188" i="1"/>
  <c r="Z562" i="4"/>
  <c r="AA562" i="4" s="1"/>
  <c r="Z566" i="4"/>
  <c r="AA566" i="4" s="1"/>
  <c r="Z564" i="4"/>
  <c r="AA564" i="4" s="1"/>
  <c r="Z568" i="4"/>
  <c r="AA568" i="4" s="1"/>
  <c r="Z563" i="4"/>
  <c r="AA563" i="4" s="1"/>
  <c r="Z567" i="4"/>
  <c r="AA567" i="4" s="1"/>
  <c r="Z561" i="4"/>
  <c r="AA561" i="4" s="1"/>
  <c r="Z565" i="4"/>
  <c r="AA565" i="4" s="1"/>
  <c r="Z555" i="4"/>
  <c r="AA555" i="4" s="1"/>
  <c r="Z559" i="4"/>
  <c r="AA559" i="4" s="1"/>
  <c r="Z556" i="4"/>
  <c r="AA556" i="4" s="1"/>
  <c r="Z560" i="4"/>
  <c r="AA560" i="4" s="1"/>
  <c r="L838" i="4"/>
  <c r="Z554" i="4"/>
  <c r="AA554" i="4" s="1"/>
  <c r="Z558" i="4"/>
  <c r="AA558" i="4" s="1"/>
  <c r="Z557" i="4"/>
  <c r="AA557" i="4" s="1"/>
  <c r="Z546" i="4"/>
  <c r="AA546" i="4" s="1"/>
  <c r="Z553" i="4"/>
  <c r="AA553" i="4" s="1"/>
  <c r="Z552" i="4"/>
  <c r="AA552" i="4" s="1"/>
  <c r="Z551" i="4"/>
  <c r="AA551" i="4" s="1"/>
  <c r="Z550" i="4"/>
  <c r="AA550" i="4" s="1"/>
  <c r="Z549" i="4"/>
  <c r="AA549" i="4" s="1"/>
  <c r="Z547" i="4"/>
  <c r="AA547" i="4" s="1"/>
  <c r="Z548" i="4"/>
  <c r="AA548" i="4" s="1"/>
  <c r="Z544" i="4"/>
  <c r="AA544" i="4" s="1"/>
  <c r="Z545" i="4"/>
  <c r="AA545" i="4" s="1"/>
  <c r="Z540" i="4"/>
  <c r="AA540" i="4" s="1"/>
  <c r="Z535" i="4"/>
  <c r="AA535" i="4" s="1"/>
  <c r="Z543" i="4"/>
  <c r="AA543" i="4" s="1"/>
  <c r="Z541" i="4"/>
  <c r="AA541" i="4" s="1"/>
  <c r="Z536" i="4"/>
  <c r="AA536" i="4" s="1"/>
  <c r="Z534" i="4"/>
  <c r="AA534" i="4" s="1"/>
  <c r="Z538" i="4"/>
  <c r="AA538" i="4" s="1"/>
  <c r="Z542" i="4"/>
  <c r="AA542" i="4" s="1"/>
  <c r="Z537" i="4"/>
  <c r="AA537" i="4" s="1"/>
  <c r="Z539" i="4"/>
  <c r="AA539" i="4" s="1"/>
  <c r="AP163" i="1"/>
  <c r="Z526" i="4"/>
  <c r="AA526" i="4" s="1"/>
  <c r="Z530" i="4"/>
  <c r="AA530" i="4" s="1"/>
  <c r="Z527" i="4"/>
  <c r="AA527" i="4" s="1"/>
  <c r="Z531" i="4"/>
  <c r="AA531" i="4" s="1"/>
  <c r="Z529" i="4"/>
  <c r="AA529" i="4" s="1"/>
  <c r="Z533" i="4"/>
  <c r="AA533" i="4" s="1"/>
  <c r="Z528" i="4"/>
  <c r="AA528" i="4" s="1"/>
  <c r="Z532" i="4"/>
  <c r="AA532" i="4" s="1"/>
  <c r="L5" i="4"/>
  <c r="L12" i="4"/>
  <c r="L97" i="4"/>
  <c r="L221" i="4"/>
  <c r="L284" i="4"/>
  <c r="L319" i="4"/>
  <c r="L354" i="4"/>
  <c r="L368" i="4"/>
  <c r="L372" i="4"/>
  <c r="L426" i="4"/>
  <c r="L439" i="4"/>
  <c r="L470" i="4"/>
  <c r="L474" i="4"/>
  <c r="L478" i="4"/>
  <c r="L489" i="4"/>
  <c r="L518" i="4"/>
  <c r="L577" i="4"/>
  <c r="L627" i="4"/>
  <c r="L642" i="4"/>
  <c r="L702" i="4"/>
  <c r="L708" i="4"/>
  <c r="L712" i="4"/>
  <c r="L742" i="4"/>
  <c r="L750" i="4"/>
  <c r="L754" i="4"/>
  <c r="L759" i="4"/>
  <c r="L768" i="4"/>
  <c r="L776" i="4"/>
  <c r="L780" i="4"/>
  <c r="L804" i="4"/>
  <c r="L816" i="4"/>
  <c r="L6" i="4"/>
  <c r="L52" i="4"/>
  <c r="L98" i="4"/>
  <c r="L222" i="4"/>
  <c r="L285" i="4"/>
  <c r="L320" i="4"/>
  <c r="L355" i="4"/>
  <c r="L369" i="4"/>
  <c r="L373" i="4"/>
  <c r="L429" i="4"/>
  <c r="L440" i="4"/>
  <c r="L471" i="4"/>
  <c r="L475" i="4"/>
  <c r="L486" i="4"/>
  <c r="L507" i="4"/>
  <c r="L519" i="4"/>
  <c r="L639" i="4"/>
  <c r="L651" i="4"/>
  <c r="L703" i="4"/>
  <c r="L709" i="4"/>
  <c r="L713" i="4"/>
  <c r="L743" i="4"/>
  <c r="L751" i="4"/>
  <c r="L755" i="4"/>
  <c r="L764" i="4"/>
  <c r="L769" i="4"/>
  <c r="L777" i="4"/>
  <c r="L781" i="4"/>
  <c r="L805" i="4"/>
  <c r="L817" i="4"/>
  <c r="L7" i="4"/>
  <c r="L63" i="4"/>
  <c r="L99" i="4"/>
  <c r="L228" i="4"/>
  <c r="L286" i="4"/>
  <c r="L321" i="4"/>
  <c r="L356" i="4"/>
  <c r="L370" i="4"/>
  <c r="L409" i="4"/>
  <c r="L430" i="4"/>
  <c r="L460" i="4"/>
  <c r="L472" i="4"/>
  <c r="L476" i="4"/>
  <c r="L487" i="4"/>
  <c r="L508" i="4"/>
  <c r="L531" i="4"/>
  <c r="L625" i="4"/>
  <c r="L640" i="4"/>
  <c r="L692" i="4"/>
  <c r="L704" i="4"/>
  <c r="L710" i="4"/>
  <c r="L714" i="4"/>
  <c r="L744" i="4"/>
  <c r="L752" i="4"/>
  <c r="L757" i="4"/>
  <c r="L765" i="4"/>
  <c r="L770" i="4"/>
  <c r="L778" i="4"/>
  <c r="L800" i="4"/>
  <c r="L810" i="4"/>
  <c r="L11" i="4"/>
  <c r="L64" i="4"/>
  <c r="L179" i="4"/>
  <c r="L283" i="4"/>
  <c r="L287" i="4"/>
  <c r="L350" i="4"/>
  <c r="L357" i="4"/>
  <c r="L371" i="4"/>
  <c r="L410" i="4"/>
  <c r="L438" i="4"/>
  <c r="L469" i="4"/>
  <c r="L473" i="4"/>
  <c r="L477" i="4"/>
  <c r="L488" i="4"/>
  <c r="L509" i="4"/>
  <c r="L532" i="4"/>
  <c r="L626" i="4"/>
  <c r="L641" i="4"/>
  <c r="L696" i="4"/>
  <c r="L707" i="4"/>
  <c r="L711" i="4"/>
  <c r="L741" i="4"/>
  <c r="L749" i="4"/>
  <c r="L753" i="4"/>
  <c r="L758" i="4"/>
  <c r="L766" i="4"/>
  <c r="L775" i="4"/>
  <c r="L779" i="4"/>
  <c r="L801" i="4"/>
  <c r="L815" i="4"/>
  <c r="Z524" i="4"/>
  <c r="AA524" i="4" s="1"/>
  <c r="Z523" i="4"/>
  <c r="AA523" i="4" s="1"/>
  <c r="Z521" i="4"/>
  <c r="AA521" i="4" s="1"/>
  <c r="Z525" i="4"/>
  <c r="AA525" i="4" s="1"/>
  <c r="Z522" i="4"/>
  <c r="AA522" i="4" s="1"/>
  <c r="Z520" i="4"/>
  <c r="AA520" i="4" s="1"/>
  <c r="Z121" i="4"/>
  <c r="AA121" i="4" s="1"/>
  <c r="Z496" i="4"/>
  <c r="AA496" i="4" s="1"/>
  <c r="Z495" i="4"/>
  <c r="AA495" i="4" s="1"/>
  <c r="AP256" i="1"/>
  <c r="AP22" i="1"/>
  <c r="AP257" i="1"/>
  <c r="AP258" i="1"/>
  <c r="AP16" i="1"/>
  <c r="AP252" i="1"/>
  <c r="AP20" i="1"/>
  <c r="AP18" i="1"/>
  <c r="AP15" i="1"/>
  <c r="AP29" i="1"/>
  <c r="AP27" i="1"/>
  <c r="AP195" i="1"/>
  <c r="AP23" i="1"/>
  <c r="AP21" i="1"/>
  <c r="AP193" i="1"/>
  <c r="AP151" i="1"/>
  <c r="AN114" i="4"/>
  <c r="AO114" i="4" s="1"/>
  <c r="AN115" i="4"/>
  <c r="AO115" i="4" s="1"/>
  <c r="Z514" i="4"/>
  <c r="AA514" i="4" s="1"/>
  <c r="Z518" i="4"/>
  <c r="AA518" i="4" s="1"/>
  <c r="Z515" i="4"/>
  <c r="AA515" i="4" s="1"/>
  <c r="Z519" i="4"/>
  <c r="AA519" i="4" s="1"/>
  <c r="Z516" i="4"/>
  <c r="AA516" i="4" s="1"/>
  <c r="Z323" i="4"/>
  <c r="AA323" i="4" s="1"/>
  <c r="Z517" i="4"/>
  <c r="AA517" i="4" s="1"/>
  <c r="Z510" i="4"/>
  <c r="AA510" i="4" s="1"/>
  <c r="Z511" i="4"/>
  <c r="AA511" i="4" s="1"/>
  <c r="Z512" i="4"/>
  <c r="AA512" i="4" s="1"/>
  <c r="U7" i="26" a="1"/>
  <c r="U7" i="26" s="1"/>
  <c r="U2" i="26" a="1"/>
  <c r="U2" i="26" s="1"/>
  <c r="AR4" i="26" a="1"/>
  <c r="AR4" i="26" s="1"/>
  <c r="AP239" i="1"/>
  <c r="AP234" i="1"/>
  <c r="Z506" i="4"/>
  <c r="AA506" i="4" s="1"/>
  <c r="Z243" i="4"/>
  <c r="AA243" i="4" s="1"/>
  <c r="Z502" i="4"/>
  <c r="AA502" i="4" s="1"/>
  <c r="Z503" i="4"/>
  <c r="AA503" i="4" s="1"/>
  <c r="Z507" i="4"/>
  <c r="AA507" i="4" s="1"/>
  <c r="Z499" i="4"/>
  <c r="AA499" i="4" s="1"/>
  <c r="Z505" i="4"/>
  <c r="AA505" i="4" s="1"/>
  <c r="Z509" i="4"/>
  <c r="AA509" i="4" s="1"/>
  <c r="Z504" i="4"/>
  <c r="AA504" i="4" s="1"/>
  <c r="Z329" i="4"/>
  <c r="AA329" i="4" s="1"/>
  <c r="Z500" i="4"/>
  <c r="AA500" i="4" s="1"/>
  <c r="Z497" i="4"/>
  <c r="AA497" i="4" s="1"/>
  <c r="Z501" i="4"/>
  <c r="AA501" i="4" s="1"/>
  <c r="AP249" i="1"/>
  <c r="AP118" i="1"/>
  <c r="AP184" i="1"/>
  <c r="AP137" i="1"/>
  <c r="AP12" i="1"/>
  <c r="AR3" i="26" a="1"/>
  <c r="AR3" i="26" s="1"/>
  <c r="Y22" i="26" a="1"/>
  <c r="Y22" i="26" s="1"/>
  <c r="AR11" i="26" a="1"/>
  <c r="AR11" i="26" s="1"/>
  <c r="Y21" i="26" a="1"/>
  <c r="Y21" i="26" s="1"/>
  <c r="AR10" i="26" a="1"/>
  <c r="AR10" i="26" s="1"/>
  <c r="Z490" i="4"/>
  <c r="AA490" i="4" s="1"/>
  <c r="Z494" i="4"/>
  <c r="AA494" i="4" s="1"/>
  <c r="Z492" i="4"/>
  <c r="AA492" i="4" s="1"/>
  <c r="Z493" i="4"/>
  <c r="AA493" i="4" s="1"/>
  <c r="AK115" i="4" s="1"/>
  <c r="Z491" i="4"/>
  <c r="AA491" i="4" s="1"/>
  <c r="Z489" i="4"/>
  <c r="AA489" i="4" s="1"/>
  <c r="AK114" i="4" s="1"/>
  <c r="Z342" i="4"/>
  <c r="AA342" i="4" s="1"/>
  <c r="Z343" i="4"/>
  <c r="AA343" i="4" s="1"/>
  <c r="Z344" i="4"/>
  <c r="AA344" i="4" s="1"/>
  <c r="Z345" i="4"/>
  <c r="AA345" i="4" s="1"/>
  <c r="U8" i="26" a="1"/>
  <c r="U8" i="26" s="1"/>
  <c r="U12" i="26" a="1"/>
  <c r="U12" i="26" s="1"/>
  <c r="Z484" i="4"/>
  <c r="AA484" i="4" s="1"/>
  <c r="Z488" i="4"/>
  <c r="AA488" i="4" s="1"/>
  <c r="Z485" i="4"/>
  <c r="AA485" i="4" s="1"/>
  <c r="Z486" i="4"/>
  <c r="AA486" i="4" s="1"/>
  <c r="Z482" i="4"/>
  <c r="AA482" i="4" s="1"/>
  <c r="Z483" i="4"/>
  <c r="AA483" i="4" s="1"/>
  <c r="Z487" i="4"/>
  <c r="AA487" i="4" s="1"/>
  <c r="AP220" i="1"/>
  <c r="AP229" i="1"/>
  <c r="AP4" i="1"/>
  <c r="AP198" i="1"/>
  <c r="AP181" i="1"/>
  <c r="AP145" i="1"/>
  <c r="AP152" i="1"/>
  <c r="AP221" i="1"/>
  <c r="Y11" i="26" a="1"/>
  <c r="Y11" i="26" s="1"/>
  <c r="AP123" i="1"/>
  <c r="AP133" i="1"/>
  <c r="AP174" i="1"/>
  <c r="Y12" i="26" a="1"/>
  <c r="Y12" i="26" s="1"/>
  <c r="AP153" i="1"/>
  <c r="AP213" i="1"/>
  <c r="AP197" i="1"/>
  <c r="AP201" i="1"/>
  <c r="AP67" i="1"/>
  <c r="AP59" i="1"/>
  <c r="AP66" i="1"/>
  <c r="AN113" i="4"/>
  <c r="AO113" i="4" s="1"/>
  <c r="Z480" i="4"/>
  <c r="AA480" i="4" s="1"/>
  <c r="Z479" i="4"/>
  <c r="AA479" i="4" s="1"/>
  <c r="Z481" i="4"/>
  <c r="AA481" i="4" s="1"/>
  <c r="Z478" i="4"/>
  <c r="AA478" i="4" s="1"/>
  <c r="AN112" i="4"/>
  <c r="AO112" i="4" s="1"/>
  <c r="Z474" i="4"/>
  <c r="AA474" i="4" s="1"/>
  <c r="Z475" i="4"/>
  <c r="AA475" i="4" s="1"/>
  <c r="Z513" i="4"/>
  <c r="AA513" i="4" s="1"/>
  <c r="Z477" i="4"/>
  <c r="AA477" i="4" s="1"/>
  <c r="Z473" i="4"/>
  <c r="AA473" i="4" s="1"/>
  <c r="Z317" i="4"/>
  <c r="AA317" i="4" s="1"/>
  <c r="Z470" i="4"/>
  <c r="AA470" i="4" s="1"/>
  <c r="Z467" i="4"/>
  <c r="AA467" i="4" s="1"/>
  <c r="Z471" i="4"/>
  <c r="AA471" i="4" s="1"/>
  <c r="Z468" i="4"/>
  <c r="AA468" i="4" s="1"/>
  <c r="Z472" i="4"/>
  <c r="AA472" i="4" s="1"/>
  <c r="Z469" i="4"/>
  <c r="AA469" i="4" s="1"/>
  <c r="AL111" i="4"/>
  <c r="AN111" i="4" s="1"/>
  <c r="AO111" i="4" s="1"/>
  <c r="U19" i="26" a="1"/>
  <c r="U19" i="26" s="1"/>
  <c r="U3" i="26" a="1"/>
  <c r="U3" i="26" s="1"/>
  <c r="Y8" i="26" a="1"/>
  <c r="Y8" i="26" s="1"/>
  <c r="Y7" i="26" a="1"/>
  <c r="Y7" i="26" s="1"/>
  <c r="K1128" i="11"/>
  <c r="L1128" i="11" s="1"/>
  <c r="K1129" i="11"/>
  <c r="L1129" i="11" s="1"/>
  <c r="K1130" i="11"/>
  <c r="L1130" i="11" s="1"/>
  <c r="Z508" i="4"/>
  <c r="AA508" i="4" s="1"/>
  <c r="Z461" i="4"/>
  <c r="AA461" i="4" s="1"/>
  <c r="Z465" i="4"/>
  <c r="AA465" i="4" s="1"/>
  <c r="Z460" i="4"/>
  <c r="AA460" i="4" s="1"/>
  <c r="Z458" i="4"/>
  <c r="AA458" i="4" s="1"/>
  <c r="Z462" i="4"/>
  <c r="AA462" i="4" s="1"/>
  <c r="Z464" i="4"/>
  <c r="AA464" i="4" s="1"/>
  <c r="Z459" i="4"/>
  <c r="AA459" i="4" s="1"/>
  <c r="Z463" i="4"/>
  <c r="AA463" i="4" s="1"/>
  <c r="AL110" i="4"/>
  <c r="AN110" i="4" s="1"/>
  <c r="AO110" i="4" s="1"/>
  <c r="Z453" i="4"/>
  <c r="AA453" i="4" s="1"/>
  <c r="K1123" i="11"/>
  <c r="L1123" i="11" s="1"/>
  <c r="K1127" i="11"/>
  <c r="L1127" i="11" s="1"/>
  <c r="Z454" i="4"/>
  <c r="AA454" i="4" s="1"/>
  <c r="Z455" i="4"/>
  <c r="AA455" i="4" s="1"/>
  <c r="Z452" i="4"/>
  <c r="AA452" i="4" s="1"/>
  <c r="K1122" i="11"/>
  <c r="L1122" i="11" s="1"/>
  <c r="K1126" i="11"/>
  <c r="L1126" i="11" s="1"/>
  <c r="K1124" i="11"/>
  <c r="L1124" i="11" s="1"/>
  <c r="Z451" i="4"/>
  <c r="AA451" i="4" s="1"/>
  <c r="K1125" i="11"/>
  <c r="L1125" i="11" s="1"/>
  <c r="Z456" i="4"/>
  <c r="AA456" i="4" s="1"/>
  <c r="Y3" i="26" a="1"/>
  <c r="Y3" i="26" s="1"/>
  <c r="AP217" i="1"/>
  <c r="AP210" i="1"/>
  <c r="AP218" i="1"/>
  <c r="AP225" i="1"/>
  <c r="AP240" i="1"/>
  <c r="AP216" i="1"/>
  <c r="AP48" i="1"/>
  <c r="Y18" i="26" a="1"/>
  <c r="Y18" i="26" s="1"/>
  <c r="AP79" i="1"/>
  <c r="Y19" i="26" a="1"/>
  <c r="Y19" i="26" s="1"/>
  <c r="Y14" i="26" a="1"/>
  <c r="Y14" i="26" s="1"/>
  <c r="Y16" i="26" a="1"/>
  <c r="Y16" i="26" s="1"/>
  <c r="Z293" i="4"/>
  <c r="AA293" i="4" s="1"/>
  <c r="Z296" i="4"/>
  <c r="AA296" i="4" s="1"/>
  <c r="Z304" i="4"/>
  <c r="AA304" i="4" s="1"/>
  <c r="Z307" i="4"/>
  <c r="AA307" i="4" s="1"/>
  <c r="Z313" i="4"/>
  <c r="AA313" i="4" s="1"/>
  <c r="Z318" i="4"/>
  <c r="AA318" i="4" s="1"/>
  <c r="Z324" i="4"/>
  <c r="AA324" i="4" s="1"/>
  <c r="Z457" i="4"/>
  <c r="AA457" i="4" s="1"/>
  <c r="Z333" i="4"/>
  <c r="AA333" i="4" s="1"/>
  <c r="Z336" i="4"/>
  <c r="AA336" i="4" s="1"/>
  <c r="Z341" i="4"/>
  <c r="AA341" i="4" s="1"/>
  <c r="Z348" i="4"/>
  <c r="AA348" i="4" s="1"/>
  <c r="Z353" i="4"/>
  <c r="AA353" i="4" s="1"/>
  <c r="Z357" i="4"/>
  <c r="AA357" i="4" s="1"/>
  <c r="Z361" i="4"/>
  <c r="AA361" i="4" s="1"/>
  <c r="Z378" i="4"/>
  <c r="AA378" i="4" s="1"/>
  <c r="Z404" i="4"/>
  <c r="AA404" i="4" s="1"/>
  <c r="Z407" i="4"/>
  <c r="AA407" i="4" s="1"/>
  <c r="Z421" i="4"/>
  <c r="AA421" i="4" s="1"/>
  <c r="Z446" i="4"/>
  <c r="AA446" i="4" s="1"/>
  <c r="Z449" i="4"/>
  <c r="AA449" i="4" s="1"/>
  <c r="Z466" i="4"/>
  <c r="AA466" i="4" s="1"/>
  <c r="Z375" i="4"/>
  <c r="AA375" i="4" s="1"/>
  <c r="Z422" i="4"/>
  <c r="AA422" i="4" s="1"/>
  <c r="Z450" i="4"/>
  <c r="AA450" i="4" s="1"/>
  <c r="Z295" i="4"/>
  <c r="AA295" i="4" s="1"/>
  <c r="Z303" i="4"/>
  <c r="AA303" i="4" s="1"/>
  <c r="Z306" i="4"/>
  <c r="AA306" i="4" s="1"/>
  <c r="Z312" i="4"/>
  <c r="AA312" i="4" s="1"/>
  <c r="Z315" i="4"/>
  <c r="AA315" i="4" s="1"/>
  <c r="Z320" i="4"/>
  <c r="AA320" i="4" s="1"/>
  <c r="Z321" i="4"/>
  <c r="AA321" i="4" s="1"/>
  <c r="Z326" i="4"/>
  <c r="AA326" i="4" s="1"/>
  <c r="Z330" i="4"/>
  <c r="AA330" i="4" s="1"/>
  <c r="Z331" i="4"/>
  <c r="AA331" i="4" s="1"/>
  <c r="Z335" i="4"/>
  <c r="AA335" i="4" s="1"/>
  <c r="Z338" i="4"/>
  <c r="AA338" i="4" s="1"/>
  <c r="Z347" i="4"/>
  <c r="AA347" i="4" s="1"/>
  <c r="Z350" i="4"/>
  <c r="AA350" i="4" s="1"/>
  <c r="Z356" i="4"/>
  <c r="AA356" i="4" s="1"/>
  <c r="Z359" i="4"/>
  <c r="AA359" i="4" s="1"/>
  <c r="Z360" i="4"/>
  <c r="AA360" i="4" s="1"/>
  <c r="Z363" i="4"/>
  <c r="AA363" i="4" s="1"/>
  <c r="Z374" i="4"/>
  <c r="AA374" i="4" s="1"/>
  <c r="Z377" i="4"/>
  <c r="AA377" i="4" s="1"/>
  <c r="Z403" i="4"/>
  <c r="AA403" i="4" s="1"/>
  <c r="Z420" i="4"/>
  <c r="AA420" i="4" s="1"/>
  <c r="Z423" i="4"/>
  <c r="AA423" i="4" s="1"/>
  <c r="Z445" i="4"/>
  <c r="AA445" i="4" s="1"/>
  <c r="Z448" i="4"/>
  <c r="AA448" i="4" s="1"/>
  <c r="Z319" i="4"/>
  <c r="AA319" i="4" s="1"/>
  <c r="Z325" i="4"/>
  <c r="AA325" i="4" s="1"/>
  <c r="Z339" i="4"/>
  <c r="AA339" i="4" s="1"/>
  <c r="Z351" i="4"/>
  <c r="AA351" i="4" s="1"/>
  <c r="Z294" i="4"/>
  <c r="AA294" i="4" s="1"/>
  <c r="Z308" i="4"/>
  <c r="AA308" i="4" s="1"/>
  <c r="Z314" i="4"/>
  <c r="AA314" i="4" s="1"/>
  <c r="Z430" i="4"/>
  <c r="AA430" i="4" s="1"/>
  <c r="Z440" i="4"/>
  <c r="AA440" i="4" s="1"/>
  <c r="Z327" i="4"/>
  <c r="AA327" i="4" s="1"/>
  <c r="Z332" i="4"/>
  <c r="AA332" i="4" s="1"/>
  <c r="Z337" i="4"/>
  <c r="AA337" i="4" s="1"/>
  <c r="Z340" i="4"/>
  <c r="AA340" i="4" s="1"/>
  <c r="Z349" i="4"/>
  <c r="AA349" i="4" s="1"/>
  <c r="Z352" i="4"/>
  <c r="AA352" i="4" s="1"/>
  <c r="Z355" i="4"/>
  <c r="AA355" i="4" s="1"/>
  <c r="Z358" i="4"/>
  <c r="AA358" i="4" s="1"/>
  <c r="Z362" i="4"/>
  <c r="AA362" i="4" s="1"/>
  <c r="Z376" i="4"/>
  <c r="AA376" i="4" s="1"/>
  <c r="Z379" i="4"/>
  <c r="AA379" i="4" s="1"/>
  <c r="Z406" i="4"/>
  <c r="AA406" i="4" s="1"/>
  <c r="Z447" i="4"/>
  <c r="AA447" i="4" s="1"/>
  <c r="Z297" i="4"/>
  <c r="AA297" i="4" s="1"/>
  <c r="Z305" i="4"/>
  <c r="AA305" i="4" s="1"/>
  <c r="Z316" i="4"/>
  <c r="AA316" i="4" s="1"/>
  <c r="Z322" i="4"/>
  <c r="AA322" i="4" s="1"/>
  <c r="Z328" i="4"/>
  <c r="AA328" i="4" s="1"/>
  <c r="Z334" i="4"/>
  <c r="AA334" i="4" s="1"/>
  <c r="Z346" i="4"/>
  <c r="AA346" i="4" s="1"/>
  <c r="Z405" i="4"/>
  <c r="AA405" i="4" s="1"/>
  <c r="Z408" i="4"/>
  <c r="AA408" i="4" s="1"/>
  <c r="AP5" i="1"/>
  <c r="AN109" i="4"/>
  <c r="AO109" i="4" s="1"/>
  <c r="AP54" i="1"/>
  <c r="AP46" i="1"/>
  <c r="AP189" i="1"/>
  <c r="AP157" i="1"/>
  <c r="AP236" i="1"/>
  <c r="AP14" i="1"/>
  <c r="AP36" i="1"/>
  <c r="AP232" i="1"/>
  <c r="AP98" i="1"/>
  <c r="AP13" i="1"/>
  <c r="AP243" i="1"/>
  <c r="AP251" i="1"/>
  <c r="AP196" i="1"/>
  <c r="AP186" i="1"/>
  <c r="AP230" i="1"/>
  <c r="AP41" i="1"/>
  <c r="AP214" i="1"/>
  <c r="AP222" i="1"/>
  <c r="AP182" i="1"/>
  <c r="AP136" i="1"/>
  <c r="AP160" i="1"/>
  <c r="AP156" i="1"/>
  <c r="AP89" i="1"/>
  <c r="AP119" i="1"/>
  <c r="AP161" i="1"/>
  <c r="AP172" i="1"/>
  <c r="AP192" i="1"/>
  <c r="AP207" i="1"/>
  <c r="AP44" i="1"/>
  <c r="AP50" i="1"/>
  <c r="AP226" i="1"/>
  <c r="AP154" i="1"/>
  <c r="AP148" i="1"/>
  <c r="AP143" i="1"/>
  <c r="AP202" i="1"/>
  <c r="AP146" i="1"/>
  <c r="AP231" i="1"/>
  <c r="AP117" i="1"/>
  <c r="AP219" i="1"/>
  <c r="AP175" i="1"/>
  <c r="AP211" i="1"/>
  <c r="AP200" i="1"/>
  <c r="AP173" i="1"/>
  <c r="AP144" i="1"/>
  <c r="AP61" i="1"/>
  <c r="AP25" i="1"/>
  <c r="AP228" i="1"/>
  <c r="AP37" i="1"/>
  <c r="Z310" i="4"/>
  <c r="AA310" i="4" s="1"/>
  <c r="Z311" i="4"/>
  <c r="AA311" i="4" s="1"/>
  <c r="Z309" i="4"/>
  <c r="AA309" i="4" s="1"/>
  <c r="Z255" i="4"/>
  <c r="AA255" i="4" s="1"/>
  <c r="Z260" i="4"/>
  <c r="AA260" i="4" s="1"/>
  <c r="Z354" i="4"/>
  <c r="AA354" i="4" s="1"/>
  <c r="Z258" i="4"/>
  <c r="AA258" i="4" s="1"/>
  <c r="Z259" i="4"/>
  <c r="AA259" i="4" s="1"/>
  <c r="Z257" i="4"/>
  <c r="AA257" i="4" s="1"/>
  <c r="Z372" i="4"/>
  <c r="AA372" i="4" s="1"/>
  <c r="Z373" i="4"/>
  <c r="AA373" i="4" s="1"/>
  <c r="Z254" i="4"/>
  <c r="AA254" i="4" s="1"/>
  <c r="Z252" i="4"/>
  <c r="AA252" i="4" s="1"/>
  <c r="Z253" i="4"/>
  <c r="AA253" i="4" s="1"/>
  <c r="Z250" i="4"/>
  <c r="AA250" i="4" s="1"/>
  <c r="Z131" i="4"/>
  <c r="AA131" i="4" s="1"/>
  <c r="Z233" i="4"/>
  <c r="AA233" i="4" s="1"/>
  <c r="Z231" i="4"/>
  <c r="AA231" i="4" s="1"/>
  <c r="Z232" i="4"/>
  <c r="AA232" i="4" s="1"/>
  <c r="Z230" i="4"/>
  <c r="AA230" i="4" s="1"/>
  <c r="Z286" i="4"/>
  <c r="AA286" i="4" s="1"/>
  <c r="Z287" i="4"/>
  <c r="AA287" i="4" s="1"/>
  <c r="Z285" i="4"/>
  <c r="AA285" i="4" s="1"/>
  <c r="Z288" i="4"/>
  <c r="AA288" i="4" s="1"/>
  <c r="Z279" i="4"/>
  <c r="AA279" i="4" s="1"/>
  <c r="Z284" i="4"/>
  <c r="AA284" i="4" s="1"/>
  <c r="Z280" i="4"/>
  <c r="AA280" i="4" s="1"/>
  <c r="Z282" i="4"/>
  <c r="AA282" i="4" s="1"/>
  <c r="Z283" i="4"/>
  <c r="AA283" i="4" s="1"/>
  <c r="Z281" i="4"/>
  <c r="AA281" i="4" s="1"/>
  <c r="Z476" i="4"/>
  <c r="AA476" i="4" s="1"/>
  <c r="Z425" i="4"/>
  <c r="AA425" i="4" s="1"/>
  <c r="Z426" i="4"/>
  <c r="AA426" i="4" s="1"/>
  <c r="Z427" i="4"/>
  <c r="AA427" i="4" s="1"/>
  <c r="Z428" i="4"/>
  <c r="AA428" i="4" s="1"/>
  <c r="Z414" i="4"/>
  <c r="AA414" i="4" s="1"/>
  <c r="Z415" i="4"/>
  <c r="AA415" i="4" s="1"/>
  <c r="Z416" i="4"/>
  <c r="AA416" i="4" s="1"/>
  <c r="Z417" i="4"/>
  <c r="AA417" i="4" s="1"/>
  <c r="Z419" i="4"/>
  <c r="AA419" i="4" s="1"/>
  <c r="Z418" i="4"/>
  <c r="AA418" i="4" s="1"/>
  <c r="Z413" i="4"/>
  <c r="AA413" i="4" s="1"/>
  <c r="Z409" i="4"/>
  <c r="AA409" i="4" s="1"/>
  <c r="Z410" i="4"/>
  <c r="AA410" i="4" s="1"/>
  <c r="Z411" i="4"/>
  <c r="AA411" i="4" s="1"/>
  <c r="Z412" i="4"/>
  <c r="AA412" i="4" s="1"/>
  <c r="Z498" i="4"/>
  <c r="AA498" i="4" s="1"/>
  <c r="Z431" i="4"/>
  <c r="AA431" i="4" s="1"/>
  <c r="Z432" i="4"/>
  <c r="AA432" i="4" s="1"/>
  <c r="Z433" i="4"/>
  <c r="AA433" i="4" s="1"/>
  <c r="Z435" i="4"/>
  <c r="AA435" i="4" s="1"/>
  <c r="Z434" i="4"/>
  <c r="AA434" i="4" s="1"/>
  <c r="Z429" i="4"/>
  <c r="AA429" i="4" s="1"/>
  <c r="Z223" i="4"/>
  <c r="AA223" i="4" s="1"/>
  <c r="Z441" i="4"/>
  <c r="AA441" i="4" s="1"/>
  <c r="Z443" i="4"/>
  <c r="AA443" i="4" s="1"/>
  <c r="Z444" i="4"/>
  <c r="AA444" i="4" s="1"/>
  <c r="Z442" i="4"/>
  <c r="AA442" i="4" s="1"/>
  <c r="Z366" i="4"/>
  <c r="AA366" i="4" s="1"/>
  <c r="Z365" i="4"/>
  <c r="AA365" i="4" s="1"/>
  <c r="Z364" i="4"/>
  <c r="AA364" i="4" s="1"/>
  <c r="Z270" i="4"/>
  <c r="AA270" i="4" s="1"/>
  <c r="Z211" i="4"/>
  <c r="AA211" i="4" s="1"/>
  <c r="Z278" i="4"/>
  <c r="AA278" i="4" s="1"/>
  <c r="Z276" i="4"/>
  <c r="AA276" i="4" s="1"/>
  <c r="Z277" i="4"/>
  <c r="AA277" i="4" s="1"/>
  <c r="Z272" i="4"/>
  <c r="AA272" i="4" s="1"/>
  <c r="Z256" i="4"/>
  <c r="AA256" i="4" s="1"/>
  <c r="Z275" i="4"/>
  <c r="AA275" i="4" s="1"/>
  <c r="Z273" i="4"/>
  <c r="AA273" i="4" s="1"/>
  <c r="Z238" i="4"/>
  <c r="AA238" i="4" s="1"/>
  <c r="Z239" i="4"/>
  <c r="AA239" i="4" s="1"/>
  <c r="Z237" i="4"/>
  <c r="AA237" i="4" s="1"/>
  <c r="Z240" i="4"/>
  <c r="AA240" i="4" s="1"/>
  <c r="Z241" i="4"/>
  <c r="AA241" i="4" s="1"/>
  <c r="Z262" i="4"/>
  <c r="AA262" i="4" s="1"/>
  <c r="Z263" i="4"/>
  <c r="AA263" i="4" s="1"/>
  <c r="Z261" i="4"/>
  <c r="AA261" i="4" s="1"/>
  <c r="Z268" i="4"/>
  <c r="AA268" i="4" s="1"/>
  <c r="Z269" i="4"/>
  <c r="AA269" i="4" s="1"/>
  <c r="Z251" i="4"/>
  <c r="AA251" i="4" s="1"/>
  <c r="Z266" i="4"/>
  <c r="AA266" i="4" s="1"/>
  <c r="Z267" i="4"/>
  <c r="AA267" i="4" s="1"/>
  <c r="Z265" i="4"/>
  <c r="AA265" i="4" s="1"/>
  <c r="Z212" i="4"/>
  <c r="AA212" i="4" s="1"/>
  <c r="Z217" i="4"/>
  <c r="AA217" i="4" s="1"/>
  <c r="Z218" i="4"/>
  <c r="AA218" i="4" s="1"/>
  <c r="Z214" i="4"/>
  <c r="AA214" i="4" s="1"/>
  <c r="Z216" i="4"/>
  <c r="AA216" i="4" s="1"/>
  <c r="Z213" i="4"/>
  <c r="AA213" i="4" s="1"/>
  <c r="Z215" i="4"/>
  <c r="AA215" i="4" s="1"/>
  <c r="Z246" i="4"/>
  <c r="AA246" i="4" s="1"/>
  <c r="Z247" i="4"/>
  <c r="AA247" i="4" s="1"/>
  <c r="Z244" i="4"/>
  <c r="AA244" i="4" s="1"/>
  <c r="Z245" i="4"/>
  <c r="AA245" i="4" s="1"/>
  <c r="Z264" i="4"/>
  <c r="AA264" i="4" s="1"/>
  <c r="Z242" i="4"/>
  <c r="AA242" i="4" s="1"/>
  <c r="Z301" i="4"/>
  <c r="AA301" i="4" s="1"/>
  <c r="Z249" i="4"/>
  <c r="AA249" i="4" s="1"/>
  <c r="Z210" i="4"/>
  <c r="AA210" i="4" s="1"/>
  <c r="Z271" i="4"/>
  <c r="AA271" i="4" s="1"/>
  <c r="Z383" i="4"/>
  <c r="AA383" i="4" s="1"/>
  <c r="Z384" i="4"/>
  <c r="AA384" i="4" s="1"/>
  <c r="Z385" i="4"/>
  <c r="AA385" i="4" s="1"/>
  <c r="Z395" i="4"/>
  <c r="AA395" i="4" s="1"/>
  <c r="Z396" i="4"/>
  <c r="AA396" i="4" s="1"/>
  <c r="Z397" i="4"/>
  <c r="AA397" i="4" s="1"/>
  <c r="Z390" i="4"/>
  <c r="AA390" i="4" s="1"/>
  <c r="Z391" i="4"/>
  <c r="AA391" i="4" s="1"/>
  <c r="Z392" i="4"/>
  <c r="AA392" i="4" s="1"/>
  <c r="Z393" i="4"/>
  <c r="AA393" i="4" s="1"/>
  <c r="Z394" i="4"/>
  <c r="AA394" i="4" s="1"/>
  <c r="Z389" i="4"/>
  <c r="AA389" i="4" s="1"/>
  <c r="Z387" i="4"/>
  <c r="AA387" i="4" s="1"/>
  <c r="Z388" i="4"/>
  <c r="AA388" i="4" s="1"/>
  <c r="Z386" i="4"/>
  <c r="AA386" i="4" s="1"/>
  <c r="Z398" i="4"/>
  <c r="AA398" i="4" s="1"/>
  <c r="Z399" i="4"/>
  <c r="AA399" i="4" s="1"/>
  <c r="Z400" i="4"/>
  <c r="AA400" i="4" s="1"/>
  <c r="Z401" i="4"/>
  <c r="AA401" i="4" s="1"/>
  <c r="Z402" i="4"/>
  <c r="AA402" i="4" s="1"/>
  <c r="Z438" i="4"/>
  <c r="AA438" i="4" s="1"/>
  <c r="Z439" i="4"/>
  <c r="AA439" i="4" s="1"/>
  <c r="Z436" i="4"/>
  <c r="AA436" i="4" s="1"/>
  <c r="Z437" i="4"/>
  <c r="AA437" i="4" s="1"/>
  <c r="Z225" i="4"/>
  <c r="AA225" i="4" s="1"/>
  <c r="Z226" i="4"/>
  <c r="AA226" i="4" s="1"/>
  <c r="Z229" i="4"/>
  <c r="AA229" i="4" s="1"/>
  <c r="Z224" i="4"/>
  <c r="AA224" i="4" s="1"/>
  <c r="Z227" i="4"/>
  <c r="AA227" i="4" s="1"/>
  <c r="Z222" i="4"/>
  <c r="AA222" i="4" s="1"/>
  <c r="Z248" i="4"/>
  <c r="AA248" i="4" s="1"/>
  <c r="Z228" i="4"/>
  <c r="AA228" i="4" s="1"/>
  <c r="Z367" i="4"/>
  <c r="AA367" i="4" s="1"/>
  <c r="Z368" i="4"/>
  <c r="AA368" i="4" s="1"/>
  <c r="Z370" i="4"/>
  <c r="AA370" i="4" s="1"/>
  <c r="Z369" i="4"/>
  <c r="AA369" i="4" s="1"/>
  <c r="Z371" i="4"/>
  <c r="AA371" i="4" s="1"/>
  <c r="Z221" i="4"/>
  <c r="AA221" i="4" s="1"/>
  <c r="Z219" i="4"/>
  <c r="AA219" i="4" s="1"/>
  <c r="Z220" i="4"/>
  <c r="AA220" i="4" s="1"/>
  <c r="Z236" i="4"/>
  <c r="AA236" i="4" s="1"/>
  <c r="Z234" i="4"/>
  <c r="AA234" i="4" s="1"/>
  <c r="Z235" i="4"/>
  <c r="AA235" i="4" s="1"/>
  <c r="Z302" i="4"/>
  <c r="AA302" i="4" s="1"/>
  <c r="Z300" i="4"/>
  <c r="AA300" i="4" s="1"/>
  <c r="Z424" i="4"/>
  <c r="AA424" i="4" s="1"/>
  <c r="Z298" i="4"/>
  <c r="AA298" i="4" s="1"/>
  <c r="Z299" i="4"/>
  <c r="AA299" i="4" s="1"/>
  <c r="Z292" i="4"/>
  <c r="AA292" i="4" s="1"/>
  <c r="Z290" i="4"/>
  <c r="AA290" i="4" s="1"/>
  <c r="Z291" i="4"/>
  <c r="AA291" i="4" s="1"/>
  <c r="Z289" i="4"/>
  <c r="AA289" i="4" s="1"/>
  <c r="Z382" i="4"/>
  <c r="AA382" i="4" s="1"/>
  <c r="Z380" i="4"/>
  <c r="AA380" i="4" s="1"/>
  <c r="Z381" i="4"/>
  <c r="AA381" i="4" s="1"/>
  <c r="AW267" i="30"/>
  <c r="AP121" i="1"/>
  <c r="AR5" i="26" a="1"/>
  <c r="AR5" i="26" s="1"/>
  <c r="AP56" i="1"/>
  <c r="AP237" i="1"/>
  <c r="AP209" i="1"/>
  <c r="AP212" i="1"/>
  <c r="AP131" i="1"/>
  <c r="AP223" i="1"/>
  <c r="AP147" i="1"/>
  <c r="AP208" i="1"/>
  <c r="AP176" i="1"/>
  <c r="J1117" i="11"/>
  <c r="J1121" i="11"/>
  <c r="J1118" i="11"/>
  <c r="J1115" i="11"/>
  <c r="J1119" i="11"/>
  <c r="J1120" i="11"/>
  <c r="J1116" i="11"/>
  <c r="K1117" i="11"/>
  <c r="L1117" i="11" s="1"/>
  <c r="K1121" i="11"/>
  <c r="L1121" i="11" s="1"/>
  <c r="K1119" i="11"/>
  <c r="L1119" i="11" s="1"/>
  <c r="K1116" i="11"/>
  <c r="L1116" i="11" s="1"/>
  <c r="K1118" i="11"/>
  <c r="L1118" i="11" s="1"/>
  <c r="K1115" i="11"/>
  <c r="L1115" i="11" s="1"/>
  <c r="K1120" i="11"/>
  <c r="L1120" i="11" s="1"/>
  <c r="Z196" i="4"/>
  <c r="AA196" i="4" s="1"/>
  <c r="Z197" i="4"/>
  <c r="AA197" i="4" s="1"/>
  <c r="Z198" i="4"/>
  <c r="AA198" i="4" s="1"/>
  <c r="Z194" i="4"/>
  <c r="AA194" i="4" s="1"/>
  <c r="Z85" i="4"/>
  <c r="AA85" i="4" s="1"/>
  <c r="Z86" i="4"/>
  <c r="AA86" i="4" s="1"/>
  <c r="Z89" i="4"/>
  <c r="AA89" i="4" s="1"/>
  <c r="Z84" i="4"/>
  <c r="AA84" i="4" s="1"/>
  <c r="Z87" i="4"/>
  <c r="AA87" i="4" s="1"/>
  <c r="Z88" i="4"/>
  <c r="AA88" i="4" s="1"/>
  <c r="Z59" i="4"/>
  <c r="AA59" i="4" s="1"/>
  <c r="Z58" i="4"/>
  <c r="AA58" i="4" s="1"/>
  <c r="Z207" i="4"/>
  <c r="AA207" i="4" s="1"/>
  <c r="Z195" i="4"/>
  <c r="AA195" i="4" s="1"/>
  <c r="Z123" i="4"/>
  <c r="AA123" i="4" s="1"/>
  <c r="Z124" i="4"/>
  <c r="AA124" i="4" s="1"/>
  <c r="Z56" i="4"/>
  <c r="AA56" i="4" s="1"/>
  <c r="Z57" i="4"/>
  <c r="AA57" i="4" s="1"/>
  <c r="Z208" i="4"/>
  <c r="AA208" i="4" s="1"/>
  <c r="Z209" i="4"/>
  <c r="AA209" i="4" s="1"/>
  <c r="AJ2" i="4"/>
  <c r="J1114" i="11"/>
  <c r="K1114" i="11"/>
  <c r="L1114" i="11" s="1"/>
  <c r="J1108" i="11"/>
  <c r="K1106" i="11"/>
  <c r="L1106" i="11" s="1"/>
  <c r="K1110" i="11"/>
  <c r="L1110" i="11" s="1"/>
  <c r="J1111" i="11"/>
  <c r="K1111" i="11"/>
  <c r="L1111" i="11" s="1"/>
  <c r="J1105" i="11"/>
  <c r="J1109" i="11"/>
  <c r="K1107" i="11"/>
  <c r="L1107" i="11" s="1"/>
  <c r="J1113" i="11"/>
  <c r="K1113" i="11"/>
  <c r="L1113" i="11" s="1"/>
  <c r="J1107" i="11"/>
  <c r="K1105" i="11"/>
  <c r="L1105" i="11" s="1"/>
  <c r="K1109" i="11"/>
  <c r="L1109" i="11" s="1"/>
  <c r="J1112" i="11"/>
  <c r="K1112" i="11"/>
  <c r="L1112" i="11" s="1"/>
  <c r="J1106" i="11"/>
  <c r="J1110" i="11"/>
  <c r="K1108" i="11"/>
  <c r="L1108" i="11" s="1"/>
  <c r="K770" i="11"/>
  <c r="L770" i="11" s="1"/>
  <c r="K767" i="11"/>
  <c r="L767" i="11" s="1"/>
  <c r="K563" i="11"/>
  <c r="L563" i="11" s="1"/>
  <c r="K567" i="11"/>
  <c r="L567" i="11" s="1"/>
  <c r="K580" i="11"/>
  <c r="L580" i="11" s="1"/>
  <c r="K584" i="11"/>
  <c r="L584" i="11" s="1"/>
  <c r="K588" i="11"/>
  <c r="L588" i="11" s="1"/>
  <c r="K592" i="11"/>
  <c r="L592" i="11" s="1"/>
  <c r="K596" i="11"/>
  <c r="L596" i="11" s="1"/>
  <c r="K600" i="11"/>
  <c r="L600" i="11" s="1"/>
  <c r="K604" i="11"/>
  <c r="L604" i="11" s="1"/>
  <c r="K608" i="11"/>
  <c r="L608" i="11" s="1"/>
  <c r="K612" i="11"/>
  <c r="L612" i="11" s="1"/>
  <c r="K616" i="11"/>
  <c r="L616" i="11" s="1"/>
  <c r="K620" i="11"/>
  <c r="L620" i="11" s="1"/>
  <c r="K624" i="11"/>
  <c r="L624" i="11" s="1"/>
  <c r="K628" i="11"/>
  <c r="L628" i="11" s="1"/>
  <c r="K632" i="11"/>
  <c r="L632" i="11" s="1"/>
  <c r="K636" i="11"/>
  <c r="L636" i="11" s="1"/>
  <c r="K640" i="11"/>
  <c r="L640" i="11" s="1"/>
  <c r="K644" i="11"/>
  <c r="L644" i="11" s="1"/>
  <c r="K648" i="11"/>
  <c r="L648" i="11" s="1"/>
  <c r="K652" i="11"/>
  <c r="L652" i="11" s="1"/>
  <c r="K656" i="11"/>
  <c r="L656" i="11" s="1"/>
  <c r="K660" i="11"/>
  <c r="L660" i="11" s="1"/>
  <c r="K664" i="11"/>
  <c r="L664" i="11" s="1"/>
  <c r="K668" i="11"/>
  <c r="L668" i="11" s="1"/>
  <c r="K672" i="11"/>
  <c r="L672" i="11" s="1"/>
  <c r="K676" i="11"/>
  <c r="L676" i="11" s="1"/>
  <c r="K680" i="11"/>
  <c r="L680" i="11" s="1"/>
  <c r="K684" i="11"/>
  <c r="L684" i="11" s="1"/>
  <c r="K688" i="11"/>
  <c r="L688" i="11" s="1"/>
  <c r="K692" i="11"/>
  <c r="L692" i="11" s="1"/>
  <c r="K696" i="11"/>
  <c r="L696" i="11" s="1"/>
  <c r="K707" i="11"/>
  <c r="L707" i="11" s="1"/>
  <c r="K711" i="11"/>
  <c r="L711" i="11" s="1"/>
  <c r="K719" i="11"/>
  <c r="L719" i="11" s="1"/>
  <c r="K723" i="11"/>
  <c r="L723" i="11" s="1"/>
  <c r="K727" i="11"/>
  <c r="L727" i="11" s="1"/>
  <c r="K731" i="11"/>
  <c r="L731" i="11" s="1"/>
  <c r="K735" i="11"/>
  <c r="L735" i="11" s="1"/>
  <c r="K739" i="11"/>
  <c r="L739" i="11" s="1"/>
  <c r="K743" i="11"/>
  <c r="L743" i="11" s="1"/>
  <c r="K747" i="11"/>
  <c r="L747" i="11" s="1"/>
  <c r="K751" i="11"/>
  <c r="L751" i="11" s="1"/>
  <c r="K755" i="11"/>
  <c r="L755" i="11" s="1"/>
  <c r="K759" i="11"/>
  <c r="L759" i="11" s="1"/>
  <c r="K768" i="11"/>
  <c r="L768" i="11" s="1"/>
  <c r="K776" i="11"/>
  <c r="L776" i="11" s="1"/>
  <c r="K788" i="11"/>
  <c r="L788" i="11" s="1"/>
  <c r="K792" i="11"/>
  <c r="L792" i="11" s="1"/>
  <c r="K796" i="11"/>
  <c r="L796" i="11" s="1"/>
  <c r="K803" i="11"/>
  <c r="L803" i="11" s="1"/>
  <c r="K807" i="11"/>
  <c r="L807" i="11" s="1"/>
  <c r="K811" i="11"/>
  <c r="L811" i="11" s="1"/>
  <c r="K815" i="11"/>
  <c r="L815" i="11" s="1"/>
  <c r="K819" i="11"/>
  <c r="L819" i="11" s="1"/>
  <c r="K823" i="11"/>
  <c r="L823" i="11" s="1"/>
  <c r="K827" i="11"/>
  <c r="L827" i="11" s="1"/>
  <c r="K831" i="11"/>
  <c r="L831" i="11" s="1"/>
  <c r="K850" i="11"/>
  <c r="L850" i="11" s="1"/>
  <c r="K854" i="11"/>
  <c r="L854" i="11" s="1"/>
  <c r="K858" i="11"/>
  <c r="L858" i="11" s="1"/>
  <c r="K862" i="11"/>
  <c r="L862" i="11" s="1"/>
  <c r="K866" i="11"/>
  <c r="L866" i="11" s="1"/>
  <c r="K870" i="11"/>
  <c r="L870" i="11" s="1"/>
  <c r="K874" i="11"/>
  <c r="L874" i="11" s="1"/>
  <c r="K878" i="11"/>
  <c r="L878" i="11" s="1"/>
  <c r="K882" i="11"/>
  <c r="L882" i="11" s="1"/>
  <c r="K886" i="11"/>
  <c r="L886" i="11" s="1"/>
  <c r="K895" i="11"/>
  <c r="L895" i="11" s="1"/>
  <c r="K899" i="11"/>
  <c r="L899" i="11" s="1"/>
  <c r="K903" i="11"/>
  <c r="L903" i="11" s="1"/>
  <c r="K907" i="11"/>
  <c r="L907" i="11" s="1"/>
  <c r="K911" i="11"/>
  <c r="L911" i="11" s="1"/>
  <c r="K915" i="11"/>
  <c r="L915" i="11" s="1"/>
  <c r="K919" i="11"/>
  <c r="L919" i="11" s="1"/>
  <c r="K923" i="11"/>
  <c r="L923" i="11" s="1"/>
  <c r="K927" i="11"/>
  <c r="L927" i="11" s="1"/>
  <c r="K931" i="11"/>
  <c r="L931" i="11" s="1"/>
  <c r="K935" i="11"/>
  <c r="L935" i="11" s="1"/>
  <c r="K939" i="11"/>
  <c r="L939" i="11" s="1"/>
  <c r="K943" i="11"/>
  <c r="L943" i="11" s="1"/>
  <c r="K947" i="11"/>
  <c r="L947" i="11" s="1"/>
  <c r="K951" i="11"/>
  <c r="L951" i="11" s="1"/>
  <c r="K964" i="11"/>
  <c r="L964" i="11" s="1"/>
  <c r="K968" i="11"/>
  <c r="L968" i="11" s="1"/>
  <c r="K1023" i="11"/>
  <c r="L1023" i="11" s="1"/>
  <c r="K1027" i="11"/>
  <c r="L1027" i="11" s="1"/>
  <c r="K1073" i="11"/>
  <c r="L1073" i="11" s="1"/>
  <c r="K1077" i="11"/>
  <c r="L1077" i="11" s="1"/>
  <c r="K1081" i="11"/>
  <c r="L1081" i="11" s="1"/>
  <c r="K1094" i="11"/>
  <c r="L1094" i="11" s="1"/>
  <c r="J558" i="11"/>
  <c r="J562" i="11"/>
  <c r="J566" i="11"/>
  <c r="J570" i="11"/>
  <c r="J574" i="11"/>
  <c r="J578" i="11"/>
  <c r="J582" i="11"/>
  <c r="J586" i="11"/>
  <c r="J590" i="11"/>
  <c r="J594" i="11"/>
  <c r="J598" i="11"/>
  <c r="J602" i="11"/>
  <c r="J606" i="11"/>
  <c r="J610" i="11"/>
  <c r="J614" i="11"/>
  <c r="J618" i="11"/>
  <c r="J622" i="11"/>
  <c r="J626" i="11"/>
  <c r="J630" i="11"/>
  <c r="J634" i="11"/>
  <c r="J638" i="11"/>
  <c r="J642" i="11"/>
  <c r="J646" i="11"/>
  <c r="J650" i="11"/>
  <c r="J654" i="11"/>
  <c r="J658" i="11"/>
  <c r="J662" i="11"/>
  <c r="J666" i="11"/>
  <c r="J670" i="11"/>
  <c r="J674" i="11"/>
  <c r="J678" i="11"/>
  <c r="J682" i="11"/>
  <c r="J686" i="11"/>
  <c r="J690" i="11"/>
  <c r="J694" i="11"/>
  <c r="J698" i="11"/>
  <c r="J702" i="11"/>
  <c r="J706" i="11"/>
  <c r="J710" i="11"/>
  <c r="J714" i="11"/>
  <c r="J718" i="11"/>
  <c r="J722" i="11"/>
  <c r="J726" i="11"/>
  <c r="J730" i="11"/>
  <c r="J734" i="11"/>
  <c r="J738" i="11"/>
  <c r="K564" i="11"/>
  <c r="L564" i="11" s="1"/>
  <c r="K577" i="11"/>
  <c r="L577" i="11" s="1"/>
  <c r="K581" i="11"/>
  <c r="L581" i="11" s="1"/>
  <c r="K585" i="11"/>
  <c r="L585" i="11" s="1"/>
  <c r="K589" i="11"/>
  <c r="L589" i="11" s="1"/>
  <c r="K593" i="11"/>
  <c r="L593" i="11" s="1"/>
  <c r="K597" i="11"/>
  <c r="L597" i="11" s="1"/>
  <c r="K601" i="11"/>
  <c r="L601" i="11" s="1"/>
  <c r="K605" i="11"/>
  <c r="L605" i="11" s="1"/>
  <c r="K609" i="11"/>
  <c r="L609" i="11" s="1"/>
  <c r="K613" i="11"/>
  <c r="L613" i="11" s="1"/>
  <c r="K617" i="11"/>
  <c r="L617" i="11" s="1"/>
  <c r="K621" i="11"/>
  <c r="L621" i="11" s="1"/>
  <c r="K625" i="11"/>
  <c r="L625" i="11" s="1"/>
  <c r="K629" i="11"/>
  <c r="L629" i="11" s="1"/>
  <c r="K633" i="11"/>
  <c r="L633" i="11" s="1"/>
  <c r="K637" i="11"/>
  <c r="L637" i="11" s="1"/>
  <c r="K641" i="11"/>
  <c r="L641" i="11" s="1"/>
  <c r="K645" i="11"/>
  <c r="L645" i="11" s="1"/>
  <c r="K649" i="11"/>
  <c r="L649" i="11" s="1"/>
  <c r="K653" i="11"/>
  <c r="L653" i="11" s="1"/>
  <c r="K657" i="11"/>
  <c r="L657" i="11" s="1"/>
  <c r="K661" i="11"/>
  <c r="L661" i="11" s="1"/>
  <c r="K665" i="11"/>
  <c r="L665" i="11" s="1"/>
  <c r="K669" i="11"/>
  <c r="L669" i="11" s="1"/>
  <c r="K673" i="11"/>
  <c r="L673" i="11" s="1"/>
  <c r="K677" i="11"/>
  <c r="L677" i="11" s="1"/>
  <c r="K681" i="11"/>
  <c r="L681" i="11" s="1"/>
  <c r="K685" i="11"/>
  <c r="L685" i="11" s="1"/>
  <c r="K689" i="11"/>
  <c r="L689" i="11" s="1"/>
  <c r="K693" i="11"/>
  <c r="L693" i="11" s="1"/>
  <c r="K697" i="11"/>
  <c r="L697" i="11" s="1"/>
  <c r="K708" i="11"/>
  <c r="L708" i="11" s="1"/>
  <c r="K712" i="11"/>
  <c r="L712" i="11" s="1"/>
  <c r="K720" i="11"/>
  <c r="L720" i="11" s="1"/>
  <c r="K724" i="11"/>
  <c r="L724" i="11" s="1"/>
  <c r="K728" i="11"/>
  <c r="L728" i="11" s="1"/>
  <c r="K732" i="11"/>
  <c r="L732" i="11" s="1"/>
  <c r="K736" i="11"/>
  <c r="L736" i="11" s="1"/>
  <c r="K740" i="11"/>
  <c r="L740" i="11" s="1"/>
  <c r="K744" i="11"/>
  <c r="L744" i="11" s="1"/>
  <c r="K748" i="11"/>
  <c r="L748" i="11" s="1"/>
  <c r="K752" i="11"/>
  <c r="L752" i="11" s="1"/>
  <c r="K756" i="11"/>
  <c r="L756" i="11" s="1"/>
  <c r="K764" i="11"/>
  <c r="L764" i="11" s="1"/>
  <c r="K769" i="11"/>
  <c r="L769" i="11" s="1"/>
  <c r="K777" i="11"/>
  <c r="L777" i="11" s="1"/>
  <c r="K789" i="11"/>
  <c r="L789" i="11" s="1"/>
  <c r="K793" i="11"/>
  <c r="L793" i="11" s="1"/>
  <c r="K797" i="11"/>
  <c r="L797" i="11" s="1"/>
  <c r="K804" i="11"/>
  <c r="L804" i="11" s="1"/>
  <c r="K808" i="11"/>
  <c r="L808" i="11" s="1"/>
  <c r="K812" i="11"/>
  <c r="L812" i="11" s="1"/>
  <c r="K816" i="11"/>
  <c r="L816" i="11" s="1"/>
  <c r="K820" i="11"/>
  <c r="L820" i="11" s="1"/>
  <c r="K824" i="11"/>
  <c r="L824" i="11" s="1"/>
  <c r="K828" i="11"/>
  <c r="L828" i="11" s="1"/>
  <c r="K832" i="11"/>
  <c r="L832" i="11" s="1"/>
  <c r="K851" i="11"/>
  <c r="L851" i="11" s="1"/>
  <c r="K855" i="11"/>
  <c r="L855" i="11" s="1"/>
  <c r="K859" i="11"/>
  <c r="L859" i="11" s="1"/>
  <c r="K863" i="11"/>
  <c r="L863" i="11" s="1"/>
  <c r="K867" i="11"/>
  <c r="L867" i="11" s="1"/>
  <c r="K871" i="11"/>
  <c r="L871" i="11" s="1"/>
  <c r="K875" i="11"/>
  <c r="L875" i="11" s="1"/>
  <c r="K879" i="11"/>
  <c r="L879" i="11" s="1"/>
  <c r="K883" i="11"/>
  <c r="L883" i="11" s="1"/>
  <c r="K887" i="11"/>
  <c r="L887" i="11" s="1"/>
  <c r="K896" i="11"/>
  <c r="L896" i="11" s="1"/>
  <c r="K900" i="11"/>
  <c r="L900" i="11" s="1"/>
  <c r="K904" i="11"/>
  <c r="L904" i="11" s="1"/>
  <c r="K908" i="11"/>
  <c r="L908" i="11" s="1"/>
  <c r="K912" i="11"/>
  <c r="L912" i="11" s="1"/>
  <c r="K916" i="11"/>
  <c r="L916" i="11" s="1"/>
  <c r="K920" i="11"/>
  <c r="L920" i="11" s="1"/>
  <c r="K924" i="11"/>
  <c r="L924" i="11" s="1"/>
  <c r="K928" i="11"/>
  <c r="L928" i="11" s="1"/>
  <c r="K932" i="11"/>
  <c r="L932" i="11" s="1"/>
  <c r="K936" i="11"/>
  <c r="L936" i="11" s="1"/>
  <c r="K940" i="11"/>
  <c r="L940" i="11" s="1"/>
  <c r="K944" i="11"/>
  <c r="L944" i="11" s="1"/>
  <c r="K948" i="11"/>
  <c r="L948" i="11" s="1"/>
  <c r="K952" i="11"/>
  <c r="L952" i="11" s="1"/>
  <c r="K965" i="11"/>
  <c r="L965" i="11" s="1"/>
  <c r="K975" i="11"/>
  <c r="L975" i="11" s="1"/>
  <c r="K1024" i="11"/>
  <c r="L1024" i="11" s="1"/>
  <c r="K1028" i="11"/>
  <c r="L1028" i="11" s="1"/>
  <c r="K1074" i="11"/>
  <c r="L1074" i="11" s="1"/>
  <c r="K1078" i="11"/>
  <c r="L1078" i="11" s="1"/>
  <c r="K1091" i="11"/>
  <c r="L1091" i="11" s="1"/>
  <c r="J555" i="11"/>
  <c r="J559" i="11"/>
  <c r="J563" i="11"/>
  <c r="J567" i="11"/>
  <c r="J571" i="11"/>
  <c r="J575" i="11"/>
  <c r="J579" i="11"/>
  <c r="J583" i="11"/>
  <c r="J587" i="11"/>
  <c r="J591" i="11"/>
  <c r="J595" i="11"/>
  <c r="J599" i="11"/>
  <c r="J603" i="11"/>
  <c r="J607" i="11"/>
  <c r="J611" i="11"/>
  <c r="J615" i="11"/>
  <c r="J619" i="11"/>
  <c r="J623" i="11"/>
  <c r="J627" i="11"/>
  <c r="J631" i="11"/>
  <c r="J635" i="11"/>
  <c r="J639" i="11"/>
  <c r="J643" i="11"/>
  <c r="J647" i="11"/>
  <c r="J651" i="11"/>
  <c r="J655" i="11"/>
  <c r="J659" i="11"/>
  <c r="J663" i="11"/>
  <c r="J667" i="11"/>
  <c r="J671" i="11"/>
  <c r="J675" i="11"/>
  <c r="J679" i="11"/>
  <c r="J683" i="11"/>
  <c r="J687" i="11"/>
  <c r="J691" i="11"/>
  <c r="J695" i="11"/>
  <c r="K565" i="11"/>
  <c r="L565" i="11" s="1"/>
  <c r="K578" i="11"/>
  <c r="L578" i="11" s="1"/>
  <c r="K582" i="11"/>
  <c r="L582" i="11" s="1"/>
  <c r="K586" i="11"/>
  <c r="L586" i="11" s="1"/>
  <c r="K590" i="11"/>
  <c r="L590" i="11" s="1"/>
  <c r="K594" i="11"/>
  <c r="L594" i="11" s="1"/>
  <c r="K598" i="11"/>
  <c r="L598" i="11" s="1"/>
  <c r="K602" i="11"/>
  <c r="L602" i="11" s="1"/>
  <c r="K606" i="11"/>
  <c r="L606" i="11" s="1"/>
  <c r="K610" i="11"/>
  <c r="L610" i="11" s="1"/>
  <c r="K614" i="11"/>
  <c r="L614" i="11" s="1"/>
  <c r="K618" i="11"/>
  <c r="L618" i="11" s="1"/>
  <c r="K622" i="11"/>
  <c r="L622" i="11" s="1"/>
  <c r="K626" i="11"/>
  <c r="L626" i="11" s="1"/>
  <c r="K630" i="11"/>
  <c r="L630" i="11" s="1"/>
  <c r="K634" i="11"/>
  <c r="L634" i="11" s="1"/>
  <c r="K638" i="11"/>
  <c r="L638" i="11" s="1"/>
  <c r="K642" i="11"/>
  <c r="L642" i="11" s="1"/>
  <c r="K646" i="11"/>
  <c r="L646" i="11" s="1"/>
  <c r="K650" i="11"/>
  <c r="L650" i="11" s="1"/>
  <c r="K654" i="11"/>
  <c r="L654" i="11" s="1"/>
  <c r="K658" i="11"/>
  <c r="L658" i="11" s="1"/>
  <c r="K662" i="11"/>
  <c r="L662" i="11" s="1"/>
  <c r="K666" i="11"/>
  <c r="L666" i="11" s="1"/>
  <c r="K670" i="11"/>
  <c r="L670" i="11" s="1"/>
  <c r="K674" i="11"/>
  <c r="L674" i="11" s="1"/>
  <c r="K678" i="11"/>
  <c r="L678" i="11" s="1"/>
  <c r="K682" i="11"/>
  <c r="L682" i="11" s="1"/>
  <c r="K686" i="11"/>
  <c r="L686" i="11" s="1"/>
  <c r="K690" i="11"/>
  <c r="L690" i="11" s="1"/>
  <c r="K694" i="11"/>
  <c r="L694" i="11" s="1"/>
  <c r="K705" i="11"/>
  <c r="L705" i="11" s="1"/>
  <c r="K709" i="11"/>
  <c r="L709" i="11" s="1"/>
  <c r="K713" i="11"/>
  <c r="L713" i="11" s="1"/>
  <c r="K721" i="11"/>
  <c r="L721" i="11" s="1"/>
  <c r="K725" i="11"/>
  <c r="L725" i="11" s="1"/>
  <c r="K729" i="11"/>
  <c r="L729" i="11" s="1"/>
  <c r="K733" i="11"/>
  <c r="L733" i="11" s="1"/>
  <c r="K737" i="11"/>
  <c r="L737" i="11" s="1"/>
  <c r="K741" i="11"/>
  <c r="L741" i="11" s="1"/>
  <c r="K745" i="11"/>
  <c r="L745" i="11" s="1"/>
  <c r="K749" i="11"/>
  <c r="L749" i="11" s="1"/>
  <c r="K753" i="11"/>
  <c r="L753" i="11" s="1"/>
  <c r="K757" i="11"/>
  <c r="L757" i="11" s="1"/>
  <c r="K765" i="11"/>
  <c r="L765" i="11" s="1"/>
  <c r="K771" i="11"/>
  <c r="L771" i="11" s="1"/>
  <c r="K778" i="11"/>
  <c r="L778" i="11" s="1"/>
  <c r="K790" i="11"/>
  <c r="L790" i="11" s="1"/>
  <c r="K794" i="11"/>
  <c r="L794" i="11" s="1"/>
  <c r="K798" i="11"/>
  <c r="L798" i="11" s="1"/>
  <c r="K805" i="11"/>
  <c r="L805" i="11" s="1"/>
  <c r="K809" i="11"/>
  <c r="L809" i="11" s="1"/>
  <c r="K813" i="11"/>
  <c r="L813" i="11" s="1"/>
  <c r="K817" i="11"/>
  <c r="L817" i="11" s="1"/>
  <c r="K821" i="11"/>
  <c r="L821" i="11" s="1"/>
  <c r="K825" i="11"/>
  <c r="L825" i="11" s="1"/>
  <c r="K829" i="11"/>
  <c r="L829" i="11" s="1"/>
  <c r="K848" i="11"/>
  <c r="L848" i="11" s="1"/>
  <c r="K852" i="11"/>
  <c r="L852" i="11" s="1"/>
  <c r="K856" i="11"/>
  <c r="L856" i="11" s="1"/>
  <c r="K860" i="11"/>
  <c r="L860" i="11" s="1"/>
  <c r="K864" i="11"/>
  <c r="L864" i="11" s="1"/>
  <c r="K868" i="11"/>
  <c r="L868" i="11" s="1"/>
  <c r="K872" i="11"/>
  <c r="L872" i="11" s="1"/>
  <c r="K876" i="11"/>
  <c r="L876" i="11" s="1"/>
  <c r="K880" i="11"/>
  <c r="L880" i="11" s="1"/>
  <c r="K884" i="11"/>
  <c r="L884" i="11" s="1"/>
  <c r="K888" i="11"/>
  <c r="L888" i="11" s="1"/>
  <c r="K897" i="11"/>
  <c r="L897" i="11" s="1"/>
  <c r="K901" i="11"/>
  <c r="L901" i="11" s="1"/>
  <c r="K905" i="11"/>
  <c r="L905" i="11" s="1"/>
  <c r="K909" i="11"/>
  <c r="L909" i="11" s="1"/>
  <c r="K913" i="11"/>
  <c r="L913" i="11" s="1"/>
  <c r="K917" i="11"/>
  <c r="L917" i="11" s="1"/>
  <c r="K921" i="11"/>
  <c r="L921" i="11" s="1"/>
  <c r="K925" i="11"/>
  <c r="L925" i="11" s="1"/>
  <c r="K929" i="11"/>
  <c r="L929" i="11" s="1"/>
  <c r="K933" i="11"/>
  <c r="L933" i="11" s="1"/>
  <c r="K937" i="11"/>
  <c r="L937" i="11" s="1"/>
  <c r="K941" i="11"/>
  <c r="L941" i="11" s="1"/>
  <c r="K945" i="11"/>
  <c r="L945" i="11" s="1"/>
  <c r="K949" i="11"/>
  <c r="L949" i="11" s="1"/>
  <c r="K953" i="11"/>
  <c r="L953" i="11" s="1"/>
  <c r="K966" i="11"/>
  <c r="L966" i="11" s="1"/>
  <c r="K976" i="11"/>
  <c r="L976" i="11" s="1"/>
  <c r="K1025" i="11"/>
  <c r="L1025" i="11" s="1"/>
  <c r="K1071" i="11"/>
  <c r="L1071" i="11" s="1"/>
  <c r="K1075" i="11"/>
  <c r="L1075" i="11" s="1"/>
  <c r="K1079" i="11"/>
  <c r="L1079" i="11" s="1"/>
  <c r="K1092" i="11"/>
  <c r="L1092" i="11" s="1"/>
  <c r="J556" i="11"/>
  <c r="J560" i="11"/>
  <c r="J564" i="11"/>
  <c r="J568" i="11"/>
  <c r="J572" i="11"/>
  <c r="J576" i="11"/>
  <c r="J580" i="11"/>
  <c r="J584" i="11"/>
  <c r="J588" i="11"/>
  <c r="J592" i="11"/>
  <c r="J596" i="11"/>
  <c r="J600" i="11"/>
  <c r="J604" i="11"/>
  <c r="J608" i="11"/>
  <c r="J612" i="11"/>
  <c r="J616" i="11"/>
  <c r="J620" i="11"/>
  <c r="J624" i="11"/>
  <c r="J628" i="11"/>
  <c r="J632" i="11"/>
  <c r="J636" i="11"/>
  <c r="J640" i="11"/>
  <c r="J644" i="11"/>
  <c r="J648" i="11"/>
  <c r="J652" i="11"/>
  <c r="J656" i="11"/>
  <c r="J660" i="11"/>
  <c r="J664" i="11"/>
  <c r="J668" i="11"/>
  <c r="J672" i="11"/>
  <c r="J676" i="11"/>
  <c r="J680" i="11"/>
  <c r="J684" i="11"/>
  <c r="J688" i="11"/>
  <c r="J692" i="11"/>
  <c r="J696" i="11"/>
  <c r="J700" i="11"/>
  <c r="J704" i="11"/>
  <c r="J708" i="11"/>
  <c r="J712" i="11"/>
  <c r="J716" i="11"/>
  <c r="J720" i="11"/>
  <c r="J724" i="11"/>
  <c r="J728" i="11"/>
  <c r="J732" i="11"/>
  <c r="K562" i="11"/>
  <c r="L562" i="11" s="1"/>
  <c r="K587" i="11"/>
  <c r="L587" i="11" s="1"/>
  <c r="K603" i="11"/>
  <c r="L603" i="11" s="1"/>
  <c r="K619" i="11"/>
  <c r="L619" i="11" s="1"/>
  <c r="K635" i="11"/>
  <c r="L635" i="11" s="1"/>
  <c r="K651" i="11"/>
  <c r="L651" i="11" s="1"/>
  <c r="K667" i="11"/>
  <c r="L667" i="11" s="1"/>
  <c r="K683" i="11"/>
  <c r="L683" i="11" s="1"/>
  <c r="K706" i="11"/>
  <c r="L706" i="11" s="1"/>
  <c r="K726" i="11"/>
  <c r="L726" i="11" s="1"/>
  <c r="K742" i="11"/>
  <c r="L742" i="11" s="1"/>
  <c r="K758" i="11"/>
  <c r="L758" i="11" s="1"/>
  <c r="K791" i="11"/>
  <c r="L791" i="11" s="1"/>
  <c r="K810" i="11"/>
  <c r="L810" i="11" s="1"/>
  <c r="K826" i="11"/>
  <c r="L826" i="11" s="1"/>
  <c r="K857" i="11"/>
  <c r="L857" i="11" s="1"/>
  <c r="K873" i="11"/>
  <c r="L873" i="11" s="1"/>
  <c r="K889" i="11"/>
  <c r="L889" i="11" s="1"/>
  <c r="K910" i="11"/>
  <c r="L910" i="11" s="1"/>
  <c r="K926" i="11"/>
  <c r="L926" i="11" s="1"/>
  <c r="K942" i="11"/>
  <c r="L942" i="11" s="1"/>
  <c r="K967" i="11"/>
  <c r="L967" i="11" s="1"/>
  <c r="K1076" i="11"/>
  <c r="L1076" i="11" s="1"/>
  <c r="J561" i="11"/>
  <c r="J577" i="11"/>
  <c r="J593" i="11"/>
  <c r="J609" i="11"/>
  <c r="J625" i="11"/>
  <c r="J641" i="11"/>
  <c r="J657" i="11"/>
  <c r="J673" i="11"/>
  <c r="J689" i="11"/>
  <c r="J701" i="11"/>
  <c r="J709" i="11"/>
  <c r="J717" i="11"/>
  <c r="J725" i="11"/>
  <c r="J733" i="11"/>
  <c r="J739" i="11"/>
  <c r="J743" i="11"/>
  <c r="J747" i="11"/>
  <c r="J751" i="11"/>
  <c r="J755" i="11"/>
  <c r="J759" i="11"/>
  <c r="J763" i="11"/>
  <c r="J767" i="11"/>
  <c r="J771" i="11"/>
  <c r="J775" i="11"/>
  <c r="J779" i="11"/>
  <c r="J783" i="11"/>
  <c r="J787" i="11"/>
  <c r="J791" i="11"/>
  <c r="J795" i="11"/>
  <c r="J799" i="11"/>
  <c r="J803" i="11"/>
  <c r="J807" i="11"/>
  <c r="J811" i="11"/>
  <c r="J815" i="11"/>
  <c r="J819" i="11"/>
  <c r="J823" i="11"/>
  <c r="J827" i="11"/>
  <c r="J831" i="11"/>
  <c r="J835" i="11"/>
  <c r="J839" i="11"/>
  <c r="J843" i="11"/>
  <c r="J847" i="11"/>
  <c r="J851" i="11"/>
  <c r="J855" i="11"/>
  <c r="J859" i="11"/>
  <c r="J863" i="11"/>
  <c r="J867" i="11"/>
  <c r="J871" i="11"/>
  <c r="J875" i="11"/>
  <c r="J879" i="11"/>
  <c r="J883" i="11"/>
  <c r="J887" i="11"/>
  <c r="J891" i="11"/>
  <c r="J895" i="11"/>
  <c r="J899" i="11"/>
  <c r="J903" i="11"/>
  <c r="J907" i="11"/>
  <c r="J911" i="11"/>
  <c r="J915" i="11"/>
  <c r="J919" i="11"/>
  <c r="J923" i="11"/>
  <c r="J927" i="11"/>
  <c r="J931" i="11"/>
  <c r="J935" i="11"/>
  <c r="J939" i="11"/>
  <c r="J943" i="11"/>
  <c r="J947" i="11"/>
  <c r="J951" i="11"/>
  <c r="J955" i="11"/>
  <c r="J959" i="11"/>
  <c r="J963" i="11"/>
  <c r="J967" i="11"/>
  <c r="J971" i="11"/>
  <c r="J975" i="11"/>
  <c r="J979" i="11"/>
  <c r="J983" i="11"/>
  <c r="J987" i="11"/>
  <c r="J991" i="11"/>
  <c r="J995" i="11"/>
  <c r="J999" i="11"/>
  <c r="J1003" i="11"/>
  <c r="J1007" i="11"/>
  <c r="J1011" i="11"/>
  <c r="J1015" i="11"/>
  <c r="J1019" i="11"/>
  <c r="J1023" i="11"/>
  <c r="J1027" i="11"/>
  <c r="J1031" i="11"/>
  <c r="J1035" i="11"/>
  <c r="J1039" i="11"/>
  <c r="J1043" i="11"/>
  <c r="J1047" i="11"/>
  <c r="J1051" i="11"/>
  <c r="J1055" i="11"/>
  <c r="J1059" i="11"/>
  <c r="J1063" i="11"/>
  <c r="J1067" i="11"/>
  <c r="J1071" i="11"/>
  <c r="J1075" i="11"/>
  <c r="J1079" i="11"/>
  <c r="J1083" i="11"/>
  <c r="J1087" i="11"/>
  <c r="J1091" i="11"/>
  <c r="J1095" i="11"/>
  <c r="J1099" i="11"/>
  <c r="J1103" i="11"/>
  <c r="K583" i="11"/>
  <c r="L583" i="11" s="1"/>
  <c r="K663" i="11"/>
  <c r="L663" i="11" s="1"/>
  <c r="K722" i="11"/>
  <c r="L722" i="11" s="1"/>
  <c r="K806" i="11"/>
  <c r="L806" i="11" s="1"/>
  <c r="K885" i="11"/>
  <c r="L885" i="11" s="1"/>
  <c r="K954" i="11"/>
  <c r="L954" i="11" s="1"/>
  <c r="J589" i="11"/>
  <c r="J669" i="11"/>
  <c r="J715" i="11"/>
  <c r="J742" i="11"/>
  <c r="J762" i="11"/>
  <c r="J774" i="11"/>
  <c r="J794" i="11"/>
  <c r="J806" i="11"/>
  <c r="J822" i="11"/>
  <c r="J834" i="11"/>
  <c r="J858" i="11"/>
  <c r="J870" i="11"/>
  <c r="J882" i="11"/>
  <c r="J898" i="11"/>
  <c r="J910" i="11"/>
  <c r="J930" i="11"/>
  <c r="J942" i="11"/>
  <c r="J958" i="11"/>
  <c r="J966" i="11"/>
  <c r="J990" i="11"/>
  <c r="J1006" i="11"/>
  <c r="J1018" i="11"/>
  <c r="J1034" i="11"/>
  <c r="J1042" i="11"/>
  <c r="J1054" i="11"/>
  <c r="J1074" i="11"/>
  <c r="J1086" i="11"/>
  <c r="J1102" i="11"/>
  <c r="K566" i="11"/>
  <c r="L566" i="11" s="1"/>
  <c r="K591" i="11"/>
  <c r="L591" i="11" s="1"/>
  <c r="K607" i="11"/>
  <c r="L607" i="11" s="1"/>
  <c r="K623" i="11"/>
  <c r="L623" i="11" s="1"/>
  <c r="K639" i="11"/>
  <c r="L639" i="11" s="1"/>
  <c r="K655" i="11"/>
  <c r="L655" i="11" s="1"/>
  <c r="K671" i="11"/>
  <c r="L671" i="11" s="1"/>
  <c r="K687" i="11"/>
  <c r="L687" i="11" s="1"/>
  <c r="K710" i="11"/>
  <c r="L710" i="11" s="1"/>
  <c r="K730" i="11"/>
  <c r="L730" i="11" s="1"/>
  <c r="K746" i="11"/>
  <c r="L746" i="11" s="1"/>
  <c r="K766" i="11"/>
  <c r="L766" i="11" s="1"/>
  <c r="K795" i="11"/>
  <c r="L795" i="11" s="1"/>
  <c r="K814" i="11"/>
  <c r="L814" i="11" s="1"/>
  <c r="K830" i="11"/>
  <c r="L830" i="11" s="1"/>
  <c r="K861" i="11"/>
  <c r="L861" i="11" s="1"/>
  <c r="K877" i="11"/>
  <c r="L877" i="11" s="1"/>
  <c r="K898" i="11"/>
  <c r="L898" i="11" s="1"/>
  <c r="K914" i="11"/>
  <c r="L914" i="11" s="1"/>
  <c r="K930" i="11"/>
  <c r="L930" i="11" s="1"/>
  <c r="K946" i="11"/>
  <c r="L946" i="11" s="1"/>
  <c r="K977" i="11"/>
  <c r="L977" i="11" s="1"/>
  <c r="K1080" i="11"/>
  <c r="L1080" i="11" s="1"/>
  <c r="J565" i="11"/>
  <c r="J581" i="11"/>
  <c r="J597" i="11"/>
  <c r="J613" i="11"/>
  <c r="J629" i="11"/>
  <c r="J645" i="11"/>
  <c r="J661" i="11"/>
  <c r="J677" i="11"/>
  <c r="J693" i="11"/>
  <c r="J703" i="11"/>
  <c r="J711" i="11"/>
  <c r="J719" i="11"/>
  <c r="J727" i="11"/>
  <c r="J735" i="11"/>
  <c r="J740" i="11"/>
  <c r="J744" i="11"/>
  <c r="J748" i="11"/>
  <c r="J752" i="11"/>
  <c r="J756" i="11"/>
  <c r="J760" i="11"/>
  <c r="J764" i="11"/>
  <c r="J768" i="11"/>
  <c r="J772" i="11"/>
  <c r="J776" i="11"/>
  <c r="J780" i="11"/>
  <c r="J784" i="11"/>
  <c r="J788" i="11"/>
  <c r="J792" i="11"/>
  <c r="J796" i="11"/>
  <c r="J800" i="11"/>
  <c r="J804" i="11"/>
  <c r="J808" i="11"/>
  <c r="J812" i="11"/>
  <c r="J816" i="11"/>
  <c r="J820" i="11"/>
  <c r="J824" i="11"/>
  <c r="J828" i="11"/>
  <c r="J832" i="11"/>
  <c r="J836" i="11"/>
  <c r="J840" i="11"/>
  <c r="J844" i="11"/>
  <c r="J848" i="11"/>
  <c r="J852" i="11"/>
  <c r="J856" i="11"/>
  <c r="J860" i="11"/>
  <c r="J864" i="11"/>
  <c r="J868" i="11"/>
  <c r="J872" i="11"/>
  <c r="J876" i="11"/>
  <c r="J880" i="11"/>
  <c r="J884" i="11"/>
  <c r="J888" i="11"/>
  <c r="J892" i="11"/>
  <c r="J896" i="11"/>
  <c r="J900" i="11"/>
  <c r="J904" i="11"/>
  <c r="J908" i="11"/>
  <c r="J912" i="11"/>
  <c r="J916" i="11"/>
  <c r="J920" i="11"/>
  <c r="J924" i="11"/>
  <c r="J928" i="11"/>
  <c r="J932" i="11"/>
  <c r="J936" i="11"/>
  <c r="J940" i="11"/>
  <c r="J944" i="11"/>
  <c r="J948" i="11"/>
  <c r="J952" i="11"/>
  <c r="J956" i="11"/>
  <c r="J960" i="11"/>
  <c r="J964" i="11"/>
  <c r="J968" i="11"/>
  <c r="J972" i="11"/>
  <c r="J976" i="11"/>
  <c r="J980" i="11"/>
  <c r="J984" i="11"/>
  <c r="J988" i="11"/>
  <c r="J992" i="11"/>
  <c r="J996" i="11"/>
  <c r="J1000" i="11"/>
  <c r="J1004" i="11"/>
  <c r="J1008" i="11"/>
  <c r="J1012" i="11"/>
  <c r="J1016" i="11"/>
  <c r="J1020" i="11"/>
  <c r="J1024" i="11"/>
  <c r="J1028" i="11"/>
  <c r="J1032" i="11"/>
  <c r="J1036" i="11"/>
  <c r="J1040" i="11"/>
  <c r="J1044" i="11"/>
  <c r="J1048" i="11"/>
  <c r="J1052" i="11"/>
  <c r="J1056" i="11"/>
  <c r="J1060" i="11"/>
  <c r="J1064" i="11"/>
  <c r="J1068" i="11"/>
  <c r="J1072" i="11"/>
  <c r="J1076" i="11"/>
  <c r="J1080" i="11"/>
  <c r="J1084" i="11"/>
  <c r="J1088" i="11"/>
  <c r="J1092" i="11"/>
  <c r="J1096" i="11"/>
  <c r="J1100" i="11"/>
  <c r="J1104" i="11"/>
  <c r="K599" i="11"/>
  <c r="L599" i="11" s="1"/>
  <c r="K647" i="11"/>
  <c r="L647" i="11" s="1"/>
  <c r="K695" i="11"/>
  <c r="L695" i="11" s="1"/>
  <c r="K738" i="11"/>
  <c r="L738" i="11" s="1"/>
  <c r="K787" i="11"/>
  <c r="L787" i="11" s="1"/>
  <c r="K853" i="11"/>
  <c r="L853" i="11" s="1"/>
  <c r="K906" i="11"/>
  <c r="L906" i="11" s="1"/>
  <c r="K938" i="11"/>
  <c r="L938" i="11" s="1"/>
  <c r="J557" i="11"/>
  <c r="J605" i="11"/>
  <c r="J637" i="11"/>
  <c r="J685" i="11"/>
  <c r="J707" i="11"/>
  <c r="J731" i="11"/>
  <c r="J746" i="11"/>
  <c r="J758" i="11"/>
  <c r="J770" i="11"/>
  <c r="J782" i="11"/>
  <c r="J790" i="11"/>
  <c r="J802" i="11"/>
  <c r="J814" i="11"/>
  <c r="J826" i="11"/>
  <c r="J842" i="11"/>
  <c r="J850" i="11"/>
  <c r="J866" i="11"/>
  <c r="J878" i="11"/>
  <c r="J886" i="11"/>
  <c r="J902" i="11"/>
  <c r="J914" i="11"/>
  <c r="J926" i="11"/>
  <c r="J938" i="11"/>
  <c r="J950" i="11"/>
  <c r="J962" i="11"/>
  <c r="J974" i="11"/>
  <c r="J982" i="11"/>
  <c r="J994" i="11"/>
  <c r="J1002" i="11"/>
  <c r="J1014" i="11"/>
  <c r="J1026" i="11"/>
  <c r="J1046" i="11"/>
  <c r="J1058" i="11"/>
  <c r="J1070" i="11"/>
  <c r="J1082" i="11"/>
  <c r="J1094" i="11"/>
  <c r="J1098" i="11"/>
  <c r="K579" i="11"/>
  <c r="L579" i="11" s="1"/>
  <c r="K595" i="11"/>
  <c r="L595" i="11" s="1"/>
  <c r="K611" i="11"/>
  <c r="L611" i="11" s="1"/>
  <c r="K627" i="11"/>
  <c r="L627" i="11" s="1"/>
  <c r="K643" i="11"/>
  <c r="L643" i="11" s="1"/>
  <c r="K659" i="11"/>
  <c r="L659" i="11" s="1"/>
  <c r="K675" i="11"/>
  <c r="L675" i="11" s="1"/>
  <c r="K691" i="11"/>
  <c r="L691" i="11" s="1"/>
  <c r="K714" i="11"/>
  <c r="L714" i="11" s="1"/>
  <c r="K734" i="11"/>
  <c r="L734" i="11" s="1"/>
  <c r="K750" i="11"/>
  <c r="L750" i="11" s="1"/>
  <c r="K775" i="11"/>
  <c r="L775" i="11" s="1"/>
  <c r="K802" i="11"/>
  <c r="L802" i="11" s="1"/>
  <c r="K818" i="11"/>
  <c r="L818" i="11" s="1"/>
  <c r="K849" i="11"/>
  <c r="L849" i="11" s="1"/>
  <c r="K865" i="11"/>
  <c r="L865" i="11" s="1"/>
  <c r="K881" i="11"/>
  <c r="L881" i="11" s="1"/>
  <c r="K902" i="11"/>
  <c r="L902" i="11" s="1"/>
  <c r="K918" i="11"/>
  <c r="L918" i="11" s="1"/>
  <c r="K934" i="11"/>
  <c r="L934" i="11" s="1"/>
  <c r="K950" i="11"/>
  <c r="L950" i="11" s="1"/>
  <c r="K1026" i="11"/>
  <c r="L1026" i="11" s="1"/>
  <c r="K1093" i="11"/>
  <c r="L1093" i="11" s="1"/>
  <c r="J569" i="11"/>
  <c r="J585" i="11"/>
  <c r="J601" i="11"/>
  <c r="J617" i="11"/>
  <c r="J633" i="11"/>
  <c r="J649" i="11"/>
  <c r="J665" i="11"/>
  <c r="J681" i="11"/>
  <c r="J697" i="11"/>
  <c r="J705" i="11"/>
  <c r="J713" i="11"/>
  <c r="J721" i="11"/>
  <c r="J729" i="11"/>
  <c r="J736" i="11"/>
  <c r="J741" i="11"/>
  <c r="J745" i="11"/>
  <c r="J749" i="11"/>
  <c r="J753" i="11"/>
  <c r="J757" i="11"/>
  <c r="J761" i="11"/>
  <c r="J765" i="11"/>
  <c r="J769" i="11"/>
  <c r="J773" i="11"/>
  <c r="J777" i="11"/>
  <c r="J781" i="11"/>
  <c r="J785" i="11"/>
  <c r="J789" i="11"/>
  <c r="J793" i="11"/>
  <c r="J797" i="11"/>
  <c r="J801" i="11"/>
  <c r="J805" i="11"/>
  <c r="J809" i="11"/>
  <c r="J813" i="11"/>
  <c r="J817" i="11"/>
  <c r="J821" i="11"/>
  <c r="J825" i="11"/>
  <c r="J829" i="11"/>
  <c r="J833" i="11"/>
  <c r="J837" i="11"/>
  <c r="J841" i="11"/>
  <c r="J845" i="11"/>
  <c r="J849" i="11"/>
  <c r="J853" i="11"/>
  <c r="J857" i="11"/>
  <c r="J861" i="11"/>
  <c r="J865" i="11"/>
  <c r="J869" i="11"/>
  <c r="J873" i="11"/>
  <c r="J877" i="11"/>
  <c r="J881" i="11"/>
  <c r="J885" i="11"/>
  <c r="J889" i="11"/>
  <c r="J893" i="11"/>
  <c r="J897" i="11"/>
  <c r="J901" i="11"/>
  <c r="J905" i="11"/>
  <c r="J909" i="11"/>
  <c r="J913" i="11"/>
  <c r="J917" i="11"/>
  <c r="J921" i="11"/>
  <c r="J925" i="11"/>
  <c r="J929" i="11"/>
  <c r="J933" i="11"/>
  <c r="J937" i="11"/>
  <c r="J941" i="11"/>
  <c r="J945" i="11"/>
  <c r="J949" i="11"/>
  <c r="J953" i="11"/>
  <c r="J957" i="11"/>
  <c r="J961" i="11"/>
  <c r="J965" i="11"/>
  <c r="J969" i="11"/>
  <c r="J973" i="11"/>
  <c r="J977" i="11"/>
  <c r="J981" i="11"/>
  <c r="J985" i="11"/>
  <c r="J989" i="11"/>
  <c r="J993" i="11"/>
  <c r="J997" i="11"/>
  <c r="J1001" i="11"/>
  <c r="J1005" i="11"/>
  <c r="J1009" i="11"/>
  <c r="J1013" i="11"/>
  <c r="J1017" i="11"/>
  <c r="J1021" i="11"/>
  <c r="J1025" i="11"/>
  <c r="J1029" i="11"/>
  <c r="J1033" i="11"/>
  <c r="J1037" i="11"/>
  <c r="J1041" i="11"/>
  <c r="J1045" i="11"/>
  <c r="J1049" i="11"/>
  <c r="J1053" i="11"/>
  <c r="J1057" i="11"/>
  <c r="J1061" i="11"/>
  <c r="J1065" i="11"/>
  <c r="J1069" i="11"/>
  <c r="J1073" i="11"/>
  <c r="J1077" i="11"/>
  <c r="J1081" i="11"/>
  <c r="J1085" i="11"/>
  <c r="J1089" i="11"/>
  <c r="J1093" i="11"/>
  <c r="J1097" i="11"/>
  <c r="J1101" i="11"/>
  <c r="K615" i="11"/>
  <c r="L615" i="11" s="1"/>
  <c r="K631" i="11"/>
  <c r="L631" i="11" s="1"/>
  <c r="K679" i="11"/>
  <c r="L679" i="11" s="1"/>
  <c r="K754" i="11"/>
  <c r="L754" i="11" s="1"/>
  <c r="K822" i="11"/>
  <c r="L822" i="11" s="1"/>
  <c r="K869" i="11"/>
  <c r="L869" i="11" s="1"/>
  <c r="K922" i="11"/>
  <c r="L922" i="11" s="1"/>
  <c r="K1072" i="11"/>
  <c r="L1072" i="11" s="1"/>
  <c r="J573" i="11"/>
  <c r="J621" i="11"/>
  <c r="J653" i="11"/>
  <c r="J699" i="11"/>
  <c r="J723" i="11"/>
  <c r="J737" i="11"/>
  <c r="J750" i="11"/>
  <c r="J754" i="11"/>
  <c r="J766" i="11"/>
  <c r="J778" i="11"/>
  <c r="J786" i="11"/>
  <c r="J798" i="11"/>
  <c r="J810" i="11"/>
  <c r="J818" i="11"/>
  <c r="J830" i="11"/>
  <c r="J838" i="11"/>
  <c r="J846" i="11"/>
  <c r="J854" i="11"/>
  <c r="J862" i="11"/>
  <c r="J874" i="11"/>
  <c r="J890" i="11"/>
  <c r="J894" i="11"/>
  <c r="J906" i="11"/>
  <c r="J918" i="11"/>
  <c r="J922" i="11"/>
  <c r="J934" i="11"/>
  <c r="J946" i="11"/>
  <c r="J954" i="11"/>
  <c r="J970" i="11"/>
  <c r="J978" i="11"/>
  <c r="J986" i="11"/>
  <c r="J998" i="11"/>
  <c r="J1010" i="11"/>
  <c r="J1022" i="11"/>
  <c r="J1030" i="11"/>
  <c r="J1038" i="11"/>
  <c r="J1050" i="11"/>
  <c r="J1062" i="11"/>
  <c r="J1066" i="11"/>
  <c r="J1078" i="11"/>
  <c r="J1090" i="11"/>
  <c r="K963" i="11"/>
  <c r="L963" i="11" s="1"/>
  <c r="K993" i="11"/>
  <c r="L993" i="11" s="1"/>
  <c r="K994" i="11"/>
  <c r="L994" i="11" s="1"/>
  <c r="K991" i="11"/>
  <c r="L991" i="11" s="1"/>
  <c r="K995" i="11"/>
  <c r="L995" i="11" s="1"/>
  <c r="K992" i="11"/>
  <c r="L992" i="11" s="1"/>
  <c r="K561" i="11"/>
  <c r="L561" i="11" s="1"/>
  <c r="K559" i="11"/>
  <c r="L559" i="11" s="1"/>
  <c r="K560" i="11"/>
  <c r="L560" i="11" s="1"/>
  <c r="K1005" i="11"/>
  <c r="L1005" i="11" s="1"/>
  <c r="K1009" i="11"/>
  <c r="L1009" i="11" s="1"/>
  <c r="K1006" i="11"/>
  <c r="L1006" i="11" s="1"/>
  <c r="K1008" i="11"/>
  <c r="L1008" i="11" s="1"/>
  <c r="K1003" i="11"/>
  <c r="L1003" i="11" s="1"/>
  <c r="K1007" i="11"/>
  <c r="L1007" i="11" s="1"/>
  <c r="K1004" i="11"/>
  <c r="L1004" i="11" s="1"/>
  <c r="K957" i="11"/>
  <c r="L957" i="11" s="1"/>
  <c r="K961" i="11"/>
  <c r="L961" i="11" s="1"/>
  <c r="K960" i="11"/>
  <c r="L960" i="11" s="1"/>
  <c r="K958" i="11"/>
  <c r="L958" i="11" s="1"/>
  <c r="K962" i="11"/>
  <c r="L962" i="11" s="1"/>
  <c r="K956" i="11"/>
  <c r="L956" i="11" s="1"/>
  <c r="K955" i="11"/>
  <c r="L955" i="11" s="1"/>
  <c r="K959" i="11"/>
  <c r="L959" i="11" s="1"/>
  <c r="K1015" i="11"/>
  <c r="L1015" i="11" s="1"/>
  <c r="K1016" i="11"/>
  <c r="L1016" i="11" s="1"/>
  <c r="K573" i="11"/>
  <c r="L573" i="11" s="1"/>
  <c r="K576" i="11"/>
  <c r="L576" i="11" s="1"/>
  <c r="K574" i="11"/>
  <c r="L574" i="11" s="1"/>
  <c r="K572" i="11"/>
  <c r="L572" i="11" s="1"/>
  <c r="K575" i="11"/>
  <c r="L575" i="11" s="1"/>
  <c r="K1053" i="11"/>
  <c r="L1053" i="11" s="1"/>
  <c r="K1057" i="11"/>
  <c r="L1057" i="11" s="1"/>
  <c r="K1061" i="11"/>
  <c r="L1061" i="11" s="1"/>
  <c r="K1054" i="11"/>
  <c r="L1054" i="11" s="1"/>
  <c r="K1058" i="11"/>
  <c r="L1058" i="11" s="1"/>
  <c r="K1060" i="11"/>
  <c r="L1060" i="11" s="1"/>
  <c r="K1051" i="11"/>
  <c r="L1051" i="11" s="1"/>
  <c r="K1055" i="11"/>
  <c r="L1055" i="11" s="1"/>
  <c r="K1059" i="11"/>
  <c r="L1059" i="11" s="1"/>
  <c r="K1052" i="11"/>
  <c r="L1052" i="11" s="1"/>
  <c r="K569" i="11"/>
  <c r="L569" i="11" s="1"/>
  <c r="K570" i="11"/>
  <c r="L570" i="11" s="1"/>
  <c r="K571" i="11"/>
  <c r="L571" i="11" s="1"/>
  <c r="K568" i="11"/>
  <c r="L568" i="11" s="1"/>
  <c r="K1097" i="11"/>
  <c r="L1097" i="11" s="1"/>
  <c r="K1098" i="11"/>
  <c r="L1098" i="11" s="1"/>
  <c r="K1095" i="11"/>
  <c r="L1095" i="11" s="1"/>
  <c r="K1096" i="11"/>
  <c r="L1096" i="11" s="1"/>
  <c r="K717" i="11"/>
  <c r="L717" i="11" s="1"/>
  <c r="K716" i="11"/>
  <c r="L716" i="11" s="1"/>
  <c r="K718" i="11"/>
  <c r="L718" i="11" s="1"/>
  <c r="K715" i="11"/>
  <c r="L715" i="11" s="1"/>
  <c r="K841" i="11"/>
  <c r="L841" i="11" s="1"/>
  <c r="K840" i="11"/>
  <c r="L840" i="11" s="1"/>
  <c r="K838" i="11"/>
  <c r="L838" i="11" s="1"/>
  <c r="K842" i="11"/>
  <c r="L842" i="11" s="1"/>
  <c r="K839" i="11"/>
  <c r="L839" i="11" s="1"/>
  <c r="K843" i="11"/>
  <c r="L843" i="11" s="1"/>
  <c r="K701" i="11"/>
  <c r="L701" i="11" s="1"/>
  <c r="K704" i="11"/>
  <c r="L704" i="11" s="1"/>
  <c r="K702" i="11"/>
  <c r="L702" i="11" s="1"/>
  <c r="K703" i="11"/>
  <c r="L703" i="11" s="1"/>
  <c r="K1049" i="11"/>
  <c r="L1049" i="11" s="1"/>
  <c r="K1056" i="11"/>
  <c r="L1056" i="11" s="1"/>
  <c r="K1046" i="11"/>
  <c r="L1046" i="11" s="1"/>
  <c r="K1050" i="11"/>
  <c r="L1050" i="11" s="1"/>
  <c r="K1048" i="11"/>
  <c r="L1048" i="11" s="1"/>
  <c r="K1047" i="11"/>
  <c r="L1047" i="11" s="1"/>
  <c r="K1069" i="11"/>
  <c r="L1069" i="11" s="1"/>
  <c r="K1068" i="11"/>
  <c r="L1068" i="11" s="1"/>
  <c r="K1070" i="11"/>
  <c r="L1070" i="11" s="1"/>
  <c r="K801" i="11"/>
  <c r="L801" i="11" s="1"/>
  <c r="K800" i="11"/>
  <c r="L800" i="11" s="1"/>
  <c r="K799" i="11"/>
  <c r="L799" i="11" s="1"/>
  <c r="K781" i="11"/>
  <c r="L781" i="11" s="1"/>
  <c r="K780" i="11"/>
  <c r="L780" i="11" s="1"/>
  <c r="K782" i="11"/>
  <c r="L782" i="11" s="1"/>
  <c r="K779" i="11"/>
  <c r="L779" i="11" s="1"/>
  <c r="K783" i="11"/>
  <c r="L783" i="11" s="1"/>
  <c r="K969" i="11"/>
  <c r="L969" i="11" s="1"/>
  <c r="K973" i="11"/>
  <c r="L973" i="11" s="1"/>
  <c r="K972" i="11"/>
  <c r="L972" i="11" s="1"/>
  <c r="K970" i="11"/>
  <c r="L970" i="11" s="1"/>
  <c r="K974" i="11"/>
  <c r="L974" i="11" s="1"/>
  <c r="K971" i="11"/>
  <c r="L971" i="11" s="1"/>
  <c r="K981" i="11"/>
  <c r="L981" i="11" s="1"/>
  <c r="K980" i="11"/>
  <c r="L980" i="11" s="1"/>
  <c r="K978" i="11"/>
  <c r="L978" i="11" s="1"/>
  <c r="K982" i="11"/>
  <c r="L982" i="11" s="1"/>
  <c r="K979" i="11"/>
  <c r="L979" i="11" s="1"/>
  <c r="K1082" i="11"/>
  <c r="L1082" i="11" s="1"/>
  <c r="K1083" i="11"/>
  <c r="L1083" i="11" s="1"/>
  <c r="K1084" i="11"/>
  <c r="L1084" i="11" s="1"/>
  <c r="K1065" i="11"/>
  <c r="L1065" i="11" s="1"/>
  <c r="K1066" i="11"/>
  <c r="L1066" i="11" s="1"/>
  <c r="K1067" i="11"/>
  <c r="L1067" i="11" s="1"/>
  <c r="K1037" i="11"/>
  <c r="L1037" i="11" s="1"/>
  <c r="K1038" i="11"/>
  <c r="L1038" i="11" s="1"/>
  <c r="K1039" i="11"/>
  <c r="L1039" i="11" s="1"/>
  <c r="K845" i="11"/>
  <c r="L845" i="11" s="1"/>
  <c r="K846" i="11"/>
  <c r="L846" i="11" s="1"/>
  <c r="K847" i="11"/>
  <c r="L847" i="11" s="1"/>
  <c r="K844" i="11"/>
  <c r="L844" i="11" s="1"/>
  <c r="K785" i="11"/>
  <c r="L785" i="11" s="1"/>
  <c r="K786" i="11"/>
  <c r="L786" i="11" s="1"/>
  <c r="K784" i="11"/>
  <c r="L784" i="11" s="1"/>
  <c r="K1101" i="11"/>
  <c r="L1101" i="11" s="1"/>
  <c r="K1102" i="11"/>
  <c r="L1102" i="11" s="1"/>
  <c r="K1100" i="11"/>
  <c r="L1100" i="11" s="1"/>
  <c r="K1099" i="11"/>
  <c r="L1099" i="11" s="1"/>
  <c r="K1103" i="11"/>
  <c r="L1103" i="11" s="1"/>
  <c r="K1104" i="11"/>
  <c r="L1104" i="11" s="1"/>
  <c r="K1085" i="11"/>
  <c r="L1085" i="11" s="1"/>
  <c r="K1089" i="11"/>
  <c r="L1089" i="11" s="1"/>
  <c r="K1086" i="11"/>
  <c r="L1086" i="11" s="1"/>
  <c r="K1090" i="11"/>
  <c r="L1090" i="11" s="1"/>
  <c r="K1088" i="11"/>
  <c r="L1088" i="11" s="1"/>
  <c r="K1087" i="11"/>
  <c r="L1087" i="11" s="1"/>
  <c r="K1029" i="11"/>
  <c r="L1029" i="11" s="1"/>
  <c r="K1033" i="11"/>
  <c r="L1033" i="11" s="1"/>
  <c r="K1030" i="11"/>
  <c r="L1030" i="11" s="1"/>
  <c r="K1034" i="11"/>
  <c r="L1034" i="11" s="1"/>
  <c r="K1031" i="11"/>
  <c r="L1031" i="11" s="1"/>
  <c r="K1035" i="11"/>
  <c r="L1035" i="11" s="1"/>
  <c r="K1032" i="11"/>
  <c r="L1032" i="11" s="1"/>
  <c r="K1036" i="11"/>
  <c r="L1036" i="11" s="1"/>
  <c r="K1013" i="11"/>
  <c r="L1013" i="11" s="1"/>
  <c r="K1012" i="11"/>
  <c r="L1012" i="11" s="1"/>
  <c r="K1010" i="11"/>
  <c r="L1010" i="11" s="1"/>
  <c r="K1014" i="11"/>
  <c r="L1014" i="11" s="1"/>
  <c r="K1011" i="11"/>
  <c r="L1011" i="11" s="1"/>
  <c r="K773" i="11"/>
  <c r="L773" i="11" s="1"/>
  <c r="K774" i="11"/>
  <c r="L774" i="11" s="1"/>
  <c r="K772" i="11"/>
  <c r="L772" i="11" s="1"/>
  <c r="K833" i="11"/>
  <c r="L833" i="11" s="1"/>
  <c r="K837" i="11"/>
  <c r="L837" i="11" s="1"/>
  <c r="K834" i="11"/>
  <c r="L834" i="11" s="1"/>
  <c r="K836" i="11"/>
  <c r="L836" i="11" s="1"/>
  <c r="K835" i="11"/>
  <c r="L835" i="11" s="1"/>
  <c r="K985" i="11"/>
  <c r="L985" i="11" s="1"/>
  <c r="K989" i="11"/>
  <c r="L989" i="11" s="1"/>
  <c r="K988" i="11"/>
  <c r="L988" i="11" s="1"/>
  <c r="K986" i="11"/>
  <c r="L986" i="11" s="1"/>
  <c r="K990" i="11"/>
  <c r="L990" i="11" s="1"/>
  <c r="K984" i="11"/>
  <c r="L984" i="11" s="1"/>
  <c r="K983" i="11"/>
  <c r="L983" i="11" s="1"/>
  <c r="K987" i="11"/>
  <c r="L987" i="11" s="1"/>
  <c r="K698" i="11"/>
  <c r="L698" i="11" s="1"/>
  <c r="K700" i="11"/>
  <c r="L700" i="11" s="1"/>
  <c r="K699" i="11"/>
  <c r="L699" i="11" s="1"/>
  <c r="K997" i="11"/>
  <c r="L997" i="11" s="1"/>
  <c r="K1001" i="11"/>
  <c r="L1001" i="11" s="1"/>
  <c r="K1000" i="11"/>
  <c r="L1000" i="11" s="1"/>
  <c r="K998" i="11"/>
  <c r="L998" i="11" s="1"/>
  <c r="K1002" i="11"/>
  <c r="L1002" i="11" s="1"/>
  <c r="K996" i="11"/>
  <c r="L996" i="11" s="1"/>
  <c r="K999" i="11"/>
  <c r="L999" i="11" s="1"/>
  <c r="K893" i="11"/>
  <c r="L893" i="11" s="1"/>
  <c r="K890" i="11"/>
  <c r="L890" i="11" s="1"/>
  <c r="K894" i="11"/>
  <c r="L894" i="11" s="1"/>
  <c r="K891" i="11"/>
  <c r="L891" i="11" s="1"/>
  <c r="K892" i="11"/>
  <c r="L892" i="11" s="1"/>
  <c r="K761" i="11"/>
  <c r="L761" i="11" s="1"/>
  <c r="K760" i="11"/>
  <c r="L760" i="11" s="1"/>
  <c r="K762" i="11"/>
  <c r="L762" i="11" s="1"/>
  <c r="K763" i="11"/>
  <c r="L763" i="11" s="1"/>
  <c r="K557" i="11"/>
  <c r="L557" i="11" s="1"/>
  <c r="K1041" i="11"/>
  <c r="L1041" i="11" s="1"/>
  <c r="K1045" i="11"/>
  <c r="L1045" i="11" s="1"/>
  <c r="K1044" i="11"/>
  <c r="L1044" i="11" s="1"/>
  <c r="K558" i="11"/>
  <c r="L558" i="11" s="1"/>
  <c r="K1042" i="11"/>
  <c r="L1042" i="11" s="1"/>
  <c r="K556" i="11"/>
  <c r="L556" i="11" s="1"/>
  <c r="K555" i="11"/>
  <c r="L555" i="11" s="1"/>
  <c r="K1043" i="11"/>
  <c r="L1043" i="11" s="1"/>
  <c r="K1040" i="11"/>
  <c r="L1040" i="11" s="1"/>
  <c r="K1062" i="11"/>
  <c r="L1062" i="11" s="1"/>
  <c r="K1063" i="11"/>
  <c r="L1063" i="11" s="1"/>
  <c r="K1064" i="11"/>
  <c r="L1064" i="11" s="1"/>
  <c r="K1017" i="11"/>
  <c r="L1017" i="11" s="1"/>
  <c r="K1021" i="11"/>
  <c r="L1021" i="11" s="1"/>
  <c r="K1018" i="11"/>
  <c r="L1018" i="11" s="1"/>
  <c r="K1020" i="11"/>
  <c r="L1020" i="11" s="1"/>
  <c r="K1019" i="11"/>
  <c r="L1019" i="11" s="1"/>
  <c r="AN66" i="4"/>
  <c r="S3" i="29"/>
  <c r="J553" i="11"/>
  <c r="J537" i="11"/>
  <c r="J521" i="11"/>
  <c r="J505" i="11"/>
  <c r="J489" i="11"/>
  <c r="J473" i="11"/>
  <c r="J457" i="11"/>
  <c r="J441" i="11"/>
  <c r="J548" i="11"/>
  <c r="J532" i="11"/>
  <c r="J516" i="11"/>
  <c r="J500" i="11"/>
  <c r="J484" i="11"/>
  <c r="J468" i="11"/>
  <c r="J452" i="11"/>
  <c r="J436" i="11"/>
  <c r="J420" i="11"/>
  <c r="J404" i="11"/>
  <c r="J388" i="11"/>
  <c r="J372" i="11"/>
  <c r="J356" i="11"/>
  <c r="J340" i="11"/>
  <c r="J324" i="11"/>
  <c r="J308" i="11"/>
  <c r="J292" i="11"/>
  <c r="J276" i="11"/>
  <c r="J260" i="11"/>
  <c r="J549" i="11"/>
  <c r="J533" i="11"/>
  <c r="J517" i="11"/>
  <c r="J501" i="11"/>
  <c r="J485" i="11"/>
  <c r="J469" i="11"/>
  <c r="J453" i="11"/>
  <c r="J437" i="11"/>
  <c r="J544" i="11"/>
  <c r="J528" i="11"/>
  <c r="J512" i="11"/>
  <c r="J496" i="11"/>
  <c r="J545" i="11"/>
  <c r="J529" i="11"/>
  <c r="J513" i="11"/>
  <c r="J497" i="11"/>
  <c r="J481" i="11"/>
  <c r="J465" i="11"/>
  <c r="J449" i="11"/>
  <c r="J433" i="11"/>
  <c r="J540" i="11"/>
  <c r="J524" i="11"/>
  <c r="J508" i="11"/>
  <c r="J492" i="11"/>
  <c r="J476" i="11"/>
  <c r="J460" i="11"/>
  <c r="J444" i="11"/>
  <c r="J428" i="11"/>
  <c r="J412" i="11"/>
  <c r="J396" i="11"/>
  <c r="J380" i="11"/>
  <c r="J364" i="11"/>
  <c r="J348" i="11"/>
  <c r="J332" i="11"/>
  <c r="J316" i="11"/>
  <c r="J300" i="11"/>
  <c r="J284" i="11"/>
  <c r="J268" i="11"/>
  <c r="J252" i="11"/>
  <c r="J541" i="11"/>
  <c r="J477" i="11"/>
  <c r="J552" i="11"/>
  <c r="J488" i="11"/>
  <c r="J456" i="11"/>
  <c r="J424" i="11"/>
  <c r="J392" i="11"/>
  <c r="J360" i="11"/>
  <c r="J328" i="11"/>
  <c r="J296" i="11"/>
  <c r="J264" i="11"/>
  <c r="J240" i="11"/>
  <c r="J543" i="11"/>
  <c r="J527" i="11"/>
  <c r="J511" i="11"/>
  <c r="J495" i="11"/>
  <c r="J479" i="11"/>
  <c r="J463" i="11"/>
  <c r="J447" i="11"/>
  <c r="J431" i="11"/>
  <c r="J415" i="11"/>
  <c r="J399" i="11"/>
  <c r="J383" i="11"/>
  <c r="J367" i="11"/>
  <c r="J351" i="11"/>
  <c r="J335" i="11"/>
  <c r="J319" i="11"/>
  <c r="J303" i="11"/>
  <c r="J287" i="11"/>
  <c r="J271" i="11"/>
  <c r="J255" i="11"/>
  <c r="J239" i="11"/>
  <c r="J494" i="11"/>
  <c r="J232" i="11"/>
  <c r="J216" i="11"/>
  <c r="J200" i="11"/>
  <c r="J184" i="11"/>
  <c r="J168" i="11"/>
  <c r="J152" i="11"/>
  <c r="J136" i="11"/>
  <c r="J120" i="11"/>
  <c r="J104" i="11"/>
  <c r="J88" i="11"/>
  <c r="J72" i="11"/>
  <c r="J56" i="11"/>
  <c r="J40" i="11"/>
  <c r="J24" i="11"/>
  <c r="J8" i="11"/>
  <c r="J514" i="11"/>
  <c r="J450" i="11"/>
  <c r="J422" i="11"/>
  <c r="J406" i="11"/>
  <c r="J390" i="11"/>
  <c r="J374" i="11"/>
  <c r="J358" i="11"/>
  <c r="J342" i="11"/>
  <c r="J326" i="11"/>
  <c r="J310" i="11"/>
  <c r="J294" i="11"/>
  <c r="J525" i="11"/>
  <c r="J461" i="11"/>
  <c r="J536" i="11"/>
  <c r="J480" i="11"/>
  <c r="J448" i="11"/>
  <c r="J416" i="11"/>
  <c r="J384" i="11"/>
  <c r="J352" i="11"/>
  <c r="J320" i="11"/>
  <c r="J288" i="11"/>
  <c r="J256" i="11"/>
  <c r="J236" i="11"/>
  <c r="J539" i="11"/>
  <c r="J523" i="11"/>
  <c r="J507" i="11"/>
  <c r="J491" i="11"/>
  <c r="J475" i="11"/>
  <c r="J459" i="11"/>
  <c r="J443" i="11"/>
  <c r="J427" i="11"/>
  <c r="J411" i="11"/>
  <c r="J395" i="11"/>
  <c r="J379" i="11"/>
  <c r="J363" i="11"/>
  <c r="J347" i="11"/>
  <c r="J331" i="11"/>
  <c r="J315" i="11"/>
  <c r="J299" i="11"/>
  <c r="J283" i="11"/>
  <c r="J267" i="11"/>
  <c r="J251" i="11"/>
  <c r="J542" i="11"/>
  <c r="J478" i="11"/>
  <c r="J228" i="11"/>
  <c r="J212" i="11"/>
  <c r="J196" i="11"/>
  <c r="J180" i="11"/>
  <c r="J164" i="11"/>
  <c r="J148" i="11"/>
  <c r="J132" i="11"/>
  <c r="J116" i="11"/>
  <c r="J100" i="11"/>
  <c r="J84" i="11"/>
  <c r="J68" i="11"/>
  <c r="J52" i="11"/>
  <c r="J36" i="11"/>
  <c r="J20" i="11"/>
  <c r="J4" i="11"/>
  <c r="J498" i="11"/>
  <c r="J434" i="11"/>
  <c r="J421" i="11"/>
  <c r="J405" i="11"/>
  <c r="J389" i="11"/>
  <c r="J373" i="11"/>
  <c r="J357" i="11"/>
  <c r="J341" i="11"/>
  <c r="J325" i="11"/>
  <c r="J309" i="11"/>
  <c r="J293" i="11"/>
  <c r="J509" i="11"/>
  <c r="J445" i="11"/>
  <c r="J520" i="11"/>
  <c r="J472" i="11"/>
  <c r="J440" i="11"/>
  <c r="J408" i="11"/>
  <c r="J376" i="11"/>
  <c r="J344" i="11"/>
  <c r="J312" i="11"/>
  <c r="J280" i="11"/>
  <c r="J248" i="11"/>
  <c r="J464" i="11"/>
  <c r="J336" i="11"/>
  <c r="J531" i="11"/>
  <c r="J499" i="11"/>
  <c r="J467" i="11"/>
  <c r="J435" i="11"/>
  <c r="J403" i="11"/>
  <c r="J371" i="11"/>
  <c r="J339" i="11"/>
  <c r="J307" i="11"/>
  <c r="J275" i="11"/>
  <c r="J243" i="11"/>
  <c r="J446" i="11"/>
  <c r="J204" i="11"/>
  <c r="J172" i="11"/>
  <c r="J140" i="11"/>
  <c r="J108" i="11"/>
  <c r="J76" i="11"/>
  <c r="J44" i="11"/>
  <c r="J12" i="11"/>
  <c r="J466" i="11"/>
  <c r="J413" i="11"/>
  <c r="J381" i="11"/>
  <c r="J349" i="11"/>
  <c r="J317" i="11"/>
  <c r="J285" i="11"/>
  <c r="J269" i="11"/>
  <c r="J253" i="11"/>
  <c r="J237" i="11"/>
  <c r="J223" i="11"/>
  <c r="J207" i="11"/>
  <c r="J191" i="11"/>
  <c r="J175" i="11"/>
  <c r="J159" i="11"/>
  <c r="J143" i="11"/>
  <c r="J127" i="11"/>
  <c r="J111" i="11"/>
  <c r="J95" i="11"/>
  <c r="J79" i="11"/>
  <c r="J63" i="11"/>
  <c r="J47" i="11"/>
  <c r="J31" i="11"/>
  <c r="J15" i="11"/>
  <c r="J534" i="11"/>
  <c r="J470" i="11"/>
  <c r="J230" i="11"/>
  <c r="J214" i="11"/>
  <c r="J198" i="11"/>
  <c r="J182" i="11"/>
  <c r="J166" i="11"/>
  <c r="J150" i="11"/>
  <c r="J134" i="11"/>
  <c r="J118" i="11"/>
  <c r="J102" i="11"/>
  <c r="J86" i="11"/>
  <c r="J70" i="11"/>
  <c r="J54" i="11"/>
  <c r="J38" i="11"/>
  <c r="J22" i="11"/>
  <c r="J6" i="11"/>
  <c r="J442" i="11"/>
  <c r="J378" i="11"/>
  <c r="J314" i="11"/>
  <c r="J250" i="11"/>
  <c r="J185" i="11"/>
  <c r="J121" i="11"/>
  <c r="J57" i="11"/>
  <c r="J458" i="11"/>
  <c r="J386" i="11"/>
  <c r="J322" i="11"/>
  <c r="J258" i="11"/>
  <c r="J173" i="11"/>
  <c r="J109" i="11"/>
  <c r="J45" i="11"/>
  <c r="J426" i="11"/>
  <c r="J362" i="11"/>
  <c r="J298" i="11"/>
  <c r="J225" i="11"/>
  <c r="J161" i="11"/>
  <c r="J97" i="11"/>
  <c r="J33" i="11"/>
  <c r="J213" i="11"/>
  <c r="J5" i="11"/>
  <c r="J281" i="11"/>
  <c r="J53" i="11"/>
  <c r="J274" i="11"/>
  <c r="J37" i="11"/>
  <c r="J242" i="11"/>
  <c r="J402" i="11"/>
  <c r="J504" i="11"/>
  <c r="J244" i="11"/>
  <c r="J535" i="11"/>
  <c r="J439" i="11"/>
  <c r="J343" i="11"/>
  <c r="J247" i="11"/>
  <c r="J462" i="11"/>
  <c r="J112" i="11"/>
  <c r="J16" i="11"/>
  <c r="J414" i="11"/>
  <c r="J318" i="11"/>
  <c r="J254" i="11"/>
  <c r="J211" i="11"/>
  <c r="J179" i="11"/>
  <c r="J131" i="11"/>
  <c r="J99" i="11"/>
  <c r="J51" i="11"/>
  <c r="J3" i="11"/>
  <c r="J550" i="11"/>
  <c r="J218" i="11"/>
  <c r="J170" i="11"/>
  <c r="J122" i="11"/>
  <c r="J74" i="11"/>
  <c r="J26" i="11"/>
  <c r="J385" i="11"/>
  <c r="J201" i="11"/>
  <c r="J9" i="11"/>
  <c r="J393" i="11"/>
  <c r="J189" i="11"/>
  <c r="J241" i="11"/>
  <c r="J197" i="11"/>
  <c r="J554" i="11"/>
  <c r="J490" i="11"/>
  <c r="J432" i="11"/>
  <c r="J304" i="11"/>
  <c r="J551" i="11"/>
  <c r="J519" i="11"/>
  <c r="J487" i="11"/>
  <c r="J455" i="11"/>
  <c r="J423" i="11"/>
  <c r="J391" i="11"/>
  <c r="J359" i="11"/>
  <c r="J327" i="11"/>
  <c r="J295" i="11"/>
  <c r="J263" i="11"/>
  <c r="J526" i="11"/>
  <c r="J224" i="11"/>
  <c r="J192" i="11"/>
  <c r="J160" i="11"/>
  <c r="J128" i="11"/>
  <c r="J96" i="11"/>
  <c r="J64" i="11"/>
  <c r="J32" i="11"/>
  <c r="J546" i="11"/>
  <c r="J430" i="11"/>
  <c r="J398" i="11"/>
  <c r="J366" i="11"/>
  <c r="J334" i="11"/>
  <c r="J302" i="11"/>
  <c r="J278" i="11"/>
  <c r="J262" i="11"/>
  <c r="J246" i="11"/>
  <c r="J235" i="11"/>
  <c r="J219" i="11"/>
  <c r="J203" i="11"/>
  <c r="J187" i="11"/>
  <c r="J171" i="11"/>
  <c r="J155" i="11"/>
  <c r="J139" i="11"/>
  <c r="J123" i="11"/>
  <c r="J107" i="11"/>
  <c r="J91" i="11"/>
  <c r="J75" i="11"/>
  <c r="J59" i="11"/>
  <c r="J43" i="11"/>
  <c r="J27" i="11"/>
  <c r="J11" i="11"/>
  <c r="J518" i="11"/>
  <c r="J454" i="11"/>
  <c r="J226" i="11"/>
  <c r="J210" i="11"/>
  <c r="J194" i="11"/>
  <c r="J178" i="11"/>
  <c r="J162" i="11"/>
  <c r="J146" i="11"/>
  <c r="J130" i="11"/>
  <c r="J114" i="11"/>
  <c r="J98" i="11"/>
  <c r="J82" i="11"/>
  <c r="J66" i="11"/>
  <c r="J50" i="11"/>
  <c r="J34" i="11"/>
  <c r="J18" i="11"/>
  <c r="J2" i="11"/>
  <c r="J417" i="11"/>
  <c r="J353" i="11"/>
  <c r="J289" i="11"/>
  <c r="J233" i="11"/>
  <c r="J169" i="11"/>
  <c r="J105" i="11"/>
  <c r="J41" i="11"/>
  <c r="J425" i="11"/>
  <c r="J361" i="11"/>
  <c r="J297" i="11"/>
  <c r="J221" i="11"/>
  <c r="J157" i="11"/>
  <c r="J93" i="11"/>
  <c r="J29" i="11"/>
  <c r="J401" i="11"/>
  <c r="J337" i="11"/>
  <c r="J273" i="11"/>
  <c r="J209" i="11"/>
  <c r="J145" i="11"/>
  <c r="J81" i="11"/>
  <c r="J17" i="11"/>
  <c r="J21" i="11"/>
  <c r="J313" i="11"/>
  <c r="J69" i="11"/>
  <c r="J306" i="11"/>
  <c r="J117" i="11"/>
  <c r="J377" i="11"/>
  <c r="J101" i="11"/>
  <c r="J345" i="11"/>
  <c r="J181" i="11"/>
  <c r="J370" i="11"/>
  <c r="J493" i="11"/>
  <c r="J368" i="11"/>
  <c r="J471" i="11"/>
  <c r="J375" i="11"/>
  <c r="J279" i="11"/>
  <c r="J208" i="11"/>
  <c r="J144" i="11"/>
  <c r="J48" i="11"/>
  <c r="J482" i="11"/>
  <c r="J350" i="11"/>
  <c r="J270" i="11"/>
  <c r="J227" i="11"/>
  <c r="J163" i="11"/>
  <c r="J115" i="11"/>
  <c r="J67" i="11"/>
  <c r="J19" i="11"/>
  <c r="J486" i="11"/>
  <c r="J202" i="11"/>
  <c r="J154" i="11"/>
  <c r="J106" i="11"/>
  <c r="J58" i="11"/>
  <c r="J10" i="11"/>
  <c r="J321" i="11"/>
  <c r="J137" i="11"/>
  <c r="J522" i="11"/>
  <c r="J265" i="11"/>
  <c r="J61" i="11"/>
  <c r="J474" i="11"/>
  <c r="J305" i="11"/>
  <c r="J113" i="11"/>
  <c r="J149" i="11"/>
  <c r="J400" i="11"/>
  <c r="J272" i="11"/>
  <c r="J547" i="11"/>
  <c r="J515" i="11"/>
  <c r="J483" i="11"/>
  <c r="J451" i="11"/>
  <c r="J419" i="11"/>
  <c r="J387" i="11"/>
  <c r="J355" i="11"/>
  <c r="J323" i="11"/>
  <c r="J291" i="11"/>
  <c r="J259" i="11"/>
  <c r="J510" i="11"/>
  <c r="J220" i="11"/>
  <c r="J188" i="11"/>
  <c r="J156" i="11"/>
  <c r="J124" i="11"/>
  <c r="J92" i="11"/>
  <c r="J60" i="11"/>
  <c r="J28" i="11"/>
  <c r="J530" i="11"/>
  <c r="J429" i="11"/>
  <c r="J397" i="11"/>
  <c r="J365" i="11"/>
  <c r="J333" i="11"/>
  <c r="J301" i="11"/>
  <c r="J277" i="11"/>
  <c r="J261" i="11"/>
  <c r="J245" i="11"/>
  <c r="J231" i="11"/>
  <c r="J215" i="11"/>
  <c r="J199" i="11"/>
  <c r="J183" i="11"/>
  <c r="J167" i="11"/>
  <c r="J151" i="11"/>
  <c r="J135" i="11"/>
  <c r="J119" i="11"/>
  <c r="J103" i="11"/>
  <c r="J87" i="11"/>
  <c r="J71" i="11"/>
  <c r="J55" i="11"/>
  <c r="J39" i="11"/>
  <c r="J23" i="11"/>
  <c r="J7" i="11"/>
  <c r="J502" i="11"/>
  <c r="J438" i="11"/>
  <c r="J222" i="11"/>
  <c r="J206" i="11"/>
  <c r="J190" i="11"/>
  <c r="J174" i="11"/>
  <c r="J158" i="11"/>
  <c r="J142" i="11"/>
  <c r="J126" i="11"/>
  <c r="J110" i="11"/>
  <c r="J94" i="11"/>
  <c r="J78" i="11"/>
  <c r="J62" i="11"/>
  <c r="J46" i="11"/>
  <c r="J30" i="11"/>
  <c r="J14" i="11"/>
  <c r="J410" i="11"/>
  <c r="J346" i="11"/>
  <c r="J282" i="11"/>
  <c r="J217" i="11"/>
  <c r="J153" i="11"/>
  <c r="J89" i="11"/>
  <c r="J25" i="11"/>
  <c r="J418" i="11"/>
  <c r="J354" i="11"/>
  <c r="J290" i="11"/>
  <c r="J205" i="11"/>
  <c r="J141" i="11"/>
  <c r="J77" i="11"/>
  <c r="J13" i="11"/>
  <c r="J538" i="11"/>
  <c r="J394" i="11"/>
  <c r="J330" i="11"/>
  <c r="J266" i="11"/>
  <c r="J193" i="11"/>
  <c r="J129" i="11"/>
  <c r="J65" i="11"/>
  <c r="J85" i="11"/>
  <c r="J338" i="11"/>
  <c r="J133" i="11"/>
  <c r="J409" i="11"/>
  <c r="J165" i="11"/>
  <c r="J503" i="11"/>
  <c r="J407" i="11"/>
  <c r="J311" i="11"/>
  <c r="J176" i="11"/>
  <c r="J80" i="11"/>
  <c r="J382" i="11"/>
  <c r="J286" i="11"/>
  <c r="J238" i="11"/>
  <c r="J195" i="11"/>
  <c r="J147" i="11"/>
  <c r="J83" i="11"/>
  <c r="J35" i="11"/>
  <c r="J234" i="11"/>
  <c r="J186" i="11"/>
  <c r="J138" i="11"/>
  <c r="J90" i="11"/>
  <c r="J42" i="11"/>
  <c r="J506" i="11"/>
  <c r="J257" i="11"/>
  <c r="J73" i="11"/>
  <c r="J329" i="11"/>
  <c r="J125" i="11"/>
  <c r="J369" i="11"/>
  <c r="J177" i="11"/>
  <c r="J49" i="11"/>
  <c r="J249" i="11"/>
  <c r="J229" i="11"/>
  <c r="P2" i="4"/>
  <c r="K1022" i="11" s="1"/>
  <c r="L1022" i="11" s="1"/>
  <c r="Z139" i="4"/>
  <c r="AA139" i="4" s="1"/>
  <c r="Z166" i="4"/>
  <c r="AA166" i="4" s="1"/>
  <c r="K120" i="11"/>
  <c r="L120" i="11" s="1"/>
  <c r="K321" i="11"/>
  <c r="L321" i="11" s="1"/>
  <c r="K338" i="11"/>
  <c r="L338" i="11" s="1"/>
  <c r="K293" i="11"/>
  <c r="L293" i="11" s="1"/>
  <c r="K77" i="11"/>
  <c r="L77" i="11" s="1"/>
  <c r="Z82" i="4"/>
  <c r="AA82" i="4" s="1"/>
  <c r="Z206" i="4"/>
  <c r="AA206" i="4" s="1"/>
  <c r="AA192" i="4"/>
  <c r="Z204" i="4"/>
  <c r="AA204" i="4" s="1"/>
  <c r="Z92" i="4"/>
  <c r="AA92" i="4" s="1"/>
  <c r="Z126" i="4"/>
  <c r="AA126" i="4" s="1"/>
  <c r="Z147" i="4"/>
  <c r="AA147" i="4" s="1"/>
  <c r="Z184" i="4"/>
  <c r="AA184" i="4" s="1"/>
  <c r="K202" i="11"/>
  <c r="L202" i="11" s="1"/>
  <c r="K438" i="11"/>
  <c r="L438" i="11" s="1"/>
  <c r="K525" i="11"/>
  <c r="L525" i="11" s="1"/>
  <c r="K254" i="11"/>
  <c r="L254" i="11" s="1"/>
  <c r="K448" i="11"/>
  <c r="L448" i="11" s="1"/>
  <c r="K343" i="11"/>
  <c r="L343" i="11" s="1"/>
  <c r="K171" i="11"/>
  <c r="L171" i="11" s="1"/>
  <c r="K478" i="11"/>
  <c r="L478" i="11" s="1"/>
  <c r="K350" i="11"/>
  <c r="L350" i="11" s="1"/>
  <c r="K184" i="11"/>
  <c r="L184" i="11" s="1"/>
  <c r="K408" i="11"/>
  <c r="L408" i="11" s="1"/>
  <c r="Z63" i="4"/>
  <c r="AA63" i="4" s="1"/>
  <c r="Z91" i="4"/>
  <c r="AA91" i="4" s="1"/>
  <c r="Z8" i="4"/>
  <c r="AA8" i="4" s="1"/>
  <c r="Z158" i="4"/>
  <c r="AA158" i="4" s="1"/>
  <c r="Z155" i="4"/>
  <c r="AA155" i="4" s="1"/>
  <c r="Z127" i="4"/>
  <c r="AA127" i="4" s="1"/>
  <c r="Z205" i="4"/>
  <c r="AA205" i="4" s="1"/>
  <c r="Z122" i="4"/>
  <c r="AA122" i="4" s="1"/>
  <c r="K322" i="11"/>
  <c r="L322" i="11" s="1"/>
  <c r="K364" i="11"/>
  <c r="L364" i="11" s="1"/>
  <c r="K179" i="11"/>
  <c r="L179" i="11" s="1"/>
  <c r="K441" i="11"/>
  <c r="L441" i="11" s="1"/>
  <c r="K290" i="11"/>
  <c r="L290" i="11" s="1"/>
  <c r="K527" i="11"/>
  <c r="L527" i="11" s="1"/>
  <c r="K152" i="11"/>
  <c r="L152" i="11" s="1"/>
  <c r="K147" i="11"/>
  <c r="L147" i="11" s="1"/>
  <c r="K405" i="11"/>
  <c r="L405" i="11" s="1"/>
  <c r="K496" i="11"/>
  <c r="L496" i="11" s="1"/>
  <c r="K344" i="11"/>
  <c r="L344" i="11" s="1"/>
  <c r="K10" i="11"/>
  <c r="L10" i="11" s="1"/>
  <c r="K389" i="11"/>
  <c r="L389" i="11" s="1"/>
  <c r="K26" i="11"/>
  <c r="L26" i="11" s="1"/>
  <c r="K92" i="11"/>
  <c r="L92" i="11" s="1"/>
  <c r="K271" i="11"/>
  <c r="L271" i="11" s="1"/>
  <c r="K291" i="11"/>
  <c r="L291" i="11" s="1"/>
  <c r="K17" i="11"/>
  <c r="L17" i="11" s="1"/>
  <c r="K251" i="11"/>
  <c r="L251" i="11" s="1"/>
  <c r="K519" i="11"/>
  <c r="L519" i="11" s="1"/>
  <c r="K537" i="11"/>
  <c r="L537" i="11" s="1"/>
  <c r="K156" i="11"/>
  <c r="L156" i="11" s="1"/>
  <c r="K49" i="11"/>
  <c r="L49" i="11" s="1"/>
  <c r="K60" i="11"/>
  <c r="L60" i="11" s="1"/>
  <c r="K15" i="11"/>
  <c r="L15" i="11" s="1"/>
  <c r="K323" i="11"/>
  <c r="L323" i="11" s="1"/>
  <c r="K123" i="11"/>
  <c r="L123" i="11" s="1"/>
  <c r="K461" i="11"/>
  <c r="L461" i="11" s="1"/>
  <c r="K245" i="11"/>
  <c r="L245" i="11" s="1"/>
  <c r="K305" i="11"/>
  <c r="L305" i="11" s="1"/>
  <c r="K45" i="11"/>
  <c r="L45" i="11" s="1"/>
  <c r="K72" i="11"/>
  <c r="L72" i="11" s="1"/>
  <c r="K320" i="11"/>
  <c r="L320" i="11" s="1"/>
  <c r="K105" i="11"/>
  <c r="L105" i="11" s="1"/>
  <c r="K292" i="11"/>
  <c r="L292" i="11" s="1"/>
  <c r="K83" i="11"/>
  <c r="L83" i="11" s="1"/>
  <c r="K207" i="11"/>
  <c r="L207" i="11" s="1"/>
  <c r="K97" i="11"/>
  <c r="L97" i="11" s="1"/>
  <c r="K188" i="11"/>
  <c r="L188" i="11" s="1"/>
  <c r="K286" i="11"/>
  <c r="L286" i="11" s="1"/>
  <c r="K445" i="11"/>
  <c r="L445" i="11" s="1"/>
  <c r="K242" i="11"/>
  <c r="L242" i="11" s="1"/>
  <c r="K41" i="11"/>
  <c r="L41" i="11" s="1"/>
  <c r="K398" i="11"/>
  <c r="L398" i="11" s="1"/>
  <c r="K73" i="11"/>
  <c r="L73" i="11" s="1"/>
  <c r="K316" i="11"/>
  <c r="L316" i="11" s="1"/>
  <c r="K518" i="11"/>
  <c r="L518" i="11" s="1"/>
  <c r="K330" i="11"/>
  <c r="L330" i="11" s="1"/>
  <c r="K331" i="11"/>
  <c r="L331" i="11" s="1"/>
  <c r="K266" i="11"/>
  <c r="L266" i="11" s="1"/>
  <c r="Z78" i="4"/>
  <c r="AA78" i="4" s="1"/>
  <c r="Z39" i="4"/>
  <c r="AA39" i="4" s="1"/>
  <c r="K311" i="11"/>
  <c r="L311" i="11" s="1"/>
  <c r="Z71" i="4"/>
  <c r="AA71" i="4" s="1"/>
  <c r="K270" i="11"/>
  <c r="L270" i="11" s="1"/>
  <c r="K491" i="11"/>
  <c r="L491" i="11" s="1"/>
  <c r="Z66" i="4"/>
  <c r="AA66" i="4" s="1"/>
  <c r="Z43" i="4"/>
  <c r="AA43" i="4" s="1"/>
  <c r="Z99" i="4"/>
  <c r="AA99" i="4" s="1"/>
  <c r="K249" i="11"/>
  <c r="L249" i="11" s="1"/>
  <c r="K547" i="11"/>
  <c r="L547" i="11" s="1"/>
  <c r="K334" i="11"/>
  <c r="L334" i="11" s="1"/>
  <c r="K324" i="11"/>
  <c r="L324" i="11" s="1"/>
  <c r="K282" i="11"/>
  <c r="L282" i="11" s="1"/>
  <c r="Z160" i="4"/>
  <c r="AA160" i="4" s="1"/>
  <c r="Z133" i="4"/>
  <c r="AA133" i="4" s="1"/>
  <c r="Z164" i="4"/>
  <c r="AA164" i="4" s="1"/>
  <c r="Z141" i="4"/>
  <c r="AA141" i="4" s="1"/>
  <c r="Z151" i="4"/>
  <c r="AA151" i="4" s="1"/>
  <c r="Z156" i="4"/>
  <c r="AA156" i="4" s="1"/>
  <c r="Z145" i="4"/>
  <c r="AA145" i="4" s="1"/>
  <c r="Z165" i="4"/>
  <c r="AA165" i="4" s="1"/>
  <c r="Z125" i="4"/>
  <c r="AA125" i="4" s="1"/>
  <c r="Z25" i="4"/>
  <c r="K351" i="11"/>
  <c r="L351" i="11" s="1"/>
  <c r="K300" i="11"/>
  <c r="L300" i="11" s="1"/>
  <c r="K436" i="11"/>
  <c r="L436" i="11" s="1"/>
  <c r="K516" i="11"/>
  <c r="L516" i="11" s="1"/>
  <c r="K236" i="11"/>
  <c r="L236" i="11" s="1"/>
  <c r="K437" i="11"/>
  <c r="L437" i="11" s="1"/>
  <c r="Z19" i="4"/>
  <c r="AA19" i="4" s="1"/>
  <c r="K549" i="11"/>
  <c r="L549" i="11" s="1"/>
  <c r="K276" i="11"/>
  <c r="L276" i="11" s="1"/>
  <c r="K141" i="11"/>
  <c r="L141" i="11" s="1"/>
  <c r="K183" i="11"/>
  <c r="L183" i="11" s="1"/>
  <c r="K540" i="11"/>
  <c r="L540" i="11" s="1"/>
  <c r="K255" i="11"/>
  <c r="L255" i="11" s="1"/>
  <c r="K345" i="11"/>
  <c r="L345" i="11" s="1"/>
  <c r="K158" i="11"/>
  <c r="L158" i="11" s="1"/>
  <c r="K16" i="11"/>
  <c r="L16" i="11" s="1"/>
  <c r="K21" i="11"/>
  <c r="L21" i="11" s="1"/>
  <c r="K181" i="11"/>
  <c r="L181" i="11" s="1"/>
  <c r="K301" i="11"/>
  <c r="L301" i="11" s="1"/>
  <c r="K71" i="11"/>
  <c r="L71" i="11" s="1"/>
  <c r="K401" i="11"/>
  <c r="L401" i="11" s="1"/>
  <c r="K154" i="11"/>
  <c r="L154" i="11" s="1"/>
  <c r="K43" i="11"/>
  <c r="L43" i="11" s="1"/>
  <c r="K228" i="11"/>
  <c r="L228" i="11" s="1"/>
  <c r="K309" i="11"/>
  <c r="L309" i="11" s="1"/>
  <c r="K165" i="11"/>
  <c r="L165" i="11" s="1"/>
  <c r="K113" i="11"/>
  <c r="L113" i="11" s="1"/>
  <c r="K296" i="11"/>
  <c r="L296" i="11" s="1"/>
  <c r="K46" i="11"/>
  <c r="L46" i="11" s="1"/>
  <c r="K44" i="11"/>
  <c r="L44" i="11" s="1"/>
  <c r="K65" i="11"/>
  <c r="L65" i="11" s="1"/>
  <c r="K136" i="11"/>
  <c r="L136" i="11" s="1"/>
  <c r="K94" i="11"/>
  <c r="L94" i="11" s="1"/>
  <c r="K451" i="11"/>
  <c r="L451" i="11" s="1"/>
  <c r="K176" i="11"/>
  <c r="L176" i="11" s="1"/>
  <c r="K149" i="11"/>
  <c r="L149" i="11" s="1"/>
  <c r="K153" i="11"/>
  <c r="L153" i="11" s="1"/>
  <c r="K106" i="11"/>
  <c r="L106" i="11" s="1"/>
  <c r="K57" i="11"/>
  <c r="L57" i="11" s="1"/>
  <c r="K374" i="11"/>
  <c r="L374" i="11" s="1"/>
  <c r="K421" i="11"/>
  <c r="L421" i="11" s="1"/>
  <c r="K173" i="11"/>
  <c r="L173" i="11" s="1"/>
  <c r="K551" i="11"/>
  <c r="L551" i="11" s="1"/>
  <c r="K498" i="11"/>
  <c r="L498" i="11" s="1"/>
  <c r="K349" i="11"/>
  <c r="L349" i="11" s="1"/>
  <c r="Z21" i="4"/>
  <c r="AA21" i="4" s="1"/>
  <c r="K227" i="11"/>
  <c r="L227" i="11" s="1"/>
  <c r="K70" i="11"/>
  <c r="L70" i="11" s="1"/>
  <c r="K340" i="11"/>
  <c r="L340" i="11" s="1"/>
  <c r="K5" i="11"/>
  <c r="L5" i="11" s="1"/>
  <c r="K265" i="11"/>
  <c r="L265" i="11" s="1"/>
  <c r="Z53" i="4"/>
  <c r="AA53" i="4" s="1"/>
  <c r="K139" i="11"/>
  <c r="L139" i="11" s="1"/>
  <c r="K182" i="11"/>
  <c r="L182" i="11" s="1"/>
  <c r="K114" i="11"/>
  <c r="L114" i="11" s="1"/>
  <c r="K410" i="11"/>
  <c r="L410" i="11" s="1"/>
  <c r="K453" i="11"/>
  <c r="L453" i="11" s="1"/>
  <c r="K262" i="11"/>
  <c r="L262" i="11" s="1"/>
  <c r="K336" i="11"/>
  <c r="L336" i="11" s="1"/>
  <c r="K144" i="11"/>
  <c r="L144" i="11" s="1"/>
  <c r="K110" i="11"/>
  <c r="L110" i="11" s="1"/>
  <c r="Z36" i="4"/>
  <c r="AA36" i="4" s="1"/>
  <c r="Z96" i="4"/>
  <c r="AA96" i="4" s="1"/>
  <c r="K31" i="11"/>
  <c r="L31" i="11" s="1"/>
  <c r="Z33" i="4"/>
  <c r="AA33" i="4" s="1"/>
  <c r="K166" i="11"/>
  <c r="L166" i="11" s="1"/>
  <c r="K429" i="11"/>
  <c r="L429" i="11" s="1"/>
  <c r="K500" i="11"/>
  <c r="L500" i="11" s="1"/>
  <c r="K417" i="11"/>
  <c r="L417" i="11" s="1"/>
  <c r="K52" i="11"/>
  <c r="L52" i="11" s="1"/>
  <c r="K79" i="11"/>
  <c r="L79" i="11" s="1"/>
  <c r="K197" i="11"/>
  <c r="L197" i="11" s="1"/>
  <c r="K122" i="11"/>
  <c r="L122" i="11" s="1"/>
  <c r="K170" i="11"/>
  <c r="L170" i="11" s="1"/>
  <c r="K140" i="11"/>
  <c r="L140" i="11" s="1"/>
  <c r="K391" i="11"/>
  <c r="L391" i="11" s="1"/>
  <c r="K489" i="11"/>
  <c r="L489" i="11" s="1"/>
  <c r="K27" i="11"/>
  <c r="L27" i="11" s="1"/>
  <c r="K246" i="11"/>
  <c r="L246" i="11" s="1"/>
  <c r="K456" i="11"/>
  <c r="L456" i="11" s="1"/>
  <c r="Z41" i="4"/>
  <c r="AA41" i="4" s="1"/>
  <c r="Z97" i="4"/>
  <c r="AA97" i="4" s="1"/>
  <c r="K367" i="11"/>
  <c r="L367" i="11" s="1"/>
  <c r="K465" i="11"/>
  <c r="L465" i="11" s="1"/>
  <c r="K314" i="11"/>
  <c r="L314" i="11" s="1"/>
  <c r="K102" i="11"/>
  <c r="L102" i="11" s="1"/>
  <c r="K424" i="11"/>
  <c r="L424" i="11" s="1"/>
  <c r="Z112" i="4"/>
  <c r="AA112" i="4" s="1"/>
  <c r="K366" i="11"/>
  <c r="L366" i="11" s="1"/>
  <c r="K129" i="11"/>
  <c r="L129" i="11" s="1"/>
  <c r="K283" i="11"/>
  <c r="L283" i="11" s="1"/>
  <c r="K84" i="11"/>
  <c r="L84" i="11" s="1"/>
  <c r="K523" i="11"/>
  <c r="L523" i="11" s="1"/>
  <c r="Z169" i="4"/>
  <c r="AA169" i="4" s="1"/>
  <c r="Z190" i="4"/>
  <c r="AA190" i="4" s="1"/>
  <c r="Z173" i="4"/>
  <c r="AA173" i="4" s="1"/>
  <c r="K119" i="11"/>
  <c r="L119" i="11" s="1"/>
  <c r="K452" i="11"/>
  <c r="L452" i="11" s="1"/>
  <c r="K447" i="11"/>
  <c r="L447" i="11" s="1"/>
  <c r="K387" i="11"/>
  <c r="L387" i="11" s="1"/>
  <c r="Z52" i="4"/>
  <c r="AA52" i="4" s="1"/>
  <c r="K443" i="11"/>
  <c r="L443" i="11" s="1"/>
  <c r="K484" i="11"/>
  <c r="L484" i="11" s="1"/>
  <c r="Z18" i="4"/>
  <c r="AA18" i="4" s="1"/>
  <c r="K82" i="11"/>
  <c r="L82" i="11" s="1"/>
  <c r="K318" i="11"/>
  <c r="L318" i="11" s="1"/>
  <c r="K12" i="11"/>
  <c r="L12" i="11" s="1"/>
  <c r="K85" i="11"/>
  <c r="L85" i="11" s="1"/>
  <c r="K402" i="11"/>
  <c r="L402" i="11" s="1"/>
  <c r="K263" i="11"/>
  <c r="L263" i="11" s="1"/>
  <c r="K289" i="11"/>
  <c r="L289" i="11" s="1"/>
  <c r="K257" i="11"/>
  <c r="L257" i="11" s="1"/>
  <c r="K103" i="11"/>
  <c r="L103" i="11" s="1"/>
  <c r="K204" i="11"/>
  <c r="L204" i="11" s="1"/>
  <c r="K308" i="11"/>
  <c r="L308" i="11" s="1"/>
  <c r="K218" i="11"/>
  <c r="L218" i="11" s="1"/>
  <c r="K32" i="11"/>
  <c r="L32" i="11" s="1"/>
  <c r="K244" i="11"/>
  <c r="L244" i="11" s="1"/>
  <c r="K107" i="11"/>
  <c r="L107" i="11" s="1"/>
  <c r="K75" i="11"/>
  <c r="L75" i="11" s="1"/>
  <c r="K362" i="11"/>
  <c r="L362" i="11" s="1"/>
  <c r="K444" i="11"/>
  <c r="L444" i="11" s="1"/>
  <c r="K177" i="11"/>
  <c r="L177" i="11" s="1"/>
  <c r="K145" i="11"/>
  <c r="L145" i="11" s="1"/>
  <c r="K62" i="11"/>
  <c r="L62" i="11" s="1"/>
  <c r="K29" i="11"/>
  <c r="L29" i="11" s="1"/>
  <c r="K420" i="11"/>
  <c r="L420" i="11" s="1"/>
  <c r="K30" i="11"/>
  <c r="L30" i="11" s="1"/>
  <c r="K538" i="11"/>
  <c r="L538" i="11" s="1"/>
  <c r="K455" i="11"/>
  <c r="L455" i="11" s="1"/>
  <c r="K315" i="11"/>
  <c r="L315" i="11" s="1"/>
  <c r="K546" i="11"/>
  <c r="L546" i="11" s="1"/>
  <c r="K333" i="11"/>
  <c r="L333" i="11" s="1"/>
  <c r="K326" i="11"/>
  <c r="L326" i="11" s="1"/>
  <c r="K238" i="11"/>
  <c r="L238" i="11" s="1"/>
  <c r="K233" i="11"/>
  <c r="L233" i="11" s="1"/>
  <c r="K224" i="11"/>
  <c r="L224" i="11" s="1"/>
  <c r="K442" i="11"/>
  <c r="L442" i="11" s="1"/>
  <c r="K335" i="11"/>
  <c r="L335" i="11" s="1"/>
  <c r="K98" i="11"/>
  <c r="L98" i="11" s="1"/>
  <c r="K423" i="11"/>
  <c r="L423" i="11" s="1"/>
  <c r="K80" i="11"/>
  <c r="L80" i="11" s="1"/>
  <c r="K373" i="11"/>
  <c r="L373" i="11" s="1"/>
  <c r="K482" i="11"/>
  <c r="L482" i="11" s="1"/>
  <c r="K329" i="11"/>
  <c r="L329" i="11" s="1"/>
  <c r="K253" i="11"/>
  <c r="L253" i="11" s="1"/>
  <c r="K87" i="11"/>
  <c r="L87" i="11" s="1"/>
  <c r="K195" i="11"/>
  <c r="L195" i="11" s="1"/>
  <c r="K539" i="11"/>
  <c r="L539" i="11" s="1"/>
  <c r="K76" i="11"/>
  <c r="L76" i="11" s="1"/>
  <c r="K479" i="11"/>
  <c r="L479" i="11" s="1"/>
  <c r="K375" i="11"/>
  <c r="L375" i="11" s="1"/>
  <c r="K535" i="11"/>
  <c r="L535" i="11" s="1"/>
  <c r="K346" i="11"/>
  <c r="L346" i="11" s="1"/>
  <c r="K66" i="11"/>
  <c r="L66" i="11" s="1"/>
  <c r="K91" i="11"/>
  <c r="L91" i="11" s="1"/>
  <c r="K476" i="11"/>
  <c r="L476" i="11" s="1"/>
  <c r="K124" i="11"/>
  <c r="L124" i="11" s="1"/>
  <c r="K209" i="11"/>
  <c r="L209" i="11" s="1"/>
  <c r="K19" i="11"/>
  <c r="L19" i="11" s="1"/>
  <c r="K40" i="11"/>
  <c r="L40" i="11" s="1"/>
  <c r="K275" i="11"/>
  <c r="L275" i="11" s="1"/>
  <c r="K422" i="11"/>
  <c r="L422" i="11" s="1"/>
  <c r="K229" i="11"/>
  <c r="L229" i="11" s="1"/>
  <c r="K196" i="11"/>
  <c r="L196" i="11" s="1"/>
  <c r="K403" i="11"/>
  <c r="L403" i="11" s="1"/>
  <c r="K446" i="11"/>
  <c r="L446" i="11" s="1"/>
  <c r="Z111" i="4"/>
  <c r="AA111" i="4" s="1"/>
  <c r="K302" i="11"/>
  <c r="L302" i="11" s="1"/>
  <c r="K59" i="11"/>
  <c r="L59" i="11" s="1"/>
  <c r="K494" i="11"/>
  <c r="L494" i="11" s="1"/>
  <c r="K116" i="11"/>
  <c r="L116" i="11" s="1"/>
  <c r="K237" i="11"/>
  <c r="L237" i="11" s="1"/>
  <c r="K502" i="11"/>
  <c r="L502" i="11" s="1"/>
  <c r="Z115" i="4"/>
  <c r="AA115" i="4" s="1"/>
  <c r="K250" i="11"/>
  <c r="L250" i="11" s="1"/>
  <c r="K347" i="11"/>
  <c r="L347" i="11" s="1"/>
  <c r="K521" i="11"/>
  <c r="L521" i="11" s="1"/>
  <c r="K430" i="11"/>
  <c r="L430" i="11" s="1"/>
  <c r="K462" i="11"/>
  <c r="L462" i="11" s="1"/>
  <c r="K128" i="11"/>
  <c r="L128" i="11" s="1"/>
  <c r="Z49" i="4"/>
  <c r="AA49" i="4" s="1"/>
  <c r="K180" i="11"/>
  <c r="L180" i="11" s="1"/>
  <c r="Z75" i="4"/>
  <c r="AA75" i="4" s="1"/>
  <c r="Z113" i="4"/>
  <c r="AA113" i="4" s="1"/>
  <c r="K550" i="11"/>
  <c r="L550" i="11" s="1"/>
  <c r="K169" i="11"/>
  <c r="L169" i="11" s="1"/>
  <c r="K378" i="11"/>
  <c r="L378" i="11" s="1"/>
  <c r="Z114" i="4"/>
  <c r="AA114" i="4" s="1"/>
  <c r="Z48" i="4"/>
  <c r="AA48" i="4" s="1"/>
  <c r="K470" i="11"/>
  <c r="L470" i="11" s="1"/>
  <c r="K210" i="11"/>
  <c r="L210" i="11" s="1"/>
  <c r="K67" i="11"/>
  <c r="L67" i="11" s="1"/>
  <c r="Z72" i="4"/>
  <c r="AA72" i="4" s="1"/>
  <c r="Z79" i="4"/>
  <c r="AA79" i="4" s="1"/>
  <c r="K371" i="11"/>
  <c r="L371" i="11" s="1"/>
  <c r="K104" i="11"/>
  <c r="L104" i="11" s="1"/>
  <c r="K78" i="11"/>
  <c r="L78" i="11" s="1"/>
  <c r="K175" i="11"/>
  <c r="L175" i="11" s="1"/>
  <c r="Z42" i="4"/>
  <c r="AA42" i="4" s="1"/>
  <c r="K222" i="11"/>
  <c r="L222" i="11" s="1"/>
  <c r="K198" i="11"/>
  <c r="L198" i="11" s="1"/>
  <c r="K328" i="11"/>
  <c r="L328" i="11" s="1"/>
  <c r="K20" i="11"/>
  <c r="L20" i="11" s="1"/>
  <c r="K35" i="11"/>
  <c r="L35" i="11" s="1"/>
  <c r="K487" i="11"/>
  <c r="L487" i="11" s="1"/>
  <c r="K90" i="11"/>
  <c r="L90" i="11" s="1"/>
  <c r="K357" i="11"/>
  <c r="L357" i="11" s="1"/>
  <c r="K458" i="11"/>
  <c r="L458" i="11" s="1"/>
  <c r="K483" i="11"/>
  <c r="L483" i="11" s="1"/>
  <c r="Z188" i="4"/>
  <c r="AA188" i="4" s="1"/>
  <c r="Z148" i="4"/>
  <c r="AA148" i="4" s="1"/>
  <c r="Z132" i="4"/>
  <c r="AA132" i="4" s="1"/>
  <c r="Z129" i="4"/>
  <c r="AA129" i="4" s="1"/>
  <c r="Z191" i="4"/>
  <c r="AA191" i="4" s="1"/>
  <c r="Z106" i="4"/>
  <c r="AA106" i="4" s="1"/>
  <c r="Z171" i="4"/>
  <c r="AA171" i="4" s="1"/>
  <c r="Z90" i="4"/>
  <c r="AA90" i="4" s="1"/>
  <c r="Z157" i="4"/>
  <c r="AA157" i="4" s="1"/>
  <c r="Z134" i="4"/>
  <c r="AA134" i="4" s="1"/>
  <c r="Z104" i="4"/>
  <c r="AA104" i="4" s="1"/>
  <c r="AY202" i="4" a="1"/>
  <c r="AY202" i="4" s="1"/>
  <c r="AZ2" i="4" s="1" a="1"/>
  <c r="K475" i="11"/>
  <c r="L475" i="11" s="1"/>
  <c r="K157" i="11"/>
  <c r="L157" i="11" s="1"/>
  <c r="K155" i="11"/>
  <c r="L155" i="11" s="1"/>
  <c r="K61" i="11"/>
  <c r="L61" i="11" s="1"/>
  <c r="K48" i="11"/>
  <c r="L48" i="11" s="1"/>
  <c r="K299" i="11"/>
  <c r="L299" i="11" s="1"/>
  <c r="K400" i="11"/>
  <c r="L400" i="11" s="1"/>
  <c r="K146" i="11"/>
  <c r="L146" i="11" s="1"/>
  <c r="K365" i="11"/>
  <c r="L365" i="11" s="1"/>
  <c r="K130" i="11"/>
  <c r="L130" i="11" s="1"/>
  <c r="K235" i="11"/>
  <c r="L235" i="11" s="1"/>
  <c r="K64" i="11"/>
  <c r="L64" i="11" s="1"/>
  <c r="K112" i="11"/>
  <c r="L112" i="11" s="1"/>
  <c r="K327" i="11"/>
  <c r="L327" i="11" s="1"/>
  <c r="K383" i="11"/>
  <c r="L383" i="11" s="1"/>
  <c r="K258" i="11"/>
  <c r="L258" i="11" s="1"/>
  <c r="Z17" i="4"/>
  <c r="AA17" i="4" s="1"/>
  <c r="K520" i="11"/>
  <c r="L520" i="11" s="1"/>
  <c r="K260" i="11"/>
  <c r="L260" i="11" s="1"/>
  <c r="K150" i="11"/>
  <c r="L150" i="11" s="1"/>
  <c r="K134" i="11"/>
  <c r="L134" i="11" s="1"/>
  <c r="K431" i="11"/>
  <c r="L431" i="11" s="1"/>
  <c r="K185" i="11"/>
  <c r="L185" i="11" s="1"/>
  <c r="K439" i="11"/>
  <c r="L439" i="11" s="1"/>
  <c r="K126" i="11"/>
  <c r="L126" i="11" s="1"/>
  <c r="K274" i="11"/>
  <c r="L274" i="11" s="1"/>
  <c r="K86" i="11"/>
  <c r="L86" i="11" s="1"/>
  <c r="K278" i="11"/>
  <c r="L278" i="11" s="1"/>
  <c r="K526" i="11"/>
  <c r="L526" i="11" s="1"/>
  <c r="K298" i="11"/>
  <c r="L298" i="11" s="1"/>
  <c r="K178" i="11"/>
  <c r="L178" i="11" s="1"/>
  <c r="K306" i="11"/>
  <c r="L306" i="11" s="1"/>
  <c r="K101" i="11"/>
  <c r="L101" i="11" s="1"/>
  <c r="K213" i="11"/>
  <c r="L213" i="11" s="1"/>
  <c r="K133" i="11"/>
  <c r="L133" i="11" s="1"/>
  <c r="K167" i="11"/>
  <c r="L167" i="11" s="1"/>
  <c r="K199" i="11"/>
  <c r="L199" i="11" s="1"/>
  <c r="K512" i="11"/>
  <c r="L512" i="11" s="1"/>
  <c r="K414" i="11"/>
  <c r="L414" i="11" s="1"/>
  <c r="K96" i="11"/>
  <c r="L96" i="11" s="1"/>
  <c r="K168" i="11"/>
  <c r="L168" i="11" s="1"/>
  <c r="K132" i="11"/>
  <c r="L132" i="11" s="1"/>
  <c r="K545" i="11"/>
  <c r="L545" i="11" s="1"/>
  <c r="K137" i="11"/>
  <c r="L137" i="11" s="1"/>
  <c r="K115" i="11"/>
  <c r="L115" i="11" s="1"/>
  <c r="K522" i="11"/>
  <c r="L522" i="11" s="1"/>
  <c r="K472" i="11"/>
  <c r="L472" i="11" s="1"/>
  <c r="K376" i="11"/>
  <c r="L376" i="11" s="1"/>
  <c r="K536" i="11"/>
  <c r="L536" i="11" s="1"/>
  <c r="K143" i="11"/>
  <c r="L143" i="11" s="1"/>
  <c r="K486" i="11"/>
  <c r="L486" i="11" s="1"/>
  <c r="K241" i="11"/>
  <c r="L241" i="11" s="1"/>
  <c r="K517" i="11"/>
  <c r="L517" i="11" s="1"/>
  <c r="K279" i="11"/>
  <c r="L279" i="11" s="1"/>
  <c r="K151" i="11"/>
  <c r="L151" i="11" s="1"/>
  <c r="K287" i="11"/>
  <c r="L287" i="11" s="1"/>
  <c r="K243" i="11"/>
  <c r="L243" i="11" s="1"/>
  <c r="K492" i="11"/>
  <c r="L492" i="11" s="1"/>
  <c r="K163" i="11"/>
  <c r="L163" i="11" s="1"/>
  <c r="K36" i="11"/>
  <c r="L36" i="11" s="1"/>
  <c r="K432" i="11"/>
  <c r="L432" i="11" s="1"/>
  <c r="K230" i="11"/>
  <c r="L230" i="11" s="1"/>
  <c r="K348" i="11"/>
  <c r="L348" i="11" s="1"/>
  <c r="K135" i="11"/>
  <c r="L135" i="11" s="1"/>
  <c r="Z50" i="4"/>
  <c r="AA50" i="4" s="1"/>
  <c r="K386" i="11"/>
  <c r="L386" i="11" s="1"/>
  <c r="K534" i="11"/>
  <c r="L534" i="11" s="1"/>
  <c r="K495" i="11"/>
  <c r="L495" i="11" s="1"/>
  <c r="K193" i="11"/>
  <c r="L193" i="11" s="1"/>
  <c r="K411" i="11"/>
  <c r="L411" i="11" s="1"/>
  <c r="K396" i="11"/>
  <c r="L396" i="11" s="1"/>
  <c r="K118" i="11"/>
  <c r="L118" i="11" s="1"/>
  <c r="K406" i="11"/>
  <c r="L406" i="11" s="1"/>
  <c r="K232" i="11"/>
  <c r="L232" i="11" s="1"/>
  <c r="K186" i="11"/>
  <c r="L186" i="11" s="1"/>
  <c r="K54" i="11"/>
  <c r="L54" i="11" s="1"/>
  <c r="K360" i="11"/>
  <c r="L360" i="11" s="1"/>
  <c r="K393" i="11"/>
  <c r="L393" i="11" s="1"/>
  <c r="K288" i="11"/>
  <c r="L288" i="11" s="1"/>
  <c r="K490" i="11"/>
  <c r="L490" i="11" s="1"/>
  <c r="K474" i="11"/>
  <c r="L474" i="11" s="1"/>
  <c r="Z95" i="4"/>
  <c r="AA95" i="4" s="1"/>
  <c r="Z100" i="4"/>
  <c r="AA100" i="4" s="1"/>
  <c r="K503" i="11"/>
  <c r="L503" i="11" s="1"/>
  <c r="K394" i="11"/>
  <c r="L394" i="11" s="1"/>
  <c r="K404" i="11"/>
  <c r="L404" i="11" s="1"/>
  <c r="K356" i="11"/>
  <c r="L356" i="11" s="1"/>
  <c r="K280" i="11"/>
  <c r="L280" i="11" s="1"/>
  <c r="K88" i="11"/>
  <c r="L88" i="11" s="1"/>
  <c r="K284" i="11"/>
  <c r="L284" i="11" s="1"/>
  <c r="K372" i="11"/>
  <c r="L372" i="11" s="1"/>
  <c r="K337" i="11"/>
  <c r="L337" i="11" s="1"/>
  <c r="K464" i="11"/>
  <c r="L464" i="11" s="1"/>
  <c r="Z118" i="4"/>
  <c r="AA118" i="4" s="1"/>
  <c r="K24" i="11"/>
  <c r="L24" i="11" s="1"/>
  <c r="K8" i="11"/>
  <c r="L8" i="11" s="1"/>
  <c r="K248" i="11"/>
  <c r="L248" i="11" s="1"/>
  <c r="K56" i="11"/>
  <c r="L56" i="11" s="1"/>
  <c r="K313" i="11"/>
  <c r="L313" i="11" s="1"/>
  <c r="K312" i="11"/>
  <c r="L312" i="11" s="1"/>
  <c r="K205" i="11"/>
  <c r="L205" i="11" s="1"/>
  <c r="K463" i="11"/>
  <c r="L463" i="11" s="1"/>
  <c r="K499" i="11"/>
  <c r="L499" i="11" s="1"/>
  <c r="K342" i="11"/>
  <c r="L342" i="11" s="1"/>
  <c r="K480" i="11"/>
  <c r="L480" i="11" s="1"/>
  <c r="K418" i="11"/>
  <c r="L418" i="11" s="1"/>
  <c r="K34" i="11"/>
  <c r="L34" i="11" s="1"/>
  <c r="K69" i="11"/>
  <c r="L69" i="11" s="1"/>
  <c r="K363" i="11"/>
  <c r="L363" i="11" s="1"/>
  <c r="Z101" i="4"/>
  <c r="AA101" i="4" s="1"/>
  <c r="K332" i="11"/>
  <c r="L332" i="11" s="1"/>
  <c r="K425" i="11"/>
  <c r="L425" i="11" s="1"/>
  <c r="K217" i="11"/>
  <c r="L217" i="11" s="1"/>
  <c r="K194" i="11"/>
  <c r="L194" i="11" s="1"/>
  <c r="Z119" i="4"/>
  <c r="AA119" i="4" s="1"/>
  <c r="Z120" i="4"/>
  <c r="AA120" i="4" s="1"/>
  <c r="K368" i="11"/>
  <c r="L368" i="11" s="1"/>
  <c r="K385" i="11"/>
  <c r="L385" i="11" s="1"/>
  <c r="K529" i="11"/>
  <c r="L529" i="11" s="1"/>
  <c r="K281" i="11"/>
  <c r="L281" i="11" s="1"/>
  <c r="K485" i="11"/>
  <c r="L485" i="11" s="1"/>
  <c r="Z34" i="4"/>
  <c r="AA34" i="4" s="1"/>
  <c r="K200" i="11"/>
  <c r="L200" i="11" s="1"/>
  <c r="K361" i="11"/>
  <c r="L361" i="11" s="1"/>
  <c r="K369" i="11"/>
  <c r="L369" i="11" s="1"/>
  <c r="K219" i="11"/>
  <c r="L219" i="11" s="1"/>
  <c r="K467" i="11"/>
  <c r="L467" i="11" s="1"/>
  <c r="K39" i="11"/>
  <c r="L39" i="11" s="1"/>
  <c r="K89" i="11"/>
  <c r="L89" i="11" s="1"/>
  <c r="K355" i="11"/>
  <c r="L355" i="11" s="1"/>
  <c r="Z40" i="4"/>
  <c r="AA40" i="4" s="1"/>
  <c r="K388" i="11"/>
  <c r="L388" i="11" s="1"/>
  <c r="K247" i="11"/>
  <c r="L247" i="11" s="1"/>
  <c r="K259" i="11"/>
  <c r="L259" i="11" s="1"/>
  <c r="K172" i="11"/>
  <c r="L172" i="11" s="1"/>
  <c r="K419" i="11"/>
  <c r="L419" i="11" s="1"/>
  <c r="K9" i="11"/>
  <c r="L9" i="11" s="1"/>
  <c r="K412" i="11"/>
  <c r="L412" i="11" s="1"/>
  <c r="K23" i="11"/>
  <c r="L23" i="11" s="1"/>
  <c r="K53" i="11"/>
  <c r="L53" i="11" s="1"/>
  <c r="K100" i="11"/>
  <c r="L100" i="11" s="1"/>
  <c r="K18" i="11"/>
  <c r="L18" i="11" s="1"/>
  <c r="K297" i="11"/>
  <c r="L297" i="11" s="1"/>
  <c r="K413" i="11"/>
  <c r="L413" i="11" s="1"/>
  <c r="K109" i="11"/>
  <c r="L109" i="11" s="1"/>
  <c r="K50" i="11"/>
  <c r="L50" i="11" s="1"/>
  <c r="K440" i="11"/>
  <c r="L440" i="11" s="1"/>
  <c r="K466" i="11"/>
  <c r="L466" i="11" s="1"/>
  <c r="K481" i="11"/>
  <c r="L481" i="11" s="1"/>
  <c r="K215" i="11"/>
  <c r="L215" i="11" s="1"/>
  <c r="Z35" i="4"/>
  <c r="AA35" i="4" s="1"/>
  <c r="K524" i="11"/>
  <c r="L524" i="11" s="1"/>
  <c r="K310" i="11"/>
  <c r="L310" i="11" s="1"/>
  <c r="Z94" i="4"/>
  <c r="K553" i="11"/>
  <c r="L553" i="11" s="1"/>
  <c r="K190" i="11"/>
  <c r="L190" i="11" s="1"/>
  <c r="K14" i="11"/>
  <c r="L14" i="11" s="1"/>
  <c r="K273" i="11"/>
  <c r="L273" i="11" s="1"/>
  <c r="K68" i="11"/>
  <c r="L68" i="11" s="1"/>
  <c r="Z80" i="4"/>
  <c r="AA80" i="4" s="1"/>
  <c r="K264" i="11"/>
  <c r="L264" i="11" s="1"/>
  <c r="K397" i="11"/>
  <c r="L397" i="11" s="1"/>
  <c r="Z65" i="4"/>
  <c r="AA65" i="4" s="1"/>
  <c r="Z98" i="4"/>
  <c r="AA98" i="4" s="1"/>
  <c r="Z76" i="4"/>
  <c r="AA76" i="4" s="1"/>
  <c r="K269" i="11"/>
  <c r="L269" i="11" s="1"/>
  <c r="K47" i="11"/>
  <c r="L47" i="11" s="1"/>
  <c r="K426" i="11"/>
  <c r="L426" i="11" s="1"/>
  <c r="K3" i="11"/>
  <c r="L3" i="11" s="1"/>
  <c r="Z107" i="4"/>
  <c r="AA107" i="4" s="1"/>
  <c r="K493" i="11"/>
  <c r="L493" i="11" s="1"/>
  <c r="K99" i="11"/>
  <c r="L99" i="11" s="1"/>
  <c r="K473" i="11"/>
  <c r="L473" i="11" s="1"/>
  <c r="Z44" i="4"/>
  <c r="AA44" i="4" s="1"/>
  <c r="K554" i="11"/>
  <c r="L554" i="11" s="1"/>
  <c r="K231" i="11"/>
  <c r="L231" i="11" s="1"/>
  <c r="K552" i="11"/>
  <c r="L552" i="11" s="1"/>
  <c r="K382" i="11"/>
  <c r="L382" i="11" s="1"/>
  <c r="K294" i="11"/>
  <c r="L294" i="11" s="1"/>
  <c r="K51" i="11"/>
  <c r="L51" i="11" s="1"/>
  <c r="K22" i="11"/>
  <c r="L22" i="11" s="1"/>
  <c r="Z73" i="4"/>
  <c r="AA73" i="4" s="1"/>
  <c r="K214" i="11"/>
  <c r="L214" i="11" s="1"/>
  <c r="K358" i="11"/>
  <c r="L358" i="11" s="1"/>
  <c r="K239" i="11"/>
  <c r="L239" i="11" s="1"/>
  <c r="K174" i="11"/>
  <c r="L174" i="11" s="1"/>
  <c r="K6" i="11"/>
  <c r="L6" i="11" s="1"/>
  <c r="K25" i="11"/>
  <c r="L25" i="11" s="1"/>
  <c r="K381" i="11"/>
  <c r="L381" i="11" s="1"/>
  <c r="K471" i="11"/>
  <c r="L471" i="11" s="1"/>
  <c r="Z109" i="4"/>
  <c r="AA109" i="4" s="1"/>
  <c r="K317" i="11"/>
  <c r="L317" i="11" s="1"/>
  <c r="K511" i="11"/>
  <c r="L511" i="11" s="1"/>
  <c r="K433" i="11"/>
  <c r="L433" i="11" s="1"/>
  <c r="Z108" i="4"/>
  <c r="AA108" i="4" s="1"/>
  <c r="K390" i="11"/>
  <c r="L390" i="11" s="1"/>
  <c r="K427" i="11"/>
  <c r="L427" i="11" s="1"/>
  <c r="Z110" i="4"/>
  <c r="AA110" i="4" s="1"/>
  <c r="K252" i="11"/>
  <c r="L252" i="11" s="1"/>
  <c r="K2" i="11"/>
  <c r="Z116" i="4"/>
  <c r="AA116" i="4" s="1"/>
  <c r="K108" i="11"/>
  <c r="L108" i="11" s="1"/>
  <c r="K138" i="11"/>
  <c r="L138" i="11" s="1"/>
  <c r="K216" i="11"/>
  <c r="L216" i="11" s="1"/>
  <c r="K285" i="11"/>
  <c r="L285" i="11" s="1"/>
  <c r="K220" i="11"/>
  <c r="L220" i="11" s="1"/>
  <c r="K187" i="11"/>
  <c r="L187" i="11" s="1"/>
  <c r="K450" i="11"/>
  <c r="L450" i="11" s="1"/>
  <c r="Z47" i="4"/>
  <c r="AA47" i="4" s="1"/>
  <c r="Z45" i="4"/>
  <c r="AA45" i="4" s="1"/>
  <c r="K74" i="11"/>
  <c r="L74" i="11" s="1"/>
  <c r="Z64" i="4"/>
  <c r="AA64" i="4" s="1"/>
  <c r="Z74" i="4"/>
  <c r="AA74" i="4" s="1"/>
  <c r="AK7" i="4" s="1"/>
  <c r="K359" i="11"/>
  <c r="L359" i="11" s="1"/>
  <c r="Z77" i="4"/>
  <c r="AA77" i="4" s="1"/>
  <c r="Z102" i="4"/>
  <c r="AA102" i="4" s="1"/>
  <c r="K164" i="11"/>
  <c r="L164" i="11" s="1"/>
  <c r="Z46" i="4"/>
  <c r="AA46" i="4" s="1"/>
  <c r="K256" i="11"/>
  <c r="L256" i="11" s="1"/>
  <c r="K459" i="11"/>
  <c r="L459" i="11" s="1"/>
  <c r="K469" i="11"/>
  <c r="L469" i="11" s="1"/>
  <c r="K501" i="11"/>
  <c r="L501" i="11" s="1"/>
  <c r="K457" i="11"/>
  <c r="L457" i="11" s="1"/>
  <c r="K13" i="11"/>
  <c r="L13" i="11" s="1"/>
  <c r="K142" i="11"/>
  <c r="L142" i="11" s="1"/>
  <c r="K449" i="11"/>
  <c r="L449" i="11" s="1"/>
  <c r="K468" i="11"/>
  <c r="L468" i="11" s="1"/>
  <c r="Z202" i="4"/>
  <c r="AA202" i="4" s="1"/>
  <c r="Z162" i="4"/>
  <c r="AA162" i="4" s="1"/>
  <c r="K541" i="11"/>
  <c r="L541" i="11" s="1"/>
  <c r="K544" i="11"/>
  <c r="L544" i="11" s="1"/>
  <c r="K542" i="11"/>
  <c r="L542" i="11" s="1"/>
  <c r="K543" i="11"/>
  <c r="L543" i="11" s="1"/>
  <c r="Z68" i="4"/>
  <c r="AA68" i="4" s="1"/>
  <c r="Z11" i="4"/>
  <c r="AA11" i="4" s="1"/>
  <c r="AN67" i="4"/>
  <c r="AO67" i="4" s="1"/>
  <c r="AT244" i="42" l="1"/>
  <c r="AT254" i="42"/>
  <c r="AT253" i="42"/>
  <c r="AT252" i="42"/>
  <c r="U304" i="42"/>
  <c r="AT249" i="42"/>
  <c r="AT250" i="42"/>
  <c r="AT268" i="42"/>
  <c r="AT269" i="42"/>
  <c r="T304" i="1"/>
  <c r="AT255" i="42"/>
  <c r="AT245" i="42"/>
  <c r="AT256" i="42"/>
  <c r="AT262" i="42"/>
  <c r="AT263" i="42"/>
  <c r="AT257" i="42"/>
  <c r="AT261" i="42"/>
  <c r="AT246" i="42"/>
  <c r="AT240" i="42"/>
  <c r="T302" i="42"/>
  <c r="Z302" i="42"/>
  <c r="AB302" i="42" s="1"/>
  <c r="AA302" i="42"/>
  <c r="AP215" i="1"/>
  <c r="AP178" i="1"/>
  <c r="AP242" i="1"/>
  <c r="AP185" i="1"/>
  <c r="AP70" i="1"/>
  <c r="AP32" i="1"/>
  <c r="AP139" i="1"/>
  <c r="AP170" i="1"/>
  <c r="AP19" i="1"/>
  <c r="AS270" i="1"/>
  <c r="AP107" i="1"/>
  <c r="AP43" i="1"/>
  <c r="AP97" i="1"/>
  <c r="AS278" i="1" s="1"/>
  <c r="AP183" i="1"/>
  <c r="AP26" i="1"/>
  <c r="AS272" i="1"/>
  <c r="AP224" i="1"/>
  <c r="AS282" i="1" s="1"/>
  <c r="AP246" i="1"/>
  <c r="AP17" i="1"/>
  <c r="AP11" i="1"/>
  <c r="AP34" i="1"/>
  <c r="Z302" i="1"/>
  <c r="S302" i="1"/>
  <c r="Y302" i="1"/>
  <c r="AA302" i="1" s="1"/>
  <c r="AS283" i="1"/>
  <c r="Z217" i="1"/>
  <c r="T303" i="42"/>
  <c r="AA301" i="42"/>
  <c r="T300" i="42"/>
  <c r="AA299" i="42"/>
  <c r="T298" i="42"/>
  <c r="AA297" i="42"/>
  <c r="T296" i="42"/>
  <c r="AA295" i="42"/>
  <c r="T294" i="42"/>
  <c r="AA293" i="42"/>
  <c r="T292" i="42"/>
  <c r="AA291" i="42"/>
  <c r="AA290" i="42"/>
  <c r="Z286" i="42"/>
  <c r="AB286" i="42" s="1"/>
  <c r="Z284" i="42"/>
  <c r="AB284" i="42" s="1"/>
  <c r="T282" i="42"/>
  <c r="T274" i="42"/>
  <c r="T270" i="42"/>
  <c r="Z269" i="42"/>
  <c r="AB269" i="42" s="1"/>
  <c r="AA268" i="42"/>
  <c r="AA266" i="42"/>
  <c r="Z265" i="42"/>
  <c r="AB265" i="42" s="1"/>
  <c r="AA264" i="42"/>
  <c r="AA262" i="42"/>
  <c r="AA259" i="42"/>
  <c r="T257" i="42"/>
  <c r="Z256" i="42"/>
  <c r="AB256" i="42" s="1"/>
  <c r="AA255" i="42"/>
  <c r="AA253" i="42"/>
  <c r="T251" i="42"/>
  <c r="T249" i="42"/>
  <c r="Z248" i="42"/>
  <c r="AB248" i="42" s="1"/>
  <c r="AA247" i="42"/>
  <c r="T245" i="42"/>
  <c r="Z244" i="42"/>
  <c r="AB244" i="42" s="1"/>
  <c r="AA243" i="42"/>
  <c r="T239" i="42"/>
  <c r="AA232" i="42"/>
  <c r="AA230" i="42"/>
  <c r="Z229" i="42"/>
  <c r="AB229" i="42" s="1"/>
  <c r="AA228" i="42"/>
  <c r="T227" i="42"/>
  <c r="AA220" i="42"/>
  <c r="AA218" i="42"/>
  <c r="AA216" i="42"/>
  <c r="T214" i="42"/>
  <c r="AA213" i="42"/>
  <c r="T212" i="42"/>
  <c r="AA211" i="42"/>
  <c r="AA209" i="42"/>
  <c r="AA207" i="42"/>
  <c r="Z206" i="42"/>
  <c r="AB206" i="42" s="1"/>
  <c r="AA205" i="42"/>
  <c r="Z301" i="42"/>
  <c r="AB301" i="42" s="1"/>
  <c r="Z299" i="42"/>
  <c r="AB299" i="42" s="1"/>
  <c r="Z297" i="42"/>
  <c r="AB297" i="42" s="1"/>
  <c r="Z295" i="42"/>
  <c r="AB295" i="42" s="1"/>
  <c r="Z290" i="42"/>
  <c r="AB290" i="42" s="1"/>
  <c r="T288" i="42"/>
  <c r="AA287" i="42"/>
  <c r="T286" i="42"/>
  <c r="AA285" i="42"/>
  <c r="T284" i="42"/>
  <c r="AA283" i="42"/>
  <c r="AA278" i="42"/>
  <c r="AA276" i="42"/>
  <c r="AA271" i="42"/>
  <c r="T269" i="42"/>
  <c r="Z268" i="42"/>
  <c r="AB268" i="42" s="1"/>
  <c r="AA267" i="42"/>
  <c r="T265" i="42"/>
  <c r="Z264" i="42"/>
  <c r="AB264" i="42" s="1"/>
  <c r="AA263" i="42"/>
  <c r="T260" i="42"/>
  <c r="T256" i="42"/>
  <c r="Z255" i="42"/>
  <c r="AB255" i="42" s="1"/>
  <c r="AA254" i="42"/>
  <c r="Z253" i="42"/>
  <c r="AB253" i="42" s="1"/>
  <c r="AA252" i="42"/>
  <c r="T248" i="42"/>
  <c r="T244" i="42"/>
  <c r="Z243" i="42"/>
  <c r="AB243" i="42" s="1"/>
  <c r="AA242" i="42"/>
  <c r="AA240" i="42"/>
  <c r="AA236" i="42"/>
  <c r="AA235" i="42"/>
  <c r="AA233" i="42"/>
  <c r="Z232" i="42"/>
  <c r="AB232" i="42" s="1"/>
  <c r="AA231" i="42"/>
  <c r="T229" i="42"/>
  <c r="Z228" i="42"/>
  <c r="AB228" i="42" s="1"/>
  <c r="AA224" i="42"/>
  <c r="AA223" i="42"/>
  <c r="AA221" i="42"/>
  <c r="Z220" i="42"/>
  <c r="AB220" i="42" s="1"/>
  <c r="AA219" i="42"/>
  <c r="Z218" i="42"/>
  <c r="AB218" i="42" s="1"/>
  <c r="AA217" i="42"/>
  <c r="Z213" i="42"/>
  <c r="AB213" i="42" s="1"/>
  <c r="Z211" i="42"/>
  <c r="AB211" i="42" s="1"/>
  <c r="AA210" i="42"/>
  <c r="Z209" i="42"/>
  <c r="AB209" i="42" s="1"/>
  <c r="AA208" i="42"/>
  <c r="T206" i="42"/>
  <c r="V206" i="42" s="1"/>
  <c r="AA202" i="42"/>
  <c r="Z201" i="42"/>
  <c r="AB201" i="42" s="1"/>
  <c r="AA198" i="42"/>
  <c r="T197" i="42"/>
  <c r="AA194" i="42"/>
  <c r="Z193" i="42"/>
  <c r="AB193" i="42" s="1"/>
  <c r="AA192" i="42"/>
  <c r="Z190" i="42"/>
  <c r="AB190" i="42" s="1"/>
  <c r="T188" i="42"/>
  <c r="AA185" i="42"/>
  <c r="AA184" i="42"/>
  <c r="T183" i="42"/>
  <c r="AA180" i="42"/>
  <c r="AA179" i="42"/>
  <c r="Z177" i="42"/>
  <c r="AB177" i="42" s="1"/>
  <c r="AA176" i="42"/>
  <c r="Z175" i="42"/>
  <c r="AB175" i="42" s="1"/>
  <c r="T174" i="42"/>
  <c r="Z173" i="42"/>
  <c r="AB173" i="42" s="1"/>
  <c r="AA172" i="42"/>
  <c r="T171" i="42"/>
  <c r="Z170" i="42"/>
  <c r="AB170" i="42" s="1"/>
  <c r="AA168" i="42"/>
  <c r="AA303" i="42"/>
  <c r="T301" i="42"/>
  <c r="AA300" i="42"/>
  <c r="T299" i="42"/>
  <c r="AA298" i="42"/>
  <c r="T297" i="42"/>
  <c r="AA296" i="42"/>
  <c r="T295" i="42"/>
  <c r="AA294" i="42"/>
  <c r="AA292" i="42"/>
  <c r="T290" i="42"/>
  <c r="AA289" i="42"/>
  <c r="AA288" i="42"/>
  <c r="Z287" i="42"/>
  <c r="AB287" i="42" s="1"/>
  <c r="Z285" i="42"/>
  <c r="AB285" i="42" s="1"/>
  <c r="Z283" i="42"/>
  <c r="AB283" i="42" s="1"/>
  <c r="AA282" i="42"/>
  <c r="AA279" i="42"/>
  <c r="Z278" i="42"/>
  <c r="AB278" i="42" s="1"/>
  <c r="AA277" i="42"/>
  <c r="Z276" i="42"/>
  <c r="AB276" i="42" s="1"/>
  <c r="AA275" i="42"/>
  <c r="AA274" i="42"/>
  <c r="AA272" i="42"/>
  <c r="Z271" i="42"/>
  <c r="AB271" i="42" s="1"/>
  <c r="AA270" i="42"/>
  <c r="T268" i="42"/>
  <c r="T264" i="42"/>
  <c r="AA260" i="42"/>
  <c r="AA257" i="42"/>
  <c r="T255" i="42"/>
  <c r="T253" i="42"/>
  <c r="Z252" i="42"/>
  <c r="AB252" i="42" s="1"/>
  <c r="AA251" i="42"/>
  <c r="AA249" i="42"/>
  <c r="AA245" i="42"/>
  <c r="T243" i="42"/>
  <c r="Z242" i="42"/>
  <c r="AB242" i="42" s="1"/>
  <c r="AA241" i="42"/>
  <c r="Z240" i="42"/>
  <c r="AB240" i="42" s="1"/>
  <c r="AA239" i="42"/>
  <c r="AA237" i="42"/>
  <c r="Z235" i="42"/>
  <c r="AB235" i="42" s="1"/>
  <c r="AA234" i="42"/>
  <c r="T232" i="42"/>
  <c r="T228" i="42"/>
  <c r="AA227" i="42"/>
  <c r="AA225" i="42"/>
  <c r="AA222" i="42"/>
  <c r="T220" i="42"/>
  <c r="T218" i="42"/>
  <c r="AA214" i="42"/>
  <c r="T213" i="42"/>
  <c r="AA212" i="42"/>
  <c r="T211" i="42"/>
  <c r="T209" i="42"/>
  <c r="T203" i="42"/>
  <c r="AA200" i="42"/>
  <c r="T199" i="42"/>
  <c r="Z198" i="42"/>
  <c r="AB198" i="42" s="1"/>
  <c r="T195" i="42"/>
  <c r="T193" i="42"/>
  <c r="Z192" i="42"/>
  <c r="AB192" i="42" s="1"/>
  <c r="AA189" i="42"/>
  <c r="AA188" i="42"/>
  <c r="AA187" i="42"/>
  <c r="T186" i="42"/>
  <c r="Z184" i="42"/>
  <c r="AB184" i="42" s="1"/>
  <c r="Z303" i="42"/>
  <c r="AB303" i="42" s="1"/>
  <c r="Z300" i="42"/>
  <c r="AB300" i="42" s="1"/>
  <c r="Z298" i="42"/>
  <c r="AB298" i="42" s="1"/>
  <c r="Z296" i="42"/>
  <c r="AB296" i="42" s="1"/>
  <c r="Z294" i="42"/>
  <c r="AB294" i="42" s="1"/>
  <c r="Z292" i="42"/>
  <c r="AB292" i="42" s="1"/>
  <c r="Z288" i="42"/>
  <c r="AB288" i="42" s="1"/>
  <c r="T287" i="42"/>
  <c r="AA286" i="42"/>
  <c r="T285" i="42"/>
  <c r="AA284" i="42"/>
  <c r="T283" i="42"/>
  <c r="Z282" i="42"/>
  <c r="AB282" i="42" s="1"/>
  <c r="AA281" i="42"/>
  <c r="AA280" i="42"/>
  <c r="T278" i="42"/>
  <c r="T276" i="42"/>
  <c r="Z274" i="42"/>
  <c r="AB274" i="42" s="1"/>
  <c r="AA273" i="42"/>
  <c r="T271" i="42"/>
  <c r="Z270" i="42"/>
  <c r="AB270" i="42" s="1"/>
  <c r="AA269" i="42"/>
  <c r="AA265" i="42"/>
  <c r="AA261" i="42"/>
  <c r="Z260" i="42"/>
  <c r="AB260" i="42" s="1"/>
  <c r="AA258" i="42"/>
  <c r="Z257" i="42"/>
  <c r="AB257" i="42" s="1"/>
  <c r="AA256" i="42"/>
  <c r="T252" i="42"/>
  <c r="Z251" i="42"/>
  <c r="AB251" i="42" s="1"/>
  <c r="AA250" i="42"/>
  <c r="Z249" i="42"/>
  <c r="AB249" i="42" s="1"/>
  <c r="AA248" i="42"/>
  <c r="AA246" i="42"/>
  <c r="Z245" i="42"/>
  <c r="AB245" i="42" s="1"/>
  <c r="AA244" i="42"/>
  <c r="T242" i="42"/>
  <c r="T240" i="42"/>
  <c r="Z239" i="42"/>
  <c r="AB239" i="42" s="1"/>
  <c r="AA238" i="42"/>
  <c r="T235" i="42"/>
  <c r="V235" i="42" s="1"/>
  <c r="AA229" i="42"/>
  <c r="Z227" i="42"/>
  <c r="AB227" i="42" s="1"/>
  <c r="AA226" i="42"/>
  <c r="AA215" i="42"/>
  <c r="Z214" i="42"/>
  <c r="AB214" i="42" s="1"/>
  <c r="Z212" i="42"/>
  <c r="AB212" i="42" s="1"/>
  <c r="AA206" i="42"/>
  <c r="AA204" i="42"/>
  <c r="AA203" i="42"/>
  <c r="T201" i="42"/>
  <c r="Z200" i="42"/>
  <c r="AB200" i="42" s="1"/>
  <c r="AA199" i="42"/>
  <c r="AA197" i="42"/>
  <c r="AA195" i="42"/>
  <c r="AA191" i="42"/>
  <c r="T190" i="42"/>
  <c r="Z189" i="42"/>
  <c r="AB189" i="42" s="1"/>
  <c r="Z188" i="42"/>
  <c r="AB188" i="42" s="1"/>
  <c r="Z187" i="42"/>
  <c r="AB187" i="42" s="1"/>
  <c r="AA186" i="42"/>
  <c r="AA183" i="42"/>
  <c r="T179" i="42"/>
  <c r="V179" i="42" s="1"/>
  <c r="T177" i="42"/>
  <c r="T175" i="42"/>
  <c r="Z174" i="42"/>
  <c r="AB174" i="42" s="1"/>
  <c r="T172" i="42"/>
  <c r="Z171" i="42"/>
  <c r="AB171" i="42" s="1"/>
  <c r="AA166" i="42"/>
  <c r="T163" i="42"/>
  <c r="Z162" i="42"/>
  <c r="AB162" i="42" s="1"/>
  <c r="T161" i="42"/>
  <c r="AA158" i="42"/>
  <c r="T157" i="42"/>
  <c r="Z154" i="42"/>
  <c r="AB154" i="42" s="1"/>
  <c r="AA150" i="42"/>
  <c r="T149" i="42"/>
  <c r="Z148" i="42"/>
  <c r="AB148" i="42" s="1"/>
  <c r="AA146" i="42"/>
  <c r="AA145" i="42"/>
  <c r="AA143" i="42"/>
  <c r="AA141" i="42"/>
  <c r="AA139" i="42"/>
  <c r="AA137" i="42"/>
  <c r="AA201" i="42"/>
  <c r="T200" i="42"/>
  <c r="T198" i="42"/>
  <c r="Z186" i="42"/>
  <c r="AB186" i="42" s="1"/>
  <c r="T184" i="42"/>
  <c r="AA175" i="42"/>
  <c r="AA174" i="42"/>
  <c r="AA173" i="42"/>
  <c r="Z172" i="42"/>
  <c r="AB172" i="42" s="1"/>
  <c r="T170" i="42"/>
  <c r="Z166" i="42"/>
  <c r="AB166" i="42" s="1"/>
  <c r="AA163" i="42"/>
  <c r="AA157" i="42"/>
  <c r="Z143" i="42"/>
  <c r="AB143" i="42" s="1"/>
  <c r="T142" i="42"/>
  <c r="AA140" i="42"/>
  <c r="T139" i="42"/>
  <c r="Z138" i="42"/>
  <c r="AB138" i="42" s="1"/>
  <c r="AA136" i="42"/>
  <c r="AA134" i="42"/>
  <c r="AA132" i="42"/>
  <c r="T129" i="42"/>
  <c r="Z128" i="42"/>
  <c r="AB128" i="42" s="1"/>
  <c r="T127" i="42"/>
  <c r="Z126" i="42"/>
  <c r="AB126" i="42" s="1"/>
  <c r="T124" i="42"/>
  <c r="Z123" i="42"/>
  <c r="AB123" i="42" s="1"/>
  <c r="AA119" i="42"/>
  <c r="T118" i="42"/>
  <c r="Z117" i="42"/>
  <c r="AB117" i="42" s="1"/>
  <c r="AA116" i="42"/>
  <c r="AA115" i="42"/>
  <c r="Z114" i="42"/>
  <c r="AB114" i="42" s="1"/>
  <c r="T113" i="42"/>
  <c r="AA110" i="42"/>
  <c r="T108" i="42"/>
  <c r="AA105" i="42"/>
  <c r="AA103" i="42"/>
  <c r="T101" i="42"/>
  <c r="AA100" i="42"/>
  <c r="AA98" i="42"/>
  <c r="AA97" i="42"/>
  <c r="AA96" i="42"/>
  <c r="AA94" i="42"/>
  <c r="T92" i="42"/>
  <c r="Z91" i="42"/>
  <c r="AB91" i="42" s="1"/>
  <c r="AA90" i="42"/>
  <c r="AA88" i="42"/>
  <c r="AA86" i="42"/>
  <c r="Z83" i="42"/>
  <c r="AB83" i="42" s="1"/>
  <c r="T82" i="42"/>
  <c r="AA81" i="42"/>
  <c r="AA80" i="42"/>
  <c r="Z79" i="42"/>
  <c r="AB79" i="42" s="1"/>
  <c r="T78" i="42"/>
  <c r="AA77" i="42"/>
  <c r="AA74" i="42"/>
  <c r="T68" i="42"/>
  <c r="Z67" i="42"/>
  <c r="AB67" i="42" s="1"/>
  <c r="T66" i="42"/>
  <c r="Z65" i="42"/>
  <c r="AB65" i="42" s="1"/>
  <c r="T64" i="42"/>
  <c r="Z63" i="42"/>
  <c r="AB63" i="42" s="1"/>
  <c r="T62" i="42"/>
  <c r="AA58" i="42"/>
  <c r="AA56" i="42"/>
  <c r="AA54" i="42"/>
  <c r="Z53" i="42"/>
  <c r="AB53" i="42" s="1"/>
  <c r="T52" i="42"/>
  <c r="Z51" i="42"/>
  <c r="AB51" i="42" s="1"/>
  <c r="T50" i="42"/>
  <c r="Z49" i="42"/>
  <c r="AB49" i="42" s="1"/>
  <c r="AA48" i="42"/>
  <c r="Z47" i="42"/>
  <c r="AB47" i="42" s="1"/>
  <c r="T46" i="42"/>
  <c r="Z45" i="42"/>
  <c r="AB45" i="42" s="1"/>
  <c r="AA43" i="42"/>
  <c r="Z42" i="42"/>
  <c r="AB42" i="42" s="1"/>
  <c r="T41" i="42"/>
  <c r="Z40" i="42"/>
  <c r="AB40" i="42" s="1"/>
  <c r="Z195" i="42"/>
  <c r="AB195" i="42" s="1"/>
  <c r="T187" i="42"/>
  <c r="T173" i="42"/>
  <c r="T167" i="42"/>
  <c r="AA165" i="42"/>
  <c r="AA164" i="42"/>
  <c r="Z163" i="42"/>
  <c r="AB163" i="42" s="1"/>
  <c r="AA162" i="42"/>
  <c r="T159" i="42"/>
  <c r="Z157" i="42"/>
  <c r="AB157" i="42" s="1"/>
  <c r="AA156" i="42"/>
  <c r="AA155" i="42"/>
  <c r="AA154" i="42"/>
  <c r="AA149" i="42"/>
  <c r="Z145" i="42"/>
  <c r="AB145" i="42" s="1"/>
  <c r="T144" i="42"/>
  <c r="AA142" i="42"/>
  <c r="T141" i="42"/>
  <c r="Z140" i="42"/>
  <c r="AB140" i="42" s="1"/>
  <c r="Z136" i="42"/>
  <c r="AB136" i="42" s="1"/>
  <c r="T135" i="42"/>
  <c r="Z134" i="42"/>
  <c r="AB134" i="42" s="1"/>
  <c r="T133" i="42"/>
  <c r="AA129" i="42"/>
  <c r="AA127" i="42"/>
  <c r="AA125" i="42"/>
  <c r="AA124" i="42"/>
  <c r="AA122" i="42"/>
  <c r="T120" i="42"/>
  <c r="Z119" i="42"/>
  <c r="AB119" i="42" s="1"/>
  <c r="AA118" i="42"/>
  <c r="T117" i="42"/>
  <c r="Z116" i="42"/>
  <c r="AB116" i="42" s="1"/>
  <c r="T114" i="42"/>
  <c r="AA113" i="42"/>
  <c r="T111" i="42"/>
  <c r="Z110" i="42"/>
  <c r="AB110" i="42" s="1"/>
  <c r="T109" i="42"/>
  <c r="AA108" i="42"/>
  <c r="T106" i="42"/>
  <c r="Z105" i="42"/>
  <c r="AB105" i="42" s="1"/>
  <c r="T104" i="42"/>
  <c r="Z103" i="42"/>
  <c r="AB103" i="42" s="1"/>
  <c r="T102" i="42"/>
  <c r="AA101" i="42"/>
  <c r="Z100" i="42"/>
  <c r="AB100" i="42" s="1"/>
  <c r="T99" i="42"/>
  <c r="Z97" i="42"/>
  <c r="AB97" i="42" s="1"/>
  <c r="Z96" i="42"/>
  <c r="AB96" i="42" s="1"/>
  <c r="T95" i="42"/>
  <c r="Z94" i="42"/>
  <c r="AB94" i="42" s="1"/>
  <c r="T93" i="42"/>
  <c r="AA92" i="42"/>
  <c r="T91" i="42"/>
  <c r="Z90" i="42"/>
  <c r="AB90" i="42" s="1"/>
  <c r="T89" i="42"/>
  <c r="Z88" i="42"/>
  <c r="AB88" i="42" s="1"/>
  <c r="T87" i="42"/>
  <c r="Z86" i="42"/>
  <c r="AB86" i="42" s="1"/>
  <c r="T85" i="42"/>
  <c r="AA82" i="42"/>
  <c r="Z81" i="42"/>
  <c r="AB81" i="42" s="1"/>
  <c r="Z80" i="42"/>
  <c r="AB80" i="42" s="1"/>
  <c r="AA78" i="42"/>
  <c r="Z77" i="42"/>
  <c r="AB77" i="42" s="1"/>
  <c r="T75" i="42"/>
  <c r="Z74" i="42"/>
  <c r="AB74" i="42" s="1"/>
  <c r="T69" i="42"/>
  <c r="AA68" i="42"/>
  <c r="AA66" i="42"/>
  <c r="AA64" i="42"/>
  <c r="AA62" i="42"/>
  <c r="AA59" i="42"/>
  <c r="Z58" i="42"/>
  <c r="AB58" i="42" s="1"/>
  <c r="T57" i="42"/>
  <c r="Z56" i="42"/>
  <c r="AB56" i="42" s="1"/>
  <c r="T55" i="42"/>
  <c r="AA52" i="42"/>
  <c r="AA50" i="42"/>
  <c r="T49" i="42"/>
  <c r="Z48" i="42"/>
  <c r="AB48" i="42" s="1"/>
  <c r="AA46" i="42"/>
  <c r="AA44" i="42"/>
  <c r="AA41" i="42"/>
  <c r="T39" i="42"/>
  <c r="Z203" i="42"/>
  <c r="AB203" i="42" s="1"/>
  <c r="AA196" i="42"/>
  <c r="AA190" i="42"/>
  <c r="T189" i="42"/>
  <c r="AA182" i="42"/>
  <c r="AA181" i="42"/>
  <c r="Z179" i="42"/>
  <c r="AB179" i="42" s="1"/>
  <c r="AA169" i="42"/>
  <c r="AA167" i="42"/>
  <c r="T166" i="42"/>
  <c r="AA161" i="42"/>
  <c r="AA159" i="42"/>
  <c r="AA153" i="42"/>
  <c r="AA151" i="42"/>
  <c r="Z149" i="42"/>
  <c r="AB149" i="42" s="1"/>
  <c r="AA148" i="42"/>
  <c r="AA144" i="42"/>
  <c r="T143" i="42"/>
  <c r="Z142" i="42"/>
  <c r="AB142" i="42" s="1"/>
  <c r="Z139" i="42"/>
  <c r="AB139" i="42" s="1"/>
  <c r="T138" i="42"/>
  <c r="AA135" i="42"/>
  <c r="AA133" i="42"/>
  <c r="AA130" i="42"/>
  <c r="Z129" i="42"/>
  <c r="AB129" i="42" s="1"/>
  <c r="T128" i="42"/>
  <c r="Z127" i="42"/>
  <c r="AB127" i="42" s="1"/>
  <c r="T126" i="42"/>
  <c r="Z124" i="42"/>
  <c r="AB124" i="42" s="1"/>
  <c r="T123" i="42"/>
  <c r="AA121" i="42"/>
  <c r="AA120" i="42"/>
  <c r="T119" i="42"/>
  <c r="Z118" i="42"/>
  <c r="AB118" i="42" s="1"/>
  <c r="Z113" i="42"/>
  <c r="AB113" i="42" s="1"/>
  <c r="AA111" i="42"/>
  <c r="AA109" i="42"/>
  <c r="Z108" i="42"/>
  <c r="AB108" i="42" s="1"/>
  <c r="AA106" i="42"/>
  <c r="AA104" i="42"/>
  <c r="AA102" i="42"/>
  <c r="Z101" i="42"/>
  <c r="AB101" i="42" s="1"/>
  <c r="AA99" i="42"/>
  <c r="AA95" i="42"/>
  <c r="AA93" i="42"/>
  <c r="Z92" i="42"/>
  <c r="AB92" i="42" s="1"/>
  <c r="AA89" i="42"/>
  <c r="AA87" i="42"/>
  <c r="AA85" i="42"/>
  <c r="AA84" i="42"/>
  <c r="T83" i="42"/>
  <c r="Z82" i="42"/>
  <c r="AB82" i="42" s="1"/>
  <c r="T79" i="42"/>
  <c r="Z78" i="42"/>
  <c r="AB78" i="42" s="1"/>
  <c r="AA76" i="42"/>
  <c r="AA75" i="42"/>
  <c r="AA70" i="42"/>
  <c r="AA69" i="42"/>
  <c r="Z68" i="42"/>
  <c r="AB68" i="42" s="1"/>
  <c r="T67" i="42"/>
  <c r="Z66" i="42"/>
  <c r="AB66" i="42" s="1"/>
  <c r="T65" i="42"/>
  <c r="Z64" i="42"/>
  <c r="AB64" i="42" s="1"/>
  <c r="T63" i="42"/>
  <c r="Z62" i="42"/>
  <c r="AB62" i="42" s="1"/>
  <c r="AA60" i="42"/>
  <c r="AA57" i="42"/>
  <c r="AA55" i="42"/>
  <c r="T53" i="42"/>
  <c r="Z52" i="42"/>
  <c r="AB52" i="42" s="1"/>
  <c r="T51" i="42"/>
  <c r="Z50" i="42"/>
  <c r="AB50" i="42" s="1"/>
  <c r="T47" i="42"/>
  <c r="Z46" i="42"/>
  <c r="AB46" i="42" s="1"/>
  <c r="T45" i="42"/>
  <c r="Z199" i="42"/>
  <c r="AB199" i="42" s="1"/>
  <c r="Z197" i="42"/>
  <c r="AB197" i="42" s="1"/>
  <c r="AA193" i="42"/>
  <c r="T192" i="42"/>
  <c r="Z183" i="42"/>
  <c r="AB183" i="42" s="1"/>
  <c r="AA178" i="42"/>
  <c r="AA177" i="42"/>
  <c r="AA171" i="42"/>
  <c r="AA170" i="42"/>
  <c r="Z167" i="42"/>
  <c r="AB167" i="42" s="1"/>
  <c r="T162" i="42"/>
  <c r="Z161" i="42"/>
  <c r="AB161" i="42" s="1"/>
  <c r="AA160" i="42"/>
  <c r="Z159" i="42"/>
  <c r="AB159" i="42" s="1"/>
  <c r="T154" i="42"/>
  <c r="AA152" i="42"/>
  <c r="T148" i="42"/>
  <c r="AA147" i="42"/>
  <c r="T145" i="42"/>
  <c r="Z144" i="42"/>
  <c r="AB144" i="42" s="1"/>
  <c r="Z141" i="42"/>
  <c r="AB141" i="42" s="1"/>
  <c r="T140" i="42"/>
  <c r="AA138" i="42"/>
  <c r="T136" i="42"/>
  <c r="Z135" i="42"/>
  <c r="AB135" i="42" s="1"/>
  <c r="T134" i="42"/>
  <c r="Z133" i="42"/>
  <c r="AB133" i="42" s="1"/>
  <c r="AA131" i="42"/>
  <c r="AA128" i="42"/>
  <c r="AA126" i="42"/>
  <c r="AA123" i="42"/>
  <c r="Z120" i="42"/>
  <c r="AB120" i="42" s="1"/>
  <c r="AA117" i="42"/>
  <c r="T116" i="42"/>
  <c r="AA114" i="42"/>
  <c r="AA112" i="42"/>
  <c r="Z111" i="42"/>
  <c r="AB111" i="42" s="1"/>
  <c r="T110" i="42"/>
  <c r="Z109" i="42"/>
  <c r="AB109" i="42" s="1"/>
  <c r="AA107" i="42"/>
  <c r="Z106" i="42"/>
  <c r="AB106" i="42" s="1"/>
  <c r="T105" i="42"/>
  <c r="Z104" i="42"/>
  <c r="AB104" i="42" s="1"/>
  <c r="T103" i="42"/>
  <c r="Z102" i="42"/>
  <c r="AB102" i="42" s="1"/>
  <c r="T100" i="42"/>
  <c r="Z99" i="42"/>
  <c r="AB99" i="42" s="1"/>
  <c r="T97" i="42"/>
  <c r="T96" i="42"/>
  <c r="Z95" i="42"/>
  <c r="AB95" i="42" s="1"/>
  <c r="T94" i="42"/>
  <c r="Z93" i="42"/>
  <c r="AB93" i="42" s="1"/>
  <c r="AA91" i="42"/>
  <c r="T90" i="42"/>
  <c r="Z89" i="42"/>
  <c r="AB89" i="42" s="1"/>
  <c r="T88" i="42"/>
  <c r="Z87" i="42"/>
  <c r="AB87" i="42" s="1"/>
  <c r="T86" i="42"/>
  <c r="Z85" i="42"/>
  <c r="AB85" i="42" s="1"/>
  <c r="AA83" i="42"/>
  <c r="T81" i="42"/>
  <c r="T80" i="42"/>
  <c r="AA79" i="42"/>
  <c r="T77" i="42"/>
  <c r="Z75" i="42"/>
  <c r="AB75" i="42" s="1"/>
  <c r="T74" i="42"/>
  <c r="AA73" i="42"/>
  <c r="AA72" i="42"/>
  <c r="AA71" i="42"/>
  <c r="Z69" i="42"/>
  <c r="AB69" i="42" s="1"/>
  <c r="AA67" i="42"/>
  <c r="AA65" i="42"/>
  <c r="AA63" i="42"/>
  <c r="AA61" i="42"/>
  <c r="T58" i="42"/>
  <c r="Z57" i="42"/>
  <c r="AB57" i="42" s="1"/>
  <c r="T56" i="42"/>
  <c r="Z55" i="42"/>
  <c r="AB55" i="42" s="1"/>
  <c r="AA53" i="42"/>
  <c r="AA51" i="42"/>
  <c r="AA49" i="42"/>
  <c r="T48" i="42"/>
  <c r="AA47" i="42"/>
  <c r="AA45" i="42"/>
  <c r="AA42" i="42"/>
  <c r="AA40" i="42"/>
  <c r="Z39" i="42"/>
  <c r="AB39" i="42" s="1"/>
  <c r="T38" i="42"/>
  <c r="Z36" i="42"/>
  <c r="AB36" i="42" s="1"/>
  <c r="Z41" i="42"/>
  <c r="AB41" i="42" s="1"/>
  <c r="T36" i="42"/>
  <c r="AA35" i="42"/>
  <c r="T32" i="42"/>
  <c r="AA31" i="42"/>
  <c r="AA29" i="42"/>
  <c r="AA27" i="42"/>
  <c r="AA25" i="42"/>
  <c r="AA23" i="42"/>
  <c r="AA21" i="42"/>
  <c r="Z20" i="42"/>
  <c r="AB20" i="42" s="1"/>
  <c r="AA18" i="42"/>
  <c r="AA16" i="42"/>
  <c r="T15" i="42"/>
  <c r="Z14" i="42"/>
  <c r="AB14" i="42" s="1"/>
  <c r="AA12" i="42"/>
  <c r="AA10" i="42"/>
  <c r="AA8" i="42"/>
  <c r="Z6" i="42"/>
  <c r="AB6" i="42" s="1"/>
  <c r="AA4" i="42"/>
  <c r="T2" i="42"/>
  <c r="AA5" i="42"/>
  <c r="Z4" i="42"/>
  <c r="AB4" i="42" s="1"/>
  <c r="AA9" i="42"/>
  <c r="AA3" i="42"/>
  <c r="Z2" i="42"/>
  <c r="AB2" i="42" s="1"/>
  <c r="Z28" i="42"/>
  <c r="AB28" i="42" s="1"/>
  <c r="T25" i="42"/>
  <c r="Z24" i="42"/>
  <c r="AB24" i="42" s="1"/>
  <c r="AA20" i="42"/>
  <c r="Z19" i="42"/>
  <c r="AB19" i="42" s="1"/>
  <c r="Z17" i="42"/>
  <c r="AB17" i="42" s="1"/>
  <c r="Z13" i="42"/>
  <c r="AB13" i="42" s="1"/>
  <c r="T10" i="42"/>
  <c r="Z9" i="42"/>
  <c r="AB9" i="42" s="1"/>
  <c r="AA7" i="42"/>
  <c r="T4" i="42"/>
  <c r="Z3" i="42"/>
  <c r="AB3" i="42" s="1"/>
  <c r="T42" i="42"/>
  <c r="T40" i="42"/>
  <c r="AA39" i="42"/>
  <c r="AA38" i="42"/>
  <c r="Z35" i="42"/>
  <c r="AB35" i="42" s="1"/>
  <c r="T33" i="42"/>
  <c r="AA32" i="42"/>
  <c r="Z31" i="42"/>
  <c r="AB31" i="42" s="1"/>
  <c r="T30" i="42"/>
  <c r="Z29" i="42"/>
  <c r="AB29" i="42" s="1"/>
  <c r="T28" i="42"/>
  <c r="Z27" i="42"/>
  <c r="AB27" i="42" s="1"/>
  <c r="T26" i="42"/>
  <c r="Z25" i="42"/>
  <c r="AB25" i="42" s="1"/>
  <c r="T24" i="42"/>
  <c r="Z23" i="42"/>
  <c r="AB23" i="42" s="1"/>
  <c r="T22" i="42"/>
  <c r="Z21" i="42"/>
  <c r="AB21" i="42" s="1"/>
  <c r="T19" i="42"/>
  <c r="Z18" i="42"/>
  <c r="AB18" i="42" s="1"/>
  <c r="T17" i="42"/>
  <c r="AA15" i="42"/>
  <c r="T13" i="42"/>
  <c r="Z12" i="42"/>
  <c r="AB12" i="42" s="1"/>
  <c r="T11" i="42"/>
  <c r="Z10" i="42"/>
  <c r="AB10" i="42" s="1"/>
  <c r="T9" i="42"/>
  <c r="Z8" i="42"/>
  <c r="AB8" i="42" s="1"/>
  <c r="T3" i="42"/>
  <c r="AA2" i="42"/>
  <c r="T35" i="42"/>
  <c r="Z33" i="42"/>
  <c r="AB33" i="42" s="1"/>
  <c r="T31" i="42"/>
  <c r="T29" i="42"/>
  <c r="T27" i="42"/>
  <c r="Z26" i="42"/>
  <c r="AB26" i="42" s="1"/>
  <c r="T23" i="42"/>
  <c r="T21" i="42"/>
  <c r="T18" i="42"/>
  <c r="AA14" i="42"/>
  <c r="T12" i="42"/>
  <c r="Z11" i="42"/>
  <c r="AB11" i="42" s="1"/>
  <c r="T8" i="42"/>
  <c r="AA6" i="42"/>
  <c r="Z38" i="42"/>
  <c r="AB38" i="42" s="1"/>
  <c r="AA37" i="42"/>
  <c r="AA36" i="42"/>
  <c r="AA34" i="42"/>
  <c r="AA33" i="42"/>
  <c r="Z32" i="42"/>
  <c r="AB32" i="42" s="1"/>
  <c r="AA30" i="42"/>
  <c r="AA28" i="42"/>
  <c r="AA26" i="42"/>
  <c r="AA24" i="42"/>
  <c r="AA22" i="42"/>
  <c r="T20" i="42"/>
  <c r="AA19" i="42"/>
  <c r="AA17" i="42"/>
  <c r="Z15" i="42"/>
  <c r="AB15" i="42" s="1"/>
  <c r="T14" i="42"/>
  <c r="AA13" i="42"/>
  <c r="AA11" i="42"/>
  <c r="T6" i="42"/>
  <c r="Z30" i="42"/>
  <c r="AB30" i="42" s="1"/>
  <c r="Z22" i="42"/>
  <c r="AB22" i="42" s="1"/>
  <c r="AS287" i="1"/>
  <c r="AS286" i="1"/>
  <c r="AP2" i="1"/>
  <c r="AQ194" i="42"/>
  <c r="AT221" i="42" s="1"/>
  <c r="AQ112" i="42"/>
  <c r="AT137" i="42" s="1"/>
  <c r="AQ60" i="42"/>
  <c r="AT92" i="42" s="1"/>
  <c r="AQ238" i="42"/>
  <c r="AQ179" i="42"/>
  <c r="AT224" i="42" s="1"/>
  <c r="AQ233" i="42"/>
  <c r="AT138" i="42" s="1"/>
  <c r="AQ115" i="42"/>
  <c r="AT163" i="42" s="1"/>
  <c r="AQ169" i="42"/>
  <c r="AT134" i="42" s="1"/>
  <c r="AQ206" i="42"/>
  <c r="AT152" i="42" s="1"/>
  <c r="AQ235" i="42"/>
  <c r="AT215" i="42" s="1"/>
  <c r="AQ49" i="42"/>
  <c r="AT94" i="42" s="1"/>
  <c r="Z168" i="42"/>
  <c r="AB168" i="42" s="1"/>
  <c r="T168" i="42"/>
  <c r="AF558" i="4"/>
  <c r="AS284" i="1"/>
  <c r="AS285" i="1"/>
  <c r="Z282" i="1"/>
  <c r="Y284" i="1"/>
  <c r="AA284" i="1" s="1"/>
  <c r="Y286" i="1"/>
  <c r="AA286" i="1" s="1"/>
  <c r="Y288" i="1"/>
  <c r="AA288" i="1" s="1"/>
  <c r="Y290" i="1"/>
  <c r="AA290" i="1" s="1"/>
  <c r="Z292" i="1"/>
  <c r="Z294" i="1"/>
  <c r="Z296" i="1"/>
  <c r="Z299" i="1"/>
  <c r="S285" i="1"/>
  <c r="S294" i="1"/>
  <c r="U294" i="1" s="1"/>
  <c r="S278" i="1"/>
  <c r="Y283" i="1"/>
  <c r="AA283" i="1" s="1"/>
  <c r="Z284" i="1"/>
  <c r="Z286" i="1"/>
  <c r="Z288" i="1"/>
  <c r="Z290" i="1"/>
  <c r="Y295" i="1"/>
  <c r="AA295" i="1" s="1"/>
  <c r="Y297" i="1"/>
  <c r="AA297" i="1" s="1"/>
  <c r="Z300" i="1"/>
  <c r="S286" i="1"/>
  <c r="S290" i="1"/>
  <c r="S295" i="1"/>
  <c r="U295" i="1" s="1"/>
  <c r="S282" i="1"/>
  <c r="Z283" i="1"/>
  <c r="Y285" i="1"/>
  <c r="AA285" i="1" s="1"/>
  <c r="Y287" i="1"/>
  <c r="AA287" i="1" s="1"/>
  <c r="Z291" i="1"/>
  <c r="Z293" i="1"/>
  <c r="Z295" i="1"/>
  <c r="Z297" i="1"/>
  <c r="Z301" i="1"/>
  <c r="S283" i="1"/>
  <c r="S287" i="1"/>
  <c r="S292" i="1"/>
  <c r="S296" i="1"/>
  <c r="U296" i="1" s="1"/>
  <c r="Z285" i="1"/>
  <c r="Z289" i="1"/>
  <c r="Y294" i="1"/>
  <c r="AA294" i="1" s="1"/>
  <c r="Z298" i="1"/>
  <c r="S284" i="1"/>
  <c r="Y282" i="1"/>
  <c r="AA282" i="1" s="1"/>
  <c r="Z287" i="1"/>
  <c r="Y292" i="1"/>
  <c r="AA292" i="1" s="1"/>
  <c r="Y296" i="1"/>
  <c r="AA296" i="1" s="1"/>
  <c r="Z303" i="1"/>
  <c r="S288" i="1"/>
  <c r="S297" i="1"/>
  <c r="U297" i="1" s="1"/>
  <c r="AS268" i="1"/>
  <c r="AS281" i="1"/>
  <c r="AS276" i="1"/>
  <c r="AS275" i="1"/>
  <c r="AS279" i="1"/>
  <c r="AS280" i="1"/>
  <c r="AS274" i="1"/>
  <c r="AK22" i="4"/>
  <c r="AS277" i="1"/>
  <c r="AS273" i="1"/>
  <c r="Y260" i="1"/>
  <c r="AA260" i="1" s="1"/>
  <c r="Z263" i="1"/>
  <c r="Z268" i="1"/>
  <c r="Y269" i="1"/>
  <c r="AA269" i="1" s="1"/>
  <c r="Z271" i="1"/>
  <c r="Y274" i="1"/>
  <c r="AA274" i="1" s="1"/>
  <c r="Z276" i="1"/>
  <c r="Z279" i="1"/>
  <c r="Z267" i="1"/>
  <c r="Y270" i="1"/>
  <c r="AA270" i="1" s="1"/>
  <c r="Z272" i="1"/>
  <c r="Z275" i="1"/>
  <c r="Y278" i="1"/>
  <c r="AA278" i="1" s="1"/>
  <c r="Z280" i="1"/>
  <c r="Z262" i="1"/>
  <c r="Z265" i="1"/>
  <c r="Z273" i="1"/>
  <c r="Y276" i="1"/>
  <c r="AA276" i="1" s="1"/>
  <c r="Z278" i="1"/>
  <c r="Z260" i="1"/>
  <c r="Y264" i="1"/>
  <c r="AA264" i="1" s="1"/>
  <c r="Z266" i="1"/>
  <c r="Z269" i="1"/>
  <c r="Z274" i="1"/>
  <c r="Z277" i="1"/>
  <c r="Y268" i="1"/>
  <c r="AA268" i="1" s="1"/>
  <c r="Z270" i="1"/>
  <c r="Y271" i="1"/>
  <c r="AA271" i="1" s="1"/>
  <c r="Z281" i="1"/>
  <c r="Z261" i="1"/>
  <c r="Z264" i="1"/>
  <c r="S168" i="1"/>
  <c r="U168" i="1" s="1"/>
  <c r="S8" i="1"/>
  <c r="U8" i="1" s="1"/>
  <c r="S12" i="1"/>
  <c r="U12" i="1" s="1"/>
  <c r="S17" i="1"/>
  <c r="U17" i="1" s="1"/>
  <c r="S21" i="1"/>
  <c r="U21" i="1" s="1"/>
  <c r="S25" i="1"/>
  <c r="U25" i="1" s="1"/>
  <c r="S29" i="1"/>
  <c r="U29" i="1" s="1"/>
  <c r="S33" i="1"/>
  <c r="U33" i="1" s="1"/>
  <c r="S39" i="1"/>
  <c r="U39" i="1" s="1"/>
  <c r="S45" i="1"/>
  <c r="U45" i="1" s="1"/>
  <c r="S50" i="1"/>
  <c r="U50" i="1" s="1"/>
  <c r="S55" i="1"/>
  <c r="U55" i="1" s="1"/>
  <c r="S62" i="1"/>
  <c r="U62" i="1" s="1"/>
  <c r="S66" i="1"/>
  <c r="U66" i="1" s="1"/>
  <c r="S74" i="1"/>
  <c r="U74" i="1" s="1"/>
  <c r="S80" i="1"/>
  <c r="U80" i="1" s="1"/>
  <c r="S85" i="1"/>
  <c r="U85" i="1" s="1"/>
  <c r="S89" i="1"/>
  <c r="U89" i="1" s="1"/>
  <c r="S93" i="1"/>
  <c r="U93" i="1" s="1"/>
  <c r="S97" i="1"/>
  <c r="U97" i="1" s="1"/>
  <c r="S102" i="1"/>
  <c r="U102" i="1" s="1"/>
  <c r="S106" i="1"/>
  <c r="U106" i="1" s="1"/>
  <c r="S111" i="1"/>
  <c r="U111" i="1" s="1"/>
  <c r="S123" i="1"/>
  <c r="U123" i="1" s="1"/>
  <c r="S128" i="1"/>
  <c r="U128" i="1" s="1"/>
  <c r="S135" i="1"/>
  <c r="U135" i="1" s="1"/>
  <c r="S140" i="1"/>
  <c r="U140" i="1" s="1"/>
  <c r="S144" i="1"/>
  <c r="U144" i="1" s="1"/>
  <c r="S159" i="1"/>
  <c r="U159" i="1" s="1"/>
  <c r="S166" i="1"/>
  <c r="U166" i="1" s="1"/>
  <c r="S174" i="1"/>
  <c r="U174" i="1" s="1"/>
  <c r="S184" i="1"/>
  <c r="U184" i="1" s="1"/>
  <c r="S190" i="1"/>
  <c r="U190" i="1" s="1"/>
  <c r="S197" i="1"/>
  <c r="U197" i="1" s="1"/>
  <c r="S201" i="1"/>
  <c r="U201" i="1" s="1"/>
  <c r="S203" i="1"/>
  <c r="U203" i="1" s="1"/>
  <c r="S239" i="1"/>
  <c r="U239" i="1" s="1"/>
  <c r="S243" i="1"/>
  <c r="U243" i="1" s="1"/>
  <c r="S252" i="1"/>
  <c r="U252" i="1" s="1"/>
  <c r="S257" i="1"/>
  <c r="U257" i="1" s="1"/>
  <c r="S264" i="1"/>
  <c r="S270" i="1"/>
  <c r="S11" i="1"/>
  <c r="U11" i="1" s="1"/>
  <c r="S58" i="1"/>
  <c r="U58" i="1" s="1"/>
  <c r="S79" i="1"/>
  <c r="U79" i="1" s="1"/>
  <c r="S92" i="1"/>
  <c r="U92" i="1" s="1"/>
  <c r="S101" i="1"/>
  <c r="U101" i="1" s="1"/>
  <c r="S120" i="1"/>
  <c r="U120" i="1" s="1"/>
  <c r="S134" i="1"/>
  <c r="U134" i="1" s="1"/>
  <c r="S154" i="1"/>
  <c r="U154" i="1" s="1"/>
  <c r="S183" i="1"/>
  <c r="U183" i="1" s="1"/>
  <c r="S200" i="1"/>
  <c r="U200" i="1" s="1"/>
  <c r="S235" i="1"/>
  <c r="U235" i="1" s="1"/>
  <c r="S256" i="1"/>
  <c r="U256" i="1" s="1"/>
  <c r="S274" i="1"/>
  <c r="S3" i="1"/>
  <c r="U3" i="1" s="1"/>
  <c r="S9" i="1"/>
  <c r="U9" i="1" s="1"/>
  <c r="S13" i="1"/>
  <c r="U13" i="1" s="1"/>
  <c r="S18" i="1"/>
  <c r="U18" i="1" s="1"/>
  <c r="S22" i="1"/>
  <c r="U22" i="1" s="1"/>
  <c r="S26" i="1"/>
  <c r="U26" i="1" s="1"/>
  <c r="S30" i="1"/>
  <c r="U30" i="1" s="1"/>
  <c r="S35" i="1"/>
  <c r="U35" i="1" s="1"/>
  <c r="S40" i="1"/>
  <c r="U40" i="1" s="1"/>
  <c r="S46" i="1"/>
  <c r="U46" i="1" s="1"/>
  <c r="S51" i="1"/>
  <c r="U51" i="1" s="1"/>
  <c r="S56" i="1"/>
  <c r="U56" i="1" s="1"/>
  <c r="S63" i="1"/>
  <c r="U63" i="1" s="1"/>
  <c r="S67" i="1"/>
  <c r="U67" i="1" s="1"/>
  <c r="S77" i="1"/>
  <c r="U77" i="1" s="1"/>
  <c r="S81" i="1"/>
  <c r="U81" i="1" s="1"/>
  <c r="S86" i="1"/>
  <c r="U86" i="1" s="1"/>
  <c r="S90" i="1"/>
  <c r="U90" i="1" s="1"/>
  <c r="S94" i="1"/>
  <c r="U94" i="1" s="1"/>
  <c r="S99" i="1"/>
  <c r="U99" i="1" s="1"/>
  <c r="S103" i="1"/>
  <c r="U103" i="1" s="1"/>
  <c r="S108" i="1"/>
  <c r="U108" i="1" s="1"/>
  <c r="S116" i="1"/>
  <c r="U116" i="1" s="1"/>
  <c r="S124" i="1"/>
  <c r="U124" i="1" s="1"/>
  <c r="S129" i="1"/>
  <c r="U129" i="1" s="1"/>
  <c r="S136" i="1"/>
  <c r="U136" i="1" s="1"/>
  <c r="S141" i="1"/>
  <c r="U141" i="1" s="1"/>
  <c r="S145" i="1"/>
  <c r="U145" i="1" s="1"/>
  <c r="S161" i="1"/>
  <c r="U161" i="1" s="1"/>
  <c r="S167" i="1"/>
  <c r="U167" i="1" s="1"/>
  <c r="S175" i="1"/>
  <c r="U175" i="1" s="1"/>
  <c r="S186" i="1"/>
  <c r="U186" i="1" s="1"/>
  <c r="S192" i="1"/>
  <c r="U192" i="1" s="1"/>
  <c r="S198" i="1"/>
  <c r="U198" i="1" s="1"/>
  <c r="S206" i="1"/>
  <c r="U206" i="1" s="1"/>
  <c r="S228" i="1"/>
  <c r="U228" i="1" s="1"/>
  <c r="S240" i="1"/>
  <c r="U240" i="1" s="1"/>
  <c r="S244" i="1"/>
  <c r="U244" i="1" s="1"/>
  <c r="S253" i="1"/>
  <c r="U253" i="1" s="1"/>
  <c r="S271" i="1"/>
  <c r="S276" i="1"/>
  <c r="S6" i="1"/>
  <c r="U6" i="1" s="1"/>
  <c r="S20" i="1"/>
  <c r="U20" i="1" s="1"/>
  <c r="S24" i="1"/>
  <c r="U24" i="1" s="1"/>
  <c r="S28" i="1"/>
  <c r="U28" i="1" s="1"/>
  <c r="S32" i="1"/>
  <c r="U32" i="1" s="1"/>
  <c r="S38" i="1"/>
  <c r="U38" i="1" s="1"/>
  <c r="S42" i="1"/>
  <c r="U42" i="1" s="1"/>
  <c r="S48" i="1"/>
  <c r="U48" i="1" s="1"/>
  <c r="S53" i="1"/>
  <c r="U53" i="1" s="1"/>
  <c r="S65" i="1"/>
  <c r="U65" i="1" s="1"/>
  <c r="S83" i="1"/>
  <c r="U83" i="1" s="1"/>
  <c r="S96" i="1"/>
  <c r="U96" i="1" s="1"/>
  <c r="S110" i="1"/>
  <c r="U110" i="1" s="1"/>
  <c r="S139" i="1"/>
  <c r="U139" i="1" s="1"/>
  <c r="S163" i="1"/>
  <c r="U163" i="1" s="1"/>
  <c r="S188" i="1"/>
  <c r="U188" i="1" s="1"/>
  <c r="S242" i="1"/>
  <c r="U242" i="1" s="1"/>
  <c r="S269" i="1"/>
  <c r="S4" i="1"/>
  <c r="U4" i="1" s="1"/>
  <c r="S10" i="1"/>
  <c r="U10" i="1" s="1"/>
  <c r="S14" i="1"/>
  <c r="U14" i="1" s="1"/>
  <c r="S19" i="1"/>
  <c r="U19" i="1" s="1"/>
  <c r="S23" i="1"/>
  <c r="U23" i="1" s="1"/>
  <c r="S27" i="1"/>
  <c r="U27" i="1" s="1"/>
  <c r="S31" i="1"/>
  <c r="U31" i="1" s="1"/>
  <c r="S36" i="1"/>
  <c r="U36" i="1" s="1"/>
  <c r="S41" i="1"/>
  <c r="U41" i="1" s="1"/>
  <c r="S47" i="1"/>
  <c r="U47" i="1" s="1"/>
  <c r="S52" i="1"/>
  <c r="U52" i="1" s="1"/>
  <c r="S57" i="1"/>
  <c r="U57" i="1" s="1"/>
  <c r="S64" i="1"/>
  <c r="U64" i="1" s="1"/>
  <c r="S68" i="1"/>
  <c r="U68" i="1" s="1"/>
  <c r="S78" i="1"/>
  <c r="U78" i="1" s="1"/>
  <c r="S82" i="1"/>
  <c r="U82" i="1" s="1"/>
  <c r="S87" i="1"/>
  <c r="U87" i="1" s="1"/>
  <c r="S91" i="1"/>
  <c r="U91" i="1" s="1"/>
  <c r="S95" i="1"/>
  <c r="U95" i="1" s="1"/>
  <c r="S100" i="1"/>
  <c r="U100" i="1" s="1"/>
  <c r="S104" i="1"/>
  <c r="U104" i="1" s="1"/>
  <c r="S109" i="1"/>
  <c r="U109" i="1" s="1"/>
  <c r="S118" i="1"/>
  <c r="U118" i="1" s="1"/>
  <c r="S126" i="1"/>
  <c r="U126" i="1" s="1"/>
  <c r="S133" i="1"/>
  <c r="U133" i="1" s="1"/>
  <c r="S138" i="1"/>
  <c r="U138" i="1" s="1"/>
  <c r="S142" i="1"/>
  <c r="U142" i="1" s="1"/>
  <c r="S149" i="1"/>
  <c r="U149" i="1" s="1"/>
  <c r="S162" i="1"/>
  <c r="U162" i="1" s="1"/>
  <c r="S171" i="1"/>
  <c r="U171" i="1" s="1"/>
  <c r="S177" i="1"/>
  <c r="U177" i="1" s="1"/>
  <c r="S187" i="1"/>
  <c r="U187" i="1" s="1"/>
  <c r="S193" i="1"/>
  <c r="U193" i="1" s="1"/>
  <c r="S199" i="1"/>
  <c r="U199" i="1" s="1"/>
  <c r="S213" i="1"/>
  <c r="U213" i="1" s="1"/>
  <c r="S232" i="1"/>
  <c r="U232" i="1" s="1"/>
  <c r="S245" i="1"/>
  <c r="U245" i="1" s="1"/>
  <c r="S255" i="1"/>
  <c r="U255" i="1" s="1"/>
  <c r="S268" i="1"/>
  <c r="S15" i="1"/>
  <c r="U15" i="1" s="1"/>
  <c r="S69" i="1"/>
  <c r="U69" i="1" s="1"/>
  <c r="S88" i="1"/>
  <c r="U88" i="1" s="1"/>
  <c r="S105" i="1"/>
  <c r="U105" i="1" s="1"/>
  <c r="S127" i="1"/>
  <c r="U127" i="1" s="1"/>
  <c r="S143" i="1"/>
  <c r="U143" i="1" s="1"/>
  <c r="S172" i="1"/>
  <c r="U172" i="1" s="1"/>
  <c r="S195" i="1"/>
  <c r="U195" i="1" s="1"/>
  <c r="S220" i="1"/>
  <c r="U220" i="1" s="1"/>
  <c r="S249" i="1"/>
  <c r="U249" i="1" s="1"/>
  <c r="S260" i="1"/>
  <c r="Y15" i="26" a="1"/>
  <c r="Y15" i="26" s="1"/>
  <c r="Y6" i="26" a="1"/>
  <c r="Y6" i="26" s="1"/>
  <c r="Y10" i="26" a="1"/>
  <c r="Y10" i="26" s="1"/>
  <c r="AP238" i="1"/>
  <c r="AP141" i="1"/>
  <c r="AP130" i="1"/>
  <c r="AS271" i="1" s="1"/>
  <c r="AR6" i="26" a="1"/>
  <c r="AR6" i="26" s="1"/>
  <c r="AP72" i="1"/>
  <c r="AP112" i="1"/>
  <c r="AP179" i="1"/>
  <c r="AP233" i="1"/>
  <c r="Y9" i="26" a="1"/>
  <c r="Y9" i="26" s="1"/>
  <c r="Y17" i="26" a="1"/>
  <c r="Y17" i="26" s="1"/>
  <c r="Y13" i="26" a="1"/>
  <c r="Y13" i="26" s="1"/>
  <c r="BA65" i="4"/>
  <c r="BC65" i="4" s="1"/>
  <c r="BA63" i="4"/>
  <c r="BC63" i="4" s="1"/>
  <c r="BA67" i="4"/>
  <c r="BC67" i="4" s="1"/>
  <c r="BA66" i="4"/>
  <c r="BC66" i="4" s="1"/>
  <c r="BA64" i="4"/>
  <c r="BC64" i="4" s="1"/>
  <c r="BA62" i="4"/>
  <c r="BC62" i="4" s="1"/>
  <c r="BA60" i="4"/>
  <c r="BC60" i="4" s="1"/>
  <c r="BA61" i="4"/>
  <c r="BC61" i="4" s="1"/>
  <c r="BA59" i="4"/>
  <c r="BC59" i="4" s="1"/>
  <c r="Y2" i="26" a="1"/>
  <c r="Y2" i="26" s="1"/>
  <c r="AP227" i="1"/>
  <c r="AK112" i="4"/>
  <c r="AK109" i="4"/>
  <c r="Y5" i="26" a="1"/>
  <c r="Y5" i="26" s="1"/>
  <c r="AP93" i="1"/>
  <c r="Y20" i="26" a="1"/>
  <c r="Y20" i="26" s="1"/>
  <c r="AP60" i="1"/>
  <c r="Y4" i="26" a="1"/>
  <c r="Y4" i="26" s="1"/>
  <c r="AP206" i="1"/>
  <c r="AP150" i="1"/>
  <c r="AS2" i="1" s="1"/>
  <c r="AP115" i="1"/>
  <c r="AP158" i="1"/>
  <c r="AP235" i="1"/>
  <c r="AP205" i="1"/>
  <c r="AS269" i="1" s="1"/>
  <c r="AP91" i="1"/>
  <c r="AP49" i="1"/>
  <c r="AO66" i="4"/>
  <c r="S2" i="1"/>
  <c r="M1115" i="11"/>
  <c r="N1115" i="11"/>
  <c r="M1116" i="11"/>
  <c r="N1116" i="11"/>
  <c r="M1118" i="11"/>
  <c r="N1118" i="11"/>
  <c r="M1117" i="11"/>
  <c r="N1117" i="11"/>
  <c r="N1120" i="11"/>
  <c r="M1120" i="11"/>
  <c r="M1121" i="11"/>
  <c r="N1121" i="11"/>
  <c r="M1119" i="11"/>
  <c r="N1119" i="11"/>
  <c r="Z12" i="1"/>
  <c r="Z77" i="1"/>
  <c r="Z154" i="1"/>
  <c r="Y63" i="1"/>
  <c r="AA63" i="1" s="1"/>
  <c r="Y104" i="1"/>
  <c r="AA104" i="1" s="1"/>
  <c r="Y50" i="1"/>
  <c r="AA50" i="1" s="1"/>
  <c r="Z193" i="1"/>
  <c r="Z69" i="1"/>
  <c r="Z90" i="1"/>
  <c r="Y22" i="1"/>
  <c r="AA22" i="1" s="1"/>
  <c r="Y126" i="1"/>
  <c r="AA126" i="1" s="1"/>
  <c r="Z257" i="1"/>
  <c r="Z256" i="1"/>
  <c r="Z255" i="1"/>
  <c r="Z253" i="1"/>
  <c r="Z254" i="1"/>
  <c r="Y253" i="1"/>
  <c r="AA253" i="1" s="1"/>
  <c r="Z259" i="1"/>
  <c r="Y257" i="1"/>
  <c r="AA257" i="1" s="1"/>
  <c r="Y256" i="1"/>
  <c r="AA256" i="1" s="1"/>
  <c r="Y255" i="1"/>
  <c r="AA255" i="1" s="1"/>
  <c r="Z258" i="1"/>
  <c r="Z202" i="1"/>
  <c r="Z182" i="1"/>
  <c r="Y102" i="1"/>
  <c r="AA102" i="1" s="1"/>
  <c r="Z63" i="1"/>
  <c r="Z136" i="1"/>
  <c r="Z64" i="1"/>
  <c r="Z120" i="1"/>
  <c r="Z54" i="1"/>
  <c r="Z152" i="1"/>
  <c r="Z248" i="1"/>
  <c r="Y38" i="1"/>
  <c r="AA38" i="1" s="1"/>
  <c r="Z61" i="1"/>
  <c r="Y135" i="1"/>
  <c r="AA135" i="1" s="1"/>
  <c r="Y128" i="1"/>
  <c r="AA128" i="1" s="1"/>
  <c r="Z155" i="1"/>
  <c r="Z96" i="1"/>
  <c r="Y57" i="1"/>
  <c r="AA57" i="1" s="1"/>
  <c r="Z119" i="1"/>
  <c r="Y134" i="1"/>
  <c r="AA134" i="1" s="1"/>
  <c r="Z13" i="1"/>
  <c r="Z135" i="1"/>
  <c r="Y92" i="1"/>
  <c r="AA92" i="1" s="1"/>
  <c r="Y144" i="1"/>
  <c r="AA144" i="1" s="1"/>
  <c r="Z66" i="1"/>
  <c r="Z20" i="1"/>
  <c r="Y97" i="1"/>
  <c r="AA97" i="1" s="1"/>
  <c r="Z133" i="1"/>
  <c r="Z235" i="1"/>
  <c r="Z245" i="1"/>
  <c r="Z231" i="1"/>
  <c r="Y243" i="1"/>
  <c r="AA243" i="1" s="1"/>
  <c r="Z242" i="1"/>
  <c r="Z238" i="1"/>
  <c r="Z250" i="1"/>
  <c r="Y109" i="1"/>
  <c r="AA109" i="1" s="1"/>
  <c r="Z166" i="1"/>
  <c r="Z147" i="1"/>
  <c r="Z16" i="1"/>
  <c r="Z11" i="1"/>
  <c r="Z227" i="1"/>
  <c r="Y177" i="1"/>
  <c r="AA177" i="1" s="1"/>
  <c r="Y2" i="1"/>
  <c r="AA2" i="1" s="1"/>
  <c r="Y184" i="1"/>
  <c r="AA184" i="1" s="1"/>
  <c r="Z38" i="1"/>
  <c r="Z73" i="1"/>
  <c r="Y94" i="1"/>
  <c r="AA94" i="1" s="1"/>
  <c r="Y81" i="1"/>
  <c r="AA81" i="1" s="1"/>
  <c r="Z156" i="1"/>
  <c r="Z223" i="1"/>
  <c r="Z208" i="1"/>
  <c r="Z150" i="1"/>
  <c r="Z105" i="1"/>
  <c r="Z131" i="1"/>
  <c r="Y19" i="1"/>
  <c r="AA19" i="1" s="1"/>
  <c r="Y8" i="1"/>
  <c r="AA8" i="1" s="1"/>
  <c r="Z88" i="1"/>
  <c r="Z14" i="1"/>
  <c r="Z59" i="1"/>
  <c r="Z52" i="1"/>
  <c r="Z214" i="1"/>
  <c r="Y45" i="1"/>
  <c r="AA45" i="1" s="1"/>
  <c r="Z68" i="1"/>
  <c r="Z115" i="1"/>
  <c r="Y78" i="1"/>
  <c r="AA78" i="1" s="1"/>
  <c r="Z160" i="1"/>
  <c r="Z162" i="1"/>
  <c r="Y6" i="1"/>
  <c r="AA6" i="1" s="1"/>
  <c r="Z191" i="1"/>
  <c r="Y15" i="1"/>
  <c r="AA15" i="1" s="1"/>
  <c r="Z83" i="1"/>
  <c r="Z49" i="1"/>
  <c r="Z172" i="1"/>
  <c r="Z225" i="1"/>
  <c r="Z9" i="1"/>
  <c r="Z25" i="1"/>
  <c r="Z89" i="1"/>
  <c r="Z159" i="1"/>
  <c r="Y120" i="1"/>
  <c r="AA120" i="1" s="1"/>
  <c r="Y105" i="1"/>
  <c r="AA105" i="1" s="1"/>
  <c r="Y206" i="1"/>
  <c r="AA206" i="1" s="1"/>
  <c r="Z185" i="1"/>
  <c r="Z117" i="1"/>
  <c r="Z103" i="1"/>
  <c r="Y108" i="1"/>
  <c r="AA108" i="1" s="1"/>
  <c r="Y249" i="1"/>
  <c r="AA249" i="1" s="1"/>
  <c r="Z237" i="1"/>
  <c r="Z247" i="1"/>
  <c r="Z234" i="1"/>
  <c r="Z246" i="1"/>
  <c r="Z244" i="1"/>
  <c r="Z241" i="1"/>
  <c r="Y235" i="1"/>
  <c r="AA235" i="1" s="1"/>
  <c r="Z187" i="1"/>
  <c r="Y91" i="1"/>
  <c r="AA91" i="1" s="1"/>
  <c r="Z123" i="1"/>
  <c r="Z2" i="1"/>
  <c r="Y183" i="1"/>
  <c r="AA183" i="1" s="1"/>
  <c r="Z87" i="1"/>
  <c r="Z177" i="1"/>
  <c r="Z222" i="1"/>
  <c r="Z100" i="1"/>
  <c r="Z57" i="1"/>
  <c r="Y106" i="1"/>
  <c r="AA106" i="1" s="1"/>
  <c r="Y213" i="1"/>
  <c r="AA213" i="1" s="1"/>
  <c r="Y127" i="1"/>
  <c r="AA127" i="1" s="1"/>
  <c r="Y192" i="1"/>
  <c r="AA192" i="1" s="1"/>
  <c r="Z181" i="1"/>
  <c r="Y198" i="1"/>
  <c r="AA198" i="1" s="1"/>
  <c r="Z86" i="1"/>
  <c r="Z80" i="1"/>
  <c r="Z114" i="1"/>
  <c r="Z108" i="1"/>
  <c r="Y25" i="1"/>
  <c r="AA25" i="1" s="1"/>
  <c r="Z171" i="1"/>
  <c r="Y99" i="1"/>
  <c r="AA99" i="1" s="1"/>
  <c r="Y87" i="1"/>
  <c r="AA87" i="1" s="1"/>
  <c r="Z34" i="1"/>
  <c r="Z45" i="1"/>
  <c r="Z151" i="1"/>
  <c r="Y167" i="1"/>
  <c r="AA167" i="1" s="1"/>
  <c r="Z21" i="1"/>
  <c r="Y85" i="1"/>
  <c r="AA85" i="1" s="1"/>
  <c r="Z139" i="1"/>
  <c r="Y159" i="1"/>
  <c r="AA159" i="1" s="1"/>
  <c r="Y195" i="1"/>
  <c r="AA195" i="1" s="1"/>
  <c r="Y41" i="1"/>
  <c r="AA41" i="1" s="1"/>
  <c r="Y13" i="1"/>
  <c r="AA13" i="1" s="1"/>
  <c r="Z218" i="1"/>
  <c r="Z110" i="1"/>
  <c r="Z129" i="1"/>
  <c r="Z104" i="1"/>
  <c r="Y101" i="1"/>
  <c r="AA101" i="1" s="1"/>
  <c r="Z82" i="1"/>
  <c r="Y154" i="1"/>
  <c r="AA154" i="1" s="1"/>
  <c r="Z111" i="1"/>
  <c r="Y30" i="1"/>
  <c r="AA30" i="1" s="1"/>
  <c r="Z207" i="1"/>
  <c r="Z75" i="1"/>
  <c r="Z74" i="1"/>
  <c r="Z216" i="1"/>
  <c r="Z233" i="1"/>
  <c r="Z249" i="1"/>
  <c r="Z232" i="1"/>
  <c r="Y244" i="1"/>
  <c r="AA244" i="1" s="1"/>
  <c r="Z137" i="1"/>
  <c r="Y64" i="1"/>
  <c r="AA64" i="1" s="1"/>
  <c r="Z92" i="1"/>
  <c r="Y51" i="1"/>
  <c r="AA51" i="1" s="1"/>
  <c r="Z44" i="1"/>
  <c r="Z132" i="1"/>
  <c r="Z42" i="1"/>
  <c r="Z18" i="1"/>
  <c r="Y124" i="1"/>
  <c r="AA124" i="1" s="1"/>
  <c r="Y149" i="1"/>
  <c r="AA149" i="1" s="1"/>
  <c r="Z176" i="1"/>
  <c r="Z113" i="1"/>
  <c r="Z196" i="1"/>
  <c r="Z22" i="1"/>
  <c r="Y53" i="1"/>
  <c r="AA53" i="1" s="1"/>
  <c r="Z153" i="1"/>
  <c r="Z174" i="1"/>
  <c r="Z158" i="1"/>
  <c r="Z7" i="1"/>
  <c r="Z221" i="1"/>
  <c r="Y4" i="1"/>
  <c r="AA4" i="1" s="1"/>
  <c r="Y174" i="1"/>
  <c r="AA174" i="1" s="1"/>
  <c r="Y129" i="1"/>
  <c r="AA129" i="1" s="1"/>
  <c r="Z165" i="1"/>
  <c r="Y199" i="1"/>
  <c r="AA199" i="1" s="1"/>
  <c r="Z224" i="1"/>
  <c r="Z144" i="1"/>
  <c r="Y10" i="1"/>
  <c r="AA10" i="1" s="1"/>
  <c r="Z71" i="1"/>
  <c r="Z213" i="1"/>
  <c r="Y69" i="1"/>
  <c r="AA69" i="1" s="1"/>
  <c r="Z142" i="1"/>
  <c r="Z53" i="1"/>
  <c r="Z41" i="1"/>
  <c r="Z107" i="1"/>
  <c r="Y35" i="1"/>
  <c r="AA35" i="1" s="1"/>
  <c r="Z112" i="1"/>
  <c r="Z145" i="1"/>
  <c r="Y103" i="1"/>
  <c r="AA103" i="1" s="1"/>
  <c r="Z109" i="1"/>
  <c r="Z197" i="1"/>
  <c r="Z148" i="1"/>
  <c r="Y86" i="1"/>
  <c r="AA86" i="1" s="1"/>
  <c r="Y190" i="1"/>
  <c r="AA190" i="1" s="1"/>
  <c r="Z206" i="1"/>
  <c r="Z199" i="1"/>
  <c r="Z91" i="1"/>
  <c r="Z15" i="1"/>
  <c r="Y89" i="1"/>
  <c r="AA89" i="1" s="1"/>
  <c r="Y58" i="1"/>
  <c r="AA58" i="1" s="1"/>
  <c r="Z125" i="1"/>
  <c r="Z141" i="1"/>
  <c r="Z32" i="1"/>
  <c r="Z67" i="1"/>
  <c r="Y66" i="1"/>
  <c r="AA66" i="1" s="1"/>
  <c r="Y186" i="1"/>
  <c r="AA186" i="1" s="1"/>
  <c r="Z10" i="1"/>
  <c r="Z239" i="1"/>
  <c r="Z251" i="1"/>
  <c r="Z229" i="1"/>
  <c r="Z209" i="1"/>
  <c r="Z201" i="1"/>
  <c r="Y175" i="1"/>
  <c r="AA175" i="1" s="1"/>
  <c r="Z121" i="1"/>
  <c r="Y27" i="1"/>
  <c r="AA27" i="1" s="1"/>
  <c r="Z78" i="1"/>
  <c r="Z211" i="1"/>
  <c r="Z194" i="1"/>
  <c r="Z33" i="1"/>
  <c r="Y29" i="1"/>
  <c r="AA29" i="1" s="1"/>
  <c r="Z198" i="1"/>
  <c r="Y161" i="1"/>
  <c r="AA161" i="1" s="1"/>
  <c r="Y116" i="1"/>
  <c r="AA116" i="1" s="1"/>
  <c r="Z130" i="1"/>
  <c r="Z62" i="1"/>
  <c r="Z178" i="1"/>
  <c r="Z192" i="1"/>
  <c r="Z24" i="1"/>
  <c r="Y68" i="1"/>
  <c r="AA68" i="1" s="1"/>
  <c r="Z163" i="1"/>
  <c r="Z195" i="1"/>
  <c r="Y141" i="1"/>
  <c r="AA141" i="1" s="1"/>
  <c r="Y166" i="1"/>
  <c r="AA166" i="1" s="1"/>
  <c r="Y203" i="1"/>
  <c r="AA203" i="1" s="1"/>
  <c r="Z46" i="1"/>
  <c r="Y65" i="1"/>
  <c r="AA65" i="1" s="1"/>
  <c r="Z188" i="1"/>
  <c r="Z5" i="1"/>
  <c r="Y96" i="1"/>
  <c r="AA96" i="1" s="1"/>
  <c r="Y26" i="1"/>
  <c r="AA26" i="1" s="1"/>
  <c r="Y28" i="1"/>
  <c r="AA28" i="1" s="1"/>
  <c r="Y52" i="1"/>
  <c r="AA52" i="1" s="1"/>
  <c r="Z116" i="1"/>
  <c r="Y56" i="1"/>
  <c r="AA56" i="1" s="1"/>
  <c r="Z184" i="1"/>
  <c r="Y201" i="1"/>
  <c r="AA201" i="1" s="1"/>
  <c r="Y39" i="1"/>
  <c r="AA39" i="1" s="1"/>
  <c r="Z168" i="1"/>
  <c r="Z190" i="1"/>
  <c r="Y48" i="1"/>
  <c r="AA48" i="1" s="1"/>
  <c r="Z3" i="1"/>
  <c r="Z138" i="1"/>
  <c r="Z43" i="1"/>
  <c r="Z4" i="1"/>
  <c r="Y55" i="1"/>
  <c r="AA55" i="1" s="1"/>
  <c r="Z55" i="1"/>
  <c r="Z97" i="1"/>
  <c r="Z220" i="1"/>
  <c r="Z102" i="1"/>
  <c r="Y138" i="1"/>
  <c r="AA138" i="1" s="1"/>
  <c r="Y82" i="1"/>
  <c r="AA82" i="1" s="1"/>
  <c r="Z205" i="1"/>
  <c r="Z183" i="1"/>
  <c r="Z126" i="1"/>
  <c r="Y20" i="1"/>
  <c r="AA20" i="1" s="1"/>
  <c r="Z179" i="1"/>
  <c r="Y47" i="1"/>
  <c r="AA47" i="1" s="1"/>
  <c r="Y188" i="1"/>
  <c r="AA188" i="1" s="1"/>
  <c r="Y18" i="1"/>
  <c r="AA18" i="1" s="1"/>
  <c r="Y88" i="1"/>
  <c r="AA88" i="1" s="1"/>
  <c r="Z140" i="1"/>
  <c r="Y110" i="1"/>
  <c r="AA110" i="1" s="1"/>
  <c r="Y163" i="1"/>
  <c r="AA163" i="1" s="1"/>
  <c r="Z101" i="1"/>
  <c r="Z48" i="1"/>
  <c r="Z215" i="1"/>
  <c r="Z98" i="1"/>
  <c r="Y171" i="1"/>
  <c r="AA171" i="1" s="1"/>
  <c r="Z228" i="1"/>
  <c r="Y36" i="1"/>
  <c r="AA36" i="1" s="1"/>
  <c r="Y21" i="1"/>
  <c r="AA21" i="1" s="1"/>
  <c r="Z106" i="1"/>
  <c r="Z252" i="1"/>
  <c r="Z240" i="1"/>
  <c r="Z175" i="1"/>
  <c r="Z28" i="1"/>
  <c r="Y100" i="1"/>
  <c r="AA100" i="1" s="1"/>
  <c r="Z143" i="1"/>
  <c r="Z51" i="1"/>
  <c r="Y9" i="1"/>
  <c r="AA9" i="1" s="1"/>
  <c r="Z180" i="1"/>
  <c r="Z167" i="1"/>
  <c r="Z203" i="1"/>
  <c r="Z149" i="1"/>
  <c r="Y23" i="1"/>
  <c r="AA23" i="1" s="1"/>
  <c r="Y31" i="1"/>
  <c r="AA31" i="1" s="1"/>
  <c r="Y80" i="1"/>
  <c r="AA80" i="1" s="1"/>
  <c r="Y142" i="1"/>
  <c r="AA142" i="1" s="1"/>
  <c r="Z84" i="1"/>
  <c r="Z27" i="1"/>
  <c r="Z36" i="1"/>
  <c r="Z204" i="1"/>
  <c r="Y143" i="1"/>
  <c r="AA143" i="1" s="1"/>
  <c r="Z161" i="1"/>
  <c r="Z72" i="1"/>
  <c r="Z81" i="1"/>
  <c r="Z122" i="1"/>
  <c r="Z173" i="1"/>
  <c r="Y95" i="1"/>
  <c r="AA95" i="1" s="1"/>
  <c r="Z219" i="1"/>
  <c r="Z35" i="1"/>
  <c r="Y46" i="1"/>
  <c r="AA46" i="1" s="1"/>
  <c r="Z70" i="1"/>
  <c r="Z6" i="1"/>
  <c r="Y90" i="1"/>
  <c r="AA90" i="1" s="1"/>
  <c r="Z226" i="1"/>
  <c r="Z17" i="1"/>
  <c r="Z60" i="1"/>
  <c r="Y93" i="1"/>
  <c r="AA93" i="1" s="1"/>
  <c r="Y193" i="1"/>
  <c r="AA193" i="1" s="1"/>
  <c r="Y140" i="1"/>
  <c r="AA140" i="1" s="1"/>
  <c r="Z164" i="1"/>
  <c r="Z26" i="1"/>
  <c r="Z157" i="1"/>
  <c r="Z23" i="1"/>
  <c r="Z124" i="1"/>
  <c r="Y74" i="1"/>
  <c r="AA74" i="1" s="1"/>
  <c r="Z146" i="1"/>
  <c r="Z169" i="1"/>
  <c r="Z186" i="1"/>
  <c r="Z50" i="1"/>
  <c r="Y42" i="1"/>
  <c r="AA42" i="1" s="1"/>
  <c r="Y228" i="1"/>
  <c r="AA228" i="1" s="1"/>
  <c r="Z94" i="1"/>
  <c r="Y24" i="1"/>
  <c r="AA24" i="1" s="1"/>
  <c r="Z170" i="1"/>
  <c r="Y77" i="1"/>
  <c r="AA77" i="1" s="1"/>
  <c r="Z19" i="1"/>
  <c r="Z243" i="1"/>
  <c r="Z230" i="1"/>
  <c r="Y17" i="1"/>
  <c r="AA17" i="1" s="1"/>
  <c r="Y139" i="1"/>
  <c r="AA139" i="1" s="1"/>
  <c r="Y133" i="1"/>
  <c r="AA133" i="1" s="1"/>
  <c r="Z31" i="1"/>
  <c r="Z30" i="1"/>
  <c r="Y3" i="1"/>
  <c r="AA3" i="1" s="1"/>
  <c r="Z134" i="1"/>
  <c r="AJ187" i="1"/>
  <c r="Y11" i="1"/>
  <c r="AA11" i="1" s="1"/>
  <c r="Z79" i="1"/>
  <c r="Z47" i="1"/>
  <c r="Y111" i="1"/>
  <c r="AA111" i="1" s="1"/>
  <c r="Y67" i="1"/>
  <c r="AA67" i="1" s="1"/>
  <c r="Z58" i="1"/>
  <c r="Z65" i="1"/>
  <c r="Z39" i="1"/>
  <c r="Z29" i="1"/>
  <c r="Z95" i="1"/>
  <c r="Z200" i="1"/>
  <c r="Y172" i="1"/>
  <c r="AA172" i="1" s="1"/>
  <c r="Z40" i="1"/>
  <c r="Z37" i="1"/>
  <c r="Y118" i="1"/>
  <c r="AA118" i="1" s="1"/>
  <c r="Z128" i="1"/>
  <c r="Y123" i="1"/>
  <c r="AA123" i="1" s="1"/>
  <c r="Y33" i="1"/>
  <c r="AA33" i="1" s="1"/>
  <c r="Z85" i="1"/>
  <c r="Z189" i="1"/>
  <c r="Y79" i="1"/>
  <c r="AA79" i="1" s="1"/>
  <c r="Y14" i="1"/>
  <c r="AA14" i="1" s="1"/>
  <c r="Y162" i="1"/>
  <c r="AA162" i="1" s="1"/>
  <c r="Z76" i="1"/>
  <c r="Z93" i="1"/>
  <c r="Z8" i="1"/>
  <c r="Z127" i="1"/>
  <c r="Y83" i="1"/>
  <c r="AA83" i="1" s="1"/>
  <c r="Y12" i="1"/>
  <c r="AA12" i="1" s="1"/>
  <c r="Y40" i="1"/>
  <c r="AA40" i="1" s="1"/>
  <c r="AL2" i="4"/>
  <c r="Y145" i="1"/>
  <c r="AA145" i="1" s="1"/>
  <c r="Y62" i="1"/>
  <c r="AA62" i="1" s="1"/>
  <c r="Z212" i="1"/>
  <c r="Z99" i="1"/>
  <c r="Z118" i="1"/>
  <c r="Z56" i="1"/>
  <c r="Y32" i="1"/>
  <c r="AA32" i="1" s="1"/>
  <c r="Z210" i="1"/>
  <c r="Z236" i="1"/>
  <c r="AK106" i="4"/>
  <c r="Y245" i="1"/>
  <c r="AA245" i="1" s="1"/>
  <c r="Z2" i="4"/>
  <c r="AA2" i="4" s="1"/>
  <c r="M1106" i="11"/>
  <c r="N1106" i="11"/>
  <c r="N1111" i="11"/>
  <c r="M1111" i="11"/>
  <c r="M1114" i="11"/>
  <c r="N1114" i="11"/>
  <c r="M1113" i="11"/>
  <c r="N1113" i="11"/>
  <c r="N1109" i="11"/>
  <c r="M1109" i="11"/>
  <c r="N1112" i="11"/>
  <c r="M1112" i="11"/>
  <c r="M1105" i="11"/>
  <c r="N1105" i="11"/>
  <c r="N1108" i="11"/>
  <c r="M1108" i="11"/>
  <c r="M1110" i="11"/>
  <c r="N1110" i="11"/>
  <c r="M1107" i="11"/>
  <c r="N1107" i="11"/>
  <c r="BA55" i="4"/>
  <c r="BA58" i="4"/>
  <c r="BC58" i="4" s="1"/>
  <c r="BA56" i="4"/>
  <c r="BC56" i="4" s="1"/>
  <c r="BA57" i="4"/>
  <c r="BC57" i="4" s="1"/>
  <c r="N1090" i="11"/>
  <c r="M1090" i="11"/>
  <c r="N1050" i="11"/>
  <c r="M1050" i="11"/>
  <c r="N1010" i="11"/>
  <c r="M1010" i="11"/>
  <c r="N970" i="11"/>
  <c r="M970" i="11"/>
  <c r="N922" i="11"/>
  <c r="M922" i="11"/>
  <c r="N890" i="11"/>
  <c r="M890" i="11"/>
  <c r="N846" i="11"/>
  <c r="M846" i="11"/>
  <c r="N810" i="11"/>
  <c r="M810" i="11"/>
  <c r="N766" i="11"/>
  <c r="M766" i="11"/>
  <c r="N723" i="11"/>
  <c r="M723" i="11"/>
  <c r="N573" i="11"/>
  <c r="M573" i="11"/>
  <c r="N1089" i="11"/>
  <c r="M1089" i="11"/>
  <c r="N1073" i="11"/>
  <c r="M1073" i="11"/>
  <c r="N1057" i="11"/>
  <c r="M1057" i="11"/>
  <c r="N1041" i="11"/>
  <c r="M1041" i="11"/>
  <c r="N1025" i="11"/>
  <c r="M1025" i="11"/>
  <c r="N1009" i="11"/>
  <c r="M1009" i="11"/>
  <c r="N993" i="11"/>
  <c r="M993" i="11"/>
  <c r="N977" i="11"/>
  <c r="M977" i="11"/>
  <c r="N961" i="11"/>
  <c r="M961" i="11"/>
  <c r="N945" i="11"/>
  <c r="M945" i="11"/>
  <c r="N929" i="11"/>
  <c r="M929" i="11"/>
  <c r="N913" i="11"/>
  <c r="M913" i="11"/>
  <c r="N897" i="11"/>
  <c r="M897" i="11"/>
  <c r="N881" i="11"/>
  <c r="M881" i="11"/>
  <c r="N865" i="11"/>
  <c r="M865" i="11"/>
  <c r="N849" i="11"/>
  <c r="M849" i="11"/>
  <c r="N833" i="11"/>
  <c r="M833" i="11"/>
  <c r="N817" i="11"/>
  <c r="M817" i="11"/>
  <c r="N801" i="11"/>
  <c r="M801" i="11"/>
  <c r="N785" i="11"/>
  <c r="M785" i="11"/>
  <c r="N769" i="11"/>
  <c r="M769" i="11"/>
  <c r="N753" i="11"/>
  <c r="M753" i="11"/>
  <c r="N736" i="11"/>
  <c r="M736" i="11"/>
  <c r="N705" i="11"/>
  <c r="M705" i="11"/>
  <c r="N649" i="11"/>
  <c r="M649" i="11"/>
  <c r="N585" i="11"/>
  <c r="M585" i="11"/>
  <c r="N1070" i="11"/>
  <c r="M1070" i="11"/>
  <c r="N1014" i="11"/>
  <c r="M1014" i="11"/>
  <c r="N974" i="11"/>
  <c r="M974" i="11"/>
  <c r="N926" i="11"/>
  <c r="M926" i="11"/>
  <c r="N878" i="11"/>
  <c r="M878" i="11"/>
  <c r="N826" i="11"/>
  <c r="M826" i="11"/>
  <c r="N782" i="11"/>
  <c r="M782" i="11"/>
  <c r="M731" i="11"/>
  <c r="N731" i="11"/>
  <c r="N605" i="11"/>
  <c r="M605" i="11"/>
  <c r="N1096" i="11"/>
  <c r="M1096" i="11"/>
  <c r="N1080" i="11"/>
  <c r="M1080" i="11"/>
  <c r="N1064" i="11"/>
  <c r="M1064" i="11"/>
  <c r="N1048" i="11"/>
  <c r="M1048" i="11"/>
  <c r="N1032" i="11"/>
  <c r="M1032" i="11"/>
  <c r="N1016" i="11"/>
  <c r="M1016" i="11"/>
  <c r="N1000" i="11"/>
  <c r="M1000" i="11"/>
  <c r="N984" i="11"/>
  <c r="M984" i="11"/>
  <c r="N968" i="11"/>
  <c r="M968" i="11"/>
  <c r="N952" i="11"/>
  <c r="M952" i="11"/>
  <c r="N936" i="11"/>
  <c r="M936" i="11"/>
  <c r="N920" i="11"/>
  <c r="M920" i="11"/>
  <c r="N904" i="11"/>
  <c r="M904" i="11"/>
  <c r="N888" i="11"/>
  <c r="M888" i="11"/>
  <c r="N872" i="11"/>
  <c r="M872" i="11"/>
  <c r="N856" i="11"/>
  <c r="M856" i="11"/>
  <c r="N840" i="11"/>
  <c r="M840" i="11"/>
  <c r="N824" i="11"/>
  <c r="M824" i="11"/>
  <c r="N808" i="11"/>
  <c r="M808" i="11"/>
  <c r="N792" i="11"/>
  <c r="M792" i="11"/>
  <c r="N776" i="11"/>
  <c r="M776" i="11"/>
  <c r="N760" i="11"/>
  <c r="M760" i="11"/>
  <c r="N744" i="11"/>
  <c r="M744" i="11"/>
  <c r="M719" i="11"/>
  <c r="N719" i="11"/>
  <c r="N677" i="11"/>
  <c r="M677" i="11"/>
  <c r="N613" i="11"/>
  <c r="M613" i="11"/>
  <c r="N1086" i="11"/>
  <c r="M1086" i="11"/>
  <c r="N1034" i="11"/>
  <c r="M1034" i="11"/>
  <c r="N966" i="11"/>
  <c r="M966" i="11"/>
  <c r="N910" i="11"/>
  <c r="M910" i="11"/>
  <c r="N858" i="11"/>
  <c r="M858" i="11"/>
  <c r="N794" i="11"/>
  <c r="M794" i="11"/>
  <c r="N715" i="11"/>
  <c r="M715" i="11"/>
  <c r="N1091" i="11"/>
  <c r="M1091" i="11"/>
  <c r="N1075" i="11"/>
  <c r="M1075" i="11"/>
  <c r="N1059" i="11"/>
  <c r="M1059" i="11"/>
  <c r="N1043" i="11"/>
  <c r="M1043" i="11"/>
  <c r="N1027" i="11"/>
  <c r="M1027" i="11"/>
  <c r="M1011" i="11"/>
  <c r="N1011" i="11"/>
  <c r="M995" i="11"/>
  <c r="N995" i="11"/>
  <c r="M979" i="11"/>
  <c r="N979" i="11"/>
  <c r="M963" i="11"/>
  <c r="N963" i="11"/>
  <c r="M947" i="11"/>
  <c r="N947" i="11"/>
  <c r="M931" i="11"/>
  <c r="N931" i="11"/>
  <c r="M915" i="11"/>
  <c r="N915" i="11"/>
  <c r="M899" i="11"/>
  <c r="N899" i="11"/>
  <c r="N883" i="11"/>
  <c r="M883" i="11"/>
  <c r="N867" i="11"/>
  <c r="M867" i="11"/>
  <c r="N851" i="11"/>
  <c r="M851" i="11"/>
  <c r="N835" i="11"/>
  <c r="M835" i="11"/>
  <c r="N819" i="11"/>
  <c r="M819" i="11"/>
  <c r="N803" i="11"/>
  <c r="M803" i="11"/>
  <c r="N787" i="11"/>
  <c r="M787" i="11"/>
  <c r="N771" i="11"/>
  <c r="M771" i="11"/>
  <c r="N755" i="11"/>
  <c r="M755" i="11"/>
  <c r="N739" i="11"/>
  <c r="M739" i="11"/>
  <c r="N709" i="11"/>
  <c r="M709" i="11"/>
  <c r="N657" i="11"/>
  <c r="M657" i="11"/>
  <c r="N593" i="11"/>
  <c r="M593" i="11"/>
  <c r="N724" i="11"/>
  <c r="M724" i="11"/>
  <c r="N708" i="11"/>
  <c r="M708" i="11"/>
  <c r="N692" i="11"/>
  <c r="M692" i="11"/>
  <c r="N676" i="11"/>
  <c r="M676" i="11"/>
  <c r="N660" i="11"/>
  <c r="M660" i="11"/>
  <c r="N644" i="11"/>
  <c r="M644" i="11"/>
  <c r="N628" i="11"/>
  <c r="M628" i="11"/>
  <c r="N612" i="11"/>
  <c r="M612" i="11"/>
  <c r="N596" i="11"/>
  <c r="M596" i="11"/>
  <c r="N580" i="11"/>
  <c r="M580" i="11"/>
  <c r="N564" i="11"/>
  <c r="M564" i="11"/>
  <c r="N683" i="11"/>
  <c r="M683" i="11"/>
  <c r="N667" i="11"/>
  <c r="M667" i="11"/>
  <c r="N651" i="11"/>
  <c r="M651" i="11"/>
  <c r="N635" i="11"/>
  <c r="M635" i="11"/>
  <c r="N619" i="11"/>
  <c r="M619" i="11"/>
  <c r="N603" i="11"/>
  <c r="M603" i="11"/>
  <c r="N587" i="11"/>
  <c r="M587" i="11"/>
  <c r="N571" i="11"/>
  <c r="M571" i="11"/>
  <c r="N555" i="11"/>
  <c r="M555" i="11"/>
  <c r="N734" i="11"/>
  <c r="M734" i="11"/>
  <c r="N718" i="11"/>
  <c r="M718" i="11"/>
  <c r="N702" i="11"/>
  <c r="M702" i="11"/>
  <c r="N686" i="11"/>
  <c r="M686" i="11"/>
  <c r="N670" i="11"/>
  <c r="M670" i="11"/>
  <c r="N654" i="11"/>
  <c r="M654" i="11"/>
  <c r="N638" i="11"/>
  <c r="M638" i="11"/>
  <c r="N622" i="11"/>
  <c r="M622" i="11"/>
  <c r="N606" i="11"/>
  <c r="M606" i="11"/>
  <c r="N590" i="11"/>
  <c r="M590" i="11"/>
  <c r="N574" i="11"/>
  <c r="M574" i="11"/>
  <c r="N558" i="11"/>
  <c r="M558" i="11"/>
  <c r="N1078" i="11"/>
  <c r="M1078" i="11"/>
  <c r="N1038" i="11"/>
  <c r="M1038" i="11"/>
  <c r="N998" i="11"/>
  <c r="M998" i="11"/>
  <c r="N954" i="11"/>
  <c r="M954" i="11"/>
  <c r="N918" i="11"/>
  <c r="M918" i="11"/>
  <c r="N874" i="11"/>
  <c r="M874" i="11"/>
  <c r="N838" i="11"/>
  <c r="M838" i="11"/>
  <c r="N798" i="11"/>
  <c r="M798" i="11"/>
  <c r="N754" i="11"/>
  <c r="M754" i="11"/>
  <c r="N699" i="11"/>
  <c r="M699" i="11"/>
  <c r="N1101" i="11"/>
  <c r="M1101" i="11"/>
  <c r="N1085" i="11"/>
  <c r="M1085" i="11"/>
  <c r="N1069" i="11"/>
  <c r="M1069" i="11"/>
  <c r="N1053" i="11"/>
  <c r="M1053" i="11"/>
  <c r="N1037" i="11"/>
  <c r="M1037" i="11"/>
  <c r="N1021" i="11"/>
  <c r="M1021" i="11"/>
  <c r="N1005" i="11"/>
  <c r="M1005" i="11"/>
  <c r="N989" i="11"/>
  <c r="M989" i="11"/>
  <c r="N973" i="11"/>
  <c r="M973" i="11"/>
  <c r="N957" i="11"/>
  <c r="M957" i="11"/>
  <c r="N941" i="11"/>
  <c r="M941" i="11"/>
  <c r="N925" i="11"/>
  <c r="M925" i="11"/>
  <c r="N909" i="11"/>
  <c r="M909" i="11"/>
  <c r="N893" i="11"/>
  <c r="M893" i="11"/>
  <c r="N877" i="11"/>
  <c r="M877" i="11"/>
  <c r="N861" i="11"/>
  <c r="M861" i="11"/>
  <c r="N845" i="11"/>
  <c r="M845" i="11"/>
  <c r="N829" i="11"/>
  <c r="M829" i="11"/>
  <c r="N813" i="11"/>
  <c r="M813" i="11"/>
  <c r="N797" i="11"/>
  <c r="M797" i="11"/>
  <c r="N781" i="11"/>
  <c r="M781" i="11"/>
  <c r="N765" i="11"/>
  <c r="M765" i="11"/>
  <c r="N749" i="11"/>
  <c r="M749" i="11"/>
  <c r="N729" i="11"/>
  <c r="M729" i="11"/>
  <c r="N697" i="11"/>
  <c r="M697" i="11"/>
  <c r="N633" i="11"/>
  <c r="M633" i="11"/>
  <c r="N569" i="11"/>
  <c r="M569" i="11"/>
  <c r="N1098" i="11"/>
  <c r="M1098" i="11"/>
  <c r="N1058" i="11"/>
  <c r="M1058" i="11"/>
  <c r="N1002" i="11"/>
  <c r="M1002" i="11"/>
  <c r="N962" i="11"/>
  <c r="M962" i="11"/>
  <c r="N914" i="11"/>
  <c r="M914" i="11"/>
  <c r="N866" i="11"/>
  <c r="M866" i="11"/>
  <c r="N814" i="11"/>
  <c r="M814" i="11"/>
  <c r="N770" i="11"/>
  <c r="M770" i="11"/>
  <c r="M707" i="11"/>
  <c r="N707" i="11"/>
  <c r="N557" i="11"/>
  <c r="M557" i="11"/>
  <c r="N1092" i="11"/>
  <c r="M1092" i="11"/>
  <c r="N1076" i="11"/>
  <c r="M1076" i="11"/>
  <c r="N1060" i="11"/>
  <c r="M1060" i="11"/>
  <c r="N1044" i="11"/>
  <c r="M1044" i="11"/>
  <c r="N1028" i="11"/>
  <c r="M1028" i="11"/>
  <c r="M1012" i="11"/>
  <c r="N1012" i="11"/>
  <c r="M996" i="11"/>
  <c r="N996" i="11"/>
  <c r="M980" i="11"/>
  <c r="N980" i="11"/>
  <c r="M964" i="11"/>
  <c r="N964" i="11"/>
  <c r="M948" i="11"/>
  <c r="N948" i="11"/>
  <c r="M932" i="11"/>
  <c r="N932" i="11"/>
  <c r="M916" i="11"/>
  <c r="N916" i="11"/>
  <c r="M900" i="11"/>
  <c r="N900" i="11"/>
  <c r="N884" i="11"/>
  <c r="M884" i="11"/>
  <c r="M868" i="11"/>
  <c r="N868" i="11"/>
  <c r="N852" i="11"/>
  <c r="M852" i="11"/>
  <c r="N836" i="11"/>
  <c r="M836" i="11"/>
  <c r="N820" i="11"/>
  <c r="M820" i="11"/>
  <c r="N804" i="11"/>
  <c r="M804" i="11"/>
  <c r="N788" i="11"/>
  <c r="M788" i="11"/>
  <c r="N772" i="11"/>
  <c r="M772" i="11"/>
  <c r="N756" i="11"/>
  <c r="M756" i="11"/>
  <c r="N740" i="11"/>
  <c r="M740" i="11"/>
  <c r="N711" i="11"/>
  <c r="M711" i="11"/>
  <c r="N661" i="11"/>
  <c r="M661" i="11"/>
  <c r="N597" i="11"/>
  <c r="M597" i="11"/>
  <c r="N1074" i="11"/>
  <c r="M1074" i="11"/>
  <c r="N1018" i="11"/>
  <c r="M1018" i="11"/>
  <c r="N958" i="11"/>
  <c r="M958" i="11"/>
  <c r="N898" i="11"/>
  <c r="M898" i="11"/>
  <c r="N834" i="11"/>
  <c r="M834" i="11"/>
  <c r="N774" i="11"/>
  <c r="M774" i="11"/>
  <c r="N669" i="11"/>
  <c r="M669" i="11"/>
  <c r="N1103" i="11"/>
  <c r="M1103" i="11"/>
  <c r="M1087" i="11"/>
  <c r="N1087" i="11"/>
  <c r="M1071" i="11"/>
  <c r="N1071" i="11"/>
  <c r="N1055" i="11"/>
  <c r="M1055" i="11"/>
  <c r="N1039" i="11"/>
  <c r="M1039" i="11"/>
  <c r="N1023" i="11"/>
  <c r="M1023" i="11"/>
  <c r="N1007" i="11"/>
  <c r="M1007" i="11"/>
  <c r="N991" i="11"/>
  <c r="M991" i="11"/>
  <c r="N975" i="11"/>
  <c r="M975" i="11"/>
  <c r="N959" i="11"/>
  <c r="M959" i="11"/>
  <c r="N943" i="11"/>
  <c r="M943" i="11"/>
  <c r="N927" i="11"/>
  <c r="M927" i="11"/>
  <c r="N911" i="11"/>
  <c r="M911" i="11"/>
  <c r="N895" i="11"/>
  <c r="M895" i="11"/>
  <c r="M879" i="11"/>
  <c r="N879" i="11"/>
  <c r="N863" i="11"/>
  <c r="M863" i="11"/>
  <c r="M847" i="11"/>
  <c r="N847" i="11"/>
  <c r="N831" i="11"/>
  <c r="M831" i="11"/>
  <c r="M815" i="11"/>
  <c r="N815" i="11"/>
  <c r="N799" i="11"/>
  <c r="M799" i="11"/>
  <c r="M783" i="11"/>
  <c r="N783" i="11"/>
  <c r="N767" i="11"/>
  <c r="M767" i="11"/>
  <c r="M751" i="11"/>
  <c r="N751" i="11"/>
  <c r="N733" i="11"/>
  <c r="M733" i="11"/>
  <c r="N701" i="11"/>
  <c r="M701" i="11"/>
  <c r="N641" i="11"/>
  <c r="M641" i="11"/>
  <c r="N577" i="11"/>
  <c r="M577" i="11"/>
  <c r="N720" i="11"/>
  <c r="M720" i="11"/>
  <c r="N704" i="11"/>
  <c r="M704" i="11"/>
  <c r="N688" i="11"/>
  <c r="M688" i="11"/>
  <c r="N672" i="11"/>
  <c r="M672" i="11"/>
  <c r="N656" i="11"/>
  <c r="M656" i="11"/>
  <c r="N640" i="11"/>
  <c r="M640" i="11"/>
  <c r="N624" i="11"/>
  <c r="M624" i="11"/>
  <c r="N608" i="11"/>
  <c r="M608" i="11"/>
  <c r="M592" i="11"/>
  <c r="N592" i="11"/>
  <c r="N576" i="11"/>
  <c r="M576" i="11"/>
  <c r="N560" i="11"/>
  <c r="M560" i="11"/>
  <c r="N695" i="11"/>
  <c r="M695" i="11"/>
  <c r="N679" i="11"/>
  <c r="M679" i="11"/>
  <c r="N663" i="11"/>
  <c r="M663" i="11"/>
  <c r="N647" i="11"/>
  <c r="M647" i="11"/>
  <c r="N631" i="11"/>
  <c r="M631" i="11"/>
  <c r="N615" i="11"/>
  <c r="M615" i="11"/>
  <c r="N599" i="11"/>
  <c r="M599" i="11"/>
  <c r="N583" i="11"/>
  <c r="M583" i="11"/>
  <c r="N567" i="11"/>
  <c r="M567" i="11"/>
  <c r="N730" i="11"/>
  <c r="M730" i="11"/>
  <c r="N714" i="11"/>
  <c r="M714" i="11"/>
  <c r="N698" i="11"/>
  <c r="M698" i="11"/>
  <c r="N682" i="11"/>
  <c r="M682" i="11"/>
  <c r="N666" i="11"/>
  <c r="M666" i="11"/>
  <c r="N650" i="11"/>
  <c r="M650" i="11"/>
  <c r="N634" i="11"/>
  <c r="M634" i="11"/>
  <c r="N618" i="11"/>
  <c r="M618" i="11"/>
  <c r="N602" i="11"/>
  <c r="M602" i="11"/>
  <c r="N586" i="11"/>
  <c r="M586" i="11"/>
  <c r="N570" i="11"/>
  <c r="M570" i="11"/>
  <c r="N1066" i="11"/>
  <c r="M1066" i="11"/>
  <c r="N1030" i="11"/>
  <c r="M1030" i="11"/>
  <c r="N986" i="11"/>
  <c r="M986" i="11"/>
  <c r="N946" i="11"/>
  <c r="M946" i="11"/>
  <c r="N906" i="11"/>
  <c r="M906" i="11"/>
  <c r="N862" i="11"/>
  <c r="M862" i="11"/>
  <c r="N830" i="11"/>
  <c r="M830" i="11"/>
  <c r="N786" i="11"/>
  <c r="M786" i="11"/>
  <c r="N750" i="11"/>
  <c r="M750" i="11"/>
  <c r="N653" i="11"/>
  <c r="M653" i="11"/>
  <c r="N1097" i="11"/>
  <c r="M1097" i="11"/>
  <c r="N1081" i="11"/>
  <c r="M1081" i="11"/>
  <c r="N1065" i="11"/>
  <c r="M1065" i="11"/>
  <c r="N1049" i="11"/>
  <c r="M1049" i="11"/>
  <c r="N1033" i="11"/>
  <c r="M1033" i="11"/>
  <c r="N1017" i="11"/>
  <c r="M1017" i="11"/>
  <c r="N1001" i="11"/>
  <c r="M1001" i="11"/>
  <c r="N985" i="11"/>
  <c r="M985" i="11"/>
  <c r="N969" i="11"/>
  <c r="M969" i="11"/>
  <c r="N953" i="11"/>
  <c r="M953" i="11"/>
  <c r="N937" i="11"/>
  <c r="M937" i="11"/>
  <c r="N921" i="11"/>
  <c r="M921" i="11"/>
  <c r="N905" i="11"/>
  <c r="M905" i="11"/>
  <c r="N889" i="11"/>
  <c r="M889" i="11"/>
  <c r="N873" i="11"/>
  <c r="M873" i="11"/>
  <c r="N857" i="11"/>
  <c r="M857" i="11"/>
  <c r="N841" i="11"/>
  <c r="M841" i="11"/>
  <c r="N825" i="11"/>
  <c r="M825" i="11"/>
  <c r="N809" i="11"/>
  <c r="M809" i="11"/>
  <c r="N793" i="11"/>
  <c r="M793" i="11"/>
  <c r="N777" i="11"/>
  <c r="M777" i="11"/>
  <c r="N761" i="11"/>
  <c r="M761" i="11"/>
  <c r="N745" i="11"/>
  <c r="M745" i="11"/>
  <c r="N721" i="11"/>
  <c r="M721" i="11"/>
  <c r="N681" i="11"/>
  <c r="M681" i="11"/>
  <c r="N617" i="11"/>
  <c r="M617" i="11"/>
  <c r="N1094" i="11"/>
  <c r="M1094" i="11"/>
  <c r="N1046" i="11"/>
  <c r="M1046" i="11"/>
  <c r="N994" i="11"/>
  <c r="M994" i="11"/>
  <c r="N950" i="11"/>
  <c r="M950" i="11"/>
  <c r="N902" i="11"/>
  <c r="M902" i="11"/>
  <c r="N850" i="11"/>
  <c r="M850" i="11"/>
  <c r="N802" i="11"/>
  <c r="M802" i="11"/>
  <c r="N758" i="11"/>
  <c r="M758" i="11"/>
  <c r="N685" i="11"/>
  <c r="M685" i="11"/>
  <c r="N1104" i="11"/>
  <c r="M1104" i="11"/>
  <c r="N1088" i="11"/>
  <c r="M1088" i="11"/>
  <c r="N1072" i="11"/>
  <c r="M1072" i="11"/>
  <c r="N1056" i="11"/>
  <c r="M1056" i="11"/>
  <c r="N1040" i="11"/>
  <c r="M1040" i="11"/>
  <c r="N1024" i="11"/>
  <c r="M1024" i="11"/>
  <c r="N1008" i="11"/>
  <c r="M1008" i="11"/>
  <c r="N992" i="11"/>
  <c r="M992" i="11"/>
  <c r="N976" i="11"/>
  <c r="M976" i="11"/>
  <c r="N960" i="11"/>
  <c r="M960" i="11"/>
  <c r="N944" i="11"/>
  <c r="M944" i="11"/>
  <c r="N928" i="11"/>
  <c r="M928" i="11"/>
  <c r="N912" i="11"/>
  <c r="M912" i="11"/>
  <c r="N896" i="11"/>
  <c r="M896" i="11"/>
  <c r="N880" i="11"/>
  <c r="M880" i="11"/>
  <c r="N864" i="11"/>
  <c r="M864" i="11"/>
  <c r="M848" i="11"/>
  <c r="N848" i="11"/>
  <c r="N832" i="11"/>
  <c r="M832" i="11"/>
  <c r="N816" i="11"/>
  <c r="M816" i="11"/>
  <c r="N800" i="11"/>
  <c r="M800" i="11"/>
  <c r="N784" i="11"/>
  <c r="M784" i="11"/>
  <c r="N768" i="11"/>
  <c r="M768" i="11"/>
  <c r="M752" i="11"/>
  <c r="N752" i="11"/>
  <c r="N735" i="11"/>
  <c r="M735" i="11"/>
  <c r="N703" i="11"/>
  <c r="M703" i="11"/>
  <c r="N645" i="11"/>
  <c r="M645" i="11"/>
  <c r="N581" i="11"/>
  <c r="M581" i="11"/>
  <c r="N1054" i="11"/>
  <c r="M1054" i="11"/>
  <c r="N1006" i="11"/>
  <c r="M1006" i="11"/>
  <c r="N942" i="11"/>
  <c r="M942" i="11"/>
  <c r="N882" i="11"/>
  <c r="M882" i="11"/>
  <c r="N822" i="11"/>
  <c r="M822" i="11"/>
  <c r="N762" i="11"/>
  <c r="M762" i="11"/>
  <c r="N589" i="11"/>
  <c r="M589" i="11"/>
  <c r="N1099" i="11"/>
  <c r="M1099" i="11"/>
  <c r="N1083" i="11"/>
  <c r="M1083" i="11"/>
  <c r="N1067" i="11"/>
  <c r="M1067" i="11"/>
  <c r="M1051" i="11"/>
  <c r="N1051" i="11"/>
  <c r="M1035" i="11"/>
  <c r="N1035" i="11"/>
  <c r="M1019" i="11"/>
  <c r="N1019" i="11"/>
  <c r="M1003" i="11"/>
  <c r="N1003" i="11"/>
  <c r="M987" i="11"/>
  <c r="N987" i="11"/>
  <c r="M971" i="11"/>
  <c r="N971" i="11"/>
  <c r="M955" i="11"/>
  <c r="N955" i="11"/>
  <c r="M939" i="11"/>
  <c r="N939" i="11"/>
  <c r="M923" i="11"/>
  <c r="N923" i="11"/>
  <c r="M907" i="11"/>
  <c r="N907" i="11"/>
  <c r="M891" i="11"/>
  <c r="N891" i="11"/>
  <c r="N875" i="11"/>
  <c r="M875" i="11"/>
  <c r="M859" i="11"/>
  <c r="N859" i="11"/>
  <c r="N843" i="11"/>
  <c r="M843" i="11"/>
  <c r="M827" i="11"/>
  <c r="N827" i="11"/>
  <c r="N811" i="11"/>
  <c r="M811" i="11"/>
  <c r="M795" i="11"/>
  <c r="N795" i="11"/>
  <c r="N779" i="11"/>
  <c r="M779" i="11"/>
  <c r="M763" i="11"/>
  <c r="N763" i="11"/>
  <c r="N747" i="11"/>
  <c r="M747" i="11"/>
  <c r="N725" i="11"/>
  <c r="M725" i="11"/>
  <c r="N689" i="11"/>
  <c r="M689" i="11"/>
  <c r="N625" i="11"/>
  <c r="M625" i="11"/>
  <c r="N561" i="11"/>
  <c r="M561" i="11"/>
  <c r="N732" i="11"/>
  <c r="M732" i="11"/>
  <c r="N716" i="11"/>
  <c r="M716" i="11"/>
  <c r="N700" i="11"/>
  <c r="M700" i="11"/>
  <c r="N684" i="11"/>
  <c r="M684" i="11"/>
  <c r="N668" i="11"/>
  <c r="M668" i="11"/>
  <c r="N652" i="11"/>
  <c r="M652" i="11"/>
  <c r="N636" i="11"/>
  <c r="M636" i="11"/>
  <c r="N620" i="11"/>
  <c r="M620" i="11"/>
  <c r="N604" i="11"/>
  <c r="M604" i="11"/>
  <c r="N588" i="11"/>
  <c r="M588" i="11"/>
  <c r="N572" i="11"/>
  <c r="M572" i="11"/>
  <c r="N556" i="11"/>
  <c r="M556" i="11"/>
  <c r="N691" i="11"/>
  <c r="M691" i="11"/>
  <c r="N675" i="11"/>
  <c r="M675" i="11"/>
  <c r="N659" i="11"/>
  <c r="M659" i="11"/>
  <c r="N643" i="11"/>
  <c r="M643" i="11"/>
  <c r="N627" i="11"/>
  <c r="M627" i="11"/>
  <c r="N611" i="11"/>
  <c r="M611" i="11"/>
  <c r="N595" i="11"/>
  <c r="M595" i="11"/>
  <c r="N579" i="11"/>
  <c r="M579" i="11"/>
  <c r="N563" i="11"/>
  <c r="M563" i="11"/>
  <c r="N726" i="11"/>
  <c r="M726" i="11"/>
  <c r="N710" i="11"/>
  <c r="M710" i="11"/>
  <c r="N694" i="11"/>
  <c r="M694" i="11"/>
  <c r="N678" i="11"/>
  <c r="M678" i="11"/>
  <c r="N662" i="11"/>
  <c r="M662" i="11"/>
  <c r="N646" i="11"/>
  <c r="M646" i="11"/>
  <c r="N630" i="11"/>
  <c r="M630" i="11"/>
  <c r="N614" i="11"/>
  <c r="M614" i="11"/>
  <c r="N598" i="11"/>
  <c r="M598" i="11"/>
  <c r="N582" i="11"/>
  <c r="M582" i="11"/>
  <c r="N566" i="11"/>
  <c r="M566" i="11"/>
  <c r="N1062" i="11"/>
  <c r="M1062" i="11"/>
  <c r="N1022" i="11"/>
  <c r="M1022" i="11"/>
  <c r="N978" i="11"/>
  <c r="M978" i="11"/>
  <c r="N934" i="11"/>
  <c r="M934" i="11"/>
  <c r="N894" i="11"/>
  <c r="M894" i="11"/>
  <c r="N854" i="11"/>
  <c r="M854" i="11"/>
  <c r="N818" i="11"/>
  <c r="M818" i="11"/>
  <c r="N778" i="11"/>
  <c r="M778" i="11"/>
  <c r="N737" i="11"/>
  <c r="M737" i="11"/>
  <c r="N621" i="11"/>
  <c r="M621" i="11"/>
  <c r="N1093" i="11"/>
  <c r="M1093" i="11"/>
  <c r="N1077" i="11"/>
  <c r="M1077" i="11"/>
  <c r="N1061" i="11"/>
  <c r="M1061" i="11"/>
  <c r="N1045" i="11"/>
  <c r="M1045" i="11"/>
  <c r="N1029" i="11"/>
  <c r="M1029" i="11"/>
  <c r="N1013" i="11"/>
  <c r="M1013" i="11"/>
  <c r="N997" i="11"/>
  <c r="M997" i="11"/>
  <c r="N981" i="11"/>
  <c r="M981" i="11"/>
  <c r="N965" i="11"/>
  <c r="M965" i="11"/>
  <c r="N949" i="11"/>
  <c r="M949" i="11"/>
  <c r="N933" i="11"/>
  <c r="M933" i="11"/>
  <c r="N917" i="11"/>
  <c r="M917" i="11"/>
  <c r="N901" i="11"/>
  <c r="M901" i="11"/>
  <c r="N885" i="11"/>
  <c r="M885" i="11"/>
  <c r="M869" i="11"/>
  <c r="N869" i="11"/>
  <c r="N853" i="11"/>
  <c r="M853" i="11"/>
  <c r="N837" i="11"/>
  <c r="M837" i="11"/>
  <c r="N821" i="11"/>
  <c r="M821" i="11"/>
  <c r="N805" i="11"/>
  <c r="M805" i="11"/>
  <c r="N789" i="11"/>
  <c r="M789" i="11"/>
  <c r="N773" i="11"/>
  <c r="M773" i="11"/>
  <c r="N757" i="11"/>
  <c r="M757" i="11"/>
  <c r="M741" i="11"/>
  <c r="N741" i="11"/>
  <c r="N713" i="11"/>
  <c r="M713" i="11"/>
  <c r="N665" i="11"/>
  <c r="M665" i="11"/>
  <c r="N601" i="11"/>
  <c r="M601" i="11"/>
  <c r="N1082" i="11"/>
  <c r="M1082" i="11"/>
  <c r="N1026" i="11"/>
  <c r="M1026" i="11"/>
  <c r="N982" i="11"/>
  <c r="M982" i="11"/>
  <c r="N938" i="11"/>
  <c r="M938" i="11"/>
  <c r="N886" i="11"/>
  <c r="M886" i="11"/>
  <c r="N842" i="11"/>
  <c r="M842" i="11"/>
  <c r="N790" i="11"/>
  <c r="M790" i="11"/>
  <c r="N746" i="11"/>
  <c r="M746" i="11"/>
  <c r="N637" i="11"/>
  <c r="M637" i="11"/>
  <c r="N1100" i="11"/>
  <c r="M1100" i="11"/>
  <c r="N1084" i="11"/>
  <c r="M1084" i="11"/>
  <c r="N1068" i="11"/>
  <c r="M1068" i="11"/>
  <c r="M1052" i="11"/>
  <c r="N1052" i="11"/>
  <c r="M1036" i="11"/>
  <c r="N1036" i="11"/>
  <c r="M1020" i="11"/>
  <c r="N1020" i="11"/>
  <c r="M1004" i="11"/>
  <c r="N1004" i="11"/>
  <c r="M988" i="11"/>
  <c r="N988" i="11"/>
  <c r="M972" i="11"/>
  <c r="N972" i="11"/>
  <c r="M956" i="11"/>
  <c r="N956" i="11"/>
  <c r="M940" i="11"/>
  <c r="N940" i="11"/>
  <c r="M924" i="11"/>
  <c r="N924" i="11"/>
  <c r="M908" i="11"/>
  <c r="N908" i="11"/>
  <c r="N892" i="11"/>
  <c r="M892" i="11"/>
  <c r="N876" i="11"/>
  <c r="M876" i="11"/>
  <c r="N860" i="11"/>
  <c r="M860" i="11"/>
  <c r="N844" i="11"/>
  <c r="M844" i="11"/>
  <c r="N828" i="11"/>
  <c r="M828" i="11"/>
  <c r="N812" i="11"/>
  <c r="M812" i="11"/>
  <c r="N796" i="11"/>
  <c r="M796" i="11"/>
  <c r="N780" i="11"/>
  <c r="M780" i="11"/>
  <c r="N764" i="11"/>
  <c r="M764" i="11"/>
  <c r="N748" i="11"/>
  <c r="M748" i="11"/>
  <c r="N727" i="11"/>
  <c r="M727" i="11"/>
  <c r="N693" i="11"/>
  <c r="M693" i="11"/>
  <c r="N629" i="11"/>
  <c r="M629" i="11"/>
  <c r="N565" i="11"/>
  <c r="M565" i="11"/>
  <c r="N1102" i="11"/>
  <c r="M1102" i="11"/>
  <c r="N1042" i="11"/>
  <c r="M1042" i="11"/>
  <c r="N990" i="11"/>
  <c r="M990" i="11"/>
  <c r="N930" i="11"/>
  <c r="M930" i="11"/>
  <c r="N870" i="11"/>
  <c r="M870" i="11"/>
  <c r="N806" i="11"/>
  <c r="M806" i="11"/>
  <c r="N742" i="11"/>
  <c r="M742" i="11"/>
  <c r="M1095" i="11"/>
  <c r="N1095" i="11"/>
  <c r="M1079" i="11"/>
  <c r="N1079" i="11"/>
  <c r="M1063" i="11"/>
  <c r="N1063" i="11"/>
  <c r="N1047" i="11"/>
  <c r="M1047" i="11"/>
  <c r="N1031" i="11"/>
  <c r="M1031" i="11"/>
  <c r="N1015" i="11"/>
  <c r="M1015" i="11"/>
  <c r="N999" i="11"/>
  <c r="M999" i="11"/>
  <c r="N983" i="11"/>
  <c r="M983" i="11"/>
  <c r="N967" i="11"/>
  <c r="M967" i="11"/>
  <c r="N951" i="11"/>
  <c r="M951" i="11"/>
  <c r="N935" i="11"/>
  <c r="M935" i="11"/>
  <c r="N919" i="11"/>
  <c r="M919" i="11"/>
  <c r="N903" i="11"/>
  <c r="M903" i="11"/>
  <c r="N887" i="11"/>
  <c r="M887" i="11"/>
  <c r="N871" i="11"/>
  <c r="M871" i="11"/>
  <c r="N855" i="11"/>
  <c r="M855" i="11"/>
  <c r="N839" i="11"/>
  <c r="M839" i="11"/>
  <c r="N823" i="11"/>
  <c r="M823" i="11"/>
  <c r="N807" i="11"/>
  <c r="M807" i="11"/>
  <c r="N791" i="11"/>
  <c r="M791" i="11"/>
  <c r="N775" i="11"/>
  <c r="M775" i="11"/>
  <c r="N759" i="11"/>
  <c r="M759" i="11"/>
  <c r="N743" i="11"/>
  <c r="M743" i="11"/>
  <c r="N717" i="11"/>
  <c r="M717" i="11"/>
  <c r="N673" i="11"/>
  <c r="M673" i="11"/>
  <c r="N609" i="11"/>
  <c r="M609" i="11"/>
  <c r="N728" i="11"/>
  <c r="M728" i="11"/>
  <c r="N712" i="11"/>
  <c r="M712" i="11"/>
  <c r="N696" i="11"/>
  <c r="M696" i="11"/>
  <c r="N680" i="11"/>
  <c r="M680" i="11"/>
  <c r="N664" i="11"/>
  <c r="M664" i="11"/>
  <c r="N648" i="11"/>
  <c r="M648" i="11"/>
  <c r="N632" i="11"/>
  <c r="M632" i="11"/>
  <c r="N616" i="11"/>
  <c r="M616" i="11"/>
  <c r="N600" i="11"/>
  <c r="M600" i="11"/>
  <c r="N584" i="11"/>
  <c r="M584" i="11"/>
  <c r="N568" i="11"/>
  <c r="M568" i="11"/>
  <c r="N687" i="11"/>
  <c r="M687" i="11"/>
  <c r="N671" i="11"/>
  <c r="M671" i="11"/>
  <c r="N655" i="11"/>
  <c r="M655" i="11"/>
  <c r="N639" i="11"/>
  <c r="M639" i="11"/>
  <c r="N623" i="11"/>
  <c r="M623" i="11"/>
  <c r="N607" i="11"/>
  <c r="M607" i="11"/>
  <c r="N591" i="11"/>
  <c r="M591" i="11"/>
  <c r="N575" i="11"/>
  <c r="M575" i="11"/>
  <c r="N559" i="11"/>
  <c r="M559" i="11"/>
  <c r="N738" i="11"/>
  <c r="M738" i="11"/>
  <c r="N722" i="11"/>
  <c r="M722" i="11"/>
  <c r="N706" i="11"/>
  <c r="M706" i="11"/>
  <c r="N690" i="11"/>
  <c r="M690" i="11"/>
  <c r="N674" i="11"/>
  <c r="M674" i="11"/>
  <c r="N658" i="11"/>
  <c r="M658" i="11"/>
  <c r="N642" i="11"/>
  <c r="M642" i="11"/>
  <c r="N626" i="11"/>
  <c r="M626" i="11"/>
  <c r="N610" i="11"/>
  <c r="M610" i="11"/>
  <c r="N594" i="11"/>
  <c r="M594" i="11"/>
  <c r="N578" i="11"/>
  <c r="M578" i="11"/>
  <c r="N562" i="11"/>
  <c r="M562" i="11"/>
  <c r="AK32" i="4"/>
  <c r="BA54" i="4"/>
  <c r="BA53" i="4"/>
  <c r="AE136" i="4"/>
  <c r="N49" i="11"/>
  <c r="M49" i="11"/>
  <c r="M234" i="11"/>
  <c r="N234" i="11"/>
  <c r="N382" i="11"/>
  <c r="M382" i="11"/>
  <c r="M65" i="11"/>
  <c r="N65" i="11"/>
  <c r="N77" i="11"/>
  <c r="M77" i="11"/>
  <c r="N354" i="11"/>
  <c r="M354" i="11"/>
  <c r="N346" i="11"/>
  <c r="M346" i="11"/>
  <c r="N94" i="11"/>
  <c r="M94" i="11"/>
  <c r="N222" i="11"/>
  <c r="M222" i="11"/>
  <c r="M39" i="11"/>
  <c r="N39" i="11"/>
  <c r="M167" i="11"/>
  <c r="N167" i="11"/>
  <c r="N301" i="11"/>
  <c r="M301" i="11"/>
  <c r="N60" i="11"/>
  <c r="M60" i="11"/>
  <c r="M387" i="11"/>
  <c r="N387" i="11"/>
  <c r="M272" i="11"/>
  <c r="N272" i="11"/>
  <c r="M149" i="11"/>
  <c r="N149" i="11"/>
  <c r="N154" i="11"/>
  <c r="M154" i="11"/>
  <c r="M227" i="11"/>
  <c r="N227" i="11"/>
  <c r="N48" i="11"/>
  <c r="M48" i="11"/>
  <c r="M375" i="11"/>
  <c r="N375" i="11"/>
  <c r="N493" i="11"/>
  <c r="M493" i="11"/>
  <c r="N345" i="11"/>
  <c r="M345" i="11"/>
  <c r="N306" i="11"/>
  <c r="M306" i="11"/>
  <c r="N273" i="11"/>
  <c r="M273" i="11"/>
  <c r="M29" i="11"/>
  <c r="N29" i="11"/>
  <c r="M297" i="11"/>
  <c r="N297" i="11"/>
  <c r="M41" i="11"/>
  <c r="N41" i="11"/>
  <c r="M289" i="11"/>
  <c r="N289" i="11"/>
  <c r="M18" i="11"/>
  <c r="N18" i="11"/>
  <c r="M82" i="11"/>
  <c r="N82" i="11"/>
  <c r="M146" i="11"/>
  <c r="N146" i="11"/>
  <c r="M210" i="11"/>
  <c r="N210" i="11"/>
  <c r="M27" i="11"/>
  <c r="N27" i="11"/>
  <c r="M91" i="11"/>
  <c r="N91" i="11"/>
  <c r="N155" i="11"/>
  <c r="M155" i="11"/>
  <c r="N219" i="11"/>
  <c r="M219" i="11"/>
  <c r="M278" i="11"/>
  <c r="N278" i="11"/>
  <c r="M398" i="11"/>
  <c r="N398" i="11"/>
  <c r="M32" i="11"/>
  <c r="N32" i="11"/>
  <c r="M160" i="11"/>
  <c r="N160" i="11"/>
  <c r="N359" i="11"/>
  <c r="M359" i="11"/>
  <c r="M487" i="11"/>
  <c r="N487" i="11"/>
  <c r="N554" i="11"/>
  <c r="M554" i="11"/>
  <c r="N201" i="11"/>
  <c r="M201" i="11"/>
  <c r="N122" i="11"/>
  <c r="M122" i="11"/>
  <c r="M3" i="11"/>
  <c r="N3" i="11"/>
  <c r="N179" i="11"/>
  <c r="M179" i="11"/>
  <c r="N414" i="11"/>
  <c r="M414" i="11"/>
  <c r="M247" i="11"/>
  <c r="N247" i="11"/>
  <c r="M244" i="11"/>
  <c r="N244" i="11"/>
  <c r="N242" i="11"/>
  <c r="M242" i="11"/>
  <c r="N281" i="11"/>
  <c r="M281" i="11"/>
  <c r="M33" i="11"/>
  <c r="N33" i="11"/>
  <c r="M298" i="11"/>
  <c r="N298" i="11"/>
  <c r="N45" i="11"/>
  <c r="M45" i="11"/>
  <c r="N322" i="11"/>
  <c r="M322" i="11"/>
  <c r="M57" i="11"/>
  <c r="N57" i="11"/>
  <c r="M314" i="11"/>
  <c r="N314" i="11"/>
  <c r="M22" i="11"/>
  <c r="N22" i="11"/>
  <c r="M86" i="11"/>
  <c r="N86" i="11"/>
  <c r="M150" i="11"/>
  <c r="N150" i="11"/>
  <c r="M214" i="11"/>
  <c r="N214" i="11"/>
  <c r="N31" i="11"/>
  <c r="M31" i="11"/>
  <c r="N95" i="11"/>
  <c r="M95" i="11"/>
  <c r="N159" i="11"/>
  <c r="M159" i="11"/>
  <c r="N223" i="11"/>
  <c r="M223" i="11"/>
  <c r="M285" i="11"/>
  <c r="N285" i="11"/>
  <c r="M413" i="11"/>
  <c r="N413" i="11"/>
  <c r="M44" i="11"/>
  <c r="N44" i="11"/>
  <c r="M172" i="11"/>
  <c r="N172" i="11"/>
  <c r="N243" i="11"/>
  <c r="M243" i="11"/>
  <c r="N371" i="11"/>
  <c r="M371" i="11"/>
  <c r="M499" i="11"/>
  <c r="N499" i="11"/>
  <c r="N312" i="11"/>
  <c r="M312" i="11"/>
  <c r="M440" i="11"/>
  <c r="N440" i="11"/>
  <c r="N293" i="11"/>
  <c r="M293" i="11"/>
  <c r="N357" i="11"/>
  <c r="M357" i="11"/>
  <c r="N421" i="11"/>
  <c r="M421" i="11"/>
  <c r="N52" i="11"/>
  <c r="M52" i="11"/>
  <c r="N116" i="11"/>
  <c r="M116" i="11"/>
  <c r="N180" i="11"/>
  <c r="M180" i="11"/>
  <c r="N478" i="11"/>
  <c r="M478" i="11"/>
  <c r="M251" i="11"/>
  <c r="N251" i="11"/>
  <c r="M315" i="11"/>
  <c r="N315" i="11"/>
  <c r="M379" i="11"/>
  <c r="N379" i="11"/>
  <c r="N443" i="11"/>
  <c r="M443" i="11"/>
  <c r="N507" i="11"/>
  <c r="M507" i="11"/>
  <c r="N256" i="11"/>
  <c r="M256" i="11"/>
  <c r="N384" i="11"/>
  <c r="M384" i="11"/>
  <c r="M536" i="11"/>
  <c r="N536" i="11"/>
  <c r="N525" i="11"/>
  <c r="M525" i="11"/>
  <c r="M342" i="11"/>
  <c r="N342" i="11"/>
  <c r="M406" i="11"/>
  <c r="N406" i="11"/>
  <c r="M40" i="11"/>
  <c r="N40" i="11"/>
  <c r="M104" i="11"/>
  <c r="N104" i="11"/>
  <c r="M168" i="11"/>
  <c r="N168" i="11"/>
  <c r="M232" i="11"/>
  <c r="N232" i="11"/>
  <c r="N239" i="11"/>
  <c r="M239" i="11"/>
  <c r="N303" i="11"/>
  <c r="M303" i="11"/>
  <c r="N367" i="11"/>
  <c r="M367" i="11"/>
  <c r="N431" i="11"/>
  <c r="M431" i="11"/>
  <c r="M495" i="11"/>
  <c r="N495" i="11"/>
  <c r="M240" i="11"/>
  <c r="N240" i="11"/>
  <c r="M360" i="11"/>
  <c r="N360" i="11"/>
  <c r="N488" i="11"/>
  <c r="M488" i="11"/>
  <c r="M477" i="11"/>
  <c r="N477" i="11"/>
  <c r="N284" i="11"/>
  <c r="M284" i="11"/>
  <c r="N348" i="11"/>
  <c r="M348" i="11"/>
  <c r="N412" i="11"/>
  <c r="M412" i="11"/>
  <c r="M476" i="11"/>
  <c r="N476" i="11"/>
  <c r="M540" i="11"/>
  <c r="N540" i="11"/>
  <c r="N465" i="11"/>
  <c r="M465" i="11"/>
  <c r="N529" i="11"/>
  <c r="M529" i="11"/>
  <c r="N496" i="11"/>
  <c r="M496" i="11"/>
  <c r="M485" i="11"/>
  <c r="N485" i="11"/>
  <c r="M549" i="11"/>
  <c r="N549" i="11"/>
  <c r="N292" i="11"/>
  <c r="M292" i="11"/>
  <c r="N356" i="11"/>
  <c r="M356" i="11"/>
  <c r="N420" i="11"/>
  <c r="M420" i="11"/>
  <c r="M484" i="11"/>
  <c r="N484" i="11"/>
  <c r="M548" i="11"/>
  <c r="N548" i="11"/>
  <c r="N473" i="11"/>
  <c r="M473" i="11"/>
  <c r="N537" i="11"/>
  <c r="M537" i="11"/>
  <c r="AZ2" i="4"/>
  <c r="BA2" i="4" s="1"/>
  <c r="BC2" i="4" s="1"/>
  <c r="BA49" i="4"/>
  <c r="BA45" i="4"/>
  <c r="BA41" i="4"/>
  <c r="BA37" i="4"/>
  <c r="BA33" i="4"/>
  <c r="BA29" i="4"/>
  <c r="BA25" i="4"/>
  <c r="BA21" i="4"/>
  <c r="BA17" i="4"/>
  <c r="BA13" i="4"/>
  <c r="BA9" i="4"/>
  <c r="BA5" i="4"/>
  <c r="BC5" i="4" s="1"/>
  <c r="BA46" i="4"/>
  <c r="BA42" i="4"/>
  <c r="BA38" i="4"/>
  <c r="BA26" i="4"/>
  <c r="BA22" i="4"/>
  <c r="BA6" i="4"/>
  <c r="BC6" i="4" s="1"/>
  <c r="BA52" i="4"/>
  <c r="BA48" i="4"/>
  <c r="BA44" i="4"/>
  <c r="BA40" i="4"/>
  <c r="BA36" i="4"/>
  <c r="BA32" i="4"/>
  <c r="BA28" i="4"/>
  <c r="BA24" i="4"/>
  <c r="BA20" i="4"/>
  <c r="BA16" i="4"/>
  <c r="BC16" i="4" s="1"/>
  <c r="BA12" i="4"/>
  <c r="BC12" i="4" s="1"/>
  <c r="BA8" i="4"/>
  <c r="BA4" i="4"/>
  <c r="BC4" i="4" s="1"/>
  <c r="BA51" i="4"/>
  <c r="BA47" i="4"/>
  <c r="BA43" i="4"/>
  <c r="BA39" i="4"/>
  <c r="BA35" i="4"/>
  <c r="BA31" i="4"/>
  <c r="BA27" i="4"/>
  <c r="BA23" i="4"/>
  <c r="BA19" i="4"/>
  <c r="BA15" i="4"/>
  <c r="BC15" i="4" s="1"/>
  <c r="BA11" i="4"/>
  <c r="BC11" i="4" s="1"/>
  <c r="BA7" i="4"/>
  <c r="BC7" i="4" s="1"/>
  <c r="BA3" i="4"/>
  <c r="BC3" i="4" s="1"/>
  <c r="BA50" i="4"/>
  <c r="BA34" i="4"/>
  <c r="BA30" i="4"/>
  <c r="BA18" i="4"/>
  <c r="BA14" i="4"/>
  <c r="BC14" i="4" s="1"/>
  <c r="BA10" i="4"/>
  <c r="N329" i="11"/>
  <c r="M329" i="11"/>
  <c r="M42" i="11"/>
  <c r="N42" i="11"/>
  <c r="N147" i="11"/>
  <c r="M147" i="11"/>
  <c r="M133" i="11"/>
  <c r="N133" i="11"/>
  <c r="M330" i="11"/>
  <c r="N330" i="11"/>
  <c r="N89" i="11"/>
  <c r="M89" i="11"/>
  <c r="N30" i="11"/>
  <c r="M30" i="11"/>
  <c r="N158" i="11"/>
  <c r="M158" i="11"/>
  <c r="M103" i="11"/>
  <c r="N103" i="11"/>
  <c r="M231" i="11"/>
  <c r="N231" i="11"/>
  <c r="N429" i="11"/>
  <c r="M429" i="11"/>
  <c r="N188" i="11"/>
  <c r="M188" i="11"/>
  <c r="M259" i="11"/>
  <c r="N259" i="11"/>
  <c r="N515" i="11"/>
  <c r="M515" i="11"/>
  <c r="N61" i="11"/>
  <c r="M61" i="11"/>
  <c r="N321" i="11"/>
  <c r="M321" i="11"/>
  <c r="N19" i="11"/>
  <c r="M19" i="11"/>
  <c r="N17" i="11"/>
  <c r="M17" i="11"/>
  <c r="M229" i="11"/>
  <c r="N229" i="11"/>
  <c r="N177" i="11"/>
  <c r="M177" i="11"/>
  <c r="N73" i="11"/>
  <c r="M73" i="11"/>
  <c r="N90" i="11"/>
  <c r="M90" i="11"/>
  <c r="M195" i="11"/>
  <c r="N195" i="11"/>
  <c r="M311" i="11"/>
  <c r="N311" i="11"/>
  <c r="M338" i="11"/>
  <c r="N338" i="11"/>
  <c r="N129" i="11"/>
  <c r="M129" i="11"/>
  <c r="N394" i="11"/>
  <c r="M394" i="11"/>
  <c r="M141" i="11"/>
  <c r="N141" i="11"/>
  <c r="M418" i="11"/>
  <c r="N418" i="11"/>
  <c r="M153" i="11"/>
  <c r="N153" i="11"/>
  <c r="M410" i="11"/>
  <c r="N410" i="11"/>
  <c r="M46" i="11"/>
  <c r="N46" i="11"/>
  <c r="M110" i="11"/>
  <c r="N110" i="11"/>
  <c r="M174" i="11"/>
  <c r="N174" i="11"/>
  <c r="M438" i="11"/>
  <c r="N438" i="11"/>
  <c r="N55" i="11"/>
  <c r="M55" i="11"/>
  <c r="N119" i="11"/>
  <c r="M119" i="11"/>
  <c r="N183" i="11"/>
  <c r="M183" i="11"/>
  <c r="M245" i="11"/>
  <c r="N245" i="11"/>
  <c r="N333" i="11"/>
  <c r="M333" i="11"/>
  <c r="N530" i="11"/>
  <c r="M530" i="11"/>
  <c r="N92" i="11"/>
  <c r="M92" i="11"/>
  <c r="N220" i="11"/>
  <c r="M220" i="11"/>
  <c r="M291" i="11"/>
  <c r="N291" i="11"/>
  <c r="M419" i="11"/>
  <c r="N419" i="11"/>
  <c r="N547" i="11"/>
  <c r="M547" i="11"/>
  <c r="M400" i="11"/>
  <c r="N400" i="11"/>
  <c r="M113" i="11"/>
  <c r="N113" i="11"/>
  <c r="M265" i="11"/>
  <c r="N265" i="11"/>
  <c r="M10" i="11"/>
  <c r="N10" i="11"/>
  <c r="M202" i="11"/>
  <c r="N202" i="11"/>
  <c r="M67" i="11"/>
  <c r="N67" i="11"/>
  <c r="M270" i="11"/>
  <c r="N270" i="11"/>
  <c r="N144" i="11"/>
  <c r="M144" i="11"/>
  <c r="N471" i="11"/>
  <c r="M471" i="11"/>
  <c r="M101" i="11"/>
  <c r="N101" i="11"/>
  <c r="M69" i="11"/>
  <c r="N69" i="11"/>
  <c r="M81" i="11"/>
  <c r="N81" i="11"/>
  <c r="M337" i="11"/>
  <c r="N337" i="11"/>
  <c r="N93" i="11"/>
  <c r="M93" i="11"/>
  <c r="N361" i="11"/>
  <c r="M361" i="11"/>
  <c r="N105" i="11"/>
  <c r="M105" i="11"/>
  <c r="N353" i="11"/>
  <c r="M353" i="11"/>
  <c r="N34" i="11"/>
  <c r="M34" i="11"/>
  <c r="N98" i="11"/>
  <c r="M98" i="11"/>
  <c r="N162" i="11"/>
  <c r="M162" i="11"/>
  <c r="N226" i="11"/>
  <c r="M226" i="11"/>
  <c r="N43" i="11"/>
  <c r="M43" i="11"/>
  <c r="N107" i="11"/>
  <c r="M107" i="11"/>
  <c r="N171" i="11"/>
  <c r="M171" i="11"/>
  <c r="N235" i="11"/>
  <c r="M235" i="11"/>
  <c r="M302" i="11"/>
  <c r="N302" i="11"/>
  <c r="M430" i="11"/>
  <c r="N430" i="11"/>
  <c r="M64" i="11"/>
  <c r="N64" i="11"/>
  <c r="M192" i="11"/>
  <c r="N192" i="11"/>
  <c r="N263" i="11"/>
  <c r="M263" i="11"/>
  <c r="N391" i="11"/>
  <c r="M391" i="11"/>
  <c r="M519" i="11"/>
  <c r="N519" i="11"/>
  <c r="M304" i="11"/>
  <c r="N304" i="11"/>
  <c r="N197" i="11"/>
  <c r="M197" i="11"/>
  <c r="N189" i="11"/>
  <c r="M189" i="11"/>
  <c r="M385" i="11"/>
  <c r="N385" i="11"/>
  <c r="M170" i="11"/>
  <c r="N170" i="11"/>
  <c r="N51" i="11"/>
  <c r="M51" i="11"/>
  <c r="N211" i="11"/>
  <c r="M211" i="11"/>
  <c r="N16" i="11"/>
  <c r="M16" i="11"/>
  <c r="M343" i="11"/>
  <c r="N343" i="11"/>
  <c r="M504" i="11"/>
  <c r="N504" i="11"/>
  <c r="M37" i="11"/>
  <c r="N37" i="11"/>
  <c r="M5" i="11"/>
  <c r="N5" i="11"/>
  <c r="N97" i="11"/>
  <c r="M97" i="11"/>
  <c r="N362" i="11"/>
  <c r="M362" i="11"/>
  <c r="M109" i="11"/>
  <c r="N109" i="11"/>
  <c r="M386" i="11"/>
  <c r="N386" i="11"/>
  <c r="N121" i="11"/>
  <c r="M121" i="11"/>
  <c r="N378" i="11"/>
  <c r="M378" i="11"/>
  <c r="N38" i="11"/>
  <c r="M38" i="11"/>
  <c r="N102" i="11"/>
  <c r="M102" i="11"/>
  <c r="N166" i="11"/>
  <c r="M166" i="11"/>
  <c r="N230" i="11"/>
  <c r="M230" i="11"/>
  <c r="M47" i="11"/>
  <c r="N47" i="11"/>
  <c r="M111" i="11"/>
  <c r="N111" i="11"/>
  <c r="M175" i="11"/>
  <c r="N175" i="11"/>
  <c r="N237" i="11"/>
  <c r="M237" i="11"/>
  <c r="M317" i="11"/>
  <c r="N317" i="11"/>
  <c r="M466" i="11"/>
  <c r="N466" i="11"/>
  <c r="M76" i="11"/>
  <c r="N76" i="11"/>
  <c r="M204" i="11"/>
  <c r="N204" i="11"/>
  <c r="N275" i="11"/>
  <c r="M275" i="11"/>
  <c r="N403" i="11"/>
  <c r="M403" i="11"/>
  <c r="M531" i="11"/>
  <c r="N531" i="11"/>
  <c r="M336" i="11"/>
  <c r="N336" i="11"/>
  <c r="N344" i="11"/>
  <c r="M344" i="11"/>
  <c r="M472" i="11"/>
  <c r="N472" i="11"/>
  <c r="M445" i="11"/>
  <c r="N445" i="11"/>
  <c r="M309" i="11"/>
  <c r="N309" i="11"/>
  <c r="M373" i="11"/>
  <c r="N373" i="11"/>
  <c r="M434" i="11"/>
  <c r="N434" i="11"/>
  <c r="M4" i="11"/>
  <c r="N4" i="11"/>
  <c r="M68" i="11"/>
  <c r="N68" i="11"/>
  <c r="M132" i="11"/>
  <c r="N132" i="11"/>
  <c r="M196" i="11"/>
  <c r="N196" i="11"/>
  <c r="M542" i="11"/>
  <c r="N542" i="11"/>
  <c r="N267" i="11"/>
  <c r="M267" i="11"/>
  <c r="N331" i="11"/>
  <c r="M331" i="11"/>
  <c r="N395" i="11"/>
  <c r="M395" i="11"/>
  <c r="M459" i="11"/>
  <c r="N459" i="11"/>
  <c r="M523" i="11"/>
  <c r="N523" i="11"/>
  <c r="N288" i="11"/>
  <c r="M288" i="11"/>
  <c r="N416" i="11"/>
  <c r="M416" i="11"/>
  <c r="M294" i="11"/>
  <c r="N294" i="11"/>
  <c r="M358" i="11"/>
  <c r="N358" i="11"/>
  <c r="M422" i="11"/>
  <c r="N422" i="11"/>
  <c r="M56" i="11"/>
  <c r="N56" i="11"/>
  <c r="M120" i="11"/>
  <c r="N120" i="11"/>
  <c r="M184" i="11"/>
  <c r="N184" i="11"/>
  <c r="M494" i="11"/>
  <c r="N494" i="11"/>
  <c r="N255" i="11"/>
  <c r="M255" i="11"/>
  <c r="N319" i="11"/>
  <c r="M319" i="11"/>
  <c r="N383" i="11"/>
  <c r="M383" i="11"/>
  <c r="M447" i="11"/>
  <c r="N447" i="11"/>
  <c r="M511" i="11"/>
  <c r="N511" i="11"/>
  <c r="M264" i="11"/>
  <c r="N264" i="11"/>
  <c r="M392" i="11"/>
  <c r="N392" i="11"/>
  <c r="N552" i="11"/>
  <c r="M552" i="11"/>
  <c r="M541" i="11"/>
  <c r="N541" i="11"/>
  <c r="M300" i="11"/>
  <c r="N300" i="11"/>
  <c r="M364" i="11"/>
  <c r="N364" i="11"/>
  <c r="M428" i="11"/>
  <c r="N428" i="11"/>
  <c r="N492" i="11"/>
  <c r="M492" i="11"/>
  <c r="M481" i="11"/>
  <c r="N481" i="11"/>
  <c r="M545" i="11"/>
  <c r="N545" i="11"/>
  <c r="M512" i="11"/>
  <c r="N512" i="11"/>
  <c r="N437" i="11"/>
  <c r="M437" i="11"/>
  <c r="N501" i="11"/>
  <c r="M501" i="11"/>
  <c r="M308" i="11"/>
  <c r="N308" i="11"/>
  <c r="M372" i="11"/>
  <c r="N372" i="11"/>
  <c r="N436" i="11"/>
  <c r="M436" i="11"/>
  <c r="N500" i="11"/>
  <c r="M500" i="11"/>
  <c r="M489" i="11"/>
  <c r="N489" i="11"/>
  <c r="M553" i="11"/>
  <c r="N553" i="11"/>
  <c r="M249" i="11"/>
  <c r="N249" i="11"/>
  <c r="M369" i="11"/>
  <c r="N369" i="11"/>
  <c r="M257" i="11"/>
  <c r="N257" i="11"/>
  <c r="M138" i="11"/>
  <c r="N138" i="11"/>
  <c r="M35" i="11"/>
  <c r="N35" i="11"/>
  <c r="M238" i="11"/>
  <c r="N238" i="11"/>
  <c r="N80" i="11"/>
  <c r="M80" i="11"/>
  <c r="M407" i="11"/>
  <c r="N407" i="11"/>
  <c r="M165" i="11"/>
  <c r="N165" i="11"/>
  <c r="N85" i="11"/>
  <c r="M85" i="11"/>
  <c r="M193" i="11"/>
  <c r="N193" i="11"/>
  <c r="M538" i="11"/>
  <c r="N538" i="11"/>
  <c r="N205" i="11"/>
  <c r="M205" i="11"/>
  <c r="N217" i="11"/>
  <c r="M217" i="11"/>
  <c r="N62" i="11"/>
  <c r="M62" i="11"/>
  <c r="N126" i="11"/>
  <c r="M126" i="11"/>
  <c r="N190" i="11"/>
  <c r="M190" i="11"/>
  <c r="N502" i="11"/>
  <c r="M502" i="11"/>
  <c r="M7" i="11"/>
  <c r="N7" i="11"/>
  <c r="M71" i="11"/>
  <c r="N71" i="11"/>
  <c r="M135" i="11"/>
  <c r="N135" i="11"/>
  <c r="M199" i="11"/>
  <c r="N199" i="11"/>
  <c r="N261" i="11"/>
  <c r="M261" i="11"/>
  <c r="N365" i="11"/>
  <c r="M365" i="11"/>
  <c r="N124" i="11"/>
  <c r="M124" i="11"/>
  <c r="N510" i="11"/>
  <c r="M510" i="11"/>
  <c r="M323" i="11"/>
  <c r="N323" i="11"/>
  <c r="N451" i="11"/>
  <c r="M451" i="11"/>
  <c r="N305" i="11"/>
  <c r="M305" i="11"/>
  <c r="N522" i="11"/>
  <c r="M522" i="11"/>
  <c r="N58" i="11"/>
  <c r="M58" i="11"/>
  <c r="N486" i="11"/>
  <c r="M486" i="11"/>
  <c r="N115" i="11"/>
  <c r="M115" i="11"/>
  <c r="N350" i="11"/>
  <c r="M350" i="11"/>
  <c r="N208" i="11"/>
  <c r="M208" i="11"/>
  <c r="N370" i="11"/>
  <c r="M370" i="11"/>
  <c r="M377" i="11"/>
  <c r="N377" i="11"/>
  <c r="N313" i="11"/>
  <c r="M313" i="11"/>
  <c r="N145" i="11"/>
  <c r="M145" i="11"/>
  <c r="N401" i="11"/>
  <c r="M401" i="11"/>
  <c r="M157" i="11"/>
  <c r="N157" i="11"/>
  <c r="M425" i="11"/>
  <c r="N425" i="11"/>
  <c r="M169" i="11"/>
  <c r="N169" i="11"/>
  <c r="M417" i="11"/>
  <c r="N417" i="11"/>
  <c r="M50" i="11"/>
  <c r="N50" i="11"/>
  <c r="M114" i="11"/>
  <c r="N114" i="11"/>
  <c r="M178" i="11"/>
  <c r="N178" i="11"/>
  <c r="M454" i="11"/>
  <c r="N454" i="11"/>
  <c r="M59" i="11"/>
  <c r="N59" i="11"/>
  <c r="M123" i="11"/>
  <c r="N123" i="11"/>
  <c r="N187" i="11"/>
  <c r="M187" i="11"/>
  <c r="M246" i="11"/>
  <c r="N246" i="11"/>
  <c r="M334" i="11"/>
  <c r="N334" i="11"/>
  <c r="M546" i="11"/>
  <c r="N546" i="11"/>
  <c r="M96" i="11"/>
  <c r="N96" i="11"/>
  <c r="M224" i="11"/>
  <c r="N224" i="11"/>
  <c r="N295" i="11"/>
  <c r="M295" i="11"/>
  <c r="N423" i="11"/>
  <c r="M423" i="11"/>
  <c r="M551" i="11"/>
  <c r="N551" i="11"/>
  <c r="N432" i="11"/>
  <c r="M432" i="11"/>
  <c r="M393" i="11"/>
  <c r="N393" i="11"/>
  <c r="N26" i="11"/>
  <c r="M26" i="11"/>
  <c r="N218" i="11"/>
  <c r="M218" i="11"/>
  <c r="M99" i="11"/>
  <c r="N99" i="11"/>
  <c r="N254" i="11"/>
  <c r="M254" i="11"/>
  <c r="N112" i="11"/>
  <c r="M112" i="11"/>
  <c r="N439" i="11"/>
  <c r="M439" i="11"/>
  <c r="N274" i="11"/>
  <c r="M274" i="11"/>
  <c r="N213" i="11"/>
  <c r="M213" i="11"/>
  <c r="M161" i="11"/>
  <c r="N161" i="11"/>
  <c r="M426" i="11"/>
  <c r="N426" i="11"/>
  <c r="N173" i="11"/>
  <c r="M173" i="11"/>
  <c r="N458" i="11"/>
  <c r="M458" i="11"/>
  <c r="M185" i="11"/>
  <c r="N185" i="11"/>
  <c r="M442" i="11"/>
  <c r="N442" i="11"/>
  <c r="M54" i="11"/>
  <c r="N54" i="11"/>
  <c r="M118" i="11"/>
  <c r="N118" i="11"/>
  <c r="M182" i="11"/>
  <c r="N182" i="11"/>
  <c r="M470" i="11"/>
  <c r="N470" i="11"/>
  <c r="N63" i="11"/>
  <c r="M63" i="11"/>
  <c r="N127" i="11"/>
  <c r="M127" i="11"/>
  <c r="N191" i="11"/>
  <c r="M191" i="11"/>
  <c r="M253" i="11"/>
  <c r="N253" i="11"/>
  <c r="M349" i="11"/>
  <c r="N349" i="11"/>
  <c r="M108" i="11"/>
  <c r="N108" i="11"/>
  <c r="M446" i="11"/>
  <c r="N446" i="11"/>
  <c r="N307" i="11"/>
  <c r="M307" i="11"/>
  <c r="M435" i="11"/>
  <c r="N435" i="11"/>
  <c r="N464" i="11"/>
  <c r="M464" i="11"/>
  <c r="N248" i="11"/>
  <c r="M248" i="11"/>
  <c r="N376" i="11"/>
  <c r="M376" i="11"/>
  <c r="N520" i="11"/>
  <c r="M520" i="11"/>
  <c r="M509" i="11"/>
  <c r="N509" i="11"/>
  <c r="N325" i="11"/>
  <c r="M325" i="11"/>
  <c r="N389" i="11"/>
  <c r="M389" i="11"/>
  <c r="N498" i="11"/>
  <c r="M498" i="11"/>
  <c r="N20" i="11"/>
  <c r="M20" i="11"/>
  <c r="N84" i="11"/>
  <c r="M84" i="11"/>
  <c r="N148" i="11"/>
  <c r="M148" i="11"/>
  <c r="N212" i="11"/>
  <c r="M212" i="11"/>
  <c r="M283" i="11"/>
  <c r="N283" i="11"/>
  <c r="M347" i="11"/>
  <c r="N347" i="11"/>
  <c r="M411" i="11"/>
  <c r="N411" i="11"/>
  <c r="N475" i="11"/>
  <c r="M475" i="11"/>
  <c r="N539" i="11"/>
  <c r="M539" i="11"/>
  <c r="N320" i="11"/>
  <c r="M320" i="11"/>
  <c r="M448" i="11"/>
  <c r="N448" i="11"/>
  <c r="M310" i="11"/>
  <c r="N310" i="11"/>
  <c r="M374" i="11"/>
  <c r="N374" i="11"/>
  <c r="M450" i="11"/>
  <c r="N450" i="11"/>
  <c r="M8" i="11"/>
  <c r="N8" i="11"/>
  <c r="M72" i="11"/>
  <c r="N72" i="11"/>
  <c r="M136" i="11"/>
  <c r="N136" i="11"/>
  <c r="M200" i="11"/>
  <c r="N200" i="11"/>
  <c r="N271" i="11"/>
  <c r="M271" i="11"/>
  <c r="N335" i="11"/>
  <c r="M335" i="11"/>
  <c r="N399" i="11"/>
  <c r="M399" i="11"/>
  <c r="M463" i="11"/>
  <c r="N463" i="11"/>
  <c r="M527" i="11"/>
  <c r="N527" i="11"/>
  <c r="M296" i="11"/>
  <c r="N296" i="11"/>
  <c r="M424" i="11"/>
  <c r="N424" i="11"/>
  <c r="N252" i="11"/>
  <c r="M252" i="11"/>
  <c r="N316" i="11"/>
  <c r="M316" i="11"/>
  <c r="N380" i="11"/>
  <c r="M380" i="11"/>
  <c r="M444" i="11"/>
  <c r="N444" i="11"/>
  <c r="M508" i="11"/>
  <c r="N508" i="11"/>
  <c r="N433" i="11"/>
  <c r="M433" i="11"/>
  <c r="N497" i="11"/>
  <c r="M497" i="11"/>
  <c r="N528" i="11"/>
  <c r="M528" i="11"/>
  <c r="M453" i="11"/>
  <c r="N453" i="11"/>
  <c r="M517" i="11"/>
  <c r="N517" i="11"/>
  <c r="N260" i="11"/>
  <c r="M260" i="11"/>
  <c r="N324" i="11"/>
  <c r="M324" i="11"/>
  <c r="N388" i="11"/>
  <c r="M388" i="11"/>
  <c r="M452" i="11"/>
  <c r="N452" i="11"/>
  <c r="M516" i="11"/>
  <c r="N516" i="11"/>
  <c r="N441" i="11"/>
  <c r="M441" i="11"/>
  <c r="N505" i="11"/>
  <c r="M505" i="11"/>
  <c r="M125" i="11"/>
  <c r="N125" i="11"/>
  <c r="N506" i="11"/>
  <c r="M506" i="11"/>
  <c r="N186" i="11"/>
  <c r="M186" i="11"/>
  <c r="N83" i="11"/>
  <c r="M83" i="11"/>
  <c r="N286" i="11"/>
  <c r="M286" i="11"/>
  <c r="N176" i="11"/>
  <c r="M176" i="11"/>
  <c r="N503" i="11"/>
  <c r="M503" i="11"/>
  <c r="N409" i="11"/>
  <c r="M409" i="11"/>
  <c r="N266" i="11"/>
  <c r="M266" i="11"/>
  <c r="M13" i="11"/>
  <c r="N13" i="11"/>
  <c r="M290" i="11"/>
  <c r="N290" i="11"/>
  <c r="M25" i="11"/>
  <c r="N25" i="11"/>
  <c r="M282" i="11"/>
  <c r="N282" i="11"/>
  <c r="M14" i="11"/>
  <c r="N14" i="11"/>
  <c r="M78" i="11"/>
  <c r="N78" i="11"/>
  <c r="M142" i="11"/>
  <c r="N142" i="11"/>
  <c r="M206" i="11"/>
  <c r="N206" i="11"/>
  <c r="N23" i="11"/>
  <c r="M23" i="11"/>
  <c r="N87" i="11"/>
  <c r="M87" i="11"/>
  <c r="N151" i="11"/>
  <c r="M151" i="11"/>
  <c r="N215" i="11"/>
  <c r="M215" i="11"/>
  <c r="M277" i="11"/>
  <c r="N277" i="11"/>
  <c r="N397" i="11"/>
  <c r="M397" i="11"/>
  <c r="N28" i="11"/>
  <c r="M28" i="11"/>
  <c r="N156" i="11"/>
  <c r="M156" i="11"/>
  <c r="M355" i="11"/>
  <c r="N355" i="11"/>
  <c r="N483" i="11"/>
  <c r="M483" i="11"/>
  <c r="N474" i="11"/>
  <c r="M474" i="11"/>
  <c r="M137" i="11"/>
  <c r="N137" i="11"/>
  <c r="M106" i="11"/>
  <c r="N106" i="11"/>
  <c r="M163" i="11"/>
  <c r="N163" i="11"/>
  <c r="N482" i="11"/>
  <c r="M482" i="11"/>
  <c r="M279" i="11"/>
  <c r="N279" i="11"/>
  <c r="M368" i="11"/>
  <c r="N368" i="11"/>
  <c r="M181" i="11"/>
  <c r="N181" i="11"/>
  <c r="N117" i="11"/>
  <c r="M117" i="11"/>
  <c r="M21" i="11"/>
  <c r="N21" i="11"/>
  <c r="M209" i="11"/>
  <c r="N209" i="11"/>
  <c r="N221" i="11"/>
  <c r="M221" i="11"/>
  <c r="N233" i="11"/>
  <c r="M233" i="11"/>
  <c r="N2" i="11"/>
  <c r="M2" i="11"/>
  <c r="N66" i="11"/>
  <c r="M66" i="11"/>
  <c r="N130" i="11"/>
  <c r="M130" i="11"/>
  <c r="N194" i="11"/>
  <c r="M194" i="11"/>
  <c r="N518" i="11"/>
  <c r="M518" i="11"/>
  <c r="N11" i="11"/>
  <c r="M11" i="11"/>
  <c r="N75" i="11"/>
  <c r="M75" i="11"/>
  <c r="N139" i="11"/>
  <c r="M139" i="11"/>
  <c r="N203" i="11"/>
  <c r="M203" i="11"/>
  <c r="M262" i="11"/>
  <c r="N262" i="11"/>
  <c r="M366" i="11"/>
  <c r="N366" i="11"/>
  <c r="M128" i="11"/>
  <c r="N128" i="11"/>
  <c r="M526" i="11"/>
  <c r="N526" i="11"/>
  <c r="N327" i="11"/>
  <c r="M327" i="11"/>
  <c r="M455" i="11"/>
  <c r="N455" i="11"/>
  <c r="N490" i="11"/>
  <c r="M490" i="11"/>
  <c r="M241" i="11"/>
  <c r="N241" i="11"/>
  <c r="M9" i="11"/>
  <c r="N9" i="11"/>
  <c r="M74" i="11"/>
  <c r="N74" i="11"/>
  <c r="M550" i="11"/>
  <c r="N550" i="11"/>
  <c r="M131" i="11"/>
  <c r="N131" i="11"/>
  <c r="N318" i="11"/>
  <c r="M318" i="11"/>
  <c r="N462" i="11"/>
  <c r="M462" i="11"/>
  <c r="N535" i="11"/>
  <c r="M535" i="11"/>
  <c r="N402" i="11"/>
  <c r="M402" i="11"/>
  <c r="M53" i="11"/>
  <c r="N53" i="11"/>
  <c r="N225" i="11"/>
  <c r="M225" i="11"/>
  <c r="M258" i="11"/>
  <c r="N258" i="11"/>
  <c r="N250" i="11"/>
  <c r="M250" i="11"/>
  <c r="N6" i="11"/>
  <c r="M6" i="11"/>
  <c r="N70" i="11"/>
  <c r="M70" i="11"/>
  <c r="N134" i="11"/>
  <c r="M134" i="11"/>
  <c r="N198" i="11"/>
  <c r="M198" i="11"/>
  <c r="N534" i="11"/>
  <c r="M534" i="11"/>
  <c r="M15" i="11"/>
  <c r="N15" i="11"/>
  <c r="M79" i="11"/>
  <c r="N79" i="11"/>
  <c r="M143" i="11"/>
  <c r="N143" i="11"/>
  <c r="M207" i="11"/>
  <c r="N207" i="11"/>
  <c r="N269" i="11"/>
  <c r="M269" i="11"/>
  <c r="M381" i="11"/>
  <c r="N381" i="11"/>
  <c r="M12" i="11"/>
  <c r="N12" i="11"/>
  <c r="M140" i="11"/>
  <c r="N140" i="11"/>
  <c r="N339" i="11"/>
  <c r="M339" i="11"/>
  <c r="M467" i="11"/>
  <c r="N467" i="11"/>
  <c r="N280" i="11"/>
  <c r="M280" i="11"/>
  <c r="N408" i="11"/>
  <c r="M408" i="11"/>
  <c r="M341" i="11"/>
  <c r="N341" i="11"/>
  <c r="M405" i="11"/>
  <c r="N405" i="11"/>
  <c r="M36" i="11"/>
  <c r="N36" i="11"/>
  <c r="M100" i="11"/>
  <c r="N100" i="11"/>
  <c r="M164" i="11"/>
  <c r="N164" i="11"/>
  <c r="M228" i="11"/>
  <c r="N228" i="11"/>
  <c r="N299" i="11"/>
  <c r="M299" i="11"/>
  <c r="N363" i="11"/>
  <c r="M363" i="11"/>
  <c r="N427" i="11"/>
  <c r="M427" i="11"/>
  <c r="M491" i="11"/>
  <c r="N491" i="11"/>
  <c r="M236" i="11"/>
  <c r="N236" i="11"/>
  <c r="N352" i="11"/>
  <c r="M352" i="11"/>
  <c r="M480" i="11"/>
  <c r="N480" i="11"/>
  <c r="N461" i="11"/>
  <c r="M461" i="11"/>
  <c r="M326" i="11"/>
  <c r="N326" i="11"/>
  <c r="M390" i="11"/>
  <c r="N390" i="11"/>
  <c r="M514" i="11"/>
  <c r="N514" i="11"/>
  <c r="M24" i="11"/>
  <c r="N24" i="11"/>
  <c r="M88" i="11"/>
  <c r="N88" i="11"/>
  <c r="M152" i="11"/>
  <c r="N152" i="11"/>
  <c r="M216" i="11"/>
  <c r="N216" i="11"/>
  <c r="N287" i="11"/>
  <c r="M287" i="11"/>
  <c r="N351" i="11"/>
  <c r="M351" i="11"/>
  <c r="N415" i="11"/>
  <c r="M415" i="11"/>
  <c r="M479" i="11"/>
  <c r="N479" i="11"/>
  <c r="N543" i="11"/>
  <c r="M543" i="11"/>
  <c r="M328" i="11"/>
  <c r="N328" i="11"/>
  <c r="N456" i="11"/>
  <c r="M456" i="11"/>
  <c r="M268" i="11"/>
  <c r="N268" i="11"/>
  <c r="M332" i="11"/>
  <c r="N332" i="11"/>
  <c r="M396" i="11"/>
  <c r="N396" i="11"/>
  <c r="N460" i="11"/>
  <c r="M460" i="11"/>
  <c r="N524" i="11"/>
  <c r="M524" i="11"/>
  <c r="M449" i="11"/>
  <c r="N449" i="11"/>
  <c r="M513" i="11"/>
  <c r="N513" i="11"/>
  <c r="M544" i="11"/>
  <c r="N544" i="11"/>
  <c r="N469" i="11"/>
  <c r="M469" i="11"/>
  <c r="N533" i="11"/>
  <c r="M533" i="11"/>
  <c r="M276" i="11"/>
  <c r="N276" i="11"/>
  <c r="M340" i="11"/>
  <c r="N340" i="11"/>
  <c r="M404" i="11"/>
  <c r="N404" i="11"/>
  <c r="N468" i="11"/>
  <c r="M468" i="11"/>
  <c r="N532" i="11"/>
  <c r="M532" i="11"/>
  <c r="M457" i="11"/>
  <c r="N457" i="11"/>
  <c r="M521" i="11"/>
  <c r="N521" i="11"/>
  <c r="Z170" i="4"/>
  <c r="AA170" i="4" s="1"/>
  <c r="Z22" i="4"/>
  <c r="AA22" i="4" s="1"/>
  <c r="Z7" i="4"/>
  <c r="AA7" i="4" s="1"/>
  <c r="K530" i="11"/>
  <c r="L530" i="11" s="1"/>
  <c r="K505" i="11"/>
  <c r="L505" i="11" s="1"/>
  <c r="K159" i="11"/>
  <c r="L159" i="11" s="1"/>
  <c r="K161" i="11"/>
  <c r="L161" i="11" s="1"/>
  <c r="Z4" i="4"/>
  <c r="AA4" i="4" s="1"/>
  <c r="Z38" i="4"/>
  <c r="AA38" i="4" s="1"/>
  <c r="K201" i="11"/>
  <c r="L201" i="11" s="1"/>
  <c r="K510" i="11"/>
  <c r="L510" i="11" s="1"/>
  <c r="Z14" i="4"/>
  <c r="AA14" i="4" s="1"/>
  <c r="Z142" i="4"/>
  <c r="AA142" i="4" s="1"/>
  <c r="AK65" i="4" s="1"/>
  <c r="Z10" i="4"/>
  <c r="AA10" i="4" s="1"/>
  <c r="K509" i="11"/>
  <c r="L509" i="11" s="1"/>
  <c r="K506" i="11"/>
  <c r="L506" i="11" s="1"/>
  <c r="Z6" i="4"/>
  <c r="AA6" i="4" s="1"/>
  <c r="Z5" i="4"/>
  <c r="AA5" i="4" s="1"/>
  <c r="K508" i="11"/>
  <c r="L508" i="11" s="1"/>
  <c r="Z12" i="4"/>
  <c r="AA12" i="4" s="1"/>
  <c r="Z3" i="4"/>
  <c r="AA3" i="4" s="1"/>
  <c r="K531" i="11"/>
  <c r="L531" i="11" s="1"/>
  <c r="Z16" i="4"/>
  <c r="AA16" i="4" s="1"/>
  <c r="Z13" i="4"/>
  <c r="AA13" i="4" s="1"/>
  <c r="Z23" i="4"/>
  <c r="AA23" i="4" s="1"/>
  <c r="K507" i="11"/>
  <c r="L507" i="11" s="1"/>
  <c r="Z9" i="4"/>
  <c r="AA9" i="4" s="1"/>
  <c r="K160" i="11"/>
  <c r="L160" i="11" s="1"/>
  <c r="K63" i="11"/>
  <c r="L63" i="11" s="1"/>
  <c r="Z31" i="4"/>
  <c r="AA31" i="4" s="1"/>
  <c r="Z178" i="4"/>
  <c r="AA178" i="4" s="1"/>
  <c r="K352" i="11"/>
  <c r="L352" i="11" s="1"/>
  <c r="Z177" i="4"/>
  <c r="AA177" i="4" s="1"/>
  <c r="Z180" i="4"/>
  <c r="AA180" i="4" s="1"/>
  <c r="Z201" i="4"/>
  <c r="AA201" i="4" s="1"/>
  <c r="Z182" i="4"/>
  <c r="AA182" i="4" s="1"/>
  <c r="Z32" i="4"/>
  <c r="AA32" i="4" s="1"/>
  <c r="Z181" i="4"/>
  <c r="AA181" i="4" s="1"/>
  <c r="Z203" i="4"/>
  <c r="AA203" i="4" s="1"/>
  <c r="Z67" i="4"/>
  <c r="AA67" i="4" s="1"/>
  <c r="K532" i="11"/>
  <c r="L532" i="11" s="1"/>
  <c r="Z183" i="4"/>
  <c r="AA183" i="4" s="1"/>
  <c r="Z15" i="4"/>
  <c r="AA15" i="4" s="1"/>
  <c r="Z105" i="4"/>
  <c r="AA105" i="4" s="1"/>
  <c r="Z185" i="4"/>
  <c r="AA185" i="4" s="1"/>
  <c r="Z30" i="4"/>
  <c r="AA30" i="4" s="1"/>
  <c r="K354" i="11"/>
  <c r="L354" i="11" s="1"/>
  <c r="K353" i="11"/>
  <c r="L353" i="11" s="1"/>
  <c r="Z186" i="4"/>
  <c r="AA186" i="4" s="1"/>
  <c r="Z128" i="4"/>
  <c r="AA128" i="4" s="1"/>
  <c r="Z69" i="4"/>
  <c r="AA69" i="4" s="1"/>
  <c r="Z200" i="4"/>
  <c r="AA200" i="4" s="1"/>
  <c r="Z152" i="4"/>
  <c r="AA152" i="4" s="1"/>
  <c r="Z144" i="4"/>
  <c r="AA144" i="4" s="1"/>
  <c r="Z175" i="4"/>
  <c r="AA175" i="4" s="1"/>
  <c r="Z20" i="4"/>
  <c r="AA20" i="4" s="1"/>
  <c r="K261" i="11"/>
  <c r="L261" i="11" s="1"/>
  <c r="K38" i="11"/>
  <c r="L38" i="11" s="1"/>
  <c r="Z27" i="4"/>
  <c r="AA27" i="4" s="1"/>
  <c r="K339" i="11"/>
  <c r="L339" i="11" s="1"/>
  <c r="K225" i="11"/>
  <c r="L225" i="11" s="1"/>
  <c r="K93" i="11"/>
  <c r="L93" i="11" s="1"/>
  <c r="K42" i="11"/>
  <c r="L42" i="11" s="1"/>
  <c r="K81" i="11"/>
  <c r="L81" i="11" s="1"/>
  <c r="K58" i="11"/>
  <c r="L58" i="11" s="1"/>
  <c r="Z179" i="4"/>
  <c r="AA179" i="4" s="1"/>
  <c r="Z274" i="4"/>
  <c r="AA274" i="4" s="1"/>
  <c r="Z172" i="4"/>
  <c r="AA172" i="4" s="1"/>
  <c r="Z187" i="4"/>
  <c r="AA187" i="4" s="1"/>
  <c r="Z159" i="4"/>
  <c r="AA159" i="4" s="1"/>
  <c r="Z137" i="4"/>
  <c r="AA137" i="4" s="1"/>
  <c r="Z93" i="4"/>
  <c r="AA93" i="4" s="1"/>
  <c r="K234" i="11"/>
  <c r="L234" i="11" s="1"/>
  <c r="K428" i="11"/>
  <c r="L428" i="11" s="1"/>
  <c r="K325" i="11"/>
  <c r="L325" i="11" s="1"/>
  <c r="Z26" i="4"/>
  <c r="AA26" i="4" s="1"/>
  <c r="K192" i="11"/>
  <c r="L192" i="11" s="1"/>
  <c r="K148" i="11"/>
  <c r="L148" i="11" s="1"/>
  <c r="Z51" i="4"/>
  <c r="AA51" i="4" s="1"/>
  <c r="Z161" i="4"/>
  <c r="AA161" i="4" s="1"/>
  <c r="Z138" i="4"/>
  <c r="AA138" i="4" s="1"/>
  <c r="Z163" i="4"/>
  <c r="AA163" i="4" s="1"/>
  <c r="K211" i="11"/>
  <c r="L211" i="11" s="1"/>
  <c r="K33" i="11"/>
  <c r="L33" i="11" s="1"/>
  <c r="K307" i="11"/>
  <c r="L307" i="11" s="1"/>
  <c r="K434" i="11"/>
  <c r="L434" i="11" s="1"/>
  <c r="K121" i="11"/>
  <c r="L121" i="11" s="1"/>
  <c r="K407" i="11"/>
  <c r="L407" i="11" s="1"/>
  <c r="K295" i="11"/>
  <c r="L295" i="11" s="1"/>
  <c r="K37" i="11"/>
  <c r="L37" i="11" s="1"/>
  <c r="K4" i="11"/>
  <c r="L4" i="11" s="1"/>
  <c r="K191" i="11"/>
  <c r="L191" i="11" s="1"/>
  <c r="K504" i="11"/>
  <c r="L504" i="11" s="1"/>
  <c r="K212" i="11"/>
  <c r="L212" i="11" s="1"/>
  <c r="K548" i="11"/>
  <c r="L548" i="11" s="1"/>
  <c r="K267" i="11"/>
  <c r="L267" i="11" s="1"/>
  <c r="K341" i="11"/>
  <c r="L341" i="11" s="1"/>
  <c r="K395" i="11"/>
  <c r="L395" i="11" s="1"/>
  <c r="K268" i="11"/>
  <c r="L268" i="11" s="1"/>
  <c r="K319" i="11"/>
  <c r="L319" i="11" s="1"/>
  <c r="K377" i="11"/>
  <c r="L377" i="11" s="1"/>
  <c r="K95" i="11"/>
  <c r="L95" i="11" s="1"/>
  <c r="K111" i="11"/>
  <c r="L111" i="11" s="1"/>
  <c r="Z117" i="4"/>
  <c r="AA117" i="4" s="1"/>
  <c r="K117" i="11"/>
  <c r="L117" i="11" s="1"/>
  <c r="K370" i="11"/>
  <c r="L370" i="11" s="1"/>
  <c r="AA193" i="4"/>
  <c r="K384" i="11"/>
  <c r="L384" i="11" s="1"/>
  <c r="K240" i="11"/>
  <c r="L240" i="11" s="1"/>
  <c r="K223" i="11"/>
  <c r="L223" i="11" s="1"/>
  <c r="K162" i="11"/>
  <c r="L162" i="11" s="1"/>
  <c r="Z29" i="4"/>
  <c r="AA29" i="4" s="1"/>
  <c r="K454" i="11"/>
  <c r="L454" i="11" s="1"/>
  <c r="K435" i="11"/>
  <c r="L435" i="11" s="1"/>
  <c r="K409" i="11"/>
  <c r="L409" i="11" s="1"/>
  <c r="K125" i="11"/>
  <c r="L125" i="11" s="1"/>
  <c r="K488" i="11"/>
  <c r="L488" i="11" s="1"/>
  <c r="K513" i="11"/>
  <c r="L513" i="11" s="1"/>
  <c r="Z55" i="4"/>
  <c r="AA55" i="4" s="1"/>
  <c r="Z54" i="4"/>
  <c r="AA54" i="4" s="1"/>
  <c r="AK23" i="4" s="1"/>
  <c r="Z146" i="4"/>
  <c r="AA146" i="4" s="1"/>
  <c r="Z140" i="4"/>
  <c r="AA140" i="4" s="1"/>
  <c r="K416" i="11"/>
  <c r="L416" i="11" s="1"/>
  <c r="K477" i="11"/>
  <c r="L477" i="11" s="1"/>
  <c r="K131" i="11"/>
  <c r="L131" i="11" s="1"/>
  <c r="K304" i="11"/>
  <c r="L304" i="11" s="1"/>
  <c r="K460" i="11"/>
  <c r="L460" i="11" s="1"/>
  <c r="K11" i="11"/>
  <c r="L11" i="11" s="1"/>
  <c r="K208" i="11"/>
  <c r="L208" i="11" s="1"/>
  <c r="K7" i="11"/>
  <c r="L7" i="11" s="1"/>
  <c r="K303" i="11"/>
  <c r="L303" i="11" s="1"/>
  <c r="K221" i="11"/>
  <c r="L221" i="11" s="1"/>
  <c r="K272" i="11"/>
  <c r="L272" i="11" s="1"/>
  <c r="K226" i="11"/>
  <c r="L226" i="11" s="1"/>
  <c r="K533" i="11"/>
  <c r="L533" i="11" s="1"/>
  <c r="K55" i="11"/>
  <c r="L55" i="11" s="1"/>
  <c r="K392" i="11"/>
  <c r="L392" i="11" s="1"/>
  <c r="Z149" i="4"/>
  <c r="AA149" i="4" s="1"/>
  <c r="Z37" i="4"/>
  <c r="AA37" i="4" s="1"/>
  <c r="Z154" i="4"/>
  <c r="AA154" i="4" s="1"/>
  <c r="Z61" i="4"/>
  <c r="AA61" i="4" s="1"/>
  <c r="Z83" i="4"/>
  <c r="AA83" i="4" s="1"/>
  <c r="Z153" i="4"/>
  <c r="AA153" i="4" s="1"/>
  <c r="Z174" i="4"/>
  <c r="AA174" i="4" s="1"/>
  <c r="AK19" i="4" s="1"/>
  <c r="Z167" i="4"/>
  <c r="AA167" i="4" s="1"/>
  <c r="AK108" i="4" s="1"/>
  <c r="K415" i="11"/>
  <c r="L415" i="11" s="1"/>
  <c r="K380" i="11"/>
  <c r="L380" i="11" s="1"/>
  <c r="K528" i="11"/>
  <c r="L528" i="11" s="1"/>
  <c r="K28" i="11"/>
  <c r="L28" i="11" s="1"/>
  <c r="K399" i="11"/>
  <c r="L399" i="11" s="1"/>
  <c r="Z143" i="4"/>
  <c r="AA143" i="4" s="1"/>
  <c r="Z150" i="4"/>
  <c r="AA150" i="4" s="1"/>
  <c r="Z199" i="4"/>
  <c r="AA199" i="4" s="1"/>
  <c r="Z24" i="4"/>
  <c r="AA24" i="4" s="1"/>
  <c r="Z103" i="4"/>
  <c r="AA103" i="4" s="1"/>
  <c r="AK17" i="4" s="1"/>
  <c r="K497" i="11"/>
  <c r="L497" i="11" s="1"/>
  <c r="K514" i="11"/>
  <c r="L514" i="11" s="1"/>
  <c r="Z28" i="4"/>
  <c r="AA28" i="4" s="1"/>
  <c r="K189" i="11"/>
  <c r="L189" i="11" s="1"/>
  <c r="Z136" i="4"/>
  <c r="AA136" i="4" s="1"/>
  <c r="Z60" i="4"/>
  <c r="AA60" i="4" s="1"/>
  <c r="K515" i="11"/>
  <c r="L515" i="11" s="1"/>
  <c r="Z130" i="4"/>
  <c r="AA130" i="4" s="1"/>
  <c r="AK36" i="4" s="1"/>
  <c r="Z81" i="4"/>
  <c r="AA81" i="4" s="1"/>
  <c r="Z189" i="4"/>
  <c r="AA189" i="4" s="1"/>
  <c r="Z70" i="4"/>
  <c r="AA70" i="4" s="1"/>
  <c r="Z176" i="4"/>
  <c r="AA176" i="4" s="1"/>
  <c r="Z168" i="4"/>
  <c r="AA168" i="4" s="1"/>
  <c r="Z135" i="4"/>
  <c r="AA135" i="4" s="1"/>
  <c r="AK59" i="4" s="1"/>
  <c r="K277" i="11"/>
  <c r="L277" i="11" s="1"/>
  <c r="K379" i="11"/>
  <c r="L379" i="11" s="1"/>
  <c r="K127" i="11"/>
  <c r="L127" i="11" s="1"/>
  <c r="K206" i="11"/>
  <c r="L206" i="11" s="1"/>
  <c r="K203" i="11"/>
  <c r="L203" i="11" s="1"/>
  <c r="Z62" i="4"/>
  <c r="AA62" i="4" s="1"/>
  <c r="AA94" i="4"/>
  <c r="AK13" i="4" s="1"/>
  <c r="L2" i="11"/>
  <c r="A3" i="11"/>
  <c r="A4" i="11" s="1"/>
  <c r="Y168" i="1"/>
  <c r="AA168" i="1" s="1"/>
  <c r="AA25" i="4"/>
  <c r="AT266" i="42" l="1"/>
  <c r="AT267" i="42"/>
  <c r="AC302" i="42"/>
  <c r="V302" i="42"/>
  <c r="AC49" i="42"/>
  <c r="AB302" i="1"/>
  <c r="U302" i="1"/>
  <c r="AC206" i="42"/>
  <c r="AS267" i="1"/>
  <c r="AC235" i="42"/>
  <c r="V49" i="42"/>
  <c r="AC12" i="42"/>
  <c r="V12" i="42"/>
  <c r="AC23" i="42"/>
  <c r="V23" i="42"/>
  <c r="AC31" i="42"/>
  <c r="V31" i="42"/>
  <c r="V3" i="42"/>
  <c r="AC3" i="42"/>
  <c r="AC11" i="42"/>
  <c r="V11" i="42"/>
  <c r="AC17" i="42"/>
  <c r="V17" i="42"/>
  <c r="V22" i="42"/>
  <c r="AC22" i="42"/>
  <c r="V26" i="42"/>
  <c r="AC26" i="42"/>
  <c r="V30" i="42"/>
  <c r="AC30" i="42"/>
  <c r="AC42" i="42"/>
  <c r="V42" i="42"/>
  <c r="AC38" i="42"/>
  <c r="V38" i="42"/>
  <c r="AC77" i="42"/>
  <c r="V77" i="42"/>
  <c r="AC88" i="42"/>
  <c r="V88" i="42"/>
  <c r="AC97" i="42"/>
  <c r="V97" i="42"/>
  <c r="AC103" i="42"/>
  <c r="V103" i="42"/>
  <c r="AC136" i="42"/>
  <c r="V136" i="42"/>
  <c r="V192" i="42"/>
  <c r="AC192" i="42"/>
  <c r="AC45" i="42"/>
  <c r="V45" i="42"/>
  <c r="AC51" i="42"/>
  <c r="V51" i="42"/>
  <c r="AC83" i="42"/>
  <c r="V83" i="42"/>
  <c r="AC69" i="42"/>
  <c r="V69" i="42"/>
  <c r="V85" i="42"/>
  <c r="AC85" i="42"/>
  <c r="V89" i="42"/>
  <c r="AC89" i="42"/>
  <c r="V93" i="42"/>
  <c r="AC93" i="42"/>
  <c r="AC102" i="42"/>
  <c r="V102" i="42"/>
  <c r="AC106" i="42"/>
  <c r="V106" i="42"/>
  <c r="V111" i="42"/>
  <c r="AC111" i="42"/>
  <c r="AC117" i="42"/>
  <c r="V117" i="42"/>
  <c r="AC144" i="42"/>
  <c r="V144" i="42"/>
  <c r="AC167" i="42"/>
  <c r="V167" i="42"/>
  <c r="AC62" i="42"/>
  <c r="V62" i="42"/>
  <c r="AC66" i="42"/>
  <c r="V66" i="42"/>
  <c r="AC108" i="42"/>
  <c r="V108" i="42"/>
  <c r="AC127" i="42"/>
  <c r="V127" i="42"/>
  <c r="AC161" i="42"/>
  <c r="V161" i="42"/>
  <c r="AC177" i="42"/>
  <c r="V177" i="42"/>
  <c r="AC242" i="42"/>
  <c r="V242" i="42"/>
  <c r="AC252" i="42"/>
  <c r="V252" i="42"/>
  <c r="AC276" i="42"/>
  <c r="V276" i="42"/>
  <c r="AC195" i="42"/>
  <c r="V195" i="42"/>
  <c r="AC203" i="42"/>
  <c r="V203" i="42"/>
  <c r="AC213" i="42"/>
  <c r="V213" i="42"/>
  <c r="AC228" i="42"/>
  <c r="V228" i="42"/>
  <c r="V174" i="42"/>
  <c r="AC174" i="42"/>
  <c r="AC229" i="42"/>
  <c r="V229" i="42"/>
  <c r="AC260" i="42"/>
  <c r="V260" i="42"/>
  <c r="AC249" i="42"/>
  <c r="V249" i="42"/>
  <c r="AC292" i="42"/>
  <c r="V292" i="42"/>
  <c r="AC296" i="42"/>
  <c r="V296" i="42"/>
  <c r="AC300" i="42"/>
  <c r="V300" i="42"/>
  <c r="V14" i="42"/>
  <c r="AC14" i="42"/>
  <c r="V20" i="42"/>
  <c r="AC20" i="42"/>
  <c r="V10" i="42"/>
  <c r="AC10" i="42"/>
  <c r="AC15" i="42"/>
  <c r="V15" i="42"/>
  <c r="V36" i="42"/>
  <c r="AC36" i="42"/>
  <c r="V58" i="42"/>
  <c r="AC58" i="42"/>
  <c r="V94" i="42"/>
  <c r="AC94" i="42"/>
  <c r="V145" i="42"/>
  <c r="AC145" i="42"/>
  <c r="V154" i="42"/>
  <c r="AC154" i="42"/>
  <c r="AC162" i="42"/>
  <c r="V162" i="42"/>
  <c r="V65" i="42"/>
  <c r="AC65" i="42"/>
  <c r="V123" i="42"/>
  <c r="AC123" i="42"/>
  <c r="AC128" i="42"/>
  <c r="V128" i="42"/>
  <c r="V143" i="42"/>
  <c r="AC143" i="42"/>
  <c r="AC166" i="42"/>
  <c r="V166" i="42"/>
  <c r="AC57" i="42"/>
  <c r="V57" i="42"/>
  <c r="V99" i="42"/>
  <c r="AC99" i="42"/>
  <c r="AC133" i="42"/>
  <c r="V133" i="42"/>
  <c r="AC173" i="42"/>
  <c r="V173" i="42"/>
  <c r="V41" i="42"/>
  <c r="AC41" i="42"/>
  <c r="AC46" i="42"/>
  <c r="V46" i="42"/>
  <c r="AC50" i="42"/>
  <c r="V50" i="42"/>
  <c r="AC78" i="42"/>
  <c r="V78" i="42"/>
  <c r="V82" i="42"/>
  <c r="AC82" i="42"/>
  <c r="V101" i="42"/>
  <c r="AC101" i="42"/>
  <c r="V142" i="42"/>
  <c r="AC142" i="42"/>
  <c r="AC198" i="42"/>
  <c r="V198" i="42"/>
  <c r="AC172" i="42"/>
  <c r="V172" i="42"/>
  <c r="AC179" i="42"/>
  <c r="AC201" i="42"/>
  <c r="V201" i="42"/>
  <c r="AC271" i="42"/>
  <c r="V271" i="42"/>
  <c r="AC278" i="42"/>
  <c r="V278" i="42"/>
  <c r="AC283" i="42"/>
  <c r="V283" i="42"/>
  <c r="AC287" i="42"/>
  <c r="V287" i="42"/>
  <c r="AC209" i="42"/>
  <c r="V209" i="42"/>
  <c r="AC232" i="42"/>
  <c r="V232" i="42"/>
  <c r="AC243" i="42"/>
  <c r="V243" i="42"/>
  <c r="AC297" i="42"/>
  <c r="V297" i="42"/>
  <c r="AC301" i="42"/>
  <c r="V301" i="42"/>
  <c r="AC171" i="42"/>
  <c r="V171" i="42"/>
  <c r="AC188" i="42"/>
  <c r="V188" i="42"/>
  <c r="AC244" i="42"/>
  <c r="V244" i="42"/>
  <c r="AC286" i="42"/>
  <c r="V286" i="42"/>
  <c r="AC214" i="42"/>
  <c r="V214" i="42"/>
  <c r="AC227" i="42"/>
  <c r="V227" i="42"/>
  <c r="AC245" i="42"/>
  <c r="V245" i="42"/>
  <c r="AC251" i="42"/>
  <c r="V251" i="42"/>
  <c r="AC257" i="42"/>
  <c r="V257" i="42"/>
  <c r="AC270" i="42"/>
  <c r="V270" i="42"/>
  <c r="AC6" i="42"/>
  <c r="V6" i="42"/>
  <c r="AC8" i="42"/>
  <c r="V8" i="42"/>
  <c r="AC18" i="42"/>
  <c r="V18" i="42"/>
  <c r="AC27" i="42"/>
  <c r="V27" i="42"/>
  <c r="AC35" i="42"/>
  <c r="V35" i="42"/>
  <c r="AC9" i="42"/>
  <c r="V9" i="42"/>
  <c r="AC13" i="42"/>
  <c r="V13" i="42"/>
  <c r="AC19" i="42"/>
  <c r="V19" i="42"/>
  <c r="AC24" i="42"/>
  <c r="V24" i="42"/>
  <c r="AC28" i="42"/>
  <c r="V28" i="42"/>
  <c r="AC4" i="42"/>
  <c r="V4" i="42"/>
  <c r="AC2" i="42"/>
  <c r="V2" i="42"/>
  <c r="V48" i="42"/>
  <c r="AC48" i="42"/>
  <c r="V74" i="42"/>
  <c r="AC74" i="42"/>
  <c r="AC80" i="42"/>
  <c r="V80" i="42"/>
  <c r="AC86" i="42"/>
  <c r="V86" i="42"/>
  <c r="AC90" i="42"/>
  <c r="V90" i="42"/>
  <c r="AC100" i="42"/>
  <c r="V100" i="42"/>
  <c r="AC105" i="42"/>
  <c r="V105" i="42"/>
  <c r="AC110" i="42"/>
  <c r="V110" i="42"/>
  <c r="AC116" i="42"/>
  <c r="V116" i="42"/>
  <c r="AC134" i="42"/>
  <c r="V134" i="42"/>
  <c r="AC140" i="42"/>
  <c r="V140" i="42"/>
  <c r="AC47" i="42"/>
  <c r="V47" i="42"/>
  <c r="V53" i="42"/>
  <c r="AC53" i="42"/>
  <c r="V79" i="42"/>
  <c r="AC79" i="42"/>
  <c r="AC119" i="42"/>
  <c r="V119" i="42"/>
  <c r="AC138" i="42"/>
  <c r="V138" i="42"/>
  <c r="V75" i="42"/>
  <c r="AC75" i="42"/>
  <c r="AC87" i="42"/>
  <c r="V87" i="42"/>
  <c r="AC91" i="42"/>
  <c r="V91" i="42"/>
  <c r="AC95" i="42"/>
  <c r="V95" i="42"/>
  <c r="AC104" i="42"/>
  <c r="V104" i="42"/>
  <c r="V109" i="42"/>
  <c r="AC109" i="42"/>
  <c r="AC114" i="42"/>
  <c r="V114" i="42"/>
  <c r="V141" i="42"/>
  <c r="AC141" i="42"/>
  <c r="AL188" i="42"/>
  <c r="AC187" i="42"/>
  <c r="V187" i="42"/>
  <c r="AC64" i="42"/>
  <c r="V64" i="42"/>
  <c r="AC68" i="42"/>
  <c r="V68" i="42"/>
  <c r="V113" i="42"/>
  <c r="AC113" i="42"/>
  <c r="AC124" i="42"/>
  <c r="V124" i="42"/>
  <c r="V129" i="42"/>
  <c r="AC129" i="42"/>
  <c r="AC170" i="42"/>
  <c r="V170" i="42"/>
  <c r="AC200" i="42"/>
  <c r="V200" i="42"/>
  <c r="AC157" i="42"/>
  <c r="V157" i="42"/>
  <c r="AC163" i="42"/>
  <c r="V163" i="42"/>
  <c r="AC186" i="42"/>
  <c r="V186" i="42"/>
  <c r="AC199" i="42"/>
  <c r="V199" i="42"/>
  <c r="AC211" i="42"/>
  <c r="V211" i="42"/>
  <c r="AC218" i="42"/>
  <c r="V218" i="42"/>
  <c r="AC253" i="42"/>
  <c r="V253" i="42"/>
  <c r="AC264" i="42"/>
  <c r="V264" i="42"/>
  <c r="AC183" i="42"/>
  <c r="V183" i="42"/>
  <c r="AC197" i="42"/>
  <c r="V197" i="42"/>
  <c r="AC248" i="42"/>
  <c r="V248" i="42"/>
  <c r="AC269" i="42"/>
  <c r="V269" i="42"/>
  <c r="AC239" i="42"/>
  <c r="V239" i="42"/>
  <c r="AC274" i="42"/>
  <c r="V274" i="42"/>
  <c r="AC294" i="42"/>
  <c r="V294" i="42"/>
  <c r="AC298" i="42"/>
  <c r="V298" i="42"/>
  <c r="AC303" i="42"/>
  <c r="V303" i="42"/>
  <c r="AC21" i="42"/>
  <c r="V21" i="42"/>
  <c r="V29" i="42"/>
  <c r="AC29" i="42"/>
  <c r="AC33" i="42"/>
  <c r="V33" i="42"/>
  <c r="AC40" i="42"/>
  <c r="V40" i="42"/>
  <c r="AC25" i="42"/>
  <c r="V25" i="42"/>
  <c r="V32" i="42"/>
  <c r="AC32" i="42"/>
  <c r="AC56" i="42"/>
  <c r="V56" i="42"/>
  <c r="V81" i="42"/>
  <c r="AC81" i="42"/>
  <c r="AC96" i="42"/>
  <c r="V96" i="42"/>
  <c r="AC148" i="42"/>
  <c r="V148" i="42"/>
  <c r="V63" i="42"/>
  <c r="AC63" i="42"/>
  <c r="V67" i="42"/>
  <c r="AC67" i="42"/>
  <c r="AC126" i="42"/>
  <c r="V126" i="42"/>
  <c r="AC189" i="42"/>
  <c r="V189" i="42"/>
  <c r="AC39" i="42"/>
  <c r="V39" i="42"/>
  <c r="AC55" i="42"/>
  <c r="V55" i="42"/>
  <c r="AC120" i="42"/>
  <c r="V120" i="42"/>
  <c r="V135" i="42"/>
  <c r="AC135" i="42"/>
  <c r="AC159" i="42"/>
  <c r="V159" i="42"/>
  <c r="V52" i="42"/>
  <c r="AC52" i="42"/>
  <c r="AC92" i="42"/>
  <c r="V92" i="42"/>
  <c r="V118" i="42"/>
  <c r="AC118" i="42"/>
  <c r="V139" i="42"/>
  <c r="AC139" i="42"/>
  <c r="AC184" i="42"/>
  <c r="V184" i="42"/>
  <c r="AC149" i="42"/>
  <c r="V149" i="42"/>
  <c r="AC175" i="42"/>
  <c r="V175" i="42"/>
  <c r="AL131" i="42"/>
  <c r="V190" i="42"/>
  <c r="AC190" i="42"/>
  <c r="AC240" i="42"/>
  <c r="V240" i="42"/>
  <c r="AC285" i="42"/>
  <c r="V285" i="42"/>
  <c r="AC193" i="42"/>
  <c r="V193" i="42"/>
  <c r="AC220" i="42"/>
  <c r="V220" i="42"/>
  <c r="AC255" i="42"/>
  <c r="V255" i="42"/>
  <c r="AC268" i="42"/>
  <c r="V268" i="42"/>
  <c r="AC290" i="42"/>
  <c r="V290" i="42"/>
  <c r="AC295" i="42"/>
  <c r="V295" i="42"/>
  <c r="AC299" i="42"/>
  <c r="V299" i="42"/>
  <c r="AC256" i="42"/>
  <c r="V256" i="42"/>
  <c r="AC265" i="42"/>
  <c r="V265" i="42"/>
  <c r="AC284" i="42"/>
  <c r="V284" i="42"/>
  <c r="AC288" i="42"/>
  <c r="V288" i="42"/>
  <c r="AC212" i="42"/>
  <c r="AL223" i="42"/>
  <c r="V212" i="42"/>
  <c r="AC282" i="42"/>
  <c r="V282" i="42"/>
  <c r="S16" i="1"/>
  <c r="U16" i="1" s="1"/>
  <c r="T16" i="42"/>
  <c r="Z16" i="42"/>
  <c r="AB16" i="42" s="1"/>
  <c r="T34" i="42"/>
  <c r="Z34" i="42"/>
  <c r="AB34" i="42" s="1"/>
  <c r="T132" i="42"/>
  <c r="Z132" i="42"/>
  <c r="AB132" i="42" s="1"/>
  <c r="Z182" i="42"/>
  <c r="AB182" i="42" s="1"/>
  <c r="T182" i="42"/>
  <c r="Z165" i="42"/>
  <c r="AB165" i="42" s="1"/>
  <c r="T165" i="42"/>
  <c r="T84" i="42"/>
  <c r="Z84" i="42"/>
  <c r="AB84" i="42" s="1"/>
  <c r="T237" i="42"/>
  <c r="Z237" i="42"/>
  <c r="AB237" i="42" s="1"/>
  <c r="Z236" i="42"/>
  <c r="AB236" i="42" s="1"/>
  <c r="T236" i="42"/>
  <c r="AC168" i="42"/>
  <c r="V168" i="42"/>
  <c r="AB297" i="1"/>
  <c r="AB290" i="1"/>
  <c r="U290" i="1"/>
  <c r="AB288" i="1"/>
  <c r="U288" i="1"/>
  <c r="AB296" i="1"/>
  <c r="AB286" i="1"/>
  <c r="U286" i="1"/>
  <c r="AB294" i="1"/>
  <c r="AB292" i="1"/>
  <c r="U292" i="1"/>
  <c r="AB282" i="1"/>
  <c r="U282" i="1"/>
  <c r="AB285" i="1"/>
  <c r="U285" i="1"/>
  <c r="AB284" i="1"/>
  <c r="U284" i="1"/>
  <c r="AB283" i="1"/>
  <c r="U283" i="1"/>
  <c r="AB287" i="1"/>
  <c r="U287" i="1"/>
  <c r="AB295" i="1"/>
  <c r="AK29" i="4"/>
  <c r="AB276" i="1"/>
  <c r="S165" i="1"/>
  <c r="U165" i="1" s="1"/>
  <c r="AB274" i="1"/>
  <c r="AB278" i="1"/>
  <c r="AK38" i="4"/>
  <c r="AK47" i="4"/>
  <c r="AK34" i="4"/>
  <c r="U278" i="1"/>
  <c r="U260" i="1"/>
  <c r="AB260" i="1"/>
  <c r="U268" i="1"/>
  <c r="AB268" i="1"/>
  <c r="U276" i="1"/>
  <c r="U274" i="1"/>
  <c r="U269" i="1"/>
  <c r="AB269" i="1"/>
  <c r="U271" i="1"/>
  <c r="AB271" i="1"/>
  <c r="U270" i="1"/>
  <c r="AB270" i="1"/>
  <c r="U264" i="1"/>
  <c r="AB264" i="1"/>
  <c r="AP255" i="1"/>
  <c r="AP253" i="1"/>
  <c r="AS262" i="1" s="1"/>
  <c r="AK110" i="4"/>
  <c r="AK111" i="4"/>
  <c r="AP9" i="1"/>
  <c r="AP254" i="1"/>
  <c r="AK113" i="4"/>
  <c r="Y84" i="1"/>
  <c r="AA84" i="1" s="1"/>
  <c r="S84" i="1"/>
  <c r="U84" i="1" s="1"/>
  <c r="Y34" i="1"/>
  <c r="AA34" i="1" s="1"/>
  <c r="S34" i="1"/>
  <c r="U34" i="1" s="1"/>
  <c r="Y165" i="1"/>
  <c r="AA165" i="1" s="1"/>
  <c r="AK72" i="4"/>
  <c r="Y16" i="1"/>
  <c r="AA16" i="1" s="1"/>
  <c r="BC25" i="4"/>
  <c r="AK26" i="4"/>
  <c r="AK4" i="4"/>
  <c r="U2" i="1"/>
  <c r="BC8" i="4"/>
  <c r="BC26" i="4"/>
  <c r="AE188" i="4"/>
  <c r="AE39" i="4"/>
  <c r="AN22" i="4"/>
  <c r="AO22" i="4" s="1"/>
  <c r="AE74" i="4"/>
  <c r="AN7" i="4"/>
  <c r="AN13" i="4"/>
  <c r="AO13" i="4" s="1"/>
  <c r="AE96" i="4"/>
  <c r="AE78" i="4"/>
  <c r="AN23" i="4"/>
  <c r="AN38" i="4"/>
  <c r="AO38" i="4" s="1"/>
  <c r="BC9" i="4"/>
  <c r="BC10" i="4"/>
  <c r="AK107" i="4"/>
  <c r="AB50" i="1"/>
  <c r="AB190" i="1"/>
  <c r="AB87" i="1"/>
  <c r="AB228" i="1"/>
  <c r="AB100" i="1"/>
  <c r="AB89" i="1"/>
  <c r="AB126" i="1"/>
  <c r="AB30" i="1"/>
  <c r="AB8" i="1"/>
  <c r="AB47" i="1"/>
  <c r="AB175" i="1"/>
  <c r="AB63" i="1"/>
  <c r="AB108" i="1"/>
  <c r="AB167" i="1"/>
  <c r="AB28" i="1"/>
  <c r="AB74" i="1"/>
  <c r="AB118" i="1"/>
  <c r="AB104" i="1"/>
  <c r="AB256" i="1"/>
  <c r="AB257" i="1"/>
  <c r="AB253" i="1"/>
  <c r="AB255" i="1"/>
  <c r="AB203" i="1"/>
  <c r="AB162" i="1"/>
  <c r="AB206" i="1"/>
  <c r="AB77" i="1"/>
  <c r="AB57" i="1"/>
  <c r="AB213" i="1"/>
  <c r="AB161" i="1"/>
  <c r="AB69" i="1"/>
  <c r="AB78" i="1"/>
  <c r="AB128" i="1"/>
  <c r="AB188" i="1"/>
  <c r="AB92" i="1"/>
  <c r="AB97" i="1"/>
  <c r="AB102" i="1"/>
  <c r="AB144" i="1"/>
  <c r="AB80" i="1"/>
  <c r="AB90" i="1"/>
  <c r="AB52" i="1"/>
  <c r="AB244" i="1"/>
  <c r="AB66" i="1"/>
  <c r="AB83" i="1"/>
  <c r="AB195" i="1"/>
  <c r="AB93" i="1"/>
  <c r="AB101" i="1"/>
  <c r="AB45" i="1"/>
  <c r="AB79" i="1"/>
  <c r="AB21" i="1"/>
  <c r="AB31" i="1"/>
  <c r="AB55" i="1"/>
  <c r="AB41" i="1"/>
  <c r="AB65" i="1"/>
  <c r="AB166" i="1"/>
  <c r="AB120" i="1"/>
  <c r="AB243" i="1"/>
  <c r="AB106" i="1"/>
  <c r="AB53" i="1"/>
  <c r="AB25" i="1"/>
  <c r="AB163" i="1"/>
  <c r="AB124" i="1"/>
  <c r="AB193" i="1"/>
  <c r="AB171" i="1"/>
  <c r="AB48" i="1"/>
  <c r="AB4" i="1"/>
  <c r="AB133" i="1"/>
  <c r="AB14" i="1"/>
  <c r="AB96" i="1"/>
  <c r="AB19" i="1"/>
  <c r="AK131" i="1"/>
  <c r="AB67" i="1"/>
  <c r="AB6" i="1"/>
  <c r="AB127" i="1"/>
  <c r="AB18" i="1"/>
  <c r="AB26" i="1"/>
  <c r="AB135" i="1"/>
  <c r="AB2" i="1"/>
  <c r="AB24" i="1"/>
  <c r="AB174" i="1"/>
  <c r="AB94" i="1"/>
  <c r="AB38" i="1"/>
  <c r="AB46" i="1"/>
  <c r="AB123" i="1"/>
  <c r="AB138" i="1"/>
  <c r="AB199" i="1"/>
  <c r="AB142" i="1"/>
  <c r="AB149" i="1"/>
  <c r="AB85" i="1"/>
  <c r="AB116" i="1"/>
  <c r="AB103" i="1"/>
  <c r="AB15" i="1"/>
  <c r="AB177" i="1"/>
  <c r="AB134" i="1"/>
  <c r="AB32" i="1"/>
  <c r="AB3" i="1"/>
  <c r="AB159" i="1"/>
  <c r="AB235" i="1"/>
  <c r="AB10" i="1"/>
  <c r="AB99" i="1"/>
  <c r="AB109" i="1"/>
  <c r="AB9" i="1"/>
  <c r="AB22" i="1"/>
  <c r="AB154" i="1"/>
  <c r="AB249" i="1"/>
  <c r="AB129" i="1"/>
  <c r="AB145" i="1"/>
  <c r="AB172" i="1"/>
  <c r="AB111" i="1"/>
  <c r="AB95" i="1"/>
  <c r="AB141" i="1"/>
  <c r="AB91" i="1"/>
  <c r="AB27" i="1"/>
  <c r="AB186" i="1"/>
  <c r="AB184" i="1"/>
  <c r="AB35" i="1"/>
  <c r="AB36" i="1"/>
  <c r="AB198" i="1"/>
  <c r="AB192" i="1"/>
  <c r="AB183" i="1"/>
  <c r="AB39" i="1"/>
  <c r="AB105" i="1"/>
  <c r="AB40" i="1"/>
  <c r="AB88" i="1"/>
  <c r="AB139" i="1"/>
  <c r="AB110" i="1"/>
  <c r="AB17" i="1"/>
  <c r="AB82" i="1"/>
  <c r="AB20" i="1"/>
  <c r="AB201" i="1"/>
  <c r="AB11" i="1"/>
  <c r="AB245" i="1"/>
  <c r="AB33" i="1"/>
  <c r="AB56" i="1"/>
  <c r="AB140" i="1"/>
  <c r="AB143" i="1"/>
  <c r="AB23" i="1"/>
  <c r="AB86" i="1"/>
  <c r="AB68" i="1"/>
  <c r="AB13" i="1"/>
  <c r="AB81" i="1"/>
  <c r="AB62" i="1"/>
  <c r="AB58" i="1"/>
  <c r="AB12" i="1"/>
  <c r="AB42" i="1"/>
  <c r="AB29" i="1"/>
  <c r="AB64" i="1"/>
  <c r="AB51" i="1"/>
  <c r="AK105" i="4"/>
  <c r="BC27" i="4"/>
  <c r="BC29" i="4"/>
  <c r="BC31" i="4"/>
  <c r="AK93" i="4"/>
  <c r="AK73" i="4"/>
  <c r="AK63" i="4"/>
  <c r="AK68" i="4"/>
  <c r="BC48" i="4"/>
  <c r="BC54" i="4"/>
  <c r="BC55" i="4"/>
  <c r="AK27" i="4"/>
  <c r="BC23" i="4"/>
  <c r="BC18" i="4"/>
  <c r="AK31" i="4"/>
  <c r="AK46" i="4"/>
  <c r="AK104" i="4"/>
  <c r="AK45" i="4"/>
  <c r="AK24" i="4"/>
  <c r="BC47" i="4"/>
  <c r="AK54" i="4"/>
  <c r="AK12" i="4"/>
  <c r="AK55" i="4"/>
  <c r="AK11" i="4"/>
  <c r="AK74" i="4"/>
  <c r="AK30" i="4"/>
  <c r="AK39" i="4"/>
  <c r="AK78" i="4"/>
  <c r="AK48" i="4"/>
  <c r="AK49" i="4"/>
  <c r="AK18" i="4"/>
  <c r="BC30" i="4"/>
  <c r="BC20" i="4"/>
  <c r="AK92" i="4"/>
  <c r="BC42" i="4"/>
  <c r="AK70" i="4"/>
  <c r="AK94" i="4"/>
  <c r="AK71" i="4"/>
  <c r="AK80" i="4"/>
  <c r="AK98" i="4"/>
  <c r="AK84" i="4"/>
  <c r="AK99" i="4"/>
  <c r="AK81" i="4"/>
  <c r="AK66" i="4"/>
  <c r="AK95" i="4"/>
  <c r="AK103" i="4"/>
  <c r="AK67" i="4"/>
  <c r="AK76" i="4"/>
  <c r="AK85" i="4"/>
  <c r="AK88" i="4"/>
  <c r="AK100" i="4"/>
  <c r="AK86" i="4"/>
  <c r="BC53" i="4"/>
  <c r="AK64" i="4"/>
  <c r="BC52" i="4"/>
  <c r="BC17" i="4"/>
  <c r="BC13" i="4"/>
  <c r="BC50" i="4"/>
  <c r="AB168" i="1"/>
  <c r="BC35" i="4"/>
  <c r="BC39" i="4"/>
  <c r="BC22" i="4"/>
  <c r="AK16" i="4"/>
  <c r="AK5" i="4"/>
  <c r="BC43" i="4"/>
  <c r="AK96" i="4"/>
  <c r="BC45" i="4"/>
  <c r="BC28" i="4"/>
  <c r="AK82" i="4"/>
  <c r="AK75" i="4"/>
  <c r="BC33" i="4"/>
  <c r="Y113" i="1"/>
  <c r="AA113" i="1" s="1"/>
  <c r="BC37" i="4"/>
  <c r="AK89" i="4"/>
  <c r="BC51" i="4"/>
  <c r="AK91" i="4"/>
  <c r="AK25" i="4"/>
  <c r="AK33" i="4"/>
  <c r="AK43" i="4"/>
  <c r="AK58" i="4"/>
  <c r="AK83" i="4"/>
  <c r="AK14" i="4"/>
  <c r="BC34" i="4"/>
  <c r="A5" i="1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A49" i="11" s="1"/>
  <c r="A50" i="11" s="1"/>
  <c r="A51" i="11" s="1"/>
  <c r="A52" i="11" s="1"/>
  <c r="A53" i="11" s="1"/>
  <c r="A54" i="11" s="1"/>
  <c r="A55" i="11" s="1"/>
  <c r="A56" i="11" s="1"/>
  <c r="A57" i="11" s="1"/>
  <c r="A58" i="11" s="1"/>
  <c r="A59" i="11" s="1"/>
  <c r="A60" i="11" s="1"/>
  <c r="A61" i="11" s="1"/>
  <c r="A62" i="11" s="1"/>
  <c r="A63" i="11" s="1"/>
  <c r="A64" i="11" s="1"/>
  <c r="A65" i="11" s="1"/>
  <c r="A66" i="11" s="1"/>
  <c r="A67" i="11" s="1"/>
  <c r="A68" i="11" s="1"/>
  <c r="A69" i="11" s="1"/>
  <c r="A70" i="11" s="1"/>
  <c r="A71" i="11" s="1"/>
  <c r="A72" i="11" s="1"/>
  <c r="A73" i="11" s="1"/>
  <c r="A74" i="11" s="1"/>
  <c r="A75" i="11" s="1"/>
  <c r="A76" i="11" s="1"/>
  <c r="A77" i="11" s="1"/>
  <c r="A78" i="11" s="1"/>
  <c r="A79" i="11" s="1"/>
  <c r="A80" i="11" s="1"/>
  <c r="A81" i="11" s="1"/>
  <c r="A82" i="11" s="1"/>
  <c r="A83" i="11" s="1"/>
  <c r="A84" i="11" s="1"/>
  <c r="A85" i="11" s="1"/>
  <c r="A86" i="11" s="1"/>
  <c r="A87" i="11" s="1"/>
  <c r="A88" i="11" s="1"/>
  <c r="A89" i="11" s="1"/>
  <c r="A90" i="11" s="1"/>
  <c r="A91" i="11" s="1"/>
  <c r="A92" i="11" s="1"/>
  <c r="A93" i="11" s="1"/>
  <c r="A94" i="11" s="1"/>
  <c r="A95" i="11" s="1"/>
  <c r="A96" i="11" s="1"/>
  <c r="A97" i="11" s="1"/>
  <c r="A98" i="11" s="1"/>
  <c r="A99" i="11" s="1"/>
  <c r="A100" i="11" s="1"/>
  <c r="A101" i="11" s="1"/>
  <c r="A102" i="11" s="1"/>
  <c r="A103" i="11" s="1"/>
  <c r="A104" i="11" s="1"/>
  <c r="A105" i="11" s="1"/>
  <c r="A106" i="11" s="1"/>
  <c r="A107" i="11" s="1"/>
  <c r="A108" i="11" s="1"/>
  <c r="A109" i="11" s="1"/>
  <c r="A110" i="11" s="1"/>
  <c r="A111" i="11" s="1"/>
  <c r="A112" i="11" s="1"/>
  <c r="A113" i="11" s="1"/>
  <c r="A114" i="11" s="1"/>
  <c r="A115" i="11" s="1"/>
  <c r="A116" i="11" s="1"/>
  <c r="A117" i="11" s="1"/>
  <c r="A118" i="11" s="1"/>
  <c r="A119" i="11" s="1"/>
  <c r="A120" i="11" s="1"/>
  <c r="A121" i="11" s="1"/>
  <c r="A122" i="11" s="1"/>
  <c r="A123" i="11" s="1"/>
  <c r="A124" i="11" s="1"/>
  <c r="A125" i="11" s="1"/>
  <c r="A126" i="11" s="1"/>
  <c r="A127" i="11" s="1"/>
  <c r="A128" i="11" s="1"/>
  <c r="A129" i="11" s="1"/>
  <c r="A130" i="11" s="1"/>
  <c r="A131" i="11" s="1"/>
  <c r="A132" i="11" s="1"/>
  <c r="A133" i="11" s="1"/>
  <c r="A134" i="11" s="1"/>
  <c r="A135" i="11" s="1"/>
  <c r="A136" i="11" s="1"/>
  <c r="A137" i="11" s="1"/>
  <c r="A138" i="11" s="1"/>
  <c r="A139" i="11" s="1"/>
  <c r="A140" i="11" s="1"/>
  <c r="A141" i="11" s="1"/>
  <c r="A142" i="11" s="1"/>
  <c r="A143" i="11" s="1"/>
  <c r="A144" i="11" s="1"/>
  <c r="A145" i="11" s="1"/>
  <c r="A146" i="11" s="1"/>
  <c r="A147" i="11" s="1"/>
  <c r="A148" i="11" s="1"/>
  <c r="A149" i="11" s="1"/>
  <c r="A150" i="11" s="1"/>
  <c r="A151" i="11" s="1"/>
  <c r="A152" i="11" s="1"/>
  <c r="A153" i="11" s="1"/>
  <c r="A154" i="11" s="1"/>
  <c r="A155" i="11" s="1"/>
  <c r="A156" i="11" s="1"/>
  <c r="A157" i="11" s="1"/>
  <c r="A158" i="11" s="1"/>
  <c r="A159" i="11" s="1"/>
  <c r="A160" i="11" s="1"/>
  <c r="A161" i="11" s="1"/>
  <c r="A162" i="11" s="1"/>
  <c r="A163" i="11" s="1"/>
  <c r="A164" i="11" s="1"/>
  <c r="A165" i="11" s="1"/>
  <c r="A166" i="11" s="1"/>
  <c r="A167" i="11" s="1"/>
  <c r="A168" i="11" s="1"/>
  <c r="A169" i="11" s="1"/>
  <c r="A170" i="11" s="1"/>
  <c r="A171" i="11" s="1"/>
  <c r="A172" i="11" s="1"/>
  <c r="A173" i="11" s="1"/>
  <c r="A174" i="11" s="1"/>
  <c r="A175" i="11" s="1"/>
  <c r="A176" i="11" s="1"/>
  <c r="A177" i="11" s="1"/>
  <c r="A178" i="11" s="1"/>
  <c r="A179" i="11" s="1"/>
  <c r="A180" i="11" s="1"/>
  <c r="A181" i="11" s="1"/>
  <c r="A182" i="11" s="1"/>
  <c r="A183" i="11" s="1"/>
  <c r="A184" i="11" s="1"/>
  <c r="A185" i="11" s="1"/>
  <c r="A186" i="11" s="1"/>
  <c r="A187" i="11" s="1"/>
  <c r="A188" i="11" s="1"/>
  <c r="A189" i="11" s="1"/>
  <c r="A190" i="11" s="1"/>
  <c r="A191" i="11" s="1"/>
  <c r="A192" i="11" s="1"/>
  <c r="A193" i="11" s="1"/>
  <c r="A194" i="11" s="1"/>
  <c r="A195" i="11" s="1"/>
  <c r="A196" i="11" s="1"/>
  <c r="A197" i="11" s="1"/>
  <c r="A198" i="11" s="1"/>
  <c r="A199" i="11" s="1"/>
  <c r="A200" i="11" s="1"/>
  <c r="A201" i="11" s="1"/>
  <c r="A202" i="11" s="1"/>
  <c r="A203" i="11" s="1"/>
  <c r="A204" i="11" s="1"/>
  <c r="A205" i="11" s="1"/>
  <c r="A206" i="11" s="1"/>
  <c r="A207" i="11" s="1"/>
  <c r="A208" i="11" s="1"/>
  <c r="A209" i="11" s="1"/>
  <c r="A210" i="11" s="1"/>
  <c r="A211" i="11" s="1"/>
  <c r="A212" i="11" s="1"/>
  <c r="A213" i="11" s="1"/>
  <c r="A214" i="11" s="1"/>
  <c r="A215" i="11" s="1"/>
  <c r="A216" i="11" s="1"/>
  <c r="A217" i="11" s="1"/>
  <c r="A218" i="11" s="1"/>
  <c r="A219" i="11" s="1"/>
  <c r="A220" i="11" s="1"/>
  <c r="A221" i="11" s="1"/>
  <c r="A222" i="11" s="1"/>
  <c r="A223" i="11" s="1"/>
  <c r="A224" i="11" s="1"/>
  <c r="A225" i="11" s="1"/>
  <c r="A226" i="11" s="1"/>
  <c r="A227" i="11" s="1"/>
  <c r="A228" i="11" s="1"/>
  <c r="A229" i="11" s="1"/>
  <c r="A230" i="11" s="1"/>
  <c r="A231" i="11" s="1"/>
  <c r="A232" i="11" s="1"/>
  <c r="A233" i="11" s="1"/>
  <c r="A234" i="11" s="1"/>
  <c r="A235" i="11" s="1"/>
  <c r="A236" i="11" s="1"/>
  <c r="A237" i="11" s="1"/>
  <c r="A238" i="11" s="1"/>
  <c r="A239" i="11" s="1"/>
  <c r="A240" i="11" s="1"/>
  <c r="A241" i="11" s="1"/>
  <c r="A242" i="11" s="1"/>
  <c r="A243" i="11" s="1"/>
  <c r="A244" i="11" s="1"/>
  <c r="A245" i="11" s="1"/>
  <c r="A246" i="11" s="1"/>
  <c r="A247" i="11" s="1"/>
  <c r="A248" i="11" s="1"/>
  <c r="A249" i="11" s="1"/>
  <c r="A250" i="11" s="1"/>
  <c r="A251" i="11" s="1"/>
  <c r="A252" i="11" s="1"/>
  <c r="A253" i="11" s="1"/>
  <c r="A254" i="11" s="1"/>
  <c r="A255" i="11" s="1"/>
  <c r="A256" i="11" s="1"/>
  <c r="A257" i="11" s="1"/>
  <c r="A258" i="11" s="1"/>
  <c r="A259" i="11" s="1"/>
  <c r="A260" i="11" s="1"/>
  <c r="A261" i="11" s="1"/>
  <c r="A262" i="11" s="1"/>
  <c r="A263" i="11" s="1"/>
  <c r="A264" i="11" s="1"/>
  <c r="A265" i="11" s="1"/>
  <c r="A266" i="11" s="1"/>
  <c r="A267" i="11" s="1"/>
  <c r="A268" i="11" s="1"/>
  <c r="A269" i="11" s="1"/>
  <c r="A270" i="11" s="1"/>
  <c r="A271" i="11" s="1"/>
  <c r="A272" i="11" s="1"/>
  <c r="A273" i="11" s="1"/>
  <c r="A274" i="11" s="1"/>
  <c r="A275" i="11" s="1"/>
  <c r="A276" i="11" s="1"/>
  <c r="A277" i="11" s="1"/>
  <c r="A278" i="11" s="1"/>
  <c r="A279" i="11" s="1"/>
  <c r="A280" i="11" s="1"/>
  <c r="A281" i="11" s="1"/>
  <c r="A282" i="11" s="1"/>
  <c r="A283" i="11" s="1"/>
  <c r="A284" i="11" s="1"/>
  <c r="A285" i="11" s="1"/>
  <c r="A286" i="11" s="1"/>
  <c r="A287" i="11" s="1"/>
  <c r="A288" i="11" s="1"/>
  <c r="A289" i="11" s="1"/>
  <c r="A290" i="11" s="1"/>
  <c r="A291" i="11" s="1"/>
  <c r="A292" i="11" s="1"/>
  <c r="A293" i="11" s="1"/>
  <c r="A294" i="11" s="1"/>
  <c r="A295" i="11" s="1"/>
  <c r="A296" i="11" s="1"/>
  <c r="A297" i="11" s="1"/>
  <c r="A298" i="11" s="1"/>
  <c r="A299" i="11" s="1"/>
  <c r="A300" i="11" s="1"/>
  <c r="A301" i="11" s="1"/>
  <c r="A302" i="11" s="1"/>
  <c r="A303" i="11" s="1"/>
  <c r="A304" i="11" s="1"/>
  <c r="A305" i="11" s="1"/>
  <c r="A306" i="11" s="1"/>
  <c r="A307" i="11" s="1"/>
  <c r="A308" i="11" s="1"/>
  <c r="A309" i="11" s="1"/>
  <c r="A310" i="11" s="1"/>
  <c r="A311" i="11" s="1"/>
  <c r="A312" i="11" s="1"/>
  <c r="A313" i="11" s="1"/>
  <c r="A314" i="11" s="1"/>
  <c r="A315" i="11" s="1"/>
  <c r="A316" i="11" s="1"/>
  <c r="A317" i="11" s="1"/>
  <c r="A318" i="11" s="1"/>
  <c r="A319" i="11" s="1"/>
  <c r="A320" i="11" s="1"/>
  <c r="A321" i="11" s="1"/>
  <c r="A322" i="11" s="1"/>
  <c r="A323" i="11" s="1"/>
  <c r="A324" i="11" s="1"/>
  <c r="A325" i="11" s="1"/>
  <c r="A326" i="11" s="1"/>
  <c r="A327" i="11" s="1"/>
  <c r="A328" i="11" s="1"/>
  <c r="A329" i="11" s="1"/>
  <c r="A330" i="11" s="1"/>
  <c r="A331" i="11" s="1"/>
  <c r="A332" i="11" s="1"/>
  <c r="A333" i="11" s="1"/>
  <c r="A334" i="11" s="1"/>
  <c r="A335" i="11" s="1"/>
  <c r="A336" i="11" s="1"/>
  <c r="A337" i="11" s="1"/>
  <c r="A338" i="11" s="1"/>
  <c r="A339" i="11" s="1"/>
  <c r="A340" i="11" s="1"/>
  <c r="A341" i="11" s="1"/>
  <c r="A342" i="11" s="1"/>
  <c r="A343" i="11" s="1"/>
  <c r="A344" i="11" s="1"/>
  <c r="A345" i="11" s="1"/>
  <c r="A346" i="11" s="1"/>
  <c r="A347" i="11" s="1"/>
  <c r="A348" i="11" s="1"/>
  <c r="A349" i="11" s="1"/>
  <c r="A350" i="11" s="1"/>
  <c r="A351" i="11" s="1"/>
  <c r="A352" i="11" s="1"/>
  <c r="A353" i="11" s="1"/>
  <c r="A354" i="11" s="1"/>
  <c r="A355" i="11" s="1"/>
  <c r="A356" i="11" s="1"/>
  <c r="A357" i="11" s="1"/>
  <c r="A358" i="11" s="1"/>
  <c r="A359" i="11" s="1"/>
  <c r="A360" i="11" s="1"/>
  <c r="A361" i="11" s="1"/>
  <c r="A362" i="11" s="1"/>
  <c r="A363" i="11" s="1"/>
  <c r="A364" i="11" s="1"/>
  <c r="A365" i="11" s="1"/>
  <c r="A366" i="11" s="1"/>
  <c r="A367" i="11" s="1"/>
  <c r="A368" i="11" s="1"/>
  <c r="A369" i="11" s="1"/>
  <c r="A370" i="11" s="1"/>
  <c r="A371" i="11" s="1"/>
  <c r="A372" i="11" s="1"/>
  <c r="A373" i="11" s="1"/>
  <c r="A374" i="11" s="1"/>
  <c r="A375" i="11" s="1"/>
  <c r="A376" i="11" s="1"/>
  <c r="A377" i="11" s="1"/>
  <c r="A378" i="11" s="1"/>
  <c r="A379" i="11" s="1"/>
  <c r="A380" i="11" s="1"/>
  <c r="A381" i="11" s="1"/>
  <c r="A382" i="11" s="1"/>
  <c r="A383" i="11" s="1"/>
  <c r="A384" i="11" s="1"/>
  <c r="A385" i="11" s="1"/>
  <c r="A386" i="11" s="1"/>
  <c r="A387" i="11" s="1"/>
  <c r="A388" i="11" s="1"/>
  <c r="A389" i="11" s="1"/>
  <c r="A390" i="11" s="1"/>
  <c r="A391" i="11" s="1"/>
  <c r="A392" i="11" s="1"/>
  <c r="A393" i="11" s="1"/>
  <c r="A394" i="11" s="1"/>
  <c r="A395" i="11" s="1"/>
  <c r="A396" i="11" s="1"/>
  <c r="A397" i="11" s="1"/>
  <c r="A398" i="11" s="1"/>
  <c r="A399" i="11" s="1"/>
  <c r="A400" i="11" s="1"/>
  <c r="A401" i="11" s="1"/>
  <c r="A402" i="11" s="1"/>
  <c r="A403" i="11" s="1"/>
  <c r="A404" i="11" s="1"/>
  <c r="A405" i="11" s="1"/>
  <c r="A406" i="11" s="1"/>
  <c r="A407" i="11" s="1"/>
  <c r="A408" i="11" s="1"/>
  <c r="A409" i="11" s="1"/>
  <c r="A410" i="11" s="1"/>
  <c r="A411" i="11" s="1"/>
  <c r="A412" i="11" s="1"/>
  <c r="A413" i="11" s="1"/>
  <c r="A414" i="11" s="1"/>
  <c r="A415" i="11" s="1"/>
  <c r="A416" i="11" s="1"/>
  <c r="A417" i="11" s="1"/>
  <c r="A418" i="11" s="1"/>
  <c r="A419" i="11" s="1"/>
  <c r="A420" i="11" s="1"/>
  <c r="A421" i="11" s="1"/>
  <c r="A422" i="11" s="1"/>
  <c r="A423" i="11" s="1"/>
  <c r="A424" i="11" s="1"/>
  <c r="A425" i="11" s="1"/>
  <c r="A426" i="11" s="1"/>
  <c r="A427" i="11" s="1"/>
  <c r="A428" i="11" s="1"/>
  <c r="A429" i="11" s="1"/>
  <c r="A430" i="11" s="1"/>
  <c r="A431" i="11" s="1"/>
  <c r="A432" i="11" s="1"/>
  <c r="A433" i="11" s="1"/>
  <c r="A434" i="11" s="1"/>
  <c r="A435" i="11" s="1"/>
  <c r="A436" i="11" s="1"/>
  <c r="A437" i="11" s="1"/>
  <c r="A438" i="11" s="1"/>
  <c r="A439" i="11" s="1"/>
  <c r="A440" i="11" s="1"/>
  <c r="A441" i="11" s="1"/>
  <c r="A442" i="11" s="1"/>
  <c r="A443" i="11" s="1"/>
  <c r="A444" i="11" s="1"/>
  <c r="A445" i="11" s="1"/>
  <c r="A446" i="11" s="1"/>
  <c r="A447" i="11" s="1"/>
  <c r="A448" i="11" s="1"/>
  <c r="A449" i="11" s="1"/>
  <c r="A450" i="11" s="1"/>
  <c r="A451" i="11" s="1"/>
  <c r="A452" i="11" s="1"/>
  <c r="A453" i="11" s="1"/>
  <c r="A454" i="11" s="1"/>
  <c r="A455" i="11" s="1"/>
  <c r="A456" i="11" s="1"/>
  <c r="A457" i="11" s="1"/>
  <c r="A458" i="11" s="1"/>
  <c r="A459" i="11" s="1"/>
  <c r="A460" i="11" s="1"/>
  <c r="A461" i="11" s="1"/>
  <c r="A462" i="11" s="1"/>
  <c r="A463" i="11" s="1"/>
  <c r="A464" i="11" s="1"/>
  <c r="A465" i="11" s="1"/>
  <c r="A466" i="11" s="1"/>
  <c r="A467" i="11" s="1"/>
  <c r="A468" i="11" s="1"/>
  <c r="A469" i="11" s="1"/>
  <c r="A470" i="11" s="1"/>
  <c r="A471" i="11" s="1"/>
  <c r="A472" i="11" s="1"/>
  <c r="A473" i="11" s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  <c r="A547" i="11" s="1"/>
  <c r="A548" i="11" s="1"/>
  <c r="A549" i="11" s="1"/>
  <c r="A550" i="11" s="1"/>
  <c r="A551" i="11" s="1"/>
  <c r="A552" i="11" s="1"/>
  <c r="A553" i="11" s="1"/>
  <c r="A554" i="11" s="1"/>
  <c r="A555" i="11" s="1"/>
  <c r="A556" i="11" s="1"/>
  <c r="A557" i="11" s="1"/>
  <c r="A558" i="11" s="1"/>
  <c r="A559" i="11" s="1"/>
  <c r="A560" i="11" s="1"/>
  <c r="A561" i="11" s="1"/>
  <c r="A562" i="11" s="1"/>
  <c r="A563" i="11" s="1"/>
  <c r="A564" i="11" s="1"/>
  <c r="A565" i="11" s="1"/>
  <c r="A566" i="11" s="1"/>
  <c r="A567" i="11" s="1"/>
  <c r="A568" i="11" s="1"/>
  <c r="A569" i="11" s="1"/>
  <c r="A570" i="11" s="1"/>
  <c r="A571" i="11" s="1"/>
  <c r="A572" i="11" s="1"/>
  <c r="A573" i="11" s="1"/>
  <c r="A574" i="11" s="1"/>
  <c r="A575" i="11" s="1"/>
  <c r="A576" i="11" s="1"/>
  <c r="A577" i="11" s="1"/>
  <c r="A578" i="11" s="1"/>
  <c r="A579" i="11" s="1"/>
  <c r="A580" i="11" s="1"/>
  <c r="A581" i="11" s="1"/>
  <c r="A582" i="11" s="1"/>
  <c r="A583" i="11" s="1"/>
  <c r="A584" i="11" s="1"/>
  <c r="A585" i="11" s="1"/>
  <c r="A586" i="11" s="1"/>
  <c r="A587" i="11" s="1"/>
  <c r="A588" i="11" s="1"/>
  <c r="A589" i="11" s="1"/>
  <c r="A590" i="11" s="1"/>
  <c r="A591" i="11" s="1"/>
  <c r="A592" i="11" s="1"/>
  <c r="A593" i="11" s="1"/>
  <c r="A594" i="11" s="1"/>
  <c r="A595" i="11" s="1"/>
  <c r="A596" i="11" s="1"/>
  <c r="A597" i="11" s="1"/>
  <c r="A598" i="11" s="1"/>
  <c r="A599" i="11" s="1"/>
  <c r="A600" i="11" s="1"/>
  <c r="A601" i="11" s="1"/>
  <c r="A602" i="11" s="1"/>
  <c r="A603" i="11" s="1"/>
  <c r="A604" i="11" s="1"/>
  <c r="A605" i="11" s="1"/>
  <c r="A606" i="11" s="1"/>
  <c r="A607" i="11" s="1"/>
  <c r="A608" i="11" s="1"/>
  <c r="A609" i="11" s="1"/>
  <c r="A610" i="11" s="1"/>
  <c r="A611" i="11" s="1"/>
  <c r="A612" i="11" s="1"/>
  <c r="A613" i="11" s="1"/>
  <c r="A614" i="11" s="1"/>
  <c r="A615" i="11" s="1"/>
  <c r="A616" i="11" s="1"/>
  <c r="A617" i="11" s="1"/>
  <c r="A618" i="11" s="1"/>
  <c r="A619" i="11" s="1"/>
  <c r="A620" i="11" s="1"/>
  <c r="A621" i="11" s="1"/>
  <c r="A622" i="11" s="1"/>
  <c r="A623" i="11" s="1"/>
  <c r="A624" i="11" s="1"/>
  <c r="A625" i="11" s="1"/>
  <c r="A626" i="11" s="1"/>
  <c r="A627" i="11" s="1"/>
  <c r="A628" i="11" s="1"/>
  <c r="A629" i="11" s="1"/>
  <c r="A630" i="11" s="1"/>
  <c r="A631" i="11" s="1"/>
  <c r="A632" i="11" s="1"/>
  <c r="A633" i="11" s="1"/>
  <c r="A634" i="11" s="1"/>
  <c r="A635" i="11" s="1"/>
  <c r="A636" i="11" s="1"/>
  <c r="A637" i="11" s="1"/>
  <c r="A638" i="11" s="1"/>
  <c r="A639" i="11" s="1"/>
  <c r="A640" i="11" s="1"/>
  <c r="A641" i="11" s="1"/>
  <c r="A642" i="11" s="1"/>
  <c r="A643" i="11" s="1"/>
  <c r="A644" i="11" s="1"/>
  <c r="A645" i="11" s="1"/>
  <c r="A646" i="11" s="1"/>
  <c r="A647" i="11" s="1"/>
  <c r="A648" i="11" s="1"/>
  <c r="A649" i="11" s="1"/>
  <c r="A650" i="11" s="1"/>
  <c r="A651" i="11" s="1"/>
  <c r="A652" i="11" s="1"/>
  <c r="A653" i="11" s="1"/>
  <c r="A654" i="11" s="1"/>
  <c r="A655" i="11" s="1"/>
  <c r="A656" i="11" s="1"/>
  <c r="A657" i="11" s="1"/>
  <c r="A658" i="11" s="1"/>
  <c r="A659" i="11" s="1"/>
  <c r="A660" i="11" s="1"/>
  <c r="A661" i="11" s="1"/>
  <c r="A662" i="11" s="1"/>
  <c r="A663" i="11" s="1"/>
  <c r="A664" i="11" s="1"/>
  <c r="A665" i="11" s="1"/>
  <c r="A666" i="11" s="1"/>
  <c r="A667" i="11" s="1"/>
  <c r="A668" i="11" s="1"/>
  <c r="A669" i="11" s="1"/>
  <c r="A670" i="11" s="1"/>
  <c r="A671" i="11" s="1"/>
  <c r="A672" i="11" s="1"/>
  <c r="A673" i="11" s="1"/>
  <c r="A674" i="11" s="1"/>
  <c r="A675" i="11" s="1"/>
  <c r="A676" i="11" s="1"/>
  <c r="A677" i="11" s="1"/>
  <c r="A678" i="11" s="1"/>
  <c r="A679" i="11" s="1"/>
  <c r="A680" i="11" s="1"/>
  <c r="A681" i="11" s="1"/>
  <c r="A682" i="11" s="1"/>
  <c r="A683" i="11" s="1"/>
  <c r="A684" i="11" s="1"/>
  <c r="A685" i="11" s="1"/>
  <c r="A686" i="11" s="1"/>
  <c r="A687" i="11" s="1"/>
  <c r="A688" i="11" s="1"/>
  <c r="A689" i="11" s="1"/>
  <c r="A690" i="11" s="1"/>
  <c r="A691" i="11" s="1"/>
  <c r="A692" i="11" s="1"/>
  <c r="A693" i="11" s="1"/>
  <c r="A694" i="11" s="1"/>
  <c r="A695" i="11" s="1"/>
  <c r="A696" i="11" s="1"/>
  <c r="A697" i="11" s="1"/>
  <c r="A698" i="11" s="1"/>
  <c r="A699" i="11" s="1"/>
  <c r="A700" i="11" s="1"/>
  <c r="A701" i="11" s="1"/>
  <c r="A702" i="11" s="1"/>
  <c r="A703" i="11" s="1"/>
  <c r="A704" i="11" s="1"/>
  <c r="A705" i="11" s="1"/>
  <c r="A706" i="11" s="1"/>
  <c r="A707" i="11" s="1"/>
  <c r="A708" i="11" s="1"/>
  <c r="A709" i="11" s="1"/>
  <c r="A710" i="11" s="1"/>
  <c r="A711" i="11" s="1"/>
  <c r="A712" i="11" s="1"/>
  <c r="A713" i="11" s="1"/>
  <c r="A714" i="11" s="1"/>
  <c r="A715" i="11" s="1"/>
  <c r="A716" i="11" s="1"/>
  <c r="A717" i="11" s="1"/>
  <c r="A718" i="11" s="1"/>
  <c r="A719" i="11" s="1"/>
  <c r="A720" i="11" s="1"/>
  <c r="A721" i="11" s="1"/>
  <c r="A722" i="11" s="1"/>
  <c r="A723" i="11" s="1"/>
  <c r="A724" i="11" s="1"/>
  <c r="A725" i="11" s="1"/>
  <c r="A726" i="11" s="1"/>
  <c r="A727" i="11" s="1"/>
  <c r="A728" i="11" s="1"/>
  <c r="A729" i="11" s="1"/>
  <c r="A730" i="11" s="1"/>
  <c r="A731" i="11" s="1"/>
  <c r="A732" i="11" s="1"/>
  <c r="A733" i="11" s="1"/>
  <c r="A734" i="11" s="1"/>
  <c r="A735" i="11" s="1"/>
  <c r="A736" i="11" s="1"/>
  <c r="A737" i="11" s="1"/>
  <c r="A738" i="11" s="1"/>
  <c r="A739" i="11" s="1"/>
  <c r="A740" i="11" s="1"/>
  <c r="A741" i="11" s="1"/>
  <c r="A742" i="11" s="1"/>
  <c r="A743" i="11" s="1"/>
  <c r="A744" i="11" s="1"/>
  <c r="A745" i="11" s="1"/>
  <c r="A746" i="11" s="1"/>
  <c r="A747" i="11" s="1"/>
  <c r="A748" i="11" s="1"/>
  <c r="A749" i="11" s="1"/>
  <c r="A750" i="11" s="1"/>
  <c r="A751" i="11" s="1"/>
  <c r="A752" i="11" s="1"/>
  <c r="A753" i="11" s="1"/>
  <c r="A754" i="11" s="1"/>
  <c r="A755" i="11" s="1"/>
  <c r="A756" i="11" s="1"/>
  <c r="A757" i="11" s="1"/>
  <c r="A758" i="11" s="1"/>
  <c r="A759" i="11" s="1"/>
  <c r="A760" i="11" s="1"/>
  <c r="A761" i="11" s="1"/>
  <c r="A762" i="11" s="1"/>
  <c r="A763" i="11" s="1"/>
  <c r="A764" i="11" s="1"/>
  <c r="A765" i="11" s="1"/>
  <c r="A766" i="11" s="1"/>
  <c r="A767" i="11" s="1"/>
  <c r="A768" i="11" s="1"/>
  <c r="A769" i="11" s="1"/>
  <c r="A770" i="11" s="1"/>
  <c r="A771" i="11" s="1"/>
  <c r="A772" i="11" s="1"/>
  <c r="A773" i="11" s="1"/>
  <c r="A774" i="11" s="1"/>
  <c r="A775" i="11" s="1"/>
  <c r="A776" i="11" s="1"/>
  <c r="A777" i="11" s="1"/>
  <c r="A778" i="11" s="1"/>
  <c r="A779" i="11" s="1"/>
  <c r="A780" i="11" s="1"/>
  <c r="A781" i="11" s="1"/>
  <c r="A782" i="11" s="1"/>
  <c r="A783" i="11" s="1"/>
  <c r="A784" i="11" s="1"/>
  <c r="A785" i="11" s="1"/>
  <c r="A786" i="11" s="1"/>
  <c r="A787" i="11" s="1"/>
  <c r="A788" i="11" s="1"/>
  <c r="A789" i="11" s="1"/>
  <c r="A790" i="11" s="1"/>
  <c r="A791" i="11" s="1"/>
  <c r="A792" i="11" s="1"/>
  <c r="A793" i="11" s="1"/>
  <c r="A794" i="11" s="1"/>
  <c r="A795" i="11" s="1"/>
  <c r="A796" i="11" s="1"/>
  <c r="A797" i="11" s="1"/>
  <c r="A798" i="11" s="1"/>
  <c r="A799" i="11" s="1"/>
  <c r="A800" i="11" s="1"/>
  <c r="A801" i="11" s="1"/>
  <c r="A802" i="11" s="1"/>
  <c r="A803" i="11" s="1"/>
  <c r="A804" i="11" s="1"/>
  <c r="A805" i="11" s="1"/>
  <c r="A806" i="11" s="1"/>
  <c r="A807" i="11" s="1"/>
  <c r="A808" i="11" s="1"/>
  <c r="A809" i="11" s="1"/>
  <c r="A810" i="11" s="1"/>
  <c r="A811" i="11" s="1"/>
  <c r="A812" i="11" s="1"/>
  <c r="A813" i="11" s="1"/>
  <c r="A814" i="11" s="1"/>
  <c r="A815" i="11" s="1"/>
  <c r="A816" i="11" s="1"/>
  <c r="A817" i="11" s="1"/>
  <c r="A818" i="11" s="1"/>
  <c r="A819" i="11" s="1"/>
  <c r="A820" i="11" s="1"/>
  <c r="A821" i="11" s="1"/>
  <c r="A822" i="11" s="1"/>
  <c r="A823" i="11" s="1"/>
  <c r="A824" i="11" s="1"/>
  <c r="A825" i="11" s="1"/>
  <c r="A826" i="11" s="1"/>
  <c r="A827" i="11" s="1"/>
  <c r="A828" i="11" s="1"/>
  <c r="A829" i="11" s="1"/>
  <c r="A830" i="11" s="1"/>
  <c r="A831" i="11" s="1"/>
  <c r="A832" i="11" s="1"/>
  <c r="A833" i="11" s="1"/>
  <c r="A834" i="11" s="1"/>
  <c r="A835" i="11" s="1"/>
  <c r="A836" i="11" s="1"/>
  <c r="A837" i="11" s="1"/>
  <c r="A838" i="11" s="1"/>
  <c r="A839" i="11" s="1"/>
  <c r="A840" i="11" s="1"/>
  <c r="A841" i="11" s="1"/>
  <c r="A842" i="11" s="1"/>
  <c r="A843" i="11" s="1"/>
  <c r="A844" i="11" s="1"/>
  <c r="A845" i="11" s="1"/>
  <c r="A846" i="11" s="1"/>
  <c r="A847" i="11" s="1"/>
  <c r="A848" i="11" s="1"/>
  <c r="A849" i="11" s="1"/>
  <c r="A850" i="11" s="1"/>
  <c r="A851" i="11" s="1"/>
  <c r="A852" i="11" s="1"/>
  <c r="A853" i="11" s="1"/>
  <c r="A854" i="11" s="1"/>
  <c r="A855" i="11" s="1"/>
  <c r="A856" i="11" s="1"/>
  <c r="A857" i="11" s="1"/>
  <c r="A858" i="11" s="1"/>
  <c r="A859" i="11" s="1"/>
  <c r="A860" i="11" s="1"/>
  <c r="A861" i="11" s="1"/>
  <c r="A862" i="11" s="1"/>
  <c r="A863" i="11" s="1"/>
  <c r="A864" i="11" s="1"/>
  <c r="A865" i="11" s="1"/>
  <c r="A866" i="11" s="1"/>
  <c r="A867" i="11" s="1"/>
  <c r="A868" i="11" s="1"/>
  <c r="A869" i="11" s="1"/>
  <c r="A870" i="11" s="1"/>
  <c r="A871" i="11" s="1"/>
  <c r="A872" i="11" s="1"/>
  <c r="A873" i="11" s="1"/>
  <c r="A874" i="11" s="1"/>
  <c r="A875" i="11" s="1"/>
  <c r="A876" i="11" s="1"/>
  <c r="A877" i="11" s="1"/>
  <c r="A878" i="11" s="1"/>
  <c r="A879" i="11" s="1"/>
  <c r="A880" i="11" s="1"/>
  <c r="A881" i="11" s="1"/>
  <c r="A882" i="11" s="1"/>
  <c r="A883" i="11" s="1"/>
  <c r="A884" i="11" s="1"/>
  <c r="A885" i="11" s="1"/>
  <c r="A886" i="11" s="1"/>
  <c r="A887" i="11" s="1"/>
  <c r="A888" i="11" s="1"/>
  <c r="A889" i="11" s="1"/>
  <c r="A890" i="11" s="1"/>
  <c r="A891" i="11" s="1"/>
  <c r="A892" i="11" s="1"/>
  <c r="A893" i="11" s="1"/>
  <c r="A894" i="11" s="1"/>
  <c r="A895" i="11" s="1"/>
  <c r="A896" i="11" s="1"/>
  <c r="A897" i="11" s="1"/>
  <c r="A898" i="11" s="1"/>
  <c r="A899" i="11" s="1"/>
  <c r="A900" i="11" s="1"/>
  <c r="A901" i="11" s="1"/>
  <c r="A902" i="11" s="1"/>
  <c r="A903" i="11" s="1"/>
  <c r="A904" i="11" s="1"/>
  <c r="A905" i="11" s="1"/>
  <c r="A906" i="11" s="1"/>
  <c r="A907" i="11" s="1"/>
  <c r="A908" i="11" s="1"/>
  <c r="A909" i="11" s="1"/>
  <c r="A910" i="11" s="1"/>
  <c r="A911" i="11" s="1"/>
  <c r="A912" i="11" s="1"/>
  <c r="A913" i="11" s="1"/>
  <c r="A914" i="11" s="1"/>
  <c r="A915" i="11" s="1"/>
  <c r="A916" i="11" s="1"/>
  <c r="A917" i="11" s="1"/>
  <c r="A918" i="11" s="1"/>
  <c r="A919" i="11" s="1"/>
  <c r="A920" i="11" s="1"/>
  <c r="A921" i="11" s="1"/>
  <c r="A922" i="11" s="1"/>
  <c r="A923" i="11" s="1"/>
  <c r="A924" i="11" s="1"/>
  <c r="A925" i="11" s="1"/>
  <c r="A926" i="11" s="1"/>
  <c r="A927" i="11" s="1"/>
  <c r="A928" i="11" s="1"/>
  <c r="A929" i="11" s="1"/>
  <c r="A930" i="11" s="1"/>
  <c r="A931" i="11" s="1"/>
  <c r="A932" i="11" s="1"/>
  <c r="A933" i="11" s="1"/>
  <c r="A934" i="11" s="1"/>
  <c r="A935" i="11" s="1"/>
  <c r="A936" i="11" s="1"/>
  <c r="A937" i="11" s="1"/>
  <c r="A938" i="11" s="1"/>
  <c r="A939" i="11" s="1"/>
  <c r="A940" i="11" s="1"/>
  <c r="A941" i="11" s="1"/>
  <c r="A942" i="11" s="1"/>
  <c r="A943" i="11" s="1"/>
  <c r="A944" i="11" s="1"/>
  <c r="A945" i="11" s="1"/>
  <c r="A946" i="11" s="1"/>
  <c r="A947" i="11" s="1"/>
  <c r="A948" i="11" s="1"/>
  <c r="A949" i="11" s="1"/>
  <c r="A950" i="11" s="1"/>
  <c r="A951" i="11" s="1"/>
  <c r="A952" i="11" s="1"/>
  <c r="A953" i="11" s="1"/>
  <c r="A954" i="11" s="1"/>
  <c r="A955" i="11" s="1"/>
  <c r="A956" i="11" s="1"/>
  <c r="A957" i="11" s="1"/>
  <c r="A958" i="11" s="1"/>
  <c r="A959" i="11" s="1"/>
  <c r="A960" i="11" s="1"/>
  <c r="A961" i="11" s="1"/>
  <c r="A962" i="11" s="1"/>
  <c r="A963" i="11" s="1"/>
  <c r="A964" i="11" s="1"/>
  <c r="A965" i="11" s="1"/>
  <c r="A966" i="11" s="1"/>
  <c r="A967" i="11" s="1"/>
  <c r="A968" i="11" s="1"/>
  <c r="A969" i="11" s="1"/>
  <c r="A970" i="11" s="1"/>
  <c r="A971" i="11" s="1"/>
  <c r="A972" i="11" s="1"/>
  <c r="A973" i="11" s="1"/>
  <c r="A974" i="11" s="1"/>
  <c r="A975" i="11" s="1"/>
  <c r="A976" i="11" s="1"/>
  <c r="A977" i="11" s="1"/>
  <c r="A978" i="11" s="1"/>
  <c r="A979" i="11" s="1"/>
  <c r="A980" i="11" s="1"/>
  <c r="A981" i="11" s="1"/>
  <c r="A982" i="11" s="1"/>
  <c r="A983" i="11" s="1"/>
  <c r="A984" i="11" s="1"/>
  <c r="A985" i="11" s="1"/>
  <c r="A986" i="11" s="1"/>
  <c r="A987" i="11" s="1"/>
  <c r="A988" i="11" s="1"/>
  <c r="A989" i="11" s="1"/>
  <c r="A990" i="11" s="1"/>
  <c r="A991" i="11" s="1"/>
  <c r="A992" i="11" s="1"/>
  <c r="A993" i="11" s="1"/>
  <c r="A994" i="11" s="1"/>
  <c r="A995" i="11" s="1"/>
  <c r="A996" i="11" s="1"/>
  <c r="A997" i="11" s="1"/>
  <c r="A998" i="11" s="1"/>
  <c r="A999" i="11" s="1"/>
  <c r="A1000" i="11" s="1"/>
  <c r="A1001" i="11" s="1"/>
  <c r="A1002" i="11" s="1"/>
  <c r="A1003" i="11" s="1"/>
  <c r="A1004" i="11" s="1"/>
  <c r="A1005" i="11" s="1"/>
  <c r="A1006" i="11" s="1"/>
  <c r="A1007" i="11" s="1"/>
  <c r="A1008" i="11" s="1"/>
  <c r="A1009" i="11" s="1"/>
  <c r="A1010" i="11" s="1"/>
  <c r="A1011" i="11" s="1"/>
  <c r="A1012" i="11" s="1"/>
  <c r="A1013" i="11" s="1"/>
  <c r="A1014" i="11" s="1"/>
  <c r="A1015" i="11" s="1"/>
  <c r="A1016" i="11" s="1"/>
  <c r="A1017" i="11" s="1"/>
  <c r="A1018" i="11" s="1"/>
  <c r="A1019" i="11" s="1"/>
  <c r="A1020" i="11" s="1"/>
  <c r="A1021" i="11" s="1"/>
  <c r="A1022" i="11" s="1"/>
  <c r="A1023" i="11" s="1"/>
  <c r="A1024" i="11" s="1"/>
  <c r="A1025" i="11" s="1"/>
  <c r="A1026" i="11" s="1"/>
  <c r="A1027" i="11" s="1"/>
  <c r="A1028" i="11" s="1"/>
  <c r="A1029" i="11" s="1"/>
  <c r="A1030" i="11" s="1"/>
  <c r="A1031" i="11" s="1"/>
  <c r="A1032" i="11" s="1"/>
  <c r="A1033" i="11" s="1"/>
  <c r="A1034" i="11" s="1"/>
  <c r="A1035" i="11" s="1"/>
  <c r="A1036" i="11" s="1"/>
  <c r="A1037" i="11" s="1"/>
  <c r="A1038" i="11" s="1"/>
  <c r="A1039" i="11" s="1"/>
  <c r="A1040" i="11" s="1"/>
  <c r="A1041" i="11" s="1"/>
  <c r="A1042" i="11" s="1"/>
  <c r="A1043" i="11" s="1"/>
  <c r="A1044" i="11" s="1"/>
  <c r="A1045" i="11" s="1"/>
  <c r="A1046" i="11" s="1"/>
  <c r="A1047" i="11" s="1"/>
  <c r="A1048" i="11" s="1"/>
  <c r="A1049" i="11" s="1"/>
  <c r="A1050" i="11" s="1"/>
  <c r="A1051" i="11" s="1"/>
  <c r="A1052" i="11" s="1"/>
  <c r="A1053" i="11" s="1"/>
  <c r="A1054" i="11" s="1"/>
  <c r="A1055" i="11" s="1"/>
  <c r="A1056" i="11" s="1"/>
  <c r="A1057" i="11" s="1"/>
  <c r="A1058" i="11" s="1"/>
  <c r="A1059" i="11" s="1"/>
  <c r="A1060" i="11" s="1"/>
  <c r="A1061" i="11" s="1"/>
  <c r="A1062" i="11" s="1"/>
  <c r="A1063" i="11" s="1"/>
  <c r="A1064" i="11" s="1"/>
  <c r="A1065" i="11" s="1"/>
  <c r="A1066" i="11" s="1"/>
  <c r="A1067" i="11" s="1"/>
  <c r="A1068" i="11" s="1"/>
  <c r="A1069" i="11" s="1"/>
  <c r="A1070" i="11" s="1"/>
  <c r="A1071" i="11" s="1"/>
  <c r="A1072" i="11" s="1"/>
  <c r="A1073" i="11" s="1"/>
  <c r="A1074" i="11" s="1"/>
  <c r="A1075" i="11" s="1"/>
  <c r="A1076" i="11" s="1"/>
  <c r="A1077" i="11" s="1"/>
  <c r="A1078" i="11" s="1"/>
  <c r="A1079" i="11" s="1"/>
  <c r="A1080" i="11" s="1"/>
  <c r="A1081" i="11" s="1"/>
  <c r="A1082" i="11" s="1"/>
  <c r="A1083" i="11" s="1"/>
  <c r="A1084" i="11" s="1"/>
  <c r="A1085" i="11" s="1"/>
  <c r="A1086" i="11" s="1"/>
  <c r="A1087" i="11" s="1"/>
  <c r="A1088" i="11" s="1"/>
  <c r="A1089" i="11" s="1"/>
  <c r="A1090" i="11" s="1"/>
  <c r="A1091" i="11" s="1"/>
  <c r="A1092" i="11" s="1"/>
  <c r="A1093" i="11" s="1"/>
  <c r="A1094" i="11" s="1"/>
  <c r="A1095" i="11" s="1"/>
  <c r="A1096" i="11" s="1"/>
  <c r="A1097" i="11" s="1"/>
  <c r="A1098" i="11" s="1"/>
  <c r="A1099" i="11" s="1"/>
  <c r="A1100" i="11" s="1"/>
  <c r="A1101" i="11" s="1"/>
  <c r="A1102" i="11" s="1"/>
  <c r="A1103" i="11" s="1"/>
  <c r="A1104" i="11" s="1"/>
  <c r="A1105" i="11" s="1"/>
  <c r="A1106" i="11" s="1"/>
  <c r="A1107" i="11" s="1"/>
  <c r="A1108" i="11" s="1"/>
  <c r="A1109" i="11" s="1"/>
  <c r="A1110" i="11" s="1"/>
  <c r="A1111" i="11" s="1"/>
  <c r="A1112" i="11" s="1"/>
  <c r="A1113" i="11" s="1"/>
  <c r="A1114" i="11" s="1"/>
  <c r="A1115" i="11" s="1"/>
  <c r="A1116" i="11" s="1"/>
  <c r="A1117" i="11" s="1"/>
  <c r="A1118" i="11" s="1"/>
  <c r="A1119" i="11" s="1"/>
  <c r="A1120" i="11" s="1"/>
  <c r="A1121" i="11" s="1"/>
  <c r="BC38" i="4"/>
  <c r="AK28" i="4"/>
  <c r="BC24" i="4"/>
  <c r="BC36" i="4"/>
  <c r="AK51" i="4"/>
  <c r="AK10" i="4"/>
  <c r="AK44" i="4"/>
  <c r="AK40" i="4"/>
  <c r="AK102" i="4"/>
  <c r="AK87" i="4"/>
  <c r="AK53" i="4"/>
  <c r="AK2" i="4"/>
  <c r="BC40" i="4"/>
  <c r="BC41" i="4"/>
  <c r="BC46" i="4"/>
  <c r="AK15" i="4"/>
  <c r="AK69" i="4"/>
  <c r="AK56" i="4"/>
  <c r="AK52" i="4"/>
  <c r="BC19" i="4"/>
  <c r="BC32" i="4"/>
  <c r="AK35" i="4"/>
  <c r="AK20" i="4"/>
  <c r="AK77" i="4"/>
  <c r="AK41" i="4"/>
  <c r="AK79" i="4"/>
  <c r="AK57" i="4"/>
  <c r="AK101" i="4"/>
  <c r="AK9" i="4"/>
  <c r="AK50" i="4"/>
  <c r="AK62" i="4"/>
  <c r="AK60" i="4"/>
  <c r="BC21" i="4"/>
  <c r="AK37" i="4"/>
  <c r="AK3" i="4"/>
  <c r="AK21" i="4"/>
  <c r="BC49" i="4"/>
  <c r="BC44" i="4"/>
  <c r="AK8" i="4"/>
  <c r="AK61" i="4"/>
  <c r="AK97" i="4"/>
  <c r="AK42" i="4"/>
  <c r="AS2" i="4" a="1"/>
  <c r="Z223" i="42" l="1"/>
  <c r="AB223" i="42" s="1"/>
  <c r="T223" i="42"/>
  <c r="AS263" i="1"/>
  <c r="AS266" i="1"/>
  <c r="Y293" i="1"/>
  <c r="AA293" i="1" s="1"/>
  <c r="S293" i="1"/>
  <c r="Z293" i="42"/>
  <c r="AB293" i="42" s="1"/>
  <c r="T293" i="42"/>
  <c r="S217" i="1"/>
  <c r="Y217" i="1"/>
  <c r="AA217" i="1" s="1"/>
  <c r="T71" i="42"/>
  <c r="Z71" i="42"/>
  <c r="AB71" i="42" s="1"/>
  <c r="T37" i="42"/>
  <c r="Z37" i="42"/>
  <c r="AB37" i="42" s="1"/>
  <c r="S281" i="1"/>
  <c r="U281" i="1" s="1"/>
  <c r="T281" i="42"/>
  <c r="Z281" i="42"/>
  <c r="AB281" i="42" s="1"/>
  <c r="Z147" i="42"/>
  <c r="AB147" i="42" s="1"/>
  <c r="T147" i="42"/>
  <c r="Z217" i="42"/>
  <c r="AB217" i="42" s="1"/>
  <c r="T217" i="42"/>
  <c r="T204" i="42"/>
  <c r="Z204" i="42"/>
  <c r="AB204" i="42" s="1"/>
  <c r="T273" i="42"/>
  <c r="Z273" i="42"/>
  <c r="AB273" i="42" s="1"/>
  <c r="S59" i="1"/>
  <c r="U59" i="1" s="1"/>
  <c r="Z59" i="42"/>
  <c r="AB59" i="42" s="1"/>
  <c r="T59" i="42"/>
  <c r="T76" i="42"/>
  <c r="Z76" i="42"/>
  <c r="AB76" i="42" s="1"/>
  <c r="S54" i="1"/>
  <c r="U54" i="1" s="1"/>
  <c r="T54" i="42"/>
  <c r="Z54" i="42"/>
  <c r="AB54" i="42" s="1"/>
  <c r="S182" i="1"/>
  <c r="U182" i="1" s="1"/>
  <c r="Z112" i="42"/>
  <c r="AB112" i="42" s="1"/>
  <c r="T112" i="42"/>
  <c r="Z224" i="42"/>
  <c r="AB224" i="42" s="1"/>
  <c r="T224" i="42"/>
  <c r="Z258" i="42"/>
  <c r="AB258" i="42" s="1"/>
  <c r="T258" i="42"/>
  <c r="Z246" i="42"/>
  <c r="AB246" i="42" s="1"/>
  <c r="T246" i="42"/>
  <c r="Z275" i="42"/>
  <c r="AB275" i="42" s="1"/>
  <c r="T275" i="42"/>
  <c r="Z194" i="42"/>
  <c r="AB194" i="42" s="1"/>
  <c r="T194" i="42"/>
  <c r="T263" i="42"/>
  <c r="Z263" i="42"/>
  <c r="AB263" i="42" s="1"/>
  <c r="Z121" i="42"/>
  <c r="AB121" i="42" s="1"/>
  <c r="T121" i="42"/>
  <c r="S75" i="1"/>
  <c r="U75" i="1" s="1"/>
  <c r="Z155" i="42"/>
  <c r="AB155" i="42" s="1"/>
  <c r="T155" i="42"/>
  <c r="T230" i="42"/>
  <c r="Z230" i="42"/>
  <c r="AB230" i="42" s="1"/>
  <c r="T115" i="42"/>
  <c r="Z115" i="42"/>
  <c r="AB115" i="42" s="1"/>
  <c r="Z191" i="42"/>
  <c r="AB191" i="42" s="1"/>
  <c r="T191" i="42"/>
  <c r="Z137" i="42"/>
  <c r="AB137" i="42" s="1"/>
  <c r="T137" i="42"/>
  <c r="AC84" i="42"/>
  <c r="V84" i="42"/>
  <c r="V34" i="42"/>
  <c r="AC34" i="42"/>
  <c r="T180" i="42"/>
  <c r="Z180" i="42"/>
  <c r="AB180" i="42" s="1"/>
  <c r="T208" i="42"/>
  <c r="Z208" i="42"/>
  <c r="AB208" i="42" s="1"/>
  <c r="S151" i="1"/>
  <c r="U151" i="1" s="1"/>
  <c r="T151" i="42"/>
  <c r="Z151" i="42"/>
  <c r="AB151" i="42" s="1"/>
  <c r="T291" i="42"/>
  <c r="Z291" i="42"/>
  <c r="AB291" i="42" s="1"/>
  <c r="T131" i="42"/>
  <c r="Z131" i="42"/>
  <c r="AB131" i="42" s="1"/>
  <c r="T176" i="42"/>
  <c r="Z176" i="42"/>
  <c r="AB176" i="42" s="1"/>
  <c r="Z289" i="42"/>
  <c r="AB289" i="42" s="1"/>
  <c r="T289" i="42"/>
  <c r="S107" i="1"/>
  <c r="U107" i="1" s="1"/>
  <c r="Z107" i="42"/>
  <c r="AB107" i="42" s="1"/>
  <c r="T107" i="42"/>
  <c r="T226" i="42"/>
  <c r="Z226" i="42"/>
  <c r="AB226" i="42" s="1"/>
  <c r="Z221" i="42"/>
  <c r="AB221" i="42" s="1"/>
  <c r="T221" i="42"/>
  <c r="T219" i="42"/>
  <c r="Z219" i="42"/>
  <c r="AB219" i="42" s="1"/>
  <c r="Z254" i="42"/>
  <c r="AB254" i="42" s="1"/>
  <c r="T254" i="42"/>
  <c r="T73" i="42"/>
  <c r="Z73" i="42"/>
  <c r="AB73" i="42" s="1"/>
  <c r="T225" i="42"/>
  <c r="Z225" i="42"/>
  <c r="AB225" i="42" s="1"/>
  <c r="T247" i="42"/>
  <c r="Z247" i="42"/>
  <c r="AB247" i="42" s="1"/>
  <c r="Z261" i="42"/>
  <c r="AB261" i="42" s="1"/>
  <c r="T261" i="42"/>
  <c r="T238" i="42"/>
  <c r="Z238" i="42"/>
  <c r="AB238" i="42" s="1"/>
  <c r="T277" i="42"/>
  <c r="Z277" i="42"/>
  <c r="AB277" i="42" s="1"/>
  <c r="T146" i="42"/>
  <c r="Z146" i="42"/>
  <c r="AB146" i="42" s="1"/>
  <c r="T216" i="42"/>
  <c r="Z216" i="42"/>
  <c r="AB216" i="42" s="1"/>
  <c r="T202" i="42"/>
  <c r="Z202" i="42"/>
  <c r="AB202" i="42" s="1"/>
  <c r="Z262" i="42"/>
  <c r="AB262" i="42" s="1"/>
  <c r="T262" i="42"/>
  <c r="S7" i="1"/>
  <c r="U7" i="1" s="1"/>
  <c r="T7" i="42"/>
  <c r="Z7" i="42"/>
  <c r="AB7" i="42" s="1"/>
  <c r="T181" i="42"/>
  <c r="Z181" i="42"/>
  <c r="AB181" i="42" s="1"/>
  <c r="T233" i="42"/>
  <c r="Z233" i="42"/>
  <c r="AB233" i="42" s="1"/>
  <c r="AC165" i="42"/>
  <c r="V165" i="42"/>
  <c r="Z178" i="42"/>
  <c r="AB178" i="42" s="1"/>
  <c r="T178" i="42"/>
  <c r="T259" i="42"/>
  <c r="Z259" i="42"/>
  <c r="AB259" i="42" s="1"/>
  <c r="S98" i="1"/>
  <c r="U98" i="1" s="1"/>
  <c r="Z98" i="42"/>
  <c r="AB98" i="42" s="1"/>
  <c r="T98" i="42"/>
  <c r="T272" i="42"/>
  <c r="Z272" i="42"/>
  <c r="AB272" i="42" s="1"/>
  <c r="T207" i="42"/>
  <c r="Z207" i="42"/>
  <c r="AB207" i="42" s="1"/>
  <c r="T267" i="42"/>
  <c r="Z267" i="42"/>
  <c r="AB267" i="42" s="1"/>
  <c r="Z231" i="42"/>
  <c r="AB231" i="42" s="1"/>
  <c r="T231" i="42"/>
  <c r="T215" i="42"/>
  <c r="Z215" i="42"/>
  <c r="AB215" i="42" s="1"/>
  <c r="Z152" i="42"/>
  <c r="AB152" i="42" s="1"/>
  <c r="T152" i="42"/>
  <c r="Z122" i="42"/>
  <c r="AB122" i="42" s="1"/>
  <c r="T122" i="42"/>
  <c r="Z158" i="42"/>
  <c r="AB158" i="42" s="1"/>
  <c r="T158" i="42"/>
  <c r="T241" i="42"/>
  <c r="Z241" i="42"/>
  <c r="AB241" i="42" s="1"/>
  <c r="T72" i="42"/>
  <c r="Z72" i="42"/>
  <c r="AB72" i="42" s="1"/>
  <c r="Z150" i="42"/>
  <c r="AB150" i="42" s="1"/>
  <c r="T150" i="42"/>
  <c r="AC237" i="42"/>
  <c r="V237" i="42"/>
  <c r="AC132" i="42"/>
  <c r="V132" i="42"/>
  <c r="AC16" i="42"/>
  <c r="V16" i="42"/>
  <c r="S61" i="1"/>
  <c r="U61" i="1" s="1"/>
  <c r="Z61" i="42"/>
  <c r="AB61" i="42" s="1"/>
  <c r="T61" i="42"/>
  <c r="S5" i="1"/>
  <c r="Z5" i="42"/>
  <c r="AB5" i="42" s="1"/>
  <c r="T5" i="42"/>
  <c r="T234" i="42"/>
  <c r="Z234" i="42"/>
  <c r="AB234" i="42" s="1"/>
  <c r="Z196" i="42"/>
  <c r="AB196" i="42" s="1"/>
  <c r="T196" i="42"/>
  <c r="Z60" i="42"/>
  <c r="AB60" i="42" s="1"/>
  <c r="T60" i="42"/>
  <c r="Z185" i="42"/>
  <c r="AB185" i="42" s="1"/>
  <c r="T185" i="42"/>
  <c r="Z222" i="42"/>
  <c r="AB222" i="42" s="1"/>
  <c r="T222" i="42"/>
  <c r="Z160" i="42"/>
  <c r="AB160" i="42" s="1"/>
  <c r="T160" i="42"/>
  <c r="Z153" i="42"/>
  <c r="AB153" i="42" s="1"/>
  <c r="T153" i="42"/>
  <c r="T44" i="42"/>
  <c r="Z44" i="42"/>
  <c r="AB44" i="42" s="1"/>
  <c r="S280" i="1"/>
  <c r="U280" i="1" s="1"/>
  <c r="T280" i="42"/>
  <c r="Z280" i="42"/>
  <c r="AB280" i="42" s="1"/>
  <c r="Z205" i="42"/>
  <c r="AB205" i="42" s="1"/>
  <c r="T205" i="42"/>
  <c r="T210" i="42"/>
  <c r="Z210" i="42"/>
  <c r="AB210" i="42" s="1"/>
  <c r="Z70" i="42"/>
  <c r="AB70" i="42" s="1"/>
  <c r="T70" i="42"/>
  <c r="T164" i="42"/>
  <c r="Z164" i="42"/>
  <c r="AB164" i="42" s="1"/>
  <c r="S279" i="1"/>
  <c r="Z279" i="42"/>
  <c r="AB279" i="42" s="1"/>
  <c r="T279" i="42"/>
  <c r="S132" i="1"/>
  <c r="U132" i="1" s="1"/>
  <c r="T125" i="42"/>
  <c r="Z125" i="42"/>
  <c r="AB125" i="42" s="1"/>
  <c r="Z169" i="42"/>
  <c r="AB169" i="42" s="1"/>
  <c r="T169" i="42"/>
  <c r="T156" i="42"/>
  <c r="Z156" i="42"/>
  <c r="AB156" i="42" s="1"/>
  <c r="S113" i="1"/>
  <c r="U113" i="1" s="1"/>
  <c r="Z130" i="42"/>
  <c r="AB130" i="42" s="1"/>
  <c r="T130" i="42"/>
  <c r="AC236" i="42"/>
  <c r="V236" i="42"/>
  <c r="AC182" i="42"/>
  <c r="V182" i="42"/>
  <c r="AS265" i="1"/>
  <c r="AS264" i="1"/>
  <c r="S289" i="1"/>
  <c r="Y289" i="1"/>
  <c r="AA289" i="1" s="1"/>
  <c r="S291" i="1"/>
  <c r="Y291" i="1"/>
  <c r="AA291" i="1" s="1"/>
  <c r="Y300" i="1"/>
  <c r="AA300" i="1" s="1"/>
  <c r="S301" i="1"/>
  <c r="U301" i="1" s="1"/>
  <c r="S298" i="1"/>
  <c r="U298" i="1" s="1"/>
  <c r="S303" i="1"/>
  <c r="U303" i="1" s="1"/>
  <c r="Y298" i="1"/>
  <c r="AA298" i="1" s="1"/>
  <c r="Y303" i="1"/>
  <c r="AA303" i="1" s="1"/>
  <c r="S299" i="1"/>
  <c r="U299" i="1" s="1"/>
  <c r="Y299" i="1"/>
  <c r="AA299" i="1" s="1"/>
  <c r="Y301" i="1"/>
  <c r="S300" i="1"/>
  <c r="U300" i="1" s="1"/>
  <c r="S155" i="1"/>
  <c r="U155" i="1" s="1"/>
  <c r="S176" i="1"/>
  <c r="U176" i="1" s="1"/>
  <c r="S258" i="1"/>
  <c r="Y258" i="1"/>
  <c r="AA258" i="1" s="1"/>
  <c r="AS259" i="1"/>
  <c r="AS261" i="1"/>
  <c r="AS260" i="1"/>
  <c r="S173" i="1"/>
  <c r="U173" i="1" s="1"/>
  <c r="Y277" i="1"/>
  <c r="AA277" i="1" s="1"/>
  <c r="S185" i="1"/>
  <c r="U185" i="1" s="1"/>
  <c r="Y267" i="1"/>
  <c r="AA267" i="1" s="1"/>
  <c r="S112" i="1"/>
  <c r="U112" i="1" s="1"/>
  <c r="S147" i="1"/>
  <c r="U147" i="1" s="1"/>
  <c r="S158" i="1"/>
  <c r="U158" i="1" s="1"/>
  <c r="Y76" i="1"/>
  <c r="AA76" i="1" s="1"/>
  <c r="S72" i="1"/>
  <c r="U72" i="1" s="1"/>
  <c r="Y182" i="1"/>
  <c r="AA182" i="1" s="1"/>
  <c r="S125" i="1"/>
  <c r="U125" i="1" s="1"/>
  <c r="Y280" i="1"/>
  <c r="AA280" i="1" s="1"/>
  <c r="S219" i="1"/>
  <c r="U219" i="1" s="1"/>
  <c r="AA5" i="26" a="1"/>
  <c r="AA5" i="26" s="1"/>
  <c r="AS6" i="26" a="1"/>
  <c r="AS6" i="26" s="1"/>
  <c r="AA11" i="26" a="1"/>
  <c r="AA11" i="26" s="1"/>
  <c r="Y263" i="1"/>
  <c r="AA263" i="1" s="1"/>
  <c r="Y262" i="1"/>
  <c r="AA262" i="1" s="1"/>
  <c r="S76" i="1"/>
  <c r="U76" i="1" s="1"/>
  <c r="S49" i="1"/>
  <c r="U49" i="1" s="1"/>
  <c r="Y71" i="1"/>
  <c r="AA71" i="1" s="1"/>
  <c r="S71" i="1"/>
  <c r="S178" i="1"/>
  <c r="U178" i="1" s="1"/>
  <c r="Y281" i="1"/>
  <c r="AA281" i="1" s="1"/>
  <c r="S233" i="1"/>
  <c r="U233" i="1" s="1"/>
  <c r="Y261" i="1"/>
  <c r="AA261" i="1" s="1"/>
  <c r="S137" i="1"/>
  <c r="U137" i="1" s="1"/>
  <c r="Y279" i="1"/>
  <c r="AA279" i="1" s="1"/>
  <c r="Y233" i="1"/>
  <c r="AA233" i="1" s="1"/>
  <c r="Y155" i="1"/>
  <c r="AA155" i="1" s="1"/>
  <c r="S196" i="1"/>
  <c r="U196" i="1" s="1"/>
  <c r="S241" i="1"/>
  <c r="Y241" i="1"/>
  <c r="AA241" i="1" s="1"/>
  <c r="S262" i="1"/>
  <c r="S248" i="1"/>
  <c r="U248" i="1" s="1"/>
  <c r="S277" i="1"/>
  <c r="S261" i="1"/>
  <c r="S263" i="1"/>
  <c r="Y259" i="1"/>
  <c r="AA259" i="1" s="1"/>
  <c r="S259" i="1"/>
  <c r="U259" i="1" s="1"/>
  <c r="S251" i="1"/>
  <c r="U251" i="1" s="1"/>
  <c r="S207" i="1"/>
  <c r="U207" i="1" s="1"/>
  <c r="S191" i="1"/>
  <c r="S119" i="1"/>
  <c r="U119" i="1" s="1"/>
  <c r="S221" i="1"/>
  <c r="U221" i="1" s="1"/>
  <c r="S160" i="1"/>
  <c r="U160" i="1" s="1"/>
  <c r="S114" i="1"/>
  <c r="U114" i="1" s="1"/>
  <c r="S216" i="1"/>
  <c r="U216" i="1" s="1"/>
  <c r="S209" i="1"/>
  <c r="U209" i="1" s="1"/>
  <c r="S246" i="1"/>
  <c r="U246" i="1" s="1"/>
  <c r="S267" i="1"/>
  <c r="S212" i="1"/>
  <c r="U212" i="1" s="1"/>
  <c r="S170" i="1"/>
  <c r="U170" i="1" s="1"/>
  <c r="S121" i="1"/>
  <c r="U121" i="1" s="1"/>
  <c r="S202" i="1"/>
  <c r="S122" i="1"/>
  <c r="U122" i="1" s="1"/>
  <c r="S227" i="1"/>
  <c r="U227" i="1" s="1"/>
  <c r="S179" i="1"/>
  <c r="U179" i="1" s="1"/>
  <c r="S225" i="1"/>
  <c r="U225" i="1" s="1"/>
  <c r="S156" i="1"/>
  <c r="U156" i="1" s="1"/>
  <c r="S150" i="1"/>
  <c r="U150" i="1" s="1"/>
  <c r="S205" i="1"/>
  <c r="U205" i="1" s="1"/>
  <c r="S115" i="1"/>
  <c r="U115" i="1" s="1"/>
  <c r="S224" i="1"/>
  <c r="U224" i="1" s="1"/>
  <c r="S236" i="1"/>
  <c r="U236" i="1" s="1"/>
  <c r="S211" i="1"/>
  <c r="U211" i="1" s="1"/>
  <c r="S157" i="1"/>
  <c r="U157" i="1" s="1"/>
  <c r="S226" i="1"/>
  <c r="U226" i="1" s="1"/>
  <c r="S180" i="1"/>
  <c r="U180" i="1" s="1"/>
  <c r="S229" i="1"/>
  <c r="U229" i="1" s="1"/>
  <c r="S194" i="1"/>
  <c r="U194" i="1" s="1"/>
  <c r="S231" i="1"/>
  <c r="U231" i="1" s="1"/>
  <c r="S146" i="1"/>
  <c r="U146" i="1" s="1"/>
  <c r="S204" i="1"/>
  <c r="U204" i="1" s="1"/>
  <c r="S181" i="1"/>
  <c r="U181" i="1" s="1"/>
  <c r="S208" i="1"/>
  <c r="U208" i="1" s="1"/>
  <c r="S214" i="1"/>
  <c r="U214" i="1" s="1"/>
  <c r="S189" i="1"/>
  <c r="U189" i="1" s="1"/>
  <c r="S234" i="1"/>
  <c r="U234" i="1" s="1"/>
  <c r="S153" i="1"/>
  <c r="U153" i="1" s="1"/>
  <c r="Y117" i="1"/>
  <c r="AA117" i="1" s="1"/>
  <c r="S117" i="1"/>
  <c r="Y130" i="1"/>
  <c r="AA130" i="1" s="1"/>
  <c r="S130" i="1"/>
  <c r="Y44" i="1"/>
  <c r="AA44" i="1" s="1"/>
  <c r="S44" i="1"/>
  <c r="U44" i="1" s="1"/>
  <c r="Y152" i="1"/>
  <c r="AA152" i="1" s="1"/>
  <c r="S152" i="1"/>
  <c r="U152" i="1" s="1"/>
  <c r="Y148" i="1"/>
  <c r="AA148" i="1" s="1"/>
  <c r="S148" i="1"/>
  <c r="U148" i="1" s="1"/>
  <c r="Y169" i="1"/>
  <c r="AA169" i="1" s="1"/>
  <c r="S169" i="1"/>
  <c r="U169" i="1" s="1"/>
  <c r="Y70" i="1"/>
  <c r="AA70" i="1" s="1"/>
  <c r="S70" i="1"/>
  <c r="U70" i="1" s="1"/>
  <c r="Y73" i="1"/>
  <c r="AA73" i="1" s="1"/>
  <c r="S73" i="1"/>
  <c r="U73" i="1" s="1"/>
  <c r="Y136" i="1"/>
  <c r="AA136" i="1" s="1"/>
  <c r="S222" i="1"/>
  <c r="Y230" i="1"/>
  <c r="AA230" i="1" s="1"/>
  <c r="S230" i="1"/>
  <c r="U230" i="1" s="1"/>
  <c r="Y164" i="1"/>
  <c r="AA164" i="1" s="1"/>
  <c r="S164" i="1"/>
  <c r="U164" i="1" s="1"/>
  <c r="Y131" i="1"/>
  <c r="AA131" i="1" s="1"/>
  <c r="S131" i="1"/>
  <c r="Y60" i="1"/>
  <c r="AA60" i="1" s="1"/>
  <c r="S60" i="1"/>
  <c r="U60" i="1" s="1"/>
  <c r="Y37" i="1"/>
  <c r="AA37" i="1" s="1"/>
  <c r="S37" i="1"/>
  <c r="U37" i="1" s="1"/>
  <c r="Y237" i="1"/>
  <c r="AA237" i="1" s="1"/>
  <c r="S237" i="1"/>
  <c r="U237" i="1" s="1"/>
  <c r="Y222" i="1"/>
  <c r="AA222" i="1" s="1"/>
  <c r="Y248" i="1"/>
  <c r="AA248" i="1" s="1"/>
  <c r="Y7" i="1"/>
  <c r="AA7" i="1" s="1"/>
  <c r="AB165" i="1"/>
  <c r="AB16" i="1"/>
  <c r="AT113" i="4"/>
  <c r="AJ297" i="4"/>
  <c r="AJ296" i="4"/>
  <c r="AT112" i="4"/>
  <c r="AJ295" i="4"/>
  <c r="AT111" i="4"/>
  <c r="AJ294" i="4"/>
  <c r="AT110" i="4"/>
  <c r="AT109" i="4"/>
  <c r="AJ293" i="4"/>
  <c r="Y246" i="1"/>
  <c r="AA246" i="1" s="1"/>
  <c r="Y170" i="1"/>
  <c r="AA170" i="1" s="1"/>
  <c r="AJ115" i="1"/>
  <c r="AJ152" i="1"/>
  <c r="Y151" i="1"/>
  <c r="AA151" i="1" s="1"/>
  <c r="BE2" i="4" a="1"/>
  <c r="AN26" i="4"/>
  <c r="AE33" i="4"/>
  <c r="AE50" i="4"/>
  <c r="AE145" i="4"/>
  <c r="AE34" i="4"/>
  <c r="AN29" i="4"/>
  <c r="AE146" i="4"/>
  <c r="AE52" i="4"/>
  <c r="AE155" i="4"/>
  <c r="AN28" i="4"/>
  <c r="AE68" i="4"/>
  <c r="AE19" i="4"/>
  <c r="AE199" i="4"/>
  <c r="AN14" i="4"/>
  <c r="AE191" i="4"/>
  <c r="AB84" i="1"/>
  <c r="AE104" i="4"/>
  <c r="AN17" i="4"/>
  <c r="AE141" i="4"/>
  <c r="AN8" i="4"/>
  <c r="AF505" i="4" s="1"/>
  <c r="AE130" i="4"/>
  <c r="AE7" i="4"/>
  <c r="AE5" i="4"/>
  <c r="AE16" i="4"/>
  <c r="AN56" i="4"/>
  <c r="AE61" i="4"/>
  <c r="AN10" i="4"/>
  <c r="AE31" i="4"/>
  <c r="AE82" i="4"/>
  <c r="AE84" i="4"/>
  <c r="AE73" i="4"/>
  <c r="AE112" i="4"/>
  <c r="AE129" i="4"/>
  <c r="AE81" i="4"/>
  <c r="AE3" i="4"/>
  <c r="AE18" i="4"/>
  <c r="AE132" i="4"/>
  <c r="AE37" i="4"/>
  <c r="AE32" i="4"/>
  <c r="AE63" i="4"/>
  <c r="AE25" i="4"/>
  <c r="AE56" i="4"/>
  <c r="AE90" i="4"/>
  <c r="AE108" i="4"/>
  <c r="AE101" i="4"/>
  <c r="AE48" i="4"/>
  <c r="AE43" i="4"/>
  <c r="AE64" i="4"/>
  <c r="AE76" i="4"/>
  <c r="AN52" i="4"/>
  <c r="AN39" i="4"/>
  <c r="AN5" i="4"/>
  <c r="AF585" i="4" s="1"/>
  <c r="AN48" i="4"/>
  <c r="AE10" i="4"/>
  <c r="AE77" i="4"/>
  <c r="AE109" i="4"/>
  <c r="AN50" i="4"/>
  <c r="AF78" i="4" s="1"/>
  <c r="AE12" i="4"/>
  <c r="AE59" i="4"/>
  <c r="AE91" i="4"/>
  <c r="AE113" i="4"/>
  <c r="AE117" i="4"/>
  <c r="AE94" i="4"/>
  <c r="AE97" i="4"/>
  <c r="AN35" i="4"/>
  <c r="AF96" i="4" s="1"/>
  <c r="AE143" i="4"/>
  <c r="AE35" i="4"/>
  <c r="AN25" i="4"/>
  <c r="AE51" i="4"/>
  <c r="AE44" i="4"/>
  <c r="AE60" i="4"/>
  <c r="AE65" i="4"/>
  <c r="AN9" i="4"/>
  <c r="AE14" i="4"/>
  <c r="AN4" i="4"/>
  <c r="AN34" i="4"/>
  <c r="AE119" i="4"/>
  <c r="AE169" i="4"/>
  <c r="AE152" i="4"/>
  <c r="AE106" i="4"/>
  <c r="AN43" i="4"/>
  <c r="AN64" i="4"/>
  <c r="AE54" i="4"/>
  <c r="AN24" i="4"/>
  <c r="AB34" i="1"/>
  <c r="AE165" i="4"/>
  <c r="AN19" i="4"/>
  <c r="AE55" i="4"/>
  <c r="AN31" i="4"/>
  <c r="AE115" i="4"/>
  <c r="AN32" i="4"/>
  <c r="AO23" i="4"/>
  <c r="AO7" i="4"/>
  <c r="AF74" i="4"/>
  <c r="AE156" i="4"/>
  <c r="AE144" i="4"/>
  <c r="AN27" i="4"/>
  <c r="AE40" i="4"/>
  <c r="AE148" i="4"/>
  <c r="AE46" i="4"/>
  <c r="AN30" i="4"/>
  <c r="AE161" i="4"/>
  <c r="AN36" i="4"/>
  <c r="Y232" i="1"/>
  <c r="AA232" i="1" s="1"/>
  <c r="Y225" i="1"/>
  <c r="AA225" i="1" s="1"/>
  <c r="Y236" i="1"/>
  <c r="AA236" i="1" s="1"/>
  <c r="AS2" i="4"/>
  <c r="AT2" i="4" s="1"/>
  <c r="Y157" i="1"/>
  <c r="AA157" i="1" s="1"/>
  <c r="Y205" i="1"/>
  <c r="AA205" i="1" s="1"/>
  <c r="Y224" i="1"/>
  <c r="AA224" i="1" s="1"/>
  <c r="Y204" i="1"/>
  <c r="AA204" i="1" s="1"/>
  <c r="Y207" i="1"/>
  <c r="AA207" i="1" s="1"/>
  <c r="Y119" i="1"/>
  <c r="AA119" i="1" s="1"/>
  <c r="Y189" i="1"/>
  <c r="AA189" i="1" s="1"/>
  <c r="Y181" i="1"/>
  <c r="AA181" i="1" s="1"/>
  <c r="Y212" i="1"/>
  <c r="AA212" i="1" s="1"/>
  <c r="Y146" i="1"/>
  <c r="AA146" i="1" s="1"/>
  <c r="Y153" i="1"/>
  <c r="AA153" i="1" s="1"/>
  <c r="Y219" i="1"/>
  <c r="AA219" i="1" s="1"/>
  <c r="Y251" i="1"/>
  <c r="AA251" i="1" s="1"/>
  <c r="Y252" i="1"/>
  <c r="AA252" i="1" s="1"/>
  <c r="Y185" i="1"/>
  <c r="AA185" i="1" s="1"/>
  <c r="Y216" i="1"/>
  <c r="AA216" i="1" s="1"/>
  <c r="Y178" i="1"/>
  <c r="AA178" i="1" s="1"/>
  <c r="Y200" i="1"/>
  <c r="AA200" i="1" s="1"/>
  <c r="Y72" i="1"/>
  <c r="AA72" i="1" s="1"/>
  <c r="Y226" i="1"/>
  <c r="AA226" i="1" s="1"/>
  <c r="Y75" i="1"/>
  <c r="AA75" i="1" s="1"/>
  <c r="Y150" i="1"/>
  <c r="AA150" i="1" s="1"/>
  <c r="Y176" i="1"/>
  <c r="AA176" i="1" s="1"/>
  <c r="Y180" i="1"/>
  <c r="AA180" i="1" s="1"/>
  <c r="Y160" i="1"/>
  <c r="AA160" i="1" s="1"/>
  <c r="Y214" i="1"/>
  <c r="AA214" i="1" s="1"/>
  <c r="Y132" i="1"/>
  <c r="AA132" i="1" s="1"/>
  <c r="Y156" i="1"/>
  <c r="AA156" i="1" s="1"/>
  <c r="Y98" i="1"/>
  <c r="AA98" i="1" s="1"/>
  <c r="AK6" i="4"/>
  <c r="Y137" i="1"/>
  <c r="AA137" i="1" s="1"/>
  <c r="Y187" i="1"/>
  <c r="AA187" i="1" s="1"/>
  <c r="Y196" i="1"/>
  <c r="AA196" i="1" s="1"/>
  <c r="Y234" i="1"/>
  <c r="AA234" i="1" s="1"/>
  <c r="Y211" i="1"/>
  <c r="AA211" i="1" s="1"/>
  <c r="AK90" i="4"/>
  <c r="T266" i="42" s="1"/>
  <c r="Y220" i="1"/>
  <c r="AA220" i="1" s="1"/>
  <c r="Y239" i="1"/>
  <c r="AA239" i="1" s="1"/>
  <c r="Y240" i="1"/>
  <c r="AA240" i="1" s="1"/>
  <c r="Y191" i="1"/>
  <c r="AA191" i="1" s="1"/>
  <c r="Y229" i="1"/>
  <c r="AA229" i="1" s="1"/>
  <c r="Y227" i="1"/>
  <c r="AA227" i="1" s="1"/>
  <c r="Y231" i="1"/>
  <c r="AA231" i="1" s="1"/>
  <c r="Y197" i="1"/>
  <c r="AA197" i="1" s="1"/>
  <c r="Y179" i="1"/>
  <c r="AA179" i="1" s="1"/>
  <c r="Y158" i="1"/>
  <c r="AA158" i="1" s="1"/>
  <c r="Y122" i="1"/>
  <c r="AA122" i="1" s="1"/>
  <c r="Y112" i="1"/>
  <c r="AA112" i="1" s="1"/>
  <c r="Y54" i="1"/>
  <c r="AA54" i="1" s="1"/>
  <c r="Y125" i="1"/>
  <c r="AA125" i="1" s="1"/>
  <c r="Y147" i="1"/>
  <c r="AA147" i="1" s="1"/>
  <c r="Y114" i="1"/>
  <c r="AA114" i="1" s="1"/>
  <c r="Y121" i="1"/>
  <c r="AA121" i="1" s="1"/>
  <c r="Y59" i="1"/>
  <c r="AA59" i="1" s="1"/>
  <c r="Y194" i="1"/>
  <c r="AA194" i="1" s="1"/>
  <c r="Y115" i="1"/>
  <c r="AA115" i="1" s="1"/>
  <c r="Y202" i="1"/>
  <c r="AA202" i="1" s="1"/>
  <c r="Y107" i="1"/>
  <c r="AA107" i="1" s="1"/>
  <c r="Y221" i="1"/>
  <c r="AA221" i="1" s="1"/>
  <c r="Y61" i="1"/>
  <c r="AA61" i="1" s="1"/>
  <c r="Y49" i="1"/>
  <c r="AA49" i="1" s="1"/>
  <c r="Y5" i="1"/>
  <c r="AA5" i="1" s="1"/>
  <c r="Y209" i="1"/>
  <c r="AA209" i="1" s="1"/>
  <c r="Y173" i="1"/>
  <c r="AA173" i="1" s="1"/>
  <c r="Z266" i="42" l="1"/>
  <c r="AB266" i="42" s="1"/>
  <c r="AF504" i="4"/>
  <c r="AF586" i="4"/>
  <c r="AL212" i="42"/>
  <c r="AC223" i="42"/>
  <c r="V223" i="42"/>
  <c r="U5" i="1"/>
  <c r="AB113" i="1"/>
  <c r="AC293" i="42"/>
  <c r="V293" i="42"/>
  <c r="U293" i="1"/>
  <c r="AB293" i="1"/>
  <c r="AB217" i="1"/>
  <c r="U217" i="1"/>
  <c r="AC169" i="42"/>
  <c r="V169" i="42"/>
  <c r="AC44" i="42"/>
  <c r="V44" i="42"/>
  <c r="AC241" i="42"/>
  <c r="V241" i="42"/>
  <c r="AC215" i="42"/>
  <c r="V215" i="42"/>
  <c r="AC267" i="42"/>
  <c r="V267" i="42"/>
  <c r="AC272" i="42"/>
  <c r="V272" i="42"/>
  <c r="AC202" i="42"/>
  <c r="V202" i="42"/>
  <c r="AC146" i="42"/>
  <c r="V146" i="42"/>
  <c r="AC238" i="42"/>
  <c r="V238" i="42"/>
  <c r="AC247" i="42"/>
  <c r="V247" i="42"/>
  <c r="V73" i="42"/>
  <c r="AC73" i="42"/>
  <c r="AC219" i="42"/>
  <c r="V219" i="42"/>
  <c r="AC226" i="42"/>
  <c r="V226" i="42"/>
  <c r="AC289" i="42"/>
  <c r="V289" i="42"/>
  <c r="AC208" i="42"/>
  <c r="V208" i="42"/>
  <c r="AL176" i="42"/>
  <c r="AC115" i="42"/>
  <c r="V115" i="42"/>
  <c r="AC275" i="42"/>
  <c r="V275" i="42"/>
  <c r="AC258" i="42"/>
  <c r="V258" i="42"/>
  <c r="AC204" i="42"/>
  <c r="V204" i="42"/>
  <c r="S215" i="1"/>
  <c r="U215" i="1" s="1"/>
  <c r="Z250" i="42"/>
  <c r="AB250" i="42" s="1"/>
  <c r="T250" i="42"/>
  <c r="AC279" i="42"/>
  <c r="V279" i="42"/>
  <c r="AC164" i="42"/>
  <c r="V164" i="42"/>
  <c r="AC210" i="42"/>
  <c r="V210" i="42"/>
  <c r="AC280" i="42"/>
  <c r="V280" i="42"/>
  <c r="AC153" i="42"/>
  <c r="V153" i="42"/>
  <c r="AC222" i="42"/>
  <c r="V222" i="42"/>
  <c r="AC60" i="42"/>
  <c r="V60" i="42"/>
  <c r="V158" i="42"/>
  <c r="AC158" i="42"/>
  <c r="AC152" i="42"/>
  <c r="AL147" i="42"/>
  <c r="V152" i="42"/>
  <c r="AC231" i="42"/>
  <c r="V231" i="42"/>
  <c r="AC98" i="42"/>
  <c r="V98" i="42"/>
  <c r="AC259" i="42"/>
  <c r="V259" i="42"/>
  <c r="AC181" i="42"/>
  <c r="V181" i="42"/>
  <c r="AC262" i="42"/>
  <c r="V262" i="42"/>
  <c r="AC261" i="42"/>
  <c r="V261" i="42"/>
  <c r="AC254" i="42"/>
  <c r="V254" i="42"/>
  <c r="AC221" i="42"/>
  <c r="V221" i="42"/>
  <c r="AC107" i="42"/>
  <c r="V107" i="42"/>
  <c r="AC131" i="42"/>
  <c r="V131" i="42"/>
  <c r="AC151" i="42"/>
  <c r="V151" i="42"/>
  <c r="AC191" i="42"/>
  <c r="V191" i="42"/>
  <c r="AC263" i="42"/>
  <c r="V263" i="42"/>
  <c r="V266" i="42"/>
  <c r="V76" i="42"/>
  <c r="AC76" i="42"/>
  <c r="AC217" i="42"/>
  <c r="V217" i="42"/>
  <c r="AC37" i="42"/>
  <c r="V37" i="42"/>
  <c r="AC70" i="42"/>
  <c r="V70" i="42"/>
  <c r="AC205" i="42"/>
  <c r="V205" i="42"/>
  <c r="AC234" i="42"/>
  <c r="V234" i="42"/>
  <c r="AC61" i="42"/>
  <c r="V61" i="42"/>
  <c r="AC72" i="42"/>
  <c r="V72" i="42"/>
  <c r="AC207" i="42"/>
  <c r="V207" i="42"/>
  <c r="AC178" i="42"/>
  <c r="V178" i="42"/>
  <c r="AL169" i="42"/>
  <c r="AC216" i="42"/>
  <c r="V216" i="42"/>
  <c r="AC277" i="42"/>
  <c r="V277" i="42"/>
  <c r="AC225" i="42"/>
  <c r="V225" i="42"/>
  <c r="V180" i="42"/>
  <c r="AC180" i="42"/>
  <c r="AC230" i="42"/>
  <c r="V230" i="42"/>
  <c r="V121" i="42"/>
  <c r="AC121" i="42"/>
  <c r="AC194" i="42"/>
  <c r="V194" i="42"/>
  <c r="AC246" i="42"/>
  <c r="V246" i="42"/>
  <c r="AC224" i="42"/>
  <c r="V224" i="42"/>
  <c r="AC112" i="42"/>
  <c r="V112" i="42"/>
  <c r="AC54" i="42"/>
  <c r="V54" i="42"/>
  <c r="AC59" i="42"/>
  <c r="V59" i="42"/>
  <c r="AC273" i="42"/>
  <c r="V273" i="42"/>
  <c r="AC281" i="42"/>
  <c r="V281" i="42"/>
  <c r="S43" i="1"/>
  <c r="U43" i="1" s="1"/>
  <c r="Z43" i="42"/>
  <c r="AB43" i="42" s="1"/>
  <c r="T43" i="42"/>
  <c r="AC130" i="42"/>
  <c r="V130" i="42"/>
  <c r="AC156" i="42"/>
  <c r="V156" i="42"/>
  <c r="AC125" i="42"/>
  <c r="V125" i="42"/>
  <c r="AC160" i="42"/>
  <c r="V160" i="42"/>
  <c r="V185" i="42"/>
  <c r="AC185" i="42"/>
  <c r="AC196" i="42"/>
  <c r="V196" i="42"/>
  <c r="AC5" i="42"/>
  <c r="V5" i="42"/>
  <c r="V150" i="42"/>
  <c r="AC150" i="42"/>
  <c r="AC122" i="42"/>
  <c r="V122" i="42"/>
  <c r="AC233" i="42"/>
  <c r="V233" i="42"/>
  <c r="AC7" i="42"/>
  <c r="V7" i="42"/>
  <c r="AC176" i="42"/>
  <c r="V176" i="42"/>
  <c r="AC291" i="42"/>
  <c r="V291" i="42"/>
  <c r="V137" i="42"/>
  <c r="AC137" i="42"/>
  <c r="V155" i="42"/>
  <c r="AC155" i="42"/>
  <c r="AC147" i="42"/>
  <c r="AL152" i="42"/>
  <c r="V147" i="42"/>
  <c r="AC71" i="42"/>
  <c r="V71" i="42"/>
  <c r="BG15" i="4"/>
  <c r="BG16" i="4"/>
  <c r="BG17" i="4"/>
  <c r="BG18" i="4"/>
  <c r="BG14" i="4"/>
  <c r="BG19" i="4"/>
  <c r="AB289" i="1"/>
  <c r="U289" i="1"/>
  <c r="AF511" i="4"/>
  <c r="AF548" i="4"/>
  <c r="AB300" i="1"/>
  <c r="AB301" i="1"/>
  <c r="AA301" i="1"/>
  <c r="AB303" i="1"/>
  <c r="AB299" i="1"/>
  <c r="AB298" i="1"/>
  <c r="U291" i="1"/>
  <c r="AB291" i="1"/>
  <c r="S250" i="1"/>
  <c r="U250" i="1" s="1"/>
  <c r="Y250" i="1"/>
  <c r="AA250" i="1" s="1"/>
  <c r="Y266" i="1"/>
  <c r="AA266" i="1" s="1"/>
  <c r="S266" i="1"/>
  <c r="U266" i="1" s="1"/>
  <c r="S275" i="1"/>
  <c r="U275" i="1" s="1"/>
  <c r="Y275" i="1"/>
  <c r="AA275" i="1" s="1"/>
  <c r="S273" i="1"/>
  <c r="U273" i="1" s="1"/>
  <c r="Y273" i="1"/>
  <c r="AA273" i="1" s="1"/>
  <c r="S272" i="1"/>
  <c r="U272" i="1" s="1"/>
  <c r="Y272" i="1"/>
  <c r="AA272" i="1" s="1"/>
  <c r="S247" i="1"/>
  <c r="U247" i="1" s="1"/>
  <c r="Y247" i="1"/>
  <c r="AA247" i="1" s="1"/>
  <c r="Y238" i="1"/>
  <c r="AA238" i="1" s="1"/>
  <c r="S238" i="1"/>
  <c r="U238" i="1" s="1"/>
  <c r="Y254" i="1"/>
  <c r="AA254" i="1" s="1"/>
  <c r="S254" i="1"/>
  <c r="U254" i="1" s="1"/>
  <c r="U258" i="1"/>
  <c r="AB258" i="1"/>
  <c r="AB277" i="1"/>
  <c r="AB280" i="1"/>
  <c r="AB281" i="1"/>
  <c r="AB279" i="1"/>
  <c r="S223" i="1"/>
  <c r="U223" i="1" s="1"/>
  <c r="Y223" i="1"/>
  <c r="AA223" i="1" s="1"/>
  <c r="AB182" i="1"/>
  <c r="AK152" i="1"/>
  <c r="AB76" i="1"/>
  <c r="AB155" i="1"/>
  <c r="AB233" i="1"/>
  <c r="AS5" i="26" a="1"/>
  <c r="AS5" i="26" s="1"/>
  <c r="AA4" i="26" a="1"/>
  <c r="AA4" i="26" s="1"/>
  <c r="AA10" i="26" a="1"/>
  <c r="AA10" i="26" s="1"/>
  <c r="U131" i="1"/>
  <c r="AA2" i="26" a="1"/>
  <c r="AA2" i="26" s="1"/>
  <c r="U130" i="1"/>
  <c r="AA6" i="26" a="1"/>
  <c r="AA6" i="26" s="1"/>
  <c r="U191" i="1"/>
  <c r="AS4" i="26" a="1"/>
  <c r="AS4" i="26" s="1"/>
  <c r="AA9" i="26" a="1"/>
  <c r="AA9" i="26" s="1"/>
  <c r="U222" i="1"/>
  <c r="AA3" i="26" a="1"/>
  <c r="AA3" i="26" s="1"/>
  <c r="U117" i="1"/>
  <c r="AA8" i="26" a="1"/>
  <c r="AA8" i="26" s="1"/>
  <c r="U202" i="1"/>
  <c r="AS3" i="26" a="1"/>
  <c r="AS3" i="26" s="1"/>
  <c r="AA13" i="26" a="1"/>
  <c r="AA13" i="26" s="1"/>
  <c r="U241" i="1"/>
  <c r="AB241" i="1"/>
  <c r="U71" i="1"/>
  <c r="AB71" i="1"/>
  <c r="S265" i="1"/>
  <c r="U265" i="1" s="1"/>
  <c r="Y265" i="1"/>
  <c r="AA265" i="1" s="1"/>
  <c r="U261" i="1"/>
  <c r="AB261" i="1"/>
  <c r="U279" i="1"/>
  <c r="U263" i="1"/>
  <c r="AB263" i="1"/>
  <c r="U277" i="1"/>
  <c r="U267" i="1"/>
  <c r="AB267" i="1"/>
  <c r="U262" i="1"/>
  <c r="AB262" i="1"/>
  <c r="S210" i="1"/>
  <c r="U210" i="1" s="1"/>
  <c r="AB259" i="1"/>
  <c r="AK176" i="1"/>
  <c r="Y242" i="1"/>
  <c r="AA242" i="1" s="1"/>
  <c r="S218" i="1"/>
  <c r="U218" i="1" s="1"/>
  <c r="X13" i="26" a="1"/>
  <c r="X13" i="26" s="1"/>
  <c r="X22" i="26" a="1"/>
  <c r="X22" i="26" s="1"/>
  <c r="AB73" i="1"/>
  <c r="X18" i="26" a="1"/>
  <c r="X18" i="26" s="1"/>
  <c r="AB7" i="1"/>
  <c r="AB248" i="1"/>
  <c r="BG12" i="4"/>
  <c r="BG10" i="4"/>
  <c r="BG11" i="4"/>
  <c r="BG13" i="4"/>
  <c r="BG6" i="4"/>
  <c r="BG4" i="4"/>
  <c r="BG3" i="4"/>
  <c r="BG7" i="4"/>
  <c r="BG8" i="4"/>
  <c r="BG5" i="4"/>
  <c r="BG9" i="4"/>
  <c r="BE2" i="4"/>
  <c r="BG2" i="4" s="1"/>
  <c r="X20" i="26" a="1"/>
  <c r="X20" i="26" s="1"/>
  <c r="Y210" i="1"/>
  <c r="AA210" i="1" s="1"/>
  <c r="X11" i="26" a="1"/>
  <c r="X11" i="26" s="1"/>
  <c r="X15" i="26" a="1"/>
  <c r="X15" i="26" s="1"/>
  <c r="X7" i="26" a="1"/>
  <c r="X7" i="26" s="1"/>
  <c r="X10" i="26" a="1"/>
  <c r="X10" i="26" s="1"/>
  <c r="X2" i="26" a="1"/>
  <c r="X2" i="26" s="1"/>
  <c r="AB246" i="1"/>
  <c r="X6" i="26" a="1"/>
  <c r="X6" i="26" s="1"/>
  <c r="X5" i="26" a="1"/>
  <c r="X5" i="26" s="1"/>
  <c r="Y215" i="1"/>
  <c r="AA215" i="1" s="1"/>
  <c r="AF412" i="4"/>
  <c r="AF259" i="4"/>
  <c r="AJ168" i="1"/>
  <c r="AJ178" i="1"/>
  <c r="AJ212" i="1"/>
  <c r="AJ147" i="1"/>
  <c r="AJ223" i="1"/>
  <c r="AJ190" i="1"/>
  <c r="AP2" i="4"/>
  <c r="Z7" i="26" a="1"/>
  <c r="Z7" i="26" s="1"/>
  <c r="AE11" i="4"/>
  <c r="AN21" i="4"/>
  <c r="AF39" i="4" s="1"/>
  <c r="AE24" i="4"/>
  <c r="AB151" i="1"/>
  <c r="AE187" i="4"/>
  <c r="AN2" i="4"/>
  <c r="AE89" i="4"/>
  <c r="AN79" i="4"/>
  <c r="AB164" i="1"/>
  <c r="AN45" i="4"/>
  <c r="AB230" i="1"/>
  <c r="AN12" i="4"/>
  <c r="AE183" i="4"/>
  <c r="AN91" i="4"/>
  <c r="AE158" i="4"/>
  <c r="AN75" i="4"/>
  <c r="AN76" i="4"/>
  <c r="AF562" i="4" s="1"/>
  <c r="AE200" i="4"/>
  <c r="AN99" i="4"/>
  <c r="AO24" i="4"/>
  <c r="AF54" i="4"/>
  <c r="AO4" i="4"/>
  <c r="AO5" i="4"/>
  <c r="AO52" i="4"/>
  <c r="AE177" i="4"/>
  <c r="AN101" i="4"/>
  <c r="AE154" i="4"/>
  <c r="AN78" i="4"/>
  <c r="AF563" i="4" s="1"/>
  <c r="AN42" i="4"/>
  <c r="AF199" i="4" s="1"/>
  <c r="AE190" i="4"/>
  <c r="AE201" i="4"/>
  <c r="AN80" i="4"/>
  <c r="AE88" i="4"/>
  <c r="AE160" i="4"/>
  <c r="AE69" i="4"/>
  <c r="AE124" i="4"/>
  <c r="AN20" i="4"/>
  <c r="AE102" i="4"/>
  <c r="AE58" i="4"/>
  <c r="AE15" i="4"/>
  <c r="AE6" i="4"/>
  <c r="AE179" i="4"/>
  <c r="AE110" i="4"/>
  <c r="AE79" i="4"/>
  <c r="AE193" i="4"/>
  <c r="AE92" i="4"/>
  <c r="AE128" i="4"/>
  <c r="AE137" i="4"/>
  <c r="AE20" i="4"/>
  <c r="AE95" i="4"/>
  <c r="AE197" i="4"/>
  <c r="AE171" i="4"/>
  <c r="AE163" i="4"/>
  <c r="AN60" i="4"/>
  <c r="AE167" i="4"/>
  <c r="AE174" i="4"/>
  <c r="AE122" i="4"/>
  <c r="AE135" i="4"/>
  <c r="AE127" i="4"/>
  <c r="AE150" i="4"/>
  <c r="AB237" i="1"/>
  <c r="AN40" i="4"/>
  <c r="AF557" i="4" s="1"/>
  <c r="AE192" i="4"/>
  <c r="AN41" i="4"/>
  <c r="AF40" i="4" s="1"/>
  <c r="AE140" i="4"/>
  <c r="AE123" i="4"/>
  <c r="AN100" i="4"/>
  <c r="AB44" i="1"/>
  <c r="AE114" i="4"/>
  <c r="AN16" i="4"/>
  <c r="AF392" i="4" s="1"/>
  <c r="AE13" i="4"/>
  <c r="AE85" i="4"/>
  <c r="AE207" i="4"/>
  <c r="AN106" i="4"/>
  <c r="AE208" i="4"/>
  <c r="AN105" i="4"/>
  <c r="AN97" i="4"/>
  <c r="AB70" i="1"/>
  <c r="AE23" i="4"/>
  <c r="AN18" i="4"/>
  <c r="AE2" i="4"/>
  <c r="AN55" i="4"/>
  <c r="AE29" i="4"/>
  <c r="AE47" i="4"/>
  <c r="AN51" i="4"/>
  <c r="AE41" i="4"/>
  <c r="AE4" i="4"/>
  <c r="AE125" i="4"/>
  <c r="AN59" i="4"/>
  <c r="AF310" i="4" s="1"/>
  <c r="AE198" i="4"/>
  <c r="AN68" i="4"/>
  <c r="AN95" i="4"/>
  <c r="AN71" i="4"/>
  <c r="AF165" i="4" s="1"/>
  <c r="AN104" i="4"/>
  <c r="AO19" i="4"/>
  <c r="AO25" i="4"/>
  <c r="AF35" i="4"/>
  <c r="AF51" i="4"/>
  <c r="AO35" i="4"/>
  <c r="AF113" i="4"/>
  <c r="AO50" i="4"/>
  <c r="AB169" i="1"/>
  <c r="AN33" i="4"/>
  <c r="AF94" i="4" s="1"/>
  <c r="AE196" i="4"/>
  <c r="AE185" i="4"/>
  <c r="AN37" i="4"/>
  <c r="AE139" i="4"/>
  <c r="AE28" i="4"/>
  <c r="AE22" i="4"/>
  <c r="AE203" i="4"/>
  <c r="AN15" i="4"/>
  <c r="AN58" i="4"/>
  <c r="AN108" i="4"/>
  <c r="AN84" i="4"/>
  <c r="AN107" i="4"/>
  <c r="AE186" i="4"/>
  <c r="AE204" i="4"/>
  <c r="AN86" i="4"/>
  <c r="AN89" i="4"/>
  <c r="AE182" i="4"/>
  <c r="AK147" i="1"/>
  <c r="AN11" i="4"/>
  <c r="AK223" i="1"/>
  <c r="AN73" i="4"/>
  <c r="AE133" i="4"/>
  <c r="AN65" i="4"/>
  <c r="AN96" i="4"/>
  <c r="AE72" i="4"/>
  <c r="AN47" i="4"/>
  <c r="AN103" i="4"/>
  <c r="AE181" i="4"/>
  <c r="AN83" i="4"/>
  <c r="AE173" i="4"/>
  <c r="AE176" i="4"/>
  <c r="AE194" i="4"/>
  <c r="AN69" i="4"/>
  <c r="AO31" i="4"/>
  <c r="AF55" i="4"/>
  <c r="AO43" i="4"/>
  <c r="AF119" i="4"/>
  <c r="AO34" i="4"/>
  <c r="AO48" i="4"/>
  <c r="AO39" i="4"/>
  <c r="AO8" i="4"/>
  <c r="AO28" i="4"/>
  <c r="AF155" i="4"/>
  <c r="AO29" i="4"/>
  <c r="AF52" i="4"/>
  <c r="AF34" i="4"/>
  <c r="AE205" i="4"/>
  <c r="AN3" i="4"/>
  <c r="AN72" i="4"/>
  <c r="AE99" i="4"/>
  <c r="AN61" i="4"/>
  <c r="AB130" i="1"/>
  <c r="AE170" i="4"/>
  <c r="AE153" i="4"/>
  <c r="AN44" i="4"/>
  <c r="AE120" i="4"/>
  <c r="AB131" i="1"/>
  <c r="AE149" i="4"/>
  <c r="AN57" i="4"/>
  <c r="AE116" i="4"/>
  <c r="AE166" i="4"/>
  <c r="AN53" i="4"/>
  <c r="AE17" i="4"/>
  <c r="AE100" i="4"/>
  <c r="AE26" i="4"/>
  <c r="AE67" i="4"/>
  <c r="AE107" i="4"/>
  <c r="AE87" i="4"/>
  <c r="AN77" i="4"/>
  <c r="AF566" i="4" s="1"/>
  <c r="AN85" i="4"/>
  <c r="AE138" i="4"/>
  <c r="AN81" i="4"/>
  <c r="AF330" i="4" s="1"/>
  <c r="AN87" i="4"/>
  <c r="AE184" i="4"/>
  <c r="AE9" i="4"/>
  <c r="AN49" i="4"/>
  <c r="AE151" i="4"/>
  <c r="AE36" i="4"/>
  <c r="AE8" i="4"/>
  <c r="AE168" i="4"/>
  <c r="AE142" i="4"/>
  <c r="AE66" i="4"/>
  <c r="AE159" i="4"/>
  <c r="AE274" i="4"/>
  <c r="AE21" i="4"/>
  <c r="AE30" i="4"/>
  <c r="AE98" i="4"/>
  <c r="AE49" i="4"/>
  <c r="AE83" i="4"/>
  <c r="AE189" i="4"/>
  <c r="AE27" i="4"/>
  <c r="AE38" i="4"/>
  <c r="AE80" i="4"/>
  <c r="AE164" i="4"/>
  <c r="AE175" i="4"/>
  <c r="AE111" i="4"/>
  <c r="AE86" i="4"/>
  <c r="AE118" i="4"/>
  <c r="AE75" i="4"/>
  <c r="AE172" i="4"/>
  <c r="AE53" i="4"/>
  <c r="AE126" i="4"/>
  <c r="AE57" i="4"/>
  <c r="AE93" i="4"/>
  <c r="AE70" i="4"/>
  <c r="AE147" i="4"/>
  <c r="AE45" i="4"/>
  <c r="AE134" i="4"/>
  <c r="AE62" i="4"/>
  <c r="AE42" i="4"/>
  <c r="AE105" i="4"/>
  <c r="AN6" i="4"/>
  <c r="AE162" i="4"/>
  <c r="AN88" i="4"/>
  <c r="AF556" i="4" s="1"/>
  <c r="AN82" i="4"/>
  <c r="AE206" i="4"/>
  <c r="AE103" i="4"/>
  <c r="AE71" i="4"/>
  <c r="AN54" i="4"/>
  <c r="AF584" i="4" s="1"/>
  <c r="AN62" i="4"/>
  <c r="AE202" i="4"/>
  <c r="AE209" i="4"/>
  <c r="AN102" i="4"/>
  <c r="AE180" i="4"/>
  <c r="AN46" i="4"/>
  <c r="AN63" i="4"/>
  <c r="AE157" i="4"/>
  <c r="AN74" i="4"/>
  <c r="AF561" i="4" s="1"/>
  <c r="AE195" i="4"/>
  <c r="AN70" i="4"/>
  <c r="AN98" i="4"/>
  <c r="AO36" i="4"/>
  <c r="AO30" i="4"/>
  <c r="AO27" i="4"/>
  <c r="AO32" i="4"/>
  <c r="AO64" i="4"/>
  <c r="AF44" i="4"/>
  <c r="AO9" i="4"/>
  <c r="AF65" i="4"/>
  <c r="AF60" i="4"/>
  <c r="AO10" i="4"/>
  <c r="AF82" i="4"/>
  <c r="AF61" i="4"/>
  <c r="AF31" i="4"/>
  <c r="AO56" i="4"/>
  <c r="AO17" i="4"/>
  <c r="AF104" i="4"/>
  <c r="AO14" i="4"/>
  <c r="AF19" i="4"/>
  <c r="AF68" i="4"/>
  <c r="AO26" i="4"/>
  <c r="AF33" i="4"/>
  <c r="AF50" i="4"/>
  <c r="AB117" i="1"/>
  <c r="AB222" i="1"/>
  <c r="AB225" i="1"/>
  <c r="AB232" i="1"/>
  <c r="AK188" i="1"/>
  <c r="AB236" i="1"/>
  <c r="AB205" i="1"/>
  <c r="AJ186" i="4"/>
  <c r="AB157" i="1"/>
  <c r="Y208" i="1"/>
  <c r="AA208" i="1" s="1"/>
  <c r="AB224" i="1"/>
  <c r="AB146" i="1"/>
  <c r="AB219" i="1"/>
  <c r="AB170" i="1"/>
  <c r="AB180" i="1"/>
  <c r="AB204" i="1"/>
  <c r="AB136" i="1"/>
  <c r="AB119" i="1"/>
  <c r="AB148" i="1"/>
  <c r="AB178" i="1"/>
  <c r="AB181" i="1"/>
  <c r="AB200" i="1"/>
  <c r="Y218" i="1"/>
  <c r="AA218" i="1" s="1"/>
  <c r="AB185" i="1"/>
  <c r="AB251" i="1"/>
  <c r="AK169" i="1"/>
  <c r="AB153" i="1"/>
  <c r="AB252" i="1"/>
  <c r="AB72" i="1"/>
  <c r="AB226" i="1"/>
  <c r="AB152" i="1"/>
  <c r="AB75" i="1"/>
  <c r="AB189" i="1"/>
  <c r="AB207" i="1"/>
  <c r="AB212" i="1"/>
  <c r="AB176" i="1"/>
  <c r="AB150" i="1"/>
  <c r="AB132" i="1"/>
  <c r="AB160" i="1"/>
  <c r="AB156" i="1"/>
  <c r="AB214" i="1"/>
  <c r="AB187" i="1"/>
  <c r="Y43" i="1"/>
  <c r="AA43" i="1" s="1"/>
  <c r="AB216" i="1"/>
  <c r="AB98" i="1"/>
  <c r="AB196" i="1"/>
  <c r="AB137" i="1"/>
  <c r="AB197" i="1"/>
  <c r="AB234" i="1"/>
  <c r="AB239" i="1"/>
  <c r="AB229" i="1"/>
  <c r="AB211" i="1"/>
  <c r="AB227" i="1"/>
  <c r="AB240" i="1"/>
  <c r="AB191" i="1"/>
  <c r="AB220" i="1"/>
  <c r="AB231" i="1"/>
  <c r="AB158" i="1"/>
  <c r="AB122" i="1"/>
  <c r="AB179" i="1"/>
  <c r="AB54" i="1"/>
  <c r="AB112" i="1"/>
  <c r="AB221" i="1"/>
  <c r="AB49" i="1"/>
  <c r="AB121" i="1"/>
  <c r="AB115" i="1"/>
  <c r="AB209" i="1"/>
  <c r="AB5" i="1"/>
  <c r="AB114" i="1"/>
  <c r="AB194" i="1"/>
  <c r="AB61" i="1"/>
  <c r="AB59" i="1"/>
  <c r="AB173" i="1"/>
  <c r="AB60" i="1"/>
  <c r="AB37" i="1"/>
  <c r="AB125" i="1"/>
  <c r="AB147" i="1"/>
  <c r="AB202" i="1"/>
  <c r="AB107" i="1"/>
  <c r="AF582" i="4" l="1"/>
  <c r="AF567" i="4"/>
  <c r="AF549" i="4"/>
  <c r="AF559" i="4"/>
  <c r="AC266" i="42"/>
  <c r="AF535" i="4"/>
  <c r="AF587" i="4"/>
  <c r="AF441" i="4"/>
  <c r="AF583" i="4"/>
  <c r="AF564" i="4"/>
  <c r="AF545" i="4"/>
  <c r="AF579" i="4"/>
  <c r="AF544" i="4"/>
  <c r="AF578" i="4"/>
  <c r="AF568" i="4"/>
  <c r="AF581" i="4"/>
  <c r="U304" i="1"/>
  <c r="S304" i="1"/>
  <c r="AF570" i="4"/>
  <c r="AF575" i="4"/>
  <c r="AF576" i="4"/>
  <c r="AF574" i="4"/>
  <c r="AF569" i="4"/>
  <c r="AF573" i="4"/>
  <c r="AF577" i="4"/>
  <c r="AF571" i="4"/>
  <c r="AF572" i="4"/>
  <c r="T304" i="42"/>
  <c r="AC250" i="42"/>
  <c r="V250" i="42"/>
  <c r="AC43" i="42"/>
  <c r="AC1" i="42" s="1"/>
  <c r="V43" i="42"/>
  <c r="AF550" i="4"/>
  <c r="AF554" i="4"/>
  <c r="AF552" i="4"/>
  <c r="AF555" i="4"/>
  <c r="AF551" i="4"/>
  <c r="AF560" i="4"/>
  <c r="AB250" i="1"/>
  <c r="AF536" i="4"/>
  <c r="AF547" i="4"/>
  <c r="AB266" i="1"/>
  <c r="AB272" i="1"/>
  <c r="AB275" i="1"/>
  <c r="AF46" i="4"/>
  <c r="AF543" i="4"/>
  <c r="AB273" i="1"/>
  <c r="AF534" i="4"/>
  <c r="AB247" i="1"/>
  <c r="AB254" i="1"/>
  <c r="AB238" i="1"/>
  <c r="AF537" i="4"/>
  <c r="AF538" i="4"/>
  <c r="AF106" i="4"/>
  <c r="AF542" i="4"/>
  <c r="AF540" i="4"/>
  <c r="AF541" i="4"/>
  <c r="AK212" i="1"/>
  <c r="AB223" i="1"/>
  <c r="AF526" i="4"/>
  <c r="AF530" i="4"/>
  <c r="AF533" i="4"/>
  <c r="AF528" i="4"/>
  <c r="AF531" i="4"/>
  <c r="AF161" i="4"/>
  <c r="AF510" i="4"/>
  <c r="AF519" i="4"/>
  <c r="AF5" i="4"/>
  <c r="AF522" i="4"/>
  <c r="AF524" i="4"/>
  <c r="AF523" i="4"/>
  <c r="AF521" i="4"/>
  <c r="AF10" i="4"/>
  <c r="AF121" i="4"/>
  <c r="AF496" i="4"/>
  <c r="AF495" i="4"/>
  <c r="AF323" i="4"/>
  <c r="AB265" i="1"/>
  <c r="AF372" i="4"/>
  <c r="AF148" i="4"/>
  <c r="AF145" i="4"/>
  <c r="AF59" i="4"/>
  <c r="AF12" i="4"/>
  <c r="AF493" i="4"/>
  <c r="AF91" i="4"/>
  <c r="AF117" i="4"/>
  <c r="AF141" i="4"/>
  <c r="AF483" i="4"/>
  <c r="AF84" i="4"/>
  <c r="AF101" i="4"/>
  <c r="AF32" i="4"/>
  <c r="AF48" i="4"/>
  <c r="AF108" i="4"/>
  <c r="AF109" i="4"/>
  <c r="AF144" i="4"/>
  <c r="AF76" i="4"/>
  <c r="AF63" i="4"/>
  <c r="AF275" i="4"/>
  <c r="AF518" i="4"/>
  <c r="AF3" i="4"/>
  <c r="X9" i="26" a="1"/>
  <c r="X9" i="26" s="1"/>
  <c r="X3" i="26" a="1"/>
  <c r="X3" i="26" s="1"/>
  <c r="AF509" i="4"/>
  <c r="AF512" i="4"/>
  <c r="Z15" i="26" a="1"/>
  <c r="Z15" i="26" s="1"/>
  <c r="X14" i="26" a="1"/>
  <c r="X14" i="26" s="1"/>
  <c r="X19" i="26" a="1"/>
  <c r="X19" i="26" s="1"/>
  <c r="X17" i="26" a="1"/>
  <c r="X17" i="26" s="1"/>
  <c r="Z18" i="26" a="1"/>
  <c r="Z18" i="26" s="1"/>
  <c r="X12" i="26" a="1"/>
  <c r="X12" i="26" s="1"/>
  <c r="AF169" i="4"/>
  <c r="AF502" i="4"/>
  <c r="AF243" i="4"/>
  <c r="AF329" i="4"/>
  <c r="AF485" i="4"/>
  <c r="AF507" i="4"/>
  <c r="AF489" i="4"/>
  <c r="AF499" i="4"/>
  <c r="AF491" i="4"/>
  <c r="AF494" i="4"/>
  <c r="AF501" i="4"/>
  <c r="Z10" i="26" a="1"/>
  <c r="Z10" i="26" s="1"/>
  <c r="X4" i="26" a="1"/>
  <c r="X4" i="26" s="1"/>
  <c r="AF238" i="4"/>
  <c r="AF492" i="4"/>
  <c r="AB210" i="1"/>
  <c r="AF342" i="4"/>
  <c r="AF344" i="4"/>
  <c r="AF343" i="4"/>
  <c r="AF345" i="4"/>
  <c r="Z11" i="26" a="1"/>
  <c r="Z11" i="26" s="1"/>
  <c r="X16" i="26" a="1"/>
  <c r="X16" i="26" s="1"/>
  <c r="Z20" i="26" a="1"/>
  <c r="Z20" i="26" s="1"/>
  <c r="Z22" i="26" a="1"/>
  <c r="Z22" i="26" s="1"/>
  <c r="X8" i="26" a="1"/>
  <c r="X8" i="26" s="1"/>
  <c r="X21" i="26" a="1"/>
  <c r="X21" i="26" s="1"/>
  <c r="Z13" i="26" a="1"/>
  <c r="Z13" i="26" s="1"/>
  <c r="AF398" i="4"/>
  <c r="AF136" i="4"/>
  <c r="AF282" i="4"/>
  <c r="AF115" i="4"/>
  <c r="AF482" i="4"/>
  <c r="AF146" i="4"/>
  <c r="AF306" i="4"/>
  <c r="AF156" i="4"/>
  <c r="AF188" i="4"/>
  <c r="AF357" i="4"/>
  <c r="AF191" i="4"/>
  <c r="AF129" i="4"/>
  <c r="AF355" i="4"/>
  <c r="AF320" i="4"/>
  <c r="AF479" i="4"/>
  <c r="AF487" i="4"/>
  <c r="AF445" i="4"/>
  <c r="AF418" i="4"/>
  <c r="AF403" i="4"/>
  <c r="AF314" i="4"/>
  <c r="AF300" i="4"/>
  <c r="AF143" i="4"/>
  <c r="AF289" i="4"/>
  <c r="AF368" i="4"/>
  <c r="AF484" i="4"/>
  <c r="AF7" i="4"/>
  <c r="AF152" i="4"/>
  <c r="AF132" i="4"/>
  <c r="AF478" i="4"/>
  <c r="AF77" i="4"/>
  <c r="AF97" i="4"/>
  <c r="AF18" i="4"/>
  <c r="AF64" i="4"/>
  <c r="AF37" i="4"/>
  <c r="AF112" i="4"/>
  <c r="AF56" i="4"/>
  <c r="AF290" i="4"/>
  <c r="AF234" i="4"/>
  <c r="AF376" i="4"/>
  <c r="AF365" i="4"/>
  <c r="AF384" i="4"/>
  <c r="AF258" i="4"/>
  <c r="AF420" i="4"/>
  <c r="AF130" i="4"/>
  <c r="AF439" i="4"/>
  <c r="AF361" i="4"/>
  <c r="AF466" i="4"/>
  <c r="AF381" i="4"/>
  <c r="AF217" i="4"/>
  <c r="AF352" i="4"/>
  <c r="AF447" i="4"/>
  <c r="AF264" i="4"/>
  <c r="AF486" i="4"/>
  <c r="AF371" i="4"/>
  <c r="AF43" i="4"/>
  <c r="AF81" i="4"/>
  <c r="AF324" i="4"/>
  <c r="AF387" i="4"/>
  <c r="AF422" i="4"/>
  <c r="AF405" i="4"/>
  <c r="AF313" i="4"/>
  <c r="AF25" i="4"/>
  <c r="AF73" i="4"/>
  <c r="AF90" i="4"/>
  <c r="AF14" i="4"/>
  <c r="AF513" i="4"/>
  <c r="AF286" i="4"/>
  <c r="AF393" i="4"/>
  <c r="AF219" i="4"/>
  <c r="AF427" i="4"/>
  <c r="AF319" i="4"/>
  <c r="AF481" i="4"/>
  <c r="AF488" i="4"/>
  <c r="AF470" i="4"/>
  <c r="AF317" i="4"/>
  <c r="AF469" i="4"/>
  <c r="AF475" i="4"/>
  <c r="AF468" i="4"/>
  <c r="AF473" i="4"/>
  <c r="AF472" i="4"/>
  <c r="Z6" i="26" a="1"/>
  <c r="Z6" i="26" s="1"/>
  <c r="Z2" i="26" a="1"/>
  <c r="Z2" i="26" s="1"/>
  <c r="AF459" i="4"/>
  <c r="AF458" i="4"/>
  <c r="AF463" i="4"/>
  <c r="AF508" i="4"/>
  <c r="AF464" i="4"/>
  <c r="AF451" i="4"/>
  <c r="AF453" i="4"/>
  <c r="AF455" i="4"/>
  <c r="AF452" i="4"/>
  <c r="AF456" i="4"/>
  <c r="Z5" i="26" a="1"/>
  <c r="Z5" i="26" s="1"/>
  <c r="AB215" i="1"/>
  <c r="Z21" i="26" a="1"/>
  <c r="Z21" i="26" s="1"/>
  <c r="AF256" i="4"/>
  <c r="AF278" i="4"/>
  <c r="AF434" i="4"/>
  <c r="AF266" i="4"/>
  <c r="AF341" i="4"/>
  <c r="AF410" i="4"/>
  <c r="AF280" i="4"/>
  <c r="AF276" i="4"/>
  <c r="AF227" i="4"/>
  <c r="AF312" i="4"/>
  <c r="AF316" i="4"/>
  <c r="AF233" i="4"/>
  <c r="AF239" i="4"/>
  <c r="AF247" i="4"/>
  <c r="AF248" i="4"/>
  <c r="AF416" i="4"/>
  <c r="AF498" i="4"/>
  <c r="AF375" i="4"/>
  <c r="AF391" i="4"/>
  <c r="AF442" i="4"/>
  <c r="AF425" i="4"/>
  <c r="AF369" i="4"/>
  <c r="AF240" i="4"/>
  <c r="AF443" i="4"/>
  <c r="AF377" i="4"/>
  <c r="AF303" i="4"/>
  <c r="AF298" i="4"/>
  <c r="AF349" i="4"/>
  <c r="AF326" i="4"/>
  <c r="AF348" i="4"/>
  <c r="AF424" i="4"/>
  <c r="AF354" i="4"/>
  <c r="AF390" i="4"/>
  <c r="AF231" i="4"/>
  <c r="AF131" i="4"/>
  <c r="AF268" i="4"/>
  <c r="AF211" i="4"/>
  <c r="AF262" i="4"/>
  <c r="AF440" i="4"/>
  <c r="AF340" i="4"/>
  <c r="AF309" i="4"/>
  <c r="AF350" i="4"/>
  <c r="AF457" i="4"/>
  <c r="AF395" i="4"/>
  <c r="AF285" i="4"/>
  <c r="AF399" i="4"/>
  <c r="AF359" i="4"/>
  <c r="AF296" i="4"/>
  <c r="AF249" i="4"/>
  <c r="AF400" i="4"/>
  <c r="AF409" i="4"/>
  <c r="AF336" i="4"/>
  <c r="AF408" i="4"/>
  <c r="AF402" i="4"/>
  <c r="AF450" i="4"/>
  <c r="AF421" i="4"/>
  <c r="AF397" i="4"/>
  <c r="AF332" i="4"/>
  <c r="AF404" i="4"/>
  <c r="AF446" i="4"/>
  <c r="AF261" i="4"/>
  <c r="AF270" i="4"/>
  <c r="AF252" i="4"/>
  <c r="AF214" i="4"/>
  <c r="AF293" i="4"/>
  <c r="AF415" i="4"/>
  <c r="AF220" i="4"/>
  <c r="AF253" i="4"/>
  <c r="AF283" i="4"/>
  <c r="AF291" i="4"/>
  <c r="AF295" i="4"/>
  <c r="AF299" i="4"/>
  <c r="AF305" i="4"/>
  <c r="AF430" i="4"/>
  <c r="AF346" i="4"/>
  <c r="AF358" i="4"/>
  <c r="AF362" i="4"/>
  <c r="AF246" i="4"/>
  <c r="AF396" i="4"/>
  <c r="AF394" i="4"/>
  <c r="AF379" i="4"/>
  <c r="AF407" i="4"/>
  <c r="AF411" i="4"/>
  <c r="AF423" i="4"/>
  <c r="AF335" i="4"/>
  <c r="AF449" i="4"/>
  <c r="AF373" i="4"/>
  <c r="AF351" i="4"/>
  <c r="AF221" i="4"/>
  <c r="AF437" i="4"/>
  <c r="AF337" i="4"/>
  <c r="AF245" i="4"/>
  <c r="AF281" i="4"/>
  <c r="AF334" i="4"/>
  <c r="AF448" i="4"/>
  <c r="AF406" i="4"/>
  <c r="AF347" i="4"/>
  <c r="AF476" i="4"/>
  <c r="AF413" i="4"/>
  <c r="AF271" i="4"/>
  <c r="AF229" i="4"/>
  <c r="AF230" i="4"/>
  <c r="AF301" i="4"/>
  <c r="AF255" i="4"/>
  <c r="AF223" i="4"/>
  <c r="AF426" i="4"/>
  <c r="AF419" i="4"/>
  <c r="AF431" i="4"/>
  <c r="AF389" i="4"/>
  <c r="AF224" i="4"/>
  <c r="AF213" i="4"/>
  <c r="AF414" i="4"/>
  <c r="AF364" i="4"/>
  <c r="AF380" i="4"/>
  <c r="AF367" i="4"/>
  <c r="AF383" i="4"/>
  <c r="AF386" i="4"/>
  <c r="AF216" i="4"/>
  <c r="AF241" i="4"/>
  <c r="AF273" i="4"/>
  <c r="AF251" i="4"/>
  <c r="AF210" i="4"/>
  <c r="AF287" i="4"/>
  <c r="AF311" i="4"/>
  <c r="AF318" i="4"/>
  <c r="AF325" i="4"/>
  <c r="AF331" i="4"/>
  <c r="AF388" i="4"/>
  <c r="AF428" i="4"/>
  <c r="AF444" i="4"/>
  <c r="AF363" i="4"/>
  <c r="AF366" i="4"/>
  <c r="AF370" i="4"/>
  <c r="AF378" i="4"/>
  <c r="AF382" i="4"/>
  <c r="AF292" i="4"/>
  <c r="AF385" i="4"/>
  <c r="AF401" i="4"/>
  <c r="AF417" i="4"/>
  <c r="AF433" i="4"/>
  <c r="AF265" i="4"/>
  <c r="AF435" i="4"/>
  <c r="Z3" i="26" a="1"/>
  <c r="Z3" i="26" s="1"/>
  <c r="AO70" i="4"/>
  <c r="AO46" i="4"/>
  <c r="AO54" i="4"/>
  <c r="AF103" i="4"/>
  <c r="AF71" i="4"/>
  <c r="AO49" i="4"/>
  <c r="AF9" i="4"/>
  <c r="AO81" i="4"/>
  <c r="AO53" i="4"/>
  <c r="AF17" i="4"/>
  <c r="AF26" i="4"/>
  <c r="AF67" i="4"/>
  <c r="AF100" i="4"/>
  <c r="AF107" i="4"/>
  <c r="AO72" i="4"/>
  <c r="AO103" i="4"/>
  <c r="AF181" i="4"/>
  <c r="AO96" i="4"/>
  <c r="AO89" i="4"/>
  <c r="AF182" i="4"/>
  <c r="AO33" i="4"/>
  <c r="AO95" i="4"/>
  <c r="AO59" i="4"/>
  <c r="AO97" i="4"/>
  <c r="AO40" i="4"/>
  <c r="AO78" i="4"/>
  <c r="AF154" i="4"/>
  <c r="AO101" i="4"/>
  <c r="AF177" i="4"/>
  <c r="AO12" i="4"/>
  <c r="AO45" i="4"/>
  <c r="AO2" i="4"/>
  <c r="AF187" i="4"/>
  <c r="AB242" i="1"/>
  <c r="AN92" i="4"/>
  <c r="AF517" i="4" s="1"/>
  <c r="AN93" i="4"/>
  <c r="AE178" i="4"/>
  <c r="AN90" i="4"/>
  <c r="AO102" i="4"/>
  <c r="AF180" i="4"/>
  <c r="AO62" i="4"/>
  <c r="AF202" i="4"/>
  <c r="AO87" i="4"/>
  <c r="AF184" i="4"/>
  <c r="AO85" i="4"/>
  <c r="AF138" i="4"/>
  <c r="AO77" i="4"/>
  <c r="AF87" i="4"/>
  <c r="AO57" i="4"/>
  <c r="AF116" i="4"/>
  <c r="AF149" i="4"/>
  <c r="AF166" i="4"/>
  <c r="AO69" i="4"/>
  <c r="AF194" i="4"/>
  <c r="AO73" i="4"/>
  <c r="AO108" i="4"/>
  <c r="AO71" i="4"/>
  <c r="AF16" i="4"/>
  <c r="AF2" i="4"/>
  <c r="AO55" i="4"/>
  <c r="AO105" i="4"/>
  <c r="AO106" i="4"/>
  <c r="AF208" i="4"/>
  <c r="AO98" i="4"/>
  <c r="AF162" i="4"/>
  <c r="AO88" i="4"/>
  <c r="AF57" i="4"/>
  <c r="AF86" i="4"/>
  <c r="AF168" i="4"/>
  <c r="AF151" i="4"/>
  <c r="AF105" i="4"/>
  <c r="AO6" i="4"/>
  <c r="AF175" i="4"/>
  <c r="AF142" i="4"/>
  <c r="AF30" i="4"/>
  <c r="AF21" i="4"/>
  <c r="AF98" i="4"/>
  <c r="AF8" i="4"/>
  <c r="AF70" i="4"/>
  <c r="AF164" i="4"/>
  <c r="AF111" i="4"/>
  <c r="AF274" i="4"/>
  <c r="AF172" i="4"/>
  <c r="AF93" i="4"/>
  <c r="AF126" i="4"/>
  <c r="AF75" i="4"/>
  <c r="AF42" i="4"/>
  <c r="AF118" i="4"/>
  <c r="AF49" i="4"/>
  <c r="AF27" i="4"/>
  <c r="AF83" i="4"/>
  <c r="AF134" i="4"/>
  <c r="AF159" i="4"/>
  <c r="AF80" i="4"/>
  <c r="AF53" i="4"/>
  <c r="AF36" i="4"/>
  <c r="AF66" i="4"/>
  <c r="AF45" i="4"/>
  <c r="AF62" i="4"/>
  <c r="AF38" i="4"/>
  <c r="AO61" i="4"/>
  <c r="AF99" i="4"/>
  <c r="AO83" i="4"/>
  <c r="AF173" i="4"/>
  <c r="AF176" i="4"/>
  <c r="AO47" i="4"/>
  <c r="AF72" i="4"/>
  <c r="AO86" i="4"/>
  <c r="AF186" i="4"/>
  <c r="AF204" i="4"/>
  <c r="AF196" i="4"/>
  <c r="AF185" i="4"/>
  <c r="AO37" i="4"/>
  <c r="AF28" i="4"/>
  <c r="AF139" i="4"/>
  <c r="AO104" i="4"/>
  <c r="AF198" i="4"/>
  <c r="AO68" i="4"/>
  <c r="AO51" i="4"/>
  <c r="AF4" i="4"/>
  <c r="AF125" i="4"/>
  <c r="AF41" i="4"/>
  <c r="AF29" i="4"/>
  <c r="AF47" i="4"/>
  <c r="AO99" i="4"/>
  <c r="AF200" i="4"/>
  <c r="AO91" i="4"/>
  <c r="AO79" i="4"/>
  <c r="AF89" i="4"/>
  <c r="AO21" i="4"/>
  <c r="AN94" i="4"/>
  <c r="AO74" i="4"/>
  <c r="AF157" i="4"/>
  <c r="AO63" i="4"/>
  <c r="AO82" i="4"/>
  <c r="AF206" i="4"/>
  <c r="AO44" i="4"/>
  <c r="AF153" i="4"/>
  <c r="AF120" i="4"/>
  <c r="AF170" i="4"/>
  <c r="AO3" i="4"/>
  <c r="AF205" i="4"/>
  <c r="AO65" i="4"/>
  <c r="AF133" i="4"/>
  <c r="AO11" i="4"/>
  <c r="AO107" i="4"/>
  <c r="AO84" i="4"/>
  <c r="AO58" i="4"/>
  <c r="AO15" i="4"/>
  <c r="AF203" i="4"/>
  <c r="AF22" i="4"/>
  <c r="AO18" i="4"/>
  <c r="AF23" i="4"/>
  <c r="AO16" i="4"/>
  <c r="AF85" i="4"/>
  <c r="AF207" i="4"/>
  <c r="AF114" i="4"/>
  <c r="AF13" i="4"/>
  <c r="AO100" i="4"/>
  <c r="AF123" i="4"/>
  <c r="AO41" i="4"/>
  <c r="AF140" i="4"/>
  <c r="AO60" i="4"/>
  <c r="AF167" i="4"/>
  <c r="AF122" i="4"/>
  <c r="AF135" i="4"/>
  <c r="AF150" i="4"/>
  <c r="AF163" i="4"/>
  <c r="AF171" i="4"/>
  <c r="AF174" i="4"/>
  <c r="AF197" i="4"/>
  <c r="AF58" i="4"/>
  <c r="AF88" i="4"/>
  <c r="AF124" i="4"/>
  <c r="AF137" i="4"/>
  <c r="AF110" i="4"/>
  <c r="AF92" i="4"/>
  <c r="AO20" i="4"/>
  <c r="AF95" i="4"/>
  <c r="AF15" i="4"/>
  <c r="AF193" i="4"/>
  <c r="AF179" i="4"/>
  <c r="AF20" i="4"/>
  <c r="AF160" i="4"/>
  <c r="AF6" i="4"/>
  <c r="AF69" i="4"/>
  <c r="AF102" i="4"/>
  <c r="AF79" i="4"/>
  <c r="AF128" i="4"/>
  <c r="AO80" i="4"/>
  <c r="AO42" i="4"/>
  <c r="AF190" i="4"/>
  <c r="AF201" i="4"/>
  <c r="AO76" i="4"/>
  <c r="AO75" i="4"/>
  <c r="AF158" i="4"/>
  <c r="AB208" i="1"/>
  <c r="AB218" i="1"/>
  <c r="AB43" i="1"/>
  <c r="AF546" i="4" l="1"/>
  <c r="AF580" i="4"/>
  <c r="AB1" i="1"/>
  <c r="V304" i="42"/>
  <c r="AF308" i="4"/>
  <c r="AF565" i="4"/>
  <c r="AF429" i="4"/>
  <c r="AF553" i="4"/>
  <c r="AF490" i="4"/>
  <c r="AF480" i="4"/>
  <c r="AF471" i="4"/>
  <c r="AF339" i="4"/>
  <c r="AF235" i="4"/>
  <c r="AF321" i="4"/>
  <c r="AF529" i="4"/>
  <c r="AF327" i="4"/>
  <c r="AF11" i="4"/>
  <c r="AF297" i="4"/>
  <c r="AF236" i="4"/>
  <c r="AF302" i="4"/>
  <c r="AF24" i="4"/>
  <c r="AF195" i="4"/>
  <c r="AF222" i="4"/>
  <c r="AF215" i="4"/>
  <c r="AF465" i="4"/>
  <c r="AF503" i="4"/>
  <c r="AF353" i="4"/>
  <c r="AF374" i="4"/>
  <c r="AF515" i="4"/>
  <c r="AF497" i="4"/>
  <c r="AF516" i="4"/>
  <c r="AF527" i="4"/>
  <c r="AF539" i="4"/>
  <c r="AF532" i="4"/>
  <c r="AF127" i="4"/>
  <c r="AF525" i="4"/>
  <c r="AF225" i="4"/>
  <c r="AF333" i="4"/>
  <c r="AF520" i="4"/>
  <c r="AF147" i="4"/>
  <c r="AF267" i="4"/>
  <c r="AF244" i="4"/>
  <c r="AF438" i="4"/>
  <c r="AF432" i="4"/>
  <c r="AF514" i="4"/>
  <c r="AF250" i="4"/>
  <c r="AF500" i="4"/>
  <c r="AF506" i="4"/>
  <c r="AF226" i="4"/>
  <c r="AF328" i="4"/>
  <c r="AF254" i="4"/>
  <c r="AF315" i="4"/>
  <c r="AF454" i="4"/>
  <c r="AF477" i="4"/>
  <c r="AF304" i="4"/>
  <c r="AF322" i="4"/>
  <c r="AF237" i="4"/>
  <c r="AF260" i="4"/>
  <c r="AF257" i="4"/>
  <c r="AF474" i="4"/>
  <c r="AF467" i="4"/>
  <c r="AF460" i="4"/>
  <c r="AF189" i="4"/>
  <c r="AF192" i="4"/>
  <c r="AF284" i="4"/>
  <c r="AF294" i="4"/>
  <c r="Z14" i="26" a="1"/>
  <c r="Z14" i="26" s="1"/>
  <c r="Z19" i="26" a="1"/>
  <c r="Z19" i="26" s="1"/>
  <c r="Z17" i="26" a="1"/>
  <c r="Z17" i="26" s="1"/>
  <c r="Z12" i="26" a="1"/>
  <c r="Z12" i="26" s="1"/>
  <c r="AF232" i="4"/>
  <c r="Z9" i="26" a="1"/>
  <c r="Z9" i="26" s="1"/>
  <c r="Z4" i="26" a="1"/>
  <c r="Z4" i="26" s="1"/>
  <c r="AF307" i="4"/>
  <c r="AF288" i="4"/>
  <c r="AF279" i="4"/>
  <c r="Z16" i="26" a="1"/>
  <c r="Z16" i="26" s="1"/>
  <c r="AF209" i="4"/>
  <c r="AF356" i="4"/>
  <c r="AF360" i="4"/>
  <c r="AF462" i="4"/>
  <c r="AF242" i="4"/>
  <c r="AF461" i="4"/>
  <c r="AF338" i="4"/>
  <c r="AF436" i="4"/>
  <c r="Z8" i="26" a="1"/>
  <c r="Z8" i="26" s="1"/>
  <c r="AF183" i="4"/>
  <c r="AF277" i="4"/>
  <c r="AF228" i="4"/>
  <c r="AF218" i="4"/>
  <c r="AF212" i="4"/>
  <c r="AF269" i="4"/>
  <c r="AF272" i="4"/>
  <c r="AF263" i="4"/>
  <c r="AO92" i="4"/>
  <c r="AO90" i="4"/>
  <c r="AF178" i="4"/>
  <c r="AO94" i="4"/>
  <c r="AO93" i="4"/>
  <c r="AV125" i="4"/>
  <c r="AV121" i="4"/>
  <c r="AV117" i="4"/>
  <c r="AV113" i="4"/>
  <c r="AV109" i="4"/>
  <c r="AV105" i="4"/>
  <c r="AV102" i="4"/>
  <c r="AV98" i="4"/>
  <c r="AV94" i="4"/>
  <c r="AV90" i="4"/>
  <c r="AV86" i="4"/>
  <c r="AV82" i="4"/>
  <c r="AV78" i="4"/>
  <c r="AV74" i="4"/>
  <c r="AV70" i="4"/>
  <c r="AV66" i="4"/>
  <c r="AV62" i="4"/>
  <c r="AV58" i="4"/>
  <c r="AV55" i="4"/>
  <c r="AV53" i="4"/>
  <c r="AV51" i="4"/>
  <c r="AV49" i="4"/>
  <c r="AV47" i="4"/>
  <c r="AV45" i="4"/>
  <c r="AV43" i="4"/>
  <c r="AV41" i="4"/>
  <c r="AV39" i="4"/>
  <c r="AV37" i="4"/>
  <c r="AV35" i="4"/>
  <c r="AV33" i="4"/>
  <c r="AV31" i="4"/>
  <c r="AV29" i="4"/>
  <c r="AV27" i="4"/>
  <c r="AV25" i="4"/>
  <c r="AV23" i="4"/>
  <c r="AV21" i="4"/>
  <c r="AV19" i="4"/>
  <c r="AV17" i="4"/>
  <c r="AV15" i="4"/>
  <c r="AV13" i="4"/>
  <c r="AV11" i="4"/>
  <c r="AV9" i="4"/>
  <c r="AV7" i="4"/>
  <c r="AV128" i="4"/>
  <c r="AV124" i="4"/>
  <c r="AV120" i="4"/>
  <c r="AV116" i="4"/>
  <c r="AV112" i="4"/>
  <c r="AV108" i="4"/>
  <c r="AV104" i="4"/>
  <c r="AV103" i="4"/>
  <c r="AV99" i="4"/>
  <c r="AV95" i="4"/>
  <c r="AV91" i="4"/>
  <c r="AV87" i="4"/>
  <c r="AV83" i="4"/>
  <c r="AV79" i="4"/>
  <c r="AV75" i="4"/>
  <c r="AV71" i="4"/>
  <c r="AV67" i="4"/>
  <c r="AV63" i="4"/>
  <c r="AV59" i="4"/>
  <c r="AV127" i="4"/>
  <c r="AV123" i="4"/>
  <c r="AV119" i="4"/>
  <c r="AV115" i="4"/>
  <c r="AV111" i="4"/>
  <c r="AV107" i="4"/>
  <c r="AV100" i="4"/>
  <c r="AV96" i="4"/>
  <c r="AV92" i="4"/>
  <c r="AV88" i="4"/>
  <c r="AV84" i="4"/>
  <c r="AV80" i="4"/>
  <c r="AV76" i="4"/>
  <c r="AV72" i="4"/>
  <c r="AV68" i="4"/>
  <c r="AV64" i="4"/>
  <c r="AV60" i="4"/>
  <c r="AV56" i="4"/>
  <c r="AV54" i="4"/>
  <c r="AV52" i="4"/>
  <c r="AV50" i="4"/>
  <c r="AV48" i="4"/>
  <c r="AV46" i="4"/>
  <c r="AV44" i="4"/>
  <c r="AV42" i="4"/>
  <c r="AV40" i="4"/>
  <c r="AV38" i="4"/>
  <c r="AV36" i="4"/>
  <c r="AV34" i="4"/>
  <c r="AV32" i="4"/>
  <c r="AV30" i="4"/>
  <c r="AV28" i="4"/>
  <c r="AV26" i="4"/>
  <c r="AV24" i="4"/>
  <c r="AV22" i="4"/>
  <c r="AV20" i="4"/>
  <c r="AV18" i="4"/>
  <c r="AV16" i="4"/>
  <c r="AV14" i="4"/>
  <c r="AV12" i="4"/>
  <c r="AV10" i="4"/>
  <c r="AV8" i="4"/>
  <c r="AV126" i="4"/>
  <c r="AV122" i="4"/>
  <c r="AV118" i="4"/>
  <c r="AV114" i="4"/>
  <c r="AV110" i="4"/>
  <c r="AV106" i="4"/>
  <c r="AV101" i="4"/>
  <c r="AV97" i="4"/>
  <c r="AV93" i="4"/>
  <c r="AV89" i="4"/>
  <c r="AV85" i="4"/>
  <c r="AV81" i="4"/>
  <c r="AV77" i="4"/>
  <c r="AV73" i="4"/>
  <c r="AV69" i="4"/>
  <c r="AV65" i="4"/>
  <c r="AV61" i="4"/>
  <c r="AV57" i="4"/>
  <c r="AW103" i="4"/>
  <c r="AW121" i="4"/>
  <c r="AW91" i="4"/>
  <c r="AW123" i="4"/>
  <c r="AW13" i="4"/>
  <c r="AW32" i="4"/>
  <c r="AW48" i="4"/>
  <c r="AW38" i="4"/>
  <c r="AW61" i="4"/>
  <c r="AW7" i="4"/>
  <c r="AW118" i="4"/>
  <c r="AW20" i="4"/>
  <c r="AW9" i="4"/>
  <c r="AW69" i="4"/>
  <c r="AW62" i="4"/>
  <c r="AW53" i="4"/>
  <c r="AW126" i="4"/>
  <c r="AW28" i="4"/>
  <c r="AW60" i="4"/>
  <c r="AW39" i="4"/>
  <c r="AW64" i="4"/>
  <c r="AW31" i="4"/>
  <c r="AW96" i="4"/>
  <c r="AW83" i="4"/>
  <c r="AW97" i="4"/>
  <c r="AW63" i="4"/>
  <c r="AW119" i="4"/>
  <c r="AW35" i="4"/>
  <c r="AW56" i="4"/>
  <c r="AW73" i="4"/>
  <c r="AW17" i="4"/>
  <c r="AW92" i="4"/>
  <c r="AW116" i="4"/>
  <c r="AW117" i="4"/>
  <c r="AW120" i="4"/>
  <c r="AW115" i="4"/>
  <c r="AW26" i="4"/>
  <c r="AW23" i="4"/>
  <c r="AW57" i="4"/>
  <c r="AW46" i="4"/>
  <c r="AW84" i="4"/>
  <c r="AW95" i="4"/>
  <c r="AW127" i="4"/>
  <c r="AW29" i="4"/>
  <c r="AW21" i="4"/>
  <c r="AW71" i="4"/>
  <c r="AW75" i="4"/>
  <c r="AW43" i="4"/>
  <c r="AW110" i="4"/>
  <c r="AW11" i="4"/>
  <c r="AW54" i="4"/>
  <c r="AW79" i="4"/>
  <c r="AW112" i="4"/>
  <c r="AW67" i="4"/>
  <c r="AW22" i="4"/>
  <c r="AW51" i="4"/>
  <c r="AW98" i="4"/>
  <c r="AW30" i="4"/>
  <c r="AW88" i="4"/>
  <c r="AW49" i="4"/>
  <c r="AW33" i="4"/>
  <c r="AW77" i="4"/>
  <c r="AW93" i="4"/>
  <c r="AW124" i="4"/>
  <c r="AW109" i="4"/>
  <c r="AW106" i="4"/>
  <c r="AW101" i="4"/>
  <c r="AW18" i="4"/>
  <c r="AW24" i="4"/>
  <c r="AW80" i="4"/>
  <c r="AW45" i="4"/>
  <c r="AW58" i="4"/>
  <c r="AW122" i="4"/>
  <c r="AW90" i="4"/>
  <c r="AW19" i="4"/>
  <c r="AW55" i="4"/>
  <c r="AW42" i="4"/>
  <c r="AW78" i="4"/>
  <c r="AW50" i="4"/>
  <c r="AW94" i="4"/>
  <c r="AW12" i="4"/>
  <c r="AW70" i="4"/>
  <c r="AW107" i="4"/>
  <c r="AW68" i="4"/>
  <c r="AW16" i="4"/>
  <c r="AW8" i="4"/>
  <c r="AW10" i="4"/>
  <c r="AW104" i="4"/>
  <c r="AW25" i="4"/>
  <c r="AW74" i="4"/>
  <c r="AW113" i="4"/>
  <c r="AW86" i="4"/>
  <c r="AW37" i="4"/>
  <c r="AW128" i="4"/>
  <c r="AW125" i="4"/>
  <c r="AW99" i="4"/>
  <c r="AW100" i="4"/>
  <c r="AW34" i="4"/>
  <c r="AW85" i="4"/>
  <c r="AW82" i="4"/>
  <c r="AW76" i="4"/>
  <c r="AW44" i="4"/>
  <c r="AW114" i="4"/>
  <c r="AW111" i="4"/>
  <c r="AW15" i="4"/>
  <c r="AW40" i="4"/>
  <c r="AW41" i="4"/>
  <c r="AW52" i="4"/>
  <c r="AW65" i="4"/>
  <c r="AW105" i="4"/>
  <c r="AW72" i="4"/>
  <c r="AW36" i="4"/>
  <c r="AW27" i="4"/>
  <c r="AW59" i="4"/>
  <c r="AW89" i="4"/>
  <c r="AW81" i="4"/>
  <c r="AW47" i="4"/>
  <c r="AW108" i="4"/>
  <c r="AW14" i="4"/>
  <c r="AW87" i="4"/>
  <c r="AW102" i="4"/>
  <c r="AW66" i="4"/>
  <c r="O73" i="29" s="1"/>
  <c r="O69" i="29" s="1"/>
  <c r="O53" i="29" s="1"/>
  <c r="AS258" i="1" s="1"/>
  <c r="AS257" i="1" s="1"/>
  <c r="AS256" i="1" s="1"/>
  <c r="AS248" i="1" s="1"/>
  <c r="AS247" i="1" s="1"/>
  <c r="AS241" i="1" s="1"/>
  <c r="AS240" i="1" s="1"/>
  <c r="Q5" i="4" l="1" a="1"/>
  <c r="Q5" i="4" s="1"/>
  <c r="Q25" i="4" a="1"/>
  <c r="Q25" i="4" s="1"/>
  <c r="Q52" i="4" a="1"/>
  <c r="Q52" i="4" s="1"/>
  <c r="Q68" i="4" a="1"/>
  <c r="Q68" i="4" s="1"/>
  <c r="Q30" i="4" a="1"/>
  <c r="Q30" i="4" s="1"/>
  <c r="Q90" i="4" a="1"/>
  <c r="Q90" i="4" s="1"/>
  <c r="Q7" i="4" a="1"/>
  <c r="Q7" i="4" s="1"/>
  <c r="L877" i="4" s="1"/>
  <c r="Q80" i="4" a="1"/>
  <c r="Q80" i="4" s="1"/>
  <c r="Q82" i="4" a="1"/>
  <c r="Q82" i="4" s="1"/>
  <c r="Q79" i="4" a="1"/>
  <c r="Q79" i="4" s="1"/>
  <c r="Q28" i="4" a="1"/>
  <c r="Q28" i="4" s="1"/>
  <c r="Q47" i="4" a="1"/>
  <c r="Q47" i="4" s="1"/>
  <c r="L866" i="4" s="1"/>
  <c r="Q32" i="4" a="1"/>
  <c r="Q32" i="4" s="1"/>
  <c r="Q81" i="4" a="1"/>
  <c r="Q81" i="4" s="1"/>
  <c r="Q66" i="4" a="1"/>
  <c r="Q66" i="4" s="1"/>
  <c r="Q46" i="4" a="1"/>
  <c r="Q46" i="4" s="1"/>
  <c r="Q61" i="4" a="1"/>
  <c r="Q61" i="4" s="1"/>
  <c r="Q50" i="4" a="1"/>
  <c r="Q50" i="4" s="1"/>
  <c r="L898" i="4" s="1"/>
  <c r="Q36" i="4" a="1"/>
  <c r="Q36" i="4" s="1"/>
  <c r="Q16" i="4" a="1"/>
  <c r="Q16" i="4" s="1"/>
  <c r="Q91" i="4" a="1"/>
  <c r="Q91" i="4" s="1"/>
  <c r="Q64" i="4" a="1"/>
  <c r="Q64" i="4" s="1"/>
  <c r="Q44" i="4" a="1"/>
  <c r="Q44" i="4" s="1"/>
  <c r="Q19" i="4" a="1"/>
  <c r="Q19" i="4" s="1"/>
  <c r="Q84" i="4" a="1"/>
  <c r="Q84" i="4" s="1"/>
  <c r="Q38" i="4" a="1"/>
  <c r="Q38" i="4" s="1"/>
  <c r="Q78" i="4" a="1"/>
  <c r="Q78" i="4" s="1"/>
  <c r="Q43" i="4" a="1"/>
  <c r="Q43" i="4" s="1"/>
  <c r="Q26" i="4" a="1"/>
  <c r="Q26" i="4" s="1"/>
  <c r="Q74" i="4" a="1"/>
  <c r="Q74" i="4" s="1"/>
  <c r="Q75" i="4" a="1"/>
  <c r="Q75" i="4" s="1"/>
  <c r="Q11" i="4" a="1"/>
  <c r="Q11" i="4" s="1"/>
  <c r="L318" i="4" s="1"/>
  <c r="Q3" i="4" a="1"/>
  <c r="Q3" i="4" s="1"/>
  <c r="Q73" i="4" a="1"/>
  <c r="Q73" i="4" s="1"/>
  <c r="Q57" i="4" a="1"/>
  <c r="Q57" i="4" s="1"/>
  <c r="L468" i="4" s="1"/>
  <c r="Q70" i="4" a="1"/>
  <c r="Q70" i="4" s="1"/>
  <c r="Q60" i="4" a="1"/>
  <c r="Q60" i="4" s="1"/>
  <c r="Q85" i="4" a="1"/>
  <c r="Q85" i="4" s="1"/>
  <c r="Q6" i="4" a="1"/>
  <c r="Q6" i="4" s="1"/>
  <c r="L523" i="4" s="1"/>
  <c r="Q76" i="4" a="1"/>
  <c r="Q76" i="4" s="1"/>
  <c r="Q45" i="4" a="1"/>
  <c r="Q45" i="4" s="1"/>
  <c r="Q17" i="4" a="1"/>
  <c r="Q17" i="4" s="1"/>
  <c r="Q58" i="4" a="1"/>
  <c r="Q58" i="4" s="1"/>
  <c r="Q13" i="4" a="1"/>
  <c r="Q13" i="4" s="1"/>
  <c r="Q51" i="4" a="1"/>
  <c r="Q51" i="4" s="1"/>
  <c r="Q27" i="4" a="1"/>
  <c r="Q27" i="4" s="1"/>
  <c r="Q33" i="4" a="1"/>
  <c r="Q33" i="4" s="1"/>
  <c r="Q15" i="4" a="1"/>
  <c r="Q15" i="4" s="1"/>
  <c r="Q9" i="4" a="1"/>
  <c r="Q9" i="4" s="1"/>
  <c r="Q55" i="4" a="1"/>
  <c r="Q55" i="4" s="1"/>
  <c r="L689" i="4" s="1"/>
  <c r="Q69" i="4" a="1"/>
  <c r="Q69" i="4" s="1"/>
  <c r="Q86" i="4" a="1"/>
  <c r="Q86" i="4" s="1"/>
  <c r="Q56" i="4" a="1"/>
  <c r="Q56" i="4" s="1"/>
  <c r="L613" i="4" s="1"/>
  <c r="Q2" i="4" a="1"/>
  <c r="Q2" i="4" s="1"/>
  <c r="Q37" i="4" a="1"/>
  <c r="Q37" i="4" s="1"/>
  <c r="Q4" i="4" a="1"/>
  <c r="Q4" i="4" s="1"/>
  <c r="Q63" i="4" a="1"/>
  <c r="Q63" i="4" s="1"/>
  <c r="Q21" i="4" a="1"/>
  <c r="Q21" i="4" s="1"/>
  <c r="Q22" i="4" a="1"/>
  <c r="Q22" i="4" s="1"/>
  <c r="Q93" i="4" a="1"/>
  <c r="Q93" i="4" s="1"/>
  <c r="Q62" i="4" a="1"/>
  <c r="Q62" i="4" s="1"/>
  <c r="Q53" i="4" a="1"/>
  <c r="Q53" i="4" s="1"/>
  <c r="L650" i="4" s="1"/>
  <c r="Q8" i="4" a="1"/>
  <c r="Q8" i="4" s="1"/>
  <c r="Q59" i="4" a="1"/>
  <c r="Q59" i="4" s="1"/>
  <c r="Q89" i="4" a="1"/>
  <c r="Q89" i="4" s="1"/>
  <c r="Q49" i="4" a="1"/>
  <c r="Q49" i="4" s="1"/>
  <c r="Q14" i="4" a="1"/>
  <c r="Q14" i="4" s="1"/>
  <c r="Q20" i="4" a="1"/>
  <c r="Q20" i="4" s="1"/>
  <c r="Q10" i="4" a="1"/>
  <c r="Q10" i="4" s="1"/>
  <c r="Q31" i="4" a="1"/>
  <c r="Q31" i="4" s="1"/>
  <c r="Q42" i="4" a="1"/>
  <c r="Q42" i="4" s="1"/>
  <c r="Q72" i="4" a="1"/>
  <c r="Q72" i="4" s="1"/>
  <c r="Q35" i="4" a="1"/>
  <c r="Q35" i="4" s="1"/>
  <c r="Q71" i="4" a="1"/>
  <c r="Q71" i="4" s="1"/>
  <c r="Q65" i="4" a="1"/>
  <c r="Q65" i="4" s="1"/>
  <c r="Q88" i="4" a="1"/>
  <c r="Q88" i="4" s="1"/>
  <c r="Q23" i="4" a="1"/>
  <c r="Q23" i="4" s="1"/>
  <c r="Q39" i="4" a="1"/>
  <c r="Q39" i="4" s="1"/>
  <c r="Q18" i="4" a="1"/>
  <c r="Q18" i="4" s="1"/>
  <c r="Q92" i="4" a="1"/>
  <c r="Q92" i="4" s="1"/>
  <c r="Q41" i="4" a="1"/>
  <c r="Q41" i="4" s="1"/>
  <c r="Q87" i="4" a="1"/>
  <c r="Q87" i="4" s="1"/>
  <c r="Q40" i="4" a="1"/>
  <c r="Q40" i="4" s="1"/>
  <c r="Q29" i="4" a="1"/>
  <c r="Q29" i="4" s="1"/>
  <c r="Q83" i="4" a="1"/>
  <c r="Q83" i="4" s="1"/>
  <c r="Q54" i="4" a="1"/>
  <c r="Q54" i="4" s="1"/>
  <c r="L836" i="4" s="1"/>
  <c r="Q77" i="4" a="1"/>
  <c r="Q77" i="4" s="1"/>
  <c r="Q34" i="4" a="1"/>
  <c r="Q34" i="4" s="1"/>
  <c r="Q12" i="4" a="1"/>
  <c r="Q12" i="4" s="1"/>
  <c r="L510" i="4" s="1"/>
  <c r="Q24" i="4" a="1"/>
  <c r="Q24" i="4" s="1"/>
  <c r="L839" i="4" s="1"/>
  <c r="Q48" i="4" a="1"/>
  <c r="Q48" i="4" s="1"/>
  <c r="Q67" i="4" a="1"/>
  <c r="Q67" i="4" s="1"/>
  <c r="O49" i="29"/>
  <c r="O45" i="29" s="1"/>
  <c r="O41" i="29" s="1"/>
  <c r="O37" i="29" s="1"/>
  <c r="O33" i="29" s="1"/>
  <c r="O29" i="29" s="1"/>
  <c r="O25" i="29" s="1"/>
  <c r="O21" i="29" s="1"/>
  <c r="O17" i="29" s="1"/>
  <c r="O13" i="29" s="1"/>
  <c r="O9" i="29" s="1"/>
  <c r="O5" i="29" s="1"/>
  <c r="O72" i="29" s="1"/>
  <c r="O67" i="29" s="1"/>
  <c r="O62" i="29" s="1"/>
  <c r="O56" i="29" s="1"/>
  <c r="O51" i="29" s="1"/>
  <c r="O46" i="29" s="1"/>
  <c r="O40" i="29" s="1"/>
  <c r="O35" i="29" s="1"/>
  <c r="O30" i="29" s="1"/>
  <c r="O24" i="29" s="1"/>
  <c r="O19" i="29" s="1"/>
  <c r="O14" i="29" s="1"/>
  <c r="O8" i="29" s="1"/>
  <c r="O3" i="29" s="1"/>
  <c r="O76" i="29" s="1"/>
  <c r="O71" i="29" s="1"/>
  <c r="O66" i="29" s="1"/>
  <c r="O60" i="29" s="1"/>
  <c r="O55" i="29" s="1"/>
  <c r="O50" i="29" s="1"/>
  <c r="O44" i="29" s="1"/>
  <c r="O39" i="29" s="1"/>
  <c r="O34" i="29" s="1"/>
  <c r="O28" i="29" s="1"/>
  <c r="O23" i="29" s="1"/>
  <c r="O18" i="29" s="1"/>
  <c r="O12" i="29" s="1"/>
  <c r="O7" i="29" s="1"/>
  <c r="O75" i="29" s="1"/>
  <c r="O70" i="29" s="1"/>
  <c r="O64" i="29" s="1"/>
  <c r="O59" i="29" s="1"/>
  <c r="O54" i="29" s="1"/>
  <c r="O48" i="29" s="1"/>
  <c r="O43" i="29" s="1"/>
  <c r="O38" i="29" s="1"/>
  <c r="O32" i="29" s="1"/>
  <c r="O27" i="29" s="1"/>
  <c r="O22" i="29" s="1"/>
  <c r="O16" i="29" s="1"/>
  <c r="O11" i="29" s="1"/>
  <c r="O6" i="29" s="1"/>
  <c r="O74" i="29" s="1"/>
  <c r="O68" i="29" s="1"/>
  <c r="O63" i="29" s="1"/>
  <c r="O52" i="29" s="1"/>
  <c r="O47" i="29" s="1"/>
  <c r="O42" i="29" s="1"/>
  <c r="O36" i="29" s="1"/>
  <c r="O31" i="29" s="1"/>
  <c r="O20" i="29" s="1"/>
  <c r="O15" i="29" s="1"/>
  <c r="O4" i="29" s="1"/>
  <c r="O58" i="29" s="1"/>
  <c r="O26" i="29" s="1"/>
  <c r="O10" i="29" s="1"/>
  <c r="O65" i="29"/>
  <c r="O57" i="29" s="1"/>
  <c r="AS255" i="1"/>
  <c r="AS244" i="1"/>
  <c r="AS243" i="1" s="1"/>
  <c r="AS254" i="1"/>
  <c r="AS253" i="1" s="1"/>
  <c r="AS252" i="1"/>
  <c r="AS251" i="1" s="1"/>
  <c r="AS250" i="1" s="1"/>
  <c r="AS249" i="1" s="1"/>
  <c r="AS242" i="1" s="1"/>
  <c r="AS246" i="1"/>
  <c r="AS245" i="1" s="1"/>
  <c r="O61" i="29" s="1"/>
  <c r="AJ189" i="4"/>
  <c r="AT5" i="4"/>
  <c r="AJ193" i="4"/>
  <c r="AT9" i="4"/>
  <c r="AT13" i="4"/>
  <c r="AJ197" i="4"/>
  <c r="AJ201" i="4"/>
  <c r="AT17" i="4"/>
  <c r="AJ205" i="4"/>
  <c r="AT21" i="4"/>
  <c r="AJ209" i="4"/>
  <c r="AT25" i="4"/>
  <c r="AJ213" i="4"/>
  <c r="AT29" i="4"/>
  <c r="AJ217" i="4"/>
  <c r="AT33" i="4"/>
  <c r="AJ221" i="4"/>
  <c r="AT37" i="4"/>
  <c r="AJ225" i="4"/>
  <c r="AT41" i="4"/>
  <c r="AT45" i="4"/>
  <c r="AJ229" i="4"/>
  <c r="AJ233" i="4"/>
  <c r="AT49" i="4"/>
  <c r="AJ237" i="4"/>
  <c r="AT53" i="4"/>
  <c r="AT57" i="4"/>
  <c r="AJ241" i="4"/>
  <c r="AJ245" i="4"/>
  <c r="AT61" i="4"/>
  <c r="AJ249" i="4"/>
  <c r="AT65" i="4"/>
  <c r="AJ253" i="4"/>
  <c r="AT69" i="4"/>
  <c r="AJ257" i="4"/>
  <c r="AT73" i="4"/>
  <c r="AT77" i="4"/>
  <c r="AJ261" i="4"/>
  <c r="AT81" i="4"/>
  <c r="AJ265" i="4"/>
  <c r="AJ269" i="4"/>
  <c r="AT85" i="4"/>
  <c r="AJ273" i="4"/>
  <c r="AT89" i="4"/>
  <c r="AJ277" i="4"/>
  <c r="AT93" i="4"/>
  <c r="AT97" i="4"/>
  <c r="AJ281" i="4"/>
  <c r="AJ285" i="4"/>
  <c r="AT101" i="4"/>
  <c r="AJ289" i="4"/>
  <c r="AT105" i="4"/>
  <c r="AS239" i="1"/>
  <c r="AS238" i="1" s="1"/>
  <c r="AS237" i="1" s="1"/>
  <c r="AS236" i="1" s="1"/>
  <c r="AS235" i="1" s="1"/>
  <c r="AS234" i="1" s="1"/>
  <c r="AS233" i="1" s="1"/>
  <c r="AS232" i="1" s="1"/>
  <c r="AS231" i="1" s="1"/>
  <c r="AS230" i="1" s="1"/>
  <c r="AS229" i="1" s="1"/>
  <c r="AS228" i="1" s="1"/>
  <c r="AS227" i="1" s="1"/>
  <c r="AS226" i="1" s="1"/>
  <c r="AS225" i="1" s="1"/>
  <c r="AS224" i="1" s="1"/>
  <c r="AS223" i="1" s="1"/>
  <c r="AS222" i="1" s="1"/>
  <c r="AS221" i="1" s="1"/>
  <c r="AS220" i="1" s="1"/>
  <c r="AS219" i="1" s="1"/>
  <c r="AS218" i="1" s="1"/>
  <c r="AS217" i="1" s="1"/>
  <c r="AS216" i="1" s="1"/>
  <c r="AS215" i="1" s="1"/>
  <c r="AS214" i="1" s="1"/>
  <c r="AS213" i="1" s="1"/>
  <c r="AS212" i="1" s="1"/>
  <c r="AS211" i="1" s="1"/>
  <c r="AS210" i="1" s="1"/>
  <c r="AS209" i="1" s="1"/>
  <c r="AS208" i="1" s="1"/>
  <c r="AS207" i="1" s="1"/>
  <c r="AS206" i="1" s="1"/>
  <c r="AS205" i="1" s="1"/>
  <c r="AS204" i="1" s="1"/>
  <c r="AS203" i="1" s="1"/>
  <c r="AS202" i="1" s="1"/>
  <c r="AS201" i="1" s="1"/>
  <c r="AS200" i="1" s="1"/>
  <c r="AS199" i="1" s="1"/>
  <c r="AS198" i="1" s="1"/>
  <c r="AS197" i="1" s="1"/>
  <c r="AS196" i="1" s="1"/>
  <c r="AS195" i="1" s="1"/>
  <c r="AS194" i="1" s="1"/>
  <c r="AS193" i="1" s="1"/>
  <c r="AS192" i="1" s="1"/>
  <c r="AS191" i="1" s="1"/>
  <c r="AS190" i="1" s="1"/>
  <c r="AS189" i="1" s="1"/>
  <c r="AS188" i="1" s="1"/>
  <c r="AS187" i="1" s="1"/>
  <c r="AS186" i="1" s="1"/>
  <c r="AS185" i="1" s="1"/>
  <c r="AS184" i="1" s="1"/>
  <c r="AS183" i="1" s="1"/>
  <c r="AS182" i="1" s="1"/>
  <c r="AS181" i="1" s="1"/>
  <c r="AS180" i="1" s="1"/>
  <c r="AS179" i="1" s="1"/>
  <c r="AS178" i="1" s="1"/>
  <c r="AS177" i="1" s="1"/>
  <c r="AS176" i="1" s="1"/>
  <c r="AS175" i="1" s="1"/>
  <c r="AS174" i="1" s="1"/>
  <c r="AS173" i="1" s="1"/>
  <c r="AS172" i="1" s="1"/>
  <c r="AS171" i="1" s="1"/>
  <c r="AS170" i="1" s="1"/>
  <c r="AS169" i="1" s="1"/>
  <c r="AS168" i="1" s="1"/>
  <c r="AS167" i="1" s="1"/>
  <c r="AS166" i="1" s="1"/>
  <c r="AS165" i="1" s="1"/>
  <c r="AS164" i="1" s="1"/>
  <c r="AS163" i="1" s="1"/>
  <c r="AS162" i="1" s="1"/>
  <c r="AS161" i="1" s="1"/>
  <c r="AS160" i="1" s="1"/>
  <c r="AS159" i="1" s="1"/>
  <c r="AS158" i="1" s="1"/>
  <c r="AS157" i="1" s="1"/>
  <c r="AS156" i="1" s="1"/>
  <c r="AS155" i="1" s="1"/>
  <c r="AS154" i="1" s="1"/>
  <c r="AS153" i="1" s="1"/>
  <c r="AS152" i="1" s="1"/>
  <c r="AS151" i="1" s="1"/>
  <c r="AS150" i="1" s="1"/>
  <c r="AS149" i="1" s="1"/>
  <c r="AS148" i="1" s="1"/>
  <c r="AS147" i="1" s="1"/>
  <c r="AS146" i="1" s="1"/>
  <c r="AS145" i="1" s="1"/>
  <c r="AS144" i="1" s="1"/>
  <c r="AS143" i="1" s="1"/>
  <c r="AS142" i="1" s="1"/>
  <c r="AS141" i="1" s="1"/>
  <c r="AS140" i="1" s="1"/>
  <c r="AS139" i="1" s="1"/>
  <c r="AS138" i="1" s="1"/>
  <c r="AS137" i="1" s="1"/>
  <c r="AS136" i="1" s="1"/>
  <c r="AS135" i="1" s="1"/>
  <c r="AS134" i="1" s="1"/>
  <c r="AS133" i="1" s="1"/>
  <c r="AS132" i="1" s="1"/>
  <c r="AS131" i="1" s="1"/>
  <c r="AS130" i="1" s="1"/>
  <c r="AS129" i="1" s="1"/>
  <c r="AS128" i="1" s="1"/>
  <c r="AS127" i="1" s="1"/>
  <c r="AS126" i="1" s="1"/>
  <c r="AS125" i="1" s="1"/>
  <c r="AS124" i="1" s="1"/>
  <c r="AS123" i="1" s="1"/>
  <c r="AS122" i="1" s="1"/>
  <c r="AS121" i="1" s="1"/>
  <c r="AS120" i="1" s="1"/>
  <c r="AS119" i="1" s="1"/>
  <c r="AS118" i="1" s="1"/>
  <c r="AS117" i="1" s="1"/>
  <c r="AS116" i="1" s="1"/>
  <c r="AS115" i="1" s="1"/>
  <c r="AS114" i="1" s="1"/>
  <c r="AS113" i="1" s="1"/>
  <c r="AS112" i="1" s="1"/>
  <c r="AS111" i="1" s="1"/>
  <c r="AS110" i="1" s="1"/>
  <c r="AS109" i="1" s="1"/>
  <c r="AS108" i="1" s="1"/>
  <c r="AS107" i="1" s="1"/>
  <c r="AS106" i="1" s="1"/>
  <c r="AS105" i="1" s="1"/>
  <c r="AS104" i="1" s="1"/>
  <c r="AS103" i="1" s="1"/>
  <c r="AS102" i="1" s="1"/>
  <c r="AS101" i="1" s="1"/>
  <c r="AS100" i="1" s="1"/>
  <c r="AS99" i="1" s="1"/>
  <c r="AS98" i="1" s="1"/>
  <c r="AS97" i="1" s="1"/>
  <c r="AS96" i="1" s="1"/>
  <c r="AS95" i="1" s="1"/>
  <c r="AS94" i="1" s="1"/>
  <c r="AS93" i="1" s="1"/>
  <c r="AS92" i="1" s="1"/>
  <c r="AS91" i="1" s="1"/>
  <c r="AS90" i="1" s="1"/>
  <c r="AS89" i="1" s="1"/>
  <c r="AS88" i="1" s="1"/>
  <c r="AS87" i="1" s="1"/>
  <c r="AS86" i="1" s="1"/>
  <c r="AS85" i="1" s="1"/>
  <c r="AS84" i="1" s="1"/>
  <c r="AS83" i="1" s="1"/>
  <c r="AS82" i="1" s="1"/>
  <c r="AS81" i="1" s="1"/>
  <c r="AS80" i="1" s="1"/>
  <c r="AS79" i="1" s="1"/>
  <c r="AS78" i="1" s="1"/>
  <c r="AS77" i="1" s="1"/>
  <c r="AS76" i="1" s="1"/>
  <c r="AS75" i="1" s="1"/>
  <c r="AS74" i="1" s="1"/>
  <c r="AS73" i="1" s="1"/>
  <c r="AS72" i="1" s="1"/>
  <c r="AS71" i="1" s="1"/>
  <c r="AS70" i="1" s="1"/>
  <c r="AS69" i="1" s="1"/>
  <c r="AS68" i="1" s="1"/>
  <c r="AS67" i="1" s="1"/>
  <c r="AS66" i="1" s="1"/>
  <c r="AS65" i="1" s="1"/>
  <c r="AS64" i="1" s="1"/>
  <c r="AS63" i="1" s="1"/>
  <c r="AS62" i="1" s="1"/>
  <c r="AS61" i="1" s="1"/>
  <c r="AS60" i="1" s="1"/>
  <c r="AS59" i="1" s="1"/>
  <c r="AS58" i="1" s="1"/>
  <c r="AS57" i="1" s="1"/>
  <c r="AS56" i="1" s="1"/>
  <c r="AS55" i="1" s="1"/>
  <c r="AS54" i="1" s="1"/>
  <c r="AS53" i="1" s="1"/>
  <c r="AS52" i="1" s="1"/>
  <c r="AS51" i="1" s="1"/>
  <c r="AS50" i="1" s="1"/>
  <c r="AS49" i="1" s="1"/>
  <c r="AS48" i="1" s="1"/>
  <c r="AS47" i="1" s="1"/>
  <c r="AS46" i="1" s="1"/>
  <c r="AS45" i="1" s="1"/>
  <c r="AS44" i="1" s="1"/>
  <c r="AS43" i="1" s="1"/>
  <c r="AS42" i="1" s="1"/>
  <c r="AS41" i="1" s="1"/>
  <c r="AS40" i="1" s="1"/>
  <c r="AS39" i="1" s="1"/>
  <c r="AS38" i="1" s="1"/>
  <c r="AS37" i="1" s="1"/>
  <c r="AS36" i="1" s="1"/>
  <c r="AS35" i="1" s="1"/>
  <c r="AS34" i="1" s="1"/>
  <c r="AS33" i="1" s="1"/>
  <c r="AS32" i="1" s="1"/>
  <c r="AS31" i="1" s="1"/>
  <c r="AS30" i="1" s="1"/>
  <c r="AS29" i="1" s="1"/>
  <c r="AS28" i="1" s="1"/>
  <c r="AS27" i="1" s="1"/>
  <c r="AS26" i="1" s="1"/>
  <c r="AS25" i="1" s="1"/>
  <c r="AS24" i="1" s="1"/>
  <c r="AS23" i="1" s="1"/>
  <c r="AS22" i="1" s="1"/>
  <c r="AS21" i="1" s="1"/>
  <c r="AS20" i="1" s="1"/>
  <c r="AS19" i="1" s="1"/>
  <c r="AS18" i="1" s="1"/>
  <c r="AS17" i="1" s="1"/>
  <c r="AS16" i="1" s="1"/>
  <c r="AS15" i="1" s="1"/>
  <c r="AS14" i="1" s="1"/>
  <c r="AS13" i="1" s="1"/>
  <c r="AS12" i="1" s="1"/>
  <c r="AS11" i="1" s="1"/>
  <c r="AS10" i="1" s="1"/>
  <c r="AS9" i="1" s="1"/>
  <c r="AS8" i="1" s="1"/>
  <c r="AS7" i="1" s="1"/>
  <c r="AS6" i="1" s="1"/>
  <c r="AS5" i="1" s="1"/>
  <c r="AS4" i="1" s="1"/>
  <c r="AS3" i="1" s="1"/>
  <c r="AT6" i="4"/>
  <c r="AJ190" i="4"/>
  <c r="AJ194" i="4"/>
  <c r="AT10" i="4"/>
  <c r="AJ198" i="4"/>
  <c r="AT14" i="4"/>
  <c r="AJ202" i="4"/>
  <c r="AT18" i="4"/>
  <c r="AT22" i="4"/>
  <c r="AJ206" i="4"/>
  <c r="AJ210" i="4"/>
  <c r="AT26" i="4"/>
  <c r="AJ214" i="4"/>
  <c r="AT30" i="4"/>
  <c r="AJ218" i="4"/>
  <c r="AT34" i="4"/>
  <c r="AJ222" i="4"/>
  <c r="AT38" i="4"/>
  <c r="AJ226" i="4"/>
  <c r="AT42" i="4"/>
  <c r="AJ230" i="4"/>
  <c r="AT46" i="4"/>
  <c r="AJ234" i="4"/>
  <c r="AT50" i="4"/>
  <c r="AT54" i="4"/>
  <c r="AJ238" i="4"/>
  <c r="AT58" i="4"/>
  <c r="AJ242" i="4"/>
  <c r="AT62" i="4"/>
  <c r="AJ246" i="4"/>
  <c r="AJ250" i="4"/>
  <c r="AT66" i="4"/>
  <c r="AT70" i="4"/>
  <c r="AJ254" i="4"/>
  <c r="AT74" i="4"/>
  <c r="AJ258" i="4"/>
  <c r="AT78" i="4"/>
  <c r="AJ262" i="4"/>
  <c r="AJ266" i="4"/>
  <c r="AT82" i="4"/>
  <c r="AJ270" i="4"/>
  <c r="AT86" i="4"/>
  <c r="AT90" i="4"/>
  <c r="AJ274" i="4"/>
  <c r="AJ278" i="4"/>
  <c r="AT94" i="4"/>
  <c r="AT98" i="4"/>
  <c r="AJ282" i="4"/>
  <c r="AT102" i="4"/>
  <c r="AJ286" i="4"/>
  <c r="AT106" i="4"/>
  <c r="AJ290" i="4"/>
  <c r="AT3" i="4"/>
  <c r="AJ187" i="4"/>
  <c r="AT7" i="4"/>
  <c r="AJ191" i="4"/>
  <c r="AT11" i="4"/>
  <c r="AJ195" i="4"/>
  <c r="AT15" i="4"/>
  <c r="AJ199" i="4"/>
  <c r="AJ203" i="4"/>
  <c r="AT19" i="4"/>
  <c r="AT23" i="4"/>
  <c r="AJ207" i="4"/>
  <c r="AJ211" i="4"/>
  <c r="AT27" i="4"/>
  <c r="AJ215" i="4"/>
  <c r="AT31" i="4"/>
  <c r="AJ219" i="4"/>
  <c r="AT35" i="4"/>
  <c r="AJ223" i="4"/>
  <c r="AT39" i="4"/>
  <c r="AT43" i="4"/>
  <c r="AJ227" i="4"/>
  <c r="AJ231" i="4"/>
  <c r="AT47" i="4"/>
  <c r="AJ235" i="4"/>
  <c r="AT51" i="4"/>
  <c r="AJ239" i="4"/>
  <c r="AT55" i="4"/>
  <c r="AT59" i="4"/>
  <c r="AJ243" i="4"/>
  <c r="AJ247" i="4"/>
  <c r="AT63" i="4"/>
  <c r="AJ251" i="4"/>
  <c r="AT67" i="4"/>
  <c r="AT71" i="4"/>
  <c r="AJ255" i="4"/>
  <c r="AJ259" i="4"/>
  <c r="AT75" i="4"/>
  <c r="AJ263" i="4"/>
  <c r="AT79" i="4"/>
  <c r="AJ267" i="4"/>
  <c r="AT83" i="4"/>
  <c r="AJ271" i="4"/>
  <c r="AT87" i="4"/>
  <c r="AJ275" i="4"/>
  <c r="AT91" i="4"/>
  <c r="AJ279" i="4"/>
  <c r="AT95" i="4"/>
  <c r="AJ283" i="4"/>
  <c r="AT99" i="4"/>
  <c r="AJ287" i="4"/>
  <c r="AT103" i="4"/>
  <c r="AJ291" i="4"/>
  <c r="AT107" i="4"/>
  <c r="AT4" i="4"/>
  <c r="AJ188" i="4"/>
  <c r="AT8" i="4"/>
  <c r="AJ192" i="4"/>
  <c r="AJ196" i="4"/>
  <c r="AT12" i="4"/>
  <c r="AT16" i="4"/>
  <c r="AJ200" i="4"/>
  <c r="AT20" i="4"/>
  <c r="AJ204" i="4"/>
  <c r="AT24" i="4"/>
  <c r="AJ208" i="4"/>
  <c r="AT28" i="4"/>
  <c r="AJ212" i="4"/>
  <c r="AJ216" i="4"/>
  <c r="AT32" i="4"/>
  <c r="AJ220" i="4"/>
  <c r="AT36" i="4"/>
  <c r="AT40" i="4"/>
  <c r="AJ224" i="4"/>
  <c r="AJ228" i="4"/>
  <c r="AT44" i="4"/>
  <c r="AT48" i="4"/>
  <c r="AJ232" i="4"/>
  <c r="AT52" i="4"/>
  <c r="AJ236" i="4"/>
  <c r="AJ240" i="4"/>
  <c r="AT56" i="4"/>
  <c r="AT60" i="4"/>
  <c r="AJ244" i="4"/>
  <c r="AJ248" i="4"/>
  <c r="AT64" i="4"/>
  <c r="AJ252" i="4"/>
  <c r="AT68" i="4"/>
  <c r="AT72" i="4"/>
  <c r="AJ256" i="4"/>
  <c r="AT76" i="4"/>
  <c r="AJ260" i="4"/>
  <c r="AT80" i="4"/>
  <c r="AJ264" i="4"/>
  <c r="AJ268" i="4"/>
  <c r="AT84" i="4"/>
  <c r="AJ272" i="4"/>
  <c r="AT88" i="4"/>
  <c r="AT92" i="4"/>
  <c r="AJ276" i="4"/>
  <c r="AJ280" i="4"/>
  <c r="AT96" i="4"/>
  <c r="AT100" i="4"/>
  <c r="AJ284" i="4"/>
  <c r="AT104" i="4"/>
  <c r="AJ288" i="4"/>
  <c r="AT108" i="4"/>
  <c r="AJ292" i="4"/>
  <c r="L924" i="4" l="1"/>
  <c r="L925" i="4"/>
  <c r="L921" i="4"/>
  <c r="L922" i="4"/>
  <c r="L923" i="4"/>
  <c r="L920" i="4"/>
  <c r="L919" i="4"/>
  <c r="L917" i="4"/>
  <c r="L918" i="4"/>
  <c r="L907" i="4"/>
  <c r="L908" i="4"/>
  <c r="L910" i="4"/>
  <c r="L912" i="4"/>
  <c r="L911" i="4"/>
  <c r="L904" i="4"/>
  <c r="L905" i="4"/>
  <c r="L906" i="4"/>
  <c r="L899" i="4"/>
  <c r="L901" i="4"/>
  <c r="L902" i="4"/>
  <c r="L903" i="4"/>
  <c r="L575" i="4"/>
  <c r="L878" i="4"/>
  <c r="L879" i="4"/>
  <c r="L894" i="4"/>
  <c r="L895" i="4"/>
  <c r="L897" i="4"/>
  <c r="L896" i="4"/>
  <c r="L597" i="4"/>
  <c r="L875" i="4"/>
  <c r="L837" i="4"/>
  <c r="L874" i="4"/>
  <c r="L851" i="4"/>
  <c r="L850" i="4"/>
  <c r="L849" i="4"/>
  <c r="L349" i="4"/>
  <c r="L876" i="4"/>
  <c r="L827" i="4"/>
  <c r="L828" i="4"/>
  <c r="L831" i="4"/>
  <c r="L830" i="4"/>
  <c r="L829" i="4"/>
  <c r="L845" i="4"/>
  <c r="L846" i="4"/>
  <c r="L864" i="4"/>
  <c r="L551" i="4"/>
  <c r="L552" i="4"/>
  <c r="L553" i="4"/>
  <c r="L600" i="4"/>
  <c r="L4" i="4"/>
  <c r="L856" i="4"/>
  <c r="L855" i="4"/>
  <c r="L857" i="4"/>
  <c r="L859" i="4"/>
  <c r="L858" i="4"/>
  <c r="L860" i="4"/>
  <c r="L873" i="4"/>
  <c r="L872" i="4"/>
  <c r="L881" i="4"/>
  <c r="L880" i="4"/>
  <c r="L886" i="4"/>
  <c r="L885" i="4"/>
  <c r="L865" i="4"/>
  <c r="L893" i="4"/>
  <c r="L822" i="4"/>
  <c r="L868" i="4"/>
  <c r="L871" i="4"/>
  <c r="L867" i="4"/>
  <c r="L870" i="4"/>
  <c r="L869" i="4"/>
  <c r="L844" i="4"/>
  <c r="L884" i="4"/>
  <c r="L840" i="4"/>
  <c r="L892" i="4"/>
  <c r="L882" i="4"/>
  <c r="L883" i="4"/>
  <c r="L889" i="4"/>
  <c r="L887" i="4"/>
  <c r="L888" i="4"/>
  <c r="L891" i="4"/>
  <c r="L890" i="4"/>
  <c r="L826" i="4"/>
  <c r="L825" i="4"/>
  <c r="L848" i="4"/>
  <c r="L823" i="4"/>
  <c r="L847" i="4"/>
  <c r="L824" i="4"/>
  <c r="L862" i="4"/>
  <c r="L861" i="4"/>
  <c r="L832" i="4"/>
  <c r="L833" i="4"/>
  <c r="L834" i="4"/>
  <c r="L835" i="4"/>
  <c r="L863" i="4"/>
  <c r="L842" i="4"/>
  <c r="L841" i="4"/>
  <c r="L843" i="4"/>
  <c r="L854" i="4"/>
  <c r="L852" i="4"/>
  <c r="L853" i="4"/>
  <c r="L730" i="4"/>
  <c r="L821" i="4"/>
  <c r="L820" i="4"/>
  <c r="L818" i="4"/>
  <c r="L819" i="4"/>
  <c r="L436" i="4"/>
  <c r="L500" i="4"/>
  <c r="L548" i="4"/>
  <c r="L612" i="4"/>
  <c r="L774" i="4"/>
  <c r="L798" i="4"/>
  <c r="L437" i="4"/>
  <c r="L795" i="4"/>
  <c r="L690" i="4"/>
  <c r="L796" i="4"/>
  <c r="L611" i="4"/>
  <c r="L773" i="4"/>
  <c r="L499" i="4"/>
  <c r="L566" i="4"/>
  <c r="L691" i="4"/>
  <c r="L797" i="4"/>
  <c r="L498" i="4"/>
  <c r="L547" i="4"/>
  <c r="L567" i="4"/>
  <c r="L590" i="4"/>
  <c r="L591" i="4"/>
  <c r="L83" i="4"/>
  <c r="L111" i="4"/>
  <c r="L139" i="4"/>
  <c r="L143" i="4"/>
  <c r="L147" i="4"/>
  <c r="L155" i="4"/>
  <c r="L112" i="4"/>
  <c r="L140" i="4"/>
  <c r="L144" i="4"/>
  <c r="L148" i="4"/>
  <c r="L156" i="4"/>
  <c r="L204" i="4"/>
  <c r="L208" i="4"/>
  <c r="L264" i="4"/>
  <c r="L268" i="4"/>
  <c r="L312" i="4"/>
  <c r="L344" i="4"/>
  <c r="L348" i="4"/>
  <c r="L360" i="4"/>
  <c r="L81" i="4"/>
  <c r="L110" i="4"/>
  <c r="L142" i="4"/>
  <c r="L158" i="4"/>
  <c r="L207" i="4"/>
  <c r="L265" i="4"/>
  <c r="L311" i="4"/>
  <c r="L347" i="4"/>
  <c r="L464" i="4"/>
  <c r="L592" i="4"/>
  <c r="L596" i="4"/>
  <c r="L672" i="4"/>
  <c r="L146" i="4"/>
  <c r="L154" i="4"/>
  <c r="L205" i="4"/>
  <c r="L82" i="4"/>
  <c r="L113" i="4"/>
  <c r="L145" i="4"/>
  <c r="L209" i="4"/>
  <c r="L266" i="4"/>
  <c r="L313" i="4"/>
  <c r="L358" i="4"/>
  <c r="L461" i="4"/>
  <c r="L465" i="4"/>
  <c r="L501" i="4"/>
  <c r="L525" i="4"/>
  <c r="L593" i="4"/>
  <c r="L114" i="4"/>
  <c r="L210" i="4"/>
  <c r="L267" i="4"/>
  <c r="L309" i="4"/>
  <c r="L206" i="4"/>
  <c r="L315" i="4"/>
  <c r="L345" i="4"/>
  <c r="L359" i="4"/>
  <c r="L467" i="4"/>
  <c r="L502" i="4"/>
  <c r="L594" i="4"/>
  <c r="L141" i="4"/>
  <c r="L314" i="4"/>
  <c r="L671" i="4"/>
  <c r="L157" i="4"/>
  <c r="L263" i="4"/>
  <c r="L346" i="4"/>
  <c r="L462" i="4"/>
  <c r="L595" i="4"/>
  <c r="L269" i="4"/>
  <c r="L310" i="4"/>
  <c r="L463" i="4"/>
  <c r="L526" i="4"/>
  <c r="L466" i="4"/>
  <c r="L23" i="4"/>
  <c r="L10" i="4"/>
  <c r="L22" i="4"/>
  <c r="L59" i="4"/>
  <c r="L195" i="4"/>
  <c r="L60" i="4"/>
  <c r="L196" i="4"/>
  <c r="L308" i="4"/>
  <c r="L53" i="4"/>
  <c r="L61" i="4"/>
  <c r="L432" i="4"/>
  <c r="L544" i="4"/>
  <c r="L716" i="4"/>
  <c r="L748" i="4"/>
  <c r="L57" i="4"/>
  <c r="L62" i="4"/>
  <c r="L307" i="4"/>
  <c r="L433" i="4"/>
  <c r="L545" i="4"/>
  <c r="L561" i="4"/>
  <c r="L657" i="4"/>
  <c r="L745" i="4"/>
  <c r="L193" i="4"/>
  <c r="L58" i="4"/>
  <c r="L563" i="4"/>
  <c r="L715" i="4"/>
  <c r="L747" i="4"/>
  <c r="L434" i="4"/>
  <c r="L546" i="4"/>
  <c r="L746" i="4"/>
  <c r="L194" i="4"/>
  <c r="L435" i="4"/>
  <c r="L562" i="4"/>
  <c r="L51" i="4"/>
  <c r="L50" i="4"/>
  <c r="L27" i="4"/>
  <c r="L8" i="4"/>
  <c r="L24" i="4"/>
  <c r="L28" i="4"/>
  <c r="L72" i="4"/>
  <c r="L9" i="4"/>
  <c r="L127" i="4"/>
  <c r="L183" i="4"/>
  <c r="L187" i="4"/>
  <c r="L128" i="4"/>
  <c r="L184" i="4"/>
  <c r="L248" i="4"/>
  <c r="L332" i="4"/>
  <c r="L336" i="4"/>
  <c r="L249" i="4"/>
  <c r="L331" i="4"/>
  <c r="L384" i="4"/>
  <c r="L456" i="4"/>
  <c r="L806" i="4"/>
  <c r="L106" i="4"/>
  <c r="L185" i="4"/>
  <c r="L129" i="4"/>
  <c r="L250" i="4"/>
  <c r="L333" i="4"/>
  <c r="L385" i="4"/>
  <c r="L453" i="4"/>
  <c r="L457" i="4"/>
  <c r="L807" i="4"/>
  <c r="L334" i="4"/>
  <c r="L454" i="4"/>
  <c r="L809" i="4"/>
  <c r="L186" i="4"/>
  <c r="L335" i="4"/>
  <c r="L455" i="4"/>
  <c r="L808" i="4"/>
  <c r="L330" i="4"/>
  <c r="L71" i="4"/>
  <c r="L68" i="4"/>
  <c r="L364" i="4"/>
  <c r="L270" i="4"/>
  <c r="L362" i="4"/>
  <c r="L400" i="4"/>
  <c r="L404" i="4"/>
  <c r="L480" i="4"/>
  <c r="L504" i="4"/>
  <c r="L528" i="4"/>
  <c r="L568" i="4"/>
  <c r="L790" i="4"/>
  <c r="L794" i="4"/>
  <c r="L69" i="4"/>
  <c r="L363" i="4"/>
  <c r="L401" i="4"/>
  <c r="L405" i="4"/>
  <c r="L481" i="4"/>
  <c r="L529" i="4"/>
  <c r="L569" i="4"/>
  <c r="L791" i="4"/>
  <c r="L482" i="4"/>
  <c r="L530" i="4"/>
  <c r="L70" i="4"/>
  <c r="L402" i="4"/>
  <c r="L479" i="4"/>
  <c r="L793" i="4"/>
  <c r="L361" i="4"/>
  <c r="L406" i="4"/>
  <c r="L503" i="4"/>
  <c r="L792" i="4"/>
  <c r="L527" i="4"/>
  <c r="L570" i="4"/>
  <c r="L73" i="4"/>
  <c r="L74" i="4"/>
  <c r="L301" i="4"/>
  <c r="L628" i="4"/>
  <c r="L782" i="4"/>
  <c r="L629" i="4"/>
  <c r="L300" i="4"/>
  <c r="L556" i="4"/>
  <c r="L616" i="4"/>
  <c r="L724" i="4"/>
  <c r="L760" i="4"/>
  <c r="L557" i="4"/>
  <c r="L617" i="4"/>
  <c r="L783" i="4"/>
  <c r="L555" i="4"/>
  <c r="L723" i="4"/>
  <c r="L784" i="4"/>
  <c r="L554" i="4"/>
  <c r="L558" i="4"/>
  <c r="L30" i="4"/>
  <c r="L26" i="4"/>
  <c r="L25" i="4"/>
  <c r="L29" i="4"/>
  <c r="L79" i="4"/>
  <c r="L95" i="4"/>
  <c r="L171" i="4"/>
  <c r="L175" i="4"/>
  <c r="L96" i="4"/>
  <c r="L172" i="4"/>
  <c r="L176" i="4"/>
  <c r="L252" i="4"/>
  <c r="L292" i="4"/>
  <c r="L296" i="4"/>
  <c r="L340" i="4"/>
  <c r="L174" i="4"/>
  <c r="L290" i="4"/>
  <c r="L295" i="4"/>
  <c r="L342" i="4"/>
  <c r="L170" i="4"/>
  <c r="L230" i="4"/>
  <c r="L251" i="4"/>
  <c r="L293" i="4"/>
  <c r="L169" i="4"/>
  <c r="L177" i="4"/>
  <c r="L229" i="4"/>
  <c r="L291" i="4"/>
  <c r="L297" i="4"/>
  <c r="L93" i="4"/>
  <c r="L178" i="4"/>
  <c r="L298" i="4"/>
  <c r="L299" i="4"/>
  <c r="L341" i="4"/>
  <c r="L94" i="4"/>
  <c r="L173" i="4"/>
  <c r="L231" i="4"/>
  <c r="L294" i="4"/>
  <c r="L220" i="4"/>
  <c r="L278" i="4"/>
  <c r="L279" i="4"/>
  <c r="L31" i="4"/>
  <c r="L32" i="4"/>
  <c r="L48" i="4"/>
  <c r="L232" i="4"/>
  <c r="L233" i="4"/>
  <c r="L392" i="4"/>
  <c r="L49" i="4"/>
  <c r="L234" i="4"/>
  <c r="L393" i="4"/>
  <c r="L697" i="4"/>
  <c r="L235" i="4"/>
  <c r="L37" i="4"/>
  <c r="L107" i="4"/>
  <c r="L108" i="4"/>
  <c r="L337" i="4"/>
  <c r="L388" i="4"/>
  <c r="L416" i="4"/>
  <c r="L786" i="4"/>
  <c r="L814" i="4"/>
  <c r="L303" i="4"/>
  <c r="L302" i="4"/>
  <c r="L338" i="4"/>
  <c r="L389" i="4"/>
  <c r="L417" i="4"/>
  <c r="L581" i="4"/>
  <c r="L787" i="4"/>
  <c r="L418" i="4"/>
  <c r="L788" i="4"/>
  <c r="L583" i="4"/>
  <c r="L227" i="4"/>
  <c r="L390" i="4"/>
  <c r="L789" i="4"/>
  <c r="L339" i="4"/>
  <c r="L391" i="4"/>
  <c r="L582" i="4"/>
  <c r="L813" i="4"/>
  <c r="L109" i="4"/>
  <c r="L415" i="4"/>
  <c r="L191" i="4"/>
  <c r="L192" i="4"/>
  <c r="L224" i="4"/>
  <c r="L288" i="4"/>
  <c r="L189" i="4"/>
  <c r="L223" i="4"/>
  <c r="L190" i="4"/>
  <c r="L225" i="4"/>
  <c r="L226" i="4"/>
  <c r="L387" i="4"/>
  <c r="L386" i="4"/>
  <c r="L289" i="4"/>
  <c r="L167" i="4"/>
  <c r="L180" i="4"/>
  <c r="L166" i="4"/>
  <c r="L181" i="4"/>
  <c r="L516" i="4"/>
  <c r="L182" i="4"/>
  <c r="L517" i="4"/>
  <c r="L515" i="4"/>
  <c r="L560" i="4"/>
  <c r="L604" i="4"/>
  <c r="L601" i="4"/>
  <c r="L605" i="4"/>
  <c r="L658" i="4"/>
  <c r="L559" i="4"/>
  <c r="L602" i="4"/>
  <c r="L618" i="4"/>
  <c r="L659" i="4"/>
  <c r="L603" i="4"/>
  <c r="L260" i="4"/>
  <c r="L262" i="4"/>
  <c r="L261" i="4"/>
  <c r="L55" i="4"/>
  <c r="L75" i="4"/>
  <c r="L56" i="4"/>
  <c r="L76" i="4"/>
  <c r="L80" i="4"/>
  <c r="L304" i="4"/>
  <c r="L306" i="4"/>
  <c r="L588" i="4"/>
  <c r="L608" i="4"/>
  <c r="L624" i="4"/>
  <c r="L652" i="4"/>
  <c r="L656" i="4"/>
  <c r="L54" i="4"/>
  <c r="L589" i="4"/>
  <c r="L609" i="4"/>
  <c r="L653" i="4"/>
  <c r="L767" i="4"/>
  <c r="L771" i="4"/>
  <c r="L77" i="4"/>
  <c r="L78" i="4"/>
  <c r="L431" i="4"/>
  <c r="L623" i="4"/>
  <c r="L305" i="4"/>
  <c r="L587" i="4"/>
  <c r="L610" i="4"/>
  <c r="L772" i="4"/>
  <c r="L654" i="4"/>
  <c r="L655" i="4"/>
  <c r="L720" i="4"/>
  <c r="L756" i="4"/>
  <c r="L802" i="4"/>
  <c r="L573" i="4"/>
  <c r="L717" i="4"/>
  <c r="L803" i="4"/>
  <c r="L719" i="4"/>
  <c r="L574" i="4"/>
  <c r="L718" i="4"/>
  <c r="L403" i="4"/>
  <c r="L785" i="4"/>
  <c r="L539" i="4"/>
  <c r="L693" i="4"/>
  <c r="L694" i="4"/>
  <c r="L103" i="4"/>
  <c r="L104" i="4"/>
  <c r="L105" i="4"/>
  <c r="L322" i="4"/>
  <c r="L323" i="4"/>
  <c r="L131" i="4"/>
  <c r="L84" i="4"/>
  <c r="L132" i="4"/>
  <c r="L164" i="4"/>
  <c r="L280" i="4"/>
  <c r="L324" i="4"/>
  <c r="L328" i="4"/>
  <c r="L134" i="4"/>
  <c r="L281" i="4"/>
  <c r="L326" i="4"/>
  <c r="L448" i="4"/>
  <c r="L452" i="4"/>
  <c r="L540" i="4"/>
  <c r="L684" i="4"/>
  <c r="L282" i="4"/>
  <c r="L327" i="4"/>
  <c r="L449" i="4"/>
  <c r="L541" i="4"/>
  <c r="L685" i="4"/>
  <c r="L725" i="4"/>
  <c r="L130" i="4"/>
  <c r="L446" i="4"/>
  <c r="L494" i="4"/>
  <c r="L543" i="4"/>
  <c r="L578" i="4"/>
  <c r="L695" i="4"/>
  <c r="L686" i="4"/>
  <c r="L761" i="4"/>
  <c r="L542" i="4"/>
  <c r="L325" i="4"/>
  <c r="L447" i="4"/>
  <c r="L495" i="4"/>
  <c r="L133" i="4"/>
  <c r="L165" i="4"/>
  <c r="L329" i="4"/>
  <c r="L450" i="4"/>
  <c r="L451" i="4"/>
  <c r="L524" i="4"/>
  <c r="L799" i="4"/>
  <c r="L43" i="4"/>
  <c r="L44" i="4"/>
  <c r="L38" i="4"/>
  <c r="L46" i="4"/>
  <c r="L42" i="4"/>
  <c r="L41" i="4"/>
  <c r="L45" i="4"/>
  <c r="L254" i="4"/>
  <c r="L253" i="4"/>
  <c r="L151" i="4"/>
  <c r="L152" i="4"/>
  <c r="L200" i="4"/>
  <c r="L236" i="4"/>
  <c r="L240" i="4"/>
  <c r="L256" i="4"/>
  <c r="L150" i="4"/>
  <c r="L197" i="4"/>
  <c r="L202" i="4"/>
  <c r="L238" i="4"/>
  <c r="L259" i="4"/>
  <c r="L153" i="4"/>
  <c r="L198" i="4"/>
  <c r="L203" i="4"/>
  <c r="L239" i="4"/>
  <c r="L255" i="4"/>
  <c r="L199" i="4"/>
  <c r="L257" i="4"/>
  <c r="L149" i="4"/>
  <c r="L237" i="4"/>
  <c r="L258" i="4"/>
  <c r="L201" i="4"/>
  <c r="L367" i="4"/>
  <c r="L615" i="4"/>
  <c r="L614" i="4"/>
  <c r="L399" i="4"/>
  <c r="L811" i="4"/>
  <c r="L607" i="4"/>
  <c r="L812" i="4"/>
  <c r="L606" i="4"/>
  <c r="L15" i="4"/>
  <c r="L35" i="4"/>
  <c r="L39" i="4"/>
  <c r="L47" i="4"/>
  <c r="L16" i="4"/>
  <c r="L20" i="4"/>
  <c r="L36" i="4"/>
  <c r="L40" i="4"/>
  <c r="L17" i="4"/>
  <c r="L21" i="4"/>
  <c r="L123" i="4"/>
  <c r="L159" i="4"/>
  <c r="L163" i="4"/>
  <c r="L100" i="4"/>
  <c r="L124" i="4"/>
  <c r="L160" i="4"/>
  <c r="L216" i="4"/>
  <c r="L244" i="4"/>
  <c r="L272" i="4"/>
  <c r="L276" i="4"/>
  <c r="L102" i="4"/>
  <c r="L126" i="4"/>
  <c r="L243" i="4"/>
  <c r="L275" i="4"/>
  <c r="L420" i="4"/>
  <c r="L424" i="4"/>
  <c r="L632" i="4"/>
  <c r="L648" i="4"/>
  <c r="L660" i="4"/>
  <c r="L122" i="4"/>
  <c r="L215" i="4"/>
  <c r="L241" i="4"/>
  <c r="L273" i="4"/>
  <c r="L161" i="4"/>
  <c r="L214" i="4"/>
  <c r="L245" i="4"/>
  <c r="L271" i="4"/>
  <c r="L277" i="4"/>
  <c r="L421" i="4"/>
  <c r="L425" i="4"/>
  <c r="L649" i="4"/>
  <c r="L661" i="4"/>
  <c r="L673" i="4"/>
  <c r="L162" i="4"/>
  <c r="L246" i="4"/>
  <c r="L630" i="4"/>
  <c r="L674" i="4"/>
  <c r="L422" i="4"/>
  <c r="L274" i="4"/>
  <c r="L423" i="4"/>
  <c r="L125" i="4"/>
  <c r="L242" i="4"/>
  <c r="L411" i="4"/>
  <c r="L419" i="4"/>
  <c r="L631" i="4"/>
  <c r="L675" i="4"/>
  <c r="L101" i="4"/>
  <c r="L247" i="4"/>
  <c r="L662" i="4"/>
  <c r="L647" i="4"/>
  <c r="L663" i="4"/>
  <c r="L115" i="4"/>
  <c r="L119" i="4"/>
  <c r="L116" i="4"/>
  <c r="L120" i="4"/>
  <c r="L212" i="4"/>
  <c r="L316" i="4"/>
  <c r="L118" i="4"/>
  <c r="L213" i="4"/>
  <c r="L317" i="4"/>
  <c r="L408" i="4"/>
  <c r="L484" i="4"/>
  <c r="L564" i="4"/>
  <c r="L572" i="4"/>
  <c r="L121" i="4"/>
  <c r="L485" i="4"/>
  <c r="L505" i="4"/>
  <c r="L549" i="4"/>
  <c r="L565" i="4"/>
  <c r="L117" i="4"/>
  <c r="L571" i="4"/>
  <c r="L407" i="4"/>
  <c r="L506" i="4"/>
  <c r="L366" i="4"/>
  <c r="L211" i="4"/>
  <c r="L483" i="4"/>
  <c r="L365" i="4"/>
  <c r="L550" i="4"/>
  <c r="L87" i="4"/>
  <c r="L88" i="4"/>
  <c r="L89" i="4"/>
  <c r="L620" i="4"/>
  <c r="L688" i="4"/>
  <c r="L700" i="4"/>
  <c r="L85" i="4"/>
  <c r="L343" i="4"/>
  <c r="L621" i="4"/>
  <c r="L701" i="4"/>
  <c r="L599" i="4"/>
  <c r="L638" i="4"/>
  <c r="L598" i="4"/>
  <c r="L699" i="4"/>
  <c r="L86" i="4"/>
  <c r="L622" i="4"/>
  <c r="L19" i="4"/>
  <c r="L18" i="4"/>
  <c r="L91" i="4"/>
  <c r="L135" i="4"/>
  <c r="L92" i="4"/>
  <c r="L136" i="4"/>
  <c r="L168" i="4"/>
  <c r="L496" i="4"/>
  <c r="L584" i="4"/>
  <c r="L728" i="4"/>
  <c r="L90" i="4"/>
  <c r="L137" i="4"/>
  <c r="L497" i="4"/>
  <c r="L585" i="4"/>
  <c r="L669" i="4"/>
  <c r="L763" i="4"/>
  <c r="L586" i="4"/>
  <c r="L458" i="4"/>
  <c r="L670" i="4"/>
  <c r="L459" i="4"/>
  <c r="L619" i="4"/>
  <c r="L698" i="4"/>
  <c r="L727" i="4"/>
  <c r="L576" i="4"/>
  <c r="L705" i="4"/>
  <c r="L721" i="4"/>
  <c r="L722" i="4"/>
  <c r="L706" i="4"/>
  <c r="L188" i="4"/>
  <c r="L352" i="4"/>
  <c r="L376" i="4"/>
  <c r="L218" i="4"/>
  <c r="L353" i="4"/>
  <c r="L375" i="4"/>
  <c r="L380" i="4"/>
  <c r="L396" i="4"/>
  <c r="L412" i="4"/>
  <c r="L444" i="4"/>
  <c r="L492" i="4"/>
  <c r="L512" i="4"/>
  <c r="L536" i="4"/>
  <c r="L644" i="4"/>
  <c r="L664" i="4"/>
  <c r="L676" i="4"/>
  <c r="L680" i="4"/>
  <c r="L732" i="4"/>
  <c r="L736" i="4"/>
  <c r="L740" i="4"/>
  <c r="L219" i="4"/>
  <c r="L377" i="4"/>
  <c r="L381" i="4"/>
  <c r="L397" i="4"/>
  <c r="L413" i="4"/>
  <c r="L441" i="4"/>
  <c r="L445" i="4"/>
  <c r="L493" i="4"/>
  <c r="L513" i="4"/>
  <c r="L533" i="4"/>
  <c r="L537" i="4"/>
  <c r="L633" i="4"/>
  <c r="L645" i="4"/>
  <c r="L665" i="4"/>
  <c r="L677" i="4"/>
  <c r="L681" i="4"/>
  <c r="L733" i="4"/>
  <c r="L737" i="4"/>
  <c r="L138" i="4"/>
  <c r="L379" i="4"/>
  <c r="L395" i="4"/>
  <c r="L514" i="4"/>
  <c r="L535" i="4"/>
  <c r="L666" i="4"/>
  <c r="L682" i="4"/>
  <c r="L731" i="4"/>
  <c r="L739" i="4"/>
  <c r="L383" i="4"/>
  <c r="L442" i="4"/>
  <c r="L490" i="4"/>
  <c r="L735" i="4"/>
  <c r="L443" i="4"/>
  <c r="L491" i="4"/>
  <c r="L511" i="4"/>
  <c r="L738" i="4"/>
  <c r="L382" i="4"/>
  <c r="L398" i="4"/>
  <c r="L538" i="4"/>
  <c r="L643" i="4"/>
  <c r="L683" i="4"/>
  <c r="L734" i="4"/>
  <c r="L217" i="4"/>
  <c r="L374" i="4"/>
  <c r="L414" i="4"/>
  <c r="L634" i="4"/>
  <c r="L646" i="4"/>
  <c r="L678" i="4"/>
  <c r="L351" i="4"/>
  <c r="L378" i="4"/>
  <c r="L394" i="4"/>
  <c r="L534" i="4"/>
  <c r="L635" i="4"/>
  <c r="L679" i="4"/>
  <c r="L14" i="4"/>
  <c r="L33" i="4"/>
  <c r="L34" i="4"/>
  <c r="L13" i="4"/>
  <c r="L520" i="4"/>
  <c r="L521" i="4"/>
  <c r="L729" i="4"/>
  <c r="L522" i="4"/>
  <c r="L580" i="4"/>
  <c r="L636" i="4"/>
  <c r="L668" i="4"/>
  <c r="L762" i="4"/>
  <c r="L637" i="4"/>
  <c r="L687" i="4"/>
  <c r="L579" i="4"/>
  <c r="L667" i="4"/>
  <c r="L726" i="4"/>
  <c r="L67" i="4"/>
  <c r="L65" i="4"/>
  <c r="L428" i="4"/>
  <c r="L66" i="4"/>
  <c r="L427" i="4"/>
  <c r="L3" i="4"/>
  <c r="L2" i="4"/>
  <c r="AU2" i="4" a="1"/>
  <c r="AV6" i="4" l="1"/>
  <c r="AW6" i="4"/>
  <c r="AV5" i="4"/>
  <c r="AW5" i="4"/>
  <c r="AU2" i="4"/>
  <c r="AV2" i="4" s="1"/>
  <c r="AW4" i="4"/>
  <c r="AV4" i="4"/>
  <c r="AW3" i="4"/>
  <c r="AV3" i="4"/>
  <c r="AW2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Ramzi Kassab</author>
  </authors>
  <commentList>
    <comment ref="X8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Ramzi Kassab:</t>
        </r>
        <r>
          <rPr>
            <sz val="9"/>
            <color indexed="81"/>
            <rFont val="Tahoma"/>
            <family val="2"/>
          </rPr>
          <t xml:space="preserve">
5 ENO NEW</t>
        </r>
      </text>
    </comment>
    <comment ref="X13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Ramzi Kassab:</t>
        </r>
        <r>
          <rPr>
            <sz val="9"/>
            <color indexed="81"/>
            <rFont val="Tahoma"/>
            <family val="2"/>
          </rPr>
          <t xml:space="preserve">
16 ENO added to the store, but still did not added here.</t>
        </r>
      </text>
    </comment>
    <comment ref="X18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Ramzi Kassab:</t>
        </r>
        <r>
          <rPr>
            <sz val="9"/>
            <color indexed="81"/>
            <rFont val="Tahoma"/>
            <family val="2"/>
          </rPr>
          <t xml:space="preserve">
12 ENO deducted for SN: 13910643</t>
        </r>
      </text>
    </comment>
    <comment ref="X22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Ramzi Kassab:</t>
        </r>
        <r>
          <rPr>
            <sz val="9"/>
            <color indexed="81"/>
            <rFont val="Tahoma"/>
            <family val="2"/>
          </rPr>
          <t xml:space="preserve">
ENO 31</t>
        </r>
      </text>
    </comment>
    <comment ref="X23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Ramzi Kassab:
11 ENO CUTTERS FOR 2024-L4-53</t>
        </r>
      </text>
    </comment>
    <comment ref="X32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Ramzi Kassab:</t>
        </r>
        <r>
          <rPr>
            <sz val="9"/>
            <color indexed="81"/>
            <rFont val="Tahoma"/>
            <family val="2"/>
          </rPr>
          <t xml:space="preserve">
16+14 ENO CUTTERS</t>
        </r>
      </text>
    </comment>
    <comment ref="C34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Ramzi Kassab:</t>
        </r>
        <r>
          <rPr>
            <sz val="9"/>
            <color indexed="81"/>
            <rFont val="Tahoma"/>
            <family val="2"/>
          </rPr>
          <t xml:space="preserve">
The 5 1/4" bit details were not shared.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<sst xmlns="http://schemas.openxmlformats.org/spreadsheetml/2006/main" count="43905" uniqueCount="4564">
  <si>
    <t>#</t>
  </si>
  <si>
    <t>SAPNo</t>
  </si>
  <si>
    <t xml:space="preserve">Type </t>
  </si>
  <si>
    <t>Cutter size</t>
  </si>
  <si>
    <t>Type</t>
  </si>
  <si>
    <t>Chamfer</t>
  </si>
  <si>
    <t xml:space="preserve"> More Description</t>
  </si>
  <si>
    <t>Category</t>
  </si>
  <si>
    <t>ENO As New Cutter</t>
  </si>
  <si>
    <t xml:space="preserve">ENO Ground Cutter </t>
  </si>
  <si>
    <t>ARDT Reclaim  Cutter</t>
  </si>
  <si>
    <t>LSTK Reclaim Cutter</t>
  </si>
  <si>
    <t>New Stock</t>
  </si>
  <si>
    <t>Total New</t>
  </si>
  <si>
    <t>6 months consumption</t>
  </si>
  <si>
    <t>3 months consumption</t>
  </si>
  <si>
    <t>2 months consumption</t>
  </si>
  <si>
    <t>Safety Stock</t>
  </si>
  <si>
    <t>Total Stock - Forcast</t>
  </si>
  <si>
    <t>Remarks</t>
  </si>
  <si>
    <t>Replacement</t>
  </si>
  <si>
    <t>L3 &amp; 4</t>
  </si>
  <si>
    <t>Total Without LSTK Reclaim</t>
  </si>
  <si>
    <t>Replacement Required Qty</t>
  </si>
  <si>
    <t>Replacement By Qty</t>
  </si>
  <si>
    <t>Replacement By Qty (SUM)</t>
  </si>
  <si>
    <t>Round</t>
  </si>
  <si>
    <t>CT97</t>
  </si>
  <si>
    <t>P - Premium</t>
  </si>
  <si>
    <t/>
  </si>
  <si>
    <t>ELITE RC</t>
  </si>
  <si>
    <t>0.018"</t>
  </si>
  <si>
    <t>O - Other</t>
  </si>
  <si>
    <t>IA-STL</t>
  </si>
  <si>
    <t>13MM Long</t>
  </si>
  <si>
    <t>M1</t>
  </si>
  <si>
    <t>D - Depth of Cut Control Elements</t>
  </si>
  <si>
    <t>Shyfter - R1</t>
  </si>
  <si>
    <t>13MM</t>
  </si>
  <si>
    <t>LG BVL</t>
  </si>
  <si>
    <t>0.012R</t>
  </si>
  <si>
    <t>R1 PEP .012R LG BEVEL</t>
  </si>
  <si>
    <t>Short Bullet</t>
  </si>
  <si>
    <t>19MM</t>
  </si>
  <si>
    <t>CT27</t>
  </si>
  <si>
    <t>BL</t>
  </si>
  <si>
    <t>CT62</t>
  </si>
  <si>
    <t>B - Standard ( Base )</t>
  </si>
  <si>
    <t>CT36</t>
  </si>
  <si>
    <t>S - Super Premium</t>
  </si>
  <si>
    <t>CT61</t>
  </si>
  <si>
    <t>CT200</t>
  </si>
  <si>
    <t>1313 V 18-60</t>
  </si>
  <si>
    <t>CT80</t>
  </si>
  <si>
    <t>LG BVL DISP</t>
  </si>
  <si>
    <t>13mm x 0.9</t>
  </si>
  <si>
    <t>RHINO</t>
  </si>
  <si>
    <t xml:space="preserve"> - </t>
  </si>
  <si>
    <t>MDR</t>
  </si>
  <si>
    <t>M2</t>
  </si>
  <si>
    <t>Non Leach</t>
  </si>
  <si>
    <t>CT70</t>
  </si>
  <si>
    <t>CT82</t>
  </si>
  <si>
    <t>1913 PMT 18-60</t>
  </si>
  <si>
    <t>1613 PMT 18-60</t>
  </si>
  <si>
    <t>Drop In</t>
  </si>
  <si>
    <t>CT66</t>
  </si>
  <si>
    <t>1010 V 18-60</t>
  </si>
  <si>
    <t>SBL</t>
  </si>
  <si>
    <t>Long Bullet</t>
  </si>
  <si>
    <t>LBL</t>
  </si>
  <si>
    <t>CT31</t>
  </si>
  <si>
    <t>CT91</t>
  </si>
  <si>
    <t>0808</t>
  </si>
  <si>
    <t>CT109</t>
  </si>
  <si>
    <t>TSPV</t>
  </si>
  <si>
    <t>CT81</t>
  </si>
  <si>
    <t>1913 V 18-60</t>
  </si>
  <si>
    <t>CT405</t>
  </si>
  <si>
    <t>CT216</t>
  </si>
  <si>
    <t>1613 V 18-60</t>
  </si>
  <si>
    <t>Carbide IA</t>
  </si>
  <si>
    <t>CR31</t>
  </si>
  <si>
    <t>TEST for Abrasion - S - Super Premium</t>
  </si>
  <si>
    <t>1005 V 18-60</t>
  </si>
  <si>
    <t>MED Bullet</t>
  </si>
  <si>
    <t>CT217</t>
  </si>
  <si>
    <t>MBL</t>
  </si>
  <si>
    <t>CT138</t>
  </si>
  <si>
    <t>1313 PMT 18-60</t>
  </si>
  <si>
    <t>Triple Diamond Element</t>
  </si>
  <si>
    <t>CT133</t>
  </si>
  <si>
    <t>CT125</t>
  </si>
  <si>
    <t>GEDB</t>
  </si>
  <si>
    <t>Machete</t>
  </si>
  <si>
    <t>CT182M</t>
  </si>
  <si>
    <t>TSP V</t>
  </si>
  <si>
    <t>TBO-Cutter</t>
  </si>
  <si>
    <t>CT404</t>
  </si>
  <si>
    <t>PDC Dome</t>
  </si>
  <si>
    <t>CT220</t>
  </si>
  <si>
    <t>Short M2 Steel PDC</t>
  </si>
  <si>
    <t>Carbide Dummy Cutter</t>
  </si>
  <si>
    <t>N/A</t>
  </si>
  <si>
    <t>1608 V 18-60</t>
  </si>
  <si>
    <t>CR44</t>
  </si>
  <si>
    <t>CUTTER 1613 TEST USS DL .018 PDC</t>
  </si>
  <si>
    <t>TEST For Abrasion - S - Super Premium</t>
  </si>
  <si>
    <t>CR45/CT155</t>
  </si>
  <si>
    <t>U</t>
  </si>
  <si>
    <t>CUTTER 1308 TEST USS DL U PDC</t>
  </si>
  <si>
    <t>CT418</t>
  </si>
  <si>
    <t>1313 MT 18-60</t>
  </si>
  <si>
    <t>1913 MT 18-60</t>
  </si>
  <si>
    <t>CT182</t>
  </si>
  <si>
    <t>1613 MT 18-60</t>
  </si>
  <si>
    <t>CT153/CR42</t>
  </si>
  <si>
    <t>Test Cutter</t>
  </si>
  <si>
    <t>1308 PMT 18-60</t>
  </si>
  <si>
    <t>1608 PMT 18-60</t>
  </si>
  <si>
    <t>16MM</t>
  </si>
  <si>
    <t>1308 PA U-60</t>
  </si>
  <si>
    <t>2SEAM/HATCHET</t>
  </si>
  <si>
    <t>CT144H</t>
  </si>
  <si>
    <t>DBL MCHT</t>
  </si>
  <si>
    <t>CT182DM</t>
  </si>
  <si>
    <t>1313 PI Mv3 U-60</t>
  </si>
  <si>
    <t>CR45</t>
  </si>
  <si>
    <t>CUTTER 1308 TEST USS DL .010 PDC</t>
  </si>
  <si>
    <t>OBS</t>
  </si>
  <si>
    <t>CT427</t>
  </si>
  <si>
    <t>RCL PDC</t>
  </si>
  <si>
    <t>CT182CS</t>
  </si>
  <si>
    <t>CT421</t>
  </si>
  <si>
    <t>CT144</t>
  </si>
  <si>
    <t>CUTTER 1608 TEST USS DL U PDC</t>
  </si>
  <si>
    <t>SFT Carbide IA</t>
  </si>
  <si>
    <t>8MM SHORT</t>
  </si>
  <si>
    <t>10-60</t>
  </si>
  <si>
    <t>CT158</t>
  </si>
  <si>
    <t>1010 PMT 18-60</t>
  </si>
  <si>
    <t>13MM SHORT</t>
  </si>
  <si>
    <t>Shyfter - R3</t>
  </si>
  <si>
    <t>CT143</t>
  </si>
  <si>
    <t>R3</t>
  </si>
  <si>
    <t>CT155</t>
  </si>
  <si>
    <t>S - Super Premium - Abrasion</t>
  </si>
  <si>
    <t>TEST USS-DL</t>
  </si>
  <si>
    <t>19MM SHRT</t>
  </si>
  <si>
    <t>CT221</t>
  </si>
  <si>
    <t>Shyfter - SHORT R1</t>
  </si>
  <si>
    <t>R1</t>
  </si>
  <si>
    <t>Rep: 1078377</t>
  </si>
  <si>
    <t>CT154</t>
  </si>
  <si>
    <t>CT156</t>
  </si>
  <si>
    <t xml:space="preserve">13MM </t>
  </si>
  <si>
    <t>CT228</t>
  </si>
  <si>
    <t>CT430Mv3</t>
  </si>
  <si>
    <t>1313 MT 4D 18-60</t>
  </si>
  <si>
    <t>Gladius</t>
  </si>
  <si>
    <t>CT147G</t>
  </si>
  <si>
    <t>S - Super Premium - Impact</t>
  </si>
  <si>
    <t xml:space="preserve">CT158 </t>
  </si>
  <si>
    <t>MT</t>
  </si>
  <si>
    <t>Rep: 1133896</t>
  </si>
  <si>
    <t>CT158DM</t>
  </si>
  <si>
    <t>Rep: 1136984</t>
  </si>
  <si>
    <t>1613 PI T U-60</t>
  </si>
  <si>
    <t>CT162</t>
  </si>
  <si>
    <t>S - Super Premium - WH</t>
  </si>
  <si>
    <t>U-60</t>
  </si>
  <si>
    <t>1613 MT U-60</t>
  </si>
  <si>
    <t>Razor</t>
  </si>
  <si>
    <t>CT162R</t>
  </si>
  <si>
    <t>CT147R</t>
  </si>
  <si>
    <t>1613 PI R U</t>
  </si>
  <si>
    <t>CT164R</t>
  </si>
  <si>
    <t>18-60</t>
  </si>
  <si>
    <t>CT147</t>
  </si>
  <si>
    <t>Trifex</t>
  </si>
  <si>
    <t>CT147GV4</t>
  </si>
  <si>
    <t>1313 PI T U-60</t>
  </si>
  <si>
    <t>Dynamic Cutter: Carbide Stator</t>
  </si>
  <si>
    <t>Dynamic Cutter</t>
  </si>
  <si>
    <t>Dynamic Cutters</t>
  </si>
  <si>
    <t>Dynamic Cutter: Rotor</t>
  </si>
  <si>
    <t>25-75</t>
  </si>
  <si>
    <t>1613 PA U-60</t>
  </si>
  <si>
    <t>Dynamic Cutter: 3/8” OD Retaining Ring</t>
  </si>
  <si>
    <t>Other</t>
  </si>
  <si>
    <t>Dynamic Cutter: Graphite Bore Plug</t>
  </si>
  <si>
    <t>1318 M1 FLAT</t>
  </si>
  <si>
    <t>WC-MAT400</t>
  </si>
  <si>
    <t>CT164</t>
  </si>
  <si>
    <t>8MM SHORT M1 FLAT</t>
  </si>
  <si>
    <t>CT170</t>
  </si>
  <si>
    <t>1613 PI 18-60</t>
  </si>
  <si>
    <t>DER</t>
  </si>
  <si>
    <t>Clover</t>
  </si>
  <si>
    <t>CT436CLV</t>
  </si>
  <si>
    <t>WC­MAT404</t>
  </si>
  <si>
    <t>12MM</t>
  </si>
  <si>
    <t>CT172R</t>
  </si>
  <si>
    <t>Cruzer</t>
  </si>
  <si>
    <t>RDOC</t>
  </si>
  <si>
    <t>CT182H</t>
  </si>
  <si>
    <t>Rep: 1104086</t>
  </si>
  <si>
    <t>CT436Mv3</t>
  </si>
  <si>
    <t>1613 PI Mv3 U-60</t>
  </si>
  <si>
    <t>CT170T</t>
  </si>
  <si>
    <t>CT170R</t>
  </si>
  <si>
    <t>CT176</t>
  </si>
  <si>
    <t>CT437</t>
  </si>
  <si>
    <t>1613 PWH 18-60</t>
  </si>
  <si>
    <t>CT179</t>
  </si>
  <si>
    <t>CT188</t>
  </si>
  <si>
    <t>Swagger</t>
  </si>
  <si>
    <t>CT170W</t>
  </si>
  <si>
    <t>CT179R</t>
  </si>
  <si>
    <t>CT184R</t>
  </si>
  <si>
    <t>1613 PWH R U</t>
  </si>
  <si>
    <t>CT189</t>
  </si>
  <si>
    <t>CT436</t>
  </si>
  <si>
    <t>1313 PI 18-60</t>
  </si>
  <si>
    <t>1313 PA U-60</t>
  </si>
  <si>
    <t>CT187</t>
  </si>
  <si>
    <t>CT154Mv3</t>
  </si>
  <si>
    <t>CT179T</t>
  </si>
  <si>
    <t>CT172</t>
  </si>
  <si>
    <t>1913 PWH 18-60</t>
  </si>
  <si>
    <t>CT158NL</t>
  </si>
  <si>
    <t>BackReam</t>
  </si>
  <si>
    <t>0808 PMT 18-60</t>
  </si>
  <si>
    <t>WC­MAT400</t>
  </si>
  <si>
    <t>Uc-60</t>
  </si>
  <si>
    <t>CT186</t>
  </si>
  <si>
    <t>1613 U</t>
  </si>
  <si>
    <t>CT186R</t>
  </si>
  <si>
    <t>CT186Mv3</t>
  </si>
  <si>
    <t>CT418Mv3</t>
  </si>
  <si>
    <t>NFP cutter</t>
  </si>
  <si>
    <t>Arrestor</t>
  </si>
  <si>
    <t>CT200NL</t>
  </si>
  <si>
    <t>NA</t>
  </si>
  <si>
    <t>CT158H</t>
  </si>
  <si>
    <t>13mm</t>
  </si>
  <si>
    <t>WC-MAT 404</t>
  </si>
  <si>
    <t>UNI M3 Carbide</t>
  </si>
  <si>
    <t>10C</t>
  </si>
  <si>
    <t>CT179P</t>
  </si>
  <si>
    <t>CT418P</t>
  </si>
  <si>
    <t>CT187P</t>
  </si>
  <si>
    <t>CT176P</t>
  </si>
  <si>
    <t>18C</t>
  </si>
  <si>
    <t>CT186P</t>
  </si>
  <si>
    <t>same name -M</t>
  </si>
  <si>
    <t>GT64KHO</t>
  </si>
  <si>
    <t>1160951M</t>
  </si>
  <si>
    <t>Size</t>
  </si>
  <si>
    <t>HDBS Type</t>
  </si>
  <si>
    <t>MAT No</t>
  </si>
  <si>
    <t>Serial</t>
  </si>
  <si>
    <t>SMI Type</t>
  </si>
  <si>
    <t>Brazing</t>
  </si>
  <si>
    <t>System</t>
  </si>
  <si>
    <t>DROP­IN</t>
  </si>
  <si>
    <t>8MM</t>
  </si>
  <si>
    <t>CIA</t>
  </si>
  <si>
    <t>Not available</t>
  </si>
  <si>
    <t>1239176M</t>
  </si>
  <si>
    <t>sn is not available</t>
  </si>
  <si>
    <t>GT65DHF-1</t>
  </si>
  <si>
    <t>GT65DH</t>
  </si>
  <si>
    <t>GT65DH-1</t>
  </si>
  <si>
    <t>GT65RHS</t>
  </si>
  <si>
    <t>GT65RHs</t>
  </si>
  <si>
    <t>same name</t>
  </si>
  <si>
    <t>18C­60</t>
  </si>
  <si>
    <t>Finish the remaining 8 1/2" GT65RHs with CT147 18-60 (MN 1175118)</t>
  </si>
  <si>
    <t>CT221NL</t>
  </si>
  <si>
    <t>U­60</t>
  </si>
  <si>
    <t>HD55DO</t>
  </si>
  <si>
    <t>MMD65H</t>
  </si>
  <si>
    <t>MMD65DH-2</t>
  </si>
  <si>
    <t>GT86DH</t>
  </si>
  <si>
    <t>18­60</t>
  </si>
  <si>
    <t>GTD55WKH</t>
  </si>
  <si>
    <t>HD75WF</t>
  </si>
  <si>
    <t>MMD85DHF-1</t>
  </si>
  <si>
    <t>1238258M</t>
  </si>
  <si>
    <t>MMD85DH</t>
  </si>
  <si>
    <t>MMD85DH-1</t>
  </si>
  <si>
    <t>HD75DOs</t>
  </si>
  <si>
    <t>same name+M</t>
  </si>
  <si>
    <t>sn is not mentiomed</t>
  </si>
  <si>
    <t>25DER­75</t>
  </si>
  <si>
    <t>IMP</t>
  </si>
  <si>
    <t>PMT</t>
  </si>
  <si>
    <t>ORDER No. 2021-119</t>
  </si>
  <si>
    <t>Assigned Mat#:</t>
  </si>
  <si>
    <t>Mat# - Level-3</t>
  </si>
  <si>
    <t>Mat# - Level-5</t>
  </si>
  <si>
    <t>No of Bits</t>
  </si>
  <si>
    <t>comments</t>
  </si>
  <si>
    <t>3 5/8"</t>
  </si>
  <si>
    <t>MMD53DH-3</t>
  </si>
  <si>
    <r>
      <t>Level-3</t>
    </r>
    <r>
      <rPr>
        <sz val="11"/>
        <color indexed="8"/>
        <rFont val="Calibri"/>
        <family val="2"/>
      </rPr>
      <t> </t>
    </r>
  </si>
  <si>
    <t>3 7/8"</t>
  </si>
  <si>
    <t>SF53</t>
  </si>
  <si>
    <t>6 1/8"</t>
  </si>
  <si>
    <t>GTD64HO</t>
  </si>
  <si>
    <t>GTD54H</t>
  </si>
  <si>
    <t>GTD64H</t>
  </si>
  <si>
    <t>8 3/8"</t>
  </si>
  <si>
    <t>MM65DH</t>
  </si>
  <si>
    <t>12"</t>
  </si>
  <si>
    <t>16"</t>
  </si>
  <si>
    <t>GTD75WH</t>
  </si>
  <si>
    <t>MM85DH</t>
  </si>
  <si>
    <t>17"</t>
  </si>
  <si>
    <t>SFD75DH</t>
  </si>
  <si>
    <t>ORDER NO.</t>
  </si>
  <si>
    <t>SEREAL NO.</t>
  </si>
  <si>
    <t>Selection</t>
  </si>
  <si>
    <t>Inspection Group</t>
  </si>
  <si>
    <t>SIZE</t>
  </si>
  <si>
    <t>TYPE</t>
  </si>
  <si>
    <t>NEW TYPE</t>
  </si>
  <si>
    <t>LEVEL 5 MAT NO.</t>
  </si>
  <si>
    <t>RECIVED</t>
  </si>
  <si>
    <t>FROM</t>
  </si>
  <si>
    <t>STATUS</t>
  </si>
  <si>
    <t>Repair Price</t>
  </si>
  <si>
    <t>Cost</t>
  </si>
  <si>
    <t>Cost Guidelines</t>
  </si>
  <si>
    <t>Upper Section Needed</t>
  </si>
  <si>
    <t>Upper Section Mat</t>
  </si>
  <si>
    <t>REMARKS</t>
  </si>
  <si>
    <t>PO</t>
  </si>
  <si>
    <t>X#</t>
  </si>
  <si>
    <t>Component</t>
  </si>
  <si>
    <t>Quantity Needed for repair</t>
  </si>
  <si>
    <t>Quantity in BOM</t>
  </si>
  <si>
    <t>Remark</t>
  </si>
  <si>
    <t>Column1</t>
  </si>
  <si>
    <t>Evaluated</t>
  </si>
  <si>
    <t>Column2</t>
  </si>
  <si>
    <t>ALL Cutters as in these BOM's</t>
  </si>
  <si>
    <t>Exact Quantity</t>
  </si>
  <si>
    <t>Quantity With 10% More</t>
  </si>
  <si>
    <t>2021-AR-093</t>
  </si>
  <si>
    <t>FMH3655ZZ</t>
  </si>
  <si>
    <t>Saudi ARAMCO</t>
  </si>
  <si>
    <t>2021-AR-094</t>
  </si>
  <si>
    <t>1083564M</t>
  </si>
  <si>
    <t>1201053M</t>
  </si>
  <si>
    <t>2021-AR-095</t>
  </si>
  <si>
    <t>2021-AR-096</t>
  </si>
  <si>
    <t>2021-AR-097</t>
  </si>
  <si>
    <t>2021-AR-098</t>
  </si>
  <si>
    <t>2021-AR-099</t>
  </si>
  <si>
    <t>2021-AR-100</t>
  </si>
  <si>
    <t>2021-AR-101</t>
  </si>
  <si>
    <t>2021-AR-102</t>
  </si>
  <si>
    <t>2021-AR-103</t>
  </si>
  <si>
    <t>2021-AR-104</t>
  </si>
  <si>
    <t>2021-AR-105</t>
  </si>
  <si>
    <t>FMH3863Z</t>
  </si>
  <si>
    <t>2021-AR-106</t>
  </si>
  <si>
    <t>2021-AR-107</t>
  </si>
  <si>
    <t>2021-AR-108</t>
  </si>
  <si>
    <t>2021-AR-109</t>
  </si>
  <si>
    <t>2021-AR-110</t>
  </si>
  <si>
    <t>2021-AR-111</t>
  </si>
  <si>
    <t>2021-AR-112</t>
  </si>
  <si>
    <t>2021-AR-113</t>
  </si>
  <si>
    <t>2021-AR-114</t>
  </si>
  <si>
    <t>2021-AR-115</t>
  </si>
  <si>
    <t>2021-AR-116</t>
  </si>
  <si>
    <t>2021-AR-117</t>
  </si>
  <si>
    <t>2021-AR-118</t>
  </si>
  <si>
    <t>2021-AR-119</t>
  </si>
  <si>
    <t>2021-AR-120</t>
  </si>
  <si>
    <t>2021-AR-121</t>
  </si>
  <si>
    <t>2021-AR-122</t>
  </si>
  <si>
    <t>2021-AR-123</t>
  </si>
  <si>
    <t>2021-AR-124</t>
  </si>
  <si>
    <t>2021-AR-125</t>
  </si>
  <si>
    <t>2021-AR-126</t>
  </si>
  <si>
    <t>2021-AR-127</t>
  </si>
  <si>
    <t>2021-AR-128</t>
  </si>
  <si>
    <t>2021-AR-129</t>
  </si>
  <si>
    <t>2021-AR-130</t>
  </si>
  <si>
    <t>2021-AR-131</t>
  </si>
  <si>
    <t>2021-AR-132</t>
  </si>
  <si>
    <t>2021-AR-133</t>
  </si>
  <si>
    <t>2021-AR-134</t>
  </si>
  <si>
    <t>2021-AR-135</t>
  </si>
  <si>
    <t>2021-AR-136</t>
  </si>
  <si>
    <t>2021-AR-137</t>
  </si>
  <si>
    <t>2021-AR-138</t>
  </si>
  <si>
    <t>2021-AR-139</t>
  </si>
  <si>
    <t>2021-AR-140</t>
  </si>
  <si>
    <t>2021-AR-141</t>
  </si>
  <si>
    <t>2021-AR-142</t>
  </si>
  <si>
    <t>2021-AR-143</t>
  </si>
  <si>
    <t>2021-AR-144</t>
  </si>
  <si>
    <t>2021-AR-145</t>
  </si>
  <si>
    <t>2021-AR-146</t>
  </si>
  <si>
    <t>2021-AR-147</t>
  </si>
  <si>
    <t>2021-AR-148</t>
  </si>
  <si>
    <t>2021-AR-149</t>
  </si>
  <si>
    <t>2021-AR-150</t>
  </si>
  <si>
    <t>2021-AR-151</t>
  </si>
  <si>
    <t>2021-AR-152</t>
  </si>
  <si>
    <t>2021-AR-153</t>
  </si>
  <si>
    <t>2021-AR-154</t>
  </si>
  <si>
    <t>2021-AR-155</t>
  </si>
  <si>
    <t>2021-AR-156</t>
  </si>
  <si>
    <t>2021-AR-157</t>
  </si>
  <si>
    <t>2021-AR-158</t>
  </si>
  <si>
    <t>2021-AR-159</t>
  </si>
  <si>
    <t>2021-AR-160</t>
  </si>
  <si>
    <t>2021-AR-161</t>
  </si>
  <si>
    <t>2021-AR-162</t>
  </si>
  <si>
    <t>2021-AR-163</t>
  </si>
  <si>
    <t>2021-AR-164</t>
  </si>
  <si>
    <t>2021-AR-165</t>
  </si>
  <si>
    <t>2021-AR-166</t>
  </si>
  <si>
    <t>2021-AR-167</t>
  </si>
  <si>
    <t>2021-AR-168</t>
  </si>
  <si>
    <t>2021-AR-169</t>
  </si>
  <si>
    <t>2021-AR-170</t>
  </si>
  <si>
    <t>2021-AR-171</t>
  </si>
  <si>
    <t>2021-AR-172</t>
  </si>
  <si>
    <t>2021-AR-173</t>
  </si>
  <si>
    <t>2021-AR-174</t>
  </si>
  <si>
    <t>2021-AR-175</t>
  </si>
  <si>
    <t>2021-AR-176</t>
  </si>
  <si>
    <t>2021-AR-177</t>
  </si>
  <si>
    <t>2021-AR-178</t>
  </si>
  <si>
    <t>2021-AR-179</t>
  </si>
  <si>
    <t>2021-AR-180</t>
  </si>
  <si>
    <t>2021-AR-181</t>
  </si>
  <si>
    <t>12GT86DH</t>
  </si>
  <si>
    <t>2021-AR-182</t>
  </si>
  <si>
    <t>2021-AR-183</t>
  </si>
  <si>
    <t>2021-AR-184</t>
  </si>
  <si>
    <t>2021-AR-185</t>
  </si>
  <si>
    <t>2021-AR-186</t>
  </si>
  <si>
    <t>2021-AR-187</t>
  </si>
  <si>
    <t>2021-AR-188</t>
  </si>
  <si>
    <t>2021-AR-189</t>
  </si>
  <si>
    <t>2021-AR-190</t>
  </si>
  <si>
    <t>2021-AR-191</t>
  </si>
  <si>
    <t>2021-AR-192</t>
  </si>
  <si>
    <t>2021-AR-193</t>
  </si>
  <si>
    <t>2021-AR-194</t>
  </si>
  <si>
    <t>2021-AR-195</t>
  </si>
  <si>
    <t>2021-AR-196</t>
  </si>
  <si>
    <t>2021-AR-197</t>
  </si>
  <si>
    <t>2021-AR-198</t>
  </si>
  <si>
    <t>2021-AR-199</t>
  </si>
  <si>
    <t>2021-AR-200</t>
  </si>
  <si>
    <t>2021-AR-201</t>
  </si>
  <si>
    <t>GT75DH</t>
  </si>
  <si>
    <t>2021-AR-202</t>
  </si>
  <si>
    <t>2021-AR-203</t>
  </si>
  <si>
    <t>2021-AR-204</t>
  </si>
  <si>
    <t>2021-AR-205</t>
  </si>
  <si>
    <t>2021-AR-206</t>
  </si>
  <si>
    <t>2021-AR-207</t>
  </si>
  <si>
    <t>2021-AR-208</t>
  </si>
  <si>
    <t>2021-AR-209</t>
  </si>
  <si>
    <t>2021-AR-210</t>
  </si>
  <si>
    <t>2021-AR-211</t>
  </si>
  <si>
    <t>2021-AR-212</t>
  </si>
  <si>
    <t>2021-AR-213</t>
  </si>
  <si>
    <t>2021-AR-214</t>
  </si>
  <si>
    <t>2021-AR-215</t>
  </si>
  <si>
    <t>2021-AR-216</t>
  </si>
  <si>
    <t>2021-AR-217</t>
  </si>
  <si>
    <t>2021-AR-218</t>
  </si>
  <si>
    <t>2021-AR-219</t>
  </si>
  <si>
    <t>2021-AR-220</t>
  </si>
  <si>
    <t>2021-AR-221</t>
  </si>
  <si>
    <t>2021-AR-222</t>
  </si>
  <si>
    <t>2021-AR-223</t>
  </si>
  <si>
    <t>2021-AR-224</t>
  </si>
  <si>
    <t>2021-AR-225</t>
  </si>
  <si>
    <t>2021-AR-226</t>
  </si>
  <si>
    <t>2021-AR-227</t>
  </si>
  <si>
    <t>2021-AR-228</t>
  </si>
  <si>
    <t>2021-AR-229</t>
  </si>
  <si>
    <t>2021-AR-230</t>
  </si>
  <si>
    <t>2021-AR-231</t>
  </si>
  <si>
    <t>2021-AR-232</t>
  </si>
  <si>
    <t>2021-AR-233</t>
  </si>
  <si>
    <t>2021-AR-234</t>
  </si>
  <si>
    <t>2021-AR-235</t>
  </si>
  <si>
    <t>2021-AR-236</t>
  </si>
  <si>
    <t>2021-AR-237</t>
  </si>
  <si>
    <t>2021-AR-238</t>
  </si>
  <si>
    <t>2021-AR-239</t>
  </si>
  <si>
    <t>2021-AR-240</t>
  </si>
  <si>
    <t>2021-AR-241</t>
  </si>
  <si>
    <t>2021-AR-242</t>
  </si>
  <si>
    <t>2021-AR-243</t>
  </si>
  <si>
    <t>2021-AR-244</t>
  </si>
  <si>
    <t>2021-AR-245</t>
  </si>
  <si>
    <t>2021-AR-246</t>
  </si>
  <si>
    <t>VRT616PX</t>
  </si>
  <si>
    <t>CnS Parts</t>
  </si>
  <si>
    <t>CF.2</t>
  </si>
  <si>
    <t>Description</t>
  </si>
  <si>
    <t>Material Number</t>
  </si>
  <si>
    <t>Quantity</t>
  </si>
  <si>
    <t>On Order</t>
  </si>
  <si>
    <t>MN</t>
  </si>
  <si>
    <t>On order</t>
  </si>
  <si>
    <t>Cones (10 tooth)</t>
  </si>
  <si>
    <t>May already have or can source locally if preferred</t>
  </si>
  <si>
    <t>SOC,1/2 IN DR,3/4 IN,6 PT</t>
  </si>
  <si>
    <t>Cones (11 tooth)</t>
  </si>
  <si>
    <t>MULTIPURPOSE GRS,MOBILGREASE XHP 222,NLG</t>
  </si>
  <si>
    <t>Cones (12 tooth)</t>
  </si>
  <si>
    <t>WRENCH,TORQUE,3/4"DRIVE,#PRO6020AB PROTO</t>
  </si>
  <si>
    <t>CnS bearing</t>
  </si>
  <si>
    <t>TAPE,KAPTON,1MIL,SILICONADHESIVE,1/2WIDE</t>
  </si>
  <si>
    <t>End Cap</t>
  </si>
  <si>
    <t>THREADLOCKER, LOCTITE 242 BLUE</t>
  </si>
  <si>
    <t>Thrust Washer</t>
  </si>
  <si>
    <t>Torque Wrench 100 ft-lbs 3/8 Square Driv</t>
  </si>
  <si>
    <t>Order from 2130</t>
  </si>
  <si>
    <t>SKT,INTL CAP,CEREBRO FORCE (103056802 change to )</t>
  </si>
  <si>
    <t>Issued on 10/31/22</t>
  </si>
  <si>
    <t>SKT RING,CEREBRO FORCE PUCK</t>
  </si>
  <si>
    <t>3 1/2" API REG pin (Puck Cerebro)</t>
  </si>
  <si>
    <t>WG RING SET FXTR,CEREBRO FORCE PUCK</t>
  </si>
  <si>
    <t>5 PIN FSHNG W ASSY,CEREBRO FORCE PUCK</t>
  </si>
  <si>
    <t>1 issued on 11/13/22 jabbar</t>
  </si>
  <si>
    <t>Puck Cap(new)</t>
  </si>
  <si>
    <t>2 PIN FSHNG W ASSY,CEREBRO FORCE PUCK</t>
  </si>
  <si>
    <t>2 issued on 11/13/22 jabbar</t>
  </si>
  <si>
    <t>Puck Cap(old)</t>
  </si>
  <si>
    <t>5/8" STEEL STUD ANCHOR FOR CONCRETE</t>
  </si>
  <si>
    <t>O Ring (Cerebro &amp; CF 2.0)</t>
  </si>
  <si>
    <t>CF PUCK WEDGE REMOVAL SCREW SET</t>
  </si>
  <si>
    <t>2 pc issued on 11/27/22 wasama</t>
  </si>
  <si>
    <t>Tool For O Ring</t>
  </si>
  <si>
    <t>CEREBRO FORCE BIT STAND</t>
  </si>
  <si>
    <t>Upper section size specific items</t>
  </si>
  <si>
    <t>O-RING INSTL TL,3.5 CEREBRO FORCE</t>
  </si>
  <si>
    <t>issued on 11/14/22 jabbar</t>
  </si>
  <si>
    <t>4 1/2" API pin (Torpedo Housing)</t>
  </si>
  <si>
    <t>O-RING INSTL TL,658 V2 CEREBRO FORCE</t>
  </si>
  <si>
    <t>No need</t>
  </si>
  <si>
    <t>O-RING INSTL TL,659 V2 CEREBRO FORCE</t>
  </si>
  <si>
    <t>Torpedo Housing</t>
  </si>
  <si>
    <t>CF STAND 3.5 REG FIXTURE</t>
  </si>
  <si>
    <t>CF STAND 4.5 REG FIXTURE</t>
  </si>
  <si>
    <t>Housing O Ring</t>
  </si>
  <si>
    <t>CF STAND 6.625 REG FIXTURE</t>
  </si>
  <si>
    <t>Electronic Cap</t>
  </si>
  <si>
    <t>CF STAND 7.625 REG FIXTURE</t>
  </si>
  <si>
    <t>Electronic cap O ring</t>
  </si>
  <si>
    <t>Cerebro Force Main</t>
  </si>
  <si>
    <t>VENUS STRAIN SNSR ASSY MECH PUCK</t>
  </si>
  <si>
    <t>INTL CAP,CEREBRO FORCE</t>
  </si>
  <si>
    <t>1 PC ISSUED ON 12/23/22</t>
  </si>
  <si>
    <t>EROSION SLEEVES</t>
  </si>
  <si>
    <t>PCB ASSY,CEREBRO FORCE PUCK BD</t>
  </si>
  <si>
    <t>1/2 AA Batteries (LITHUM ½ AA BAT HR W/CONNECTOR)</t>
  </si>
  <si>
    <t>Erosion Sleeve</t>
  </si>
  <si>
    <t>O-ring for cap</t>
  </si>
  <si>
    <t>Erosion Sleeve O ring</t>
  </si>
  <si>
    <t>Size Specific Items - 3-1/2"</t>
  </si>
  <si>
    <t>Wiring Harness 3-1/2"</t>
  </si>
  <si>
    <t>Plastic battery tray 3-1/2"</t>
  </si>
  <si>
    <t>TCI BURR FOR REAMERS</t>
  </si>
  <si>
    <t>Batter cover 3-1/2"</t>
  </si>
  <si>
    <t>DUMMY CAP, SHALLOW, CF2.0</t>
  </si>
  <si>
    <t>TCI BURR</t>
  </si>
  <si>
    <t>-</t>
  </si>
  <si>
    <t>Size Specific Items - 6-5/8"</t>
  </si>
  <si>
    <t>Y connector</t>
  </si>
  <si>
    <t>TCI BURR 13.44 X14mm</t>
  </si>
  <si>
    <t>CF2 BOARD SPACER</t>
  </si>
  <si>
    <t>TCI BURR 13.75 X14mm</t>
  </si>
  <si>
    <t xml:space="preserve">CF2 BATTERY PLASTIC, DEEP POCKET </t>
  </si>
  <si>
    <t>Nozzle Threads Epoxy</t>
  </si>
  <si>
    <t>CAP 6 5/8 REG API CEREBRO FORCE</t>
  </si>
  <si>
    <t>Wiring Harness 6 5/8"</t>
  </si>
  <si>
    <t>JET-LOK III Threadlocker / Two-Part Epoxy</t>
  </si>
  <si>
    <t>DUMMY CAP, DEEP, CF2.0</t>
  </si>
  <si>
    <t>PCB ASSY,STAKED,CEREBRO FORCE PUCK BD</t>
  </si>
  <si>
    <t>CAP 3 1/2 REG API CEREBRO FORCE</t>
  </si>
  <si>
    <t>Tape Kapton 1 mil Sillicone Adh 1 IN</t>
  </si>
  <si>
    <t>issued to jabbar 11/14/22</t>
  </si>
  <si>
    <t>Shortage</t>
  </si>
  <si>
    <t>ITEM</t>
  </si>
  <si>
    <t>L-3 or 4</t>
  </si>
  <si>
    <t>LEVEL 3 or 4 MAT NO.</t>
  </si>
  <si>
    <t>Braze Plan</t>
  </si>
  <si>
    <t>Shortage Cutters Results</t>
  </si>
  <si>
    <t>Qty of MATs</t>
  </si>
  <si>
    <t>Shotage Cutters</t>
  </si>
  <si>
    <t>MAT Frequency</t>
  </si>
  <si>
    <t>Qty of Cutters in these MATs</t>
  </si>
  <si>
    <t>INV. QTY</t>
  </si>
  <si>
    <t>Bits Braze Plan</t>
  </si>
  <si>
    <t>Required For Braze Cutters Check</t>
  </si>
  <si>
    <t>Shortage for the MAT</t>
  </si>
  <si>
    <t>Shortage for all MAT's</t>
  </si>
  <si>
    <t>required Qty of Cutters</t>
  </si>
  <si>
    <t>Cutters Check Results</t>
  </si>
  <si>
    <t>Total required Qty of Cutters</t>
  </si>
  <si>
    <t>Exist Cutter types</t>
  </si>
  <si>
    <t>Not Exist Cutter types</t>
  </si>
  <si>
    <t>Qty</t>
  </si>
  <si>
    <t>Not Exist BOM's</t>
  </si>
  <si>
    <t>MM64R</t>
  </si>
  <si>
    <t>6"</t>
  </si>
  <si>
    <t>MM64</t>
  </si>
  <si>
    <t>8 1/2"</t>
  </si>
  <si>
    <t>MMD65DH</t>
  </si>
  <si>
    <t>Hold by Saad</t>
  </si>
  <si>
    <t>3 3/4"</t>
  </si>
  <si>
    <t>GT73</t>
  </si>
  <si>
    <t>level3</t>
  </si>
  <si>
    <t>MMD53DH-2</t>
  </si>
  <si>
    <t>5 7/8"</t>
  </si>
  <si>
    <t>GT73DH</t>
  </si>
  <si>
    <t>CS54Os</t>
  </si>
  <si>
    <t>1201087M</t>
  </si>
  <si>
    <t>MMD64RH</t>
  </si>
  <si>
    <t>MMD53DH</t>
  </si>
  <si>
    <t>12 1/4"</t>
  </si>
  <si>
    <t>GT76H</t>
  </si>
  <si>
    <t>GT75DH-1</t>
  </si>
  <si>
    <t>HD65O</t>
  </si>
  <si>
    <t>1255267M</t>
  </si>
  <si>
    <t>HD75Fs</t>
  </si>
  <si>
    <t>GT76DH</t>
  </si>
  <si>
    <t>LEVEL 3</t>
  </si>
  <si>
    <t>EM65D</t>
  </si>
  <si>
    <t>Order level-4</t>
  </si>
  <si>
    <t>MM65DH-1</t>
  </si>
  <si>
    <t>Order level-3</t>
  </si>
  <si>
    <t>GT55WUH</t>
  </si>
  <si>
    <t>MMD65H-2</t>
  </si>
  <si>
    <t>MMD64H</t>
  </si>
  <si>
    <t>1239258M</t>
  </si>
  <si>
    <t>GTD54HO</t>
  </si>
  <si>
    <t>GTD86DHF-1</t>
  </si>
  <si>
    <t>1251098M</t>
  </si>
  <si>
    <t>GT76HO</t>
  </si>
  <si>
    <t>CS55RKOs</t>
  </si>
  <si>
    <t>BOM Needed for the Changed to CT418 18-60</t>
  </si>
  <si>
    <t>179838 UPPER SECTION 6-5/8 REG DU659</t>
  </si>
  <si>
    <t>GT75DHO</t>
  </si>
  <si>
    <t>BOM Needed for the Changed to CT179 18-60</t>
  </si>
  <si>
    <t>179849 UPPER SECTION 7-5/8 REG DU758</t>
  </si>
  <si>
    <t>GT65RHs-1</t>
  </si>
  <si>
    <t>BOM modefied and Needs to be verified</t>
  </si>
  <si>
    <t>GT65WKH</t>
  </si>
  <si>
    <t>GT63WH</t>
  </si>
  <si>
    <t>GT75WH</t>
  </si>
  <si>
    <t>Saad: During repair use CT182DM instead of CT158DM</t>
  </si>
  <si>
    <t>GTD54HF</t>
  </si>
  <si>
    <t>GT53s</t>
  </si>
  <si>
    <t>HD64KHF</t>
  </si>
  <si>
    <t>Check if its CT158DM</t>
  </si>
  <si>
    <t>HD65Os</t>
  </si>
  <si>
    <t>1270865M</t>
  </si>
  <si>
    <t>UPPER SECTION 7 5/8 REG DU759. Waive off nitriding.</t>
  </si>
  <si>
    <t>Level-3</t>
  </si>
  <si>
    <t>HD54</t>
  </si>
  <si>
    <t>UPPER SECTION 6-5/8 REG DU659</t>
  </si>
  <si>
    <t>HD54F</t>
  </si>
  <si>
    <t>Waive off nitriding Inform Houston about Hardfacing damage seen on this bit before</t>
  </si>
  <si>
    <t>Level-4</t>
  </si>
  <si>
    <t>HD86D</t>
  </si>
  <si>
    <t>BOM Needed for the Changed to CT179R U</t>
  </si>
  <si>
    <t>GTD86DH</t>
  </si>
  <si>
    <t>BOM Changed</t>
  </si>
  <si>
    <t>1095217M</t>
  </si>
  <si>
    <t>HD65D</t>
  </si>
  <si>
    <t>1248668M</t>
  </si>
  <si>
    <t>SFD75DH-1</t>
  </si>
  <si>
    <t>BOM Needed for the Changed to CT184R U</t>
  </si>
  <si>
    <t>EXP</t>
  </si>
  <si>
    <t>1257458M</t>
  </si>
  <si>
    <t>BOM Changed to CT418 18-60</t>
  </si>
  <si>
    <t>BOM Changed to CT179T U-60</t>
  </si>
  <si>
    <t>HD75DKF</t>
  </si>
  <si>
    <t>MMD85DHF</t>
  </si>
  <si>
    <t xml:space="preserve">N/A  </t>
  </si>
  <si>
    <t>179833 UPPER SECTION 2-3/8 REG DU238  Waive off nitriding</t>
  </si>
  <si>
    <t xml:space="preserve">179835  UPPER SECTION 3-1/2 REG DU312 </t>
  </si>
  <si>
    <t>N/A  Waive off nitriding. After completion, ask Houston to check Hardfacing depth and pocket damage with ARDT quality team</t>
  </si>
  <si>
    <t>MM76DH</t>
  </si>
  <si>
    <t xml:space="preserve">179838 UPPER SECTION 6-5/8 REG DU659 </t>
  </si>
  <si>
    <t>EM75D</t>
  </si>
  <si>
    <t xml:space="preserve">179849 UPPER SECTION 7-5/8 REG DU758  </t>
  </si>
  <si>
    <t>HD75Fs-1</t>
  </si>
  <si>
    <t>BOM Changed to CT179R U</t>
  </si>
  <si>
    <t>179833 UPPER SECTION 2-3/8 REG DU238</t>
  </si>
  <si>
    <t>BOM Changed to CT179 18-60</t>
  </si>
  <si>
    <t>330432 UPPER SECTION 2 3/8 REG SS DU765</t>
  </si>
  <si>
    <t xml:space="preserve">N/A </t>
  </si>
  <si>
    <t>BOM Changed to CT421 18</t>
  </si>
  <si>
    <t>BOM changed from 1246020M to 2009246</t>
  </si>
  <si>
    <t xml:space="preserve"> 697263 UPPER SECTION 4 1/2 REG SS DU29508   </t>
  </si>
  <si>
    <t> Level-3</t>
  </si>
  <si>
    <t>179836 UPPER SECTION 4-1/2 REG DU412</t>
  </si>
  <si>
    <t>1245357M</t>
  </si>
  <si>
    <t>HXi55Ds</t>
  </si>
  <si>
    <t>2021071M</t>
  </si>
  <si>
    <t>HXi65Ds</t>
  </si>
  <si>
    <t>BOM Needed</t>
  </si>
  <si>
    <t>HD76DF</t>
  </si>
  <si>
    <t>GT64KHO-1</t>
  </si>
  <si>
    <t>HXi64Ds</t>
  </si>
  <si>
    <t xml:space="preserve">179849 UPPER SECTION 7-5/8 REG DU758 </t>
  </si>
  <si>
    <t>Level-3 </t>
  </si>
  <si>
    <t>GT65DH-1F</t>
  </si>
  <si>
    <t>1158011M2</t>
  </si>
  <si>
    <t>GTD86DHF</t>
  </si>
  <si>
    <t>1239239M</t>
  </si>
  <si>
    <t>1198387M</t>
  </si>
  <si>
    <t>MMD85DH-1F</t>
  </si>
  <si>
    <t>179835 UPPER SECTION 3-1/2 REG DU312</t>
  </si>
  <si>
    <t>BOM needed for the Change to CT418 18-60- need to be verified</t>
  </si>
  <si>
    <t>1212043M</t>
  </si>
  <si>
    <t>HD54F-2</t>
  </si>
  <si>
    <t>697263 UPPER SECTION 4 1/2 REG SS DU29508</t>
  </si>
  <si>
    <t>1246020M</t>
  </si>
  <si>
    <t>1212207M</t>
  </si>
  <si>
    <t>1212881M</t>
  </si>
  <si>
    <t>BOM needed for the Change to CT418 18-60</t>
  </si>
  <si>
    <t>1214858M</t>
  </si>
  <si>
    <t xml:space="preserve">GT64KHO </t>
  </si>
  <si>
    <t>1217589M</t>
  </si>
  <si>
    <t>GTD54HOF</t>
  </si>
  <si>
    <t>1220553M</t>
  </si>
  <si>
    <t>SF55</t>
  </si>
  <si>
    <t>1221158M</t>
  </si>
  <si>
    <t>Saad: All these (PMT) will be CT182.</t>
  </si>
  <si>
    <t>Shankless</t>
  </si>
  <si>
    <t>1223749M</t>
  </si>
  <si>
    <t>1224225M</t>
  </si>
  <si>
    <t>1224750M</t>
  </si>
  <si>
    <t>1226735M</t>
  </si>
  <si>
    <t>HD64K</t>
  </si>
  <si>
    <t>1228739M</t>
  </si>
  <si>
    <t>GT64KHF</t>
  </si>
  <si>
    <t>1229187M</t>
  </si>
  <si>
    <t>1234376M</t>
  </si>
  <si>
    <t xml:space="preserve"> LVL-4</t>
  </si>
  <si>
    <t>CF</t>
  </si>
  <si>
    <t>1290130M</t>
  </si>
  <si>
    <t>1245350M4</t>
  </si>
  <si>
    <t>1246680M</t>
  </si>
  <si>
    <t>N/A N/A</t>
  </si>
  <si>
    <t>1252168M</t>
  </si>
  <si>
    <t>SF75H</t>
  </si>
  <si>
    <t>BOM needed for the Change to CT184R U</t>
  </si>
  <si>
    <t>179850 UPPER SECTION 7 5/8 REG DU759</t>
  </si>
  <si>
    <t>5 7/8”</t>
  </si>
  <si>
    <t>1259957M</t>
  </si>
  <si>
    <t>1283567M</t>
  </si>
  <si>
    <t>HXi54S</t>
  </si>
  <si>
    <t>2009096M</t>
  </si>
  <si>
    <t>903299M</t>
  </si>
  <si>
    <t>2016137M</t>
  </si>
  <si>
    <t>1207425M</t>
  </si>
  <si>
    <t>Was not added before</t>
  </si>
  <si>
    <t>GT64DH</t>
  </si>
  <si>
    <t>Did't shared with me!</t>
  </si>
  <si>
    <t>2027359M</t>
  </si>
  <si>
    <t>GTD64Ms</t>
  </si>
  <si>
    <t>1160951M1</t>
  </si>
  <si>
    <t>330432 U/S 2-3/8 REG STD NS DU765</t>
  </si>
  <si>
    <t>HXI54S</t>
  </si>
  <si>
    <t>179833 U/S 2-3/8 REG STD DU238</t>
  </si>
  <si>
    <t>2019414M</t>
  </si>
  <si>
    <t>HD65DK</t>
  </si>
  <si>
    <t>179836 U/S 4-1/2 REG STD SRG DU412</t>
  </si>
  <si>
    <t>2028159M</t>
  </si>
  <si>
    <t>HX65DKS</t>
  </si>
  <si>
    <t>2021067M</t>
  </si>
  <si>
    <t>EM65DX</t>
  </si>
  <si>
    <t>179835 U/S 3-1/2 REG STD DU312</t>
  </si>
  <si>
    <t>179838 U/S 6-5/8 REG LG STD SRG DU659</t>
  </si>
  <si>
    <t>179849 U/S 7-5/8 REG STD SRG DU758</t>
  </si>
  <si>
    <t>179850 U/S 7-5/8 REG STDS SRG DU759</t>
  </si>
  <si>
    <t>HD65DF</t>
  </si>
  <si>
    <t>179833, U/S 2-3/8 REG STD DU238, 181951 / 44010, 44010 BREAKER PLATE REV H</t>
  </si>
  <si>
    <t>N/A, N/A, 181951 / 44010, 44010 BREAKER PLATE REV H</t>
  </si>
  <si>
    <t>N/A, N/A, 181953 / 44030, 44030 REV I BREAKER PLATE</t>
  </si>
  <si>
    <t>N/A, N/A, 181954 / 44040, 44040 REV H BREAKER PLATE</t>
  </si>
  <si>
    <t>179849, U/S 7-5/8 REG STD SRG DU758, 181956 / 44060, 44060 BREAKER PLATE REV J</t>
  </si>
  <si>
    <t>N/A, N/A, 181957 / 44070, 44070 REV E BREAKER PLATE</t>
  </si>
  <si>
    <t>179833 U/S 2-3/8 REG STD DU238 181951 / 44010 44010 BREAKER PLATE REV H</t>
  </si>
  <si>
    <t>N/A N/A 181953 / 44030 44030 REV I BREAKER PLATE</t>
  </si>
  <si>
    <t>1282368M</t>
  </si>
  <si>
    <t>N/A N/A 1276799 / 44625496 44625496 5.875-6.125 HX BITBREAKER</t>
  </si>
  <si>
    <t>N/A N/A 181954 / 44040 44040 REV H BREAKER PLATE</t>
  </si>
  <si>
    <t>N/A N/A 181960 / 44073 44073 BREAKER PLATE REV H</t>
  </si>
  <si>
    <t>N/A N/A 181958 / 44071 44071 REV I BREAKER PLATE</t>
  </si>
  <si>
    <t>179838 U/S 6-5/8 REG LG STD SRG DU659 181955 / 44050 44050 REV K BREAKER PLATE</t>
  </si>
  <si>
    <t>N/A N/A 181957 / 44070 44070 REV E BREAKER PLATE</t>
  </si>
  <si>
    <t>LVL4</t>
  </si>
  <si>
    <t>LVL3</t>
  </si>
  <si>
    <t>2013542M</t>
  </si>
  <si>
    <t>330432 U/S 2-3/8 REG STD NS DU765 N/A N/A</t>
  </si>
  <si>
    <t>179849 U/S 7-5/8 REG STD SRG DU758 181956 / 44060 44060 BREAKER PLATE REV J</t>
  </si>
  <si>
    <t>DH75DOS</t>
  </si>
  <si>
    <t>HXI65DS</t>
  </si>
  <si>
    <t>MMD85DH-1F to be used as MMD85DH-1</t>
  </si>
  <si>
    <t>2017993M</t>
  </si>
  <si>
    <t>330432 UPPER SECTION 2 3/8 REG SS DU765 N/A N/A</t>
  </si>
  <si>
    <t>179836 UPPER SECTION 4-1/2 REG DU412 181954 / 44040 44040 REV H BREAKER PLATE</t>
  </si>
  <si>
    <t>179838 UPPER SECTION 6-5/8 REG DU659 181955 / 44050 44050 REV K BREAKER PLATE</t>
  </si>
  <si>
    <t>179849 UPPER SECTION 7-5/8 REG DU758 44060 44060 BREAKER PLATE REV J</t>
  </si>
  <si>
    <t>N/A N/A 44060 44060 BREAKER PLATE REV J</t>
  </si>
  <si>
    <t>N/A N/A 181956 / 44060 44060 BREAKER PLATE REV J</t>
  </si>
  <si>
    <t>330432 UPPER SECTION 2 3/8 REG SS DU765 N/A N/A N/A</t>
  </si>
  <si>
    <t xml:space="preserve">  44030 44030 REV I BREAKER PLATE 44030 REV I BREAKER PLATE</t>
  </si>
  <si>
    <t>N/A N/A 44040 44040 REV H BREAKER PLATE 44040 REV H BREAKER PLATE</t>
  </si>
  <si>
    <t>179836 UPPER SECTION 4-1/2 REG DU412 44040 44040 REV H BREAKER PLATE 44040 REV H BREAKER PLATE</t>
  </si>
  <si>
    <t>179838 UPPER SECTION 6-5/8 REG DU659 44050 44050 REV K BREAKER PLATE 44050 REV K BREAKER PLATE</t>
  </si>
  <si>
    <t>179838 U/S 6-5/8 REG LG STD SRG DU659 44050 44050 REV K BREAKER PLATE 44050 REV K BREAKER PLATE</t>
  </si>
  <si>
    <t>179849 U/S 7-5/8 REG STD SRG DU758 44060 44060 BREAKER PLATE REV J 44060 BREAKER PLATE REV J</t>
  </si>
  <si>
    <t>N/A N/A 44050 44050 REV K BREAKER PLATE 44050 REV K BREAKER PLATE</t>
  </si>
  <si>
    <t>GT65DHF</t>
  </si>
  <si>
    <t>GTD64MS</t>
  </si>
  <si>
    <t>HD75FS</t>
  </si>
  <si>
    <t>LVL6</t>
  </si>
  <si>
    <t>SAP No</t>
  </si>
  <si>
    <t>Status</t>
  </si>
  <si>
    <t>Obsolete</t>
  </si>
  <si>
    <t>Active</t>
  </si>
  <si>
    <t xml:space="preserve">Kyle: -	For 1613 CT179R we can likely for the short period use U-60 or U because we still have a healthy inventory of U chamfer. But inevitably it will all move to U-60 once we run out of U. </t>
  </si>
  <si>
    <t>??</t>
  </si>
  <si>
    <t xml:space="preserve">Kyle: -	1913 CT421 18c should be switched to 1913 CT421 18c-60 (MN 1126404). </t>
  </si>
  <si>
    <t>Numbers</t>
  </si>
  <si>
    <t>Cutter Size</t>
  </si>
  <si>
    <t>Cutter Type</t>
  </si>
  <si>
    <t>Cutter Mat#</t>
  </si>
  <si>
    <t>Final Order Qty</t>
  </si>
  <si>
    <t>Order Date</t>
  </si>
  <si>
    <t>PO#</t>
  </si>
  <si>
    <t>Received Qty</t>
  </si>
  <si>
    <t>Balance</t>
  </si>
  <si>
    <t>Initial State in 9/18/2023</t>
  </si>
  <si>
    <t>Totals</t>
  </si>
  <si>
    <t>2023-0212</t>
  </si>
  <si>
    <t>2023-0228</t>
  </si>
  <si>
    <t>2023-0259</t>
  </si>
  <si>
    <t>It was 25 on order changed to due to having no order PO</t>
  </si>
  <si>
    <t>It was 3 on order changed to due to having no order PO</t>
  </si>
  <si>
    <t>2022-013</t>
  </si>
  <si>
    <t>On order 12 was received but did not updated</t>
  </si>
  <si>
    <t>It was 35 on order changed to due to having no order PO</t>
  </si>
  <si>
    <t>It was 5 on order changed to due to having no order PO</t>
  </si>
  <si>
    <t>U  </t>
  </si>
  <si>
    <t>2023-0139</t>
  </si>
  <si>
    <t>on order 72 was received but did not updated</t>
  </si>
  <si>
    <t>It was 76 on order changed to due to having no order PO</t>
  </si>
  <si>
    <t>It was 20 on order changed to due to having no order PO</t>
  </si>
  <si>
    <t>Carbide</t>
  </si>
  <si>
    <t>CT167</t>
  </si>
  <si>
    <t>2023-0275</t>
  </si>
  <si>
    <t>1308 U-60</t>
  </si>
  <si>
    <t>1313 .010</t>
  </si>
  <si>
    <t>1313 .018</t>
  </si>
  <si>
    <t>1313 U-60</t>
  </si>
  <si>
    <t>1608 .018</t>
  </si>
  <si>
    <t>1613 .018</t>
  </si>
  <si>
    <t>1613 U-60</t>
  </si>
  <si>
    <t>1618 Carbide Stator</t>
  </si>
  <si>
    <t>1618 U-60</t>
  </si>
  <si>
    <t>1913 .018</t>
  </si>
  <si>
    <t>3/8” OD Retaining Ring PN 91985A111</t>
  </si>
  <si>
    <t>Dynamic Cutter Component </t>
  </si>
  <si>
    <t>Stator Bore Plug (consumed during mfg process)</t>
  </si>
  <si>
    <t>2023-0280</t>
  </si>
  <si>
    <t>20230-280</t>
  </si>
  <si>
    <t>2023-0307</t>
  </si>
  <si>
    <t>No request</t>
  </si>
  <si>
    <t>Received 9 pc extra 10/15/23</t>
  </si>
  <si>
    <t>2023-0321</t>
  </si>
  <si>
    <t>1613 18-60</t>
  </si>
  <si>
    <t>CT430MV3</t>
  </si>
  <si>
    <t>CT417</t>
  </si>
  <si>
    <t>2023-0335</t>
  </si>
  <si>
    <t>2023-0346</t>
  </si>
  <si>
    <t>1313 18-60</t>
  </si>
  <si>
    <t>Changed from 1175118 to 1271790</t>
  </si>
  <si>
    <t>Dynamic Cutter: 1618 U-60</t>
  </si>
  <si>
    <t>Dynamic Cutter: Stator Bore Plug (consumed during mfg process)</t>
  </si>
  <si>
    <t>Dynamic Cutter: 1618 Carbide Stator</t>
  </si>
  <si>
    <t>Dynamic Cutter: 3/8” OD Retaining Ring PN 91985A111</t>
  </si>
  <si>
    <t>2023-0352</t>
  </si>
  <si>
    <t>2023-0365</t>
  </si>
  <si>
    <t>2023-0402</t>
  </si>
  <si>
    <t>PDC DOME</t>
  </si>
  <si>
    <t>1005 U-60</t>
  </si>
  <si>
    <t>1308 .018</t>
  </si>
  <si>
    <t>13MMS</t>
  </si>
  <si>
    <t>1613 DER</t>
  </si>
  <si>
    <t>Dynamic Cutter: 1308 U-60</t>
  </si>
  <si>
    <t>Dynamic Cutter: 1313 U-60</t>
  </si>
  <si>
    <t>2023-0411</t>
  </si>
  <si>
    <t>16-60</t>
  </si>
  <si>
    <t>2023-0416</t>
  </si>
  <si>
    <t>2023-0441</t>
  </si>
  <si>
    <t>1913 U</t>
  </si>
  <si>
    <t>2023-0450</t>
  </si>
  <si>
    <t>1005 .018</t>
  </si>
  <si>
    <t>1010 .018</t>
  </si>
  <si>
    <t>1613 25DER-75</t>
  </si>
  <si>
    <t>25DER-75</t>
  </si>
  <si>
    <t xml:space="preserve">Dynamic Cutter: Stator Bore Plug (consumed during mfg process) </t>
  </si>
  <si>
    <t xml:space="preserve">Dynamic Cutter: 3/8” OD Retaining Ring PN 91985A111 </t>
  </si>
  <si>
    <t>Dynamic Cutter: 1613 U-60</t>
  </si>
  <si>
    <t>2024-0002</t>
  </si>
  <si>
    <t>2024-0020</t>
  </si>
  <si>
    <t>1010 .010</t>
  </si>
  <si>
    <t>2024-0035</t>
  </si>
  <si>
    <t>2024-0033</t>
  </si>
  <si>
    <t>2024-0040</t>
  </si>
  <si>
    <t>2024-0051</t>
  </si>
  <si>
    <t>0808 .018</t>
  </si>
  <si>
    <t>Not Available any more- replaced by new order for MAT  1230916  1005 CT158 18C</t>
  </si>
  <si>
    <t>Not Available any more- replaced by new order for MAT  1199261  1010 CT158 18C</t>
  </si>
  <si>
    <t>2024-0057</t>
  </si>
  <si>
    <t>2024-0079</t>
  </si>
  <si>
    <t>replace with 1182699</t>
  </si>
  <si>
    <t xml:space="preserve">NFP CUTTER 1613 CT436MV3 60° U PDC </t>
  </si>
  <si>
    <t>2024-0093</t>
  </si>
  <si>
    <t>2024-0102</t>
  </si>
  <si>
    <t>1313 U</t>
  </si>
  <si>
    <t>2024-0121</t>
  </si>
  <si>
    <t>DOME</t>
  </si>
  <si>
    <t>2024-0141</t>
  </si>
  <si>
    <t>This PO. MN 1130194 is no longer available. Order initialy was 100 but only 57 sent. The rest replaced to MN 1199261</t>
  </si>
  <si>
    <t xml:space="preserve">11 pc Mixed Cutters received from 1146737 </t>
  </si>
  <si>
    <t>1613  18C-60 PDC</t>
  </si>
  <si>
    <t>2024-0154</t>
  </si>
  <si>
    <t>TEST CUTTER</t>
  </si>
  <si>
    <t>2024-0175</t>
  </si>
  <si>
    <t>1186963 repalcement for 1104083</t>
  </si>
  <si>
    <t>2024-0182</t>
  </si>
  <si>
    <t>2024-0208</t>
  </si>
  <si>
    <t>2024-0229</t>
  </si>
  <si>
    <t>2024-0241</t>
  </si>
  <si>
    <t>1613 CT170R U</t>
  </si>
  <si>
    <t>13MM SHORT M1 IMPACT ARRESTOR-STL</t>
  </si>
  <si>
    <t>1913 U-60</t>
  </si>
  <si>
    <t>2024-0254</t>
  </si>
  <si>
    <t>1313 CT182H 10C</t>
  </si>
  <si>
    <t>2024-0280</t>
  </si>
  <si>
    <t>WC-MAT404</t>
  </si>
  <si>
    <t>2024-0282</t>
  </si>
  <si>
    <t>2024-0296</t>
  </si>
  <si>
    <t>1313 CT170W U PDC </t>
  </si>
  <si>
    <t>u</t>
  </si>
  <si>
    <t>2024-0295</t>
  </si>
  <si>
    <t>2024-0303</t>
  </si>
  <si>
    <t>2024-0316</t>
  </si>
  <si>
    <t>13 M1</t>
  </si>
  <si>
    <t>2024-0335</t>
  </si>
  <si>
    <t>10.5 Medium Bullet</t>
  </si>
  <si>
    <t>2024-0343</t>
  </si>
  <si>
    <t>2024-0348</t>
  </si>
  <si>
    <t>2024-0353</t>
  </si>
  <si>
    <t>2024-0363</t>
  </si>
  <si>
    <t>1308 .010</t>
  </si>
  <si>
    <t>1313 Mv3 U-60</t>
  </si>
  <si>
    <t>1613 Mv3 U-60</t>
  </si>
  <si>
    <t>2025-0050</t>
  </si>
  <si>
    <t>It was requested as 2007571 then changed.</t>
  </si>
  <si>
    <t>1913 CT172 18C-60 DEG</t>
  </si>
  <si>
    <t>UC-60</t>
  </si>
  <si>
    <t>2025-0035</t>
  </si>
  <si>
    <t>18C-60</t>
  </si>
  <si>
    <t>2025-0047</t>
  </si>
  <si>
    <t>2025-0024</t>
  </si>
  <si>
    <t>1005 18-60</t>
  </si>
  <si>
    <t>1010 18-60</t>
  </si>
  <si>
    <t>13MM LONG M1 IMPACT ARRESTOR-STL</t>
  </si>
  <si>
    <t>1318 M1 SOFT CARBIDE IMPCT ARRESTOR</t>
  </si>
  <si>
    <t>8MM SHORT M1 FLAT CARBIDE ARRESTOR</t>
  </si>
  <si>
    <t>2025-0036</t>
  </si>
  <si>
    <t>Graphite Bore Plug</t>
  </si>
  <si>
    <t>2025-0059</t>
  </si>
  <si>
    <t>2024-0369</t>
  </si>
  <si>
    <t>1308 18-60</t>
  </si>
  <si>
    <t>2025-0095</t>
  </si>
  <si>
    <t>2025-0090</t>
  </si>
  <si>
    <t>1913 18-60</t>
  </si>
  <si>
    <t>2025-0119</t>
  </si>
  <si>
    <t>SOFT CIA - WC-MAT404</t>
  </si>
  <si>
    <t>CT437 - OBS</t>
  </si>
  <si>
    <t>CT179T - BTO</t>
  </si>
  <si>
    <t>CT188 - NFP</t>
  </si>
  <si>
    <t>DOME PDC</t>
  </si>
  <si>
    <t>Long M1</t>
  </si>
  <si>
    <t>IA-STL - WC-MAT400</t>
  </si>
  <si>
    <t>1608 18-60</t>
  </si>
  <si>
    <t>2025-0127</t>
  </si>
  <si>
    <t>2025-0142</t>
  </si>
  <si>
    <t>2025-0165</t>
  </si>
  <si>
    <t>CT436MV3</t>
  </si>
  <si>
    <t xml:space="preserve">- NFP CUTTER 1913 CT186 </t>
  </si>
  <si>
    <t>2025-0170</t>
  </si>
  <si>
    <t>2025-0186</t>
  </si>
  <si>
    <t>M2 C220NL</t>
  </si>
  <si>
    <t>2025-0192</t>
  </si>
  <si>
    <t>2025-0212</t>
  </si>
  <si>
    <t>1613 CT179R U                                           </t>
  </si>
  <si>
    <t>2025-0215</t>
  </si>
  <si>
    <t>1913 CT418 18-60                                                </t>
  </si>
  <si>
    <t xml:space="preserve"> NFP CUTTER 1313 CT179IP U-60 PDC </t>
  </si>
  <si>
    <t>2025-0228</t>
  </si>
  <si>
    <t>CT187B681:D681</t>
  </si>
  <si>
    <t>1613 CT179R U                                                                 Qty: 40</t>
  </si>
  <si>
    <t>1913 CT418 18-60                                                           Qty: 70</t>
  </si>
  <si>
    <t>2025-0244</t>
  </si>
  <si>
    <t>1134752 was order but found obsolete.</t>
  </si>
  <si>
    <t xml:space="preserve"> NFP CUTTER 1313 CT179IP U-60 PDC      Qty: 10</t>
  </si>
  <si>
    <t>2025-0289</t>
  </si>
  <si>
    <t>CT179IP</t>
  </si>
  <si>
    <t>2025-0319</t>
  </si>
  <si>
    <t>M3</t>
  </si>
  <si>
    <t xml:space="preserve">M2 C220NL </t>
  </si>
  <si>
    <t>WAC-MAT 400</t>
  </si>
  <si>
    <t>Date</t>
  </si>
  <si>
    <t>CUTTER SAPNo</t>
  </si>
  <si>
    <t>CUTTER Details</t>
  </si>
  <si>
    <t>Cutter Category</t>
  </si>
  <si>
    <t>Issued Qty</t>
  </si>
  <si>
    <t>Recived Qty</t>
  </si>
  <si>
    <t>ORDER NO</t>
  </si>
  <si>
    <t>Serial No.</t>
  </si>
  <si>
    <t>Bit Details</t>
  </si>
  <si>
    <t>Cutters PO</t>
  </si>
  <si>
    <t>Column5</t>
  </si>
  <si>
    <t>Update Date</t>
  </si>
  <si>
    <t>Level 3-4 stock</t>
  </si>
  <si>
    <t>Repair Stock</t>
  </si>
  <si>
    <t>Re-claimed Initial State in 11/28/2023</t>
  </si>
  <si>
    <t>Reclaim ENO Good Cutter</t>
  </si>
  <si>
    <t>ENO Crack Cutter</t>
  </si>
  <si>
    <t>Re-Claimed Cutter</t>
  </si>
  <si>
    <t>Cutter Category List</t>
  </si>
  <si>
    <t>Initial State in 12/24/2024 to match ERP with physical</t>
  </si>
  <si>
    <t>Cracked-ENO As New Cutter</t>
  </si>
  <si>
    <t>Cracked-LSTK Reclaim Cutter</t>
  </si>
  <si>
    <t>2023 ARDT-LV4-60</t>
  </si>
  <si>
    <t>3.875" SF53 1252149</t>
  </si>
  <si>
    <t>2023 ARDT-LV4-61</t>
  </si>
  <si>
    <t>2023 WFD-1007</t>
  </si>
  <si>
    <t>ddd</t>
  </si>
  <si>
    <t>2023 WFD-1008</t>
  </si>
  <si>
    <t>13955536R1</t>
  </si>
  <si>
    <t>3 7/8" SF53 1252149</t>
  </si>
  <si>
    <t>2023-ARDT-LV3-200</t>
  </si>
  <si>
    <t>16" MMD85DH 1058252</t>
  </si>
  <si>
    <t>Retrofit</t>
  </si>
  <si>
    <t>2023-ARDT-LV4-062</t>
  </si>
  <si>
    <t>6.125" GT64KHO 1160951</t>
  </si>
  <si>
    <t>2023-ARDT-LV4-067</t>
  </si>
  <si>
    <t>8.5" GT65RHs 1158011M</t>
  </si>
  <si>
    <t>2023-ARDT-LV4-068</t>
  </si>
  <si>
    <t>13970793R3</t>
  </si>
  <si>
    <t>13641021R16</t>
  </si>
  <si>
    <t>13719642R7</t>
  </si>
  <si>
    <t>2023-ARDT-LV4-069</t>
  </si>
  <si>
    <t>2023 ARDT-LV3-257</t>
  </si>
  <si>
    <t>2023 1226</t>
  </si>
  <si>
    <t>2023 1227</t>
  </si>
  <si>
    <t>13970795R5</t>
  </si>
  <si>
    <t>2023 1233</t>
  </si>
  <si>
    <t>13754557R11</t>
  </si>
  <si>
    <t>13970795R6</t>
  </si>
  <si>
    <t>2023-ARDT-LV3-201</t>
  </si>
  <si>
    <t>12" GT86DH 1249569M</t>
  </si>
  <si>
    <t>2023-ARDT-LV3-204</t>
  </si>
  <si>
    <t>12" GTD55WKH 1245350M</t>
  </si>
  <si>
    <t>6 1/8" HD54 1251085</t>
  </si>
  <si>
    <t>13970795R3</t>
  </si>
  <si>
    <t>2023 1197</t>
  </si>
  <si>
    <t>13899513R6</t>
  </si>
  <si>
    <t>6 1/8" GTD54H 1137349M</t>
  </si>
  <si>
    <t>2023 ARDT-LV3-202</t>
  </si>
  <si>
    <t>8.375" MM65DH 1176919</t>
  </si>
  <si>
    <t>2023 ARDT-LV3-203</t>
  </si>
  <si>
    <t>2023 ARDT-LV3-201 ( Re-work)</t>
  </si>
  <si>
    <t>2023 ARDT-LV3-207</t>
  </si>
  <si>
    <t>2023 ARDT-LV4-70</t>
  </si>
  <si>
    <t>8.5" GT65RHS 1158011M</t>
  </si>
  <si>
    <t>2023 ARDT-LV3-205</t>
  </si>
  <si>
    <t>12" MM65DH 1134806</t>
  </si>
  <si>
    <t>2023 ARDT-LV3-208</t>
  </si>
  <si>
    <t>6.125" GTD54H 1251085M</t>
  </si>
  <si>
    <t>2023 ARDT-LV4-71</t>
  </si>
  <si>
    <t>2023-ARDT-LV3-209</t>
  </si>
  <si>
    <t>2023-ARDT-LV3-206</t>
  </si>
  <si>
    <t>3 7/8" SF53 1059290</t>
  </si>
  <si>
    <t>13955531R4</t>
  </si>
  <si>
    <t>13261218R5</t>
  </si>
  <si>
    <t>6 1/8" GTi54H 1093690M</t>
  </si>
  <si>
    <t>2023-ARDT-LV4-063</t>
  </si>
  <si>
    <t>2023-ARDT-LV3-210</t>
  </si>
  <si>
    <t>6.125" GTD54H 1251085</t>
  </si>
  <si>
    <t>2023-ARDT-LV3-211</t>
  </si>
  <si>
    <t>2023-ARDT-LV4-072</t>
  </si>
  <si>
    <t>16" HD75Fs 1241180</t>
  </si>
  <si>
    <t>2023-ARDT-LV4-073</t>
  </si>
  <si>
    <t>661066/1162511</t>
  </si>
  <si>
    <t>2023-ARDT-LV4-074</t>
  </si>
  <si>
    <t>2023-ARDT-LV4-075</t>
  </si>
  <si>
    <t>2023 1178</t>
  </si>
  <si>
    <t>13807928R4</t>
  </si>
  <si>
    <t>6 1/8" GT64KHF 1218197</t>
  </si>
  <si>
    <t>2023 ARDT-LV3-212</t>
  </si>
  <si>
    <t>12" GT86DH 1249569</t>
  </si>
  <si>
    <t>2023 ARDT-LV3-213</t>
  </si>
  <si>
    <t>2023 ARDT-LV3-216</t>
  </si>
  <si>
    <t>16" MMD85DH 1092722M</t>
  </si>
  <si>
    <t>2023 ARDT-LV4-077</t>
  </si>
  <si>
    <t>2023 ARDT-LV3-214</t>
  </si>
  <si>
    <t>2023 ARDT-LV3-217</t>
  </si>
  <si>
    <t>3.625" MMD53DH 1016454</t>
  </si>
  <si>
    <t>2023-ARDT-LV3-215</t>
  </si>
  <si>
    <t>2023 ARDTLV3-218</t>
  </si>
  <si>
    <t>2023 1215</t>
  </si>
  <si>
    <t>13899516R6</t>
  </si>
  <si>
    <t>2023 ARDT-LV3-219</t>
  </si>
  <si>
    <t>16" SFD75DH 1252168</t>
  </si>
  <si>
    <t>2023 ARDT-LV3-219 (RE WORK)</t>
  </si>
  <si>
    <t>2023 ARDT-LV4-76</t>
  </si>
  <si>
    <t>2023 1213</t>
  </si>
  <si>
    <t>13754557R10</t>
  </si>
  <si>
    <t>2023 ARDT-LV3-220</t>
  </si>
  <si>
    <t>was not added to the components list</t>
  </si>
  <si>
    <t>2023 ARDT-LV3-221</t>
  </si>
  <si>
    <t>2023 ARDT-LV3-225</t>
  </si>
  <si>
    <t>2023 ARDT-LV3-223</t>
  </si>
  <si>
    <t>12" MM86D 1020531</t>
  </si>
  <si>
    <t>2023 ARDT-LV3-226</t>
  </si>
  <si>
    <t>2023 ARDT-LV3-222</t>
  </si>
  <si>
    <t>2023 ARDT-LV3-224</t>
  </si>
  <si>
    <t>2023 ARDT-LV4-78</t>
  </si>
  <si>
    <t>6.125" GT64KHO 1198387M</t>
  </si>
  <si>
    <t>2023 ARDT-LV4-79</t>
  </si>
  <si>
    <t>6.125" GT64KHO 1198387M1</t>
  </si>
  <si>
    <t>2023 ARDT-LV3-228</t>
  </si>
  <si>
    <t>17" SFD75DH 1162267</t>
  </si>
  <si>
    <t>2023 ARDT-LV3-227</t>
  </si>
  <si>
    <t>12.25" GT76H 1142907</t>
  </si>
  <si>
    <t>2023 ARDT-LV3-232</t>
  </si>
  <si>
    <t>2023 ARDT-LV4-82</t>
  </si>
  <si>
    <t>2023 ARDT-LV3-230</t>
  </si>
  <si>
    <t>16" MMD85DH 1058252M</t>
  </si>
  <si>
    <t>2023 ARDT-LV3-233</t>
  </si>
  <si>
    <t>8.375" MM65DH 1176919M</t>
  </si>
  <si>
    <t>2023 ARDT-LV4-81</t>
  </si>
  <si>
    <t>2023 ARDT-LV4-83</t>
  </si>
  <si>
    <t>2023 ARDT-LV4-84</t>
  </si>
  <si>
    <t>2023 ARDT-LV4-87</t>
  </si>
  <si>
    <t>5.875" EM65D 1235768</t>
  </si>
  <si>
    <t>2023 ARDT-LV4-85</t>
  </si>
  <si>
    <t>2023-ARDT-LV3-236</t>
  </si>
  <si>
    <t>2023 ARDT-LV4-88</t>
  </si>
  <si>
    <t>2023 ARDT-LV4-91</t>
  </si>
  <si>
    <t>2023-ARDT-LV3-237</t>
  </si>
  <si>
    <t>2023-ARDT-LV3-231</t>
  </si>
  <si>
    <t>2023 ARDT-LV4-94</t>
  </si>
  <si>
    <t>2023 ARDT-LV3-235</t>
  </si>
  <si>
    <t>2023-ARDT-LV3-229</t>
  </si>
  <si>
    <t>17" GT65WKH 1207425</t>
  </si>
  <si>
    <t>2023 ARDT-LV3-234</t>
  </si>
  <si>
    <t>2023 ARDT-LV4-95</t>
  </si>
  <si>
    <t>2023 ARDT-LV4-92</t>
  </si>
  <si>
    <t>2023 ARDT-LV4-93</t>
  </si>
  <si>
    <t>2023 WFD-1010</t>
  </si>
  <si>
    <t>13970758R2</t>
  </si>
  <si>
    <t>2023-ARDT-LV4-089</t>
  </si>
  <si>
    <t>2023 ARDT-LV3-239</t>
  </si>
  <si>
    <t>2023 ARDT-LV3-240</t>
  </si>
  <si>
    <t>2023 ARDT-LV3-241</t>
  </si>
  <si>
    <t>16" GTD75WH 1190973</t>
  </si>
  <si>
    <t>2023 ARDT-LV3-242</t>
  </si>
  <si>
    <t>2023 ARDT-LV3-243</t>
  </si>
  <si>
    <t>3.625" MMD53DH 960723</t>
  </si>
  <si>
    <t>2023 ARDT-LV3-244</t>
  </si>
  <si>
    <t>2023 ARDT-LV3-245</t>
  </si>
  <si>
    <t>2023 -1006 HDBSC</t>
  </si>
  <si>
    <t>5 7/8" X 2 5/8" FC3845 1214097</t>
  </si>
  <si>
    <t>2023 ARDT-LV3-246</t>
  </si>
  <si>
    <t>2023 ARDT-LV3-248</t>
  </si>
  <si>
    <t>2023 1223</t>
  </si>
  <si>
    <t>13970793R4</t>
  </si>
  <si>
    <t>2023 ARDT-LV3-247</t>
  </si>
  <si>
    <t>Rework</t>
  </si>
  <si>
    <t>2023 ARDT-LV4-86</t>
  </si>
  <si>
    <t>2023-ARDT-LV4-090</t>
  </si>
  <si>
    <t>2023 ARDT-LV4-96</t>
  </si>
  <si>
    <t>6.125" HD54F 1259957M2</t>
  </si>
  <si>
    <t>2023 ARDT-LV4-100</t>
  </si>
  <si>
    <t>2023 ARDT-LV4-97</t>
  </si>
  <si>
    <t>3.875" SF53 1252419</t>
  </si>
  <si>
    <t>2023 ARDT-LV4-98</t>
  </si>
  <si>
    <t>2023 ARDT-LV4-99</t>
  </si>
  <si>
    <t>2023-ARDT-LV3-250</t>
  </si>
  <si>
    <t>6.125" GTD64H 1137348</t>
  </si>
  <si>
    <t>2023-ARDT-LV3-251</t>
  </si>
  <si>
    <t>2023 ARDT-LV3-249</t>
  </si>
  <si>
    <t>5.875" GT73DH 1138943</t>
  </si>
  <si>
    <t>2023 ARDT-LV3-252</t>
  </si>
  <si>
    <t>2023 ARDT-LV3-254</t>
  </si>
  <si>
    <t>8.5" CS55RKHOs 1159702</t>
  </si>
  <si>
    <t>2023 ARDT-LV3-256</t>
  </si>
  <si>
    <t>2023 ARDT-LV3-255</t>
  </si>
  <si>
    <t>2023 ARDT-LV4-101</t>
  </si>
  <si>
    <t>2023 ARDT-LV4-102</t>
  </si>
  <si>
    <t>2023 ARDT-LV4-103</t>
  </si>
  <si>
    <t>2023 ARDT-LV3-258</t>
  </si>
  <si>
    <t>2023 ARDT-LV3-259</t>
  </si>
  <si>
    <t>12.25" SF55 1220553</t>
  </si>
  <si>
    <t>2023 ARDT-LV3-260</t>
  </si>
  <si>
    <t>2023 ARDT-LV3-261</t>
  </si>
  <si>
    <t>16" MM85DH 1033011</t>
  </si>
  <si>
    <t>2023 ARDT-LV4-104</t>
  </si>
  <si>
    <t>2023 ARDT-LV3-262</t>
  </si>
  <si>
    <t>6.125" GTD54H 1137349M</t>
  </si>
  <si>
    <t>2023 ARDT-LV4-105</t>
  </si>
  <si>
    <t>6.125" GTD54HO 1226841</t>
  </si>
  <si>
    <t>2023 ARDT-LV4-106</t>
  </si>
  <si>
    <t>2023 ARDT-LV3-263</t>
  </si>
  <si>
    <t>2023 ARDT-LV3-264</t>
  </si>
  <si>
    <t>2023 ARDT-LV3-265</t>
  </si>
  <si>
    <t>2023 1231</t>
  </si>
  <si>
    <t>2023 ARDT-LV3-269</t>
  </si>
  <si>
    <t>2023 ARDT-LV3-270</t>
  </si>
  <si>
    <t>2023 ARDT-LV3-266</t>
  </si>
  <si>
    <t>2023 1229</t>
  </si>
  <si>
    <t>12756174R11</t>
  </si>
  <si>
    <t>6 1/8" MMD54H 952636</t>
  </si>
  <si>
    <t>2023 ARDT-LV3-267</t>
  </si>
  <si>
    <t>16" MMD85DH 1268728</t>
  </si>
  <si>
    <t>2023 ARDT-LV3-268</t>
  </si>
  <si>
    <t>2023 ARDT-LV3-271</t>
  </si>
  <si>
    <t>2023-ARDT-LV3-271-14036249</t>
  </si>
  <si>
    <t>2023 ARDT-LV4-107</t>
  </si>
  <si>
    <t>3.625" MMD53DH 1261733</t>
  </si>
  <si>
    <t>2023 ARDT-LV4-108</t>
  </si>
  <si>
    <t>20231008-HDBSC</t>
  </si>
  <si>
    <t>13955531R6</t>
  </si>
  <si>
    <t>6.125" HD54 1251085</t>
  </si>
  <si>
    <t>13844441R2</t>
  </si>
  <si>
    <t>6 1/8" HD54F 1233276</t>
  </si>
  <si>
    <t>13791954R5</t>
  </si>
  <si>
    <t>3 3/4" GT53s 1224750M</t>
  </si>
  <si>
    <t>2023-ARDT-LV3-272</t>
  </si>
  <si>
    <t>16 MM85DH 1033011</t>
  </si>
  <si>
    <t>2023-ARDT-LV3-273</t>
  </si>
  <si>
    <t>2023-ARDT-LV4-109</t>
  </si>
  <si>
    <t>8.5 GT65RHs 1267829</t>
  </si>
  <si>
    <t>2023-ARDT-LV4-110</t>
  </si>
  <si>
    <t>5.875 EM65D 1235768</t>
  </si>
  <si>
    <t>2023-ARDT-LV4-111</t>
  </si>
  <si>
    <t>2023 1238</t>
  </si>
  <si>
    <t>13753969R4</t>
  </si>
  <si>
    <t>6 1/8" GTD54HF 1233276</t>
  </si>
  <si>
    <t>2023 1239</t>
  </si>
  <si>
    <t>13655226R5</t>
  </si>
  <si>
    <t>6 1/8" GTi64HF 1219697</t>
  </si>
  <si>
    <t>2023 1240</t>
  </si>
  <si>
    <t>13593128R10</t>
  </si>
  <si>
    <t>2023-ARDT-LV3-275</t>
  </si>
  <si>
    <t>12 GT86DH 1249569M</t>
  </si>
  <si>
    <t>2023-ARDT-LV4-114</t>
  </si>
  <si>
    <t>8.375 GT65DHF-1 1239176M</t>
  </si>
  <si>
    <t>2023-ARDT-LV4-115</t>
  </si>
  <si>
    <t>8.5 HD55DO 1263805</t>
  </si>
  <si>
    <t>2023 1007-HDBSC</t>
  </si>
  <si>
    <t>12958825R1</t>
  </si>
  <si>
    <t>8 1/2 X 3 1/4" FC3647 1055117</t>
  </si>
  <si>
    <t>2023 1007-HDBSC (ENO GOOD CUTTER)</t>
  </si>
  <si>
    <t>2023 1230</t>
  </si>
  <si>
    <t>13732811R1</t>
  </si>
  <si>
    <t>6 1/8" HD54O 1226841</t>
  </si>
  <si>
    <t>2023 ARDT-LV3-274</t>
  </si>
  <si>
    <t>12 GT86DH 1249569</t>
  </si>
  <si>
    <t>2023 ARDT-LV3-275 (RE WORK)</t>
  </si>
  <si>
    <t>2023 ARDT-LV3-276</t>
  </si>
  <si>
    <t>12 GTD55WKH 1269308</t>
  </si>
  <si>
    <t>2023 ARDT-LV4-113</t>
  </si>
  <si>
    <t>8.5 GT65RHs 1269498M5</t>
  </si>
  <si>
    <t>2023 1243</t>
  </si>
  <si>
    <t>13261222R5</t>
  </si>
  <si>
    <t>6 1/8" GTi64H 1108037</t>
  </si>
  <si>
    <t>2023-ARDT-LV3-277</t>
  </si>
  <si>
    <t>2023-ARDT-LV3-278</t>
  </si>
  <si>
    <t>2023-1007 HDBSC REWORK</t>
  </si>
  <si>
    <t>2023-ARDT-LV4-116</t>
  </si>
  <si>
    <t>8.5" HD55DO 1263805</t>
  </si>
  <si>
    <t>2023-ARDT-LV4-117</t>
  </si>
  <si>
    <t>2023-ARDT-LV3-279</t>
  </si>
  <si>
    <t>3.75" GT53 1212207</t>
  </si>
  <si>
    <t>2023-ARDT-LV3-281</t>
  </si>
  <si>
    <t>2023-ARDT-LV3-282</t>
  </si>
  <si>
    <t>12" GTD55WKH 1269308</t>
  </si>
  <si>
    <t>2023-ARDT-LV3-280</t>
  </si>
  <si>
    <t>13824397R1</t>
  </si>
  <si>
    <t>13791955R3</t>
  </si>
  <si>
    <t>6.125 HD54 1251085</t>
  </si>
  <si>
    <t>2023 1232</t>
  </si>
  <si>
    <t>13970793R5</t>
  </si>
  <si>
    <t>2023 1245</t>
  </si>
  <si>
    <t>13901159R7</t>
  </si>
  <si>
    <t>2023-ARDT-LV3-283</t>
  </si>
  <si>
    <t>2023-ARDT-LV4-112</t>
  </si>
  <si>
    <t>2023 WFD-1011</t>
  </si>
  <si>
    <t>3 7/8" SF53 1224225M</t>
  </si>
  <si>
    <t>2023 1249</t>
  </si>
  <si>
    <t>13970795R7</t>
  </si>
  <si>
    <t>2023-ARDT-LV4-118</t>
  </si>
  <si>
    <t>2023-ARDT-LV4-119</t>
  </si>
  <si>
    <t>2023-ARDT-LV3-284</t>
  </si>
  <si>
    <t>2023-ARDT-LV3-285</t>
  </si>
  <si>
    <t>2023-ARDT-LV4-122</t>
  </si>
  <si>
    <t>8.5" GT65RHs 1267829</t>
  </si>
  <si>
    <t>2023-ARDT-LV4-120</t>
  </si>
  <si>
    <t>2023-ARDT-LV4-121</t>
  </si>
  <si>
    <t>2023-ARDT-LV3-287</t>
  </si>
  <si>
    <t>16"  MMD85DH 1268728M</t>
  </si>
  <si>
    <t>2023 1254</t>
  </si>
  <si>
    <t>13593128R11</t>
  </si>
  <si>
    <t>2023 1254 (REWORK)</t>
  </si>
  <si>
    <t>2023-ARDT-LV3-286</t>
  </si>
  <si>
    <t>2023-ARDT-LV4-124</t>
  </si>
  <si>
    <t>2023-ARDT-LV4-123</t>
  </si>
  <si>
    <t>2023-ARDT-LV4-125</t>
  </si>
  <si>
    <t>2023-ARDT-LV4-126</t>
  </si>
  <si>
    <t>2023 1250</t>
  </si>
  <si>
    <t>13754557R12</t>
  </si>
  <si>
    <t>2023-WFD-1012</t>
  </si>
  <si>
    <t>13955536R2</t>
  </si>
  <si>
    <t>2024-ARDT-LV3-001</t>
  </si>
  <si>
    <t>8.375 GT65DH 1092981M</t>
  </si>
  <si>
    <t>2024-ARDT-LV3-003</t>
  </si>
  <si>
    <t>12 GTD55WKH 1269308M</t>
  </si>
  <si>
    <t>2024-ARDT-LV4-001</t>
  </si>
  <si>
    <t>2024-ARDT-LV3-002</t>
  </si>
  <si>
    <t>8.375" GT65DH 1092981M</t>
  </si>
  <si>
    <t>2024-ARDT-LV4-002</t>
  </si>
  <si>
    <t>2024-ARDT-LV3-004</t>
  </si>
  <si>
    <t>2024-ARDT-LV3-005</t>
  </si>
  <si>
    <t>2024-ARDT-002</t>
  </si>
  <si>
    <t>8.375 HD65D 1262090M</t>
  </si>
  <si>
    <t>14023085R1</t>
  </si>
  <si>
    <t>6 1/8" HD54-2 1251085M</t>
  </si>
  <si>
    <t>13719642R8</t>
  </si>
  <si>
    <t>6" GTD64k 1193587</t>
  </si>
  <si>
    <t>2024-ARDT-LV4-003</t>
  </si>
  <si>
    <t>2024-ARDT-LV4-004</t>
  </si>
  <si>
    <t>2024-ARDT-LV4-005</t>
  </si>
  <si>
    <t>6.125 GT64KHO 1160951M</t>
  </si>
  <si>
    <t>2024-ARDT-LV4-006</t>
  </si>
  <si>
    <t>2024-ARDT-LV4-007</t>
  </si>
  <si>
    <t>2024-ARDT-LV4-008</t>
  </si>
  <si>
    <t>16 HD75DOs 1254482</t>
  </si>
  <si>
    <t>2024-ARDT-LV3-008</t>
  </si>
  <si>
    <t>3.625 MMD53DH 960723</t>
  </si>
  <si>
    <t>2024-ARDT-LV3-006</t>
  </si>
  <si>
    <t>12.25 GT76H 1142907</t>
  </si>
  <si>
    <t>2024-ARDT-004</t>
  </si>
  <si>
    <t>12 HD86D 1251627</t>
  </si>
  <si>
    <t>16 ENO returned to the inventory</t>
  </si>
  <si>
    <t>1010 CT182 18C</t>
  </si>
  <si>
    <t>2024-ARDT-LV3-007</t>
  </si>
  <si>
    <t xml:space="preserve"> 1005 CT182  0.018 (S)</t>
  </si>
  <si>
    <t>Round 0808 CT80  0.018" (B)</t>
  </si>
  <si>
    <t>1618 CT167 U-60 Ring</t>
  </si>
  <si>
    <t>1618 CT167 U-60 stator</t>
  </si>
  <si>
    <t xml:space="preserve">1618 CT167 U-60 Carbide </t>
  </si>
  <si>
    <t>13641021R17</t>
  </si>
  <si>
    <t>13955538R4</t>
  </si>
  <si>
    <t>2024-ARDT-LV4-010</t>
  </si>
  <si>
    <t>2024-ARDT-LV4-011</t>
  </si>
  <si>
    <t>2024-ARDT-LV3-10</t>
  </si>
  <si>
    <t>16 MMD85DH 1268728</t>
  </si>
  <si>
    <t>13970795R8</t>
  </si>
  <si>
    <t>14023083R1</t>
  </si>
  <si>
    <t>2024-ARDT-LV3-09</t>
  </si>
  <si>
    <t>16 MMD85DH 1058252</t>
  </si>
  <si>
    <t>2024-ARDT-LV3-011</t>
  </si>
  <si>
    <t>2024-ARDT-LV3-012</t>
  </si>
  <si>
    <t>2024-ARDT-LV4-012</t>
  </si>
  <si>
    <t>2024-ARDT-LV4-013</t>
  </si>
  <si>
    <t>2024-ARDT-LV4-014</t>
  </si>
  <si>
    <t>2024-WFD-1001</t>
  </si>
  <si>
    <t>13970758R3</t>
  </si>
  <si>
    <t>2024-WFD-1002</t>
  </si>
  <si>
    <t>13824396R5</t>
  </si>
  <si>
    <t>2024-ARDT-LV3-013</t>
  </si>
  <si>
    <t>2024-ARDT-LV3-14</t>
  </si>
  <si>
    <t>2024-ARDT-LV4-015</t>
  </si>
  <si>
    <t>2024-ARDT-LV3-15</t>
  </si>
  <si>
    <t>2024-ARDT-LV3-16</t>
  </si>
  <si>
    <t>2024-ARDT-LV3-17</t>
  </si>
  <si>
    <t>2024-ARDT-LV3-18</t>
  </si>
  <si>
    <t>13593128R12</t>
  </si>
  <si>
    <t>13261218R7</t>
  </si>
  <si>
    <t>6 GTD64Ms 1166297</t>
  </si>
  <si>
    <t>2024-ARDT-LV3-19</t>
  </si>
  <si>
    <t>2024-ARDT-LV3-21</t>
  </si>
  <si>
    <t>2024-ARDT-LV3-22</t>
  </si>
  <si>
    <t>2024-ARDT-LV3-23</t>
  </si>
  <si>
    <t>2024-ARDT-LV4-16</t>
  </si>
  <si>
    <t>2024-ARDT-LV4-17</t>
  </si>
  <si>
    <t>2024-ARDT-008</t>
  </si>
  <si>
    <t>6.125 GTD54H 1251085M</t>
  </si>
  <si>
    <t>2024-ARDT-LV3-20</t>
  </si>
  <si>
    <t>2024-ARDT-LV3-24</t>
  </si>
  <si>
    <t>2024-ARDT-LV3-25</t>
  </si>
  <si>
    <t>2024-ARDT-LV3-26</t>
  </si>
  <si>
    <t>2024-ARDT-LV4-18</t>
  </si>
  <si>
    <t>2024-WFD-1003</t>
  </si>
  <si>
    <t>13955536R3</t>
  </si>
  <si>
    <t>14012922R2</t>
  </si>
  <si>
    <t>Last update limit 2/4/2024</t>
  </si>
  <si>
    <t>2024-ARDT-LV4-19</t>
  </si>
  <si>
    <t>5.875"EM65D1235768</t>
  </si>
  <si>
    <t>2024-ARDT-LV4-20</t>
  </si>
  <si>
    <t>2024-ARDT-LV4-21</t>
  </si>
  <si>
    <t>2024-ARDT-LV4-22</t>
  </si>
  <si>
    <t>2024-ARDT-LV4-23</t>
  </si>
  <si>
    <t>2024-WFD-1003 (REWORK)</t>
  </si>
  <si>
    <t>2024-ARDT-LV4-24</t>
  </si>
  <si>
    <t>6.125"GT64KHO1160951</t>
  </si>
  <si>
    <t>2024-ARDT-LV4-25</t>
  </si>
  <si>
    <t>2024-ARDT-LV4-26</t>
  </si>
  <si>
    <t>2024 ARDT-LV3-27</t>
  </si>
  <si>
    <t>16"MMD85DH1268728</t>
  </si>
  <si>
    <t>2024 ARDT-LV3-32</t>
  </si>
  <si>
    <t>3.625"MMD53DH1016454</t>
  </si>
  <si>
    <t>2024 ARDT-LV3-33</t>
  </si>
  <si>
    <t>2024 ARDT-LV3-28</t>
  </si>
  <si>
    <t>2024 ARDT-LV3-29</t>
  </si>
  <si>
    <t>12.25"GT76H1142907</t>
  </si>
  <si>
    <t>2024-ARDT-LV3-31</t>
  </si>
  <si>
    <t>2024-ARDT-LV3-31 (ENO), check remark</t>
  </si>
  <si>
    <t>12 Pcs ENO, deducted</t>
  </si>
  <si>
    <t>2024-ARDT-LV3-34</t>
  </si>
  <si>
    <t>2024-ARDT-LV3-35</t>
  </si>
  <si>
    <t>12"GTD55WKH1269308</t>
  </si>
  <si>
    <t>2024-ARDT-LV3-35 (RETROFIT)</t>
  </si>
  <si>
    <t>In ERP it was as Rtro category</t>
  </si>
  <si>
    <t>Last update limit 2/11/2024</t>
  </si>
  <si>
    <t>2024-1001-HDBSC</t>
  </si>
  <si>
    <t>13730514R</t>
  </si>
  <si>
    <t>2024-ARDT-LV3-30</t>
  </si>
  <si>
    <t>2024-ARDT-LV3-38</t>
  </si>
  <si>
    <t>8.375"GT65DH1092981M</t>
  </si>
  <si>
    <t>2024-ARDT-LV3-39</t>
  </si>
  <si>
    <t>2024-ARDT-LV3-40</t>
  </si>
  <si>
    <t>2024 WFD-1004</t>
  </si>
  <si>
    <t>13824396R6</t>
  </si>
  <si>
    <t>2024-ARDT-LV3-41</t>
  </si>
  <si>
    <t>16"MM85DH1033011</t>
  </si>
  <si>
    <t>2024-ARDT-LV3-42</t>
  </si>
  <si>
    <t>Last update limit 2/14/2024</t>
  </si>
  <si>
    <t>13732811R2</t>
  </si>
  <si>
    <t>6 1/8"HD54O1226841</t>
  </si>
  <si>
    <t>14023083R2</t>
  </si>
  <si>
    <t>6.125HD541251085</t>
  </si>
  <si>
    <t>2024-ADRT-LV3-36</t>
  </si>
  <si>
    <t>2024-ARDT-LV3-37</t>
  </si>
  <si>
    <t>2024-ARDT-LV3-43</t>
  </si>
  <si>
    <t>16"MMD85DH1058252</t>
  </si>
  <si>
    <t>2024-ARDT-LV4-28</t>
  </si>
  <si>
    <t>2024-ARDT-LV4-29</t>
  </si>
  <si>
    <t>2024-ARDT-LV4-30</t>
  </si>
  <si>
    <t>2024-ARDT-LV4-31</t>
  </si>
  <si>
    <t>2024-ARDT-LV3-44</t>
  </si>
  <si>
    <t>2024-ARDT-LV4-27</t>
  </si>
  <si>
    <t>2024-ARDT-LV4-009</t>
  </si>
  <si>
    <t>12.25"HD75WF1267122</t>
  </si>
  <si>
    <t>2024-ARDT-LV4-032</t>
  </si>
  <si>
    <t>8.5"GT65RHs1267829</t>
  </si>
  <si>
    <t>2024-ARDT-LV4-033</t>
  </si>
  <si>
    <t>16"HD75DOs1254482</t>
  </si>
  <si>
    <t>2024-ARDT-LV3-045</t>
  </si>
  <si>
    <t>12"MM76DH1095217</t>
  </si>
  <si>
    <t>Last update limit 2/21/2024</t>
  </si>
  <si>
    <t>6 1/8""GTi54H1093690M</t>
  </si>
  <si>
    <t>(GROUND)</t>
  </si>
  <si>
    <t xml:space="preserve">17 PC GOOD CUTTERS (RETROFIT)NEW </t>
  </si>
  <si>
    <t>16 PC GOOD CUTTERS (RETROFIT)</t>
  </si>
  <si>
    <t>2024-ARDT-LV4-34</t>
  </si>
  <si>
    <t>2024-ARDT-LV4-35</t>
  </si>
  <si>
    <t>2024-ARDT-LV4-36</t>
  </si>
  <si>
    <t>2024-ARDT-LV4-37</t>
  </si>
  <si>
    <t>2024-ARDT-LV4-38</t>
  </si>
  <si>
    <t>2024 ARDT-LV4-39</t>
  </si>
  <si>
    <t>2024 ARDT-LV4-40</t>
  </si>
  <si>
    <t>2024 ARDT-LV4-41</t>
  </si>
  <si>
    <t>2024 ARDT-LV4-42</t>
  </si>
  <si>
    <t>8.5"GT65RHs1276939</t>
  </si>
  <si>
    <t>13955531R</t>
  </si>
  <si>
    <t>6 1/8""HD541251085</t>
  </si>
  <si>
    <t>13655226R6</t>
  </si>
  <si>
    <t>6 1/8""GTi64HF1219697</t>
  </si>
  <si>
    <t>2024-ARDT-LV3-46</t>
  </si>
  <si>
    <t>13754557R13</t>
  </si>
  <si>
    <t>3 7/8""SF531059290</t>
  </si>
  <si>
    <t>13791953R3</t>
  </si>
  <si>
    <t>3 3/4""GT53s1224750M</t>
  </si>
  <si>
    <t>13791954R6</t>
  </si>
  <si>
    <t>6 1/8""HD54-21251085M</t>
  </si>
  <si>
    <t>Last update limit 2/28/2024</t>
  </si>
  <si>
    <t>2024 ARDT-LV3-47</t>
  </si>
  <si>
    <t>2024 ARDT-LV3-47 ENO</t>
  </si>
  <si>
    <t>2024 ARDT-LV3-048</t>
  </si>
  <si>
    <t>2024-ARDT-LV3-48</t>
  </si>
  <si>
    <t>2024-ARDT-LV3-48 ENO</t>
  </si>
  <si>
    <t>2024-ARDT-LV4-043</t>
  </si>
  <si>
    <t>12.25"HD75WF1257458M</t>
  </si>
  <si>
    <t>2024-WFD-1005</t>
  </si>
  <si>
    <t>13970758R4</t>
  </si>
  <si>
    <t>3 7/8"SF531252149</t>
  </si>
  <si>
    <t>2024-WFD-1006</t>
  </si>
  <si>
    <t>13824396R7</t>
  </si>
  <si>
    <t>2024-ARDT-LV4-45</t>
  </si>
  <si>
    <t>2024-ARDT-LV4-47</t>
  </si>
  <si>
    <t>2024-ARDT-LV4-44</t>
  </si>
  <si>
    <t>12.25"HD75WF1257458</t>
  </si>
  <si>
    <t>Last update limit 3/5/2024</t>
  </si>
  <si>
    <t>13719642R9</t>
  </si>
  <si>
    <t>2024-ARDT-LV4-46</t>
  </si>
  <si>
    <t>13824397R2</t>
  </si>
  <si>
    <t>2024-ARDT-LV3-49</t>
  </si>
  <si>
    <t>2024-ARDT-LV4-48</t>
  </si>
  <si>
    <t>2024-ARDT-10</t>
  </si>
  <si>
    <t>6.125" GTD54H 1137349</t>
  </si>
  <si>
    <t>14023085R3</t>
  </si>
  <si>
    <t>13261218R8</t>
  </si>
  <si>
    <t>2024-ARDT-LV4-48 REWORK</t>
  </si>
  <si>
    <t>12756174R12</t>
  </si>
  <si>
    <t>6 1/8""MMD54H952636</t>
  </si>
  <si>
    <t>2024-ARDT-LV4-49</t>
  </si>
  <si>
    <t>2024-ARDT-LV4-50</t>
  </si>
  <si>
    <t>13791955R4</t>
  </si>
  <si>
    <t>2024-ARDT-LV4-53</t>
  </si>
  <si>
    <t>16"MMD85DHF1239258M</t>
  </si>
  <si>
    <t>2024-ARDT-LV4-53 ENO</t>
  </si>
  <si>
    <t>11 Pcs ENO, deducted</t>
  </si>
  <si>
    <t>2024-ARDT-LV4-51</t>
  </si>
  <si>
    <t>2024-ARDT-LV4-54</t>
  </si>
  <si>
    <t>12"GTD86DHF1239239M</t>
  </si>
  <si>
    <t>2024-ARDT-LV4-52</t>
  </si>
  <si>
    <t>2024-ARDT-LV4-53 (rework)</t>
  </si>
  <si>
    <t>2024-ARDT-LV3-50</t>
  </si>
  <si>
    <t>13955538R5</t>
  </si>
  <si>
    <t>3 7/8""SF531252149</t>
  </si>
  <si>
    <t>2024-ARDT-LV3-51</t>
  </si>
  <si>
    <t>2024-ARDT-LV3-52</t>
  </si>
  <si>
    <t>12"HD86D1251627</t>
  </si>
  <si>
    <t>2024-ARDT-LV4-55</t>
  </si>
  <si>
    <t>2024-ARDT-LV3-52 (rework)</t>
  </si>
  <si>
    <t>Last update limit 3/20/2024</t>
  </si>
  <si>
    <t>2024-ARDT-LV4-56</t>
  </si>
  <si>
    <t>2024-ARDT-LV3-53</t>
  </si>
  <si>
    <t>14023083R3</t>
  </si>
  <si>
    <t>6.125"HD541251085</t>
  </si>
  <si>
    <t>14023084R1</t>
  </si>
  <si>
    <t>2024-ARDT-LV4-59</t>
  </si>
  <si>
    <t>2024-ARDT-LV4-58</t>
  </si>
  <si>
    <t>3.625"GT63WH1216970</t>
  </si>
  <si>
    <t>2024-ARDT-LV4-57</t>
  </si>
  <si>
    <t>2024-ARDT-LV3-54</t>
  </si>
  <si>
    <t>2024-ARDT-LV4-60</t>
  </si>
  <si>
    <t>2024-ARDT-LV4-61</t>
  </si>
  <si>
    <t>Last update limit 3/25/2024</t>
  </si>
  <si>
    <t>2024-ARDT-LV3-55</t>
  </si>
  <si>
    <t>2024-ARDT-LV3-56</t>
  </si>
  <si>
    <t>3.625"MMD53DH960723</t>
  </si>
  <si>
    <t>2024-ARDT-LV3-57</t>
  </si>
  <si>
    <t>2024-ARDT-LV3-59</t>
  </si>
  <si>
    <t>2024-ARDT-LV3-60</t>
  </si>
  <si>
    <t>2024-ARDT-LV3-61</t>
  </si>
  <si>
    <t>12"GT86DH1249569</t>
  </si>
  <si>
    <t>2024-ARDT-LV3-62</t>
  </si>
  <si>
    <t>8.375"MM65DH1061407</t>
  </si>
  <si>
    <t>2024-ARDT-LV4-62</t>
  </si>
  <si>
    <t>13955537R8</t>
  </si>
  <si>
    <t>6.125 GTD54H 1137349</t>
  </si>
  <si>
    <t>Reclaimed from new bit: 17 as new and 6 ground treated as reclaim.</t>
  </si>
  <si>
    <t>13970795R9</t>
  </si>
  <si>
    <t>2024-ARDT-LV3-63</t>
  </si>
  <si>
    <t>2024-ARDT-LV4-063</t>
  </si>
  <si>
    <t>2024-ARDT-011</t>
  </si>
  <si>
    <t>2024-ARDT-LV3-58</t>
  </si>
  <si>
    <t>2024-ARDT-LV4-65</t>
  </si>
  <si>
    <t>2024-ARDT-LV3-64</t>
  </si>
  <si>
    <t>2024-ARDT-LV3-65</t>
  </si>
  <si>
    <t>2024-ARDT-LV4-66</t>
  </si>
  <si>
    <t>2024-ARDT-LV4-64</t>
  </si>
  <si>
    <t>13261218R9</t>
  </si>
  <si>
    <t>2024-ARDT-LV3-66</t>
  </si>
  <si>
    <t>2024-ARDT-LV4-67</t>
  </si>
  <si>
    <t>2024-ARDT-LV4-68</t>
  </si>
  <si>
    <t>2024-ARDT-LV4-69</t>
  </si>
  <si>
    <t>8.5"HD55DO1263805</t>
  </si>
  <si>
    <t>2024-ARDT-LV4-70</t>
  </si>
  <si>
    <t>8.5"HD65O1255267M</t>
  </si>
  <si>
    <t>2024-ARDT-16</t>
  </si>
  <si>
    <t>2024-ARDT-17</t>
  </si>
  <si>
    <t>6.125 GTD54HF 1233276</t>
  </si>
  <si>
    <t>2024-ARDT-18</t>
  </si>
  <si>
    <t>6.125 GTD54HO 1226841</t>
  </si>
  <si>
    <t>2024-ARDT-19</t>
  </si>
  <si>
    <t>5.875 EM65D  1235768</t>
  </si>
  <si>
    <t>2024-WFD-1007</t>
  </si>
  <si>
    <t>13955536R4</t>
  </si>
  <si>
    <t>13508790R9</t>
  </si>
  <si>
    <t>6 1/8""GT64KHF1218197</t>
  </si>
  <si>
    <t>6.125"HD541251085M</t>
  </si>
  <si>
    <t>2024-ARDT-LV3-67</t>
  </si>
  <si>
    <t>2024-ARDT-LV3-68</t>
  </si>
  <si>
    <t>Last update limit 4/17/2024</t>
  </si>
  <si>
    <t>13719642R10</t>
  </si>
  <si>
    <t>13754557R14</t>
  </si>
  <si>
    <t>2024-ARDT-LV3-70</t>
  </si>
  <si>
    <t>2024-ARDT-LV4-71</t>
  </si>
  <si>
    <t>8.5"HD65O1240803</t>
  </si>
  <si>
    <t>13261218R10</t>
  </si>
  <si>
    <t>2024-ARDT-LV3-69</t>
  </si>
  <si>
    <t>6.125"GTD54H1137349</t>
  </si>
  <si>
    <t>2024-ARDT-LV3-71</t>
  </si>
  <si>
    <t>2024-ARDT-LV3-72</t>
  </si>
  <si>
    <t>2024-ARDT-LV3-75</t>
  </si>
  <si>
    <t>2024-ARDT-LV4-72</t>
  </si>
  <si>
    <t>2024-ARDT-LV4-73</t>
  </si>
  <si>
    <t>2024-ARDT-LV4-75</t>
  </si>
  <si>
    <t>2024-ARDT-LV4-76</t>
  </si>
  <si>
    <t>2024-ARDT-LV3-75 REWORK</t>
  </si>
  <si>
    <t>20241053</t>
  </si>
  <si>
    <t>13791954R7</t>
  </si>
  <si>
    <t>20241057</t>
  </si>
  <si>
    <t>13955538R6</t>
  </si>
  <si>
    <t>2024-ARDT-LV3-74</t>
  </si>
  <si>
    <t>2024-ARDT-20</t>
  </si>
  <si>
    <t>16 HD75Fs 1241180</t>
  </si>
  <si>
    <t>2024-ARDT-LV3-082</t>
  </si>
  <si>
    <t>8.5"MMD65H1135558</t>
  </si>
  <si>
    <t>O.N. was 2024-ARDT-LV4-077</t>
  </si>
  <si>
    <t>2024-ARDT-LV3-73</t>
  </si>
  <si>
    <t>2024-ARDT-LV4-74</t>
  </si>
  <si>
    <t>2024-ARDT-LV3-76</t>
  </si>
  <si>
    <t>2024-ARDT-LV4-79</t>
  </si>
  <si>
    <t>2024-ARDT-LV4-80</t>
  </si>
  <si>
    <t>2024-ARDT-LV4-81</t>
  </si>
  <si>
    <t>2024-ARDT-LV4-82</t>
  </si>
  <si>
    <t>2024-ARDT-LV4-83</t>
  </si>
  <si>
    <t>Last update limit4/25/2024</t>
  </si>
  <si>
    <t>2024-ARDT-11(17 pc-ENO)</t>
  </si>
  <si>
    <t>2024-ARDT-11( Grounded as reclaim)</t>
  </si>
  <si>
    <t>2024-ARDT-18 (17pc-ENO)</t>
  </si>
  <si>
    <t>2024-ARDT-18 ( Grounded as reclaim)</t>
  </si>
  <si>
    <t>2024-ARDT-17 (16pc-ENO)</t>
  </si>
  <si>
    <t>6.125" HD54F 1233276</t>
  </si>
  <si>
    <t>2024-ARDT-17 ( Grounded as reclaim)</t>
  </si>
  <si>
    <t>14023085R4</t>
  </si>
  <si>
    <t>13732811R4</t>
  </si>
  <si>
    <t>6 1/8""HD54O1226841</t>
  </si>
  <si>
    <t>6.125"HD54F1233276</t>
  </si>
  <si>
    <t>2024-ARDT-LV3-80</t>
  </si>
  <si>
    <t>2024-ARDT-LV3-81</t>
  </si>
  <si>
    <t>2024-ARDT-LV3-83</t>
  </si>
  <si>
    <t>2024-ARDT-LV4-78</t>
  </si>
  <si>
    <t>2024-ARDT-21</t>
  </si>
  <si>
    <t>8.375" MM65DH 1061407</t>
  </si>
  <si>
    <t>2024-ARDT-LV3-77</t>
  </si>
  <si>
    <t>2024-ARDT-LV3-79</t>
  </si>
  <si>
    <t>2024-ARDT-LV3-78</t>
  </si>
  <si>
    <t>12"GTD86DH1251098M</t>
  </si>
  <si>
    <t>2024-ARDT-LV3-84</t>
  </si>
  <si>
    <t>12"GTD86DH1251098</t>
  </si>
  <si>
    <t>2024-ARDT-LV3-85</t>
  </si>
  <si>
    <t>12"GT75DHO1176003</t>
  </si>
  <si>
    <t>2024-ARDT-LV3-86</t>
  </si>
  <si>
    <t>8 3/8	"GT65DH	1245357M</t>
  </si>
  <si>
    <t>2024-ARDT-LV3-87</t>
  </si>
  <si>
    <t>8 3/8	"GT65DH1245357M</t>
  </si>
  <si>
    <t>2024-ARDT-LV4-84</t>
  </si>
  <si>
    <t>3 5/8	"GT63WH1216970</t>
  </si>
  <si>
    <t>2024-ARDT-LV4-86</t>
  </si>
  <si>
    <t>2024-ARDT-LV4-87</t>
  </si>
  <si>
    <t>2024-ARDT-LV4-88</t>
  </si>
  <si>
    <t>2024-ARDT-LV4-89</t>
  </si>
  <si>
    <t>14023084R2</t>
  </si>
  <si>
    <t>13753969R5</t>
  </si>
  <si>
    <t>6 1/8""HD54F1233276</t>
  </si>
  <si>
    <t>2024-ARDT-LV4-85</t>
  </si>
  <si>
    <t>20241002 REG (-4 PC ENO)</t>
  </si>
  <si>
    <t>13594964R2</t>
  </si>
  <si>
    <t>23" GT76s 1176225</t>
  </si>
  <si>
    <t>4 pc ENO</t>
  </si>
  <si>
    <t>2024-ARDT-LV3-88</t>
  </si>
  <si>
    <t>12"GTD55WKH1269308M</t>
  </si>
  <si>
    <t>2024-ARDT-LV3-89</t>
  </si>
  <si>
    <t>2024-ARDT-LV3-90</t>
  </si>
  <si>
    <t>8 3/8	"GT65DH	1246020M</t>
  </si>
  <si>
    <t>2024-ARDT-LV3-91</t>
  </si>
  <si>
    <t>2024-ARDT-LV4-90</t>
  </si>
  <si>
    <t>Last update limit5/9/2024</t>
  </si>
  <si>
    <t>2024-ARDT-LV4-92</t>
  </si>
  <si>
    <t>2024-WFD-1009</t>
  </si>
  <si>
    <t>13955536R5</t>
  </si>
  <si>
    <t>2024-WFD-1008</t>
  </si>
  <si>
    <t>13970758R5</t>
  </si>
  <si>
    <t>2024-ARDT-LV4-91</t>
  </si>
  <si>
    <t>13655228R5</t>
  </si>
  <si>
    <t>13955538R7</t>
  </si>
  <si>
    <t>14012922R4</t>
  </si>
  <si>
    <t>13838421R3</t>
  </si>
  <si>
    <t>13670100R7</t>
  </si>
  <si>
    <t>2024-ARDT-LV3-92</t>
  </si>
  <si>
    <t>12"GTD55WKH1269308M1</t>
  </si>
  <si>
    <t>2024-ARDT-LV3-95</t>
  </si>
  <si>
    <t>2024-ARDT-LV3-96</t>
  </si>
  <si>
    <t>8.375"GT65DH1245357M1</t>
  </si>
  <si>
    <t>2024-ARDT-LV4-93</t>
  </si>
  <si>
    <t>2024-ARDT-LV4-94</t>
  </si>
  <si>
    <t>16"HD75Fs1241180M</t>
  </si>
  <si>
    <t>2024-WFD-1009 (Rework)</t>
  </si>
  <si>
    <t>13844444R1</t>
  </si>
  <si>
    <t>6.125 HD54F 1233276</t>
  </si>
  <si>
    <t>2024-ARDT-LV3-101</t>
  </si>
  <si>
    <t>16"SFD75DH1272498</t>
  </si>
  <si>
    <t>2024-ARDT-LV3-93</t>
  </si>
  <si>
    <t>2024-ARDT-LV3-97</t>
  </si>
  <si>
    <t>8.375"GT65DH1245357M</t>
  </si>
  <si>
    <t>2024-ARDT-LV3-98</t>
  </si>
  <si>
    <t>2024-WFD-1010</t>
  </si>
  <si>
    <t>13824396R8</t>
  </si>
  <si>
    <t>2024-ARDT-LV3-102</t>
  </si>
  <si>
    <t>2024-ARDT-LV3-103</t>
  </si>
  <si>
    <t>2024-ARDT-LV3-104</t>
  </si>
  <si>
    <t>2024-ARDT-LV4-95</t>
  </si>
  <si>
    <t>2024-ARDT-LV3-101 REWORK</t>
  </si>
  <si>
    <t>2024-ARDT-LV3-94</t>
  </si>
  <si>
    <t>2024-ARDT-LV4-96</t>
  </si>
  <si>
    <t>2024-ARDT-LV4-97</t>
  </si>
  <si>
    <t>2024-ARDT-LV4-98</t>
  </si>
  <si>
    <t>12.25"HD75WF1257458M2</t>
  </si>
  <si>
    <t>13791955R5</t>
  </si>
  <si>
    <t>13261218R11</t>
  </si>
  <si>
    <t>13593127R10</t>
  </si>
  <si>
    <t>6 1/8" GTD54HO 1174282</t>
  </si>
  <si>
    <t>2024-ARDT-LV3-94 (REWORK)</t>
  </si>
  <si>
    <t>2024-ARDT-LV4-99</t>
  </si>
  <si>
    <t>2024-WFD-1010 (Rework)</t>
  </si>
  <si>
    <t>Last update limit5/20/2024</t>
  </si>
  <si>
    <t>from PDC Reclaimed cutters received</t>
  </si>
  <si>
    <t>2024-ARDT-LV3-105</t>
  </si>
  <si>
    <t>2024-ARDT-LV3-106</t>
  </si>
  <si>
    <t>2024-ARDT-LV3-108</t>
  </si>
  <si>
    <t>2024-ARDT-LV4-100</t>
  </si>
  <si>
    <t>20241075 REWORK</t>
  </si>
  <si>
    <t>14023086R3</t>
  </si>
  <si>
    <t>14012911R2</t>
  </si>
  <si>
    <t>6.125 HD54 1251085M</t>
  </si>
  <si>
    <t>2024-ARDT-24</t>
  </si>
  <si>
    <t>2024-ARDT-LV4-101</t>
  </si>
  <si>
    <t>2024-ARDT-LV4-102</t>
  </si>
  <si>
    <t>2024-ARDT-LV3-109</t>
  </si>
  <si>
    <t>2024-ARDT-LV3-110</t>
  </si>
  <si>
    <t>2024-ARDT-LV3-113</t>
  </si>
  <si>
    <t>8.375"GT65DH1246020</t>
  </si>
  <si>
    <t>13641021R18</t>
  </si>
  <si>
    <t>Last update limit5/26/2024</t>
  </si>
  <si>
    <t>2024-ARDT-25</t>
  </si>
  <si>
    <t>17" SFD75DH 1283277</t>
  </si>
  <si>
    <t>2024-ARDT-LV3-107</t>
  </si>
  <si>
    <t>2024-ARDT-LV3-111</t>
  </si>
  <si>
    <t>2024-ARDT-LV4-104</t>
  </si>
  <si>
    <t>12.25"HD75WF1257458M1</t>
  </si>
  <si>
    <t>2024-ARDT-LV3-114</t>
  </si>
  <si>
    <t>13719642R11</t>
  </si>
  <si>
    <t>2024-ARDT-24 (Grounded as reclaimed)</t>
  </si>
  <si>
    <t>2024-ARDT-25 (Grounded as reclaimed)</t>
  </si>
  <si>
    <t>14023083R4</t>
  </si>
  <si>
    <t>13844441R7</t>
  </si>
  <si>
    <t>13273684R3</t>
  </si>
  <si>
    <t>6 1/8" GTi64H 1108037M</t>
  </si>
  <si>
    <t>13685874R1</t>
  </si>
  <si>
    <t>6 GTi64MS 1186627</t>
  </si>
  <si>
    <t xml:space="preserve">2024-ARDT-21 RETROFIT-33 PC </t>
  </si>
  <si>
    <t xml:space="preserve">2024-ARDT-24  RETROFIT-73 PC </t>
  </si>
  <si>
    <t xml:space="preserve">2024-ARDT-25  RETROFIT-72 PC </t>
  </si>
  <si>
    <t>13807928R5</t>
  </si>
  <si>
    <t>14023084R3</t>
  </si>
  <si>
    <t>13753969R6</t>
  </si>
  <si>
    <t>13261218R12</t>
  </si>
  <si>
    <t>2024-ARDT-26</t>
  </si>
  <si>
    <t>2024-ARDT-LV3-116</t>
  </si>
  <si>
    <t>2024-ARDT-LV3-99</t>
  </si>
  <si>
    <t>2024-ARDT-LV4-105</t>
  </si>
  <si>
    <t>2024-ARDT-WFD-1012</t>
  </si>
  <si>
    <t>13955536R6</t>
  </si>
  <si>
    <t>2024-ARDT-27</t>
  </si>
  <si>
    <t>2024-ARDT-LV3-100</t>
  </si>
  <si>
    <t>2024-ARDT-LV3-107 REWORK</t>
  </si>
  <si>
    <t>2024-ARDT-LV4-103</t>
  </si>
  <si>
    <t>16"HD75Fs1241180</t>
  </si>
  <si>
    <t>2024-ARDT-29</t>
  </si>
  <si>
    <t>16" HD75Fs 1241180M</t>
  </si>
  <si>
    <t>2024-ARDT-LV3-112</t>
  </si>
  <si>
    <t>8.375"GT75DH1083599</t>
  </si>
  <si>
    <t>2024-ARDT-LV3-115</t>
  </si>
  <si>
    <t>2024-ARDT-LV3-117</t>
  </si>
  <si>
    <t>2024-ARDT-LV4-106</t>
  </si>
  <si>
    <t>2024-ARDT-LV4-107</t>
  </si>
  <si>
    <t>2024-ARDT-LV4-108</t>
  </si>
  <si>
    <t>2024-ARDT-28</t>
  </si>
  <si>
    <t>2024-ARDT-LV3-118</t>
  </si>
  <si>
    <t>2024-ARDT-LV3-119</t>
  </si>
  <si>
    <t>2024-ARDT-LV4-109</t>
  </si>
  <si>
    <t>2024-ARDT-LV4-110</t>
  </si>
  <si>
    <t>2024-ARDT-LV4-112</t>
  </si>
  <si>
    <t>Last update limit  6/5/2024</t>
  </si>
  <si>
    <t>2024-ARDR-LV3-120</t>
  </si>
  <si>
    <t>2024-ARDR-LV3-123</t>
  </si>
  <si>
    <t>2024-ARDR-LV4-111</t>
  </si>
  <si>
    <t>2024-ARDR-LV4-113</t>
  </si>
  <si>
    <t>2024-ARDR-LV4-115</t>
  </si>
  <si>
    <t>2024-ARDR-LV3-124</t>
  </si>
  <si>
    <t>6.125"GTD54H1251085M1</t>
  </si>
  <si>
    <t>13482809R10</t>
  </si>
  <si>
    <t>6 1/8" GTi64H 1219697</t>
  </si>
  <si>
    <t>13593349R9</t>
  </si>
  <si>
    <t>2024-ARDT-30</t>
  </si>
  <si>
    <t>2024-ARDT-LV4-114</t>
  </si>
  <si>
    <t>2024-ARDT-LV3-121</t>
  </si>
  <si>
    <t>6.125"GTD54H1145824</t>
  </si>
  <si>
    <t>2024-ARDT-LV3-122</t>
  </si>
  <si>
    <t>2024-ARDT-LV4-116</t>
  </si>
  <si>
    <t>2024-ARDT-LV4-117</t>
  </si>
  <si>
    <t>2024-ARDT-LV4-118</t>
  </si>
  <si>
    <t>2024-ARDT-LV4-119</t>
  </si>
  <si>
    <t>2024-ARDT-031</t>
  </si>
  <si>
    <t>2024-ARDT-032</t>
  </si>
  <si>
    <t>2024-ARDT-LV4-120</t>
  </si>
  <si>
    <t>2024-ARDT-LV4-121</t>
  </si>
  <si>
    <t>2024-ARDT-LV4-122</t>
  </si>
  <si>
    <t>2024-ARDT-LV3-125</t>
  </si>
  <si>
    <t>8.375"GT65DH1246020M</t>
  </si>
  <si>
    <t>2024-ARDT-LV4-123</t>
  </si>
  <si>
    <t>2024-ARDT-LV4-124</t>
  </si>
  <si>
    <t>2024-ARDT-LV4-125</t>
  </si>
  <si>
    <t>13791953R6</t>
  </si>
  <si>
    <t>5 3/4" GT53s 1224750M</t>
  </si>
  <si>
    <t>13791953R7</t>
  </si>
  <si>
    <t>6 3/4" GT53s 1224750M</t>
  </si>
  <si>
    <t>2024-ARDT-LV3-126</t>
  </si>
  <si>
    <t>2024-ARDT-LV3-126(RETRO/ ENO)-3 PC</t>
  </si>
  <si>
    <t>2024-ARDT-LV4-126</t>
  </si>
  <si>
    <t>2024-ARDT-LV4-127</t>
  </si>
  <si>
    <t>8.375"GT65DHF1239176M</t>
  </si>
  <si>
    <t>Mixed Cutter 1146737( removed)</t>
  </si>
  <si>
    <t>2024-ARDT-LV4-128</t>
  </si>
  <si>
    <t>8.5"GT65RHS1276939</t>
  </si>
  <si>
    <t>2024-ARDT-LV4-129</t>
  </si>
  <si>
    <t>2024-ARDT-LV4-130</t>
  </si>
  <si>
    <t>8.375"EM65D1283630</t>
  </si>
  <si>
    <t>2024-ARDT-LV4-131</t>
  </si>
  <si>
    <t>2024-ARDT-LV4-132</t>
  </si>
  <si>
    <t>13754557R15</t>
  </si>
  <si>
    <t>13791953R4</t>
  </si>
  <si>
    <t>2024-ARDT-LV4-133</t>
  </si>
  <si>
    <t>13955538R8</t>
  </si>
  <si>
    <t>2024-ARDT-LV3-127</t>
  </si>
  <si>
    <t>2024-ARDT-LV3-128</t>
  </si>
  <si>
    <t>2024-ARDT-LV4-134</t>
  </si>
  <si>
    <t>16"MMD85DHF1239257M</t>
  </si>
  <si>
    <t>2024-ARDT-LV4-135</t>
  </si>
  <si>
    <t>8.5"GT65RHS1276939M</t>
  </si>
  <si>
    <t>2024-ARDT-LV4-136</t>
  </si>
  <si>
    <t>2024-WFD-1013</t>
  </si>
  <si>
    <t>13824396R9</t>
  </si>
  <si>
    <t>2024-ARDT-31 RETROFIT-92 PC</t>
  </si>
  <si>
    <t>Collected by Store</t>
  </si>
  <si>
    <t>2024-ARDT-30 RETROFIT-92 PC</t>
  </si>
  <si>
    <t>2024-ARDT-28 RETROFIT-92 PC</t>
  </si>
  <si>
    <t>2024-ARDT-26 RETROFIT-92 PC</t>
  </si>
  <si>
    <t>2024-ARDT-27 RETROFIT-73 PC</t>
  </si>
  <si>
    <t>2024-ARDT-32 RETROFIT-71 PC</t>
  </si>
  <si>
    <t>2024-ARDT-32 GROUNDED AS RECLAIMED</t>
  </si>
  <si>
    <t>2024-ARDT-27 GROUNDED AS RECLAIMED</t>
  </si>
  <si>
    <t>Last update limit  6/27/2024</t>
  </si>
  <si>
    <t>2024-ARDT-LV3-128 (REWORK)</t>
  </si>
  <si>
    <t>2024-ARDT-LV3-129</t>
  </si>
  <si>
    <t>2024-ARDT-LV3-130</t>
  </si>
  <si>
    <t>2024-ARDT-LV4-137</t>
  </si>
  <si>
    <t>2024-ARDT-LV4-138</t>
  </si>
  <si>
    <t>2024-ARDT-LV4-139</t>
  </si>
  <si>
    <t>2024-ARDT-LV4-140</t>
  </si>
  <si>
    <t>13807907R2</t>
  </si>
  <si>
    <t>13186635R14</t>
  </si>
  <si>
    <t>6 1/8" GTi64H 1032847M</t>
  </si>
  <si>
    <t>2024-WFD-1014</t>
  </si>
  <si>
    <t>13955536R7</t>
  </si>
  <si>
    <t>2024-ARDT-LV4-142</t>
  </si>
  <si>
    <t>2024-ARDT-LV3-131</t>
  </si>
  <si>
    <t>2024-ARDT-LV3-132</t>
  </si>
  <si>
    <t>2024-ARDT-LV3-138</t>
  </si>
  <si>
    <t>6.125"GTD54H1251085</t>
  </si>
  <si>
    <t>2024-ARDT-LV3-138 (Retrofit) 16 pc from ENO</t>
  </si>
  <si>
    <t xml:space="preserve"> 16 pc issued from ENO</t>
  </si>
  <si>
    <t>2024-ARDT-LV4-141</t>
  </si>
  <si>
    <t>2024-ARDT-LV4-141(rework)</t>
  </si>
  <si>
    <t>12756174R14</t>
  </si>
  <si>
    <t>6 1/8'' MMD54H 952636</t>
  </si>
  <si>
    <t>14012911R3</t>
  </si>
  <si>
    <t>13719620R4</t>
  </si>
  <si>
    <t>6 1/8" GTD64HF 1219697</t>
  </si>
  <si>
    <t>20241100 REWORK</t>
  </si>
  <si>
    <t>6.125 HD54-2 1251085M1</t>
  </si>
  <si>
    <t>13670100R8</t>
  </si>
  <si>
    <t>2024-ARDT-LV3-137 (Retrofit) 14 pc from ENO</t>
  </si>
  <si>
    <t>14 pc from ENO</t>
  </si>
  <si>
    <t>2024-ARDT-LV3-137</t>
  </si>
  <si>
    <t>2024-ARDT-LV3-134</t>
  </si>
  <si>
    <t>3.75"GT53S1224750</t>
  </si>
  <si>
    <t>2024-ARDT-LV3-135</t>
  </si>
  <si>
    <t>2024-ARDT-LV3-136</t>
  </si>
  <si>
    <t>2024-ARDT-LV3-139</t>
  </si>
  <si>
    <t>2024-ARDT-LV4-143</t>
  </si>
  <si>
    <t>2024-ARDT-LV3-140</t>
  </si>
  <si>
    <t>2024-ARDT-LV4-145</t>
  </si>
  <si>
    <t>12"GTD55WKH1290130M</t>
  </si>
  <si>
    <t>2024-ARDT-LV4-144</t>
  </si>
  <si>
    <t>20241107 (rework)</t>
  </si>
  <si>
    <t>20241107 (Rework)</t>
  </si>
  <si>
    <t>14012922R6</t>
  </si>
  <si>
    <t>13754557R16</t>
  </si>
  <si>
    <t>13824397R3</t>
  </si>
  <si>
    <t>2024-1004-HDBSC</t>
  </si>
  <si>
    <t>6 1/8" X 2 5/8" FC3845 865213</t>
  </si>
  <si>
    <t>2024-ARDT-LV3-133</t>
  </si>
  <si>
    <t>2024-ARDT-LV3-141</t>
  </si>
  <si>
    <t>2024-ARDT-LV4-146</t>
  </si>
  <si>
    <t>Round 1613 CT418  0.018" (S)</t>
  </si>
  <si>
    <t>2024-ARDT-LV4-147</t>
  </si>
  <si>
    <t>2024-ARDT-LV3-142</t>
  </si>
  <si>
    <t>13791954R8</t>
  </si>
  <si>
    <t>Last update limit  7/15/2024</t>
  </si>
  <si>
    <t>13791953R5</t>
  </si>
  <si>
    <t>13791955R6</t>
  </si>
  <si>
    <t>14198197R1</t>
  </si>
  <si>
    <t>20241116 (REWORK)</t>
  </si>
  <si>
    <t>13838421R4</t>
  </si>
  <si>
    <t>2024-WFD-1015</t>
  </si>
  <si>
    <t>13970758R7</t>
  </si>
  <si>
    <t>2024-ARDT-LV3-144</t>
  </si>
  <si>
    <t>2024-ARDT-LV3-146</t>
  </si>
  <si>
    <t>12" HD86D 1251627</t>
  </si>
  <si>
    <t>2024-ARDT-LV4-150</t>
  </si>
  <si>
    <t>8.5" GT65RHS 1267829</t>
  </si>
  <si>
    <t>2024-ARDT-LV4-151</t>
  </si>
  <si>
    <t>12.25" HD65Os 1270865M</t>
  </si>
  <si>
    <t>2024-ARDT-LV3-145</t>
  </si>
  <si>
    <t>12" GTD86DH 1249569</t>
  </si>
  <si>
    <t>2024-ARDT-LV3-147</t>
  </si>
  <si>
    <t>2024-ARDT-LV3-143</t>
  </si>
  <si>
    <t>16" SFD75DH 1272498</t>
  </si>
  <si>
    <t>2024-ARDT-LV4-148</t>
  </si>
  <si>
    <t>2024-ARDT-LV4-149</t>
  </si>
  <si>
    <t>2024-ARDT-LV4-152</t>
  </si>
  <si>
    <t>16" MMD85DH F1239258M</t>
  </si>
  <si>
    <t>2024-ARDT-LV4-153</t>
  </si>
  <si>
    <t>12.25" HD75WF 1257458</t>
  </si>
  <si>
    <t>2024-ARDT-LV4-155</t>
  </si>
  <si>
    <t>8.5" GT65RHS 1276939</t>
  </si>
  <si>
    <t>Last update limit  7/25/2024</t>
  </si>
  <si>
    <t>2024-ARDT-LV3-148</t>
  </si>
  <si>
    <t>2024-ARDT-LV3-149</t>
  </si>
  <si>
    <t>2024-ARDT-LV3-150</t>
  </si>
  <si>
    <t>Round 1005 CT200  0.018" (B)</t>
  </si>
  <si>
    <t>Round 1010 CT200  0.018" (B)</t>
  </si>
  <si>
    <t>MED Bullet 10.5 CT217 MBL 0.018" (B)</t>
  </si>
  <si>
    <t>13641021R19</t>
  </si>
  <si>
    <t>13593127R11</t>
  </si>
  <si>
    <t>20241122 (REWORK)</t>
  </si>
  <si>
    <t>14178454R1</t>
  </si>
  <si>
    <t>2024-ARDT-034</t>
  </si>
  <si>
    <t>2024-ARDT-LV3-151</t>
  </si>
  <si>
    <t>2024-ARDT-LV3-152</t>
  </si>
  <si>
    <t>2024-ARDT-LV3-153</t>
  </si>
  <si>
    <t>8.375" GT65DH 1246020M</t>
  </si>
  <si>
    <t>2024-ARDT-LV4-154</t>
  </si>
  <si>
    <t>8.5" GT65RHs 1276939</t>
  </si>
  <si>
    <t>2024-ARDT-LV4-156</t>
  </si>
  <si>
    <t>2024-ARDT-LV4-157</t>
  </si>
  <si>
    <t>2024-ARDT-LV4-158</t>
  </si>
  <si>
    <t>2024-ARDT-LV4-159</t>
  </si>
  <si>
    <t>12.25" HF75WF 1257458M</t>
  </si>
  <si>
    <t>2024-ARDT-LV4-160</t>
  </si>
  <si>
    <t>8.375" EM75D 1283482</t>
  </si>
  <si>
    <t>13824397R4</t>
  </si>
  <si>
    <t>13807907R4</t>
  </si>
  <si>
    <t>2024-ARDT-LV3-154</t>
  </si>
  <si>
    <t>2024-ARDT-LV3-155</t>
  </si>
  <si>
    <t>12" GT86DH1249569</t>
  </si>
  <si>
    <t>2024-ARDT-LV3-156</t>
  </si>
  <si>
    <t>2024-ARDT-LV4-161</t>
  </si>
  <si>
    <t>2024-1006-HDBSC</t>
  </si>
  <si>
    <t>6 1/8" X 2 5/8"" FC3846 665777</t>
  </si>
  <si>
    <t>2024-1006-HDBSC (ENO)</t>
  </si>
  <si>
    <t>14 PC FROM ENO</t>
  </si>
  <si>
    <t>16 PC FROM ENO</t>
  </si>
  <si>
    <t>2024-ARDT-LV3-157</t>
  </si>
  <si>
    <t>5.25" GT64DH990050</t>
  </si>
  <si>
    <t>2024-ARDT-LV3-158</t>
  </si>
  <si>
    <t>2024-ARDT-35</t>
  </si>
  <si>
    <t>2024-ARDT-LV3-156 (REWORK)</t>
  </si>
  <si>
    <t>2024-ARDT-LV4-162</t>
  </si>
  <si>
    <t>2024-ARDT-LV4-164</t>
  </si>
  <si>
    <t>2024-ARDT-LV3-159</t>
  </si>
  <si>
    <t>2024-ARDT-LV3-160</t>
  </si>
  <si>
    <t>2024-ARDT-LV3-161</t>
  </si>
  <si>
    <t>2024-ARDT-LV4-163</t>
  </si>
  <si>
    <t>2024-ARDT-LV3-162</t>
  </si>
  <si>
    <t>8.375" GT65DH 1246680M</t>
  </si>
  <si>
    <t>2024-ARDT-LV3-163</t>
  </si>
  <si>
    <t>14198197R2</t>
  </si>
  <si>
    <t>13273681R11</t>
  </si>
  <si>
    <t>2024-ARDT-LV3-164</t>
  </si>
  <si>
    <t>2024-ARDT-LV3-165</t>
  </si>
  <si>
    <t>8.375" GT65DH 1246020</t>
  </si>
  <si>
    <t>2024-ARDT-LV4-161 (REWORK)</t>
  </si>
  <si>
    <t>2024-ARDT-LV3-166</t>
  </si>
  <si>
    <t>16" MM85DH 1058252</t>
  </si>
  <si>
    <t>2024-ARDT-LV3-168</t>
  </si>
  <si>
    <t>6.125" GTD54H1145824</t>
  </si>
  <si>
    <t>2024-ARDT-LV3-168 ( NEW -1, RETRO-15)</t>
  </si>
  <si>
    <t>2024-ARDT-LV3-167</t>
  </si>
  <si>
    <t>16" MM85DH 1058252M</t>
  </si>
  <si>
    <t>2024-ARDT-LV4-165</t>
  </si>
  <si>
    <t>Last update limit  8/18/2024</t>
  </si>
  <si>
    <t>2024-ARDT-LV3-170</t>
  </si>
  <si>
    <t>2024-ARDT-LV4-166</t>
  </si>
  <si>
    <t>8.375" GT65DHF 1239176M</t>
  </si>
  <si>
    <t>2024-ARDT-LV4-168</t>
  </si>
  <si>
    <t>2024-ARDT-LV4-167</t>
  </si>
  <si>
    <t>2024-ARDT-LV4-169</t>
  </si>
  <si>
    <t>Last update limit  8/19/2024</t>
  </si>
  <si>
    <t>2024-1007-HDBSC</t>
  </si>
  <si>
    <t>8 ½" x 3 ¼"" FC3837A 1175992</t>
  </si>
  <si>
    <t>2024-1008-HDBSC</t>
  </si>
  <si>
    <t>2024-ARDT-LV4-170</t>
  </si>
  <si>
    <t>13508790R10</t>
  </si>
  <si>
    <t>13955538R9</t>
  </si>
  <si>
    <t>13719642R13</t>
  </si>
  <si>
    <t>2024-ARDT-LV4-171</t>
  </si>
  <si>
    <t>2024-ARDT-LV3-171</t>
  </si>
  <si>
    <t>2024-ARDT-LV3-174</t>
  </si>
  <si>
    <t>2024-ARDT-LV4-162 (REWORK)</t>
  </si>
  <si>
    <t>2024-ARDT-LV4-172</t>
  </si>
  <si>
    <t>2024-ARDT-LV4-173</t>
  </si>
  <si>
    <r>
      <t>2024-ARDT-34 RETROFIT-</t>
    </r>
    <r>
      <rPr>
        <sz val="12"/>
        <color rgb="FFFFFF00"/>
        <rFont val="Times New Roman"/>
        <family val="1"/>
      </rPr>
      <t>17</t>
    </r>
    <r>
      <rPr>
        <sz val="12"/>
        <color indexed="8"/>
        <rFont val="Times New Roman"/>
        <family val="1"/>
      </rPr>
      <t xml:space="preserve"> PC</t>
    </r>
  </si>
  <si>
    <t>17 ENO Good PC returned to store</t>
  </si>
  <si>
    <t>2024-ARDT-34 RETROFIT-7 PC(grounded As reclaim)</t>
  </si>
  <si>
    <t>2024-ARDT-34 RETROFIT-18 PC</t>
  </si>
  <si>
    <t>18 ENO Good PC returned to store</t>
  </si>
  <si>
    <t>2024-ARDT-34 RETROFIT-10 PC</t>
  </si>
  <si>
    <t>10 ENO Good PC returned to store</t>
  </si>
  <si>
    <t>From 20241098</t>
  </si>
  <si>
    <t>14023086R4</t>
  </si>
  <si>
    <t>13955537R13</t>
  </si>
  <si>
    <t>6.125 HD54-3 1251085M</t>
  </si>
  <si>
    <t>2024-WFD-1018</t>
  </si>
  <si>
    <t>13824396R10</t>
  </si>
  <si>
    <t>2024-ARDT-LV4-174</t>
  </si>
  <si>
    <t>2024-ARDT-LV4-175</t>
  </si>
  <si>
    <t>2024-ARDT-LV4-176</t>
  </si>
  <si>
    <t>16" HD75DOs 1254482</t>
  </si>
  <si>
    <t>2024-ARDT-LV4-176( RETROFIT -5PC)</t>
  </si>
  <si>
    <t>5 Pc ENO Good Consumed</t>
  </si>
  <si>
    <t>2024-ARDT-LV3-175</t>
  </si>
  <si>
    <t>16" MMD85D 1268728</t>
  </si>
  <si>
    <t>2024-ARDT-LV3-172</t>
  </si>
  <si>
    <t>2024-ARDT-LV3-172 (ENO/RETRO) 33PC</t>
  </si>
  <si>
    <t>33 Pc ENO Good Consumed</t>
  </si>
  <si>
    <t>2024-ARDT-LV3-173</t>
  </si>
  <si>
    <t>2024-ARDT-LV3-173 (ENO/RETRO) 33PC</t>
  </si>
  <si>
    <t>20241137 REWORK</t>
  </si>
  <si>
    <t>2024-WFD-1018 REWORK</t>
  </si>
  <si>
    <t>Last update limit  9/1/2024</t>
  </si>
  <si>
    <t>2024-ARDT-38</t>
  </si>
  <si>
    <t>138 ENO Good PC returned to store</t>
  </si>
  <si>
    <t>11 PC ENO Ground returned to store</t>
  </si>
  <si>
    <t>9 PC ENO Good returned to store</t>
  </si>
  <si>
    <t>2024-ARDT-39</t>
  </si>
  <si>
    <t>146 ENO Good PC returned to store</t>
  </si>
  <si>
    <t>2024-ARDT-40</t>
  </si>
  <si>
    <t>141 ENO Good PC returned to store</t>
  </si>
  <si>
    <t>6 PC ENO Ground returned to store</t>
  </si>
  <si>
    <t>20241131 REWORK</t>
  </si>
  <si>
    <t>14012911R5</t>
  </si>
  <si>
    <t>2024-ARDT-LV3-176</t>
  </si>
  <si>
    <t>13482810R4</t>
  </si>
  <si>
    <t>13261222R6</t>
  </si>
  <si>
    <t>13791955R7</t>
  </si>
  <si>
    <t>6 MM64 1281596</t>
  </si>
  <si>
    <t>13754557R17</t>
  </si>
  <si>
    <t>2024-ARDT-LV3-177</t>
  </si>
  <si>
    <t>6 1/8''" GTD54H 1137349</t>
  </si>
  <si>
    <t>2024-ARDT-LV3-177 (RETRO)</t>
  </si>
  <si>
    <t>7 Pc ENO Good Consumed</t>
  </si>
  <si>
    <t>16 Pc ENO Good Consumed</t>
  </si>
  <si>
    <t>14190156R1</t>
  </si>
  <si>
    <t>14198195R1</t>
  </si>
  <si>
    <t>2024-ARDT-LV3-180</t>
  </si>
  <si>
    <t>13955538R10</t>
  </si>
  <si>
    <t>2024-UR-1001</t>
  </si>
  <si>
    <t>8 1/2" GT65RHs 1267829</t>
  </si>
  <si>
    <t>2024-ARDT-LV3-183</t>
  </si>
  <si>
    <t>2024-ARDT-LV3-183 (ENO) (ENO/RETRO) 33PC</t>
  </si>
  <si>
    <t>2024-ARDT-LV3-184</t>
  </si>
  <si>
    <t>2024-ARDT-LV3-184 (ENO)(ENO/RETRO) 33PC</t>
  </si>
  <si>
    <t>14012922R7</t>
  </si>
  <si>
    <t>14012911R6</t>
  </si>
  <si>
    <t>2024-1009-REG</t>
  </si>
  <si>
    <t>8 1/2"X 4"FC39431032659</t>
  </si>
  <si>
    <t>2024-ARDT-LV3-169</t>
  </si>
  <si>
    <t>8.375" GT55WUH 1134878</t>
  </si>
  <si>
    <t>2024-ARDT-LV3-169 ENO 27 pc</t>
  </si>
  <si>
    <t>27 Pc ENO Good Consumed</t>
  </si>
  <si>
    <t>2024-ARDT-LV3-180 (REWORK)</t>
  </si>
  <si>
    <t>2024-WFD-1019</t>
  </si>
  <si>
    <t>2024-WFD-1020</t>
  </si>
  <si>
    <t>3.875 SF53 1252419</t>
  </si>
  <si>
    <t>2024-WFD-1021</t>
  </si>
  <si>
    <t>13824396R11</t>
  </si>
  <si>
    <t>13754557R18</t>
  </si>
  <si>
    <t>13261218R16</t>
  </si>
  <si>
    <t>14190156R2</t>
  </si>
  <si>
    <t>14198197R3</t>
  </si>
  <si>
    <t>13955538R11</t>
  </si>
  <si>
    <t>Last update limit  9/29/2024</t>
  </si>
  <si>
    <t>20241161 RETROFIT 4PC</t>
  </si>
  <si>
    <t>14178454R2</t>
  </si>
  <si>
    <t>4 Pc ENO Good Consumed</t>
  </si>
  <si>
    <t>2024-ARDT-LV3-181</t>
  </si>
  <si>
    <t>2024-ARDT-LV3-185</t>
  </si>
  <si>
    <t>2024-ARDT-LV3-186</t>
  </si>
  <si>
    <t>2024-ARDT-LV3-187</t>
  </si>
  <si>
    <t>2024-ARDT-LV3-188</t>
  </si>
  <si>
    <t>2024-ARDT-LV3-188 RETROFIT 9PC</t>
  </si>
  <si>
    <t>9 Pc ENO Good Consumed</t>
  </si>
  <si>
    <t>2024-ARDT-LV4-177</t>
  </si>
  <si>
    <t>13685059R9</t>
  </si>
  <si>
    <t>2024-ARDT-LV4-178</t>
  </si>
  <si>
    <t>6.125" GT64HKO 1160951</t>
  </si>
  <si>
    <t>2024-ARDT-LV4-179</t>
  </si>
  <si>
    <t>2024-ARDT-LV4-180</t>
  </si>
  <si>
    <t>2024-ARDT-LV4-181</t>
  </si>
  <si>
    <t>2024-UR-1003</t>
  </si>
  <si>
    <t>8 1/2" GT65RHs-1 1276939</t>
  </si>
  <si>
    <t>2024-ARDT-LV4-182</t>
  </si>
  <si>
    <t>2024-UR-1002</t>
  </si>
  <si>
    <t>2024-UR-1003 REWORK</t>
  </si>
  <si>
    <t>2024-UR-1004</t>
  </si>
  <si>
    <t>13844443R6</t>
  </si>
  <si>
    <t>6 1/8" HD54F 1258557</t>
  </si>
  <si>
    <t>14198195R2</t>
  </si>
  <si>
    <t>2024-UR-1005</t>
  </si>
  <si>
    <t>8 1/2'' HD65D 1254762</t>
  </si>
  <si>
    <t>2024-ARDT-041</t>
  </si>
  <si>
    <t>8.5" MMD65H-2 1135558M</t>
  </si>
  <si>
    <t>2024-ARDT-LV4-185</t>
  </si>
  <si>
    <t>14012922R8</t>
  </si>
  <si>
    <t>2024-ARDT-LV4-184</t>
  </si>
  <si>
    <t>2024-ARDT-LV4-184 RETRO</t>
  </si>
  <si>
    <t>13844444R3</t>
  </si>
  <si>
    <t>6.125 HD54F 1258557</t>
  </si>
  <si>
    <t>2024-ARDT-41 REWORK</t>
  </si>
  <si>
    <t>13838421R5</t>
  </si>
  <si>
    <t>Last update limit  10/16/2024</t>
  </si>
  <si>
    <t>removed from new and shifted 10 pc to ARDT GROUND</t>
  </si>
  <si>
    <t>14012911R7</t>
  </si>
  <si>
    <t>20241167 ENO</t>
  </si>
  <si>
    <t>2024-ARDT-LV3-182</t>
  </si>
  <si>
    <t>2024-ARDT-LV4-183</t>
  </si>
  <si>
    <t>2024-ARDT-LV4-186</t>
  </si>
  <si>
    <t>2024-AR-002</t>
  </si>
  <si>
    <t>12" GT86DH 1005462M</t>
  </si>
  <si>
    <t>2024-AR-002 (ENO)14 PC from ENO</t>
  </si>
  <si>
    <t>REMOVED 14 PC from ENO</t>
  </si>
  <si>
    <t>2024-AR-002 (ENO) 1 PC from ENO</t>
  </si>
  <si>
    <t>REMOVED 1 PC from ENO</t>
  </si>
  <si>
    <t>2024-AR-004</t>
  </si>
  <si>
    <t>12" GT86DH 1005462</t>
  </si>
  <si>
    <t>2024-AR-005</t>
  </si>
  <si>
    <t>16" MMD85DH-1 1058252</t>
  </si>
  <si>
    <t>2024-AR-005 (ENO) 5 PC from ENO</t>
  </si>
  <si>
    <t>REMOVED 5 PC from ENO</t>
  </si>
  <si>
    <t>2024-AR-011</t>
  </si>
  <si>
    <t>6-1/8" MMD54H 1137349M</t>
  </si>
  <si>
    <t xml:space="preserve">Grounded 6 pc shifted to ENO ground </t>
  </si>
  <si>
    <t>Received  24 pc Cutters from ARDT- 041</t>
  </si>
  <si>
    <t>24 Added in ARDT Good Cutters</t>
  </si>
  <si>
    <t>Received  6 pc Cutters from ARDT- 041</t>
  </si>
  <si>
    <t>6 pc Added in ARDT Good Cutters</t>
  </si>
  <si>
    <t>From 20241127</t>
  </si>
  <si>
    <t>13186635R15</t>
  </si>
  <si>
    <t>From 20241149</t>
  </si>
  <si>
    <t>13719642R14</t>
  </si>
  <si>
    <t>From 20241119</t>
  </si>
  <si>
    <t>20241168</t>
  </si>
  <si>
    <t>14190156R3</t>
  </si>
  <si>
    <t>2024-AR-007</t>
  </si>
  <si>
    <t>8-3/8" MM65DH 1176919</t>
  </si>
  <si>
    <t xml:space="preserve">2024-AR-007 ENO </t>
  </si>
  <si>
    <t>REMOVED 2 PC from ENO</t>
  </si>
  <si>
    <t>2024-AR-009</t>
  </si>
  <si>
    <t>2024-AR-009 ENO</t>
  </si>
  <si>
    <t>REMOVED 10 PC from ENO</t>
  </si>
  <si>
    <t>2024-AR-010</t>
  </si>
  <si>
    <t>8-3/8" MM65DH 882281</t>
  </si>
  <si>
    <t>2024-AR-010 ENO</t>
  </si>
  <si>
    <t>REMOVED 4 PC from ENO</t>
  </si>
  <si>
    <t>2024-AR-013</t>
  </si>
  <si>
    <t>6-1/8" MMD54H 1137349</t>
  </si>
  <si>
    <t>2024-AR-014</t>
  </si>
  <si>
    <t>2024-AR-015</t>
  </si>
  <si>
    <t>6-1/8" MMD54H 1061431</t>
  </si>
  <si>
    <t>2024-1010-REG</t>
  </si>
  <si>
    <t>16''HDi75DMKFs1292364</t>
  </si>
  <si>
    <t>2024-AR-007 REWORK( ENO)</t>
  </si>
  <si>
    <t>REMOVED 3 PC from ENO</t>
  </si>
  <si>
    <t>2024-ARDT-LV4-189</t>
  </si>
  <si>
    <t>2024-UR-1008</t>
  </si>
  <si>
    <t>8 1/2'' GT65RHs-1 1276939</t>
  </si>
  <si>
    <t>14198197R4</t>
  </si>
  <si>
    <t>2024-AR-002 REWORK</t>
  </si>
  <si>
    <t>2024-ARDT-LV3-190</t>
  </si>
  <si>
    <t>2024-ARDT-LV4-188</t>
  </si>
  <si>
    <t>8 1/2	" GT65RHS 1276939</t>
  </si>
  <si>
    <t>2024-ARDT-LV4-187</t>
  </si>
  <si>
    <t>2024-UR-1009</t>
  </si>
  <si>
    <t>14199925R1</t>
  </si>
  <si>
    <t xml:space="preserve">FROM ARDT-043 13 PC RECEIVED </t>
  </si>
  <si>
    <t>6.125" GT64KHO 1208059</t>
  </si>
  <si>
    <t xml:space="preserve">ARDT-043 13 PC RECEIVED </t>
  </si>
  <si>
    <t xml:space="preserve">FROM ARDT-043 7 PC RECEIVED </t>
  </si>
  <si>
    <t xml:space="preserve">FROM ARDT-043 5 PC RECEIVED </t>
  </si>
  <si>
    <t xml:space="preserve">FROM ARDT-043 1 PC RECEIVED </t>
  </si>
  <si>
    <t>FROM ARDT-043 RECLIMED</t>
  </si>
  <si>
    <t>2024-ARDT-LV4-190</t>
  </si>
  <si>
    <t>2024-ARDT-LV4-190 RETROFIT 13 PC FROM ARDT</t>
  </si>
  <si>
    <t>ISSUED ETROFIT 13 PC FROM ARDT</t>
  </si>
  <si>
    <t>Last update limit  10/28/2024</t>
  </si>
  <si>
    <t>2024-1144</t>
  </si>
  <si>
    <t>13719620R5</t>
  </si>
  <si>
    <t>13844444R4</t>
  </si>
  <si>
    <t>8.5 HD65O 1255267M</t>
  </si>
  <si>
    <t>2024-AR-013 REWORK</t>
  </si>
  <si>
    <t>2024-AR-014 REWORK</t>
  </si>
  <si>
    <t>2024-UR-1010</t>
  </si>
  <si>
    <t>8 1/2'' GT65RHs 1276939</t>
  </si>
  <si>
    <t>20241177 ENO</t>
  </si>
  <si>
    <t>14198196R1</t>
  </si>
  <si>
    <t>ISSUED RETROFIT 1 PC</t>
  </si>
  <si>
    <t>2024-ARDT-LV4-192</t>
  </si>
  <si>
    <t>8.5" HD65O 1255267M</t>
  </si>
  <si>
    <t>20241174 Eno 5</t>
  </si>
  <si>
    <t>13844443R7</t>
  </si>
  <si>
    <t>ISSUED ENO 5PC</t>
  </si>
  <si>
    <t>20241174 eno1</t>
  </si>
  <si>
    <t>issued ENO 1 PC</t>
  </si>
  <si>
    <t>20241175 Eno 1</t>
  </si>
  <si>
    <t>14198195R3</t>
  </si>
  <si>
    <t>ISSUED 1 PC ENO</t>
  </si>
  <si>
    <t>13791955R8</t>
  </si>
  <si>
    <t>2024-ARDT-044</t>
  </si>
  <si>
    <t>16" MM85DH 1033011M</t>
  </si>
  <si>
    <t>202410011-HDBSC</t>
  </si>
  <si>
    <t>13730513R1</t>
  </si>
  <si>
    <t>5 7/8" X 2 5/8"" FC3845 1214097</t>
  </si>
  <si>
    <t>202410010-HDBSC</t>
  </si>
  <si>
    <t>2024-ARDT-45</t>
  </si>
  <si>
    <t>16" GT75DH 1083976M</t>
  </si>
  <si>
    <t>2024-ARDT-LV3-191</t>
  </si>
  <si>
    <t>8.375" MM65DH 1246680M</t>
  </si>
  <si>
    <t>14178454R3</t>
  </si>
  <si>
    <t>2024-ARDT-LV3-192</t>
  </si>
  <si>
    <t>2024-ARDT-LV3-193</t>
  </si>
  <si>
    <t>2024-UR-1014</t>
  </si>
  <si>
    <t>2024-UR-1013</t>
  </si>
  <si>
    <t>8.5 GT65RHs-1 1276939</t>
  </si>
  <si>
    <t>2024-LV3-191 REWORK</t>
  </si>
  <si>
    <t>2024-ARDT-046</t>
  </si>
  <si>
    <t>2024-ARDT-LV4-194</t>
  </si>
  <si>
    <t>2024-ARDT-LV4-196</t>
  </si>
  <si>
    <t>2024-ARDT-LV4-195</t>
  </si>
  <si>
    <t>5 7/8	" EM65D 1235768</t>
  </si>
  <si>
    <t>2024-ARDT-LV3-196</t>
  </si>
  <si>
    <t>2024-UR-1015</t>
  </si>
  <si>
    <t>14211929R1</t>
  </si>
  <si>
    <t>14198197R5</t>
  </si>
  <si>
    <t>20241180 RETROFIT ISSUED</t>
  </si>
  <si>
    <t>2 PC  ISSUED FROM ENO GOOD</t>
  </si>
  <si>
    <t>2024-AR-017</t>
  </si>
  <si>
    <t>13149235R</t>
  </si>
  <si>
    <t>8-3/8" GT65DH-1 1083564M</t>
  </si>
  <si>
    <t xml:space="preserve">2024-AR-017 </t>
  </si>
  <si>
    <t>2024-AR-017 FROM ENO GUD</t>
  </si>
  <si>
    <t>ISSUED 6PC FROM ENO GUD</t>
  </si>
  <si>
    <t>2024-AR-020</t>
  </si>
  <si>
    <t>12887962R</t>
  </si>
  <si>
    <t>2024-AR-020 FROM ENO GUD</t>
  </si>
  <si>
    <t>ISSUED 20 OPC FROM ENO GUD</t>
  </si>
  <si>
    <t>2024-UR-1015 REWORK</t>
  </si>
  <si>
    <t>2024-ARDT-LV4-197</t>
  </si>
  <si>
    <t>2024-AR-018 RETFOFIT</t>
  </si>
  <si>
    <t>8-3/8" GT65DH-1 1092981M</t>
  </si>
  <si>
    <t>ISSUED 3 PC FROM ENO</t>
  </si>
  <si>
    <t>2024-AR-018</t>
  </si>
  <si>
    <t>2024-AR-019</t>
  </si>
  <si>
    <t>12887961R</t>
  </si>
  <si>
    <t>2024-AR-019 ENO</t>
  </si>
  <si>
    <t>ISSUED 19 PC FROM ENO</t>
  </si>
  <si>
    <t>2024-AR-027</t>
  </si>
  <si>
    <t>2024-AR-027 RETRO</t>
  </si>
  <si>
    <t>ISSUED 43 PC FROM ENO</t>
  </si>
  <si>
    <t>2024-AR-016</t>
  </si>
  <si>
    <t>13096213R</t>
  </si>
  <si>
    <t>2024-AR-016 RETRO</t>
  </si>
  <si>
    <t>ISSUED 10 PC FROM ENO</t>
  </si>
  <si>
    <t>2024-ARDT-LV4-193</t>
  </si>
  <si>
    <t>2024-ARDT-LV3-197</t>
  </si>
  <si>
    <t>3.625" MMD53DH 960723M</t>
  </si>
  <si>
    <t>1010 CT158 0.018"</t>
  </si>
  <si>
    <t>2024-UR-1011</t>
  </si>
  <si>
    <t>14190156R4</t>
  </si>
  <si>
    <t>20241183 RETROFIT</t>
  </si>
  <si>
    <t>ISSUED FROM ENO GUD 4 PC</t>
  </si>
  <si>
    <t>2024-WFD-1024</t>
  </si>
  <si>
    <t>13970758R9</t>
  </si>
  <si>
    <t>2024-WFD-1023</t>
  </si>
  <si>
    <t>3.875 SF53 1252149</t>
  </si>
  <si>
    <t>2024-ARDT-LV3-198</t>
  </si>
  <si>
    <t>2024-ARDT-LV3-199</t>
  </si>
  <si>
    <t>2024-AR-018 REWORK</t>
  </si>
  <si>
    <t>2024-AR-016 REWORK</t>
  </si>
  <si>
    <t>2024-WFD-1023 REWORK</t>
  </si>
  <si>
    <t>2024-UR-1016</t>
  </si>
  <si>
    <t>14247230R1</t>
  </si>
  <si>
    <t>13655227R8</t>
  </si>
  <si>
    <t>20241146 FRM ENO GUD</t>
  </si>
  <si>
    <t>1 PC ISSUED FROM ENO GUD</t>
  </si>
  <si>
    <t>20241184 FROM ENO</t>
  </si>
  <si>
    <t>13655228R6</t>
  </si>
  <si>
    <t>13 PC ISSUED FROM ENO GUD</t>
  </si>
  <si>
    <t>2024-WFD-1025</t>
  </si>
  <si>
    <t>13824396R12</t>
  </si>
  <si>
    <t>2024-ARDT-048</t>
  </si>
  <si>
    <t>12.25" GTi76H-1 1093745</t>
  </si>
  <si>
    <t>2024-ARDT-048 FROM ENO</t>
  </si>
  <si>
    <t>6 PC ISSUED FRM ENO GUD</t>
  </si>
  <si>
    <t>9 PC ISSUED FRM ENO</t>
  </si>
  <si>
    <t>2024-AR-016 REWORK ENO</t>
  </si>
  <si>
    <t xml:space="preserve">2024-AR-020 REWORK </t>
  </si>
  <si>
    <t>2024-ARDT-049</t>
  </si>
  <si>
    <t>5.875" GT64DH 1033497M</t>
  </si>
  <si>
    <t>2024-WFD-1026</t>
  </si>
  <si>
    <t>14012924R1</t>
  </si>
  <si>
    <t>2024-ARDT-LV4-200</t>
  </si>
  <si>
    <t>2024-ARDT-LV4-198</t>
  </si>
  <si>
    <t>2024-ARDT-LV4-199</t>
  </si>
  <si>
    <t>14012922R9</t>
  </si>
  <si>
    <t>13955537R16</t>
  </si>
  <si>
    <t>2024-ARDT-50</t>
  </si>
  <si>
    <t>2024-ARDT-LV3-202</t>
  </si>
  <si>
    <t>20241186 ENO</t>
  </si>
  <si>
    <t>13844444R5</t>
  </si>
  <si>
    <t>2 PC ISSUED FROM ENO</t>
  </si>
  <si>
    <t>2024-UR-1018</t>
  </si>
  <si>
    <t>14228471R1</t>
  </si>
  <si>
    <t>2024-UR-1017</t>
  </si>
  <si>
    <t>14247229R1</t>
  </si>
  <si>
    <t>2024-ARDT-LV3-206</t>
  </si>
  <si>
    <t>2024-ARDT-LV3-203</t>
  </si>
  <si>
    <t>8.375 GT65DH 1246680M</t>
  </si>
  <si>
    <t>2024-ARDT-LV3-200</t>
  </si>
  <si>
    <t>2024-ARDT-LV3-207</t>
  </si>
  <si>
    <t>13955538R12</t>
  </si>
  <si>
    <t>14178454R4</t>
  </si>
  <si>
    <t>6.125 HD54-2 1251085M</t>
  </si>
  <si>
    <t>20241185 ENO</t>
  </si>
  <si>
    <t>From 2024-ARDT-049 RETROFIT RECEIVED 18PC</t>
  </si>
  <si>
    <t>5.875 GT64DH 1033497M</t>
  </si>
  <si>
    <t>From 2024-ARDT-049 RETROFIT RECEIVED 5 PC</t>
  </si>
  <si>
    <t>From 2024-ARDT-049 retrofit Grounded-6</t>
  </si>
  <si>
    <t>From 2024-ARDT-049 RETROFIT RECEIVED 6 PC</t>
  </si>
  <si>
    <t>From 2024-ARDT-045  retrofit 74</t>
  </si>
  <si>
    <t>16 GT75DH 1083976M</t>
  </si>
  <si>
    <t>From 2024-ARDT-045 RETROFIT RECEIVED74 PC</t>
  </si>
  <si>
    <t>From 2024-ARDT-044  retrofit 104</t>
  </si>
  <si>
    <t>16 MM85DH 1033011M</t>
  </si>
  <si>
    <t>From 2024-ARDT-044 RETROFIT RECEIVED 104 PC</t>
  </si>
  <si>
    <t>From 2024-AR-027 Retrofit</t>
  </si>
  <si>
    <t>From 2024-AR-027-43 pc Retrofit</t>
  </si>
  <si>
    <t>From 2024-AR-027-2 pc Retrofit</t>
  </si>
  <si>
    <t>From 2024-AR-027-8  pc Retrofit</t>
  </si>
  <si>
    <t>From 2024-AR-011 Retrofit</t>
  </si>
  <si>
    <t xml:space="preserve">From 2024-AR-011 6 pc Retrofit </t>
  </si>
  <si>
    <t>From 2024-AR-013 Retrofit</t>
  </si>
  <si>
    <t>From 2024-AR-013-4 pc Retrofit</t>
  </si>
  <si>
    <t>From 2024-AR-014 Retrofit</t>
  </si>
  <si>
    <t>From 2024-AR-014-6 pc Retrofit</t>
  </si>
  <si>
    <t>2024-ARDT-LV3-201</t>
  </si>
  <si>
    <t>2024-ARDT-LV3-204</t>
  </si>
  <si>
    <t>2024-ARDT-LV3-201 crack removed</t>
  </si>
  <si>
    <t>2024-ARDT-LV3-208</t>
  </si>
  <si>
    <t>2024-UR-1019</t>
  </si>
  <si>
    <t>14228470R1</t>
  </si>
  <si>
    <t>20241189 RETROFIT</t>
  </si>
  <si>
    <t>13807907R5</t>
  </si>
  <si>
    <t>6 1/8" HD54F 1226841</t>
  </si>
  <si>
    <t>ISSUED 2 PC RETRO</t>
  </si>
  <si>
    <t>14012911R9</t>
  </si>
  <si>
    <t>20241190 RETROFIT</t>
  </si>
  <si>
    <t>ISSUED 4 PC RETRO</t>
  </si>
  <si>
    <t>14247176R1</t>
  </si>
  <si>
    <t>2024-ARDT-LV4-201</t>
  </si>
  <si>
    <t>20241201 RETROFIT</t>
  </si>
  <si>
    <t>6 1/8'' HD54 1251085</t>
  </si>
  <si>
    <t>ISSUED 5 PC RETRO</t>
  </si>
  <si>
    <t>Last update limit  12/8/2024</t>
  </si>
  <si>
    <t>14198196R2</t>
  </si>
  <si>
    <t>20241188 RETROFIT</t>
  </si>
  <si>
    <t>14198195R4</t>
  </si>
  <si>
    <t>20241191 RETROFIT</t>
  </si>
  <si>
    <t>2024-ARDT-LV3-205</t>
  </si>
  <si>
    <t>2024-WFD-1027</t>
  </si>
  <si>
    <t>14211927R2</t>
  </si>
  <si>
    <t>14190156R5</t>
  </si>
  <si>
    <t>20241202 RETROFIT</t>
  </si>
  <si>
    <t>ISSUED 1 PC RETROFIT</t>
  </si>
  <si>
    <t>2024-ARDT-LV4-191</t>
  </si>
  <si>
    <t>2024-UR-1020</t>
  </si>
  <si>
    <t>14137157R1</t>
  </si>
  <si>
    <t>2024-UR-1021</t>
  </si>
  <si>
    <t>2024-ARDT-LV3-194</t>
  </si>
  <si>
    <t>6.125" GTD54H 1251098</t>
  </si>
  <si>
    <t>2024-ARDT-LV3-195</t>
  </si>
  <si>
    <t>2024-ARDT-LV3-205 REWORK</t>
  </si>
  <si>
    <t>2024-ARDT-LV3-209</t>
  </si>
  <si>
    <t>20241184 RETROFIT</t>
  </si>
  <si>
    <t>ISSUED 3 PC RETROFIT</t>
  </si>
  <si>
    <t>2024-ARDT-LV3-210</t>
  </si>
  <si>
    <t>2024-ARDT-LV3-210 RETRO</t>
  </si>
  <si>
    <t>2024-ARDT-LV3-211</t>
  </si>
  <si>
    <t>8.375" GT65DH 1245357M</t>
  </si>
  <si>
    <t>2024-ARDT-LV3-212</t>
  </si>
  <si>
    <t>2024-ARDT-LV3-213</t>
  </si>
  <si>
    <t>2024-UR-1023</t>
  </si>
  <si>
    <t>14247230R2</t>
  </si>
  <si>
    <t>2024-UR-1024</t>
  </si>
  <si>
    <t>14228470R2</t>
  </si>
  <si>
    <t>20241153</t>
  </si>
  <si>
    <t>20241153 retrofit</t>
  </si>
  <si>
    <t>ISSUED 9 PC FRM RETROFIT</t>
  </si>
  <si>
    <t>20241205</t>
  </si>
  <si>
    <t>2024-ARDT-LV4-202</t>
  </si>
  <si>
    <t>8.5" GT65RHS 1276939M1</t>
  </si>
  <si>
    <t>2024-UR-1023 REWEORK</t>
  </si>
  <si>
    <t>2024-UR-1023 REWORK</t>
  </si>
  <si>
    <t>2024-UR-1024 REWORK</t>
  </si>
  <si>
    <t>2024-WFD-1029</t>
  </si>
  <si>
    <t>2024-WFD-1030</t>
  </si>
  <si>
    <t>2024-ARDT-LV4-203</t>
  </si>
  <si>
    <t>2024-ARDT-LV4-205</t>
  </si>
  <si>
    <t>2024-WFD-1028</t>
  </si>
  <si>
    <t>20241206</t>
  </si>
  <si>
    <t>2024-ARDT-LV4-204</t>
  </si>
  <si>
    <t>2024-ARDT-LV4-206</t>
  </si>
  <si>
    <t>8.5" HD65D 1254762</t>
  </si>
  <si>
    <t>2024-ARDT-LV4-207</t>
  </si>
  <si>
    <t>2024-ARDT-LV4-208</t>
  </si>
  <si>
    <t>13807907R6</t>
  </si>
  <si>
    <t>2024-ARDT-LV3-210 RETROFIT REWORK</t>
  </si>
  <si>
    <t>2024-ARDT-LV3-214</t>
  </si>
  <si>
    <t>2024-ARDT-LV3-215</t>
  </si>
  <si>
    <t>2024-ARDT-LV3-216</t>
  </si>
  <si>
    <t>2024-UR-1025</t>
  </si>
  <si>
    <t>14228471R2</t>
  </si>
  <si>
    <t>2024-UR-1026</t>
  </si>
  <si>
    <t>14247229R2</t>
  </si>
  <si>
    <t>14198195R5</t>
  </si>
  <si>
    <t>NEW</t>
  </si>
  <si>
    <t>Not Found</t>
  </si>
  <si>
    <t>2025-ARDT-LV4-001</t>
  </si>
  <si>
    <t>8.5 HD65D 1254762</t>
  </si>
  <si>
    <t>2024-UR-1027</t>
  </si>
  <si>
    <t>14199937R1</t>
  </si>
  <si>
    <t>14178454R5</t>
  </si>
  <si>
    <t>14247176R3</t>
  </si>
  <si>
    <t>2025-ARDT-LV3-001</t>
  </si>
  <si>
    <t>3.625 MMD53DH 1016454</t>
  </si>
  <si>
    <t>2025-ARDT-LV4-002</t>
  </si>
  <si>
    <t>16 HD75DOs 1254482M</t>
  </si>
  <si>
    <t>2025-ARDT-LV4-005</t>
  </si>
  <si>
    <t>8.5 HD65D 1254762M1</t>
  </si>
  <si>
    <t>2025-UR-1001</t>
  </si>
  <si>
    <t>2025-ARDT-LV4-004</t>
  </si>
  <si>
    <t>3 7/8'' SF53 1252149</t>
  </si>
  <si>
    <t>2025-ARDT-LV4-003</t>
  </si>
  <si>
    <t>2025-ARDT-LV4-006</t>
  </si>
  <si>
    <t>20251001-REG</t>
  </si>
  <si>
    <t>8 3/8 X 4'' FC75WK 1246037</t>
  </si>
  <si>
    <t>20241011-REG</t>
  </si>
  <si>
    <t>8 3/8 X 4'' FC74WK 1246037</t>
  </si>
  <si>
    <t>2025-ARDT-LV4-007</t>
  </si>
  <si>
    <t>14190156R6</t>
  </si>
  <si>
    <t>14012922R11</t>
  </si>
  <si>
    <t>14228442R1</t>
  </si>
  <si>
    <t>2025-ARDT-LV3-002</t>
  </si>
  <si>
    <t>17 GT65WKH 1207425</t>
  </si>
  <si>
    <t>13844444R6</t>
  </si>
  <si>
    <t>2025-UR-1002</t>
  </si>
  <si>
    <t>14247230R3</t>
  </si>
  <si>
    <t>Graphite used for build up pockets</t>
  </si>
  <si>
    <t>REWORK</t>
  </si>
  <si>
    <t>14012911R10</t>
  </si>
  <si>
    <t>2025-ARDT-LV4-011</t>
  </si>
  <si>
    <t>2025-ARDT-LV4-012</t>
  </si>
  <si>
    <t>2025-ARDT-LV4-013</t>
  </si>
  <si>
    <t>2025-ARDT-LV4-014</t>
  </si>
  <si>
    <t>2025-ARDT-LV4-015</t>
  </si>
  <si>
    <t>8.5 GT65RHs 1267829M</t>
  </si>
  <si>
    <t>2025-ARDT-LV4-016</t>
  </si>
  <si>
    <t>8.5 GT65RHs 1276939M</t>
  </si>
  <si>
    <t>2025-UR-1003</t>
  </si>
  <si>
    <t>14199937R2</t>
  </si>
  <si>
    <t>2025-ARDT-LV4-017</t>
  </si>
  <si>
    <t>14178454R6</t>
  </si>
  <si>
    <t>2025-ARDT-LV3-003</t>
  </si>
  <si>
    <t>12 GT75DHO 1176003M</t>
  </si>
  <si>
    <t>2025-ARDT-LV4-018</t>
  </si>
  <si>
    <t>Crack cutter Removed MJ-5526</t>
  </si>
  <si>
    <t>Crack removed MJ-5526</t>
  </si>
  <si>
    <t>2 Pcs were rcracked and removed from the system before.</t>
  </si>
  <si>
    <t>2025-UR-1004</t>
  </si>
  <si>
    <t>14247229R3</t>
  </si>
  <si>
    <t>2025-ARDT-LV3-004</t>
  </si>
  <si>
    <t>20251002-REG</t>
  </si>
  <si>
    <t>14198196R4</t>
  </si>
  <si>
    <t>13955538R14</t>
  </si>
  <si>
    <t>FOR UR BIT</t>
  </si>
  <si>
    <t>2025-ARDT-LV3-005</t>
  </si>
  <si>
    <t>12 GTD86DH 1251098</t>
  </si>
  <si>
    <t>2025-UR-1006</t>
  </si>
  <si>
    <t>8 1/2" GT65RHS-1 1276939M1</t>
  </si>
  <si>
    <t>2025-UR-1009</t>
  </si>
  <si>
    <t>13273681R12</t>
  </si>
  <si>
    <t>2025-UR-1008</t>
  </si>
  <si>
    <t>2025-ARDT-LV4-008</t>
  </si>
  <si>
    <t>2025-ARDT-LV4-010</t>
  </si>
  <si>
    <t>14247175R2</t>
  </si>
  <si>
    <t>14228442R2</t>
  </si>
  <si>
    <t>2025-ARDT-LV4-009</t>
  </si>
  <si>
    <t>13807907R7</t>
  </si>
  <si>
    <t>2025-UR-1007</t>
  </si>
  <si>
    <t>14228470R3</t>
  </si>
  <si>
    <t>2025-UR-1010</t>
  </si>
  <si>
    <t>14228471R3</t>
  </si>
  <si>
    <t>6.125 HD54 1137349</t>
  </si>
  <si>
    <t>14012922R12</t>
  </si>
  <si>
    <t>2025-ARDT-LV3-006</t>
  </si>
  <si>
    <t>6.125 GTD54H 1137349M1</t>
  </si>
  <si>
    <t>2025-WFD-1002</t>
  </si>
  <si>
    <t>14247174R2</t>
  </si>
  <si>
    <t>14247176R4</t>
  </si>
  <si>
    <t>13844444R7</t>
  </si>
  <si>
    <t>13955538R15</t>
  </si>
  <si>
    <t>2025-UR-1011</t>
  </si>
  <si>
    <t>8.5 GT65RHS-1 1276939</t>
  </si>
  <si>
    <t>2025-UR-1012</t>
  </si>
  <si>
    <t>14247230R4</t>
  </si>
  <si>
    <t>2025-WFD-1003</t>
  </si>
  <si>
    <t>14211927R3</t>
  </si>
  <si>
    <t>2025-ARDT-LV4-019</t>
  </si>
  <si>
    <t>16 HD75DOs 1254482M1</t>
  </si>
  <si>
    <t>2025-ARDT-LV3-007</t>
  </si>
  <si>
    <t>14178486R1</t>
  </si>
  <si>
    <t>14198195R6</t>
  </si>
  <si>
    <t>8 1/2" MMD65H 952724</t>
  </si>
  <si>
    <t>2025-ARDT-LV3-008</t>
  </si>
  <si>
    <t>2025-AR-010</t>
  </si>
  <si>
    <t>6.125 MMD54H 1137349</t>
  </si>
  <si>
    <t>2025-AR-003</t>
  </si>
  <si>
    <t>13172302R</t>
  </si>
  <si>
    <t>8 3/8" MM65DH-1 1080537</t>
  </si>
  <si>
    <t>2025-AR-006</t>
  </si>
  <si>
    <t>13261214R</t>
  </si>
  <si>
    <t>6.125 MMD54H 1061431</t>
  </si>
  <si>
    <t>2025-AR-008</t>
  </si>
  <si>
    <t>13283016R</t>
  </si>
  <si>
    <t>8.375 MM65DH 882281</t>
  </si>
  <si>
    <t>2025-AR-012</t>
  </si>
  <si>
    <t>2025-AR-019</t>
  </si>
  <si>
    <t>8.375 MM65DH 1176919</t>
  </si>
  <si>
    <t>2025-AR-020</t>
  </si>
  <si>
    <t>8.375 MM65DH-1 1080537</t>
  </si>
  <si>
    <t>2025-AR-021</t>
  </si>
  <si>
    <t>8.375 GT65DH-1 1083564M</t>
  </si>
  <si>
    <t>2025-AR-005</t>
  </si>
  <si>
    <t>13220350R</t>
  </si>
  <si>
    <t>2025-AR-011</t>
  </si>
  <si>
    <t>2025-AR-013</t>
  </si>
  <si>
    <t>3 Pcs were removed from the system before.</t>
  </si>
  <si>
    <t>2025-UR-1014</t>
  </si>
  <si>
    <t>2025-AR-001</t>
  </si>
  <si>
    <t>12812784R</t>
  </si>
  <si>
    <t>2025-AR-016</t>
  </si>
  <si>
    <t>8.375 GT65DH-1 1092981</t>
  </si>
  <si>
    <t>6.125 GT64KHO 1160951</t>
  </si>
  <si>
    <t>14198196R5</t>
  </si>
  <si>
    <t>14178454R7</t>
  </si>
  <si>
    <t>2025-ARDT-LV4-020</t>
  </si>
  <si>
    <t>2025-UR-1014 REWORK</t>
  </si>
  <si>
    <t>2025-WFD-1004</t>
  </si>
  <si>
    <t>13970758R11</t>
  </si>
  <si>
    <t>2025-1002-HDBS</t>
  </si>
  <si>
    <t>6.125 HD54X 1137349M1</t>
  </si>
  <si>
    <t>2025-UR-1013</t>
  </si>
  <si>
    <t>14199937R3</t>
  </si>
  <si>
    <t>2025-UR-1013 RE</t>
  </si>
  <si>
    <t>2025-UR-1017</t>
  </si>
  <si>
    <t>14204332R1</t>
  </si>
  <si>
    <t>2025-UR-1018</t>
  </si>
  <si>
    <t>13807907R8</t>
  </si>
  <si>
    <t>14228442R3</t>
  </si>
  <si>
    <t>14190155R1</t>
  </si>
  <si>
    <t>2025-ARDT-004</t>
  </si>
  <si>
    <t>12.25 HD75WF 1257458</t>
  </si>
  <si>
    <t>2025-WFD-1005</t>
  </si>
  <si>
    <t>14012924R4</t>
  </si>
  <si>
    <t>14247175R3</t>
  </si>
  <si>
    <t>13955538R16</t>
  </si>
  <si>
    <t>14247176R5</t>
  </si>
  <si>
    <t>14178486R2</t>
  </si>
  <si>
    <t>2025-ARDT-LV4-021</t>
  </si>
  <si>
    <t>2025-ARDT-LV4-022</t>
  </si>
  <si>
    <t>3.875 SF53 1224225</t>
  </si>
  <si>
    <t>2025-ARDT-LV3-009</t>
  </si>
  <si>
    <t>2025-ARDT-LV3-010</t>
  </si>
  <si>
    <t>8 3/8”  MM65DH 2009244M</t>
  </si>
  <si>
    <t>2025-ARDT-LV4-023</t>
  </si>
  <si>
    <t>5.875 EM65D 1235768M1</t>
  </si>
  <si>
    <t>2025-AR-022</t>
  </si>
  <si>
    <t>13172280R</t>
  </si>
  <si>
    <t>12" GT86DH-1 1097591</t>
  </si>
  <si>
    <t>2025-AR-023</t>
  </si>
  <si>
    <t>2025-UR-1021</t>
  </si>
  <si>
    <t>8.5 GT65RHS 1267829</t>
  </si>
  <si>
    <t>2025-AR-024</t>
  </si>
  <si>
    <t>8 3/8'' GT65DH-1 1092981</t>
  </si>
  <si>
    <t>2025-ARDT-LV4-024</t>
  </si>
  <si>
    <t>2025-WFD-1006</t>
  </si>
  <si>
    <t>13970758R12</t>
  </si>
  <si>
    <t>14012922R13</t>
  </si>
  <si>
    <t>2025-WFD-1007</t>
  </si>
  <si>
    <t>14211927R4</t>
  </si>
  <si>
    <t>2025-WFD-1008</t>
  </si>
  <si>
    <t>14247174R3</t>
  </si>
  <si>
    <t>20251004-HDBSC</t>
  </si>
  <si>
    <t>8 3/8" X 4"</t>
  </si>
  <si>
    <t>8 3/8" X 4" FC3843 792657</t>
  </si>
  <si>
    <t>20251005-HDBSC</t>
  </si>
  <si>
    <t>14198195R7</t>
  </si>
  <si>
    <t>2025-UR-1024</t>
  </si>
  <si>
    <t>14228470R4</t>
  </si>
  <si>
    <t>2025-UR-1025</t>
  </si>
  <si>
    <t>2025-ARDT-LV4-025</t>
  </si>
  <si>
    <t>2025-ARDT-LV4-026</t>
  </si>
  <si>
    <t>2025-ARDT-LV4-027</t>
  </si>
  <si>
    <t>2025-ARDT-LV4-028</t>
  </si>
  <si>
    <t>2025-ARDT-LV4-029</t>
  </si>
  <si>
    <t>2025-ARDT-LV4-030</t>
  </si>
  <si>
    <t>2025-ARDT-LV4-031</t>
  </si>
  <si>
    <t>2025-ARDT-LV4-032</t>
  </si>
  <si>
    <t>13111874R1</t>
  </si>
  <si>
    <t>13844444R8</t>
  </si>
  <si>
    <t>13955538R17</t>
  </si>
  <si>
    <t>14247176R6</t>
  </si>
  <si>
    <t>2025-ARDT-005</t>
  </si>
  <si>
    <t>8 1/2'' GT65RHs 1267829</t>
  </si>
  <si>
    <t>2025-ARDT-006</t>
  </si>
  <si>
    <t>2025-ARDT-LV4-033</t>
  </si>
  <si>
    <t>8.5 HXi55Ds 2015535</t>
  </si>
  <si>
    <t>2025-ARDT-LV4-034</t>
  </si>
  <si>
    <t>8.375 GT65DH 1246020M3</t>
  </si>
  <si>
    <t>2025-ARDT-LV4-035</t>
  </si>
  <si>
    <t>8 1/2'' HXi65Ds 2016764</t>
  </si>
  <si>
    <t>2025-UR-1028</t>
  </si>
  <si>
    <t>8.5 GT65RHs-1 1276939M</t>
  </si>
  <si>
    <t>2025-ARDT-LV3-012</t>
  </si>
  <si>
    <t>12 HD65D 2015327</t>
  </si>
  <si>
    <t>14178486R3</t>
  </si>
  <si>
    <t>14012922R14</t>
  </si>
  <si>
    <t>14247164R1</t>
  </si>
  <si>
    <t>14247175R5</t>
  </si>
  <si>
    <t>14190155R2</t>
  </si>
  <si>
    <t>2025-ARDT-LV4-036</t>
  </si>
  <si>
    <t>8.5 GT65RHs 1276939</t>
  </si>
  <si>
    <t>2025-ARDT-LV4-037</t>
  </si>
  <si>
    <t>2025-UR-1027</t>
  </si>
  <si>
    <t>2025-UR-1029</t>
  </si>
  <si>
    <t>2025-ARDT-LV4-038</t>
  </si>
  <si>
    <t>2025-UR-1030</t>
  </si>
  <si>
    <t>2025-ARDT-LV3-013</t>
  </si>
  <si>
    <t>16'' MMD85DH-1 1058252M1</t>
  </si>
  <si>
    <t>2025-UR-1031</t>
  </si>
  <si>
    <t>2025-UR-1033</t>
  </si>
  <si>
    <t>2025-ARDT-007</t>
  </si>
  <si>
    <t>12 GT86DH 1249569M1</t>
  </si>
  <si>
    <t>2025-ARDT-LV4-042</t>
  </si>
  <si>
    <t>8.5 GT65RHS 1276939</t>
  </si>
  <si>
    <t>2025-ARDT-LV4-039</t>
  </si>
  <si>
    <t>2025-ARDT-LV4-040</t>
  </si>
  <si>
    <t>2025-ARDT-LV4-041</t>
  </si>
  <si>
    <t>2025-ARDT-LV4-044</t>
  </si>
  <si>
    <t>13955538R18</t>
  </si>
  <si>
    <t>2025-UR-1034</t>
  </si>
  <si>
    <t>2025-ARDT-LV4-043</t>
  </si>
  <si>
    <t>6.125 GT64KHO 2017803</t>
  </si>
  <si>
    <t>2025-ARDT-LV4-045</t>
  </si>
  <si>
    <t>8.375 EM65D 1283630</t>
  </si>
  <si>
    <t>2025-ARDT-LV4-046</t>
  </si>
  <si>
    <t>2025-ARDT-LV4-047</t>
  </si>
  <si>
    <t>13807907R10</t>
  </si>
  <si>
    <t>14178486R4</t>
  </si>
  <si>
    <t>2025-ARDT-LV4-048</t>
  </si>
  <si>
    <t>16'' HD75DOs 1254482</t>
  </si>
  <si>
    <t>2025-WFD-1010</t>
  </si>
  <si>
    <t>14012924R5</t>
  </si>
  <si>
    <t>A correction as per ERP-Musthafa</t>
  </si>
  <si>
    <t>2025-ARDT-LV3-011</t>
  </si>
  <si>
    <t>16'' MMD85DH 1058252M1</t>
  </si>
  <si>
    <t>2025-ARDT-LV4-049</t>
  </si>
  <si>
    <t>2025-ARDT-LV4-050</t>
  </si>
  <si>
    <t>2025-UR-1035</t>
  </si>
  <si>
    <t>14247231R1</t>
  </si>
  <si>
    <t>8 1/2	 GT65RHS-1 1276939</t>
  </si>
  <si>
    <t>2025-UR-1036</t>
  </si>
  <si>
    <t>2025-UR-1037</t>
  </si>
  <si>
    <t>14204329R1</t>
  </si>
  <si>
    <t>2025-UR-1038</t>
  </si>
  <si>
    <t>14204332R2</t>
  </si>
  <si>
    <t>2025-ARDT-LV3-014</t>
  </si>
  <si>
    <t>14012922R15</t>
  </si>
  <si>
    <t>2025-ARDT-LV3-015</t>
  </si>
  <si>
    <t>16'' MMD85DH-1 1058252M2</t>
  </si>
  <si>
    <t>2025-ARDT-LV3-015 RETRO</t>
  </si>
  <si>
    <t>6.125 HD54 1251098</t>
  </si>
  <si>
    <t>2025-ARDT-LV3-016</t>
  </si>
  <si>
    <t>2025-ARDT-LV4-051</t>
  </si>
  <si>
    <t>2025-WFD-1011</t>
  </si>
  <si>
    <t>14247174R4</t>
  </si>
  <si>
    <t>2025-WFD-1012</t>
  </si>
  <si>
    <t>14211927R5</t>
  </si>
  <si>
    <t>2025-WFD-1013</t>
  </si>
  <si>
    <t>14198196R6</t>
  </si>
  <si>
    <t>14228442R5</t>
  </si>
  <si>
    <t>2025-ARDT-LV3-017</t>
  </si>
  <si>
    <t>2025-ARDT-LV3-017 RETRO</t>
  </si>
  <si>
    <t>2025-UR-1039</t>
  </si>
  <si>
    <t>14144629R2</t>
  </si>
  <si>
    <t>2025-UR-1040</t>
  </si>
  <si>
    <t>2025-ARDT-LV4-052</t>
  </si>
  <si>
    <t>13955538R19</t>
  </si>
  <si>
    <t>2025-UR-1041</t>
  </si>
  <si>
    <t>2025-UR-1042</t>
  </si>
  <si>
    <t>8.5 HXi65Ds 2016764</t>
  </si>
  <si>
    <t>14247164R2</t>
  </si>
  <si>
    <t>2025-UR-1044</t>
  </si>
  <si>
    <t>14254500R1</t>
  </si>
  <si>
    <t>2025-UR-1045</t>
  </si>
  <si>
    <t>2025-UR-1046</t>
  </si>
  <si>
    <t>2025-UR-1047</t>
  </si>
  <si>
    <t>2025-ARDT-LV4-053</t>
  </si>
  <si>
    <t>2025-UR-1042 REWORK</t>
  </si>
  <si>
    <t>2025-UR-1043</t>
  </si>
  <si>
    <t>14204330R1</t>
  </si>
  <si>
    <t>From 2025-AR-022 (13172280R)</t>
  </si>
  <si>
    <t>From 2025-AR-022 (13172280R) ENO</t>
  </si>
  <si>
    <t>14247176R7</t>
  </si>
  <si>
    <t>2025-ARDT-LV4-054</t>
  </si>
  <si>
    <t>8.375 GT65DH 2009246M1</t>
  </si>
  <si>
    <t>2025-ARDT-LV4-055</t>
  </si>
  <si>
    <t>2025-From UR BITS</t>
  </si>
  <si>
    <t>2025-UR-1048</t>
  </si>
  <si>
    <t>14336287R1</t>
  </si>
  <si>
    <t>20251003-HDBSC</t>
  </si>
  <si>
    <t>5 7/8 X 2 5/8 FC3845 1214097</t>
  </si>
  <si>
    <t>14293147R1</t>
  </si>
  <si>
    <t>2025-ARDT-LV4-056</t>
  </si>
  <si>
    <t>5 7/8'' HXi64Ds 2018723</t>
  </si>
  <si>
    <t>14178486R5</t>
  </si>
  <si>
    <t>13490648R6</t>
  </si>
  <si>
    <t>6 1/8" GTi64H 1137348M</t>
  </si>
  <si>
    <t>13482806R9</t>
  </si>
  <si>
    <t>14190156R7</t>
  </si>
  <si>
    <t>14012911R11</t>
  </si>
  <si>
    <t>13955537R19</t>
  </si>
  <si>
    <t>14178454R8</t>
  </si>
  <si>
    <t>2025-ARDT-LV4-057</t>
  </si>
  <si>
    <t>2022-ARDT-20</t>
  </si>
  <si>
    <t>12.25 SF55 1059146</t>
  </si>
  <si>
    <t>2025-ARDT-LV3-018</t>
  </si>
  <si>
    <t>2025-ARDT-LV4-058</t>
  </si>
  <si>
    <t>5 7/8'' EM65D 1235768M1</t>
  </si>
  <si>
    <t>2025-UR-1052</t>
  </si>
  <si>
    <t>14137157R2</t>
  </si>
  <si>
    <t>2025-UR-1050</t>
  </si>
  <si>
    <t>14336286R1</t>
  </si>
  <si>
    <t>2025-UR-1051</t>
  </si>
  <si>
    <t>14247231R2</t>
  </si>
  <si>
    <t>13791954R9</t>
  </si>
  <si>
    <t>2025-UR-1053</t>
  </si>
  <si>
    <t>14228445R1</t>
  </si>
  <si>
    <t>2025-ARDT-LV4-059</t>
  </si>
  <si>
    <t>2025-ARDT-LV4-060</t>
  </si>
  <si>
    <t>14247164R3</t>
  </si>
  <si>
    <t>2025-ARDT-LV4-061</t>
  </si>
  <si>
    <t>8 1/2'' HXi65Ds 2019412</t>
  </si>
  <si>
    <t>2025-UR-1055</t>
  </si>
  <si>
    <t>14340869R1</t>
  </si>
  <si>
    <t>2025-UR-1056</t>
  </si>
  <si>
    <t>14204329R2</t>
  </si>
  <si>
    <t>2025-ARDT-LV4-062</t>
  </si>
  <si>
    <t>6.125 GT64KHO 1160951M1</t>
  </si>
  <si>
    <t>2025-UR-1059</t>
  </si>
  <si>
    <t>14340873R1</t>
  </si>
  <si>
    <t>2025-ARDT-LV3-019</t>
  </si>
  <si>
    <t xml:space="preserve">16 MMD85DH 1058252M2 </t>
  </si>
  <si>
    <t>2025-ARDT-LV3-020</t>
  </si>
  <si>
    <t>2025-ARDT-LV4-064</t>
  </si>
  <si>
    <t>5 7/8'' EM65D 2017993M</t>
  </si>
  <si>
    <t>2025-ARDT-LV3-021</t>
  </si>
  <si>
    <t>12 GTD86DH 1251098M1</t>
  </si>
  <si>
    <t>2025-ARDT-LV3-022</t>
  </si>
  <si>
    <t>8.375 GT65DH 2009244</t>
  </si>
  <si>
    <t>2025-ARDT-LV4-063</t>
  </si>
  <si>
    <t>6.125 HXi54s 2020054</t>
  </si>
  <si>
    <t>2025-ARDT-LV4-065</t>
  </si>
  <si>
    <t>2025-UR-1058</t>
  </si>
  <si>
    <t>14340872R1</t>
  </si>
  <si>
    <t>14198196R7</t>
  </si>
  <si>
    <t>13955538R20</t>
  </si>
  <si>
    <t>14178486R6</t>
  </si>
  <si>
    <t>2025-ARDT-LV4-066</t>
  </si>
  <si>
    <t>2025-ARDT-LV4-067</t>
  </si>
  <si>
    <t>2025-UR-1060</t>
  </si>
  <si>
    <t>14211931R1</t>
  </si>
  <si>
    <t>2025-UR-1061</t>
  </si>
  <si>
    <t>14204330R2</t>
  </si>
  <si>
    <t>2025-UR-1057</t>
  </si>
  <si>
    <t>14247163R1</t>
  </si>
  <si>
    <t>14012922R16</t>
  </si>
  <si>
    <t>2025-UR-1062</t>
  </si>
  <si>
    <t>14204333R1</t>
  </si>
  <si>
    <t>2025-UR-1063</t>
  </si>
  <si>
    <t>14254500R2</t>
  </si>
  <si>
    <t>2025-UR-1064</t>
  </si>
  <si>
    <t>14144630R1</t>
  </si>
  <si>
    <t>2025-1007-HDBSC</t>
  </si>
  <si>
    <t>13730513R2</t>
  </si>
  <si>
    <t>2025-1009-HDBSC</t>
  </si>
  <si>
    <t>5 7/8" X 2 5/8" FC3846 1214097</t>
  </si>
  <si>
    <t>2025-1011-HDBSC</t>
  </si>
  <si>
    <t>5 7/8" X 2 5/8" FC74H 2009125</t>
  </si>
  <si>
    <t>14190155R3</t>
  </si>
  <si>
    <t>14293147R2</t>
  </si>
  <si>
    <t>14247175R6</t>
  </si>
  <si>
    <t>2025-WFD-1014</t>
  </si>
  <si>
    <t>14012924R6</t>
  </si>
  <si>
    <t>2025-UR-1065</t>
  </si>
  <si>
    <t>14336287R2</t>
  </si>
  <si>
    <t>2025-ARDT-010</t>
  </si>
  <si>
    <t>8.375 HD65D 2019414M</t>
  </si>
  <si>
    <t>2025-ARDT-LV4-068</t>
  </si>
  <si>
    <t>8 1/2'' GT65RHs-1 1276939M2</t>
  </si>
  <si>
    <t>14178486R7</t>
  </si>
  <si>
    <t>2025-ARDT-LV4-069</t>
  </si>
  <si>
    <t>5.875 EM65D 2017993M1</t>
  </si>
  <si>
    <t>EXTRA</t>
  </si>
  <si>
    <t>2025-ARDT-LV4-070</t>
  </si>
  <si>
    <t>2025-ARDT-LV4-072</t>
  </si>
  <si>
    <t>8 1/2'' GT65RHS-1 1276939M2</t>
  </si>
  <si>
    <t>2025-ARDT-LV4-073</t>
  </si>
  <si>
    <t>5 7/8'' EM65D 2017993M1</t>
  </si>
  <si>
    <t>2025-ARDT-LV4-074</t>
  </si>
  <si>
    <t>8 3/8'' EM65D 1283630</t>
  </si>
  <si>
    <t>2025-WFD-1015</t>
  </si>
  <si>
    <t>14304768R1</t>
  </si>
  <si>
    <t>2025-WFD-1016</t>
  </si>
  <si>
    <t>13970758R13</t>
  </si>
  <si>
    <t xml:space="preserve">used instead of 1613 graphite </t>
  </si>
  <si>
    <t>2025-ARDT-LV4-071</t>
  </si>
  <si>
    <t>14247176R8</t>
  </si>
  <si>
    <t>2025-ARDT-LV4-076</t>
  </si>
  <si>
    <t>2025-UR-1066</t>
  </si>
  <si>
    <t>14340868R1</t>
  </si>
  <si>
    <t>2025-ARDT-LV4-075</t>
  </si>
  <si>
    <t>8 1/2'' HXi55Ds 2015535M</t>
  </si>
  <si>
    <t>2025-ARDT-LV4-077</t>
  </si>
  <si>
    <t>12 1/4" HD75WF 1257458M5</t>
  </si>
  <si>
    <t>2025-ARDT-LV4-080</t>
  </si>
  <si>
    <t>8.5 GT65RHS 1276939M2</t>
  </si>
  <si>
    <t>14228442R6</t>
  </si>
  <si>
    <t>2025-ARDT-LV4-078</t>
  </si>
  <si>
    <t>2025-ARDT-LV4-079</t>
  </si>
  <si>
    <t>2025-ARDT-LV3-023</t>
  </si>
  <si>
    <t>2025-ARDT-LV3-024</t>
  </si>
  <si>
    <t>8 3/8'' MM65DH 2009244</t>
  </si>
  <si>
    <t>2025-ARDT-LV3-025</t>
  </si>
  <si>
    <t>2025-ARDT-LV4-081</t>
  </si>
  <si>
    <t>8.5 GT65RHs 1276939M2</t>
  </si>
  <si>
    <t>14228445R2</t>
  </si>
  <si>
    <t>14190155R4</t>
  </si>
  <si>
    <t>2025-UR-1069</t>
  </si>
  <si>
    <t>14247164R4</t>
  </si>
  <si>
    <t>2025-ARDT-LV3-026</t>
  </si>
  <si>
    <t>8.375 MM65DH 2009244</t>
  </si>
  <si>
    <t>2025-ARDT-LV4-082</t>
  </si>
  <si>
    <t>2025-ARDT-LV4-083</t>
  </si>
  <si>
    <t>2025-ARDT-LV4-084</t>
  </si>
  <si>
    <t>16 HD75Fs 1287241</t>
  </si>
  <si>
    <t>2025-ARDT-011</t>
  </si>
  <si>
    <t>2025-ARDT-LV3-028</t>
  </si>
  <si>
    <t>2025-ARDT-LV4-085</t>
  </si>
  <si>
    <t>5.875 EM65D 2017993M</t>
  </si>
  <si>
    <t>2025-ARDT-LV3-027</t>
  </si>
  <si>
    <t>14247176R9</t>
  </si>
  <si>
    <t>14247163R2</t>
  </si>
  <si>
    <t>14198195R8</t>
  </si>
  <si>
    <t>2025-ARDT-LV3-029</t>
  </si>
  <si>
    <t>16 MMD85DH 1058252M2</t>
  </si>
  <si>
    <t>2025-UR-1071</t>
  </si>
  <si>
    <t>2025-WFD-1017</t>
  </si>
  <si>
    <t>14247174R5</t>
  </si>
  <si>
    <t>14198196R8</t>
  </si>
  <si>
    <t>13955538R21</t>
  </si>
  <si>
    <t>14178486R8</t>
  </si>
  <si>
    <t>2025-ARDT-LV4-086</t>
  </si>
  <si>
    <t>6.125 GTD64HO 1186699</t>
  </si>
  <si>
    <t>2025-ARDT-013</t>
  </si>
  <si>
    <t>16'' SFD75DH 1107565M</t>
  </si>
  <si>
    <t>2025-ARDT-LV3-030</t>
  </si>
  <si>
    <t>2025-ARDT-012</t>
  </si>
  <si>
    <t>17 SFD75DH 1283277</t>
  </si>
  <si>
    <t>1913 CT172 18-60</t>
  </si>
  <si>
    <t>1613 U CT186R U</t>
  </si>
  <si>
    <t>13655228R7</t>
  </si>
  <si>
    <t>2025-ARDT-LV4-087</t>
  </si>
  <si>
    <t>8.375 GT65DH 2009246M</t>
  </si>
  <si>
    <t>2025-ARDT-LV3-031</t>
  </si>
  <si>
    <t>2025-ARDT-LV4-088</t>
  </si>
  <si>
    <t>5 7/8'' EM65D 2017993M2</t>
  </si>
  <si>
    <t>Round 1613 CT182  0.018" (S)</t>
  </si>
  <si>
    <t>2025-ARDT-LV4-089</t>
  </si>
  <si>
    <t>12.25 HD75WF 1257458M5</t>
  </si>
  <si>
    <t>2025-UR-1073</t>
  </si>
  <si>
    <t>2025-UR-1075</t>
  </si>
  <si>
    <t>14211931R2</t>
  </si>
  <si>
    <t>20251012-HDBSC</t>
  </si>
  <si>
    <t>13862802R1</t>
  </si>
  <si>
    <t>5 7/8" X 2 5/8" FC3846 1214097M</t>
  </si>
  <si>
    <t>2025-UR-1077</t>
  </si>
  <si>
    <t>2025-ARDT-LV4-092</t>
  </si>
  <si>
    <t>2025-ARDT-LV4-094</t>
  </si>
  <si>
    <t>2025-UR-1076</t>
  </si>
  <si>
    <t>2025-ARDT-LV4-090</t>
  </si>
  <si>
    <t>8.375 EM65D 1283630M</t>
  </si>
  <si>
    <t>2025-ARDT-014</t>
  </si>
  <si>
    <t>16 MMD85DH-2 1105260</t>
  </si>
  <si>
    <t>14293147R4</t>
  </si>
  <si>
    <t>2025-ARDT-LV4-091</t>
  </si>
  <si>
    <t>16 HD75Fs 1241180M</t>
  </si>
  <si>
    <t>2025-ARDT-LV4-093</t>
  </si>
  <si>
    <t>5.875 EM65D 2021865M</t>
  </si>
  <si>
    <t>2025-ARDT-LV4-095</t>
  </si>
  <si>
    <t>2025-WFD-1018</t>
  </si>
  <si>
    <t>14012924R7</t>
  </si>
  <si>
    <t>14247175R7</t>
  </si>
  <si>
    <t>2025-ARDT-LV4-096</t>
  </si>
  <si>
    <t>12 GTD86DHF 1251098M2</t>
  </si>
  <si>
    <t>2025-WFD-1022</t>
  </si>
  <si>
    <t>14012922R17</t>
  </si>
  <si>
    <t>2025-ARDT-LV4-097</t>
  </si>
  <si>
    <t>5.875 EM65D 2017993</t>
  </si>
  <si>
    <t>2025-UR-1078</t>
  </si>
  <si>
    <t>14340874R1</t>
  </si>
  <si>
    <t>2025-AR-025</t>
  </si>
  <si>
    <t>16 MMD85DH 1092722</t>
  </si>
  <si>
    <t>2025-AR-031</t>
  </si>
  <si>
    <t>2025-ARDT-LV4-098</t>
  </si>
  <si>
    <t>8.5 GT65RHS 12376939</t>
  </si>
  <si>
    <t>2025-ARDT-LV4-099</t>
  </si>
  <si>
    <t>12.25 HD65OS 2008912</t>
  </si>
  <si>
    <t>2025-ARDT-LV3-032</t>
  </si>
  <si>
    <t>8.5 MMD65DH 1086630</t>
  </si>
  <si>
    <t>2025-ARDT-LV4-100</t>
  </si>
  <si>
    <t>16 HD75Fs 1255451M</t>
  </si>
  <si>
    <t>2025-UR-1079</t>
  </si>
  <si>
    <t>2025-ARDT-LV3-033</t>
  </si>
  <si>
    <t>2025-WFD-1019</t>
  </si>
  <si>
    <t>13955538R22</t>
  </si>
  <si>
    <t>14254491R1</t>
  </si>
  <si>
    <t>2025-WFD-1023</t>
  </si>
  <si>
    <t>2025-WFD-1024</t>
  </si>
  <si>
    <t>2025-WFD-1020</t>
  </si>
  <si>
    <t>14304768R2</t>
  </si>
  <si>
    <t>2025-WFD-1021</t>
  </si>
  <si>
    <t>14211927R6</t>
  </si>
  <si>
    <t>EXTRA CUTTER ISSUED</t>
  </si>
  <si>
    <t>2025-UR-1080</t>
  </si>
  <si>
    <t>14340870R1</t>
  </si>
  <si>
    <t>2025-ARDT-LV4-101</t>
  </si>
  <si>
    <t>6 1/8	 GT64KHO 1160951</t>
  </si>
  <si>
    <t>2025-ARDT-LV4-102</t>
  </si>
  <si>
    <t>8 1/2	 HD65O 1255267M</t>
  </si>
  <si>
    <t>2025-UR-1081</t>
  </si>
  <si>
    <t>14340869R2</t>
  </si>
  <si>
    <t>2025-UR-1082</t>
  </si>
  <si>
    <t>14340868R2</t>
  </si>
  <si>
    <t xml:space="preserve">2025-WFD-1024 </t>
  </si>
  <si>
    <t>14247176R10</t>
  </si>
  <si>
    <t>14198195R9</t>
  </si>
  <si>
    <t>14198196R9</t>
  </si>
  <si>
    <t>14247175R8</t>
  </si>
  <si>
    <t>2025-AR-027</t>
  </si>
  <si>
    <t>2025-AR-030</t>
  </si>
  <si>
    <t>12960515R1</t>
  </si>
  <si>
    <t>16 MMD85DH 1023917</t>
  </si>
  <si>
    <t>2025-ARDT-018</t>
  </si>
  <si>
    <t>2025-AR-026</t>
  </si>
  <si>
    <t xml:space="preserve">2025-AR-027 </t>
  </si>
  <si>
    <t>2025-AR-028</t>
  </si>
  <si>
    <t>2025-AR-038</t>
  </si>
  <si>
    <t xml:space="preserve">2025-ARDT-016 </t>
  </si>
  <si>
    <t>16 GT75DH 1083976</t>
  </si>
  <si>
    <t>ENO</t>
  </si>
  <si>
    <t>2025-ARDT-016</t>
  </si>
  <si>
    <t xml:space="preserve">2025-AR-028 </t>
  </si>
  <si>
    <t>2025-ARDT-LV4-104</t>
  </si>
  <si>
    <t>12 1/4	 HD75WF 1257458M</t>
  </si>
  <si>
    <t>RETROFIT</t>
  </si>
  <si>
    <t>2025-AR-029</t>
  </si>
  <si>
    <t>2025-AR-034</t>
  </si>
  <si>
    <t>16 MMD85DH 1092722M</t>
  </si>
  <si>
    <t>2025-AR-034 ENO</t>
  </si>
  <si>
    <t>2025-ARDT-LV4-103</t>
  </si>
  <si>
    <t>5 7/8	 EM65D 2021865M</t>
  </si>
  <si>
    <t xml:space="preserve">2025-AR-029 </t>
  </si>
  <si>
    <t>2025-AR-032</t>
  </si>
  <si>
    <t>2025-AR-032 ENO</t>
  </si>
  <si>
    <t>2025-UR-1084</t>
  </si>
  <si>
    <t>2025-ARDT-019 AS ENO</t>
  </si>
  <si>
    <t xml:space="preserve">2025-AR-032 </t>
  </si>
  <si>
    <t>(RETRO REWORK)</t>
  </si>
  <si>
    <t>2025-AR-037</t>
  </si>
  <si>
    <t>2025-UR-1086</t>
  </si>
  <si>
    <t>14340871R1</t>
  </si>
  <si>
    <t>14228442R7</t>
  </si>
  <si>
    <t>2025-ARDT-LV4-106</t>
  </si>
  <si>
    <t>8 3/8	 EM65D 1283630</t>
  </si>
  <si>
    <t>2025-WFD-1027</t>
  </si>
  <si>
    <t>12 GTD55WKH 1290130M</t>
  </si>
  <si>
    <t>14012922R18</t>
  </si>
  <si>
    <t>14178486R9</t>
  </si>
  <si>
    <t>2025-ARDT-LV3-034</t>
  </si>
  <si>
    <t>17 SFD75DH 1248668M</t>
  </si>
  <si>
    <t>2025-ARDT-LV4-107</t>
  </si>
  <si>
    <t xml:space="preserve">2025-ARDT-022 </t>
  </si>
  <si>
    <t>17 GT65WKH 1207425M</t>
  </si>
  <si>
    <t>2025-ARDT-LV4-108</t>
  </si>
  <si>
    <t>8.375 EM75D 1283482</t>
  </si>
  <si>
    <t>2025-UR-1085</t>
  </si>
  <si>
    <t>14369050R1</t>
  </si>
  <si>
    <t>2025-UR-1087</t>
  </si>
  <si>
    <t>14254501R1</t>
  </si>
  <si>
    <t>2025-ARDT-020</t>
  </si>
  <si>
    <t>16 MMD85DH-1 1058252M2</t>
  </si>
  <si>
    <t>2025-ARDT-LV3-035</t>
  </si>
  <si>
    <t>6.125 GTD54H 1251085M2</t>
  </si>
  <si>
    <t>2025-ARDT-LV4-105</t>
  </si>
  <si>
    <t>12 1/4	 HD65Os 2008912</t>
  </si>
  <si>
    <t>2025-ARDT-LV4-109</t>
  </si>
  <si>
    <t>8 3/8	 GT65DH-1  2009246M</t>
  </si>
  <si>
    <t>14228445R4</t>
  </si>
  <si>
    <t>2025-ARDT-023</t>
  </si>
  <si>
    <t>17 GT65WKH 1207425M1</t>
  </si>
  <si>
    <t>2025-ARDT-LV3-036</t>
  </si>
  <si>
    <t>8.375 MM65DH 2009244M</t>
  </si>
  <si>
    <t>2025-ARDT-LV3-037</t>
  </si>
  <si>
    <t>8 3/8	 MM65DH 2016137M</t>
  </si>
  <si>
    <t>2025-ARDT-LV4-110</t>
  </si>
  <si>
    <t>8 1/2	 GT65RHS 1276939M2</t>
  </si>
  <si>
    <t>2025-ARDT-LV4-111</t>
  </si>
  <si>
    <t>5 7/8	 EM65D 2021865</t>
  </si>
  <si>
    <t>2025-WFD-1030</t>
  </si>
  <si>
    <t>14304768R3</t>
  </si>
  <si>
    <t>14247163R3</t>
  </si>
  <si>
    <t>14198196R10</t>
  </si>
  <si>
    <t>2025-UR-1088</t>
  </si>
  <si>
    <t>14353147R1</t>
  </si>
  <si>
    <t>2025-UR-1089</t>
  </si>
  <si>
    <t>14369053R1</t>
  </si>
  <si>
    <t>8.5 GT65RHS-1 1276939M2</t>
  </si>
  <si>
    <t>2025-ARDT-LV4-112</t>
  </si>
  <si>
    <t>8 3/8	 GT65DH 2009246M</t>
  </si>
  <si>
    <t>2025-ARDT-LV4-113</t>
  </si>
  <si>
    <t>8 1/2	 GT65RHs 1276939M2</t>
  </si>
  <si>
    <t>2025-ARDT-LV4-114</t>
  </si>
  <si>
    <t>5 7/8		 EM65D 2021865</t>
  </si>
  <si>
    <t>2025-ARDT-LV3-038</t>
  </si>
  <si>
    <t>6 1/8	 GTD54H	 1251085M2</t>
  </si>
  <si>
    <t>2025-ARDT-LV3-039</t>
  </si>
  <si>
    <t>12'' GTD55WKH 1269308</t>
  </si>
  <si>
    <t>2025-ARDT-LV3-040</t>
  </si>
  <si>
    <t>8.5 GT65RHs 2025360</t>
  </si>
  <si>
    <t>2025-ARDT-LV4-115</t>
  </si>
  <si>
    <t>2025-ARDT-LV4-116</t>
  </si>
  <si>
    <t>12.25 HD75WF 1257458M4</t>
  </si>
  <si>
    <t>RETRO</t>
  </si>
  <si>
    <t>2025-WFD-1032</t>
  </si>
  <si>
    <t>14247174R6</t>
  </si>
  <si>
    <t>14293147R6</t>
  </si>
  <si>
    <t>13719621R1</t>
  </si>
  <si>
    <t>2025-ARDT-LV4-117</t>
  </si>
  <si>
    <t>2025-ARDT-LV4-118</t>
  </si>
  <si>
    <t>2025-ARDT-LV4-119</t>
  </si>
  <si>
    <t>2025-UR-1091</t>
  </si>
  <si>
    <t>14369046R1</t>
  </si>
  <si>
    <t>2025-ARDT-LV4-120</t>
  </si>
  <si>
    <t>2025-ARDT-LV4-121</t>
  </si>
  <si>
    <t>5.875 EM65D 2021865</t>
  </si>
  <si>
    <t>2025-ARDT-024</t>
  </si>
  <si>
    <t>12 GTD55WKH 1121983</t>
  </si>
  <si>
    <t>2025-ARDT-025</t>
  </si>
  <si>
    <t>12 GT75DHO 1176003M2</t>
  </si>
  <si>
    <t>2025-ARDT-026</t>
  </si>
  <si>
    <t>12 GTD55WKH 1269308M1</t>
  </si>
  <si>
    <t>2025-ARDT-LV4-122</t>
  </si>
  <si>
    <t>2025-UR-1094</t>
  </si>
  <si>
    <t>ARDT RECLAIME</t>
  </si>
  <si>
    <t>2025-ARDT-LV4-123</t>
  </si>
  <si>
    <t>2025-ARDT-LV4-125</t>
  </si>
  <si>
    <t>14228444R1</t>
  </si>
  <si>
    <t xml:space="preserve">RECLAIME </t>
  </si>
  <si>
    <t>2025-ARDT-LV4-124</t>
  </si>
  <si>
    <t>2025-ARDT-LV4-126</t>
  </si>
  <si>
    <t>2025-UR-1093</t>
  </si>
  <si>
    <t>14204333R2</t>
  </si>
  <si>
    <t>2025-ARDT-008</t>
  </si>
  <si>
    <t>12 HD65D 2015327M</t>
  </si>
  <si>
    <t>2025-ARDT-LV3-042</t>
  </si>
  <si>
    <t>2025-ARDT-LV4-127</t>
  </si>
  <si>
    <t>2025-UR-1095</t>
  </si>
  <si>
    <t>2025-WFD-1037</t>
  </si>
  <si>
    <t>14211927R7</t>
  </si>
  <si>
    <t>2025-WFD-1038</t>
  </si>
  <si>
    <t>14304768R4</t>
  </si>
  <si>
    <t xml:space="preserve"> UR bit-1054,1090,1068,1083</t>
  </si>
  <si>
    <t>UR-1067,1072,1074,1070,1049</t>
  </si>
  <si>
    <t>grounded cutter used as ARDT Reclaime</t>
  </si>
  <si>
    <t>2025-ARDT-LV3-041</t>
  </si>
  <si>
    <t>8.375 GT65DH 2016137M</t>
  </si>
  <si>
    <t>2025-ARDT-LV4-128</t>
  </si>
  <si>
    <t>2025-WFD-1033</t>
  </si>
  <si>
    <t xml:space="preserve">ARDT RECLIME </t>
  </si>
  <si>
    <t>2025-ARDT-LV3-043</t>
  </si>
  <si>
    <t>2025-ARDT-LV4-129</t>
  </si>
  <si>
    <t>2025-UR-1097</t>
  </si>
  <si>
    <t>14369053R2</t>
  </si>
  <si>
    <t>2025-ARDT-LV3-044</t>
  </si>
  <si>
    <t>12 GT75DHO 1176003</t>
  </si>
  <si>
    <t>2025-UR-1096</t>
  </si>
  <si>
    <t>14353148R1</t>
  </si>
  <si>
    <t>6.125 HD54 1251085M2</t>
  </si>
  <si>
    <t>6 1/8	 HD54 1251085M2</t>
  </si>
  <si>
    <t>14247163R4</t>
  </si>
  <si>
    <t>14012922R19</t>
  </si>
  <si>
    <t>14247176R11</t>
  </si>
  <si>
    <t>2025-ARDT-LV4-130</t>
  </si>
  <si>
    <t>2025-ARDT-LV4-131</t>
  </si>
  <si>
    <t>2025-ARDT-LV4-132</t>
  </si>
  <si>
    <t>2025-ARDT-LV4-133</t>
  </si>
  <si>
    <t>2025-ARDT-LV4-134</t>
  </si>
  <si>
    <t>2025-ARDT-LV4-135</t>
  </si>
  <si>
    <t>2025-ARDT-LV4-136</t>
  </si>
  <si>
    <t>2025-ARDT-LV4-137</t>
  </si>
  <si>
    <t>8.375 EM75D 1283482M</t>
  </si>
  <si>
    <t>2025-WFD-1036</t>
  </si>
  <si>
    <t>ARDT RECLIME</t>
  </si>
  <si>
    <t>2025-WFD-1039</t>
  </si>
  <si>
    <t>rework ARDT RECLIME</t>
  </si>
  <si>
    <t>2025-ARDT-LV3-045</t>
  </si>
  <si>
    <t>2025-ARDT-LV4-138</t>
  </si>
  <si>
    <t>2025-ARDT-LV4-140</t>
  </si>
  <si>
    <t xml:space="preserve">14426676	</t>
  </si>
  <si>
    <t>2025-ARDT-LV4-141</t>
  </si>
  <si>
    <t xml:space="preserve">14414026	</t>
  </si>
  <si>
    <t>8.5 GT65RHs 1269498</t>
  </si>
  <si>
    <t>2025-UR-1100</t>
  </si>
  <si>
    <t>14204329R3</t>
  </si>
  <si>
    <t>2025-ARDT-LV3-046</t>
  </si>
  <si>
    <t>6.125 GTD54H 1251085</t>
  </si>
  <si>
    <t>2025-UR-1101</t>
  </si>
  <si>
    <t>14144630R2</t>
  </si>
  <si>
    <t>ARDT RECL</t>
  </si>
  <si>
    <t>2025-ARDT-LV4-139</t>
  </si>
  <si>
    <t>2025-ARDT-LV4-142</t>
  </si>
  <si>
    <t>2025-ARDT-LV4-143</t>
  </si>
  <si>
    <t>2025-ARDT-LV4-144</t>
  </si>
  <si>
    <t>2025-ARDT-LV4-147</t>
  </si>
  <si>
    <t>2024-ARDT-051</t>
  </si>
  <si>
    <t>12 GT75DHO  1176003</t>
  </si>
  <si>
    <t>ardt recl</t>
  </si>
  <si>
    <t>2025-ARDT-LV4-148</t>
  </si>
  <si>
    <t>2025-ARDT-LV4-149</t>
  </si>
  <si>
    <t>2025-UR-1103</t>
  </si>
  <si>
    <t>14337192R1</t>
  </si>
  <si>
    <t>2025-UR-1105</t>
  </si>
  <si>
    <t>14340870R2</t>
  </si>
  <si>
    <t>ardt rec</t>
  </si>
  <si>
    <t>2025-UR-1106</t>
  </si>
  <si>
    <t>14353147R2</t>
  </si>
  <si>
    <t>2025-UR-1107</t>
  </si>
  <si>
    <t>14369050R2</t>
  </si>
  <si>
    <t>2025-ARDT-LV3-047</t>
  </si>
  <si>
    <t>2025-ARDT-LV3-048</t>
  </si>
  <si>
    <t>2025-ARDT-LV4-145</t>
  </si>
  <si>
    <t>2025-ARDT-LV4-146</t>
  </si>
  <si>
    <t>2025-ARDT-022</t>
  </si>
  <si>
    <t>13807907R11</t>
  </si>
  <si>
    <t>LSTK RECL</t>
  </si>
  <si>
    <t>14247164R5</t>
  </si>
  <si>
    <t>2025-UR-1080,1082,1088</t>
  </si>
  <si>
    <t>2025-WFD-1042</t>
  </si>
  <si>
    <t>14304768R5</t>
  </si>
  <si>
    <t>14198196R11</t>
  </si>
  <si>
    <t>2025-ARDT-LV3-050</t>
  </si>
  <si>
    <t>2025-ARDT-LV3-049</t>
  </si>
  <si>
    <t>14228444R2</t>
  </si>
  <si>
    <t>6.125 HD54X 1137349</t>
  </si>
  <si>
    <t>2025-WFD-1041</t>
  </si>
  <si>
    <t>14210788R1</t>
  </si>
  <si>
    <t>2025-UR-1109</t>
  </si>
  <si>
    <t>8.5 GT65RHs-1 1276939M2</t>
  </si>
  <si>
    <t>2025-ARDT-LV4-150</t>
  </si>
  <si>
    <t>3.625 GT63WH 1216970</t>
  </si>
  <si>
    <t>2025-ARDT-LV4-152</t>
  </si>
  <si>
    <t>2025-ARDT-LV4-153</t>
  </si>
  <si>
    <t>14254491R3</t>
  </si>
  <si>
    <t>2025-ARDT-LV3-051</t>
  </si>
  <si>
    <t>3.625 MMD53DH 960723M</t>
  </si>
  <si>
    <t>2025-ARDT-LV4-154</t>
  </si>
  <si>
    <t>8.375 EM65D 1283630M1</t>
  </si>
  <si>
    <t>2025-ARDT-LV4-155</t>
  </si>
  <si>
    <t>12.25 HD75WF 1257458M6</t>
  </si>
  <si>
    <t>2025-UR-1108</t>
  </si>
  <si>
    <t>14254501R2</t>
  </si>
  <si>
    <t>2025-UR-1112</t>
  </si>
  <si>
    <t>8 1/2	 GT65RHs-1 1276939M2</t>
  </si>
  <si>
    <t>2025-WFD-1044</t>
  </si>
  <si>
    <t>2025-UR-1111</t>
  </si>
  <si>
    <t>14247175R11</t>
  </si>
  <si>
    <t>13955538R23</t>
  </si>
  <si>
    <t>14012922R20</t>
  </si>
  <si>
    <t>14254494R1</t>
  </si>
  <si>
    <t>2025-ARDT-LV3-052</t>
  </si>
  <si>
    <t>2025-ARDT-LV3-053</t>
  </si>
  <si>
    <t>2025-ARDT-LV3-054</t>
  </si>
  <si>
    <t>3.625 MMD53DH 2013733</t>
  </si>
  <si>
    <t>ARDT-REC</t>
  </si>
  <si>
    <t>2025-ARDT-LV3-055</t>
  </si>
  <si>
    <t>2025-ARDT-LV4-156</t>
  </si>
  <si>
    <t>2025-WFD-1045</t>
  </si>
  <si>
    <t>2025-ARDT-LV4-158</t>
  </si>
  <si>
    <t>8.375 GT65DH 2009246</t>
  </si>
  <si>
    <t>2025-ARDT-LV4-157</t>
  </si>
  <si>
    <t>2025-ARDT-LV4-159</t>
  </si>
  <si>
    <t>2025-ARDT-LV3-056</t>
  </si>
  <si>
    <t>2025-ARDT-LV4-160</t>
  </si>
  <si>
    <t>2025-ARDT-LV4-161</t>
  </si>
  <si>
    <t>2025-ARDT-LV3-057</t>
  </si>
  <si>
    <t>2025-UR-1118</t>
  </si>
  <si>
    <t>14370260R1</t>
  </si>
  <si>
    <t>8.5 HXi65Dks 2019412</t>
  </si>
  <si>
    <t>14254493R1</t>
  </si>
  <si>
    <t>2025-ARDT-LV4-162</t>
  </si>
  <si>
    <t>2025-UR-1117</t>
  </si>
  <si>
    <t>14293147R8</t>
  </si>
  <si>
    <t>2025-ARDT-LV4-163</t>
  </si>
  <si>
    <t>2025-AR-051</t>
  </si>
  <si>
    <t>8-1/2" GT65RHS-1 1276939</t>
  </si>
  <si>
    <t>2025-AR-062</t>
  </si>
  <si>
    <t>8-3/8" MM65DH 1246680M</t>
  </si>
  <si>
    <t>2025-AR-057</t>
  </si>
  <si>
    <t>2025-ARDT-LV4-164</t>
  </si>
  <si>
    <t>16 HD76DF 1266749</t>
  </si>
  <si>
    <t>2025-ARDT-LV4-166</t>
  </si>
  <si>
    <t>8.5 HXi65DKs 2019412</t>
  </si>
  <si>
    <t>2025-ARDT-030</t>
  </si>
  <si>
    <t>14.5 GTD66DH 1098301</t>
  </si>
  <si>
    <t>2025-ARDT-031</t>
  </si>
  <si>
    <t>14.5 FX66DH 1098301</t>
  </si>
  <si>
    <t>2025-AR-058</t>
  </si>
  <si>
    <t>2025-AR-059</t>
  </si>
  <si>
    <t>8-3/8" MM65DH 1061407</t>
  </si>
  <si>
    <t>2025-AR-060</t>
  </si>
  <si>
    <t>2025-AR-061</t>
  </si>
  <si>
    <t>2025-ARDT-LV3-058</t>
  </si>
  <si>
    <t>2025-ARDT-LV4-165</t>
  </si>
  <si>
    <t>6.125 HD54F 1251085M3</t>
  </si>
  <si>
    <t>2025-AR-040</t>
  </si>
  <si>
    <t>2025-AR-042</t>
  </si>
  <si>
    <t>2025-AR-044</t>
  </si>
  <si>
    <t>2025-AR-045</t>
  </si>
  <si>
    <t>2025-AR-052</t>
  </si>
  <si>
    <t>2025-AR-053</t>
  </si>
  <si>
    <t>2025-AR-055</t>
  </si>
  <si>
    <t>2025-ARDT-LV4-167</t>
  </si>
  <si>
    <t>3.625 MMD53DH 2025595M</t>
  </si>
  <si>
    <t>RETRO REWORK</t>
  </si>
  <si>
    <t>2025-ARDT-032</t>
  </si>
  <si>
    <t>6.125 GT64KHO 1160951M2</t>
  </si>
  <si>
    <t>2025-AR-050</t>
  </si>
  <si>
    <t>2025-AR-054</t>
  </si>
  <si>
    <t xml:space="preserve"> EXTRA</t>
  </si>
  <si>
    <t>2025-UR-1119</t>
  </si>
  <si>
    <t>2025-UR-1121</t>
  </si>
  <si>
    <t>2025-AR-048</t>
  </si>
  <si>
    <t>2025-ARDT-LV4-168</t>
  </si>
  <si>
    <t>8.5 GT65RHs 1276939M4</t>
  </si>
  <si>
    <t>2025-ARDT-034</t>
  </si>
  <si>
    <t>5.875 HXi64Ds 2018723M</t>
  </si>
  <si>
    <t>2025-ARDT-035</t>
  </si>
  <si>
    <t>2025-AR-043</t>
  </si>
  <si>
    <t>2025-AR-047</t>
  </si>
  <si>
    <t>2025-AR-046</t>
  </si>
  <si>
    <t>2025-UR-1125</t>
  </si>
  <si>
    <t>14336288R1</t>
  </si>
  <si>
    <t>2025-ARDT-LV4-169</t>
  </si>
  <si>
    <t>14254492R3</t>
  </si>
  <si>
    <t>2025-ARDT-036</t>
  </si>
  <si>
    <t>8.375 MM65DH-1 1245357M</t>
  </si>
  <si>
    <t>2025-WFD-1047</t>
  </si>
  <si>
    <t>14304768R6</t>
  </si>
  <si>
    <t>2025-ARDT-LV4-170</t>
  </si>
  <si>
    <t>2025-UR-1126</t>
  </si>
  <si>
    <t>14340872R2</t>
  </si>
  <si>
    <t>2025-ARDT-033</t>
  </si>
  <si>
    <t>12.25 MM76DH 989853</t>
  </si>
  <si>
    <t>2025-ARDT-LV3-059</t>
  </si>
  <si>
    <t>2025-ARDT-LV4-171</t>
  </si>
  <si>
    <t>16" HD75Fs 1287241</t>
  </si>
  <si>
    <t>2025-ARDT-LV4-172</t>
  </si>
  <si>
    <t>6" GTD64MS 2028511M</t>
  </si>
  <si>
    <t>2025-ARDT-LV4-174</t>
  </si>
  <si>
    <t>14273126R1</t>
  </si>
  <si>
    <t>2025-UR-1127</t>
  </si>
  <si>
    <t>14414023R1</t>
  </si>
  <si>
    <t>2025-ARDT-LV3-060</t>
  </si>
  <si>
    <t>2025-ARDT-LV4-175</t>
  </si>
  <si>
    <t>2025-ARDT-LV4-176</t>
  </si>
  <si>
    <t>2025-ARDT-LV4-177</t>
  </si>
  <si>
    <t>2025-WFD-1048</t>
  </si>
  <si>
    <t>MAT</t>
  </si>
  <si>
    <t>Exist</t>
  </si>
  <si>
    <t>Freq</t>
  </si>
  <si>
    <t>Quantity x Freq</t>
  </si>
  <si>
    <t>available BOMs</t>
  </si>
  <si>
    <t>Cutters in These Bits</t>
  </si>
  <si>
    <t>MAT &amp; X#</t>
  </si>
  <si>
    <t>No</t>
  </si>
  <si>
    <t>Round 1313  ELITE RC 0.018" (O)</t>
  </si>
  <si>
    <t>Round 1308  ELITE RC O 0.020" (O)</t>
  </si>
  <si>
    <t>Long IPA 13    (C)</t>
  </si>
  <si>
    <t>Round 1613  OBS ELITE RC 0.018" (O)</t>
  </si>
  <si>
    <t>R1 13  R1 PEP .012R LG BEVEL  (D)</t>
  </si>
  <si>
    <t>Round 1919 CT27 BL 0.020" (P)</t>
  </si>
  <si>
    <t>Round 1613 CT36  0.020" (S)</t>
  </si>
  <si>
    <t>MMD63</t>
  </si>
  <si>
    <t>Round 1908 CT62  0.020" (B)</t>
  </si>
  <si>
    <t>Round 1313 CT61  0.020" (B)</t>
  </si>
  <si>
    <t>MMD54H</t>
  </si>
  <si>
    <t>Graphite 1325    ( )</t>
  </si>
  <si>
    <t>MMG64H</t>
  </si>
  <si>
    <t>MDR 1318    (D)</t>
  </si>
  <si>
    <t>Round 1913 CT70  0.018" (S)</t>
  </si>
  <si>
    <t>Round 1613 CT70  0.018" (S)</t>
  </si>
  <si>
    <t>Round 1913 CT82  0.018" (S)</t>
  </si>
  <si>
    <t>Round 1308 CT82  0.018" (S)</t>
  </si>
  <si>
    <t>Round 1613 CT82  0.018" (S)</t>
  </si>
  <si>
    <t>MMD64</t>
  </si>
  <si>
    <t>Drop In 1303 CT200   (B)</t>
  </si>
  <si>
    <t>Round 1313 CT70  0.018" (S)</t>
  </si>
  <si>
    <t>FMH3651H</t>
  </si>
  <si>
    <t>Round 1010 CT61  0.018" (B)</t>
  </si>
  <si>
    <t>Round 1010 CT80  0.018" (B)</t>
  </si>
  <si>
    <t>Round 1010 CT82  0.018" (S)</t>
  </si>
  <si>
    <t>Short Bullet 16 CT80 SBL 0.018" (B)</t>
  </si>
  <si>
    <t>Long Bullet 16 CT80 LBL 0.018" (B)</t>
  </si>
  <si>
    <t>Drop In 1308 CT31   (B)</t>
  </si>
  <si>
    <t>Round 1308 CT200  0.018" (B)</t>
  </si>
  <si>
    <t>Round 1313 CT82  0.018" (S)</t>
  </si>
  <si>
    <t>Round 1308 CT91  0.018" (B)</t>
  </si>
  <si>
    <t>Round 1608 CT82  0.018" (S)</t>
  </si>
  <si>
    <t>MMD76H</t>
  </si>
  <si>
    <t>Round 1010 CT81  0.018" (P)</t>
  </si>
  <si>
    <t>Round 1913 CT200  0.018" (B)</t>
  </si>
  <si>
    <t>SFD66CH</t>
  </si>
  <si>
    <t>Round 1613 CT81  0.018" (P)</t>
  </si>
  <si>
    <t>Round 1308 CT216  0.018" (S)</t>
  </si>
  <si>
    <t>Round 1313 CT81  0.018" (P)</t>
  </si>
  <si>
    <t>Round 1613 CT200  0.018" (B)</t>
  </si>
  <si>
    <t>Round 1313 CT200  0.018" (B)</t>
  </si>
  <si>
    <t>Carbide IA 1318    (C)</t>
  </si>
  <si>
    <t>Short Bullet 19 CT80 SBL 0.018" (B)</t>
  </si>
  <si>
    <t>Round 1913 CT80  0.018" (B)</t>
  </si>
  <si>
    <t>8.5 X 4</t>
  </si>
  <si>
    <t>FC3943i</t>
  </si>
  <si>
    <t>Round 1613 CT80  0.018" (B)</t>
  </si>
  <si>
    <t>Round 1308 CT66  0.018" (P)</t>
  </si>
  <si>
    <t>Round 1313 CR31  0.018" (T)</t>
  </si>
  <si>
    <t>Round 1308 CR31  0.018" (T)</t>
  </si>
  <si>
    <t>FC3937</t>
  </si>
  <si>
    <t>Round 1308 CT109  0.018" (S)</t>
  </si>
  <si>
    <t>Round 1313 CT109  0.018" (S)</t>
  </si>
  <si>
    <t>FC3743</t>
  </si>
  <si>
    <t>8 3/8 X 4</t>
  </si>
  <si>
    <t>FC3933</t>
  </si>
  <si>
    <t>Round 1313 CT138  0.018" (S)</t>
  </si>
  <si>
    <t>Round 1308 CT138  0.018" (S)</t>
  </si>
  <si>
    <t>Triple Diamond Element 1313    (B)</t>
  </si>
  <si>
    <t>GTD65Cs</t>
  </si>
  <si>
    <t>Round 1613 CT138  0.018" (S)</t>
  </si>
  <si>
    <t>Round 1608 CT138  0.018" (S)</t>
  </si>
  <si>
    <t>Round 1308 CT133  0.018" (S)</t>
  </si>
  <si>
    <t>Round 1608 CT133  0.018" (S)</t>
  </si>
  <si>
    <t>Short Bullet 16 CT66 SBL 0.018" (P)</t>
  </si>
  <si>
    <t>SF56</t>
  </si>
  <si>
    <t>Long Bullet 16 CT66 LBL 0.018" (P)</t>
  </si>
  <si>
    <t>Round 1308 CT70  0.018" (S)</t>
  </si>
  <si>
    <t>Round 1913 CT125  0.018" (S)</t>
  </si>
  <si>
    <t>Round 1913 CT138 TSP V 0.018" (S)</t>
  </si>
  <si>
    <t>Round 1613 CT216  0.018" (S)</t>
  </si>
  <si>
    <t>SFE65M</t>
  </si>
  <si>
    <t>Round 1313 CT216  0.018" (S)</t>
  </si>
  <si>
    <t>Round 1913 CT216  0.018" (S)</t>
  </si>
  <si>
    <t>Round 1613 CT125 GEDB 0.018" (S)</t>
  </si>
  <si>
    <t>SF366DH</t>
  </si>
  <si>
    <t>Round 1313 CT97 TBO-Cutter 0.018" (S)</t>
  </si>
  <si>
    <t>PDC Dome 1308 CT31   (B)</t>
  </si>
  <si>
    <t>Round 1913 CT97 TBO-Cutter 0.018" (S)</t>
  </si>
  <si>
    <t>MME65R</t>
  </si>
  <si>
    <t>Round 1313 CT125 GEDB 0.018" (S)</t>
  </si>
  <si>
    <t>Round 1613 CT405 GEDB 0.018" (P)</t>
  </si>
  <si>
    <t>Long Bullet 16 CT217 LBL 0.018" (B)</t>
  </si>
  <si>
    <t>Round 1318 CT220 Short M2 Steel PDC  (B)</t>
  </si>
  <si>
    <t>Carbide Dummy Cutter 1313    ( )</t>
  </si>
  <si>
    <t>Round 1608 CT200  0.018" (B)</t>
  </si>
  <si>
    <t>Round 1608 CT216  0.018" (S)</t>
  </si>
  <si>
    <t>Round 1608 CR31  0.018" (T)</t>
  </si>
  <si>
    <t>Round 1613 CR44  0.018" (T)</t>
  </si>
  <si>
    <t>Round 1913 CT418  0.018" (S)</t>
  </si>
  <si>
    <t>8 1/2" X 4"</t>
  </si>
  <si>
    <t>FC3843</t>
  </si>
  <si>
    <t>Round 1313 CT182  0.018" (S)</t>
  </si>
  <si>
    <t>Round 1913 CT81  0.018" (P)</t>
  </si>
  <si>
    <t>Round 1613 CT133  0.018" (S)</t>
  </si>
  <si>
    <t>Round 1913 CT182  0.018" (S)</t>
  </si>
  <si>
    <t>Round 1613 CT153/CR42 Test Cutter 0.018" (T)</t>
  </si>
  <si>
    <t>Round 1308 CT182  0.018" (S)</t>
  </si>
  <si>
    <t>SF75</t>
  </si>
  <si>
    <t>Round 1608 CT182  0.018" (S)</t>
  </si>
  <si>
    <t>Short Bullet 16 CT182 SBL 0.018" (S)</t>
  </si>
  <si>
    <t>Short Bullet 13 CT217 SBL 0.018" (B)</t>
  </si>
  <si>
    <t>Round 1308 CT153/CR42 Test Cutter 0.018" (T)</t>
  </si>
  <si>
    <t>GTI65H</t>
  </si>
  <si>
    <t>Round 1608 CT153/CR42 Test Cutter 0.018" (T)</t>
  </si>
  <si>
    <t>MM85D</t>
  </si>
  <si>
    <t>GTi76H</t>
  </si>
  <si>
    <t>Round 1608 CR45 Test Cutter  (T)</t>
  </si>
  <si>
    <t>GTi65DH</t>
  </si>
  <si>
    <t>Round 1608 CT70  0.018" (S)</t>
  </si>
  <si>
    <t>Short IA 8    (C)</t>
  </si>
  <si>
    <t>Round 1613 CT421  0.018" (S)</t>
  </si>
  <si>
    <t>Short IA 13    (C)</t>
  </si>
  <si>
    <t>Carbide IA 8    (C)</t>
  </si>
  <si>
    <t>Short Bullet 13 CT80 SBL 0.018" (B)</t>
  </si>
  <si>
    <t>8 3/8" X 4</t>
  </si>
  <si>
    <t>FC3843i</t>
  </si>
  <si>
    <t xml:space="preserve"> 13 CT143   ()</t>
  </si>
  <si>
    <t>Round 1608 CT 155  0.018 (T)</t>
  </si>
  <si>
    <t>Round 1308 CT 155  0.018 (T)</t>
  </si>
  <si>
    <t xml:space="preserve"> 1608 TEST USS-DL  0.01 ()</t>
  </si>
  <si>
    <t xml:space="preserve"> 19 CT182  0.018 (S)</t>
  </si>
  <si>
    <t xml:space="preserve"> 1613 CT144H  0.018 ()</t>
  </si>
  <si>
    <t xml:space="preserve"> 1613 CT182M  0.01 (S)</t>
  </si>
  <si>
    <t>12.25"</t>
  </si>
  <si>
    <t>MME65DMH</t>
  </si>
  <si>
    <t xml:space="preserve"> 1308 CT182  0.01 (S)</t>
  </si>
  <si>
    <t>TBO 13MM CT221   ()</t>
  </si>
  <si>
    <t>13MM CT228</t>
  </si>
  <si>
    <t>1613 CT155 0.018</t>
  </si>
  <si>
    <t>1308 CT154 0.018</t>
  </si>
  <si>
    <t>1608 CT154 0.018</t>
  </si>
  <si>
    <t>TBO 13MM 0.012R</t>
  </si>
  <si>
    <t>8 1/2" X 3 1/4"</t>
  </si>
  <si>
    <t>FC3647</t>
  </si>
  <si>
    <t>1010 CT182 U</t>
  </si>
  <si>
    <t xml:space="preserve">1308 CT418 10C </t>
  </si>
  <si>
    <t>13MM CT221 R1</t>
  </si>
  <si>
    <t>1308 CT154 0.018"</t>
  </si>
  <si>
    <t>1608 CT154 0.018"</t>
  </si>
  <si>
    <t>1913 CT421 0.018"</t>
  </si>
  <si>
    <t>1613 CT156 0.018"</t>
  </si>
  <si>
    <t>1313 CT421 0.018"</t>
  </si>
  <si>
    <t>1613 CT430MV3 U TBO</t>
  </si>
  <si>
    <t>8 1/2 X 4"</t>
  </si>
  <si>
    <t>1313 CT147G U</t>
  </si>
  <si>
    <t>1613 CT158 18C</t>
  </si>
  <si>
    <t>1913 CT158  18C</t>
  </si>
  <si>
    <t>1010 FMT U</t>
  </si>
  <si>
    <t>1313 CT158DM 10C</t>
  </si>
  <si>
    <t>Round 1613 CR45  0.018" (T)</t>
  </si>
  <si>
    <t>1613 CT147G U</t>
  </si>
  <si>
    <t>1318 CT221 R1</t>
  </si>
  <si>
    <t>1613 CT162 U</t>
  </si>
  <si>
    <t>GTi64H</t>
  </si>
  <si>
    <t>1613 CT418 U-60</t>
  </si>
  <si>
    <t>1613 CT162R U</t>
  </si>
  <si>
    <t>1313 CT418 U</t>
  </si>
  <si>
    <t>GT85WH</t>
  </si>
  <si>
    <t>1613 CT147R U</t>
  </si>
  <si>
    <t>1313 CT147R U</t>
  </si>
  <si>
    <t>1913 147R U</t>
  </si>
  <si>
    <t>1613 CT164R U</t>
  </si>
  <si>
    <t>1010 CT147G U</t>
  </si>
  <si>
    <t>1613 CT418 18-60</t>
  </si>
  <si>
    <t>1613 PMT 18C</t>
  </si>
  <si>
    <t>1913 PMT 18C</t>
  </si>
  <si>
    <t>1608 PMT 18C</t>
  </si>
  <si>
    <t>1613 CT418 U</t>
  </si>
  <si>
    <t>1313 CT147CV4 U</t>
  </si>
  <si>
    <t>GTD55H</t>
  </si>
  <si>
    <t>1613 CT147 18C</t>
  </si>
  <si>
    <t>1613 CT418 25-75</t>
  </si>
  <si>
    <t>1618 CT182 U-60 stator</t>
  </si>
  <si>
    <t>1618 CT182 U-60 Rotor</t>
  </si>
  <si>
    <t>1308 CT155 U-60</t>
  </si>
  <si>
    <t>1313 CT418 25-75</t>
  </si>
  <si>
    <t>1313 CT155 U-60</t>
  </si>
  <si>
    <t>1613 CT147 18-60</t>
  </si>
  <si>
    <t>1613 CT155 U-60</t>
  </si>
  <si>
    <t>1618 CT182 U-60 Ring</t>
  </si>
  <si>
    <t xml:space="preserve">1618 CT182 U-60 Carbide </t>
  </si>
  <si>
    <t xml:space="preserve">13MM WC-MAT400 </t>
  </si>
  <si>
    <t>1613 CT164 U</t>
  </si>
  <si>
    <t>1613 CT421 U</t>
  </si>
  <si>
    <t>1613 CT147 U-60</t>
  </si>
  <si>
    <t>FC3943</t>
  </si>
  <si>
    <t xml:space="preserve">8MM WC-MAT400 </t>
  </si>
  <si>
    <t>1613 MT U</t>
  </si>
  <si>
    <t>1613 PMT U</t>
  </si>
  <si>
    <t>1313 CT418 18-60</t>
  </si>
  <si>
    <t xml:space="preserve">1613 CT170 18-60 </t>
  </si>
  <si>
    <t>1005 CT155 U-60</t>
  </si>
  <si>
    <t>1613 CT418 DER</t>
  </si>
  <si>
    <t>1613 CT421 16-60</t>
  </si>
  <si>
    <t xml:space="preserve"> </t>
  </si>
  <si>
    <t>1913 CT164R U</t>
  </si>
  <si>
    <t>1613 CT154 U­60</t>
  </si>
  <si>
    <t>13MM WC­MAT404 NA</t>
  </si>
  <si>
    <t>12MM WC­MAT404 NA</t>
  </si>
  <si>
    <t>1613 PMT 18C­60</t>
  </si>
  <si>
    <t>60-U</t>
  </si>
  <si>
    <t>1613 CT172R U</t>
  </si>
  <si>
    <t>1313 RDOC NA</t>
  </si>
  <si>
    <t>1613 18C CT182H</t>
  </si>
  <si>
    <t>1608 18C CT421</t>
  </si>
  <si>
    <t>1608 CT418 0.018"</t>
  </si>
  <si>
    <t>1613 CT436Mv3 U-60</t>
  </si>
  <si>
    <t>1313 CT170T U</t>
  </si>
  <si>
    <t>FXD85</t>
  </si>
  <si>
    <t>1005 CT158 0.018"</t>
  </si>
  <si>
    <t>1613 CT176 0.018</t>
  </si>
  <si>
    <t>FM3763Z</t>
  </si>
  <si>
    <t>1913 CT172 R U</t>
  </si>
  <si>
    <t>1613 CT437 18-60</t>
  </si>
  <si>
    <t>1913 CT418 U-60</t>
  </si>
  <si>
    <t>1613 CT179 18-60</t>
  </si>
  <si>
    <t>1308 CT188 U-60</t>
  </si>
  <si>
    <t>1313 CT170W U</t>
  </si>
  <si>
    <t>1613 CT179R U</t>
  </si>
  <si>
    <t>1613 CT184R U</t>
  </si>
  <si>
    <t>1613 CT189 18-60</t>
  </si>
  <si>
    <t>FMH3853Z</t>
  </si>
  <si>
    <t>1313 CT436 18-60</t>
  </si>
  <si>
    <t>1313 CT436Mv3 U-60</t>
  </si>
  <si>
    <t>1313 CT154 U</t>
  </si>
  <si>
    <t>1313 CT154 U-60</t>
  </si>
  <si>
    <t>1308 CT182DM 10C</t>
  </si>
  <si>
    <t>1308 CT187 U-60</t>
  </si>
  <si>
    <t>1313 MV3 U-60</t>
  </si>
  <si>
    <t>1913 CT189 18-60</t>
  </si>
  <si>
    <t>FM3563Z</t>
  </si>
  <si>
    <t>1613 CT187 U-60</t>
  </si>
  <si>
    <t>1613 CT179T U-60</t>
  </si>
  <si>
    <t>1313 CT179T U-60</t>
  </si>
  <si>
    <t>FMH3651Z</t>
  </si>
  <si>
    <t>1613 CT172 18-60</t>
  </si>
  <si>
    <t>0808 CT158NL 0.018"</t>
  </si>
  <si>
    <t xml:space="preserve">12MM WC­MAT400 </t>
  </si>
  <si>
    <t>1313 CT188 Uc-60</t>
  </si>
  <si>
    <t>1308 CT418 18-60</t>
  </si>
  <si>
    <t>1613 CT188 U-60</t>
  </si>
  <si>
    <t>1613 CT186 U-60</t>
  </si>
  <si>
    <t>1613 CT186 18-60</t>
  </si>
  <si>
    <t>1313 CT187 U</t>
  </si>
  <si>
    <t>1613 CT186Mv3 U-60</t>
  </si>
  <si>
    <t>FMR3751Z</t>
  </si>
  <si>
    <t>1313 CT418Mv3 U</t>
  </si>
  <si>
    <t>1313 CT187 U-60</t>
  </si>
  <si>
    <t>1913 CT186 0.018"</t>
  </si>
  <si>
    <t>GT75 DH</t>
  </si>
  <si>
    <t>1913 CT418 18-60</t>
  </si>
  <si>
    <t>12MM CT200NL NA</t>
  </si>
  <si>
    <t>1313 CT421 18-60</t>
  </si>
  <si>
    <t>1313 CT179 U-60</t>
  </si>
  <si>
    <t>17 1/2"</t>
  </si>
  <si>
    <t>GTE85DHs</t>
  </si>
  <si>
    <t>1308 CT421 18-60</t>
  </si>
  <si>
    <t>1613 CT158H 0.018"</t>
  </si>
  <si>
    <t>13mm WC-MAT 404 NA</t>
  </si>
  <si>
    <t>1613 CT179R U-60</t>
  </si>
  <si>
    <t>1308 CT421 0.018"</t>
  </si>
  <si>
    <t>SFE66DH</t>
  </si>
  <si>
    <t>1608 CT421 U-60</t>
  </si>
  <si>
    <t>1218 UNI M3 Carbide NA</t>
  </si>
  <si>
    <t>1613 CT421 U-60</t>
  </si>
  <si>
    <t>1913 CT421 18-60</t>
  </si>
  <si>
    <t>GTi65DM</t>
  </si>
  <si>
    <t>GT65Hs</t>
  </si>
  <si>
    <t>MME65DM</t>
  </si>
  <si>
    <t>GTi65R</t>
  </si>
  <si>
    <t>MMD65R</t>
  </si>
  <si>
    <t>8 3/8"X 4"</t>
  </si>
  <si>
    <t>MME65H</t>
  </si>
  <si>
    <t>GTE65</t>
  </si>
  <si>
    <t>GTi65DMH</t>
  </si>
  <si>
    <t>5 7/8" X 2 5/8"</t>
  </si>
  <si>
    <t>FC3845</t>
  </si>
  <si>
    <t>8  3/8" X 4"</t>
  </si>
  <si>
    <t xml:space="preserve"> GT65DH</t>
  </si>
  <si>
    <t>FX96D</t>
  </si>
  <si>
    <t>MMG75H</t>
  </si>
  <si>
    <t>MME75H</t>
  </si>
  <si>
    <t>FMFX651Z</t>
  </si>
  <si>
    <t xml:space="preserve">12    </t>
  </si>
  <si>
    <t>GTE75MH</t>
  </si>
  <si>
    <t>22"</t>
  </si>
  <si>
    <t>SF96DH</t>
  </si>
  <si>
    <t>SF65H</t>
  </si>
  <si>
    <t>GTI65DH</t>
  </si>
  <si>
    <t>SF86DH</t>
  </si>
  <si>
    <t>SF76H</t>
  </si>
  <si>
    <t>MM86DH</t>
  </si>
  <si>
    <t>MME65DH</t>
  </si>
  <si>
    <t>MM96D</t>
  </si>
  <si>
    <t>MM95H</t>
  </si>
  <si>
    <t>FXD45D</t>
  </si>
  <si>
    <t>GT75DHA</t>
  </si>
  <si>
    <t>1160951-old</t>
  </si>
  <si>
    <t>1157663M</t>
  </si>
  <si>
    <t>GTD54Hs</t>
  </si>
  <si>
    <t>Saad:Change from 1141549 to 1224225. Bullets to Cylinders. Use 1059290M BOM for now untill Level-5 is issued for this bit. Manually change BOM. Attached</t>
  </si>
  <si>
    <t>Saad:Use 1218197M BOM. Change 1313 0.010 PMT to CT427. Attached</t>
  </si>
  <si>
    <t xml:space="preserve">Saad:Use 1201087M BOM. Change 1308 as 1308 0.010 CT418. Attached </t>
  </si>
  <si>
    <t>Saad:Change from 1107565 to 1221158. Bullets to Cylinders. Use 903299M BOM for now untill Level-5 is issued for this bit. Manually change BOM.</t>
  </si>
  <si>
    <t>5-7/8"</t>
  </si>
  <si>
    <t>Saad: We are using 1177229 instead of 1165796. So whichever bit needs 1165796, change it to 1177229 and update the inventory sheet accordingly.</t>
  </si>
  <si>
    <t>Saad: Change from 1141549 to 1224225. Bullets to Cylinders. Use 1059290 BOM for now until Level-5 is issued for this bit. Manually change BOM and assign as 1059290M or 1224225M.</t>
  </si>
  <si>
    <t>Saad: 1010 U CT182 cutters MN 1177229 instead of PMT. Manually change BOM and assign as 1223749M or 1224750M.</t>
  </si>
  <si>
    <t>Saad: Cutter Map Attached. Use 1201087M BOM with 1308 as CT427 and change 1313 and 1308 count. Manually change BOM and assign as 1201087M or 1229062M.</t>
  </si>
  <si>
    <t>Saad: We need to take level-3 MN 1198387 and braze it to level-5 MN 1226735. Change Bit Type: HD64K. 1313 CT158H (1220334) cutter is not availableand the replacement is 1104083 CT144H 10C as per Saad</t>
  </si>
  <si>
    <t>1240803M</t>
  </si>
  <si>
    <t>Saad: All these (PMT) will be CT182. Wed 5/24/2023 2:39 PM</t>
  </si>
  <si>
    <t>18C60</t>
  </si>
  <si>
    <t>WCMAT400</t>
  </si>
  <si>
    <t>1158011M</t>
  </si>
  <si>
    <t>1228782M</t>
  </si>
  <si>
    <t>1158011M1</t>
  </si>
  <si>
    <t>1176919M</t>
  </si>
  <si>
    <t>1249569M</t>
  </si>
  <si>
    <t>GT75DOs</t>
  </si>
  <si>
    <t>1254482-old</t>
  </si>
  <si>
    <t>1257458-old</t>
  </si>
  <si>
    <t>1263805-old</t>
  </si>
  <si>
    <t>1267829-old</t>
  </si>
  <si>
    <t>1269308-old</t>
  </si>
  <si>
    <t>1269498M5</t>
  </si>
  <si>
    <t>1268728-old</t>
  </si>
  <si>
    <t> 1283482</t>
  </si>
  <si>
    <t>1251085M</t>
  </si>
  <si>
    <t>1270865M1</t>
  </si>
  <si>
    <t>Required Qty</t>
  </si>
  <si>
    <t>Multiply</t>
  </si>
  <si>
    <t>Total</t>
  </si>
  <si>
    <t>Availability</t>
  </si>
  <si>
    <t>BOM requirement (12/24/24)</t>
  </si>
  <si>
    <t>On Order (12/24/2024)</t>
  </si>
  <si>
    <t>LEVEL 5:</t>
  </si>
  <si>
    <t>Level 3/4:</t>
  </si>
  <si>
    <t>Bits count</t>
  </si>
  <si>
    <t>h</t>
  </si>
  <si>
    <t>Bit S/N</t>
  </si>
  <si>
    <t>LEVEL</t>
  </si>
  <si>
    <t>L5 MN</t>
  </si>
  <si>
    <t>Ordered Qty</t>
  </si>
  <si>
    <t>Bits</t>
  </si>
  <si>
    <t>Total Inventory cutters</t>
  </si>
  <si>
    <t>Total Cutters Order/Consume</t>
  </si>
  <si>
    <t>Check</t>
  </si>
  <si>
    <t>Update date</t>
  </si>
  <si>
    <t>Total bits</t>
  </si>
  <si>
    <t>Added bits</t>
  </si>
  <si>
    <t>Brazed bits</t>
  </si>
  <si>
    <t>Total with ENO crack &amp; ground Cutters</t>
  </si>
  <si>
    <t xml:space="preserve">BOM requirement for L3-L4 </t>
  </si>
  <si>
    <t xml:space="preserve">Repair Aramco 3.3 Batch </t>
  </si>
  <si>
    <t>Repair Aramco 4th Batch</t>
  </si>
  <si>
    <t xml:space="preserve">On Order Level-3-4 </t>
  </si>
  <si>
    <t>On Order LSTK</t>
  </si>
  <si>
    <t>ON Order Aramco Repair</t>
  </si>
  <si>
    <t>Required Qty of Cutters</t>
  </si>
  <si>
    <t>Received</t>
  </si>
  <si>
    <t>New Consumed</t>
  </si>
  <si>
    <t>Reclaim Consumed</t>
  </si>
  <si>
    <t>New</t>
  </si>
  <si>
    <t>Reclaim</t>
  </si>
  <si>
    <t>7/25/2024</t>
  </si>
  <si>
    <t xml:space="preserve">Approved by Saad: </t>
  </si>
  <si>
    <t>CF.2(07/29/2024)</t>
  </si>
  <si>
    <t>XR Reamers</t>
  </si>
  <si>
    <t>XR</t>
  </si>
  <si>
    <t>PLUG, CF BOTTOM SUB</t>
  </si>
  <si>
    <t>O-RING AS568-125 FLO 90DR</t>
  </si>
  <si>
    <t>WIRE RETAINING RING</t>
  </si>
  <si>
    <t>MCMASTER#97913A116,WLWasher M12 Scre Sz</t>
  </si>
  <si>
    <t>REG short THRD PRTCTR ELECT BIT</t>
  </si>
  <si>
    <t>Cerebro Force Main - Size Specific Items</t>
  </si>
  <si>
    <t>3-1/2", 6-5/8"</t>
  </si>
  <si>
    <t>EROSION SLEEVES 3 1/2" REG PIN</t>
  </si>
  <si>
    <t>3-1/2"</t>
  </si>
  <si>
    <t>6-5/8"</t>
  </si>
  <si>
    <t>1/3D BATTERY ASSY</t>
  </si>
  <si>
    <t>2024-0056</t>
  </si>
  <si>
    <t>CF2 BOARD SPACER ASSEMBLY</t>
  </si>
  <si>
    <t>DEEP POCKET CAP 6 5/8 REG API CEREBRO FORCE</t>
  </si>
  <si>
    <t>CF2.0 BATTERY PLASTIC</t>
  </si>
  <si>
    <t>Deep Pocekt battery plastic bottom</t>
  </si>
  <si>
    <t>Deep Pocekt battery plastic top</t>
  </si>
  <si>
    <t>Spacer fishing wire 5 pin</t>
  </si>
  <si>
    <t>Spacer fishing wire 9 pin</t>
  </si>
  <si>
    <t>Wiring Harness 7 5/8"</t>
  </si>
  <si>
    <t>torpido BATTERY</t>
  </si>
  <si>
    <t>10 Batteries received but not as required.</t>
  </si>
  <si>
    <t xml:space="preserve">Torpedo Senser </t>
  </si>
  <si>
    <t>1 INSTALLED ON 8.5"(sn# 13994929)</t>
  </si>
  <si>
    <t>Wiring Harness 4 1/2"</t>
  </si>
  <si>
    <t>Number</t>
  </si>
  <si>
    <t xml:space="preserve">Mat # </t>
  </si>
  <si>
    <t>MF Date</t>
  </si>
  <si>
    <t>Expiry Date</t>
  </si>
  <si>
    <t xml:space="preserve">LN# </t>
  </si>
  <si>
    <t>Lithium Battery</t>
  </si>
  <si>
    <t>LIR1/2AA-HT</t>
  </si>
  <si>
    <t>SW.W41646-2722</t>
  </si>
  <si>
    <t>SW.W41283-4821</t>
  </si>
  <si>
    <t>Old</t>
  </si>
  <si>
    <t>SW.W40992-4721</t>
  </si>
  <si>
    <t>W40871.2621</t>
  </si>
  <si>
    <t>SW.W40872.3121</t>
  </si>
  <si>
    <t>LIR1/30165HT</t>
  </si>
  <si>
    <t>SW-W42141-4622</t>
  </si>
  <si>
    <t>ER32L65</t>
  </si>
  <si>
    <t>PR0-020173-3121</t>
  </si>
  <si>
    <t>RCFC</t>
  </si>
  <si>
    <t>Loc</t>
  </si>
  <si>
    <t>FC</t>
  </si>
  <si>
    <t>C11</t>
  </si>
  <si>
    <t>3uppersectionremoved</t>
  </si>
  <si>
    <r>
      <t> </t>
    </r>
    <r>
      <rPr>
        <b/>
        <u/>
        <sz val="12"/>
        <color indexed="8"/>
        <rFont val="Calibri"/>
        <family val="2"/>
      </rPr>
      <t>Assigned Mat#:</t>
    </r>
    <r>
      <rPr>
        <sz val="11"/>
        <color indexed="8"/>
        <rFont val="Calibri"/>
        <family val="2"/>
      </rPr>
      <t xml:space="preserve"> Cutters Order against PO 2023-xxx - Wed 9/27/2023 2:30 PM</t>
    </r>
  </si>
  <si>
    <t>C6</t>
  </si>
  <si>
    <t>31157663M</t>
  </si>
  <si>
    <t>US</t>
  </si>
  <si>
    <t>US Description</t>
  </si>
  <si>
    <t>CS55RKHOs</t>
  </si>
  <si>
    <t>C14</t>
  </si>
  <si>
    <t>C7</t>
  </si>
  <si>
    <t>31092981M</t>
  </si>
  <si>
    <t>UPPER SECTION 7-5/8 REG DU758</t>
  </si>
  <si>
    <t>41212881MUSE1201087MBOM</t>
  </si>
  <si>
    <t>41201087M1229062M</t>
  </si>
  <si>
    <t>noupp</t>
  </si>
  <si>
    <t>31190973holdbyquality</t>
  </si>
  <si>
    <t>MM86D</t>
  </si>
  <si>
    <t>Saad: Below order to be placed additionally for 2nd Oct,23</t>
  </si>
  <si>
    <t>GT65RHs </t>
  </si>
  <si>
    <t>31220553M</t>
  </si>
  <si>
    <t>Saad: Below order  placed on 18th of Oct,23</t>
  </si>
  <si>
    <t>Final Order</t>
  </si>
  <si>
    <t>1245350M</t>
  </si>
  <si>
    <t>Assigned Mat#: Cutters Order against PO 2023-xxx - 29 Oct,23</t>
  </si>
  <si>
    <t>1158011M5</t>
  </si>
  <si>
    <t>1245350M5</t>
  </si>
  <si>
    <t>Taken from Fatima's list.</t>
  </si>
  <si>
    <t>2023-0354</t>
  </si>
  <si>
    <t>1269498M</t>
  </si>
  <si>
    <t>Assigned Mat#: Cutters Order against PO 2023-xxx - 12 Nov,23</t>
  </si>
  <si>
    <t>3903299M</t>
  </si>
  <si>
    <t>Assigned Mat#: Cutters Order against PO 2023-xxx - 29 Nov,23</t>
  </si>
  <si>
    <t>Mat# - Level-3/4</t>
  </si>
  <si>
    <t>Level</t>
  </si>
  <si>
    <t>Upper Section</t>
  </si>
  <si>
    <t>BOM</t>
  </si>
  <si>
    <t>Need to update</t>
  </si>
  <si>
    <t>Already there</t>
  </si>
  <si>
    <t xml:space="preserve">UPPER SECTION 7-5/8 REG DU758 </t>
  </si>
  <si>
    <t>Mat# - Level-4</t>
  </si>
  <si>
    <t>2023-0400</t>
  </si>
  <si>
    <r>
      <t> </t>
    </r>
    <r>
      <rPr>
        <b/>
        <u/>
        <sz val="12"/>
        <color indexed="8"/>
        <rFont val="Calibri"/>
        <family val="2"/>
      </rPr>
      <t>Assigned Mat#:</t>
    </r>
    <r>
      <rPr>
        <sz val="11"/>
        <color indexed="8"/>
        <rFont val="Calibri"/>
        <family val="2"/>
      </rPr>
      <t>12/14/2023 10:08 AM</t>
    </r>
  </si>
  <si>
    <t>Comments</t>
  </si>
  <si>
    <t>Waive off nitriding</t>
  </si>
  <si>
    <t>Inform Houston about Hardfacing damage seen on this bit before</t>
  </si>
  <si>
    <t>UPPER SECTION 7 5/8 REG DU759</t>
  </si>
  <si>
    <r>
      <t> </t>
    </r>
    <r>
      <rPr>
        <b/>
        <u/>
        <sz val="12"/>
        <color indexed="8"/>
        <rFont val="Calibri"/>
        <family val="2"/>
      </rPr>
      <t>Assigned Mat#:</t>
    </r>
    <r>
      <rPr>
        <sz val="11"/>
        <color indexed="8"/>
        <rFont val="Calibri"/>
        <family val="2"/>
      </rPr>
      <t xml:space="preserve"> Saad Sun 12/24/2023 2:47 PM</t>
    </r>
  </si>
  <si>
    <t>UPPER SECTION 2 3/8 REG SS DU765</t>
  </si>
  <si>
    <r>
      <t> </t>
    </r>
    <r>
      <rPr>
        <b/>
        <u/>
        <sz val="12"/>
        <color indexed="8"/>
        <rFont val="Calibri"/>
        <family val="2"/>
      </rPr>
      <t>Assigned Mat#:</t>
    </r>
    <r>
      <rPr>
        <sz val="11"/>
        <color indexed="8"/>
        <rFont val="Calibri"/>
        <family val="2"/>
      </rPr>
      <t xml:space="preserve"> Saad Sun 1/14/2024 2:22 PM</t>
    </r>
  </si>
  <si>
    <t>Order Level</t>
  </si>
  <si>
    <t>1239257M</t>
  </si>
  <si>
    <t>Use 1268728 cutter Map</t>
  </si>
  <si>
    <t>Assigned Mat#: Saad Thu 1/25/2024 2:59 PM</t>
  </si>
  <si>
    <t>2024-0018</t>
  </si>
  <si>
    <t>UPPER SECTION 2-3/8 REG DU238 </t>
  </si>
  <si>
    <t> UPPER SECTION 3-1/2 REG DU312</t>
  </si>
  <si>
    <t>Waive off nitriding. After completion, ask Houston to check Hardfacing depth and pocket damage with ARDT quality team</t>
  </si>
  <si>
    <t>ON Order</t>
  </si>
  <si>
    <t>QTY</t>
  </si>
  <si>
    <r>
      <t>11</t>
    </r>
    <r>
      <rPr>
        <sz val="10"/>
        <color rgb="FF000000"/>
        <rFont val="Arial"/>
        <family val="2"/>
      </rPr>
      <t xml:space="preserve">   </t>
    </r>
  </si>
  <si>
    <t xml:space="preserve">3    </t>
  </si>
  <si>
    <t xml:space="preserve">16    </t>
  </si>
  <si>
    <r>
      <t>1</t>
    </r>
    <r>
      <rPr>
        <sz val="10"/>
        <color rgb="FF000000"/>
        <rFont val="Arial"/>
        <family val="2"/>
      </rPr>
      <t xml:space="preserve">   </t>
    </r>
  </si>
  <si>
    <t xml:space="preserve">4    </t>
  </si>
  <si>
    <t xml:space="preserve">2    </t>
  </si>
  <si>
    <t xml:space="preserve">5    </t>
  </si>
  <si>
    <t>Qty Total</t>
  </si>
  <si>
    <t>1262047M </t>
  </si>
  <si>
    <t>1272920M </t>
  </si>
  <si>
    <t>Monday, February 26, 2024 12:12:43 PM</t>
  </si>
  <si>
    <t>UPPER SECTION 2-3/8 REG DU238</t>
  </si>
  <si>
    <t> 697263</t>
  </si>
  <si>
    <t xml:space="preserve">UPPER SECTION 4 1/2 REG SS DU29508   </t>
  </si>
  <si>
    <t>UPPER SECTION 4-1/2 REG DU412</t>
  </si>
  <si>
    <t>BOM Attached</t>
  </si>
  <si>
    <r>
      <t> </t>
    </r>
    <r>
      <rPr>
        <sz val="11"/>
        <color rgb="FF000000"/>
        <rFont val="Calibri"/>
        <family val="2"/>
      </rPr>
      <t>Level-3</t>
    </r>
  </si>
  <si>
    <r>
      <t> </t>
    </r>
    <r>
      <rPr>
        <b/>
        <u/>
        <sz val="12"/>
        <color indexed="8"/>
        <rFont val="Calibri"/>
        <family val="2"/>
      </rPr>
      <t>Assigned Mat#:</t>
    </r>
  </si>
  <si>
    <t>Tue 3/12/2024 10:51 AM</t>
  </si>
  <si>
    <t>Attached</t>
  </si>
  <si>
    <t> Assigned Mat#:</t>
  </si>
  <si>
    <t>Tuesday, March 12, 2024 10:21 AM</t>
  </si>
  <si>
    <t>Missed and added by 4/20/2024</t>
  </si>
  <si>
    <t>Bit Type</t>
  </si>
  <si>
    <t>Account</t>
  </si>
  <si>
    <t>Order</t>
  </si>
  <si>
    <t>Tue 4/2/2024 2:06 PM</t>
  </si>
  <si>
    <r>
      <t> </t>
    </r>
    <r>
      <rPr>
        <b/>
        <sz val="11"/>
        <color rgb="FF000000"/>
        <rFont val="Calibri"/>
        <family val="2"/>
      </rPr>
      <t>Size</t>
    </r>
  </si>
  <si>
    <t>UPPER SECTION 3-1/2 REG DU312</t>
  </si>
  <si>
    <t>UPPER SECTION 4 1/2 REG SS DU29508</t>
  </si>
  <si>
    <t>Wednesday, May 1, 2024 11:34:46 AM</t>
  </si>
  <si>
    <t>Upper Section Description</t>
  </si>
  <si>
    <t>Level-5</t>
  </si>
  <si>
    <t>From: Saad</t>
  </si>
  <si>
    <t>Monday, May 20, 2024 9:17 AM</t>
  </si>
  <si>
    <r>
      <t> </t>
    </r>
    <r>
      <rPr>
        <b/>
        <u/>
        <sz val="11"/>
        <color indexed="8"/>
        <rFont val="Calibri"/>
        <family val="2"/>
      </rPr>
      <t>Total Order as below;</t>
    </r>
  </si>
  <si>
    <t>7 x 8 1/2" GT65RHs - MN 1158011 - LVL-4</t>
  </si>
  <si>
    <t>1 x 12" GTD55WKH (CF) - MN 1290130 - LVL-4</t>
  </si>
  <si>
    <t>3 x 6 1/8" GT64KHO (ES Sleeve bit) - MN 1214858 - LVL-4</t>
  </si>
  <si>
    <t>2 x 12 1/4" HD75WF - MN 1267122 - LVL-4</t>
  </si>
  <si>
    <r>
      <t xml:space="preserve">1 x 17" GT65WKH - </t>
    </r>
    <r>
      <rPr>
        <b/>
        <sz val="11"/>
        <color rgb="FFFF0000"/>
        <rFont val="Calibri"/>
        <family val="2"/>
      </rPr>
      <t>MN 1207425 - LVL-5</t>
    </r>
  </si>
  <si>
    <t>2 x 16" HD75Fs - MN 1255451 - LVL-4</t>
  </si>
  <si>
    <t>2 x 8 1/2" HD65O - MN 1255267 - LVL-4</t>
  </si>
  <si>
    <t>Thu 6/6/2024 10:39 AM</t>
  </si>
  <si>
    <t>As per Saad</t>
  </si>
  <si>
    <t>Sunday, June 30, 2024</t>
  </si>
  <si>
    <t>Below already ordered</t>
  </si>
  <si>
    <t>1281273M</t>
  </si>
  <si>
    <t>Mon 7/1/2024 9:45 AM</t>
  </si>
  <si>
    <t>Thu 8/1/2024 3:23 PM</t>
  </si>
  <si>
    <t>Found In fatimah's records.</t>
  </si>
  <si>
    <t>Item</t>
  </si>
  <si>
    <t xml:space="preserve">Total Rec </t>
  </si>
  <si>
    <t>Remining</t>
  </si>
  <si>
    <t>PDC/RC</t>
  </si>
  <si>
    <t>IADC</t>
  </si>
  <si>
    <t>Required Date</t>
  </si>
  <si>
    <t>SO</t>
  </si>
  <si>
    <t>OPEN</t>
  </si>
  <si>
    <t>PDC</t>
  </si>
  <si>
    <t>Assigned Mat#: Wed 9/4/2024 7:11 AM</t>
  </si>
  <si>
    <t>Thu 10/3/2024 10:25 AM</t>
  </si>
  <si>
    <t>LVL</t>
  </si>
  <si>
    <t>U/S 2-3/8 REG STD NS DU765</t>
  </si>
  <si>
    <t>U/S 2-3/8 REG STD DU238</t>
  </si>
  <si>
    <t>U/S 4-1/2 REG STD SRG DU412</t>
  </si>
  <si>
    <t> 5</t>
  </si>
  <si>
    <t>M444</t>
  </si>
  <si>
    <t>M323</t>
  </si>
  <si>
    <t>Thursday, October 31, 2024 9:57 PM</t>
  </si>
  <si>
    <t> N/A</t>
  </si>
  <si>
    <t>N/A </t>
  </si>
  <si>
    <t>U/S 7-5/8 REG STDS SRG DU759</t>
  </si>
  <si>
    <t>Tue 11/26/2024 3:37 PM</t>
  </si>
  <si>
    <t>Order LVL</t>
  </si>
  <si>
    <t>U/S 3-1/2 REG STD DU312</t>
  </si>
  <si>
    <t>2001502M</t>
  </si>
  <si>
    <t>U/S 6-5/8 REG LG STD SRG DU659</t>
  </si>
  <si>
    <t>U/S 7-5/8 REG STD SRG DU758</t>
  </si>
  <si>
    <t xml:space="preserve">Glinik PO </t>
  </si>
  <si>
    <t>Rec Qty</t>
  </si>
  <si>
    <t>In Trans</t>
  </si>
  <si>
    <t>In Production</t>
  </si>
  <si>
    <t>AWB No#</t>
  </si>
  <si>
    <t>Shipping Date</t>
  </si>
  <si>
    <t>ETA Date</t>
  </si>
  <si>
    <t xml:space="preserve">Clearance ETA </t>
  </si>
  <si>
    <t>Recd Date</t>
  </si>
  <si>
    <t>176-7663-3384</t>
  </si>
  <si>
    <t>176-0273-2995</t>
  </si>
  <si>
    <t>Thu 12/19/2024 3:34 PM</t>
  </si>
  <si>
    <t>Break Out Plate (Mat.#/Legacy#)</t>
  </si>
  <si>
    <t>Bit Breaker Description</t>
  </si>
  <si>
    <t>181951 / 44010</t>
  </si>
  <si>
    <t>44010 BREAKER PLATE REV H</t>
  </si>
  <si>
    <t>181953 / 44030</t>
  </si>
  <si>
    <t>44030 REV I BREAKER PLATE</t>
  </si>
  <si>
    <t>181954 / 44040</t>
  </si>
  <si>
    <t>44040 REV H BREAKER PLATE</t>
  </si>
  <si>
    <t>1058252M1</t>
  </si>
  <si>
    <t>181956 / 44060</t>
  </si>
  <si>
    <t>44060 BREAKER PLATE REV J</t>
  </si>
  <si>
    <t>181957 / 44070</t>
  </si>
  <si>
    <t>44070 REV E BREAKER PLATE</t>
  </si>
  <si>
    <t>Wed 1/22/2025 4:57 PM</t>
  </si>
  <si>
    <t>1276799 / 44625496</t>
  </si>
  <si>
    <t>44625496 5.875-6.125 HX BITBREAKER</t>
  </si>
  <si>
    <t>181960 / 44073</t>
  </si>
  <si>
    <t>44073 BREAKER PLATE REV H</t>
  </si>
  <si>
    <t>181958 / 44071</t>
  </si>
  <si>
    <t>44071 REV I BREAKER PLATE</t>
  </si>
  <si>
    <t>181955 / 44050</t>
  </si>
  <si>
    <t>44050 REV K BREAKER PLATE</t>
  </si>
  <si>
    <t>44736 REV D BREAKER PLATE</t>
  </si>
  <si>
    <t>Found In fatimah's records. 2/3/2025</t>
  </si>
  <si>
    <t>Mon 3/3/2025 7:00 AM</t>
  </si>
  <si>
    <t>181953 / 44030 </t>
  </si>
  <si>
    <t>44030 REV I BREAKER PLATE </t>
  </si>
  <si>
    <t>44050 REV H BREAKER PLATE</t>
  </si>
  <si>
    <t>1033011M2</t>
  </si>
  <si>
    <t>1058252M2</t>
  </si>
  <si>
    <t xml:space="preserve">Assigned Mat#: </t>
  </si>
  <si>
    <t>Sunday, May 25, 2025 2:38:44 PM</t>
  </si>
  <si>
    <t>Tuesday, June 24, 2025 3:21:59 PM</t>
  </si>
  <si>
    <t>N/A N/A 44071 44071 REV I BREAKER PLATE 44071 REV I BREAKER PLATE</t>
  </si>
  <si>
    <t> 179835</t>
  </si>
  <si>
    <t>44030 REV J BREAKER PLATE</t>
  </si>
  <si>
    <t>44040 REV I BREAKER PLATE</t>
  </si>
  <si>
    <t> 44050 REV L BREAKER PLATE</t>
  </si>
  <si>
    <t>part no</t>
  </si>
  <si>
    <t xml:space="preserve">ground </t>
  </si>
  <si>
    <t>crack cutter</t>
  </si>
  <si>
    <t>COMPONENTS</t>
  </si>
  <si>
    <t>Saad Email: Below is the cutter order for Sep,22 with level-5 details. Few BOM’s listed in below table are manually updated. Attached for your reference. 9/4/2022 2:47 PM</t>
  </si>
  <si>
    <t>GRN Date</t>
  </si>
  <si>
    <t>Bit Level</t>
  </si>
  <si>
    <t>PLLT</t>
  </si>
  <si>
    <t>1059290M/1224225M</t>
  </si>
  <si>
    <t>Order Level-3</t>
  </si>
  <si>
    <t>Change from 1141549 to 1224225. Bullets to Cylinders. Use 1059290 BOM for now until Level-5 is issued for this bit. Manually change BOM and assign as 1059290M or 1224225M.</t>
  </si>
  <si>
    <t>1010 U CT182 cutters MN 1177229 instead of PMT. Manually change BOM and assign as 1223749M or 1224750M.</t>
  </si>
  <si>
    <t>1201087M/1229062M</t>
  </si>
  <si>
    <t>Cutter Map Attached. Use 1201087M BOM with 1308 as CT427 and change 1313 and 1308 count. Manually change BOM and assign as 1201087M or 1229062M.</t>
  </si>
  <si>
    <t>Saad Email: Below is the Revised cutter order for with level-5 details. Level-3 Cutters Revise Order 11 Sep,22. 11 Sep,22 - Rev2, Sun 9/11/2022 2:49 PM</t>
  </si>
  <si>
    <t>Manual BOM</t>
  </si>
  <si>
    <t>C15</t>
  </si>
  <si>
    <t>Saad Email: Below is the cutter order for Oct,22 with level-5 details. Cutters Order against PO 2022-xxx - Oct,22,  Thu 9/29/2022 3:41 PM</t>
  </si>
  <si>
    <t>1059290M</t>
  </si>
  <si>
    <t>Order Level-4</t>
  </si>
  <si>
    <t>Saad Email: Cutters Order against PO 2022-xxx - 13th Oct,22, Thu 10/13/2022 12:52 PM</t>
  </si>
  <si>
    <t>31083564M</t>
  </si>
  <si>
    <t>Saad Email: Cutters Order against PO 2022-xxx - 2nd Nov,22, Wed 11/2/2022 10:37 AM</t>
  </si>
  <si>
    <t>C12</t>
  </si>
  <si>
    <t>Order level-5</t>
  </si>
  <si>
    <t>Saad Email: Cutters Order against PO 2022-xxx - 09 Nov,22, Wed 11/9/2022 10:59 AM</t>
  </si>
  <si>
    <t>C2</t>
  </si>
  <si>
    <t>8.375"</t>
  </si>
  <si>
    <t>FX65</t>
  </si>
  <si>
    <t>C8</t>
  </si>
  <si>
    <t>Z1</t>
  </si>
  <si>
    <t>C10</t>
  </si>
  <si>
    <t>Here is L3 &amp; L4 on order as of 8/31/22</t>
  </si>
  <si>
    <t>L5</t>
  </si>
  <si>
    <t>Assy/Part NO</t>
  </si>
  <si>
    <t xml:space="preserve">Level </t>
  </si>
  <si>
    <t xml:space="preserve">7    </t>
  </si>
  <si>
    <t xml:space="preserve">1    </t>
  </si>
  <si>
    <t xml:space="preserve">18    </t>
  </si>
  <si>
    <t xml:space="preserve">14    </t>
  </si>
  <si>
    <t xml:space="preserve">6    </t>
  </si>
  <si>
    <t xml:space="preserve">17    </t>
  </si>
  <si>
    <t>CS55RKHO</t>
  </si>
  <si>
    <t>Cutters Part #</t>
  </si>
  <si>
    <t>1141552M</t>
  </si>
  <si>
    <t xml:space="preserve"> CT153 0.010"</t>
  </si>
  <si>
    <t xml:space="preserve"> CR42 0.018"</t>
  </si>
  <si>
    <t xml:space="preserve"> CR45 0.018"</t>
  </si>
  <si>
    <t xml:space="preserve"> CR45 0.01+DL119:DR1198"</t>
  </si>
  <si>
    <t xml:space="preserve"> CT138 0.018"</t>
  </si>
  <si>
    <t xml:space="preserve"> CT138 0.010"</t>
  </si>
  <si>
    <t>Drop in CT31</t>
  </si>
  <si>
    <t>1103149M</t>
  </si>
  <si>
    <t xml:space="preserve"> CT200 0.018"</t>
  </si>
  <si>
    <t xml:space="preserve"> CT133 0.018"</t>
  </si>
  <si>
    <t xml:space="preserve"> CT182 0.018</t>
  </si>
  <si>
    <t xml:space="preserve"> CT182 0.018"</t>
  </si>
  <si>
    <t>1061407M</t>
  </si>
  <si>
    <t xml:space="preserve"> CT216 0.018"</t>
  </si>
  <si>
    <t xml:space="preserve"> CT418 0.018"</t>
  </si>
  <si>
    <t>1084341M</t>
  </si>
  <si>
    <t xml:space="preserve"> CT182 0.010"</t>
  </si>
  <si>
    <t>Adjustments to remove the Ground cutters</t>
  </si>
  <si>
    <t>14012924R8</t>
  </si>
  <si>
    <t>changed from 1608CT421 U-60, 2024742</t>
  </si>
  <si>
    <t>2025-0339</t>
  </si>
  <si>
    <t>2025-0359</t>
  </si>
  <si>
    <t>Removed to adjust with fatima's list</t>
  </si>
  <si>
    <t>14254494R2</t>
  </si>
  <si>
    <t>2025-UR-1123</t>
  </si>
  <si>
    <t>2025-UR-1120</t>
  </si>
  <si>
    <t>2025-UR-1131</t>
  </si>
  <si>
    <t>2025-UR-1129</t>
  </si>
  <si>
    <t>2025-ARDT-LV4-178</t>
  </si>
  <si>
    <t>14340871R2</t>
  </si>
  <si>
    <t>14353148R2</t>
  </si>
  <si>
    <t>14369051R1</t>
  </si>
  <si>
    <t>1313 CT158H 10C</t>
  </si>
  <si>
    <t>1613 CT179P 18-60</t>
  </si>
  <si>
    <t>1613 CT418P U-60</t>
  </si>
  <si>
    <t>1313 CT187P U-60</t>
  </si>
  <si>
    <t>1613 CT187P U-60</t>
  </si>
  <si>
    <t>1313 CT418P 18-60</t>
  </si>
  <si>
    <t>1313 CT176P 18-60</t>
  </si>
  <si>
    <t>1313 CT182H 18C</t>
  </si>
  <si>
    <t>1613 CT179T U</t>
  </si>
  <si>
    <t>1608 CT421 U</t>
  </si>
  <si>
    <t>1 1613 18C60 CT179 17 1288783</t>
  </si>
  <si>
    <t>2 13MM NA CT221NL 15 1078377</t>
  </si>
  <si>
    <t>3 1613 U60 CT418 8 1208601</t>
  </si>
  <si>
    <t>4 1308 DROPIN CT31 6 418525</t>
  </si>
  <si>
    <t>5 1613 18C60 CT418 6 1146737</t>
  </si>
  <si>
    <t>U60</t>
  </si>
  <si>
    <t>DROPIN</t>
  </si>
  <si>
    <t>2025-ARDT-LV4-173</t>
  </si>
  <si>
    <t>Additional comment</t>
  </si>
  <si>
    <t xml:space="preserve"> CT436MV3 U-60</t>
  </si>
  <si>
    <t xml:space="preserve"> [5 ARDT RCLM]</t>
  </si>
  <si>
    <t xml:space="preserve"> CT418 60 deg U</t>
  </si>
  <si>
    <t xml:space="preserve"> CT179T U-60</t>
  </si>
  <si>
    <t xml:space="preserve"> CT179 18C-60</t>
  </si>
  <si>
    <t xml:space="preserve"> [1 ARDT RCLM]</t>
  </si>
  <si>
    <t xml:space="preserve"> CT418 18C-60</t>
  </si>
  <si>
    <t xml:space="preserve"> [6 ARDT RCLM]</t>
  </si>
  <si>
    <t>2023-ARDT-LV3-253</t>
  </si>
  <si>
    <t>CT220NL</t>
  </si>
  <si>
    <t>DyN/Amic Cutter</t>
  </si>
  <si>
    <t>1613 CT186P 18-60</t>
  </si>
  <si>
    <t>2025-WFD-1049</t>
  </si>
  <si>
    <t>2025-UR-1134</t>
  </si>
  <si>
    <t>2025-ARDT-LV4-179</t>
  </si>
  <si>
    <t>2025-UR-1132</t>
  </si>
  <si>
    <t>6" GTD64MS 2028511M2</t>
  </si>
  <si>
    <t>14247174R7</t>
  </si>
  <si>
    <t>14370260R2</t>
  </si>
  <si>
    <t>14247175R12</t>
  </si>
  <si>
    <t>14369052R1</t>
  </si>
  <si>
    <t>6.125 HD54KF 1251085M3</t>
  </si>
  <si>
    <t>1010 CT200 18C</t>
  </si>
  <si>
    <t>OK, Enough For 3 Bits</t>
  </si>
  <si>
    <t>1005 CT200 18C</t>
  </si>
  <si>
    <t>OK, Enough For 6 Bits</t>
  </si>
  <si>
    <t>0808 CT80 18C</t>
  </si>
  <si>
    <t>OK, Enough For  Bits</t>
  </si>
  <si>
    <t>0808 CT158NL 18C</t>
  </si>
  <si>
    <t>OK, Enough For 8 Bits</t>
  </si>
  <si>
    <t>1613 CT421 18-60</t>
  </si>
  <si>
    <t>OK, Enough For 93 Bits</t>
  </si>
  <si>
    <t>1608 CT200 18C</t>
  </si>
  <si>
    <t>OK, Enough For 13 Bits</t>
  </si>
  <si>
    <t>1313 CT200 18C</t>
  </si>
  <si>
    <t>OK, Enough For 29 Bits</t>
  </si>
  <si>
    <t>Not Enough Cutters, only 1 Bit</t>
  </si>
  <si>
    <t>2025-ARDT-LV4-181</t>
  </si>
  <si>
    <t>2025-ARDT-LV3-061</t>
  </si>
  <si>
    <t>2025-ARDT-LV3-062</t>
  </si>
  <si>
    <t>2025-ARDT-LV4-182</t>
  </si>
  <si>
    <t>2025-ARDT-LV4-180</t>
  </si>
  <si>
    <t>OK, Enough For 10 Bits</t>
  </si>
  <si>
    <t>1608 CT421 18C</t>
  </si>
  <si>
    <t>Not Enough Cutters, only 0 Bit</t>
  </si>
  <si>
    <t>OK, Enough For 26 Bits</t>
  </si>
  <si>
    <t>OK, Enough For 46 Bits</t>
  </si>
  <si>
    <t>OK, Enough For 17 Bits</t>
  </si>
  <si>
    <t>2025-ARDT-LV4-187</t>
  </si>
  <si>
    <t>2025-ARDT-LV4-188</t>
  </si>
  <si>
    <t>2025-ARDT-LV4-183</t>
  </si>
  <si>
    <t>2025-ARDT-LV4-184</t>
  </si>
  <si>
    <t>2025-WFD-1050</t>
  </si>
  <si>
    <t>2025-ARDT-LV4-185</t>
  </si>
  <si>
    <t>2025-ARDT-LV4-186</t>
  </si>
  <si>
    <t>12 HX65DKs  2030271</t>
  </si>
  <si>
    <t>3 5/8	 MMD53DH	 2013733</t>
  </si>
  <si>
    <t>5.875 GT73DH 2024481</t>
  </si>
  <si>
    <t>8.375 GT65DH 2009246M2</t>
  </si>
  <si>
    <t>14304771R1</t>
  </si>
  <si>
    <t>8.375 HD65DK 2019414</t>
  </si>
  <si>
    <t>14211927R9</t>
  </si>
  <si>
    <t>14293147R9</t>
  </si>
  <si>
    <t>13955538R24</t>
  </si>
  <si>
    <t>14228444R4</t>
  </si>
  <si>
    <t>8.375 GT65DH 2009246M3</t>
  </si>
  <si>
    <t>11/3/2025-Not received</t>
  </si>
  <si>
    <t>11/25/2025-Not received</t>
  </si>
  <si>
    <t>HXI65S</t>
  </si>
  <si>
    <t>HD65WKS</t>
  </si>
  <si>
    <t>Product name</t>
  </si>
  <si>
    <t>Cutter</t>
  </si>
  <si>
    <t>Family</t>
  </si>
  <si>
    <t>Round 1313 CT427  10C (S)</t>
  </si>
  <si>
    <t>1010 CT158 10C</t>
  </si>
  <si>
    <t>Round 1313 CT97  10C (P)</t>
  </si>
  <si>
    <t>Round 1913 CT62  10C (B)</t>
  </si>
  <si>
    <t>Round 1608 CT36  10C (B)</t>
  </si>
  <si>
    <t>Round 1313 CT36  10C (S)</t>
  </si>
  <si>
    <t>Round 1613 CT36  10C (S)</t>
  </si>
  <si>
    <t>Round 1313 CT200  10C (B)</t>
  </si>
  <si>
    <t>Round 1913 CT200  10C (B)</t>
  </si>
  <si>
    <t>Round 1308 CT200  10C (B)</t>
  </si>
  <si>
    <t>Round 1308 CT80  10C (B)</t>
  </si>
  <si>
    <t>Round 1913 CT70  10C (S)</t>
  </si>
  <si>
    <t>Round 1613 CT82  10C (S)</t>
  </si>
  <si>
    <t>Round 1308 CT66  10C (P)</t>
  </si>
  <si>
    <t>Round 1010 CT80  10C (B)</t>
  </si>
  <si>
    <t>Round 1308 CT82  10C (S)</t>
  </si>
  <si>
    <t>Round 1308 CT97  10C (P)</t>
  </si>
  <si>
    <t>Short Bullet 13 CT80 SBL 10C (B)</t>
  </si>
  <si>
    <t>Round 1913 CT82  10C (S)</t>
  </si>
  <si>
    <t>Round 1313 CT82  10C (S)</t>
  </si>
  <si>
    <t>Round 1308 CT91  10C (B)</t>
  </si>
  <si>
    <t>Round 1005 CT109 TSPV 10C (S)</t>
  </si>
  <si>
    <t>Round 1010 CT109 TSPV 10C (S)</t>
  </si>
  <si>
    <t>Round 1313 CT405  10C (P)</t>
  </si>
  <si>
    <t>Round 1613 CT66  10C (P)</t>
  </si>
  <si>
    <t>Round 1313 CT125 GEDB 10C (S)</t>
  </si>
  <si>
    <t>Round 1005 CT200  10C (B)</t>
  </si>
  <si>
    <t>MCHT 1608 CT182M  10C (S)</t>
  </si>
  <si>
    <t>Round 1010 CT200  10C (B)</t>
  </si>
  <si>
    <t>Round 0808 CT82  10C (S)</t>
  </si>
  <si>
    <t>Round 1313 CT404 GEDB 10C (B)</t>
  </si>
  <si>
    <t>Round 1613 CT200  10C (B)</t>
  </si>
  <si>
    <t>Round 1613 CT404 GEDB 10C (B)</t>
  </si>
  <si>
    <t>Round 1613 CT97 TBO-Cutter 10C (S)</t>
  </si>
  <si>
    <t>Long Bullet 16 CT80 LBL 10C (B)</t>
  </si>
  <si>
    <t>Round 1308 CR45  10C (T)</t>
  </si>
  <si>
    <t>Round 1313 CT418  10C (S)</t>
  </si>
  <si>
    <t>Round 1308 CT138  10C (S)</t>
  </si>
  <si>
    <t>Round 1308 CT153/CR42 Test Cutter 10C (T)</t>
  </si>
  <si>
    <t>Round 1313 CT138  10C (S)</t>
  </si>
  <si>
    <t>1313 CT144H  10C (S)</t>
  </si>
  <si>
    <t>DBLMCHT 1313 CT182DM  10C (S)</t>
  </si>
  <si>
    <t>Round 1010 CT138  10C (S)</t>
  </si>
  <si>
    <t>Round 1308 CR45 Test Cutter 10C (T)</t>
  </si>
  <si>
    <t>Round 1608 CT27 OBS 10C (P)</t>
  </si>
  <si>
    <t>Round 1608  ELITE RC 10C (O)</t>
  </si>
  <si>
    <t>Round 1005 CT138  10C (S)</t>
  </si>
  <si>
    <t>Round 1313 CT81 RCL PDC 10C (P)</t>
  </si>
  <si>
    <t>Round 1313 CT133 RCL PDC 10C (S)</t>
  </si>
  <si>
    <t>Round 1313 CT182CS RCL PDC 10C (S)</t>
  </si>
  <si>
    <t>Round 1313 CT421 RCL PDC 10C (S)</t>
  </si>
  <si>
    <t>2SEAM 1313 CT144 RCL PDC 10C (S)</t>
  </si>
  <si>
    <t>2SEAM 1313 CT144H  10C (S)</t>
  </si>
  <si>
    <t>Round 1313 CT182  10C (S)</t>
  </si>
  <si>
    <t>Round 1313 CT418 60deg 10C (S)</t>
  </si>
  <si>
    <t>Round 1010 CT182   10C (S)</t>
  </si>
  <si>
    <t>Round 1005 CT182  10C (S)</t>
  </si>
  <si>
    <t>Round 1608 CT 138  10C (S)</t>
  </si>
  <si>
    <t xml:space="preserve"> 1913 CT182  10C (S)</t>
  </si>
  <si>
    <t xml:space="preserve"> 1613 CT182  10C (S)</t>
  </si>
  <si>
    <t>1308 CT427 10C</t>
  </si>
  <si>
    <t>Saad: Use below cutters for now 1010	CT80	10C</t>
  </si>
  <si>
    <t>CT153</t>
  </si>
  <si>
    <t>CT150</t>
  </si>
  <si>
    <t>OBS ERC</t>
  </si>
  <si>
    <t>CT142M</t>
  </si>
  <si>
    <t>TEST USS DL</t>
  </si>
  <si>
    <t>Carbide St</t>
  </si>
  <si>
    <t>CT179SP</t>
  </si>
  <si>
    <t>19MMS</t>
  </si>
  <si>
    <t>16MMS</t>
  </si>
  <si>
    <t>16MML</t>
  </si>
  <si>
    <t>10.5MM</t>
  </si>
  <si>
    <t>LONG M1 IA-STL</t>
  </si>
  <si>
    <t>On Order (12/22/2025)</t>
  </si>
  <si>
    <t>HD65WKs</t>
  </si>
  <si>
    <t>2030214M</t>
  </si>
  <si>
    <t>SF65H-1</t>
  </si>
  <si>
    <t>2022829M</t>
  </si>
  <si>
    <t>1313 CT97 10C</t>
  </si>
  <si>
    <t>1313 OBS ERC 18C</t>
  </si>
  <si>
    <t>1308 OBS ERC 18C</t>
  </si>
  <si>
    <t>13MM WC-MAT400 LONG M1 IA-STL</t>
  </si>
  <si>
    <t>1613 OBS ERC 18C</t>
  </si>
  <si>
    <t>13MM R1 .012R LG BVL</t>
  </si>
  <si>
    <t>19MMS SHORT BULLET CT27 18C</t>
  </si>
  <si>
    <t>1913 CT62 10C</t>
  </si>
  <si>
    <t>1613 CT36 18C</t>
  </si>
  <si>
    <t>1608 CT36 10C</t>
  </si>
  <si>
    <t>1313 CT36 10C</t>
  </si>
  <si>
    <t>1613 CT36 10C</t>
  </si>
  <si>
    <t>1908 CT62 18C</t>
  </si>
  <si>
    <t>1313 CT200 10C</t>
  </si>
  <si>
    <t>1913 CT200 10C</t>
  </si>
  <si>
    <t>1308 CT80 10C</t>
  </si>
  <si>
    <t>13MM MDR 1318 M2 PDC</t>
  </si>
  <si>
    <t>1913 CT70 18C</t>
  </si>
  <si>
    <t>S - Super Premium - PMT</t>
  </si>
  <si>
    <t>1613 CT70 18C</t>
  </si>
  <si>
    <t>1913 CT82 18C</t>
  </si>
  <si>
    <t>1613 CT82 18C</t>
  </si>
  <si>
    <t>1913 CT70 10C</t>
  </si>
  <si>
    <t>1613 CT82 10C</t>
  </si>
  <si>
    <t xml:space="preserve"> 1303 CT200NL DROPIN</t>
  </si>
  <si>
    <t>1313 CT70 18C</t>
  </si>
  <si>
    <t>1010 CT61 18C</t>
  </si>
  <si>
    <t>1308 CT66 10C</t>
  </si>
  <si>
    <t>1308 CT97 10C</t>
  </si>
  <si>
    <t>13MMS SHORT BULLET CT80NL 10C</t>
  </si>
  <si>
    <t>16MMS SHORT BULLET CT80NL 18C</t>
  </si>
  <si>
    <t>16MML LONG BULLET CT80NL 18C</t>
  </si>
  <si>
    <t>1913 CT82 10C</t>
  </si>
  <si>
    <t>1308 CT31NL Drop In</t>
  </si>
  <si>
    <t>1308 CT200 18C</t>
  </si>
  <si>
    <t>1313 CT82 18C</t>
  </si>
  <si>
    <t>1308 CT91 10C</t>
  </si>
  <si>
    <t>1308 CT91 18C</t>
  </si>
  <si>
    <t>1005 CT109 10C</t>
  </si>
  <si>
    <t>1913 CT200 18C</t>
  </si>
  <si>
    <t>1313 CT81 18C</t>
  </si>
  <si>
    <t>1613 CT200 18C</t>
  </si>
  <si>
    <t>13MM WC-MAT400 1318 M1 Carbide IA</t>
  </si>
  <si>
    <t>19MMS SHORT BULLET CT80NL 18C</t>
  </si>
  <si>
    <t>1913 CT80 18C</t>
  </si>
  <si>
    <t>1613 CT80 18C</t>
  </si>
  <si>
    <t>1313 CT150 18C</t>
  </si>
  <si>
    <t>1313 CT109 18C</t>
  </si>
  <si>
    <t>10.5MMM MEDIUM BULLET CT217NL 18C</t>
  </si>
  <si>
    <t>1313 CT138 18C</t>
  </si>
  <si>
    <t>1313 CT200NL Triple Diamond Element</t>
  </si>
  <si>
    <t>1613 CT138 18C</t>
  </si>
  <si>
    <t>1608 CT138 18C</t>
  </si>
  <si>
    <t>1608 CT133 18C</t>
  </si>
  <si>
    <t>16MMS CT66 SHORT BULLET 18C</t>
  </si>
  <si>
    <t>16MML LONLG BULLET CT66 18C</t>
  </si>
  <si>
    <t>1313 CT125 10C</t>
  </si>
  <si>
    <t>S - Super Premium - MT</t>
  </si>
  <si>
    <t>1308 CT70 18C</t>
  </si>
  <si>
    <t>1005 CT200 10C</t>
  </si>
  <si>
    <t>1608 CT182M 10C</t>
  </si>
  <si>
    <t>S - Super Premium - PNT PMT</t>
  </si>
  <si>
    <t>1913 CT125 18C</t>
  </si>
  <si>
    <t>1913 CT138 18C</t>
  </si>
  <si>
    <t>1613 CT216 18C</t>
  </si>
  <si>
    <t>1313 CT216 18C</t>
  </si>
  <si>
    <t>1913 CT216 18C</t>
  </si>
  <si>
    <t>1613 CT125 18C</t>
  </si>
  <si>
    <t>0808 CT82 10C</t>
  </si>
  <si>
    <t>1313 CT97 18C</t>
  </si>
  <si>
    <t>1613 CT200 10C</t>
  </si>
  <si>
    <t>1308 CT31NL DOME PDC</t>
  </si>
  <si>
    <t>1913 CT97 18C</t>
  </si>
  <si>
    <t>16MML LONG BULLET CT80NL 10C</t>
  </si>
  <si>
    <t>1313 CT125 18C</t>
  </si>
  <si>
    <t>16MML LONG BULLET CT217NL 18C</t>
  </si>
  <si>
    <t>1316 CT220NL SHORT M2-STL</t>
  </si>
  <si>
    <t>1608 CT150 18C</t>
  </si>
  <si>
    <t>1613 CT155 18C</t>
  </si>
  <si>
    <t>S - Super Premium - ABS</t>
  </si>
  <si>
    <t>1313 CT418 10C</t>
  </si>
  <si>
    <t>1613 CT182 18C</t>
  </si>
  <si>
    <t>1913 CT81 18C</t>
  </si>
  <si>
    <t>1613 CT418 18C</t>
  </si>
  <si>
    <t>1613 CT133 18C</t>
  </si>
  <si>
    <t>1913 CT182 18C</t>
  </si>
  <si>
    <t>1613 CT153 18C</t>
  </si>
  <si>
    <t>1308 CT182 18C</t>
  </si>
  <si>
    <t>16MMS CT182 SHORT 18C</t>
  </si>
  <si>
    <t>13MMS SHORT BULLET CT217 18C</t>
  </si>
  <si>
    <t>1308 CT153 18C</t>
  </si>
  <si>
    <t>1608 CT153 18C</t>
  </si>
  <si>
    <t>1313 CT138  10C</t>
  </si>
  <si>
    <t>1313 CT182DM 10C</t>
  </si>
  <si>
    <t>1308 CT150 10C</t>
  </si>
  <si>
    <t>1608 CT27 10C</t>
  </si>
  <si>
    <t>1608 OBS ERC 10C</t>
  </si>
  <si>
    <t>1313 CT427 10C</t>
  </si>
  <si>
    <t>1005 CT138 10C</t>
  </si>
  <si>
    <t>1313 CT81 10C</t>
  </si>
  <si>
    <t>1313 CT182Cs 10C</t>
  </si>
  <si>
    <t>1313 CT421 10C</t>
  </si>
  <si>
    <t>1313 CT144H  10C</t>
  </si>
  <si>
    <t>S - Super Premium - HATCHET</t>
  </si>
  <si>
    <t>1608 CT70 18C</t>
  </si>
  <si>
    <t>1313 CT182 10C</t>
  </si>
  <si>
    <t>1613 CT421 18C</t>
  </si>
  <si>
    <t>1010 CT182 10C</t>
  </si>
  <si>
    <t>13MM WC-MAT400 SHORT M1 IA-STL</t>
  </si>
  <si>
    <t>1005 CT182 10C</t>
  </si>
  <si>
    <t>13MM CT143 R3-STL</t>
  </si>
  <si>
    <t>1608 CT155 18C</t>
  </si>
  <si>
    <t>1608 CT138 10C</t>
  </si>
  <si>
    <t>1608 TEST USS DL 10C</t>
  </si>
  <si>
    <t>1913 CT182 10C</t>
  </si>
  <si>
    <t>1613 CT182 10C</t>
  </si>
  <si>
    <t>19MMS  CT182 SHORT 18C</t>
  </si>
  <si>
    <t>1613 CT182M 10C</t>
  </si>
  <si>
    <t>13MM CT221NL R3-STL</t>
  </si>
  <si>
    <t>13MM CT221 R1-STL</t>
  </si>
  <si>
    <t>1913 CT421 18C</t>
  </si>
  <si>
    <t>1613 CT156 18C</t>
  </si>
  <si>
    <t>1308 CT154 18C</t>
  </si>
  <si>
    <t>1313 CT421 18C</t>
  </si>
  <si>
    <t>1608 CT154 18C</t>
  </si>
  <si>
    <t>1613 CT430Mv3 U</t>
  </si>
  <si>
    <t>S - Super Premium - PNT MT</t>
  </si>
  <si>
    <t>S- Super Premium - SCP MT</t>
  </si>
  <si>
    <t>1308 CT418 10C</t>
  </si>
  <si>
    <t>13MM R1 1318 CT221NL</t>
  </si>
  <si>
    <t>S - Super Premium - PLW WH</t>
  </si>
  <si>
    <t>S - Super Premium - PLW MT</t>
  </si>
  <si>
    <t>1913 CT147R U</t>
  </si>
  <si>
    <t>S - Super Premium - PLW PMT</t>
  </si>
  <si>
    <t>1613 CT147 U</t>
  </si>
  <si>
    <t>1313 CT147GV4 U</t>
  </si>
  <si>
    <t>S - Super Premium - SCP MT</t>
  </si>
  <si>
    <t>1618 CT167 Rotor U</t>
  </si>
  <si>
    <t>S- Super Premium - PMT</t>
  </si>
  <si>
    <t>13MM WC-MAT400 M1 FLAT CARBIDE IA</t>
  </si>
  <si>
    <t>8MM WC-MAT400 SHORT M1 FLAT CARBIDE IA</t>
  </si>
  <si>
    <t>1613 CT170 18-60</t>
  </si>
  <si>
    <t>S - Super Premium - IMP</t>
  </si>
  <si>
    <t>1313 CT436CLV U</t>
  </si>
  <si>
    <t>S - Super Premium - PLW IMP</t>
  </si>
  <si>
    <t>13MM WC-MAT404 1318 M1 SOFT CARBIDE IA</t>
  </si>
  <si>
    <t>12MM WC-MAT404 1218 UNI M1 SOFT CARBIDE IA</t>
  </si>
  <si>
    <t>1608 CT418 18C</t>
  </si>
  <si>
    <t>1613 CT436MV3 U-60</t>
  </si>
  <si>
    <t>S - Super Premium - PNT IMP</t>
  </si>
  <si>
    <t>S - Super Premium - SCP IMP</t>
  </si>
  <si>
    <t>1010 CT158 18C</t>
  </si>
  <si>
    <t>1005 CT158 18C</t>
  </si>
  <si>
    <t>1613 CT176 18-60</t>
  </si>
  <si>
    <t>S - Super Premium MT</t>
  </si>
  <si>
    <t>S - Super Premium - HATCHET PMT</t>
  </si>
  <si>
    <t>1313 CT154Mv3 U-60</t>
  </si>
  <si>
    <t>S - Super Premium - PNT ABR</t>
  </si>
  <si>
    <t>12MM WC-MAT400 1218 UNI M1 CARBIDE IA</t>
  </si>
  <si>
    <t>1613 CT186R U</t>
  </si>
  <si>
    <t>S - Super Premium - PNT WH</t>
  </si>
  <si>
    <t>1913 CT186 18-60</t>
  </si>
  <si>
    <t>1218 M2 C220NL</t>
  </si>
  <si>
    <t>1313 CT179SP U-60</t>
  </si>
  <si>
    <t>1613 CT158H 18C</t>
  </si>
  <si>
    <t>13MM WC-MAT404 M1 SOFT SHORT IA-STL</t>
  </si>
  <si>
    <t>1308 CT421 18C</t>
  </si>
  <si>
    <t>12MM WC-MAT400 1218 UNI M3 CARBIDE</t>
  </si>
  <si>
    <t>1308 U-60 CT187 2004484</t>
  </si>
  <si>
    <t>2025-0377</t>
  </si>
  <si>
    <t>1613 U-60 CT187 2002299</t>
  </si>
  <si>
    <t xml:space="preserve">1313 CT200 18C 871781 </t>
  </si>
  <si>
    <t>Cutter 12MM WC-MAT400 1201518</t>
  </si>
  <si>
    <t xml:space="preserve">Cutter 1618 CT167 Rotor U PDC 1228502 </t>
  </si>
  <si>
    <t>3/8" OD Retaining Ring PN 91985A111 1228503</t>
  </si>
  <si>
    <t>Stator Bore Plug 1220554</t>
  </si>
  <si>
    <t>Cutter 1618 Carbide Stator 1228501</t>
  </si>
  <si>
    <t xml:space="preserve">1613 CT418 18C 60Deg 1146737 </t>
  </si>
  <si>
    <t>NFP CUTTER 1613 CT436MV3 60° U PDC 1282370</t>
  </si>
  <si>
    <t>CUTTER 1613 18-60 CT179P 2024642</t>
  </si>
  <si>
    <t>2025-0368</t>
  </si>
  <si>
    <t>1313 CT61 18C</t>
  </si>
  <si>
    <t>1308 CT200 10C</t>
  </si>
  <si>
    <t>1308 CT82 18C</t>
  </si>
  <si>
    <t>1010 CT80 18C</t>
  </si>
  <si>
    <t>1010 CT80 10C</t>
  </si>
  <si>
    <t>1308 CT82 10C</t>
  </si>
  <si>
    <t>1010 CT82 18C</t>
  </si>
  <si>
    <t>1313 CT82 10C</t>
  </si>
  <si>
    <t>1608 CT82 18C</t>
  </si>
  <si>
    <t>1010 CT109 10C</t>
  </si>
  <si>
    <t>1010 CT81 18C</t>
  </si>
  <si>
    <t>1613 CT81 18C</t>
  </si>
  <si>
    <t>1313 CT405 10C</t>
  </si>
  <si>
    <t>1308 CT216 18C</t>
  </si>
  <si>
    <t>1308 CT66 18C</t>
  </si>
  <si>
    <t>1308 CR31 18C</t>
  </si>
  <si>
    <t>1308 CT109 18C</t>
  </si>
  <si>
    <t>1308 CT138 18C</t>
  </si>
  <si>
    <t>1308 CT133 18C</t>
  </si>
  <si>
    <t>1613 CT66 10C</t>
  </si>
  <si>
    <t>1010 CT200 10C</t>
  </si>
  <si>
    <t>1313 CT404 10C</t>
  </si>
  <si>
    <t>1613 CT404 10C</t>
  </si>
  <si>
    <t>1613 CT97 10C</t>
  </si>
  <si>
    <t>1613 CT405 18C</t>
  </si>
  <si>
    <t>1608 CT216 18C</t>
  </si>
  <si>
    <t>1913 CT418 18C</t>
  </si>
  <si>
    <t>1313 CT182 18C</t>
  </si>
  <si>
    <t>1608 CT182 18C</t>
  </si>
  <si>
    <t>1308 CT138 10C</t>
  </si>
  <si>
    <t>1308 CT153/CR42 10C</t>
  </si>
  <si>
    <t>1313 CT144H 10C</t>
  </si>
  <si>
    <t>1010 CT138 10C</t>
  </si>
  <si>
    <t>1313 CT133 10C</t>
  </si>
  <si>
    <t>8MM SFT CARBIDE</t>
  </si>
  <si>
    <t>1313 CT418 10-60</t>
  </si>
  <si>
    <t>1313 CT188 U-60</t>
  </si>
  <si>
    <t>1913 CT172R U</t>
  </si>
  <si>
    <t>1613 CT182H 18C</t>
  </si>
  <si>
    <t>1313 RDOC</t>
  </si>
  <si>
    <t>1613 CT154 U-60</t>
  </si>
  <si>
    <t>13MMS SHORT BULLET CT80 18C</t>
  </si>
  <si>
    <t>1308 CT155 18C</t>
  </si>
  <si>
    <t>1005 CT182 18C</t>
  </si>
  <si>
    <t>1613 CT144H 18C</t>
  </si>
  <si>
    <t>13MM SHORT R1</t>
  </si>
  <si>
    <t>13MM CT228 R1</t>
  </si>
  <si>
    <t>1913 CT158 18C</t>
  </si>
  <si>
    <t>1613 CT418 10C</t>
  </si>
  <si>
    <t>1313 CT418 U-60</t>
  </si>
  <si>
    <t>1308 CR45/CT155 U</t>
  </si>
  <si>
    <t>1608 CR45/CT155 U</t>
  </si>
  <si>
    <t>1308 CT182 10C</t>
  </si>
  <si>
    <t>8MM WC-MAT 400 SHORT M1 CARBIDE IA</t>
  </si>
  <si>
    <t>8MM WC-MAT404 SHORT M1 SOFT CARBIDE IA</t>
  </si>
  <si>
    <t>13MM CT221NL 1318 R1</t>
  </si>
  <si>
    <t>13MM CT228 1318 R1</t>
  </si>
  <si>
    <t>13MM CT221 1318 R1</t>
  </si>
  <si>
    <t>13MMS SHORT R1 .012R</t>
  </si>
  <si>
    <t>M1 FLATE CARBIDE IA</t>
  </si>
  <si>
    <t>M1 SOFT CARBIDE IA</t>
  </si>
  <si>
    <t>M1 SOFT SHORT IA_STL</t>
  </si>
  <si>
    <t>SHORT R1</t>
  </si>
  <si>
    <t>R3-STL</t>
  </si>
  <si>
    <t>M1 SHORT IA-STL</t>
  </si>
  <si>
    <t>13MM WC-MAT400 M1 SHORT IA-STL</t>
  </si>
  <si>
    <t>M1 Carbide IA</t>
  </si>
  <si>
    <t>M2 MDR</t>
  </si>
  <si>
    <t>R1 0.012R</t>
  </si>
  <si>
    <t>M1 IA-STL</t>
  </si>
  <si>
    <t>1313 CT144 10C RCL</t>
  </si>
  <si>
    <t>1313 CT144H  10C RCL</t>
  </si>
  <si>
    <t>2025-UR-1139</t>
  </si>
  <si>
    <t>2025-UR-1138</t>
  </si>
  <si>
    <t>2025-ARDT-LV4-189</t>
  </si>
  <si>
    <t>2025-ARDT-LV4-190</t>
  </si>
  <si>
    <t>2025-ARDT-LV4-191</t>
  </si>
  <si>
    <t>2025-ARDT-LV4-192</t>
  </si>
  <si>
    <t>2025-AR-090</t>
  </si>
  <si>
    <t>2025-ARDT-LV4-193</t>
  </si>
  <si>
    <t>2025-AR-085</t>
  </si>
  <si>
    <t>2025-ARDT-LV4-194</t>
  </si>
  <si>
    <t>2025-ARDT-LV4-195</t>
  </si>
  <si>
    <t>2025-ARDT-LV4-196</t>
  </si>
  <si>
    <t>14442327R1</t>
  </si>
  <si>
    <t>14136229R1</t>
  </si>
  <si>
    <t>14414026R1</t>
  </si>
  <si>
    <t>5 7/8'' EM65D 2021865M2</t>
  </si>
  <si>
    <t>16" HD76DF 1266749</t>
  </si>
  <si>
    <t>6 1/8" MMD54H 1137349</t>
  </si>
  <si>
    <t>13172301R</t>
  </si>
  <si>
    <t>2025-0395</t>
  </si>
  <si>
    <t>2025-0409</t>
  </si>
  <si>
    <t>BOM requirement (12/30/2025)</t>
  </si>
  <si>
    <t>On Order (12/30/2025)</t>
  </si>
  <si>
    <t>HXi54s</t>
  </si>
  <si>
    <t>2025-AR-064</t>
  </si>
  <si>
    <t>2025-AR-066</t>
  </si>
  <si>
    <t>2026-001</t>
  </si>
  <si>
    <t>2025-UR-1140</t>
  </si>
  <si>
    <t>2025-AR-072</t>
  </si>
  <si>
    <t>2025-AR-087</t>
  </si>
  <si>
    <t>2025-AR-089</t>
  </si>
  <si>
    <t>2026-ARDT-LV4-003</t>
  </si>
  <si>
    <t>2025-AR-086</t>
  </si>
  <si>
    <t>2026-UR-1002</t>
  </si>
  <si>
    <t>2025-UR-1141</t>
  </si>
  <si>
    <t>2025-AR-076</t>
  </si>
  <si>
    <t>2026-1002</t>
  </si>
  <si>
    <t>2025-AR-077</t>
  </si>
  <si>
    <t>2025-AR-078</t>
  </si>
  <si>
    <t>2025-AR-088</t>
  </si>
  <si>
    <t>2025-AR-063</t>
  </si>
  <si>
    <t>2026-ARDT-LV3-001</t>
  </si>
  <si>
    <t>2026-ARDT-LV3-002</t>
  </si>
  <si>
    <t>2026-ARDT-LV4-004</t>
  </si>
  <si>
    <t>2026-ARDT-LV4-002</t>
  </si>
  <si>
    <t>2026-UR-1004</t>
  </si>
  <si>
    <t>2025-AR-067</t>
  </si>
  <si>
    <t>2026-ARDT-LV4-006</t>
  </si>
  <si>
    <t>2026-ARDT-001</t>
  </si>
  <si>
    <t>2026-ARDT-LV4-005</t>
  </si>
  <si>
    <t>2026-ARDT-LV4-008</t>
  </si>
  <si>
    <t>2026-UR-1001</t>
  </si>
  <si>
    <t>2025-AR-073</t>
  </si>
  <si>
    <t>2025-AR-074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</si>
</sst>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20" x14ac:knownFonts="1"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Times New Roman"/>
      <family val="1"/>
    </font>
    <font>
      <b/>
      <sz val="9"/>
      <color rgb="FF000000"/>
      <name val="Arial Narrow"/>
      <family val="2"/>
    </font>
    <font>
      <sz val="10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theme="2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Arial"/>
      <family val="2"/>
    </font>
    <font>
      <sz val="10"/>
      <color rgb="FFFF0000"/>
      <name val="Arial"/>
      <family val="2"/>
    </font>
    <font>
      <sz val="12"/>
      <color theme="2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0"/>
      <color indexed="8"/>
      <name val="Arial"/>
      <family val="2"/>
    </font>
    <font>
      <b/>
      <sz val="12"/>
      <color rgb="FFC000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2"/>
      <color theme="6" tint="0.79998168889431442"/>
      <name val="Calibri"/>
      <family val="2"/>
      <scheme val="minor"/>
    </font>
    <font>
      <b/>
      <sz val="10"/>
      <color theme="0"/>
      <name val="Arial"/>
      <family val="2"/>
    </font>
    <font>
      <sz val="11"/>
      <color indexed="8"/>
      <name val="Calibri"/>
      <family val="2"/>
    </font>
    <font>
      <b/>
      <u/>
      <sz val="12"/>
      <color indexed="8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 Narrow"/>
      <family val="2"/>
    </font>
    <font>
      <sz val="8"/>
      <color rgb="FFFF0000"/>
      <name val="Calibri"/>
      <family val="2"/>
      <scheme val="minor"/>
    </font>
    <font>
      <sz val="10"/>
      <color rgb="FF00B0F0"/>
      <name val="Arial"/>
      <family val="2"/>
    </font>
    <font>
      <sz val="11"/>
      <color rgb="FFFF0000"/>
      <name val="Calibri"/>
      <family val="2"/>
    </font>
    <font>
      <sz val="12"/>
      <color rgb="FFFF0000"/>
      <name val="Calibri"/>
      <family val="2"/>
      <scheme val="minor"/>
    </font>
    <font>
      <sz val="11"/>
      <color rgb="FF424242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trike/>
      <sz val="11"/>
      <color rgb="FF000000"/>
      <name val="Calibri"/>
      <family val="2"/>
    </font>
    <font>
      <b/>
      <sz val="12"/>
      <color indexed="8"/>
      <name val="Arial"/>
      <family val="2"/>
    </font>
    <font>
      <b/>
      <sz val="22"/>
      <color indexed="8"/>
      <name val="Calibri"/>
      <family val="2"/>
      <scheme val="minor"/>
    </font>
    <font>
      <b/>
      <sz val="12.5"/>
      <color theme="0"/>
      <name val="Calibri"/>
      <family val="2"/>
      <scheme val="minor"/>
    </font>
    <font>
      <b/>
      <sz val="12.5"/>
      <color indexed="8"/>
      <name val="Arial"/>
      <family val="2"/>
    </font>
    <font>
      <b/>
      <sz val="12.5"/>
      <color theme="2"/>
      <name val="Calibri"/>
      <family val="2"/>
      <scheme val="minor"/>
    </font>
    <font>
      <b/>
      <sz val="12.5"/>
      <color rgb="FF00B0F0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0"/>
      <color rgb="FF1F3864"/>
      <name val="Arial"/>
      <family val="2"/>
    </font>
    <font>
      <sz val="11"/>
      <color rgb="FF0070C0"/>
      <name val="Calibri"/>
      <family val="2"/>
    </font>
    <font>
      <sz val="11"/>
      <color theme="1"/>
      <name val="Calibri"/>
      <family val="2"/>
    </font>
    <font>
      <b/>
      <sz val="12"/>
      <color rgb="FFFF0000"/>
      <name val="Times New Roman"/>
      <family val="1"/>
    </font>
    <font>
      <b/>
      <sz val="12.5"/>
      <color theme="1"/>
      <name val="Arial"/>
      <family val="2"/>
    </font>
    <font>
      <sz val="9"/>
      <color rgb="FFFF0000"/>
      <name val="Arial"/>
      <family val="2"/>
    </font>
    <font>
      <sz val="12"/>
      <color theme="1"/>
      <name val="Times New Roman"/>
      <family val="1"/>
    </font>
    <font>
      <b/>
      <sz val="11"/>
      <color indexed="8"/>
      <name val="Arial"/>
      <family val="2"/>
    </font>
    <font>
      <sz val="12"/>
      <color indexed="8"/>
      <name val="Arial"/>
      <family val="2"/>
    </font>
    <font>
      <sz val="9"/>
      <color rgb="FF000000"/>
      <name val="Tahoma"/>
      <family val="2"/>
    </font>
    <font>
      <sz val="10"/>
      <color rgb="FF00B050"/>
      <name val="Arial"/>
      <family val="2"/>
    </font>
    <font>
      <b/>
      <u/>
      <sz val="10"/>
      <color rgb="FFFF0000"/>
      <name val="Arial"/>
      <family val="2"/>
    </font>
    <font>
      <sz val="11"/>
      <color theme="5" tint="-0.249977111117893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name val="Calibri"/>
      <family val="2"/>
    </font>
    <font>
      <sz val="11"/>
      <color indexed="8"/>
      <name val="Arial"/>
      <family val="2"/>
    </font>
    <font>
      <sz val="8"/>
      <color indexed="8"/>
      <name val="Arial"/>
      <family val="2"/>
    </font>
    <font>
      <sz val="11"/>
      <color rgb="FF000000"/>
      <name val="Aptos Narrow"/>
      <family val="2"/>
    </font>
    <font>
      <b/>
      <sz val="10"/>
      <color rgb="FFFF0000"/>
      <name val="Arial"/>
      <family val="2"/>
    </font>
    <font>
      <b/>
      <u/>
      <sz val="11"/>
      <color indexed="8"/>
      <name val="Calibri"/>
      <family val="2"/>
    </font>
    <font>
      <strike/>
      <sz val="11"/>
      <color indexed="8"/>
      <name val="Calibri"/>
      <family val="2"/>
    </font>
    <font>
      <b/>
      <sz val="11"/>
      <color rgb="FFFF0000"/>
      <name val="Calibri"/>
      <family val="2"/>
    </font>
    <font>
      <sz val="12"/>
      <color rgb="FFFFFF00"/>
      <name val="Times New Roman"/>
      <family val="1"/>
    </font>
    <font>
      <b/>
      <sz val="9"/>
      <name val="Arial Narrow"/>
      <family val="2"/>
    </font>
    <font>
      <sz val="9"/>
      <name val="Arial"/>
      <family val="2"/>
    </font>
    <font>
      <b/>
      <sz val="12.5"/>
      <color rgb="FF002060"/>
      <name val="Arial"/>
      <family val="2"/>
    </font>
    <font>
      <b/>
      <sz val="12"/>
      <color indexed="8"/>
      <name val="Calibri"/>
      <family val="2"/>
    </font>
    <font>
      <b/>
      <sz val="9"/>
      <color rgb="FFFF0000"/>
      <name val="Arial Narrow"/>
      <family val="2"/>
    </font>
    <font>
      <sz val="11"/>
      <color rgb="FF242424"/>
      <name val="Calibri"/>
      <family val="2"/>
    </font>
    <font>
      <sz val="10"/>
      <color theme="0"/>
      <name val="Arial"/>
      <family val="2"/>
    </font>
    <font>
      <b/>
      <sz val="12"/>
      <color theme="0"/>
      <name val="Times New Roman"/>
      <family val="1"/>
    </font>
    <font>
      <b/>
      <sz val="12.5"/>
      <color rgb="FF000000"/>
      <name val="Arial"/>
      <family val="2"/>
    </font>
    <font>
      <sz val="11"/>
      <color indexed="8"/>
      <name val="Aptos"/>
      <family val="2"/>
    </font>
    <font>
      <b/>
      <sz val="9"/>
      <color rgb="FFFF0000"/>
      <name val="Arial"/>
      <family val="2"/>
    </font>
    <font>
      <sz val="14"/>
      <color rgb="FFFF0000"/>
      <name val="Arial"/>
      <family val="2"/>
    </font>
    <font>
      <sz val="12"/>
      <color rgb="FFFF0000"/>
      <name val="Times New Roman"/>
      <family val="1"/>
    </font>
    <font>
      <b/>
      <sz val="10"/>
      <color theme="1"/>
      <name val="Arial"/>
      <family val="2"/>
    </font>
    <font>
      <b/>
      <sz val="10"/>
      <color indexed="8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2"/>
      <name val="Calibri"/>
      <family val="2"/>
      <scheme val="minor"/>
    </font>
    <font>
      <b/>
      <sz val="12"/>
      <color rgb="FF000000"/>
      <name val="Calibri"/>
      <family val="2"/>
    </font>
    <font>
      <sz val="12"/>
      <color indexed="8"/>
      <name val="Calibri"/>
      <family val="2"/>
    </font>
    <font>
      <b/>
      <sz val="12"/>
      <color rgb="FFFF0000"/>
      <name val="Calibri"/>
      <family val="2"/>
    </font>
    <font>
      <b/>
      <sz val="20"/>
      <color rgb="FFFF0000"/>
      <name val="Calibri"/>
      <family val="2"/>
    </font>
    <font>
      <b/>
      <sz val="14"/>
      <color rgb="FFC00000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Arial"/>
      <family val="2"/>
    </font>
    <font>
      <sz val="11"/>
      <color rgb="FF000000"/>
      <name val="Calibri"/>
      <family val="2"/>
      <scheme val="minor"/>
    </font>
    <font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indexed="8"/>
      <name val="Calibri"/>
      <family val="2"/>
      <scheme val="minor"/>
    </font>
    <font>
      <sz val="12"/>
      <color indexed="8"/>
      <name val="Times New Roman"/>
      <family val="1"/>
    </font>
    <font>
      <b/>
      <sz val="16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92D050"/>
      <name val="Calibri"/>
      <family val="2"/>
      <scheme val="minor"/>
    </font>
    <font>
      <sz val="12"/>
      <color rgb="FF00B0F0"/>
      <name val="Calibri"/>
      <family val="2"/>
      <scheme val="minor"/>
    </font>
    <font>
      <sz val="12"/>
      <color indexed="8"/>
      <name val="Times New Roman"/>
      <family val="1"/>
    </font>
  </fonts>
  <fills count="5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theme="4"/>
      </patternFill>
    </fill>
    <fill>
      <patternFill patternType="solid">
        <fgColor rgb="FFCFFF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39997558519241921"/>
        <bgColor theme="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gradientFill degree="270">
        <stop position="0">
          <color theme="8" tint="0.40000610370189521"/>
        </stop>
        <stop position="1">
          <color theme="4"/>
        </stop>
      </gradient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EDEDED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rgb="FFA7F03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D9D9D9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50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8EA9DB"/>
      </top>
      <bottom style="thin">
        <color rgb="FF8EA9DB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</cellStyleXfs>
  <cellXfs count="865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8" fillId="0" borderId="6" xfId="0" applyFont="1" applyBorder="1" applyAlignment="1" applyProtection="1">
      <alignment horizontal="left" vertical="center"/>
      <protection locked="0"/>
    </xf>
    <xf numFmtId="0" fontId="12" fillId="0" borderId="6" xfId="0" applyFont="1" applyBorder="1" applyAlignment="1" applyProtection="1">
      <alignment horizontal="left" vertical="center"/>
      <protection locked="0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9" fillId="11" borderId="9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2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12" borderId="0" xfId="0" applyFill="1" applyAlignment="1">
      <alignment horizontal="center" vertical="center"/>
    </xf>
    <xf numFmtId="0" fontId="18" fillId="4" borderId="2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9" fillId="11" borderId="8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7" borderId="0" xfId="0" applyFill="1" applyAlignment="1">
      <alignment horizontal="center" vertical="center"/>
    </xf>
    <xf numFmtId="0" fontId="15" fillId="9" borderId="0" xfId="0" applyFont="1" applyFill="1" applyAlignment="1">
      <alignment horizontal="center" vertical="center"/>
    </xf>
    <xf numFmtId="0" fontId="13" fillId="0" borderId="0" xfId="0" applyFont="1" applyAlignment="1">
      <alignment vertical="center"/>
    </xf>
    <xf numFmtId="0" fontId="6" fillId="4" borderId="18" xfId="1" applyFont="1" applyFill="1" applyBorder="1" applyAlignment="1">
      <alignment horizontal="center" vertical="center"/>
    </xf>
    <xf numFmtId="0" fontId="23" fillId="11" borderId="0" xfId="1" applyFont="1" applyFill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12" fontId="20" fillId="0" borderId="0" xfId="1" applyNumberFormat="1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23" fillId="11" borderId="0" xfId="1" applyFont="1" applyFill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20" fillId="0" borderId="0" xfId="1" applyFont="1" applyAlignment="1">
      <alignment horizontal="left" vertical="center"/>
    </xf>
    <xf numFmtId="0" fontId="17" fillId="10" borderId="0" xfId="0" applyFont="1" applyFill="1" applyAlignment="1">
      <alignment horizontal="left" vertical="top" wrapText="1"/>
    </xf>
    <xf numFmtId="0" fontId="17" fillId="10" borderId="0" xfId="2" applyFont="1" applyFill="1" applyAlignment="1">
      <alignment horizontal="left" vertical="top" wrapText="1"/>
    </xf>
    <xf numFmtId="0" fontId="17" fillId="13" borderId="0" xfId="2" applyFont="1" applyFill="1" applyAlignment="1">
      <alignment horizontal="left" vertical="top" wrapText="1"/>
    </xf>
    <xf numFmtId="0" fontId="19" fillId="11" borderId="10" xfId="2" applyFont="1" applyFill="1" applyBorder="1" applyAlignment="1">
      <alignment horizontal="left" vertical="top" wrapText="1"/>
    </xf>
    <xf numFmtId="0" fontId="7" fillId="14" borderId="10" xfId="2" applyFont="1" applyFill="1" applyBorder="1" applyAlignment="1">
      <alignment horizontal="left" vertical="top" wrapText="1"/>
    </xf>
    <xf numFmtId="9" fontId="19" fillId="11" borderId="10" xfId="3" applyFont="1" applyFill="1" applyBorder="1" applyAlignment="1">
      <alignment horizontal="left" vertical="top" wrapText="1"/>
    </xf>
    <xf numFmtId="0" fontId="2" fillId="0" borderId="0" xfId="2"/>
    <xf numFmtId="0" fontId="2" fillId="0" borderId="19" xfId="2" applyBorder="1" applyAlignment="1">
      <alignment horizontal="center" vertical="center"/>
    </xf>
    <xf numFmtId="0" fontId="2" fillId="0" borderId="20" xfId="2" applyBorder="1"/>
    <xf numFmtId="14" fontId="2" fillId="0" borderId="20" xfId="2" applyNumberFormat="1" applyBorder="1"/>
    <xf numFmtId="0" fontId="0" fillId="0" borderId="20" xfId="3" applyNumberFormat="1" applyFont="1" applyBorder="1"/>
    <xf numFmtId="0" fontId="2" fillId="0" borderId="21" xfId="2" applyBorder="1"/>
    <xf numFmtId="9" fontId="0" fillId="0" borderId="21" xfId="3" applyFont="1" applyBorder="1"/>
    <xf numFmtId="0" fontId="2" fillId="0" borderId="0" xfId="2" applyAlignment="1">
      <alignment horizontal="center" vertical="center"/>
    </xf>
    <xf numFmtId="0" fontId="2" fillId="0" borderId="22" xfId="2" applyBorder="1" applyAlignment="1">
      <alignment horizontal="center" vertical="center"/>
    </xf>
    <xf numFmtId="14" fontId="2" fillId="0" borderId="0" xfId="2" applyNumberFormat="1"/>
    <xf numFmtId="0" fontId="0" fillId="0" borderId="0" xfId="3" applyNumberFormat="1" applyFont="1" applyBorder="1"/>
    <xf numFmtId="0" fontId="2" fillId="0" borderId="23" xfId="2" applyBorder="1"/>
    <xf numFmtId="9" fontId="0" fillId="0" borderId="23" xfId="3" applyFont="1" applyBorder="1"/>
    <xf numFmtId="0" fontId="2" fillId="0" borderId="24" xfId="2" applyBorder="1" applyAlignment="1">
      <alignment horizontal="center" vertical="center"/>
    </xf>
    <xf numFmtId="0" fontId="2" fillId="0" borderId="25" xfId="2" applyBorder="1"/>
    <xf numFmtId="14" fontId="2" fillId="0" borderId="25" xfId="2" applyNumberFormat="1" applyBorder="1"/>
    <xf numFmtId="0" fontId="0" fillId="0" borderId="25" xfId="3" applyNumberFormat="1" applyFont="1" applyBorder="1"/>
    <xf numFmtId="0" fontId="2" fillId="0" borderId="26" xfId="2" applyBorder="1"/>
    <xf numFmtId="9" fontId="0" fillId="0" borderId="26" xfId="3" applyFont="1" applyBorder="1"/>
    <xf numFmtId="0" fontId="2" fillId="15" borderId="20" xfId="2" applyFill="1" applyBorder="1"/>
    <xf numFmtId="0" fontId="2" fillId="15" borderId="0" xfId="2" applyFill="1"/>
    <xf numFmtId="0" fontId="2" fillId="15" borderId="25" xfId="2" applyFill="1" applyBorder="1"/>
    <xf numFmtId="0" fontId="2" fillId="2" borderId="20" xfId="2" applyFill="1" applyBorder="1"/>
    <xf numFmtId="0" fontId="2" fillId="2" borderId="0" xfId="2" applyFill="1"/>
    <xf numFmtId="0" fontId="2" fillId="2" borderId="25" xfId="2" applyFill="1" applyBorder="1"/>
    <xf numFmtId="0" fontId="2" fillId="4" borderId="20" xfId="2" applyFill="1" applyBorder="1"/>
    <xf numFmtId="0" fontId="2" fillId="4" borderId="0" xfId="2" applyFill="1"/>
    <xf numFmtId="0" fontId="2" fillId="4" borderId="25" xfId="2" applyFill="1" applyBorder="1"/>
    <xf numFmtId="9" fontId="0" fillId="0" borderId="0" xfId="3" applyFont="1"/>
    <xf numFmtId="0" fontId="2" fillId="0" borderId="1" xfId="2" applyBorder="1"/>
    <xf numFmtId="0" fontId="17" fillId="10" borderId="0" xfId="2" applyFont="1" applyFill="1" applyAlignment="1">
      <alignment horizontal="center" vertical="center" wrapText="1"/>
    </xf>
    <xf numFmtId="0" fontId="2" fillId="0" borderId="27" xfId="2" applyBorder="1" applyAlignment="1">
      <alignment horizontal="center" vertical="center"/>
    </xf>
    <xf numFmtId="0" fontId="2" fillId="0" borderId="28" xfId="2" applyBorder="1" applyAlignment="1">
      <alignment horizontal="center" vertical="center"/>
    </xf>
    <xf numFmtId="0" fontId="2" fillId="0" borderId="29" xfId="2" applyBorder="1" applyAlignment="1">
      <alignment horizontal="center" vertical="center"/>
    </xf>
    <xf numFmtId="0" fontId="2" fillId="0" borderId="30" xfId="2" applyBorder="1" applyAlignment="1">
      <alignment horizontal="center" vertical="center"/>
    </xf>
    <xf numFmtId="0" fontId="2" fillId="0" borderId="31" xfId="2" applyBorder="1"/>
    <xf numFmtId="0" fontId="2" fillId="0" borderId="32" xfId="2" applyBorder="1"/>
    <xf numFmtId="0" fontId="2" fillId="0" borderId="33" xfId="2" applyBorder="1"/>
    <xf numFmtId="0" fontId="2" fillId="12" borderId="27" xfId="2" applyFill="1" applyBorder="1" applyAlignment="1">
      <alignment horizontal="center" vertical="center"/>
    </xf>
    <xf numFmtId="0" fontId="2" fillId="12" borderId="29" xfId="2" applyFill="1" applyBorder="1" applyAlignment="1">
      <alignment horizontal="center" vertical="center"/>
    </xf>
    <xf numFmtId="0" fontId="2" fillId="0" borderId="5" xfId="2" applyBorder="1" applyAlignment="1">
      <alignment horizontal="center" vertical="center"/>
    </xf>
    <xf numFmtId="0" fontId="2" fillId="0" borderId="17" xfId="2" applyBorder="1"/>
    <xf numFmtId="0" fontId="2" fillId="15" borderId="15" xfId="2" applyFill="1" applyBorder="1" applyAlignment="1">
      <alignment horizontal="center" vertical="center" wrapText="1"/>
    </xf>
    <xf numFmtId="0" fontId="2" fillId="15" borderId="16" xfId="2" applyFill="1" applyBorder="1" applyAlignment="1">
      <alignment horizontal="center" vertical="center" wrapText="1"/>
    </xf>
    <xf numFmtId="0" fontId="2" fillId="15" borderId="14" xfId="2" applyFill="1" applyBorder="1" applyAlignment="1">
      <alignment horizontal="center" vertical="center" wrapText="1"/>
    </xf>
    <xf numFmtId="0" fontId="2" fillId="0" borderId="13" xfId="2" applyBorder="1" applyAlignment="1">
      <alignment horizontal="center" vertical="center"/>
    </xf>
    <xf numFmtId="0" fontId="2" fillId="0" borderId="11" xfId="2" applyBorder="1"/>
    <xf numFmtId="0" fontId="2" fillId="0" borderId="12" xfId="2" applyBorder="1"/>
    <xf numFmtId="0" fontId="2" fillId="12" borderId="34" xfId="2" applyFill="1" applyBorder="1" applyAlignment="1">
      <alignment horizontal="center" vertical="center"/>
    </xf>
    <xf numFmtId="0" fontId="2" fillId="0" borderId="34" xfId="2" applyBorder="1" applyAlignment="1">
      <alignment horizontal="center" vertical="center"/>
    </xf>
    <xf numFmtId="0" fontId="2" fillId="0" borderId="35" xfId="2" applyBorder="1" applyAlignment="1">
      <alignment horizontal="center" vertical="center"/>
    </xf>
    <xf numFmtId="0" fontId="17" fillId="0" borderId="0" xfId="2" applyFont="1" applyAlignment="1">
      <alignment horizontal="center" vertical="center" wrapText="1"/>
    </xf>
    <xf numFmtId="0" fontId="17" fillId="16" borderId="2" xfId="2" applyFont="1" applyFill="1" applyBorder="1" applyAlignment="1">
      <alignment horizontal="center" vertical="center" wrapText="1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vertical="center"/>
    </xf>
    <xf numFmtId="0" fontId="20" fillId="2" borderId="0" xfId="1" applyFont="1" applyFill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12" fontId="0" fillId="0" borderId="7" xfId="0" applyNumberFormat="1" applyBorder="1" applyAlignment="1">
      <alignment horizontal="left" vertical="center"/>
    </xf>
    <xf numFmtId="0" fontId="5" fillId="19" borderId="1" xfId="0" applyFont="1" applyFill="1" applyBorder="1" applyAlignment="1">
      <alignment horizontal="center" vertical="center"/>
    </xf>
    <xf numFmtId="0" fontId="27" fillId="20" borderId="1" xfId="0" applyFont="1" applyFill="1" applyBorder="1" applyAlignment="1">
      <alignment horizontal="center" vertical="center" wrapText="1"/>
    </xf>
    <xf numFmtId="0" fontId="28" fillId="21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/>
    <xf numFmtId="0" fontId="32" fillId="0" borderId="0" xfId="0" applyFont="1" applyAlignment="1">
      <alignment vertical="center"/>
    </xf>
    <xf numFmtId="0" fontId="25" fillId="2" borderId="2" xfId="0" applyFont="1" applyFill="1" applyBorder="1" applyAlignment="1">
      <alignment horizontal="center"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31" fillId="0" borderId="33" xfId="0" applyFont="1" applyBorder="1" applyAlignment="1">
      <alignment horizontal="center" vertical="center"/>
    </xf>
    <xf numFmtId="0" fontId="31" fillId="0" borderId="26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0" fillId="7" borderId="36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left" vertical="center"/>
    </xf>
    <xf numFmtId="0" fontId="5" fillId="0" borderId="1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0" fillId="0" borderId="20" xfId="0" applyBorder="1"/>
    <xf numFmtId="0" fontId="0" fillId="0" borderId="25" xfId="0" applyBorder="1"/>
    <xf numFmtId="0" fontId="0" fillId="0" borderId="7" xfId="0" applyBorder="1"/>
    <xf numFmtId="12" fontId="0" fillId="0" borderId="7" xfId="0" applyNumberFormat="1" applyBorder="1"/>
    <xf numFmtId="0" fontId="0" fillId="0" borderId="7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7" xfId="0" applyBorder="1" applyAlignment="1">
      <alignment horizontal="center"/>
    </xf>
    <xf numFmtId="0" fontId="5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17" xfId="1" applyFont="1" applyBorder="1" applyAlignment="1">
      <alignment horizontal="center" vertical="center"/>
    </xf>
    <xf numFmtId="0" fontId="31" fillId="0" borderId="0" xfId="0" applyFont="1" applyAlignment="1">
      <alignment vertical="center"/>
    </xf>
    <xf numFmtId="0" fontId="33" fillId="0" borderId="2" xfId="0" applyFont="1" applyBorder="1" applyAlignment="1">
      <alignment vertical="center"/>
    </xf>
    <xf numFmtId="0" fontId="33" fillId="0" borderId="4" xfId="0" applyFont="1" applyBorder="1" applyAlignment="1">
      <alignment vertical="center"/>
    </xf>
    <xf numFmtId="12" fontId="33" fillId="0" borderId="33" xfId="0" applyNumberFormat="1" applyFont="1" applyBorder="1" applyAlignment="1">
      <alignment horizontal="right" vertical="center"/>
    </xf>
    <xf numFmtId="0" fontId="33" fillId="0" borderId="26" xfId="0" applyFont="1" applyBorder="1" applyAlignment="1">
      <alignment vertical="center"/>
    </xf>
    <xf numFmtId="0" fontId="33" fillId="0" borderId="26" xfId="0" applyFont="1" applyBorder="1" applyAlignment="1">
      <alignment horizontal="right" vertical="center"/>
    </xf>
    <xf numFmtId="0" fontId="33" fillId="0" borderId="33" xfId="0" applyFont="1" applyBorder="1" applyAlignment="1">
      <alignment horizontal="right" vertical="center"/>
    </xf>
    <xf numFmtId="0" fontId="34" fillId="9" borderId="2" xfId="0" applyFont="1" applyFill="1" applyBorder="1" applyAlignment="1">
      <alignment horizontal="center" vertical="center"/>
    </xf>
    <xf numFmtId="0" fontId="34" fillId="9" borderId="4" xfId="0" applyFont="1" applyFill="1" applyBorder="1" applyAlignment="1">
      <alignment horizontal="center" vertical="center"/>
    </xf>
    <xf numFmtId="0" fontId="16" fillId="9" borderId="33" xfId="0" applyFont="1" applyFill="1" applyBorder="1" applyAlignment="1">
      <alignment horizontal="center" vertical="center"/>
    </xf>
    <xf numFmtId="12" fontId="16" fillId="9" borderId="26" xfId="0" applyNumberFormat="1" applyFont="1" applyFill="1" applyBorder="1" applyAlignment="1">
      <alignment horizontal="center" vertical="center"/>
    </xf>
    <xf numFmtId="0" fontId="16" fillId="9" borderId="26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20" fillId="3" borderId="0" xfId="1" applyFont="1" applyFill="1" applyAlignment="1">
      <alignment horizontal="center" vertical="center"/>
    </xf>
    <xf numFmtId="0" fontId="6" fillId="3" borderId="0" xfId="1" applyFont="1" applyFill="1" applyAlignment="1">
      <alignment horizontal="left" vertical="center"/>
    </xf>
    <xf numFmtId="0" fontId="6" fillId="3" borderId="0" xfId="1" applyFont="1" applyFill="1" applyAlignment="1">
      <alignment horizontal="center" vertical="center"/>
    </xf>
    <xf numFmtId="0" fontId="26" fillId="23" borderId="40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1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24" borderId="43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26" fillId="23" borderId="40" xfId="0" applyFont="1" applyFill="1" applyBorder="1" applyAlignment="1">
      <alignment horizontal="left" vertical="center" indent="1"/>
    </xf>
    <xf numFmtId="0" fontId="0" fillId="0" borderId="41" xfId="0" applyBorder="1" applyAlignment="1">
      <alignment horizontal="left" vertical="center" indent="1"/>
    </xf>
    <xf numFmtId="0" fontId="0" fillId="0" borderId="43" xfId="0" applyBorder="1" applyAlignment="1">
      <alignment horizontal="left" vertical="center" indent="1"/>
    </xf>
    <xf numFmtId="0" fontId="0" fillId="0" borderId="45" xfId="0" applyBorder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0" fillId="0" borderId="1" xfId="0" applyBorder="1" applyAlignment="1">
      <alignment horizontal="left" vertical="center" indent="1"/>
    </xf>
    <xf numFmtId="0" fontId="0" fillId="0" borderId="47" xfId="0" applyBorder="1" applyAlignment="1">
      <alignment horizontal="left" vertical="center" indent="1"/>
    </xf>
    <xf numFmtId="0" fontId="0" fillId="24" borderId="43" xfId="0" applyFill="1" applyBorder="1" applyAlignment="1">
      <alignment horizontal="left" vertical="center" indent="1"/>
    </xf>
    <xf numFmtId="0" fontId="0" fillId="0" borderId="3" xfId="0" applyBorder="1" applyAlignment="1">
      <alignment horizontal="left" vertical="center" indent="1"/>
    </xf>
    <xf numFmtId="0" fontId="26" fillId="23" borderId="2" xfId="0" applyFont="1" applyFill="1" applyBorder="1" applyAlignment="1">
      <alignment horizontal="left" vertical="center" indent="1"/>
    </xf>
    <xf numFmtId="0" fontId="0" fillId="0" borderId="42" xfId="0" applyBorder="1" applyAlignment="1">
      <alignment horizontal="left" vertical="center" indent="1"/>
    </xf>
    <xf numFmtId="0" fontId="0" fillId="0" borderId="44" xfId="0" applyBorder="1" applyAlignment="1">
      <alignment horizontal="left" vertical="center" indent="1"/>
    </xf>
    <xf numFmtId="0" fontId="0" fillId="0" borderId="46" xfId="0" applyBorder="1" applyAlignment="1">
      <alignment horizontal="left" vertical="center" indent="1"/>
    </xf>
    <xf numFmtId="0" fontId="26" fillId="0" borderId="1" xfId="0" applyFont="1" applyBorder="1" applyAlignment="1">
      <alignment horizontal="left" vertical="center" indent="1"/>
    </xf>
    <xf numFmtId="0" fontId="0" fillId="0" borderId="48" xfId="0" applyBorder="1" applyAlignment="1">
      <alignment horizontal="left" vertical="center" indent="1"/>
    </xf>
    <xf numFmtId="0" fontId="0" fillId="24" borderId="44" xfId="0" applyFill="1" applyBorder="1" applyAlignment="1">
      <alignment horizontal="left" vertical="center" indent="1"/>
    </xf>
    <xf numFmtId="0" fontId="0" fillId="0" borderId="2" xfId="0" applyBorder="1" applyAlignment="1">
      <alignment horizontal="left" vertical="center" indent="1"/>
    </xf>
    <xf numFmtId="0" fontId="35" fillId="0" borderId="0" xfId="1" applyFont="1" applyAlignment="1">
      <alignment horizontal="center" vertical="center"/>
    </xf>
    <xf numFmtId="0" fontId="33" fillId="0" borderId="0" xfId="0" applyFont="1" applyAlignment="1">
      <alignment vertical="center"/>
    </xf>
    <xf numFmtId="12" fontId="33" fillId="0" borderId="0" xfId="0" applyNumberFormat="1" applyFont="1" applyAlignment="1">
      <alignment horizontal="right" vertical="center"/>
    </xf>
    <xf numFmtId="0" fontId="33" fillId="0" borderId="0" xfId="0" applyFont="1" applyAlignment="1">
      <alignment horizontal="right" vertical="center"/>
    </xf>
    <xf numFmtId="14" fontId="33" fillId="0" borderId="0" xfId="0" applyNumberFormat="1" applyFont="1" applyAlignment="1">
      <alignment horizontal="right" vertical="center"/>
    </xf>
    <xf numFmtId="0" fontId="14" fillId="0" borderId="0" xfId="0" applyFont="1"/>
    <xf numFmtId="0" fontId="25" fillId="0" borderId="50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33" fillId="0" borderId="52" xfId="0" applyFont="1" applyBorder="1" applyAlignment="1">
      <alignment horizontal="right" vertical="center" wrapText="1"/>
    </xf>
    <xf numFmtId="12" fontId="33" fillId="0" borderId="53" xfId="0" applyNumberFormat="1" applyFont="1" applyBorder="1" applyAlignment="1">
      <alignment horizontal="right" vertical="center" wrapText="1"/>
    </xf>
    <xf numFmtId="0" fontId="33" fillId="0" borderId="53" xfId="0" applyFont="1" applyBorder="1" applyAlignment="1">
      <alignment vertical="center" wrapText="1"/>
    </xf>
    <xf numFmtId="0" fontId="33" fillId="0" borderId="53" xfId="0" applyFont="1" applyBorder="1" applyAlignment="1">
      <alignment horizontal="right" vertical="center" wrapText="1"/>
    </xf>
    <xf numFmtId="0" fontId="33" fillId="0" borderId="54" xfId="0" applyFont="1" applyBorder="1" applyAlignment="1">
      <alignment horizontal="right" vertical="center" wrapText="1"/>
    </xf>
    <xf numFmtId="0" fontId="33" fillId="9" borderId="26" xfId="0" applyFont="1" applyFill="1" applyBorder="1" applyAlignment="1">
      <alignment horizontal="center" vertical="center"/>
    </xf>
    <xf numFmtId="0" fontId="31" fillId="9" borderId="26" xfId="0" applyFont="1" applyFill="1" applyBorder="1" applyAlignment="1">
      <alignment horizontal="center" vertical="center" wrapText="1"/>
    </xf>
    <xf numFmtId="0" fontId="33" fillId="9" borderId="26" xfId="0" applyFont="1" applyFill="1" applyBorder="1" applyAlignment="1">
      <alignment horizontal="center" vertical="center" wrapText="1"/>
    </xf>
    <xf numFmtId="0" fontId="37" fillId="2" borderId="26" xfId="0" applyFont="1" applyFill="1" applyBorder="1" applyAlignment="1">
      <alignment horizontal="center" vertical="center"/>
    </xf>
    <xf numFmtId="0" fontId="33" fillId="2" borderId="26" xfId="0" applyFont="1" applyFill="1" applyBorder="1" applyAlignment="1">
      <alignment horizontal="center" vertical="center"/>
    </xf>
    <xf numFmtId="0" fontId="31" fillId="0" borderId="26" xfId="0" applyFont="1" applyBorder="1" applyAlignment="1">
      <alignment horizontal="center" vertical="center" wrapText="1"/>
    </xf>
    <xf numFmtId="0" fontId="33" fillId="2" borderId="26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horizontal="left" vertical="center" indent="1"/>
    </xf>
    <xf numFmtId="0" fontId="24" fillId="0" borderId="2" xfId="0" applyFont="1" applyBorder="1" applyAlignment="1">
      <alignment vertical="center" wrapText="1"/>
    </xf>
    <xf numFmtId="0" fontId="24" fillId="0" borderId="4" xfId="0" applyFont="1" applyBorder="1" applyAlignment="1">
      <alignment vertical="center" wrapText="1"/>
    </xf>
    <xf numFmtId="0" fontId="31" fillId="0" borderId="33" xfId="0" applyFont="1" applyBorder="1" applyAlignment="1">
      <alignment vertical="center"/>
    </xf>
    <xf numFmtId="0" fontId="31" fillId="0" borderId="26" xfId="0" applyFont="1" applyBorder="1" applyAlignment="1">
      <alignment vertical="center"/>
    </xf>
    <xf numFmtId="0" fontId="26" fillId="23" borderId="40" xfId="0" applyFont="1" applyFill="1" applyBorder="1" applyAlignment="1">
      <alignment horizontal="center" vertical="center"/>
    </xf>
    <xf numFmtId="0" fontId="26" fillId="23" borderId="2" xfId="0" applyFont="1" applyFill="1" applyBorder="1" applyAlignment="1">
      <alignment horizontal="center" vertical="center"/>
    </xf>
    <xf numFmtId="0" fontId="40" fillId="25" borderId="15" xfId="0" applyFont="1" applyFill="1" applyBorder="1" applyAlignment="1">
      <alignment horizontal="left" vertical="center"/>
    </xf>
    <xf numFmtId="0" fontId="33" fillId="25" borderId="15" xfId="0" applyFont="1" applyFill="1" applyBorder="1" applyAlignment="1">
      <alignment horizontal="center" vertical="center"/>
    </xf>
    <xf numFmtId="0" fontId="33" fillId="0" borderId="15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 wrapText="1"/>
    </xf>
    <xf numFmtId="0" fontId="40" fillId="0" borderId="15" xfId="0" applyFont="1" applyBorder="1" applyAlignment="1">
      <alignment horizontal="center" vertical="center"/>
    </xf>
    <xf numFmtId="0" fontId="33" fillId="26" borderId="15" xfId="0" applyFont="1" applyFill="1" applyBorder="1" applyAlignment="1">
      <alignment horizontal="left" vertical="center"/>
    </xf>
    <xf numFmtId="0" fontId="33" fillId="26" borderId="15" xfId="0" applyFont="1" applyFill="1" applyBorder="1" applyAlignment="1">
      <alignment horizontal="center" vertical="center"/>
    </xf>
    <xf numFmtId="0" fontId="40" fillId="26" borderId="15" xfId="0" applyFont="1" applyFill="1" applyBorder="1" applyAlignment="1">
      <alignment horizontal="left" vertical="center"/>
    </xf>
    <xf numFmtId="0" fontId="33" fillId="27" borderId="15" xfId="0" applyFont="1" applyFill="1" applyBorder="1" applyAlignment="1">
      <alignment horizontal="left" vertical="center"/>
    </xf>
    <xf numFmtId="0" fontId="33" fillId="27" borderId="15" xfId="0" applyFont="1" applyFill="1" applyBorder="1" applyAlignment="1">
      <alignment horizontal="center" vertical="center"/>
    </xf>
    <xf numFmtId="0" fontId="33" fillId="28" borderId="15" xfId="0" applyFont="1" applyFill="1" applyBorder="1" applyAlignment="1">
      <alignment horizontal="left" vertical="center"/>
    </xf>
    <xf numFmtId="0" fontId="33" fillId="28" borderId="15" xfId="0" applyFont="1" applyFill="1" applyBorder="1" applyAlignment="1">
      <alignment horizontal="center" vertical="center"/>
    </xf>
    <xf numFmtId="0" fontId="33" fillId="29" borderId="15" xfId="0" applyFont="1" applyFill="1" applyBorder="1" applyAlignment="1">
      <alignment horizontal="left" vertical="center"/>
    </xf>
    <xf numFmtId="0" fontId="33" fillId="29" borderId="15" xfId="0" applyFont="1" applyFill="1" applyBorder="1" applyAlignment="1">
      <alignment horizontal="center" vertical="center"/>
    </xf>
    <xf numFmtId="0" fontId="33" fillId="2" borderId="15" xfId="0" applyFont="1" applyFill="1" applyBorder="1" applyAlignment="1">
      <alignment horizontal="center" vertical="center"/>
    </xf>
    <xf numFmtId="0" fontId="33" fillId="30" borderId="15" xfId="0" applyFont="1" applyFill="1" applyBorder="1" applyAlignment="1">
      <alignment horizontal="left" vertical="center"/>
    </xf>
    <xf numFmtId="0" fontId="33" fillId="30" borderId="15" xfId="0" applyFont="1" applyFill="1" applyBorder="1" applyAlignment="1">
      <alignment horizontal="center" vertical="center"/>
    </xf>
    <xf numFmtId="0" fontId="33" fillId="31" borderId="15" xfId="0" applyFont="1" applyFill="1" applyBorder="1" applyAlignment="1">
      <alignment horizontal="left" vertical="center"/>
    </xf>
    <xf numFmtId="0" fontId="33" fillId="31" borderId="15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 indent="1"/>
    </xf>
    <xf numFmtId="0" fontId="39" fillId="0" borderId="1" xfId="0" applyFont="1" applyBorder="1"/>
    <xf numFmtId="0" fontId="33" fillId="0" borderId="15" xfId="0" applyFont="1" applyBorder="1" applyAlignment="1">
      <alignment horizontal="left" vertical="center"/>
    </xf>
    <xf numFmtId="0" fontId="25" fillId="26" borderId="15" xfId="0" applyFont="1" applyFill="1" applyBorder="1" applyAlignment="1">
      <alignment horizontal="center" vertical="center"/>
    </xf>
    <xf numFmtId="0" fontId="14" fillId="0" borderId="26" xfId="0" applyFont="1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25" fillId="0" borderId="15" xfId="0" applyFont="1" applyBorder="1" applyAlignment="1">
      <alignment horizontal="center" vertical="center"/>
    </xf>
    <xf numFmtId="0" fontId="35" fillId="0" borderId="0" xfId="1" applyFont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0" fontId="22" fillId="0" borderId="0" xfId="0" applyFont="1"/>
    <xf numFmtId="0" fontId="0" fillId="0" borderId="1" xfId="0" applyBorder="1"/>
    <xf numFmtId="1" fontId="33" fillId="0" borderId="15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41" fillId="0" borderId="0" xfId="0" applyFont="1" applyAlignment="1">
      <alignment horizontal="left" vertical="center"/>
    </xf>
    <xf numFmtId="0" fontId="26" fillId="23" borderId="60" xfId="0" applyFont="1" applyFill="1" applyBorder="1" applyAlignment="1">
      <alignment horizontal="center" vertical="center"/>
    </xf>
    <xf numFmtId="0" fontId="26" fillId="23" borderId="31" xfId="0" applyFont="1" applyFill="1" applyBorder="1" applyAlignment="1">
      <alignment horizontal="center" vertical="center"/>
    </xf>
    <xf numFmtId="0" fontId="33" fillId="0" borderId="1" xfId="0" applyFont="1" applyBorder="1" applyAlignment="1">
      <alignment horizontal="center" vertical="center" wrapText="1"/>
    </xf>
    <xf numFmtId="0" fontId="40" fillId="32" borderId="1" xfId="0" applyFont="1" applyFill="1" applyBorder="1" applyAlignment="1">
      <alignment horizontal="center" vertical="center"/>
    </xf>
    <xf numFmtId="0" fontId="33" fillId="32" borderId="1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0" fillId="0" borderId="1" xfId="0" applyFont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33" fillId="26" borderId="1" xfId="0" applyFont="1" applyFill="1" applyBorder="1" applyAlignment="1">
      <alignment horizontal="center" vertical="center"/>
    </xf>
    <xf numFmtId="0" fontId="40" fillId="26" borderId="1" xfId="0" applyFont="1" applyFill="1" applyBorder="1" applyAlignment="1">
      <alignment horizontal="center" vertical="center"/>
    </xf>
    <xf numFmtId="0" fontId="33" fillId="27" borderId="1" xfId="0" applyFont="1" applyFill="1" applyBorder="1" applyAlignment="1">
      <alignment horizontal="center" vertical="center"/>
    </xf>
    <xf numFmtId="0" fontId="33" fillId="34" borderId="1" xfId="0" applyFont="1" applyFill="1" applyBorder="1" applyAlignment="1">
      <alignment horizontal="center" vertical="center" wrapText="1"/>
    </xf>
    <xf numFmtId="0" fontId="33" fillId="34" borderId="1" xfId="0" applyFont="1" applyFill="1" applyBorder="1" applyAlignment="1">
      <alignment horizontal="center" vertical="center"/>
    </xf>
    <xf numFmtId="0" fontId="33" fillId="35" borderId="1" xfId="0" applyFont="1" applyFill="1" applyBorder="1" applyAlignment="1">
      <alignment horizontal="center" vertical="center"/>
    </xf>
    <xf numFmtId="0" fontId="40" fillId="34" borderId="1" xfId="0" applyFont="1" applyFill="1" applyBorder="1" applyAlignment="1">
      <alignment horizontal="center" vertical="center"/>
    </xf>
    <xf numFmtId="0" fontId="26" fillId="23" borderId="24" xfId="0" applyFont="1" applyFill="1" applyBorder="1" applyAlignment="1">
      <alignment vertical="center"/>
    </xf>
    <xf numFmtId="0" fontId="26" fillId="23" borderId="24" xfId="0" applyFont="1" applyFill="1" applyBorder="1" applyAlignment="1">
      <alignment horizontal="left" vertical="center" indent="1"/>
    </xf>
    <xf numFmtId="0" fontId="26" fillId="23" borderId="33" xfId="0" applyFont="1" applyFill="1" applyBorder="1" applyAlignment="1">
      <alignment horizontal="left" vertical="center" indent="1"/>
    </xf>
    <xf numFmtId="0" fontId="33" fillId="36" borderId="1" xfId="0" applyFont="1" applyFill="1" applyBorder="1" applyAlignment="1">
      <alignment horizontal="center" vertical="center" wrapText="1"/>
    </xf>
    <xf numFmtId="0" fontId="33" fillId="37" borderId="1" xfId="0" applyFont="1" applyFill="1" applyBorder="1" applyAlignment="1">
      <alignment horizontal="center" vertical="center"/>
    </xf>
    <xf numFmtId="0" fontId="43" fillId="37" borderId="1" xfId="0" applyFont="1" applyFill="1" applyBorder="1" applyAlignment="1">
      <alignment horizontal="center" vertical="center"/>
    </xf>
    <xf numFmtId="0" fontId="0" fillId="36" borderId="1" xfId="0" applyFill="1" applyBorder="1" applyAlignment="1">
      <alignment horizontal="center" vertical="center"/>
    </xf>
    <xf numFmtId="0" fontId="44" fillId="4" borderId="0" xfId="0" applyFont="1" applyFill="1" applyAlignment="1">
      <alignment horizontal="center" vertical="center" wrapText="1"/>
    </xf>
    <xf numFmtId="0" fontId="45" fillId="4" borderId="1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46" fillId="10" borderId="0" xfId="0" applyFont="1" applyFill="1" applyAlignment="1">
      <alignment horizontal="left" vertical="top" wrapText="1"/>
    </xf>
    <xf numFmtId="0" fontId="47" fillId="0" borderId="0" xfId="0" applyFont="1" applyAlignment="1">
      <alignment horizontal="left" vertical="center" wrapText="1"/>
    </xf>
    <xf numFmtId="0" fontId="47" fillId="2" borderId="0" xfId="0" applyFont="1" applyFill="1" applyAlignment="1">
      <alignment horizontal="left" vertical="center" wrapText="1"/>
    </xf>
    <xf numFmtId="0" fontId="47" fillId="0" borderId="0" xfId="0" applyFont="1" applyAlignment="1">
      <alignment horizontal="left"/>
    </xf>
    <xf numFmtId="0" fontId="47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7" fillId="2" borderId="0" xfId="0" applyFont="1" applyFill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5" fillId="19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5" fillId="0" borderId="11" xfId="0" applyFont="1" applyBorder="1"/>
    <xf numFmtId="0" fontId="6" fillId="0" borderId="1" xfId="0" quotePrefix="1" applyFont="1" applyBorder="1" applyAlignment="1">
      <alignment horizontal="center" vertical="center"/>
    </xf>
    <xf numFmtId="0" fontId="40" fillId="2" borderId="1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0" fillId="38" borderId="0" xfId="1" applyFont="1" applyFill="1" applyAlignment="1">
      <alignment horizontal="center" vertical="center"/>
    </xf>
    <xf numFmtId="0" fontId="38" fillId="0" borderId="0" xfId="1" applyFont="1" applyAlignment="1">
      <alignment horizontal="center" vertical="center"/>
    </xf>
    <xf numFmtId="0" fontId="42" fillId="0" borderId="0" xfId="0" applyFont="1"/>
    <xf numFmtId="0" fontId="42" fillId="0" borderId="0" xfId="0" applyFont="1" applyAlignment="1">
      <alignment horizontal="right"/>
    </xf>
    <xf numFmtId="0" fontId="25" fillId="2" borderId="26" xfId="0" applyFont="1" applyFill="1" applyBorder="1" applyAlignment="1">
      <alignment horizontal="center" vertical="center"/>
    </xf>
    <xf numFmtId="14" fontId="0" fillId="0" borderId="0" xfId="0" applyNumberFormat="1"/>
    <xf numFmtId="0" fontId="25" fillId="2" borderId="23" xfId="0" applyFont="1" applyFill="1" applyBorder="1" applyAlignment="1">
      <alignment horizontal="center" vertical="center"/>
    </xf>
    <xf numFmtId="14" fontId="25" fillId="2" borderId="23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 wrapText="1"/>
    </xf>
    <xf numFmtId="0" fontId="54" fillId="0" borderId="1" xfId="0" applyFont="1" applyBorder="1" applyAlignment="1">
      <alignment horizontal="center" vertical="center"/>
    </xf>
    <xf numFmtId="0" fontId="54" fillId="0" borderId="1" xfId="0" applyFont="1" applyBorder="1" applyAlignment="1">
      <alignment horizontal="left" vertical="center"/>
    </xf>
    <xf numFmtId="0" fontId="53" fillId="0" borderId="15" xfId="0" applyFont="1" applyBorder="1" applyAlignment="1">
      <alignment horizontal="center" vertical="center"/>
    </xf>
    <xf numFmtId="14" fontId="54" fillId="0" borderId="5" xfId="0" applyNumberFormat="1" applyFont="1" applyBorder="1" applyAlignment="1">
      <alignment horizontal="center" vertical="center"/>
    </xf>
    <xf numFmtId="0" fontId="22" fillId="0" borderId="0" xfId="0" applyFont="1" applyAlignment="1">
      <alignment wrapText="1"/>
    </xf>
    <xf numFmtId="0" fontId="4" fillId="4" borderId="5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/>
    </xf>
    <xf numFmtId="0" fontId="28" fillId="21" borderId="15" xfId="0" applyFont="1" applyFill="1" applyBorder="1" applyAlignment="1">
      <alignment horizontal="center" vertical="center" wrapText="1"/>
    </xf>
    <xf numFmtId="0" fontId="28" fillId="21" borderId="14" xfId="0" applyFont="1" applyFill="1" applyBorder="1" applyAlignment="1">
      <alignment horizontal="center" vertical="center" wrapText="1"/>
    </xf>
    <xf numFmtId="0" fontId="28" fillId="21" borderId="16" xfId="0" applyFont="1" applyFill="1" applyBorder="1" applyAlignment="1">
      <alignment horizontal="center" vertical="center" wrapText="1"/>
    </xf>
    <xf numFmtId="0" fontId="33" fillId="0" borderId="0" xfId="0" applyFont="1"/>
    <xf numFmtId="14" fontId="54" fillId="0" borderId="13" xfId="0" applyNumberFormat="1" applyFont="1" applyBorder="1" applyAlignment="1">
      <alignment horizontal="center" vertical="center"/>
    </xf>
    <xf numFmtId="0" fontId="54" fillId="0" borderId="11" xfId="0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/>
    </xf>
    <xf numFmtId="0" fontId="11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left" vertical="center"/>
    </xf>
    <xf numFmtId="0" fontId="33" fillId="39" borderId="0" xfId="0" applyFont="1" applyFill="1" applyAlignment="1">
      <alignment horizontal="center" vertical="center"/>
    </xf>
    <xf numFmtId="0" fontId="5" fillId="39" borderId="0" xfId="0" applyFont="1" applyFill="1" applyAlignment="1">
      <alignment horizontal="center" vertical="center" wrapText="1"/>
    </xf>
    <xf numFmtId="0" fontId="20" fillId="39" borderId="0" xfId="0" applyFont="1" applyFill="1" applyAlignment="1">
      <alignment horizontal="center" vertical="center"/>
    </xf>
    <xf numFmtId="0" fontId="31" fillId="39" borderId="0" xfId="0" applyFont="1" applyFill="1" applyAlignment="1">
      <alignment horizontal="center" vertical="center"/>
    </xf>
    <xf numFmtId="0" fontId="0" fillId="39" borderId="0" xfId="0" applyFill="1"/>
    <xf numFmtId="0" fontId="53" fillId="4" borderId="16" xfId="0" applyFont="1" applyFill="1" applyBorder="1" applyAlignment="1">
      <alignment horizontal="center" vertical="center"/>
    </xf>
    <xf numFmtId="0" fontId="53" fillId="4" borderId="16" xfId="0" applyFont="1" applyFill="1" applyBorder="1" applyAlignment="1">
      <alignment horizontal="center" vertical="center" wrapText="1"/>
    </xf>
    <xf numFmtId="0" fontId="33" fillId="0" borderId="33" xfId="0" applyFont="1" applyBorder="1" applyAlignment="1">
      <alignment vertical="center"/>
    </xf>
    <xf numFmtId="12" fontId="33" fillId="0" borderId="26" xfId="0" applyNumberFormat="1" applyFont="1" applyBorder="1" applyAlignment="1">
      <alignment horizontal="right" vertical="center"/>
    </xf>
    <xf numFmtId="0" fontId="14" fillId="0" borderId="26" xfId="0" applyFont="1" applyBorder="1"/>
    <xf numFmtId="0" fontId="55" fillId="9" borderId="33" xfId="0" applyFont="1" applyFill="1" applyBorder="1" applyAlignment="1">
      <alignment horizontal="center" vertical="center"/>
    </xf>
    <xf numFmtId="0" fontId="22" fillId="9" borderId="33" xfId="0" applyFont="1" applyFill="1" applyBorder="1" applyAlignment="1">
      <alignment horizontal="center" vertical="center"/>
    </xf>
    <xf numFmtId="12" fontId="33" fillId="40" borderId="26" xfId="0" applyNumberFormat="1" applyFont="1" applyFill="1" applyBorder="1" applyAlignment="1">
      <alignment horizontal="right" vertical="center"/>
    </xf>
    <xf numFmtId="0" fontId="33" fillId="40" borderId="26" xfId="0" applyFont="1" applyFill="1" applyBorder="1" applyAlignment="1">
      <alignment vertical="center"/>
    </xf>
    <xf numFmtId="0" fontId="33" fillId="40" borderId="26" xfId="0" applyFont="1" applyFill="1" applyBorder="1" applyAlignment="1">
      <alignment horizontal="right" vertical="center"/>
    </xf>
    <xf numFmtId="0" fontId="14" fillId="40" borderId="26" xfId="0" applyFont="1" applyFill="1" applyBorder="1"/>
    <xf numFmtId="0" fontId="22" fillId="40" borderId="33" xfId="0" applyFont="1" applyFill="1" applyBorder="1" applyAlignment="1">
      <alignment horizontal="center" vertical="center"/>
    </xf>
    <xf numFmtId="12" fontId="16" fillId="40" borderId="26" xfId="0" applyNumberFormat="1" applyFont="1" applyFill="1" applyBorder="1" applyAlignment="1">
      <alignment horizontal="center" vertical="center"/>
    </xf>
    <xf numFmtId="0" fontId="16" fillId="40" borderId="26" xfId="0" applyFont="1" applyFill="1" applyBorder="1" applyAlignment="1">
      <alignment horizontal="center" vertical="center"/>
    </xf>
    <xf numFmtId="0" fontId="16" fillId="40" borderId="33" xfId="0" applyFont="1" applyFill="1" applyBorder="1" applyAlignment="1">
      <alignment horizontal="center" vertical="center"/>
    </xf>
    <xf numFmtId="0" fontId="50" fillId="40" borderId="33" xfId="0" applyFont="1" applyFill="1" applyBorder="1" applyAlignment="1">
      <alignment horizontal="center" vertical="center"/>
    </xf>
    <xf numFmtId="0" fontId="18" fillId="40" borderId="32" xfId="0" applyFont="1" applyFill="1" applyBorder="1" applyAlignment="1">
      <alignment horizontal="left" vertical="center" wrapText="1"/>
    </xf>
    <xf numFmtId="0" fontId="19" fillId="11" borderId="0" xfId="0" applyFont="1" applyFill="1" applyAlignment="1">
      <alignment horizontal="left" vertical="top" wrapText="1"/>
    </xf>
    <xf numFmtId="0" fontId="19" fillId="18" borderId="0" xfId="0" applyFont="1" applyFill="1" applyAlignment="1">
      <alignment horizontal="left" vertical="top" wrapText="1"/>
    </xf>
    <xf numFmtId="0" fontId="6" fillId="0" borderId="11" xfId="0" quotePrefix="1" applyFont="1" applyBorder="1" applyAlignment="1">
      <alignment horizontal="center" vertical="center"/>
    </xf>
    <xf numFmtId="0" fontId="6" fillId="0" borderId="16" xfId="0" quotePrefix="1" applyFont="1" applyBorder="1" applyAlignment="1">
      <alignment horizontal="center" vertical="center"/>
    </xf>
    <xf numFmtId="14" fontId="58" fillId="0" borderId="5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center" vertical="center"/>
    </xf>
    <xf numFmtId="0" fontId="58" fillId="0" borderId="1" xfId="0" applyFont="1" applyBorder="1" applyAlignment="1">
      <alignment horizontal="left" vertical="center"/>
    </xf>
    <xf numFmtId="0" fontId="59" fillId="0" borderId="0" xfId="0" applyFont="1" applyAlignment="1">
      <alignment horizontal="left" vertical="center" wrapText="1"/>
    </xf>
    <xf numFmtId="0" fontId="20" fillId="2" borderId="0" xfId="0" applyFont="1" applyFill="1" applyAlignment="1">
      <alignment horizontal="center" vertical="center"/>
    </xf>
    <xf numFmtId="0" fontId="60" fillId="0" borderId="0" xfId="0" applyFont="1" applyAlignment="1">
      <alignment horizontal="right"/>
    </xf>
    <xf numFmtId="0" fontId="11" fillId="6" borderId="1" xfId="0" applyFont="1" applyFill="1" applyBorder="1"/>
    <xf numFmtId="12" fontId="11" fillId="6" borderId="1" xfId="0" applyNumberFormat="1" applyFont="1" applyFill="1" applyBorder="1"/>
    <xf numFmtId="0" fontId="11" fillId="6" borderId="1" xfId="0" applyFont="1" applyFill="1" applyBorder="1" applyAlignment="1">
      <alignment horizontal="left"/>
    </xf>
    <xf numFmtId="0" fontId="11" fillId="6" borderId="1" xfId="0" applyFont="1" applyFill="1" applyBorder="1" applyAlignment="1">
      <alignment horizontal="right"/>
    </xf>
    <xf numFmtId="0" fontId="52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39" borderId="0" xfId="0" applyFont="1" applyFill="1" applyAlignment="1">
      <alignment horizontal="left" vertical="center"/>
    </xf>
    <xf numFmtId="0" fontId="52" fillId="0" borderId="0" xfId="0" applyFont="1" applyAlignment="1">
      <alignment horizontal="left" vertical="center"/>
    </xf>
    <xf numFmtId="0" fontId="52" fillId="2" borderId="0" xfId="0" applyFont="1" applyFill="1" applyAlignment="1">
      <alignment horizontal="left" vertical="center"/>
    </xf>
    <xf numFmtId="0" fontId="0" fillId="0" borderId="18" xfId="0" applyBorder="1"/>
    <xf numFmtId="0" fontId="25" fillId="2" borderId="27" xfId="0" applyFont="1" applyFill="1" applyBorder="1" applyAlignment="1">
      <alignment horizontal="center" vertical="center"/>
    </xf>
    <xf numFmtId="0" fontId="25" fillId="2" borderId="58" xfId="0" applyFont="1" applyFill="1" applyBorder="1" applyAlignment="1">
      <alignment horizontal="center" vertical="center"/>
    </xf>
    <xf numFmtId="0" fontId="25" fillId="2" borderId="28" xfId="0" applyFont="1" applyFill="1" applyBorder="1" applyAlignment="1">
      <alignment horizontal="center" vertical="center"/>
    </xf>
    <xf numFmtId="0" fontId="62" fillId="0" borderId="61" xfId="0" applyFont="1" applyBorder="1" applyAlignment="1">
      <alignment horizontal="center" vertical="center"/>
    </xf>
    <xf numFmtId="0" fontId="62" fillId="0" borderId="59" xfId="0" applyFont="1" applyBorder="1" applyAlignment="1">
      <alignment horizontal="center" vertical="center"/>
    </xf>
    <xf numFmtId="0" fontId="62" fillId="0" borderId="64" xfId="0" applyFont="1" applyBorder="1" applyAlignment="1">
      <alignment horizontal="center" vertical="center"/>
    </xf>
    <xf numFmtId="0" fontId="5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2" fillId="0" borderId="1" xfId="0" applyFont="1" applyBorder="1"/>
    <xf numFmtId="0" fontId="0" fillId="3" borderId="31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27" fillId="20" borderId="31" xfId="0" applyFont="1" applyFill="1" applyBorder="1" applyAlignment="1">
      <alignment horizontal="center" vertical="center" wrapText="1"/>
    </xf>
    <xf numFmtId="0" fontId="28" fillId="21" borderId="31" xfId="0" applyFont="1" applyFill="1" applyBorder="1" applyAlignment="1">
      <alignment horizontal="center" vertical="center" wrapText="1"/>
    </xf>
    <xf numFmtId="0" fontId="29" fillId="22" borderId="31" xfId="0" applyFont="1" applyFill="1" applyBorder="1" applyAlignment="1">
      <alignment horizontal="center" vertical="center" wrapText="1"/>
    </xf>
    <xf numFmtId="0" fontId="25" fillId="2" borderId="21" xfId="0" applyFont="1" applyFill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20" fillId="0" borderId="5" xfId="0" applyFont="1" applyBorder="1" applyAlignment="1">
      <alignment horizontal="center" vertical="center"/>
    </xf>
    <xf numFmtId="0" fontId="31" fillId="0" borderId="5" xfId="0" applyFont="1" applyBorder="1" applyAlignment="1">
      <alignment horizontal="center" vertical="center"/>
    </xf>
    <xf numFmtId="0" fontId="31" fillId="0" borderId="13" xfId="0" applyFont="1" applyBorder="1" applyAlignment="1">
      <alignment horizontal="center" vertical="center"/>
    </xf>
    <xf numFmtId="0" fontId="56" fillId="0" borderId="5" xfId="0" applyFont="1" applyBorder="1" applyAlignment="1">
      <alignment horizontal="center" vertical="center"/>
    </xf>
    <xf numFmtId="0" fontId="57" fillId="0" borderId="5" xfId="0" applyFont="1" applyBorder="1" applyAlignment="1">
      <alignment horizontal="center" vertical="center"/>
    </xf>
    <xf numFmtId="0" fontId="5" fillId="19" borderId="17" xfId="0" applyFont="1" applyFill="1" applyBorder="1" applyAlignment="1">
      <alignment horizontal="center" vertical="center"/>
    </xf>
    <xf numFmtId="0" fontId="5" fillId="19" borderId="12" xfId="0" applyFont="1" applyFill="1" applyBorder="1" applyAlignment="1">
      <alignment horizontal="center" vertical="center"/>
    </xf>
    <xf numFmtId="0" fontId="4" fillId="17" borderId="15" xfId="0" applyFont="1" applyFill="1" applyBorder="1" applyAlignment="1">
      <alignment horizontal="center" vertical="center"/>
    </xf>
    <xf numFmtId="0" fontId="27" fillId="20" borderId="16" xfId="0" applyFont="1" applyFill="1" applyBorder="1" applyAlignment="1">
      <alignment horizontal="center" vertical="center" wrapText="1"/>
    </xf>
    <xf numFmtId="0" fontId="27" fillId="3" borderId="14" xfId="0" applyFont="1" applyFill="1" applyBorder="1" applyAlignment="1">
      <alignment horizontal="center" vertical="center" wrapText="1"/>
    </xf>
    <xf numFmtId="0" fontId="61" fillId="41" borderId="1" xfId="0" applyFont="1" applyFill="1" applyBorder="1" applyAlignment="1">
      <alignment horizontal="center" vertical="center"/>
    </xf>
    <xf numFmtId="0" fontId="61" fillId="41" borderId="1" xfId="0" applyFont="1" applyFill="1" applyBorder="1" applyAlignment="1">
      <alignment horizontal="left" vertical="center"/>
    </xf>
    <xf numFmtId="0" fontId="61" fillId="0" borderId="1" xfId="0" applyFont="1" applyBorder="1" applyAlignment="1">
      <alignment horizontal="center" vertical="center"/>
    </xf>
    <xf numFmtId="0" fontId="61" fillId="0" borderId="1" xfId="0" applyFont="1" applyBorder="1" applyAlignment="1">
      <alignment horizontal="left" vertical="center"/>
    </xf>
    <xf numFmtId="0" fontId="61" fillId="0" borderId="63" xfId="0" applyFont="1" applyBorder="1" applyAlignment="1">
      <alignment horizontal="center" vertical="center"/>
    </xf>
    <xf numFmtId="0" fontId="61" fillId="0" borderId="63" xfId="0" applyFont="1" applyBorder="1" applyAlignment="1">
      <alignment horizontal="left" vertical="center"/>
    </xf>
    <xf numFmtId="0" fontId="61" fillId="41" borderId="63" xfId="0" applyFont="1" applyFill="1" applyBorder="1" applyAlignment="1">
      <alignment horizontal="center" vertical="center"/>
    </xf>
    <xf numFmtId="0" fontId="61" fillId="41" borderId="63" xfId="0" applyFont="1" applyFill="1" applyBorder="1" applyAlignment="1">
      <alignment horizontal="left" vertical="center"/>
    </xf>
    <xf numFmtId="0" fontId="61" fillId="3" borderId="1" xfId="0" applyFont="1" applyFill="1" applyBorder="1" applyAlignment="1">
      <alignment horizontal="center" vertical="center"/>
    </xf>
    <xf numFmtId="0" fontId="61" fillId="3" borderId="1" xfId="0" applyFont="1" applyFill="1" applyBorder="1" applyAlignment="1">
      <alignment horizontal="left" vertical="center"/>
    </xf>
    <xf numFmtId="0" fontId="61" fillId="42" borderId="1" xfId="0" applyFont="1" applyFill="1" applyBorder="1" applyAlignment="1">
      <alignment horizontal="center" vertical="center"/>
    </xf>
    <xf numFmtId="0" fontId="61" fillId="42" borderId="1" xfId="0" applyFont="1" applyFill="1" applyBorder="1" applyAlignment="1">
      <alignment horizontal="left" vertical="center"/>
    </xf>
    <xf numFmtId="0" fontId="61" fillId="3" borderId="63" xfId="0" applyFont="1" applyFill="1" applyBorder="1" applyAlignment="1">
      <alignment horizontal="center" vertical="center"/>
    </xf>
    <xf numFmtId="0" fontId="61" fillId="3" borderId="63" xfId="0" applyFont="1" applyFill="1" applyBorder="1" applyAlignment="1">
      <alignment horizontal="left" vertical="center"/>
    </xf>
    <xf numFmtId="0" fontId="38" fillId="19" borderId="17" xfId="0" applyFont="1" applyFill="1" applyBorder="1" applyAlignment="1">
      <alignment horizontal="center" vertical="center"/>
    </xf>
    <xf numFmtId="0" fontId="53" fillId="4" borderId="16" xfId="0" applyFont="1" applyFill="1" applyBorder="1" applyAlignment="1">
      <alignment horizontal="left" vertical="center" wrapText="1" indent="1"/>
    </xf>
    <xf numFmtId="0" fontId="54" fillId="0" borderId="1" xfId="0" applyFont="1" applyBorder="1" applyAlignment="1">
      <alignment horizontal="left" vertical="center" indent="1"/>
    </xf>
    <xf numFmtId="0" fontId="54" fillId="0" borderId="11" xfId="0" applyFont="1" applyBorder="1" applyAlignment="1">
      <alignment horizontal="left" vertical="center" indent="1"/>
    </xf>
    <xf numFmtId="0" fontId="58" fillId="0" borderId="1" xfId="0" applyFont="1" applyBorder="1" applyAlignment="1">
      <alignment horizontal="left" vertical="center" indent="1"/>
    </xf>
    <xf numFmtId="0" fontId="0" fillId="0" borderId="0" xfId="0" applyAlignment="1">
      <alignment horizontal="left" indent="1"/>
    </xf>
    <xf numFmtId="0" fontId="54" fillId="0" borderId="17" xfId="0" applyFont="1" applyBorder="1" applyAlignment="1">
      <alignment horizontal="center" vertical="center"/>
    </xf>
    <xf numFmtId="0" fontId="54" fillId="0" borderId="5" xfId="0" applyFont="1" applyBorder="1" applyAlignment="1">
      <alignment horizontal="left" vertical="center"/>
    </xf>
    <xf numFmtId="0" fontId="54" fillId="0" borderId="5" xfId="0" applyFont="1" applyBorder="1" applyAlignment="1">
      <alignment horizontal="center" vertical="center"/>
    </xf>
    <xf numFmtId="0" fontId="54" fillId="0" borderId="12" xfId="0" applyFont="1" applyBorder="1" applyAlignment="1">
      <alignment horizontal="center" vertical="center"/>
    </xf>
    <xf numFmtId="0" fontId="54" fillId="0" borderId="13" xfId="0" applyFont="1" applyBorder="1" applyAlignment="1">
      <alignment horizontal="left" vertical="center"/>
    </xf>
    <xf numFmtId="0" fontId="54" fillId="0" borderId="13" xfId="0" applyFont="1" applyBorder="1" applyAlignment="1">
      <alignment horizontal="center" vertical="center"/>
    </xf>
    <xf numFmtId="0" fontId="0" fillId="0" borderId="11" xfId="0" applyBorder="1"/>
    <xf numFmtId="0" fontId="0" fillId="2" borderId="11" xfId="0" applyFill="1" applyBorder="1"/>
    <xf numFmtId="0" fontId="37" fillId="0" borderId="26" xfId="0" applyFont="1" applyBorder="1" applyAlignment="1">
      <alignment horizontal="center" vertical="center" wrapText="1"/>
    </xf>
    <xf numFmtId="0" fontId="33" fillId="0" borderId="26" xfId="0" applyFont="1" applyBorder="1" applyAlignment="1">
      <alignment horizontal="center" vertical="center" wrapText="1"/>
    </xf>
    <xf numFmtId="0" fontId="53" fillId="0" borderId="16" xfId="0" applyFont="1" applyBorder="1" applyAlignment="1">
      <alignment horizontal="left" vertical="center"/>
    </xf>
    <xf numFmtId="0" fontId="29" fillId="43" borderId="21" xfId="0" applyFont="1" applyFill="1" applyBorder="1" applyAlignment="1">
      <alignment horizontal="center" vertical="center" wrapText="1"/>
    </xf>
    <xf numFmtId="0" fontId="0" fillId="44" borderId="31" xfId="0" applyFill="1" applyBorder="1" applyAlignment="1">
      <alignment horizontal="center" vertical="center"/>
    </xf>
    <xf numFmtId="0" fontId="0" fillId="44" borderId="0" xfId="0" applyFill="1"/>
    <xf numFmtId="0" fontId="37" fillId="0" borderId="26" xfId="0" applyFont="1" applyBorder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0" fillId="7" borderId="0" xfId="0" applyFill="1"/>
    <xf numFmtId="0" fontId="31" fillId="0" borderId="2" xfId="0" applyFont="1" applyBorder="1" applyAlignment="1">
      <alignment vertical="center"/>
    </xf>
    <xf numFmtId="0" fontId="31" fillId="0" borderId="4" xfId="0" applyFont="1" applyBorder="1" applyAlignment="1">
      <alignment vertical="center"/>
    </xf>
    <xf numFmtId="0" fontId="64" fillId="0" borderId="4" xfId="0" applyFont="1" applyBorder="1" applyAlignment="1">
      <alignment vertical="center"/>
    </xf>
    <xf numFmtId="0" fontId="64" fillId="0" borderId="4" xfId="0" applyFont="1" applyBorder="1" applyAlignment="1">
      <alignment vertical="center" wrapText="1"/>
    </xf>
    <xf numFmtId="12" fontId="31" fillId="2" borderId="33" xfId="0" applyNumberFormat="1" applyFont="1" applyFill="1" applyBorder="1" applyAlignment="1">
      <alignment vertical="center"/>
    </xf>
    <xf numFmtId="0" fontId="31" fillId="2" borderId="26" xfId="0" applyFont="1" applyFill="1" applyBorder="1" applyAlignment="1">
      <alignment vertical="center"/>
    </xf>
    <xf numFmtId="0" fontId="31" fillId="2" borderId="26" xfId="0" applyFont="1" applyFill="1" applyBorder="1" applyAlignment="1">
      <alignment vertical="center" wrapText="1"/>
    </xf>
    <xf numFmtId="0" fontId="31" fillId="2" borderId="33" xfId="0" applyFont="1" applyFill="1" applyBorder="1" applyAlignment="1">
      <alignment vertical="center"/>
    </xf>
    <xf numFmtId="12" fontId="31" fillId="4" borderId="33" xfId="0" applyNumberFormat="1" applyFont="1" applyFill="1" applyBorder="1" applyAlignment="1">
      <alignment vertical="center"/>
    </xf>
    <xf numFmtId="0" fontId="31" fillId="4" borderId="26" xfId="0" applyFont="1" applyFill="1" applyBorder="1" applyAlignment="1">
      <alignment vertical="center"/>
    </xf>
    <xf numFmtId="0" fontId="31" fillId="4" borderId="26" xfId="0" applyFont="1" applyFill="1" applyBorder="1" applyAlignment="1">
      <alignment vertical="center" wrapText="1"/>
    </xf>
    <xf numFmtId="0" fontId="31" fillId="4" borderId="33" xfId="0" applyFont="1" applyFill="1" applyBorder="1" applyAlignment="1">
      <alignment vertical="center"/>
    </xf>
    <xf numFmtId="0" fontId="0" fillId="4" borderId="0" xfId="0" applyFill="1"/>
    <xf numFmtId="0" fontId="65" fillId="0" borderId="0" xfId="0" applyFont="1"/>
    <xf numFmtId="0" fontId="66" fillId="0" borderId="0" xfId="0" applyFont="1"/>
    <xf numFmtId="0" fontId="37" fillId="2" borderId="26" xfId="0" applyFont="1" applyFill="1" applyBorder="1" applyAlignment="1">
      <alignment vertical="center"/>
    </xf>
    <xf numFmtId="0" fontId="67" fillId="4" borderId="26" xfId="0" applyFont="1" applyFill="1" applyBorder="1" applyAlignment="1">
      <alignment vertical="center" wrapText="1"/>
    </xf>
    <xf numFmtId="0" fontId="65" fillId="7" borderId="0" xfId="0" applyFont="1" applyFill="1"/>
    <xf numFmtId="0" fontId="22" fillId="2" borderId="0" xfId="0" applyFont="1" applyFill="1"/>
    <xf numFmtId="0" fontId="33" fillId="45" borderId="2" xfId="0" applyFont="1" applyFill="1" applyBorder="1" applyAlignment="1">
      <alignment horizontal="center" vertical="center"/>
    </xf>
    <xf numFmtId="0" fontId="33" fillId="45" borderId="4" xfId="0" applyFont="1" applyFill="1" applyBorder="1" applyAlignment="1">
      <alignment horizontal="center" vertical="center"/>
    </xf>
    <xf numFmtId="0" fontId="33" fillId="46" borderId="26" xfId="0" applyFont="1" applyFill="1" applyBorder="1" applyAlignment="1">
      <alignment horizontal="center" vertical="center"/>
    </xf>
    <xf numFmtId="14" fontId="33" fillId="0" borderId="26" xfId="0" applyNumberFormat="1" applyFont="1" applyBorder="1" applyAlignment="1">
      <alignment horizontal="center" vertical="center"/>
    </xf>
    <xf numFmtId="0" fontId="33" fillId="0" borderId="23" xfId="0" applyFont="1" applyBorder="1" applyAlignment="1">
      <alignment vertical="center" wrapText="1"/>
    </xf>
    <xf numFmtId="0" fontId="33" fillId="0" borderId="26" xfId="0" applyFont="1" applyBorder="1" applyAlignment="1">
      <alignment vertical="center" wrapText="1"/>
    </xf>
    <xf numFmtId="0" fontId="31" fillId="0" borderId="0" xfId="0" applyFont="1"/>
    <xf numFmtId="0" fontId="6" fillId="0" borderId="11" xfId="0" applyFont="1" applyBorder="1" applyAlignment="1">
      <alignment horizontal="center" vertical="center"/>
    </xf>
    <xf numFmtId="0" fontId="70" fillId="0" borderId="1" xfId="0" applyFont="1" applyBorder="1" applyAlignment="1">
      <alignment horizontal="center" vertical="center"/>
    </xf>
    <xf numFmtId="0" fontId="40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4" fillId="0" borderId="31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33" fillId="0" borderId="31" xfId="0" applyFont="1" applyBorder="1" applyAlignment="1">
      <alignment vertical="center"/>
    </xf>
    <xf numFmtId="0" fontId="31" fillId="0" borderId="31" xfId="0" applyFont="1" applyBorder="1" applyAlignment="1">
      <alignment vertical="center"/>
    </xf>
    <xf numFmtId="0" fontId="26" fillId="24" borderId="44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0" fillId="0" borderId="7" xfId="1" applyFont="1" applyBorder="1" applyAlignment="1">
      <alignment horizontal="left" vertical="center"/>
    </xf>
    <xf numFmtId="0" fontId="1" fillId="0" borderId="0" xfId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33" fillId="9" borderId="33" xfId="0" applyFont="1" applyFill="1" applyBorder="1" applyAlignment="1">
      <alignment horizontal="center" vertical="center"/>
    </xf>
    <xf numFmtId="0" fontId="0" fillId="7" borderId="11" xfId="0" applyFill="1" applyBorder="1"/>
    <xf numFmtId="0" fontId="22" fillId="0" borderId="1" xfId="0" applyFont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/>
    </xf>
    <xf numFmtId="14" fontId="52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7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12" fontId="38" fillId="0" borderId="0" xfId="1" applyNumberFormat="1" applyFont="1" applyAlignment="1">
      <alignment horizontal="center" vertical="center"/>
    </xf>
    <xf numFmtId="0" fontId="25" fillId="7" borderId="1" xfId="0" applyFont="1" applyFill="1" applyBorder="1" applyAlignment="1">
      <alignment horizontal="center" vertical="center" wrapText="1"/>
    </xf>
    <xf numFmtId="0" fontId="25" fillId="47" borderId="1" xfId="0" applyFont="1" applyFill="1" applyBorder="1" applyAlignment="1">
      <alignment horizontal="center" vertical="center"/>
    </xf>
    <xf numFmtId="0" fontId="25" fillId="7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 wrapText="1"/>
    </xf>
    <xf numFmtId="0" fontId="40" fillId="7" borderId="1" xfId="0" applyFont="1" applyFill="1" applyBorder="1" applyAlignment="1">
      <alignment horizontal="center" vertical="center"/>
    </xf>
    <xf numFmtId="0" fontId="33" fillId="7" borderId="1" xfId="0" applyFont="1" applyFill="1" applyBorder="1" applyAlignment="1">
      <alignment horizontal="center" vertical="center"/>
    </xf>
    <xf numFmtId="0" fontId="33" fillId="47" borderId="1" xfId="0" applyFont="1" applyFill="1" applyBorder="1" applyAlignment="1">
      <alignment horizontal="center" vertical="center"/>
    </xf>
    <xf numFmtId="0" fontId="33" fillId="2" borderId="2" xfId="0" applyFont="1" applyFill="1" applyBorder="1" applyAlignment="1">
      <alignment horizontal="center" vertical="center" wrapText="1"/>
    </xf>
    <xf numFmtId="0" fontId="30" fillId="7" borderId="38" xfId="0" applyFont="1" applyFill="1" applyBorder="1" applyAlignment="1">
      <alignment horizontal="left" vertical="center" wrapText="1"/>
    </xf>
    <xf numFmtId="0" fontId="73" fillId="0" borderId="52" xfId="0" applyFont="1" applyBorder="1" applyAlignment="1">
      <alignment horizontal="center" vertical="center" wrapText="1"/>
    </xf>
    <xf numFmtId="0" fontId="73" fillId="0" borderId="53" xfId="0" applyFont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center" vertical="center" wrapText="1"/>
    </xf>
    <xf numFmtId="0" fontId="18" fillId="4" borderId="1" xfId="0" applyFont="1" applyFill="1" applyBorder="1" applyAlignment="1">
      <alignment horizontal="left" vertical="center" wrapText="1"/>
    </xf>
    <xf numFmtId="22" fontId="0" fillId="0" borderId="0" xfId="0" applyNumberFormat="1"/>
    <xf numFmtId="22" fontId="33" fillId="0" borderId="0" xfId="0" applyNumberFormat="1" applyFont="1"/>
    <xf numFmtId="0" fontId="25" fillId="0" borderId="26" xfId="0" applyFont="1" applyBorder="1" applyAlignment="1">
      <alignment horizontal="center" vertical="center"/>
    </xf>
    <xf numFmtId="0" fontId="54" fillId="7" borderId="5" xfId="0" applyFont="1" applyFill="1" applyBorder="1" applyAlignment="1">
      <alignment horizontal="left" vertical="center"/>
    </xf>
    <xf numFmtId="0" fontId="31" fillId="2" borderId="33" xfId="0" applyFont="1" applyFill="1" applyBorder="1" applyAlignment="1">
      <alignment horizontal="center" vertical="center"/>
    </xf>
    <xf numFmtId="0" fontId="31" fillId="2" borderId="26" xfId="0" applyFont="1" applyFill="1" applyBorder="1" applyAlignment="1">
      <alignment horizontal="center" vertical="center"/>
    </xf>
    <xf numFmtId="0" fontId="31" fillId="2" borderId="26" xfId="0" applyFont="1" applyFill="1" applyBorder="1" applyAlignment="1">
      <alignment horizontal="center" vertical="center" wrapText="1"/>
    </xf>
    <xf numFmtId="0" fontId="14" fillId="2" borderId="26" xfId="0" applyFont="1" applyFill="1" applyBorder="1"/>
    <xf numFmtId="0" fontId="14" fillId="2" borderId="26" xfId="0" applyFont="1" applyFill="1" applyBorder="1" applyAlignment="1">
      <alignment vertical="center"/>
    </xf>
    <xf numFmtId="0" fontId="33" fillId="2" borderId="33" xfId="0" applyFont="1" applyFill="1" applyBorder="1" applyAlignment="1">
      <alignment horizontal="center" vertical="center"/>
    </xf>
    <xf numFmtId="0" fontId="31" fillId="0" borderId="22" xfId="0" applyFont="1" applyBorder="1" applyAlignment="1">
      <alignment vertical="center"/>
    </xf>
    <xf numFmtId="0" fontId="0" fillId="0" borderId="23" xfId="0" applyBorder="1"/>
    <xf numFmtId="0" fontId="76" fillId="0" borderId="22" xfId="0" applyFont="1" applyBorder="1" applyAlignment="1">
      <alignment vertical="center"/>
    </xf>
    <xf numFmtId="0" fontId="31" fillId="0" borderId="24" xfId="0" applyFont="1" applyBorder="1" applyAlignment="1">
      <alignment vertical="center"/>
    </xf>
    <xf numFmtId="0" fontId="0" fillId="0" borderId="26" xfId="0" applyBorder="1"/>
    <xf numFmtId="0" fontId="62" fillId="0" borderId="19" xfId="0" applyFont="1" applyBorder="1"/>
    <xf numFmtId="0" fontId="24" fillId="0" borderId="20" xfId="0" applyFont="1" applyBorder="1"/>
    <xf numFmtId="0" fontId="62" fillId="0" borderId="20" xfId="0" applyFont="1" applyBorder="1"/>
    <xf numFmtId="0" fontId="62" fillId="0" borderId="21" xfId="0" applyFont="1" applyBorder="1"/>
    <xf numFmtId="0" fontId="54" fillId="0" borderId="0" xfId="0" applyFont="1"/>
    <xf numFmtId="0" fontId="54" fillId="2" borderId="13" xfId="0" applyFont="1" applyFill="1" applyBorder="1" applyAlignment="1">
      <alignment horizontal="left" vertical="center"/>
    </xf>
    <xf numFmtId="0" fontId="75" fillId="0" borderId="22" xfId="0" applyFont="1" applyBorder="1" applyAlignment="1">
      <alignment vertical="center"/>
    </xf>
    <xf numFmtId="0" fontId="0" fillId="0" borderId="21" xfId="0" applyBorder="1"/>
    <xf numFmtId="0" fontId="72" fillId="0" borderId="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4" fontId="54" fillId="0" borderId="1" xfId="0" applyNumberFormat="1" applyFont="1" applyBorder="1" applyAlignment="1">
      <alignment horizontal="center" vertical="center"/>
    </xf>
    <xf numFmtId="0" fontId="30" fillId="12" borderId="2" xfId="0" applyFont="1" applyFill="1" applyBorder="1" applyAlignment="1">
      <alignment horizontal="center" vertical="center"/>
    </xf>
    <xf numFmtId="0" fontId="79" fillId="36" borderId="1" xfId="0" applyFont="1" applyFill="1" applyBorder="1" applyAlignment="1">
      <alignment horizontal="center"/>
    </xf>
    <xf numFmtId="164" fontId="79" fillId="36" borderId="1" xfId="0" applyNumberFormat="1" applyFont="1" applyFill="1" applyBorder="1" applyAlignment="1">
      <alignment horizontal="center"/>
    </xf>
    <xf numFmtId="0" fontId="79" fillId="48" borderId="1" xfId="0" applyFont="1" applyFill="1" applyBorder="1" applyAlignment="1">
      <alignment horizontal="center"/>
    </xf>
    <xf numFmtId="1" fontId="79" fillId="48" borderId="1" xfId="0" applyNumberFormat="1" applyFont="1" applyFill="1" applyBorder="1" applyAlignment="1">
      <alignment horizontal="center"/>
    </xf>
    <xf numFmtId="0" fontId="79" fillId="6" borderId="1" xfId="0" applyFont="1" applyFill="1" applyBorder="1" applyAlignment="1">
      <alignment horizontal="center"/>
    </xf>
    <xf numFmtId="1" fontId="79" fillId="36" borderId="1" xfId="0" applyNumberFormat="1" applyFont="1" applyFill="1" applyBorder="1" applyAlignment="1">
      <alignment horizontal="center"/>
    </xf>
    <xf numFmtId="0" fontId="80" fillId="6" borderId="1" xfId="0" applyFont="1" applyFill="1" applyBorder="1" applyAlignment="1">
      <alignment horizontal="center"/>
    </xf>
    <xf numFmtId="14" fontId="80" fillId="6" borderId="1" xfId="0" applyNumberFormat="1" applyFont="1" applyFill="1" applyBorder="1" applyAlignment="1">
      <alignment horizontal="center"/>
    </xf>
    <xf numFmtId="12" fontId="80" fillId="6" borderId="1" xfId="0" applyNumberFormat="1" applyFont="1" applyFill="1" applyBorder="1" applyAlignment="1">
      <alignment horizontal="center"/>
    </xf>
    <xf numFmtId="1" fontId="80" fillId="0" borderId="1" xfId="0" applyNumberFormat="1" applyFont="1" applyBorder="1" applyAlignment="1">
      <alignment horizontal="center"/>
    </xf>
    <xf numFmtId="12" fontId="80" fillId="0" borderId="1" xfId="0" applyNumberFormat="1" applyFont="1" applyBorder="1" applyAlignment="1">
      <alignment horizontal="center"/>
    </xf>
    <xf numFmtId="164" fontId="80" fillId="6" borderId="1" xfId="0" applyNumberFormat="1" applyFont="1" applyFill="1" applyBorder="1" applyAlignment="1">
      <alignment horizontal="center"/>
    </xf>
    <xf numFmtId="1" fontId="80" fillId="6" borderId="1" xfId="0" applyNumberFormat="1" applyFont="1" applyFill="1" applyBorder="1" applyAlignment="1">
      <alignment horizontal="center"/>
    </xf>
    <xf numFmtId="0" fontId="72" fillId="0" borderId="1" xfId="0" applyFont="1" applyBorder="1" applyAlignment="1">
      <alignment horizontal="center"/>
    </xf>
    <xf numFmtId="0" fontId="31" fillId="49" borderId="33" xfId="0" applyFont="1" applyFill="1" applyBorder="1" applyAlignment="1">
      <alignment horizontal="center" vertical="center"/>
    </xf>
    <xf numFmtId="0" fontId="31" fillId="49" borderId="26" xfId="0" applyFont="1" applyFill="1" applyBorder="1" applyAlignment="1">
      <alignment horizontal="center" vertical="center"/>
    </xf>
    <xf numFmtId="0" fontId="31" fillId="49" borderId="26" xfId="0" applyFont="1" applyFill="1" applyBorder="1" applyAlignment="1">
      <alignment horizontal="center" vertical="center" wrapText="1"/>
    </xf>
    <xf numFmtId="0" fontId="0" fillId="12" borderId="0" xfId="0" applyFill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22" fillId="5" borderId="1" xfId="0" applyFont="1" applyFill="1" applyBorder="1" applyAlignment="1">
      <alignment horizontal="center" vertical="center"/>
    </xf>
    <xf numFmtId="0" fontId="52" fillId="9" borderId="0" xfId="0" applyFont="1" applyFill="1" applyAlignment="1">
      <alignment horizontal="left" vertical="center"/>
    </xf>
    <xf numFmtId="0" fontId="52" fillId="9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33" fillId="9" borderId="0" xfId="0" applyFont="1" applyFill="1" applyAlignment="1">
      <alignment horizontal="center" vertical="center" wrapText="1"/>
    </xf>
    <xf numFmtId="0" fontId="81" fillId="0" borderId="0" xfId="0" applyFont="1" applyAlignment="1">
      <alignment horizontal="left" vertical="center" wrapText="1"/>
    </xf>
    <xf numFmtId="0" fontId="52" fillId="9" borderId="0" xfId="0" applyFont="1" applyFill="1" applyAlignment="1">
      <alignment horizontal="center" vertical="center"/>
    </xf>
    <xf numFmtId="0" fontId="82" fillId="0" borderId="0" xfId="0" applyFont="1" applyAlignment="1">
      <alignment vertical="center"/>
    </xf>
    <xf numFmtId="1" fontId="83" fillId="48" borderId="1" xfId="0" applyNumberFormat="1" applyFont="1" applyFill="1" applyBorder="1" applyAlignment="1">
      <alignment horizontal="center"/>
    </xf>
    <xf numFmtId="0" fontId="83" fillId="36" borderId="1" xfId="0" applyFont="1" applyFill="1" applyBorder="1" applyAlignment="1">
      <alignment horizontal="center"/>
    </xf>
    <xf numFmtId="164" fontId="83" fillId="36" borderId="1" xfId="0" applyNumberFormat="1" applyFont="1" applyFill="1" applyBorder="1" applyAlignment="1">
      <alignment horizontal="center"/>
    </xf>
    <xf numFmtId="14" fontId="83" fillId="36" borderId="1" xfId="0" applyNumberFormat="1" applyFont="1" applyFill="1" applyBorder="1" applyAlignment="1">
      <alignment horizontal="center"/>
    </xf>
    <xf numFmtId="0" fontId="83" fillId="48" borderId="1" xfId="0" applyFont="1" applyFill="1" applyBorder="1" applyAlignment="1">
      <alignment horizontal="center"/>
    </xf>
    <xf numFmtId="1" fontId="60" fillId="6" borderId="1" xfId="0" applyNumberFormat="1" applyFont="1" applyFill="1" applyBorder="1" applyAlignment="1">
      <alignment horizontal="center"/>
    </xf>
    <xf numFmtId="1" fontId="60" fillId="51" borderId="1" xfId="0" applyNumberFormat="1" applyFont="1" applyFill="1" applyBorder="1" applyAlignment="1">
      <alignment horizontal="center"/>
    </xf>
    <xf numFmtId="0" fontId="60" fillId="6" borderId="1" xfId="0" applyFont="1" applyFill="1" applyBorder="1" applyAlignment="1">
      <alignment horizontal="center"/>
    </xf>
    <xf numFmtId="164" fontId="60" fillId="6" borderId="1" xfId="0" applyNumberFormat="1" applyFont="1" applyFill="1" applyBorder="1" applyAlignment="1">
      <alignment horizontal="center"/>
    </xf>
    <xf numFmtId="0" fontId="60" fillId="6" borderId="1" xfId="0" applyFont="1" applyFill="1" applyBorder="1" applyAlignment="1">
      <alignment horizontal="center" wrapText="1"/>
    </xf>
    <xf numFmtId="1" fontId="80" fillId="51" borderId="1" xfId="0" applyNumberFormat="1" applyFont="1" applyFill="1" applyBorder="1" applyAlignment="1">
      <alignment horizontal="center"/>
    </xf>
    <xf numFmtId="0" fontId="80" fillId="6" borderId="1" xfId="0" applyFont="1" applyFill="1" applyBorder="1" applyAlignment="1">
      <alignment horizontal="center" wrapText="1"/>
    </xf>
    <xf numFmtId="0" fontId="74" fillId="0" borderId="37" xfId="0" applyFont="1" applyBorder="1" applyAlignment="1">
      <alignment horizontal="center" vertical="center"/>
    </xf>
    <xf numFmtId="0" fontId="1" fillId="0" borderId="0" xfId="2" applyFont="1"/>
    <xf numFmtId="0" fontId="1" fillId="0" borderId="20" xfId="2" applyFont="1" applyBorder="1"/>
    <xf numFmtId="14" fontId="54" fillId="7" borderId="5" xfId="0" applyNumberFormat="1" applyFont="1" applyFill="1" applyBorder="1" applyAlignment="1">
      <alignment horizontal="center" vertical="center"/>
    </xf>
    <xf numFmtId="0" fontId="54" fillId="7" borderId="17" xfId="0" applyFont="1" applyFill="1" applyBorder="1" applyAlignment="1">
      <alignment horizontal="center" vertical="center"/>
    </xf>
    <xf numFmtId="14" fontId="54" fillId="7" borderId="13" xfId="0" applyNumberFormat="1" applyFont="1" applyFill="1" applyBorder="1" applyAlignment="1">
      <alignment horizontal="center" vertical="center"/>
    </xf>
    <xf numFmtId="0" fontId="54" fillId="7" borderId="12" xfId="0" applyFont="1" applyFill="1" applyBorder="1" applyAlignment="1">
      <alignment horizontal="center" vertical="center"/>
    </xf>
    <xf numFmtId="0" fontId="38" fillId="9" borderId="0" xfId="0" applyFont="1" applyFill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84" fillId="9" borderId="0" xfId="0" applyFont="1" applyFill="1" applyAlignment="1">
      <alignment horizontal="center" vertical="center" wrapText="1"/>
    </xf>
    <xf numFmtId="0" fontId="7" fillId="50" borderId="1" xfId="0" applyFont="1" applyFill="1" applyBorder="1" applyAlignment="1">
      <alignment horizontal="center" vertical="center" wrapText="1"/>
    </xf>
    <xf numFmtId="0" fontId="27" fillId="21" borderId="1" xfId="0" applyFont="1" applyFill="1" applyBorder="1" applyAlignment="1">
      <alignment horizontal="center" vertical="center" wrapText="1"/>
    </xf>
    <xf numFmtId="0" fontId="26" fillId="0" borderId="0" xfId="0" applyFont="1"/>
    <xf numFmtId="0" fontId="85" fillId="50" borderId="0" xfId="0" applyFont="1" applyFill="1" applyAlignment="1">
      <alignment wrapText="1"/>
    </xf>
    <xf numFmtId="0" fontId="26" fillId="0" borderId="1" xfId="0" applyFont="1" applyBorder="1" applyAlignment="1">
      <alignment horizontal="left"/>
    </xf>
    <xf numFmtId="0" fontId="54" fillId="7" borderId="1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86" fillId="4" borderId="65" xfId="0" applyFont="1" applyFill="1" applyBorder="1" applyAlignment="1">
      <alignment horizontal="left" vertical="center" wrapText="1" indent="1"/>
    </xf>
    <xf numFmtId="0" fontId="0" fillId="0" borderId="0" xfId="0" applyAlignment="1">
      <alignment horizontal="left" vertical="top" wrapText="1"/>
    </xf>
    <xf numFmtId="0" fontId="54" fillId="0" borderId="66" xfId="0" applyFont="1" applyBorder="1" applyAlignment="1">
      <alignment horizontal="center" vertical="center"/>
    </xf>
    <xf numFmtId="14" fontId="54" fillId="2" borderId="13" xfId="0" applyNumberFormat="1" applyFont="1" applyFill="1" applyBorder="1" applyAlignment="1">
      <alignment horizontal="center" vertical="center"/>
    </xf>
    <xf numFmtId="0" fontId="54" fillId="2" borderId="12" xfId="0" applyFont="1" applyFill="1" applyBorder="1" applyAlignment="1">
      <alignment horizontal="center" vertical="center"/>
    </xf>
    <xf numFmtId="0" fontId="54" fillId="2" borderId="13" xfId="0" applyFont="1" applyFill="1" applyBorder="1" applyAlignment="1">
      <alignment horizontal="center" vertical="center"/>
    </xf>
    <xf numFmtId="0" fontId="54" fillId="2" borderId="5" xfId="0" applyFont="1" applyFill="1" applyBorder="1" applyAlignment="1">
      <alignment horizontal="left" vertical="center"/>
    </xf>
    <xf numFmtId="0" fontId="54" fillId="2" borderId="11" xfId="0" applyFont="1" applyFill="1" applyBorder="1" applyAlignment="1">
      <alignment horizontal="left" vertical="center"/>
    </xf>
    <xf numFmtId="0" fontId="0" fillId="2" borderId="0" xfId="0" applyFill="1"/>
    <xf numFmtId="0" fontId="0" fillId="2" borderId="18" xfId="0" applyFill="1" applyBorder="1"/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5" fillId="39" borderId="0" xfId="0" applyNumberFormat="1" applyFont="1" applyFill="1" applyAlignment="1">
      <alignment horizontal="center" vertical="center"/>
    </xf>
    <xf numFmtId="0" fontId="87" fillId="0" borderId="0" xfId="0" applyFont="1" applyAlignment="1">
      <alignment horizontal="center" vertical="center" wrapText="1"/>
    </xf>
    <xf numFmtId="0" fontId="73" fillId="0" borderId="0" xfId="0" applyFont="1" applyAlignment="1">
      <alignment horizontal="center" vertical="center"/>
    </xf>
    <xf numFmtId="0" fontId="77" fillId="0" borderId="33" xfId="0" applyFont="1" applyBorder="1" applyAlignment="1">
      <alignment horizontal="center" vertical="center"/>
    </xf>
    <xf numFmtId="0" fontId="77" fillId="0" borderId="26" xfId="0" applyFont="1" applyBorder="1" applyAlignment="1">
      <alignment horizontal="center" vertical="center"/>
    </xf>
    <xf numFmtId="0" fontId="77" fillId="0" borderId="26" xfId="0" applyFont="1" applyBorder="1" applyAlignment="1">
      <alignment horizontal="center" vertical="center" wrapText="1"/>
    </xf>
    <xf numFmtId="0" fontId="52" fillId="7" borderId="0" xfId="0" applyFont="1" applyFill="1" applyAlignment="1">
      <alignment horizontal="center" vertical="center" wrapText="1"/>
    </xf>
    <xf numFmtId="0" fontId="54" fillId="0" borderId="17" xfId="0" applyFont="1" applyBorder="1" applyAlignment="1">
      <alignment horizontal="left" vertical="center"/>
    </xf>
    <xf numFmtId="0" fontId="54" fillId="0" borderId="12" xfId="0" applyFont="1" applyBorder="1" applyAlignment="1">
      <alignment horizontal="left" vertical="center"/>
    </xf>
    <xf numFmtId="0" fontId="54" fillId="2" borderId="12" xfId="0" applyFont="1" applyFill="1" applyBorder="1" applyAlignment="1">
      <alignment horizontal="left" vertical="center"/>
    </xf>
    <xf numFmtId="0" fontId="30" fillId="7" borderId="1" xfId="0" applyFont="1" applyFill="1" applyBorder="1" applyAlignment="1">
      <alignment horizontal="left" vertical="center" wrapText="1"/>
    </xf>
    <xf numFmtId="0" fontId="74" fillId="0" borderId="7" xfId="0" applyFont="1" applyBorder="1" applyAlignment="1">
      <alignment horizontal="center" vertical="center"/>
    </xf>
    <xf numFmtId="0" fontId="88" fillId="0" borderId="0" xfId="0" applyFont="1" applyAlignment="1">
      <alignment vertical="center"/>
    </xf>
    <xf numFmtId="0" fontId="89" fillId="6" borderId="1" xfId="0" applyFont="1" applyFill="1" applyBorder="1" applyAlignment="1">
      <alignment horizontal="center"/>
    </xf>
    <xf numFmtId="0" fontId="51" fillId="0" borderId="1" xfId="0" applyFont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4" fontId="0" fillId="0" borderId="7" xfId="0" applyNumberFormat="1" applyBorder="1" applyAlignment="1">
      <alignment horizontal="left" vertical="center"/>
    </xf>
    <xf numFmtId="14" fontId="0" fillId="0" borderId="37" xfId="0" applyNumberFormat="1" applyBorder="1" applyAlignment="1">
      <alignment horizontal="left" vertical="center"/>
    </xf>
    <xf numFmtId="0" fontId="47" fillId="0" borderId="37" xfId="0" applyFont="1" applyBorder="1" applyAlignment="1">
      <alignment horizontal="left" vertical="center" wrapText="1"/>
    </xf>
    <xf numFmtId="0" fontId="51" fillId="0" borderId="0" xfId="0" applyFont="1" applyAlignment="1">
      <alignment horizontal="center" vertical="center"/>
    </xf>
    <xf numFmtId="0" fontId="54" fillId="0" borderId="11" xfId="0" applyFont="1" applyBorder="1" applyAlignment="1">
      <alignment vertical="center"/>
    </xf>
    <xf numFmtId="0" fontId="47" fillId="21" borderId="0" xfId="0" applyFont="1" applyFill="1" applyAlignment="1">
      <alignment horizontal="center" vertical="center" wrapText="1"/>
    </xf>
    <xf numFmtId="0" fontId="0" fillId="21" borderId="0" xfId="0" applyFill="1" applyAlignment="1">
      <alignment horizontal="center" vertical="center"/>
    </xf>
    <xf numFmtId="0" fontId="47" fillId="52" borderId="0" xfId="0" applyFont="1" applyFill="1" applyAlignment="1">
      <alignment horizontal="center" vertical="center" wrapText="1"/>
    </xf>
    <xf numFmtId="0" fontId="0" fillId="52" borderId="0" xfId="0" applyFill="1" applyAlignment="1">
      <alignment horizontal="center" vertical="center"/>
    </xf>
    <xf numFmtId="0" fontId="47" fillId="40" borderId="0" xfId="0" applyFont="1" applyFill="1" applyAlignment="1">
      <alignment horizontal="left" vertical="center" wrapText="1"/>
    </xf>
    <xf numFmtId="0" fontId="0" fillId="40" borderId="0" xfId="0" applyFill="1" applyAlignment="1">
      <alignment horizontal="center" vertical="center"/>
    </xf>
    <xf numFmtId="0" fontId="47" fillId="40" borderId="0" xfId="0" applyFont="1" applyFill="1" applyAlignment="1">
      <alignment horizontal="center" vertical="center" wrapText="1"/>
    </xf>
    <xf numFmtId="0" fontId="47" fillId="53" borderId="0" xfId="0" applyFont="1" applyFill="1" applyAlignment="1">
      <alignment horizontal="left" vertical="center" wrapText="1"/>
    </xf>
    <xf numFmtId="0" fontId="47" fillId="18" borderId="0" xfId="0" applyFont="1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0" fontId="87" fillId="0" borderId="67" xfId="0" applyFont="1" applyBorder="1" applyAlignment="1">
      <alignment horizontal="center" vertical="center" wrapText="1"/>
    </xf>
    <xf numFmtId="0" fontId="87" fillId="54" borderId="6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2" fillId="0" borderId="0" xfId="0" applyFont="1" applyAlignment="1">
      <alignment horizontal="left"/>
    </xf>
    <xf numFmtId="0" fontId="90" fillId="0" borderId="0" xfId="0" applyFont="1" applyAlignment="1">
      <alignment horizontal="left" wrapText="1"/>
    </xf>
    <xf numFmtId="0" fontId="19" fillId="11" borderId="10" xfId="0" applyFont="1" applyFill="1" applyBorder="1" applyAlignment="1">
      <alignment horizontal="left" vertical="top" wrapText="1"/>
    </xf>
    <xf numFmtId="0" fontId="48" fillId="11" borderId="10" xfId="0" applyFont="1" applyFill="1" applyBorder="1" applyAlignment="1">
      <alignment horizontal="left" vertical="top" wrapText="1"/>
    </xf>
    <xf numFmtId="0" fontId="19" fillId="11" borderId="10" xfId="0" applyFont="1" applyFill="1" applyBorder="1" applyAlignment="1">
      <alignment horizontal="left" vertical="top"/>
    </xf>
    <xf numFmtId="0" fontId="31" fillId="0" borderId="0" xfId="0" applyFont="1" applyAlignment="1">
      <alignment horizontal="center" vertical="center"/>
    </xf>
    <xf numFmtId="0" fontId="30" fillId="12" borderId="31" xfId="0" applyFont="1" applyFill="1" applyBorder="1" applyAlignment="1">
      <alignment horizontal="center" vertical="center"/>
    </xf>
    <xf numFmtId="0" fontId="54" fillId="7" borderId="11" xfId="0" applyFont="1" applyFill="1" applyBorder="1" applyAlignment="1">
      <alignment horizontal="left" vertical="center" indent="1"/>
    </xf>
    <xf numFmtId="0" fontId="54" fillId="2" borderId="11" xfId="0" applyFont="1" applyFill="1" applyBorder="1" applyAlignment="1">
      <alignment horizontal="left" vertical="center" indent="1"/>
    </xf>
    <xf numFmtId="0" fontId="31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54" fillId="0" borderId="11" xfId="0" applyFont="1" applyBorder="1" applyAlignment="1">
      <alignment horizontal="left" vertical="center" indent="2"/>
    </xf>
    <xf numFmtId="0" fontId="54" fillId="0" borderId="11" xfId="0" applyFont="1" applyBorder="1" applyAlignment="1">
      <alignment horizontal="left" vertical="center" indent="3"/>
    </xf>
    <xf numFmtId="0" fontId="91" fillId="0" borderId="1" xfId="0" applyFont="1" applyBorder="1" applyAlignment="1">
      <alignment horizontal="center" vertical="center"/>
    </xf>
    <xf numFmtId="0" fontId="91" fillId="0" borderId="1" xfId="0" applyFont="1" applyBorder="1" applyAlignment="1">
      <alignment horizontal="left" vertical="center" indent="1"/>
    </xf>
    <xf numFmtId="0" fontId="91" fillId="0" borderId="17" xfId="0" applyFont="1" applyBorder="1" applyAlignment="1">
      <alignment horizontal="center" vertical="center"/>
    </xf>
    <xf numFmtId="0" fontId="91" fillId="0" borderId="11" xfId="0" applyFont="1" applyBorder="1" applyAlignment="1">
      <alignment horizontal="left" vertical="center" indent="1"/>
    </xf>
    <xf numFmtId="0" fontId="91" fillId="0" borderId="13" xfId="0" applyFont="1" applyBorder="1" applyAlignment="1">
      <alignment horizontal="center" vertical="center"/>
    </xf>
    <xf numFmtId="12" fontId="0" fillId="0" borderId="0" xfId="0" applyNumberFormat="1"/>
    <xf numFmtId="0" fontId="40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4" borderId="2" xfId="0" applyFont="1" applyFill="1" applyBorder="1" applyAlignment="1">
      <alignment horizontal="center" vertical="center"/>
    </xf>
    <xf numFmtId="0" fontId="26" fillId="4" borderId="21" xfId="0" applyFont="1" applyFill="1" applyBorder="1" applyAlignment="1">
      <alignment horizontal="center" vertical="center"/>
    </xf>
    <xf numFmtId="0" fontId="26" fillId="4" borderId="31" xfId="0" applyFont="1" applyFill="1" applyBorder="1" applyAlignment="1">
      <alignment horizontal="center" vertical="center"/>
    </xf>
    <xf numFmtId="0" fontId="26" fillId="4" borderId="19" xfId="0" applyFont="1" applyFill="1" applyBorder="1" applyAlignment="1">
      <alignment horizontal="center" vertical="center"/>
    </xf>
    <xf numFmtId="0" fontId="26" fillId="4" borderId="31" xfId="0" applyFont="1" applyFill="1" applyBorder="1" applyAlignment="1">
      <alignment horizontal="center" vertical="center" wrapText="1"/>
    </xf>
    <xf numFmtId="0" fontId="93" fillId="17" borderId="60" xfId="0" applyFont="1" applyFill="1" applyBorder="1" applyAlignment="1">
      <alignment horizontal="center" vertical="center"/>
    </xf>
    <xf numFmtId="0" fontId="93" fillId="17" borderId="62" xfId="0" applyFont="1" applyFill="1" applyBorder="1" applyAlignment="1">
      <alignment horizontal="center" vertical="center"/>
    </xf>
    <xf numFmtId="0" fontId="93" fillId="17" borderId="62" xfId="0" applyFont="1" applyFill="1" applyBorder="1" applyAlignment="1">
      <alignment horizontal="center" vertical="center" wrapText="1"/>
    </xf>
    <xf numFmtId="0" fontId="94" fillId="21" borderId="1" xfId="0" applyFont="1" applyFill="1" applyBorder="1" applyAlignment="1">
      <alignment horizontal="center" vertical="center" wrapText="1"/>
    </xf>
    <xf numFmtId="0" fontId="94" fillId="20" borderId="1" xfId="0" applyFont="1" applyFill="1" applyBorder="1" applyAlignment="1">
      <alignment horizontal="center" vertical="center" wrapText="1"/>
    </xf>
    <xf numFmtId="0" fontId="95" fillId="50" borderId="1" xfId="0" applyFont="1" applyFill="1" applyBorder="1" applyAlignment="1">
      <alignment horizontal="center" vertical="center" wrapText="1"/>
    </xf>
    <xf numFmtId="0" fontId="96" fillId="21" borderId="1" xfId="0" applyFont="1" applyFill="1" applyBorder="1" applyAlignment="1">
      <alignment horizontal="center" vertical="center" wrapText="1"/>
    </xf>
    <xf numFmtId="0" fontId="93" fillId="2" borderId="1" xfId="0" applyFont="1" applyFill="1" applyBorder="1" applyAlignment="1">
      <alignment horizontal="center" vertical="center" wrapText="1"/>
    </xf>
    <xf numFmtId="0" fontId="95" fillId="3" borderId="1" xfId="0" applyFont="1" applyFill="1" applyBorder="1" applyAlignment="1">
      <alignment horizontal="center" vertical="center" wrapText="1"/>
    </xf>
    <xf numFmtId="0" fontId="93" fillId="5" borderId="1" xfId="0" applyFont="1" applyFill="1" applyBorder="1" applyAlignment="1">
      <alignment horizontal="center" vertical="center" wrapText="1"/>
    </xf>
    <xf numFmtId="0" fontId="93" fillId="4" borderId="1" xfId="0" applyFont="1" applyFill="1" applyBorder="1" applyAlignment="1">
      <alignment horizontal="center" vertical="center" wrapText="1"/>
    </xf>
    <xf numFmtId="0" fontId="26" fillId="0" borderId="2" xfId="0" applyFont="1" applyBorder="1" applyAlignment="1">
      <alignment horizontal="left" vertical="center"/>
    </xf>
    <xf numFmtId="0" fontId="92" fillId="0" borderId="2" xfId="0" applyFont="1" applyBorder="1" applyAlignment="1">
      <alignment horizontal="center" vertical="center"/>
    </xf>
    <xf numFmtId="0" fontId="26" fillId="0" borderId="48" xfId="0" applyFont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24" borderId="56" xfId="0" applyFont="1" applyFill="1" applyBorder="1" applyAlignment="1">
      <alignment horizontal="center" vertical="center"/>
    </xf>
    <xf numFmtId="0" fontId="0" fillId="24" borderId="1" xfId="0" applyFill="1" applyBorder="1"/>
    <xf numFmtId="0" fontId="0" fillId="24" borderId="18" xfId="0" applyFill="1" applyBorder="1"/>
    <xf numFmtId="0" fontId="97" fillId="10" borderId="16" xfId="0" applyFont="1" applyFill="1" applyBorder="1" applyAlignment="1">
      <alignment horizontal="left" vertical="top"/>
    </xf>
    <xf numFmtId="0" fontId="97" fillId="10" borderId="1" xfId="0" applyFont="1" applyFill="1" applyBorder="1" applyAlignment="1">
      <alignment horizontal="left" vertical="top"/>
    </xf>
    <xf numFmtId="0" fontId="98" fillId="11" borderId="1" xfId="0" applyFont="1" applyFill="1" applyBorder="1" applyAlignment="1">
      <alignment horizontal="left" vertical="top"/>
    </xf>
    <xf numFmtId="0" fontId="97" fillId="4" borderId="1" xfId="0" applyFont="1" applyFill="1" applyBorder="1" applyAlignment="1">
      <alignment horizontal="left" vertical="top"/>
    </xf>
    <xf numFmtId="0" fontId="97" fillId="4" borderId="11" xfId="0" applyFont="1" applyFill="1" applyBorder="1" applyAlignment="1">
      <alignment horizontal="left" vertical="top"/>
    </xf>
    <xf numFmtId="0" fontId="96" fillId="21" borderId="1" xfId="0" applyFont="1" applyFill="1" applyBorder="1" applyAlignment="1">
      <alignment horizontal="left" vertical="top"/>
    </xf>
    <xf numFmtId="0" fontId="95" fillId="3" borderId="1" xfId="0" applyFont="1" applyFill="1" applyBorder="1" applyAlignment="1">
      <alignment horizontal="left" vertical="top"/>
    </xf>
    <xf numFmtId="0" fontId="93" fillId="4" borderId="1" xfId="0" applyFont="1" applyFill="1" applyBorder="1" applyAlignment="1">
      <alignment horizontal="left" vertical="top"/>
    </xf>
    <xf numFmtId="0" fontId="93" fillId="5" borderId="1" xfId="0" applyFont="1" applyFill="1" applyBorder="1" applyAlignment="1">
      <alignment horizontal="left" vertical="top"/>
    </xf>
    <xf numFmtId="0" fontId="97" fillId="4" borderId="31" xfId="0" applyFont="1" applyFill="1" applyBorder="1" applyAlignment="1">
      <alignment horizontal="left" vertical="center" wrapText="1"/>
    </xf>
    <xf numFmtId="0" fontId="97" fillId="4" borderId="31" xfId="0" applyFont="1" applyFill="1" applyBorder="1" applyAlignment="1">
      <alignment horizontal="center" vertical="center" wrapText="1"/>
    </xf>
    <xf numFmtId="0" fontId="26" fillId="0" borderId="44" xfId="0" applyFont="1" applyBorder="1" applyAlignment="1">
      <alignment horizontal="center" vertical="center"/>
    </xf>
    <xf numFmtId="0" fontId="26" fillId="24" borderId="39" xfId="0" applyFont="1" applyFill="1" applyBorder="1" applyAlignment="1">
      <alignment horizontal="center" vertical="center"/>
    </xf>
    <xf numFmtId="0" fontId="26" fillId="0" borderId="1" xfId="0" applyFont="1" applyBorder="1"/>
    <xf numFmtId="0" fontId="26" fillId="0" borderId="17" xfId="0" applyFont="1" applyBorder="1"/>
    <xf numFmtId="0" fontId="26" fillId="0" borderId="1" xfId="0" applyFont="1" applyBorder="1" applyAlignment="1">
      <alignment horizontal="left" vertical="center"/>
    </xf>
    <xf numFmtId="0" fontId="26" fillId="0" borderId="5" xfId="0" applyFont="1" applyBorder="1"/>
    <xf numFmtId="0" fontId="26" fillId="0" borderId="46" xfId="0" applyFont="1" applyBorder="1" applyAlignment="1">
      <alignment horizontal="center" vertical="center"/>
    </xf>
    <xf numFmtId="0" fontId="26" fillId="24" borderId="57" xfId="0" applyFont="1" applyFill="1" applyBorder="1" applyAlignment="1">
      <alignment horizontal="center" vertical="center"/>
    </xf>
    <xf numFmtId="0" fontId="38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26" fillId="38" borderId="1" xfId="0" applyFont="1" applyFill="1" applyBorder="1" applyAlignment="1">
      <alignment horizontal="left"/>
    </xf>
    <xf numFmtId="0" fontId="80" fillId="0" borderId="7" xfId="0" applyFont="1" applyBorder="1" applyAlignment="1">
      <alignment horizontal="left" vertical="center"/>
    </xf>
    <xf numFmtId="14" fontId="80" fillId="0" borderId="7" xfId="0" applyNumberFormat="1" applyFont="1" applyBorder="1" applyAlignment="1">
      <alignment horizontal="left" vertical="center"/>
    </xf>
    <xf numFmtId="0" fontId="80" fillId="0" borderId="37" xfId="0" applyFont="1" applyBorder="1" applyAlignment="1">
      <alignment horizontal="left" vertical="center"/>
    </xf>
    <xf numFmtId="14" fontId="80" fillId="0" borderId="37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28" fillId="5" borderId="1" xfId="0" applyFont="1" applyFill="1" applyBorder="1" applyAlignment="1">
      <alignment horizontal="center" vertical="center" wrapText="1"/>
    </xf>
    <xf numFmtId="0" fontId="4" fillId="38" borderId="1" xfId="0" applyFont="1" applyFill="1" applyBorder="1" applyAlignment="1">
      <alignment horizontal="center" vertical="center"/>
    </xf>
    <xf numFmtId="0" fontId="54" fillId="0" borderId="11" xfId="0" applyFont="1" applyBorder="1" applyAlignment="1">
      <alignment horizontal="left" vertical="center" indent="4"/>
    </xf>
    <xf numFmtId="0" fontId="4" fillId="38" borderId="16" xfId="0" applyFont="1" applyFill="1" applyBorder="1" applyAlignment="1">
      <alignment horizontal="center" vertical="center"/>
    </xf>
    <xf numFmtId="14" fontId="18" fillId="4" borderId="2" xfId="0" applyNumberFormat="1" applyFont="1" applyFill="1" applyBorder="1" applyAlignment="1">
      <alignment horizontal="left" vertical="center" wrapText="1"/>
    </xf>
    <xf numFmtId="14" fontId="42" fillId="0" borderId="7" xfId="0" applyNumberFormat="1" applyFont="1" applyBorder="1" applyAlignment="1">
      <alignment horizontal="left" vertical="center"/>
    </xf>
    <xf numFmtId="14" fontId="36" fillId="0" borderId="7" xfId="0" applyNumberFormat="1" applyFont="1" applyBorder="1" applyAlignment="1">
      <alignment horizontal="left" vertical="center"/>
    </xf>
    <xf numFmtId="14" fontId="22" fillId="0" borderId="7" xfId="0" applyNumberFormat="1" applyFont="1" applyBorder="1" applyAlignment="1">
      <alignment horizontal="left" vertical="center"/>
    </xf>
    <xf numFmtId="14" fontId="74" fillId="0" borderId="7" xfId="0" applyNumberFormat="1" applyFont="1" applyBorder="1" applyAlignment="1">
      <alignment horizontal="left" vertical="center"/>
    </xf>
    <xf numFmtId="14" fontId="22" fillId="0" borderId="37" xfId="0" applyNumberFormat="1" applyFont="1" applyBorder="1" applyAlignment="1">
      <alignment horizontal="left" vertical="center"/>
    </xf>
    <xf numFmtId="14" fontId="74" fillId="0" borderId="37" xfId="0" applyNumberFormat="1" applyFont="1" applyBorder="1" applyAlignment="1">
      <alignment horizontal="left" vertical="center"/>
    </xf>
    <xf numFmtId="14" fontId="0" fillId="0" borderId="0" xfId="0" applyNumberFormat="1" applyAlignment="1">
      <alignment horizontal="left" vertical="center"/>
    </xf>
    <xf numFmtId="12" fontId="0" fillId="0" borderId="37" xfId="0" applyNumberFormat="1" applyBorder="1" applyAlignment="1">
      <alignment horizontal="left" vertical="center"/>
    </xf>
    <xf numFmtId="0" fontId="52" fillId="0" borderId="0" xfId="0" applyFont="1" applyAlignment="1">
      <alignment horizontal="center" vertical="center"/>
    </xf>
    <xf numFmtId="14" fontId="52" fillId="0" borderId="0" xfId="0" applyNumberFormat="1" applyFont="1" applyAlignment="1">
      <alignment horizontal="left" vertical="center"/>
    </xf>
    <xf numFmtId="0" fontId="99" fillId="55" borderId="2" xfId="0" applyFont="1" applyFill="1" applyBorder="1" applyAlignment="1">
      <alignment horizontal="center" vertical="center"/>
    </xf>
    <xf numFmtId="0" fontId="99" fillId="55" borderId="4" xfId="0" applyFont="1" applyFill="1" applyBorder="1" applyAlignment="1">
      <alignment horizontal="center" vertical="center"/>
    </xf>
    <xf numFmtId="0" fontId="51" fillId="0" borderId="33" xfId="0" applyFont="1" applyBorder="1" applyAlignment="1">
      <alignment horizontal="center" vertical="center"/>
    </xf>
    <xf numFmtId="0" fontId="51" fillId="0" borderId="26" xfId="0" applyFont="1" applyBorder="1" applyAlignment="1">
      <alignment horizontal="center" vertical="center"/>
    </xf>
    <xf numFmtId="0" fontId="100" fillId="0" borderId="26" xfId="0" applyFont="1" applyBorder="1" applyAlignment="1">
      <alignment horizontal="center" vertical="center"/>
    </xf>
    <xf numFmtId="0" fontId="100" fillId="0" borderId="33" xfId="0" applyFont="1" applyBorder="1" applyAlignment="1">
      <alignment horizontal="center" vertical="center"/>
    </xf>
    <xf numFmtId="0" fontId="101" fillId="0" borderId="26" xfId="0" applyFont="1" applyBorder="1" applyAlignment="1">
      <alignment horizontal="center" vertical="center"/>
    </xf>
    <xf numFmtId="0" fontId="100" fillId="0" borderId="32" xfId="0" applyFont="1" applyBorder="1" applyAlignment="1">
      <alignment horizontal="center" vertical="center"/>
    </xf>
    <xf numFmtId="0" fontId="100" fillId="0" borderId="23" xfId="0" applyFont="1" applyBorder="1" applyAlignment="1">
      <alignment horizontal="center" vertical="center"/>
    </xf>
    <xf numFmtId="0" fontId="51" fillId="9" borderId="33" xfId="0" applyFont="1" applyFill="1" applyBorder="1" applyAlignment="1">
      <alignment horizontal="center" vertical="center"/>
    </xf>
    <xf numFmtId="0" fontId="101" fillId="0" borderId="33" xfId="0" applyFont="1" applyBorder="1" applyAlignment="1">
      <alignment horizontal="center" vertical="center"/>
    </xf>
    <xf numFmtId="0" fontId="101" fillId="0" borderId="2" xfId="0" applyFont="1" applyBorder="1" applyAlignment="1">
      <alignment horizontal="center" vertical="center"/>
    </xf>
    <xf numFmtId="0" fontId="101" fillId="0" borderId="4" xfId="0" applyFont="1" applyBorder="1" applyAlignment="1">
      <alignment horizontal="center" vertical="center"/>
    </xf>
    <xf numFmtId="0" fontId="102" fillId="0" borderId="0" xfId="0" applyFont="1" applyAlignment="1">
      <alignment horizontal="left" vertical="center"/>
    </xf>
    <xf numFmtId="0" fontId="53" fillId="4" borderId="16" xfId="0" applyFont="1" applyFill="1" applyBorder="1" applyAlignment="1">
      <alignment horizontal="left" vertical="center" wrapText="1"/>
    </xf>
    <xf numFmtId="0" fontId="91" fillId="0" borderId="1" xfId="0" applyFont="1" applyBorder="1" applyAlignment="1">
      <alignment horizontal="left" vertical="center"/>
    </xf>
    <xf numFmtId="0" fontId="54" fillId="0" borderId="66" xfId="0" applyFont="1" applyBorder="1" applyAlignment="1">
      <alignment horizontal="left" vertical="center"/>
    </xf>
    <xf numFmtId="0" fontId="105" fillId="0" borderId="16" xfId="0" applyFont="1" applyBorder="1" applyAlignment="1">
      <alignment horizontal="center" vertical="center"/>
    </xf>
    <xf numFmtId="0" fontId="106" fillId="0" borderId="0" xfId="0" applyFont="1"/>
    <xf numFmtId="0" fontId="104" fillId="0" borderId="0" xfId="0" applyFont="1" applyAlignment="1">
      <alignment horizontal="center" vertical="center"/>
    </xf>
    <xf numFmtId="0" fontId="103" fillId="21" borderId="1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107" fillId="0" borderId="0" xfId="0" applyFont="1" applyAlignment="1">
      <alignment horizontal="center" vertical="center"/>
    </xf>
    <xf numFmtId="0" fontId="72" fillId="12" borderId="0" xfId="0" applyFont="1" applyFill="1" applyAlignment="1">
      <alignment horizontal="left" vertical="center" wrapText="1"/>
    </xf>
    <xf numFmtId="0" fontId="51" fillId="0" borderId="0" xfId="0" applyFont="1" applyAlignment="1">
      <alignment horizontal="left" vertical="center"/>
    </xf>
    <xf numFmtId="0" fontId="12" fillId="0" borderId="0" xfId="0" applyFont="1"/>
    <xf numFmtId="0" fontId="79" fillId="36" borderId="11" xfId="0" applyFont="1" applyFill="1" applyBorder="1" applyAlignment="1">
      <alignment horizontal="center"/>
    </xf>
    <xf numFmtId="164" fontId="79" fillId="36" borderId="11" xfId="0" applyNumberFormat="1" applyFont="1" applyFill="1" applyBorder="1" applyAlignment="1">
      <alignment horizontal="center"/>
    </xf>
    <xf numFmtId="0" fontId="79" fillId="48" borderId="11" xfId="0" applyFont="1" applyFill="1" applyBorder="1" applyAlignment="1">
      <alignment horizontal="center"/>
    </xf>
    <xf numFmtId="0" fontId="79" fillId="6" borderId="11" xfId="0" applyFont="1" applyFill="1" applyBorder="1" applyAlignment="1">
      <alignment horizontal="center"/>
    </xf>
    <xf numFmtId="0" fontId="31" fillId="0" borderId="1" xfId="0" applyFont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0" fontId="33" fillId="0" borderId="1" xfId="0" applyFont="1" applyBorder="1" applyAlignment="1">
      <alignment vertical="center"/>
    </xf>
    <xf numFmtId="0" fontId="79" fillId="48" borderId="0" xfId="0" applyFont="1" applyFill="1" applyAlignment="1">
      <alignment horizontal="center"/>
    </xf>
    <xf numFmtId="0" fontId="108" fillId="0" borderId="11" xfId="0" applyFont="1" applyBorder="1" applyAlignment="1">
      <alignment horizontal="left" vertical="center" indent="2"/>
    </xf>
    <xf numFmtId="0" fontId="108" fillId="0" borderId="13" xfId="0" applyFont="1" applyBorder="1" applyAlignment="1">
      <alignment horizontal="left" vertical="center"/>
    </xf>
    <xf numFmtId="0" fontId="108" fillId="0" borderId="13" xfId="0" applyFont="1" applyBorder="1" applyAlignment="1">
      <alignment horizontal="center" vertical="center"/>
    </xf>
    <xf numFmtId="0" fontId="108" fillId="0" borderId="11" xfId="0" applyFont="1" applyBorder="1" applyAlignment="1">
      <alignment horizontal="left" vertical="center"/>
    </xf>
    <xf numFmtId="14" fontId="108" fillId="0" borderId="13" xfId="0" applyNumberFormat="1" applyFont="1" applyBorder="1" applyAlignment="1">
      <alignment horizontal="center" vertical="center"/>
    </xf>
    <xf numFmtId="0" fontId="108" fillId="0" borderId="12" xfId="0" applyFont="1" applyBorder="1" applyAlignment="1">
      <alignment horizontal="center" vertical="center"/>
    </xf>
    <xf numFmtId="0" fontId="108" fillId="0" borderId="12" xfId="0" applyFont="1" applyBorder="1" applyAlignment="1">
      <alignment horizontal="left" vertical="center"/>
    </xf>
    <xf numFmtId="0" fontId="52" fillId="2" borderId="0" xfId="0" applyFont="1" applyFill="1" applyAlignment="1">
      <alignment horizontal="center" vertical="center"/>
    </xf>
    <xf numFmtId="14" fontId="109" fillId="0" borderId="5" xfId="0" applyNumberFormat="1" applyFont="1" applyBorder="1" applyAlignment="1">
      <alignment horizontal="center" vertical="center"/>
    </xf>
    <xf numFmtId="0" fontId="109" fillId="0" borderId="17" xfId="0" applyFont="1" applyBorder="1" applyAlignment="1">
      <alignment horizontal="center" vertical="center"/>
    </xf>
    <xf numFmtId="0" fontId="109" fillId="0" borderId="11" xfId="0" applyFont="1" applyBorder="1" applyAlignment="1">
      <alignment horizontal="left" vertical="center" indent="2"/>
    </xf>
    <xf numFmtId="0" fontId="109" fillId="0" borderId="13" xfId="0" applyFont="1" applyBorder="1" applyAlignment="1">
      <alignment horizontal="left" vertical="center"/>
    </xf>
    <xf numFmtId="0" fontId="109" fillId="0" borderId="13" xfId="0" applyFont="1" applyBorder="1" applyAlignment="1">
      <alignment horizontal="center" vertical="center"/>
    </xf>
    <xf numFmtId="0" fontId="109" fillId="0" borderId="66" xfId="0" applyFont="1" applyBorder="1" applyAlignment="1">
      <alignment horizontal="center" vertical="center"/>
    </xf>
    <xf numFmtId="0" fontId="109" fillId="0" borderId="5" xfId="0" applyFont="1" applyBorder="1" applyAlignment="1">
      <alignment horizontal="left" vertical="center"/>
    </xf>
    <xf numFmtId="0" fontId="109" fillId="0" borderId="17" xfId="0" applyFont="1" applyBorder="1" applyAlignment="1">
      <alignment horizontal="left" vertical="center"/>
    </xf>
    <xf numFmtId="0" fontId="109" fillId="0" borderId="11" xfId="0" applyFont="1" applyBorder="1" applyAlignment="1">
      <alignment horizontal="left" vertical="center"/>
    </xf>
    <xf numFmtId="0" fontId="109" fillId="0" borderId="5" xfId="0" applyFont="1" applyBorder="1" applyAlignment="1">
      <alignment horizontal="center" vertical="center"/>
    </xf>
    <xf numFmtId="14" fontId="109" fillId="0" borderId="13" xfId="0" applyNumberFormat="1" applyFont="1" applyBorder="1" applyAlignment="1">
      <alignment horizontal="center" vertical="center"/>
    </xf>
    <xf numFmtId="0" fontId="109" fillId="0" borderId="12" xfId="0" applyFont="1" applyBorder="1" applyAlignment="1">
      <alignment horizontal="center" vertical="center"/>
    </xf>
    <xf numFmtId="0" fontId="109" fillId="0" borderId="12" xfId="0" applyFont="1" applyBorder="1" applyAlignment="1">
      <alignment horizontal="left" vertical="center"/>
    </xf>
    <xf numFmtId="0" fontId="109" fillId="0" borderId="11" xfId="0" applyFont="1" applyBorder="1" applyAlignment="1">
      <alignment horizontal="left" vertical="center" indent="3"/>
    </xf>
    <xf numFmtId="0" fontId="110" fillId="0" borderId="5" xfId="1" applyFont="1" applyBorder="1" applyAlignment="1">
      <alignment horizontal="center" vertical="center"/>
    </xf>
    <xf numFmtId="0" fontId="110" fillId="0" borderId="1" xfId="1" applyFont="1" applyBorder="1" applyAlignment="1">
      <alignment horizontal="center" vertical="center"/>
    </xf>
    <xf numFmtId="0" fontId="110" fillId="0" borderId="17" xfId="1" applyFont="1" applyBorder="1" applyAlignment="1">
      <alignment horizontal="center" vertical="center"/>
    </xf>
    <xf numFmtId="0" fontId="110" fillId="0" borderId="13" xfId="1" applyFont="1" applyBorder="1" applyAlignment="1">
      <alignment horizontal="center" vertical="center"/>
    </xf>
    <xf numFmtId="0" fontId="110" fillId="0" borderId="11" xfId="1" applyFont="1" applyBorder="1" applyAlignment="1">
      <alignment horizontal="center" vertical="center"/>
    </xf>
    <xf numFmtId="0" fontId="110" fillId="0" borderId="12" xfId="1" applyFont="1" applyBorder="1" applyAlignment="1">
      <alignment horizontal="center" vertical="center"/>
    </xf>
    <xf numFmtId="14" fontId="108" fillId="0" borderId="5" xfId="0" applyNumberFormat="1" applyFont="1" applyBorder="1" applyAlignment="1">
      <alignment horizontal="center" vertical="center"/>
    </xf>
    <xf numFmtId="0" fontId="108" fillId="0" borderId="17" xfId="0" applyFont="1" applyBorder="1" applyAlignment="1">
      <alignment horizontal="center" vertical="center"/>
    </xf>
    <xf numFmtId="0" fontId="108" fillId="0" borderId="66" xfId="0" applyFont="1" applyBorder="1" applyAlignment="1">
      <alignment horizontal="center" vertical="center"/>
    </xf>
    <xf numFmtId="0" fontId="108" fillId="0" borderId="5" xfId="0" applyFont="1" applyBorder="1" applyAlignment="1">
      <alignment horizontal="left" vertical="center"/>
    </xf>
    <xf numFmtId="0" fontId="108" fillId="0" borderId="17" xfId="0" applyFont="1" applyBorder="1" applyAlignment="1">
      <alignment horizontal="left" vertical="center"/>
    </xf>
    <xf numFmtId="0" fontId="108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0" borderId="1" xfId="0" applyFill="1" applyBorder="1" applyAlignment="1">
      <alignment horizontal="center" vertical="center"/>
    </xf>
    <xf numFmtId="14" fontId="111" fillId="0" borderId="5" xfId="0" applyNumberFormat="1" applyFont="1" applyBorder="1" applyAlignment="1">
      <alignment horizontal="center" vertical="center"/>
    </xf>
    <xf numFmtId="0" fontId="111" fillId="0" borderId="17" xfId="0" applyFont="1" applyBorder="1" applyAlignment="1">
      <alignment horizontal="center" vertical="center"/>
    </xf>
    <xf numFmtId="0" fontId="111" fillId="0" borderId="11" xfId="0" applyFont="1" applyBorder="1" applyAlignment="1">
      <alignment horizontal="left" vertical="center" indent="2"/>
    </xf>
    <xf numFmtId="0" fontId="111" fillId="0" borderId="13" xfId="0" applyFont="1" applyBorder="1" applyAlignment="1">
      <alignment horizontal="left" vertical="center"/>
    </xf>
    <xf numFmtId="0" fontId="111" fillId="0" borderId="13" xfId="0" applyFont="1" applyBorder="1" applyAlignment="1">
      <alignment horizontal="center" vertical="center"/>
    </xf>
    <xf numFmtId="0" fontId="111" fillId="0" borderId="66" xfId="0" applyFont="1" applyBorder="1" applyAlignment="1">
      <alignment horizontal="center" vertical="center"/>
    </xf>
    <xf numFmtId="0" fontId="111" fillId="0" borderId="5" xfId="0" applyFont="1" applyBorder="1" applyAlignment="1">
      <alignment horizontal="left" vertical="center"/>
    </xf>
    <xf numFmtId="0" fontId="111" fillId="0" borderId="17" xfId="0" applyFont="1" applyBorder="1" applyAlignment="1">
      <alignment horizontal="left" vertical="center"/>
    </xf>
    <xf numFmtId="0" fontId="111" fillId="0" borderId="11" xfId="0" applyFont="1" applyBorder="1" applyAlignment="1">
      <alignment horizontal="left" vertical="center"/>
    </xf>
    <xf numFmtId="0" fontId="111" fillId="0" borderId="5" xfId="0" applyFont="1" applyBorder="1" applyAlignment="1">
      <alignment horizontal="center" vertical="center"/>
    </xf>
    <xf numFmtId="14" fontId="111" fillId="0" borderId="13" xfId="0" applyNumberFormat="1" applyFont="1" applyBorder="1" applyAlignment="1">
      <alignment horizontal="center" vertical="center"/>
    </xf>
    <xf numFmtId="0" fontId="111" fillId="0" borderId="12" xfId="0" applyFont="1" applyBorder="1" applyAlignment="1">
      <alignment horizontal="center" vertical="center"/>
    </xf>
    <xf numFmtId="0" fontId="111" fillId="0" borderId="12" xfId="0" applyFont="1" applyBorder="1" applyAlignment="1">
      <alignment horizontal="left" vertical="center"/>
    </xf>
    <xf numFmtId="0" fontId="112" fillId="17" borderId="1" xfId="0" applyFont="1" applyFill="1" applyBorder="1" applyAlignment="1">
      <alignment horizontal="center" vertical="center"/>
    </xf>
    <xf numFmtId="0" fontId="113" fillId="0" borderId="0" xfId="0" applyFont="1" applyAlignment="1">
      <alignment horizontal="left" vertical="center"/>
    </xf>
    <xf numFmtId="0" fontId="114" fillId="0" borderId="0" xfId="0" applyFont="1" applyAlignment="1">
      <alignment horizontal="center" vertical="center" wrapText="1"/>
    </xf>
    <xf numFmtId="14" fontId="113" fillId="0" borderId="0" xfId="0" applyNumberFormat="1" applyFont="1" applyAlignment="1">
      <alignment horizontal="left" vertical="center"/>
    </xf>
    <xf numFmtId="0" fontId="115" fillId="0" borderId="0" xfId="0" applyFont="1" applyAlignment="1">
      <alignment horizontal="left" vertical="center"/>
    </xf>
    <xf numFmtId="0" fontId="116" fillId="0" borderId="0" xfId="0" applyFont="1" applyAlignment="1">
      <alignment horizontal="center" vertical="center"/>
    </xf>
    <xf numFmtId="0" fontId="118" fillId="0" borderId="1" xfId="0" applyFont="1" applyBorder="1" applyAlignment="1">
      <alignment horizontal="center" vertical="center"/>
    </xf>
    <xf numFmtId="0" fontId="117" fillId="0" borderId="1" xfId="0" applyFont="1" applyBorder="1" applyAlignment="1">
      <alignment horizontal="center" vertical="center"/>
    </xf>
    <xf numFmtId="17" fontId="5" fillId="0" borderId="1" xfId="0" applyNumberFormat="1" applyFont="1" applyBorder="1" applyAlignment="1">
      <alignment horizontal="center" vertical="center"/>
    </xf>
    <xf numFmtId="0" fontId="28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0" fontId="20" fillId="7" borderId="1" xfId="0" applyFont="1" applyFill="1" applyBorder="1" applyAlignment="1">
      <alignment horizontal="center" vertical="center"/>
    </xf>
    <xf numFmtId="0" fontId="38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119" fillId="0" borderId="11" xfId="0" applyFont="1" applyBorder="1" applyAlignment="1">
      <alignment horizontal="left" vertical="center" indent="2"/>
    </xf>
    <xf numFmtId="0" fontId="119" fillId="0" borderId="13" xfId="0" applyFont="1" applyBorder="1" applyAlignment="1">
      <alignment horizontal="left" vertical="center"/>
    </xf>
    <xf numFmtId="0" fontId="119" fillId="0" borderId="13" xfId="0" applyFont="1" applyBorder="1" applyAlignment="1">
      <alignment horizontal="center" vertical="center"/>
    </xf>
    <xf numFmtId="0" fontId="119" fillId="0" borderId="11" xfId="0" applyFont="1" applyBorder="1" applyAlignment="1">
      <alignment horizontal="left" vertical="center"/>
    </xf>
    <xf numFmtId="14" fontId="119" fillId="0" borderId="13" xfId="0" applyNumberFormat="1" applyFont="1" applyBorder="1" applyAlignment="1">
      <alignment horizontal="center" vertical="center"/>
    </xf>
    <xf numFmtId="0" fontId="119" fillId="0" borderId="12" xfId="0" applyFont="1" applyBorder="1" applyAlignment="1">
      <alignment horizontal="center" vertical="center"/>
    </xf>
    <xf numFmtId="0" fontId="119" fillId="0" borderId="12" xfId="0" applyFont="1" applyBorder="1" applyAlignment="1">
      <alignment horizontal="left" vertical="center"/>
    </xf>
    <xf numFmtId="0" fontId="109" fillId="2" borderId="1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6" fillId="0" borderId="67" xfId="0" applyFont="1" applyBorder="1" applyAlignment="1">
      <alignment horizontal="left" vertical="center"/>
    </xf>
    <xf numFmtId="0" fontId="16" fillId="0" borderId="67" xfId="0" applyFont="1" applyBorder="1" applyAlignment="1">
      <alignment horizontal="center" vertical="center"/>
    </xf>
    <xf numFmtId="14" fontId="119" fillId="0" borderId="5" xfId="0" applyNumberFormat="1" applyFont="1" applyBorder="1" applyAlignment="1">
      <alignment horizontal="center" vertical="center"/>
    </xf>
    <xf numFmtId="0" fontId="119" fillId="0" borderId="17" xfId="0" applyFont="1" applyBorder="1" applyAlignment="1">
      <alignment horizontal="center" vertical="center"/>
    </xf>
    <xf numFmtId="0" fontId="119" fillId="0" borderId="5" xfId="0" applyFont="1" applyBorder="1" applyAlignment="1">
      <alignment horizontal="left" vertical="center"/>
    </xf>
    <xf numFmtId="0" fontId="119" fillId="0" borderId="17" xfId="0" applyFont="1" applyBorder="1" applyAlignment="1">
      <alignment horizontal="left" vertical="center"/>
    </xf>
    <xf numFmtId="0" fontId="119" fillId="0" borderId="5" xfId="0" applyFont="1" applyBorder="1" applyAlignment="1">
      <alignment horizontal="center" vertical="center"/>
    </xf>
    <xf numFmtId="0" fontId="119" fillId="0" borderId="11" xfId="0" applyFont="1" applyBorder="1" applyAlignment="1">
      <alignment horizontal="left" vertical="center" indent="3"/>
    </xf>
    <xf numFmtId="0" fontId="26" fillId="0" borderId="0" xfId="0" applyFont="1" applyAlignment="1">
      <alignment horizontal="center" vertical="center"/>
    </xf>
    <xf numFmtId="0" fontId="33" fillId="0" borderId="18" xfId="0" applyFont="1" applyBorder="1" applyAlignment="1">
      <alignment horizontal="center" vertical="center" wrapText="1"/>
    </xf>
    <xf numFmtId="0" fontId="33" fillId="0" borderId="16" xfId="0" applyFont="1" applyBorder="1" applyAlignment="1">
      <alignment horizontal="center" vertical="center" wrapText="1"/>
    </xf>
    <xf numFmtId="0" fontId="26" fillId="23" borderId="3" xfId="0" applyFont="1" applyFill="1" applyBorder="1" applyAlignment="1">
      <alignment horizontal="center" vertical="center"/>
    </xf>
    <xf numFmtId="0" fontId="26" fillId="23" borderId="49" xfId="0" applyFont="1" applyFill="1" applyBorder="1" applyAlignment="1">
      <alignment horizontal="center" vertical="center"/>
    </xf>
    <xf numFmtId="0" fontId="26" fillId="23" borderId="4" xfId="0" applyFont="1" applyFill="1" applyBorder="1" applyAlignment="1">
      <alignment horizontal="center" vertical="center"/>
    </xf>
    <xf numFmtId="0" fontId="26" fillId="23" borderId="24" xfId="0" applyFont="1" applyFill="1" applyBorder="1" applyAlignment="1">
      <alignment horizontal="center" vertical="center"/>
    </xf>
    <xf numFmtId="0" fontId="26" fillId="23" borderId="25" xfId="0" applyFont="1" applyFill="1" applyBorder="1" applyAlignment="1">
      <alignment horizontal="center" vertical="center"/>
    </xf>
    <xf numFmtId="0" fontId="33" fillId="0" borderId="55" xfId="0" applyFont="1" applyBorder="1" applyAlignment="1">
      <alignment horizontal="center" vertical="center" wrapText="1"/>
    </xf>
    <xf numFmtId="0" fontId="62" fillId="0" borderId="3" xfId="0" applyFont="1" applyBorder="1" applyAlignment="1">
      <alignment horizontal="center" vertical="center"/>
    </xf>
    <xf numFmtId="0" fontId="62" fillId="0" borderId="49" xfId="0" applyFont="1" applyBorder="1" applyAlignment="1">
      <alignment horizontal="center" vertical="center"/>
    </xf>
    <xf numFmtId="0" fontId="62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14" fillId="0" borderId="31" xfId="0" applyFont="1" applyBorder="1" applyAlignment="1">
      <alignment vertical="center"/>
    </xf>
    <xf numFmtId="0" fontId="14" fillId="0" borderId="33" xfId="0" applyFont="1" applyBorder="1" applyAlignment="1">
      <alignment vertical="center"/>
    </xf>
    <xf numFmtId="0" fontId="33" fillId="0" borderId="31" xfId="0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16" fillId="9" borderId="0" xfId="0" applyFont="1" applyFill="1" applyAlignment="1">
      <alignment vertical="center"/>
    </xf>
    <xf numFmtId="14" fontId="13" fillId="0" borderId="0" xfId="0" applyNumberFormat="1" applyFont="1" applyAlignment="1">
      <alignment horizontal="right" vertical="center"/>
    </xf>
    <xf numFmtId="0" fontId="15" fillId="9" borderId="0" xfId="0" applyFont="1" applyFill="1" applyAlignment="1">
      <alignment horizontal="center" vertical="center"/>
    </xf>
    <xf numFmtId="0" fontId="15" fillId="9" borderId="0" xfId="0" applyFont="1" applyFill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/>
    </xf>
    <xf numFmtId="0" fontId="10" fillId="8" borderId="3" xfId="0" applyFont="1" applyFill="1" applyBorder="1" applyAlignment="1">
      <alignment horizontal="center" vertical="center" wrapText="1"/>
    </xf>
    <xf numFmtId="0" fontId="10" fillId="8" borderId="4" xfId="0" applyFont="1" applyFill="1" applyBorder="1" applyAlignment="1">
      <alignment horizontal="center" vertical="center" wrapText="1"/>
    </xf>
    <xf numFmtId="0" fontId="11" fillId="8" borderId="3" xfId="0" applyFont="1" applyFill="1" applyBorder="1" applyAlignment="1">
      <alignment horizontal="center" vertical="center"/>
    </xf>
    <xf numFmtId="0" fontId="11" fillId="8" borderId="4" xfId="0" applyFont="1" applyFill="1" applyBorder="1" applyAlignment="1">
      <alignment horizontal="center" vertic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Percent 2" xfId="3" xr:uid="{00000000-0005-0000-0000-000003000000}"/>
  </cellStyles>
  <dxfs count="941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2" tint="-9.9948118533890809E-2"/>
      </font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rgb="FF00B050"/>
      </font>
    </dxf>
    <dxf>
      <font>
        <color rgb="FFFF0000"/>
      </font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A7F03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A7F03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17" formatCode="#\ ?/?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border outline="0">
        <top style="thin">
          <color indexed="64"/>
        </top>
      </border>
    </dxf>
    <dxf>
      <font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numFmt numFmtId="0" formatCode="General"/>
      <alignment horizontal="left" vertical="center" textRotation="0" wrapText="0" relativeIndent="1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Times New Roman"/>
        <scheme val="none"/>
      </font>
      <numFmt numFmtId="19" formatCode="m/d/yyyy"/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C00000"/>
        <name val="Calibri"/>
        <scheme val="minor"/>
      </font>
      <fill>
        <patternFill patternType="solid">
          <fgColor indexed="64"/>
          <bgColor theme="0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fill>
        <patternFill patternType="solid">
          <fgColor indexed="64"/>
          <bgColor rgb="FF92D05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FFFF00"/>
        <name val="Calibri"/>
        <scheme val="minor"/>
      </font>
      <fill>
        <patternFill patternType="solid">
          <fgColor indexed="64"/>
          <bgColor theme="9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sz val="11"/>
        <color rgb="FF000000"/>
        <name val="Calibri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sz val="12"/>
        <color rgb="FF000000"/>
        <name val="Calibri"/>
        <scheme val="minor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indexed="8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scheme val="minor"/>
      </font>
      <alignment horizontal="left" vertical="center" textRotation="0" wrapText="0" indent="0" justifyLastLine="0" shrinkToFit="0" readingOrder="0"/>
    </dxf>
    <dxf>
      <border outline="0">
        <left style="medium">
          <color indexed="64"/>
        </left>
        <top style="medium">
          <color indexed="64"/>
        </top>
      </border>
    </dxf>
    <dxf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numFmt numFmtId="0" formatCode="General"/>
      <alignment horizontal="left" textRotation="0" indent="0" justifyLastLine="0" shrinkToFit="0" readingOrder="0"/>
    </dxf>
    <dxf>
      <border outline="0">
        <top style="thin">
          <color theme="4" tint="0.39997558519241921"/>
        </top>
      </border>
    </dxf>
    <dxf>
      <alignment horizontal="left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FF0000"/>
        </patternFill>
      </fill>
      <alignment horizontal="left" vertical="center" textRotation="0" wrapText="1" indent="0" justifyLastLine="0" shrinkToFit="0" readingOrder="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0000"/>
        </patternFill>
      </fill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border outline="0">
        <top style="thin">
          <color indexed="64"/>
        </top>
      </border>
    </dxf>
    <dxf>
      <alignment horizontal="center" vertical="center" textRotation="0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scheme val="minor"/>
      </font>
      <fill>
        <patternFill patternType="solid">
          <fgColor indexed="64"/>
          <bgColor theme="3"/>
        </patternFill>
      </fill>
      <alignment horizontal="center" vertical="center"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horizontal="general" vertical="bottom"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.5"/>
      </font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2.5"/>
      </font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numFmt numFmtId="0" formatCode="General"/>
      <alignment horizontal="left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2.5"/>
      </font>
      <alignment horizontal="left" vertical="center" textRotation="0" wrapText="1" indent="0" justifyLastLine="0" shrinkToFit="0" readingOrder="0"/>
    </dxf>
    <dxf>
      <alignment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scheme val="minor"/>
      </font>
      <fill>
        <patternFill patternType="solid">
          <fgColor indexed="64"/>
          <bgColor theme="3"/>
        </patternFill>
      </fill>
      <alignment horizontal="left" vertical="top" textRotation="0" wrapText="1" indent="0" justifyLastLine="0" shrinkToFit="0" readingOrder="0"/>
    </dxf>
    <dxf>
      <numFmt numFmtId="0" formatCode="General"/>
      <alignment horizontal="center" vertical="bottom" textRotation="0" wrapText="1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8"/>
        <color indexed="8"/>
        <name val="Arial"/>
        <scheme val="none"/>
      </font>
      <numFmt numFmtId="0" formatCode="General"/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9" formatCode="m/d/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Calibri"/>
        <scheme val="minor"/>
      </font>
      <fill>
        <patternFill patternType="solid">
          <fgColor indexed="64"/>
          <bgColor rgb="FF00B050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numFmt numFmtId="0" formatCode="General"/>
    </dxf>
    <dxf>
      <numFmt numFmtId="19" formatCode="m/d/yyyy"/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2"/>
        <name val="Calibri"/>
        <scheme val="minor"/>
      </font>
      <fill>
        <patternFill patternType="solid">
          <fgColor indexed="64"/>
          <bgColor theme="3"/>
        </patternFill>
      </fill>
      <alignment horizontal="left" vertical="top" textRotation="0" wrapText="1" indent="0" justifyLastLine="0" shrinkToFit="0" readingOrder="0"/>
    </dxf>
    <dxf>
      <fill>
        <patternFill patternType="solid">
          <fgColor indexed="64"/>
          <bgColor theme="7" tint="0.3999755851924192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indexed="64"/>
        </bottom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A7F0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33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2025\LV4\2025-ARDT-LV4-181-14478099\2025-ARDT-LV4-181-14478099.xlsx" TargetMode="External"/><Relationship Id="rId1" Type="http://schemas.openxmlformats.org/officeDocument/2006/relationships/externalLinkPath" Target="file:///Z:\2025\LV4\2025-ARDT-LV4-181-14478099\2025-ARDT-LV4-181-1447809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TRANSPOSE"/>
      <sheetName val="ARDT Cutter Entry"/>
      <sheetName val="Eng. Cutter Entry"/>
      <sheetName val="Evaluation"/>
      <sheetName val="E checklist"/>
      <sheetName val="Router Sheet"/>
      <sheetName val="LPT Report"/>
      <sheetName val="Evaluation (2)"/>
      <sheetName val="Instructions"/>
      <sheetName val="Debrazed cutters"/>
      <sheetName val="Eval-LSTK"/>
      <sheetName val="Eval-LSTK (2)"/>
      <sheetName val="Quotation"/>
      <sheetName val="Qut. HALL."/>
      <sheetName val="LSTK-RC"/>
      <sheetName val="Rework Cutter Entry"/>
      <sheetName val="Rework"/>
      <sheetName val="Rework (2)"/>
      <sheetName val="Die Check Entry"/>
      <sheetName val="Delivery Tkt"/>
      <sheetName val="Eval &amp; Quot-AR"/>
      <sheetName val="API Thread Inspection"/>
      <sheetName val="Brazing"/>
      <sheetName val="Hardfacing &amp; Build up"/>
      <sheetName val="Cutters LPT Report-not complete"/>
      <sheetName val="L3 bit material consume"/>
      <sheetName val="Sheet1"/>
      <sheetName val="ARAMCO-CONTRACT-6600048646"/>
    </sheetNames>
    <sheetDataSet>
      <sheetData sheetId="0">
        <row r="2088">
          <cell r="Q2088">
            <v>23</v>
          </cell>
        </row>
        <row r="2089">
          <cell r="Q2089">
            <v>23</v>
          </cell>
        </row>
        <row r="2090">
          <cell r="Q2090">
            <v>18</v>
          </cell>
        </row>
        <row r="2091">
          <cell r="Q2091">
            <v>13</v>
          </cell>
        </row>
        <row r="2092">
          <cell r="Q2092">
            <v>10</v>
          </cell>
        </row>
        <row r="2093">
          <cell r="Q2093">
            <v>7</v>
          </cell>
        </row>
        <row r="2094">
          <cell r="Q2094">
            <v>6</v>
          </cell>
        </row>
        <row r="2095">
          <cell r="Q2095">
            <v>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0000000}" name="Table12" displayName="Table12" ref="AE1:AG33" totalsRowShown="0" headerRowDxfId="940" headerRowBorderDxfId="939" tableBorderDxfId="938" totalsRowBorderDxfId="937" headerRowCellStyle="Normal 3">
  <autoFilter ref="AE1:AG33" xr:uid="{00000000-0009-0000-0100-00000C000000}"/>
  <tableColumns count="3">
    <tableColumn id="1" xr3:uid="{00000000-0010-0000-0000-000001000000}" name="ALL Cutters as in these BOM's" dataDxfId="936" dataCellStyle="Normal 3"/>
    <tableColumn id="2" xr3:uid="{00000000-0010-0000-0000-000002000000}" name="Exact Quantity" dataDxfId="935" dataCellStyle="Normal 3">
      <calculatedColumnFormula>SUMIFS(X:X,W:W,AE2,AB:AB,1)</calculatedColumnFormula>
    </tableColumn>
    <tableColumn id="3" xr3:uid="{00000000-0010-0000-0000-000003000000}" name="Quantity With 10% More" dataDxfId="934" dataCellStyle="Normal 3">
      <calculatedColumnFormula>_xlfn.CEILING.MATH(AF2*1.1)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1000000}" name="Table15" displayName="Table15" ref="A1:C155" totalsRowShown="0" tableBorderDxfId="933">
  <autoFilter ref="A1:C155" xr:uid="{00000000-0009-0000-0100-00000E000000}"/>
  <tableColumns count="3">
    <tableColumn id="2" xr3:uid="{00000000-0010-0000-0100-000002000000}" name="ORDER NO." dataDxfId="932" dataCellStyle="Normal 3"/>
    <tableColumn id="3" xr3:uid="{00000000-0010-0000-0100-000003000000}" name="SEREAL NO." dataDxfId="931" dataCellStyle="Normal 3"/>
    <tableColumn id="1" xr3:uid="{00000000-0010-0000-0100-000001000000}" name="Selection" dataDxfId="930" dataCellStyle="Normal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2000000}" name="Table16" displayName="Table16" ref="E1:AC553" totalsRowShown="0" headerRowDxfId="929" tableBorderDxfId="928" headerRowCellStyle="Percent 2">
  <autoFilter ref="E1:AC553" xr:uid="{00000000-0009-0000-0100-00000F000000}"/>
  <tableColumns count="25">
    <tableColumn id="1" xr3:uid="{00000000-0010-0000-0200-000001000000}" name="Inspection Group" dataDxfId="927" dataCellStyle="Normal 3"/>
    <tableColumn id="2" xr3:uid="{00000000-0010-0000-0200-000002000000}" name="ORDER NO."/>
    <tableColumn id="3" xr3:uid="{00000000-0010-0000-0200-000003000000}" name="SEREAL NO."/>
    <tableColumn id="4" xr3:uid="{00000000-0010-0000-0200-000004000000}" name="SIZE"/>
    <tableColumn id="5" xr3:uid="{00000000-0010-0000-0200-000005000000}" name="TYPE"/>
    <tableColumn id="6" xr3:uid="{00000000-0010-0000-0200-000006000000}" name="NEW TYPE"/>
    <tableColumn id="7" xr3:uid="{00000000-0010-0000-0200-000007000000}" name="LEVEL 5 MAT NO."/>
    <tableColumn id="8" xr3:uid="{00000000-0010-0000-0200-000008000000}" name="RECIVED" dataDxfId="926" dataCellStyle="Normal 3"/>
    <tableColumn id="9" xr3:uid="{00000000-0010-0000-0200-000009000000}" name="FROM"/>
    <tableColumn id="10" xr3:uid="{00000000-0010-0000-0200-00000A000000}" name="STATUS"/>
    <tableColumn id="11" xr3:uid="{00000000-0010-0000-0200-00000B000000}" name="Repair Price"/>
    <tableColumn id="12" xr3:uid="{00000000-0010-0000-0200-00000C000000}" name="Cost"/>
    <tableColumn id="13" xr3:uid="{00000000-0010-0000-0200-00000D000000}" name="Cost Guidelines" dataDxfId="925" dataCellStyle="Percent 2">
      <calculatedColumnFormula>IFERROR(ROUND(O2/P2*100,0)&amp;" %"&amp;IF(O2/P2&gt;0.6,", High Price",""),"")</calculatedColumnFormula>
    </tableColumn>
    <tableColumn id="14" xr3:uid="{00000000-0010-0000-0200-00000E000000}" name="Upper Section Needed"/>
    <tableColumn id="15" xr3:uid="{00000000-0010-0000-0200-00000F000000}" name="Upper Section Mat"/>
    <tableColumn id="16" xr3:uid="{00000000-0010-0000-0200-000010000000}" name="REMARKS"/>
    <tableColumn id="17" xr3:uid="{00000000-0010-0000-0200-000011000000}" name="PO"/>
    <tableColumn id="18" xr3:uid="{00000000-0010-0000-0200-000012000000}" name="X#"/>
    <tableColumn id="19" xr3:uid="{00000000-0010-0000-0200-000013000000}" name="Component"/>
    <tableColumn id="20" xr3:uid="{00000000-0010-0000-0200-000014000000}" name="Quantity Needed for repair"/>
    <tableColumn id="21" xr3:uid="{00000000-0010-0000-0200-000015000000}" name="Quantity in BOM"/>
    <tableColumn id="22" xr3:uid="{00000000-0010-0000-0200-000016000000}" name="Remark" dataDxfId="924" dataCellStyle="Normal 3"/>
    <tableColumn id="23" xr3:uid="{00000000-0010-0000-0200-000017000000}" name="Column1" dataDxfId="923" dataCellStyle="Percent 2">
      <calculatedColumnFormula>IFERROR(X2/Y2,"")</calculatedColumnFormula>
    </tableColumn>
    <tableColumn id="24" xr3:uid="{00000000-0010-0000-0200-000018000000}" name="Evaluated" dataDxfId="922" dataCellStyle="Normal 3">
      <calculatedColumnFormula>IFERROR(INDEX($A$2:$C$553,MATCH($F2,$A$2:$A$553,0),3),0)</calculatedColumnFormula>
    </tableColumn>
    <tableColumn id="25" xr3:uid="{00000000-0010-0000-0200-000019000000}" name="Column2" dataDxfId="921" dataCellStyle="Normal 3">
      <calculatedColumnFormula>IFERROR(Table16[[#This Row],[Quantity Needed for repair]]*Table16[[#This Row],[Evaluated]],"")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3000000}" name="Table1" displayName="Table1" ref="A1:L925" totalsRowShown="0" headerRowDxfId="920" dataDxfId="919">
  <autoFilter ref="A1:L925" xr:uid="{00000000-0009-0000-0100-000001000000}"/>
  <tableColumns count="12">
    <tableColumn id="1" xr3:uid="{00000000-0010-0000-0300-000001000000}" name="PO" dataDxfId="918"/>
    <tableColumn id="2" xr3:uid="{00000000-0010-0000-0300-000002000000}" name="ITEM" dataDxfId="917"/>
    <tableColumn id="3" xr3:uid="{00000000-0010-0000-0300-000003000000}" name="SEREAL NO." dataDxfId="916"/>
    <tableColumn id="4" xr3:uid="{00000000-0010-0000-0300-000004000000}" name="SIZE" dataDxfId="915"/>
    <tableColumn id="5" xr3:uid="{00000000-0010-0000-0300-000005000000}" name="TYPE" dataDxfId="914"/>
    <tableColumn id="6" xr3:uid="{00000000-0010-0000-0300-000006000000}" name="NEW TYPE" dataDxfId="913"/>
    <tableColumn id="7" xr3:uid="{00000000-0010-0000-0300-000007000000}" name="L-3 or 4" dataDxfId="912"/>
    <tableColumn id="8" xr3:uid="{00000000-0010-0000-0300-000008000000}" name="LEVEL 3 or 4 MAT NO." dataDxfId="911"/>
    <tableColumn id="9" xr3:uid="{00000000-0010-0000-0300-000009000000}" name="LEVEL 5 MAT NO." dataDxfId="910"/>
    <tableColumn id="10" xr3:uid="{00000000-0010-0000-0300-00000A000000}" name="Quantity" dataDxfId="909">
      <calculatedColumnFormula>IF(H2&lt;&gt;"",IF(AND(C2&lt;&gt;"",IFERROR(MATCH(C2,Table10[Serial No.],0),0)),0,1),0)</calculatedColumnFormula>
    </tableColumn>
    <tableColumn id="11" xr3:uid="{00000000-0010-0000-0300-00000B000000}" name="Braze Plan" dataDxfId="908"/>
    <tableColumn id="12" xr3:uid="{00000000-0010-0000-0300-00000C000000}" name="Shortage Cutters Results" dataDxfId="907">
      <calculatedColumnFormula>IFERROR(INDEX($O$2:$Q$57,MATCH($I2,$O$2:$O$93,0),3),"")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Table3" displayName="Table3" ref="O1:Q93" totalsRowShown="0" headerRowDxfId="906">
  <autoFilter ref="O1:Q93" xr:uid="{00000000-0009-0000-0100-000003000000}"/>
  <tableColumns count="3">
    <tableColumn id="1" xr3:uid="{00000000-0010-0000-0400-000001000000}" name="LEVEL 5 MAT NO." dataDxfId="905">
      <calculatedColumnFormula>IFERROR(N2,"")</calculatedColumnFormula>
    </tableColumn>
    <tableColumn id="2" xr3:uid="{00000000-0010-0000-0400-000002000000}" name="Qty of MATs" dataDxfId="904">
      <calculatedColumnFormula>SUMIF(Table1[LEVEL 5 MAT NO.],N2,Table1[Quantity])</calculatedColumnFormula>
    </tableColumn>
    <tableColumn id="3" xr3:uid="{00000000-0010-0000-0400-000003000000}" name="Shotage Cutters" dataDxfId="903">
      <calculatedColumnFormula array="1">_xlfn.TEXTJOIN(", ", TRUE, IF(($S$2:$S$485 = O2) * ($AF$2:$AF$485 &lt; 0), $W$2:$W$485&amp;" "&amp;$X$2:$X$485, ""))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5000000}" name="Table4" displayName="Table4" ref="S1:AG587" totalsRowShown="0" headerRowDxfId="902" dataDxfId="901">
  <autoFilter ref="S1:AG587" xr:uid="{00000000-0009-0000-0100-000004000000}"/>
  <tableColumns count="15">
    <tableColumn id="1" xr3:uid="{00000000-0010-0000-0500-000001000000}" name="LEVEL 5 MAT NO." dataDxfId="900"/>
    <tableColumn id="4" xr3:uid="{00000000-0010-0000-0500-000004000000}" name="Size" dataDxfId="899"/>
    <tableColumn id="3" xr3:uid="{00000000-0010-0000-0500-000003000000}" name="Type" dataDxfId="898"/>
    <tableColumn id="7" xr3:uid="{00000000-0010-0000-0500-000007000000}" name="X#" dataDxfId="897"/>
    <tableColumn id="8" xr3:uid="{00000000-0010-0000-0500-000008000000}" name="Component" dataDxfId="896"/>
    <tableColumn id="2" xr3:uid="{00000000-0010-0000-0500-000002000000}" name="Description" dataDxfId="895">
      <calculatedColumnFormula>IFERROR(INDEX(Table14[],MATCH($W2,Table14[SAPNo],0),3),"")</calculatedColumnFormula>
    </tableColumn>
    <tableColumn id="9" xr3:uid="{00000000-0010-0000-0500-000009000000}" name="Quantity" dataDxfId="894"/>
    <tableColumn id="10" xr3:uid="{00000000-0010-0000-0500-00000A000000}" name="MAT Frequency" dataDxfId="893">
      <calculatedColumnFormula>IFERROR(INDEX($O$2:$P$400,MATCH($S2,$O$2:$O$93,0),2),0)</calculatedColumnFormula>
    </tableColumn>
    <tableColumn id="11" xr3:uid="{00000000-0010-0000-0500-00000B000000}" name="Qty of Cutters in these MATs" dataDxfId="892">
      <calculatedColumnFormula>Y2*Z2</calculatedColumnFormula>
    </tableColumn>
    <tableColumn id="5" xr3:uid="{00000000-0010-0000-0500-000005000000}" name="INV. QTY" dataDxfId="891">
      <calculatedColumnFormula>IFERROR(INDEX('Cutters Inventory 12-30-2025'!A:W,MATCH($W2,'Cutters Inventory 12-30-2025'!B:B,0),14),0)</calculatedColumnFormula>
    </tableColumn>
    <tableColumn id="6" xr3:uid="{00000000-0010-0000-0500-000006000000}" name="Bits Braze Plan" dataDxfId="890">
      <calculatedColumnFormula>SUMIF(Table1[LEVEL 5 MAT NO.],S2,Table1[Braze Plan])</calculatedColumnFormula>
    </tableColumn>
    <tableColumn id="12" xr3:uid="{00000000-0010-0000-0500-00000C000000}" name="Required For Braze Cutters Check" dataDxfId="889">
      <calculatedColumnFormula>Table4[[#This Row],[Quantity]]*Table4[[#This Row],[Bits Braze Plan]]</calculatedColumnFormula>
    </tableColumn>
    <tableColumn id="14" xr3:uid="{00000000-0010-0000-0500-00000E000000}" name="Shortage for the MAT" dataDxfId="888">
      <calculatedColumnFormula>Table4[[#This Row],[INV. QTY]]-Table4[[#This Row],[Required For Braze Cutters Check]]</calculatedColumnFormula>
    </tableColumn>
    <tableColumn id="13" xr3:uid="{00000000-0010-0000-0500-00000D000000}" name="Shortage for all MAT's" dataDxfId="887">
      <calculatedColumnFormula>IFERROR(INDEX($AJ$2:$AO$136,MATCH($W2,$AJ$2:$AJ$136,0),5),0)</calculatedColumnFormula>
    </tableColumn>
    <tableColumn id="15" xr3:uid="{00000000-0010-0000-0500-00000F000000}" name="Remarks" dataDxfId="88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6000000}" name="Table5" displayName="Table5" ref="AJ1:AO145" totalsRowShown="0" headerRowDxfId="885" dataDxfId="883" headerRowBorderDxfId="884" tableBorderDxfId="882">
  <autoFilter ref="AJ1:AO145" xr:uid="{00000000-0009-0000-0100-000005000000}"/>
  <sortState xmlns:xlrd2="http://schemas.microsoft.com/office/spreadsheetml/2017/richdata2" ref="AJ2:AK74">
    <sortCondition ref="AK1:AK74"/>
  </sortState>
  <tableColumns count="6">
    <tableColumn id="1" xr3:uid="{00000000-0010-0000-0600-000001000000}" name="Component" dataDxfId="881">
      <calculatedColumnFormula>IFERROR(AI2,"")</calculatedColumnFormula>
    </tableColumn>
    <tableColumn id="2" xr3:uid="{00000000-0010-0000-0600-000002000000}" name="required Qty of Cutters" dataDxfId="880">
      <calculatedColumnFormula>SUMIF(Table4[Component],AJ2,Table4[Qty of Cutters in these MATs])</calculatedColumnFormula>
    </tableColumn>
    <tableColumn id="3" xr3:uid="{00000000-0010-0000-0600-000003000000}" name="Required For Braze Cutters Check" dataDxfId="879">
      <calculatedColumnFormula>SUMIF(Table4[Component],AJ2,Table4[Required For Braze Cutters Check])</calculatedColumnFormula>
    </tableColumn>
    <tableColumn id="4" xr3:uid="{00000000-0010-0000-0600-000004000000}" name="INV. QTY" dataDxfId="878">
      <calculatedColumnFormula>IFERROR(INDEX('Cutters Inventory 12-30-2025'!A:W,MATCH($AI2,'Cutters Inventory 12-30-2025'!B:B,0),14),0)</calculatedColumnFormula>
    </tableColumn>
    <tableColumn id="5" xr3:uid="{00000000-0010-0000-0600-000005000000}" name="Cutters Check Results" dataDxfId="877">
      <calculatedColumnFormula>Table5[[#This Row],[INV. QTY]]-Table5[[#This Row],[Required For Braze Cutters Check]]</calculatedColumnFormula>
    </tableColumn>
    <tableColumn id="6" xr3:uid="{00000000-0010-0000-0600-000006000000}" name="Column1" dataDxfId="876">
      <calculatedColumnFormula>IF($AN2&lt;0,Table5[[#This Row],[Component]],"")</calculatedColumnFormula>
    </tableColumn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8" displayName="Table8" ref="AV1:AW128" totalsRowShown="0" headerRowDxfId="875">
  <autoFilter ref="AV1:AW128" xr:uid="{00000000-0009-0000-0100-000008000000}"/>
  <tableColumns count="2">
    <tableColumn id="1" xr3:uid="{00000000-0010-0000-0700-000001000000}" name="Not Exist Cutter types">
      <calculatedColumnFormula>IFERROR(AU2,"")</calculatedColumnFormula>
    </tableColumn>
    <tableColumn id="2" xr3:uid="{00000000-0010-0000-0700-000002000000}" name="Qty">
      <calculatedColumnFormula>IFERROR(INDEX($AJ$2:$AK$387,MATCH($AU2,$AJ$2:$AJ$100,0),2),0)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le6" displayName="Table6" ref="BA1:BA177" totalsRowShown="0" headerRowDxfId="874" headerRowBorderDxfId="873" tableBorderDxfId="872">
  <autoFilter ref="BA1:BA177" xr:uid="{00000000-0009-0000-0100-000006000000}"/>
  <tableColumns count="1">
    <tableColumn id="1" xr3:uid="{00000000-0010-0000-0800-000001000000}" name="Not Exist BOM's">
      <calculatedColumnFormula>IFERROR(AZ2,"")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9000000}" name="Table2" displayName="Table2" ref="BC1:BC177" totalsRowShown="0" headerRowDxfId="871" dataDxfId="869" headerRowBorderDxfId="870" tableBorderDxfId="868">
  <autoFilter ref="BC1:BC177" xr:uid="{00000000-0009-0000-0100-000002000000}"/>
  <tableColumns count="1">
    <tableColumn id="1" xr3:uid="{00000000-0010-0000-0900-000001000000}" name="Not Exist BOM's" dataDxfId="867">
      <calculatedColumnFormula>IFERROR(VLOOKUP(BA:BA,Table4[],8,FALSE),Table6[[#This Row],[Not Exist BOM''s]])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A000000}" name="Table7" displayName="Table7" ref="A1:K751" totalsRowCount="1" headerRowDxfId="866" dataDxfId="864" headerRowBorderDxfId="865" tableBorderDxfId="863">
  <autoFilter ref="A1:K750" xr:uid="{00000000-000C-0000-FFFF-FFFF0A000000}"/>
  <tableColumns count="11">
    <tableColumn id="1" xr3:uid="{00000000-0010-0000-0A00-000001000000}" name="Numbers"/>
    <tableColumn id="2" xr3:uid="{00000000-0010-0000-0A00-000002000000}" name="Cutter Size" dataDxfId="862" totalsRowDxfId="861"/>
    <tableColumn id="3" xr3:uid="{00000000-0010-0000-0A00-000003000000}" name="Chamfer" dataDxfId="860" totalsRowDxfId="859"/>
    <tableColumn id="4" xr3:uid="{00000000-0010-0000-0A00-000004000000}" name="Cutter Type" dataDxfId="858" totalsRowDxfId="857"/>
    <tableColumn id="5" xr3:uid="{00000000-0010-0000-0A00-000005000000}" name="Cutter Mat#" totalsRowDxfId="856"/>
    <tableColumn id="6" xr3:uid="{00000000-0010-0000-0A00-000006000000}" name="Final Order Qty" dataDxfId="855" totalsRowDxfId="854"/>
    <tableColumn id="7" xr3:uid="{00000000-0010-0000-0A00-000007000000}" name="Order Date" dataDxfId="853" totalsRowDxfId="852"/>
    <tableColumn id="8" xr3:uid="{00000000-0010-0000-0A00-000008000000}" name="PO#" dataDxfId="851" totalsRowDxfId="850"/>
    <tableColumn id="10" xr3:uid="{00000000-0010-0000-0A00-00000A000000}" name="Received Qty" dataDxfId="849" totalsRowDxfId="848">
      <calculatedColumnFormula>SUM(W2,SUMIFS('Cutters Consumption Updates'!$F:$F,'Cutters Consumption Updates'!$G:$G,"NEW",'Cutters Consumption Updates'!$J:$J,Table7[[#This Row],[PO'#]],'Cutters Consumption Updates'!$B:$B,Table7[[#This Row],[Cutter Mat'#]]))</calculatedColumnFormula>
    </tableColumn>
    <tableColumn id="12" xr3:uid="{00000000-0010-0000-0A00-00000C000000}" name="Balance" totalsRowFunction="sum" dataDxfId="847" totalsRowDxfId="846">
      <calculatedColumnFormula>F2-I2</calculatedColumnFormula>
    </tableColumn>
    <tableColumn id="13" xr3:uid="{00000000-0010-0000-0A00-00000D000000}" name="Remarks" dataDxfId="84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0B000000}" name="Table17" displayName="Table17" ref="Q1:S217" totalsRowShown="0" headerRowDxfId="844" headerRowBorderDxfId="843" tableBorderDxfId="842" totalsRowBorderDxfId="841">
  <autoFilter ref="Q1:S217" xr:uid="{00000000-0009-0000-0100-000011000000}"/>
  <tableColumns count="3">
    <tableColumn id="1" xr3:uid="{00000000-0010-0000-0B00-000001000000}" name="SAPNo" dataDxfId="840"/>
    <tableColumn id="2" xr3:uid="{00000000-0010-0000-0B00-000002000000}" name="Level 3-4 stock" dataDxfId="839"/>
    <tableColumn id="3" xr3:uid="{00000000-0010-0000-0B00-000003000000}" name="Repair Stock" dataDxfId="838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C000000}" name="Table18" displayName="Table18" ref="W1:AA234" totalsRowShown="0" headerRowDxfId="837" dataDxfId="835" headerRowBorderDxfId="836" tableBorderDxfId="834" totalsRowBorderDxfId="833">
  <autoFilter ref="W1:AA234" xr:uid="{00000000-0009-0000-0100-000010000000}"/>
  <tableColumns count="5">
    <tableColumn id="1" xr3:uid="{00000000-0010-0000-0C00-000001000000}" name="SAPNo" dataDxfId="832"/>
    <tableColumn id="2" xr3:uid="{00000000-0010-0000-0C00-000002000000}" name="Reclaim ENO Good Cutter" dataDxfId="831"/>
    <tableColumn id="3" xr3:uid="{00000000-0010-0000-0C00-000003000000}" name="ENO Ground Cutter " dataDxfId="830"/>
    <tableColumn id="4" xr3:uid="{00000000-0010-0000-0C00-000004000000}" name="ENO Crack Cutter" dataDxfId="829"/>
    <tableColumn id="5" xr3:uid="{00000000-0010-0000-0C00-000005000000}" name="Re-Claimed Cutter" dataDxfId="828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D000000}" name="Table10" displayName="Table10" ref="A1:M6474" totalsRowShown="0" tableBorderDxfId="827">
  <autoFilter ref="A1:M6474" xr:uid="{00000000-0009-0000-0100-00000A000000}"/>
  <tableColumns count="13">
    <tableColumn id="1" xr3:uid="{00000000-0010-0000-0D00-000001000000}" name="Date" dataDxfId="826"/>
    <tableColumn id="2" xr3:uid="{00000000-0010-0000-0D00-000002000000}" name="CUTTER SAPNo" dataDxfId="825"/>
    <tableColumn id="13" xr3:uid="{00000000-0010-0000-0D00-00000D000000}" name="CUTTER Details" dataDxfId="824">
      <calculatedColumnFormula>IFERROR(INDEX(Table14[],MATCH($B2,Table14[SAPNo],0),3),"")</calculatedColumnFormula>
    </tableColumn>
    <tableColumn id="18" xr3:uid="{00000000-0010-0000-0D00-000012000000}" name="Cutter Category" dataDxfId="823"/>
    <tableColumn id="16" xr3:uid="{00000000-0010-0000-0D00-000010000000}" name="Issued Qty" dataDxfId="822"/>
    <tableColumn id="19" xr3:uid="{00000000-0010-0000-0D00-000013000000}" name="Recived Qty" dataDxfId="821"/>
    <tableColumn id="3" xr3:uid="{00000000-0010-0000-0D00-000003000000}" name="ORDER NO" dataDxfId="820"/>
    <tableColumn id="5" xr3:uid="{00000000-0010-0000-0D00-000005000000}" name="Serial No." dataDxfId="819"/>
    <tableColumn id="12" xr3:uid="{00000000-0010-0000-0D00-00000C000000}" name="Bit Details" dataDxfId="818"/>
    <tableColumn id="6" xr3:uid="{00000000-0010-0000-0D00-000006000000}" name="Cutters PO" dataDxfId="817"/>
    <tableColumn id="10" xr3:uid="{00000000-0010-0000-0D00-00000A000000}" name="Remarks" dataDxfId="816"/>
    <tableColumn id="11" xr3:uid="{00000000-0010-0000-0D00-00000B000000}" name="Column5"/>
    <tableColumn id="15" xr3:uid="{00000000-0010-0000-0D00-00000F000000}" name="Update Date" dataDxfId="815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E000000}" name="Table412" displayName="Table412" ref="A1:O1130" totalsRowShown="0" headerRowDxfId="814" dataDxfId="813" tableBorderDxfId="812">
  <autoFilter ref="A1:O1130" xr:uid="{00000000-0009-0000-0100-00000B000000}"/>
  <sortState xmlns:xlrd2="http://schemas.microsoft.com/office/spreadsheetml/2017/richdata2" ref="A63:O963">
    <sortCondition ref="E1:E963"/>
  </sortState>
  <tableColumns count="15">
    <tableColumn id="14" xr3:uid="{00000000-0010-0000-0E00-00000E000000}" name="Column2" dataDxfId="811"/>
    <tableColumn id="4" xr3:uid="{00000000-0010-0000-0E00-000004000000}" name="Remark" dataDxfId="810"/>
    <tableColumn id="5" xr3:uid="{00000000-0010-0000-0E00-000005000000}" name="Size" dataDxfId="809"/>
    <tableColumn id="6" xr3:uid="{00000000-0010-0000-0E00-000006000000}" name="Type" dataDxfId="808"/>
    <tableColumn id="7" xr3:uid="{00000000-0010-0000-0E00-000007000000}" name="MAT" dataDxfId="807"/>
    <tableColumn id="17" xr3:uid="{00000000-0010-0000-0E00-000011000000}" name="X#" dataDxfId="806" dataCellStyle="Normal 2"/>
    <tableColumn id="16" xr3:uid="{00000000-0010-0000-0E00-000010000000}" name="Component" dataDxfId="805" dataCellStyle="Normal 2"/>
    <tableColumn id="18" xr3:uid="{00000000-0010-0000-0E00-000012000000}" name="Description" dataDxfId="804" dataCellStyle="Normal 2">
      <calculatedColumnFormula>IFERROR(INDEX(Table14[],MATCH($G2,Table14[SAPNo],0),3),"")</calculatedColumnFormula>
    </tableColumn>
    <tableColumn id="8" xr3:uid="{00000000-0010-0000-0E00-000008000000}" name="Quantity in BOM" dataDxfId="803"/>
    <tableColumn id="9" xr3:uid="{00000000-0010-0000-0E00-000009000000}" name="Exist" dataDxfId="802">
      <calculatedColumnFormula>IF(Table412[[#This Row],[MAT]]&lt;&gt;"",COUNTIF(Table3[LEVEL 5 MAT NO.],Table412[[#This Row],[MAT]]),"")</calculatedColumnFormula>
    </tableColumn>
    <tableColumn id="12" xr3:uid="{00000000-0010-0000-0E00-00000C000000}" name="Freq" dataDxfId="801">
      <calculatedColumnFormula>IFERROR(INDEX(Table3[],MATCH($E2,Table3[LEVEL 5 MAT NO.],0),2),0)</calculatedColumnFormula>
    </tableColumn>
    <tableColumn id="10" xr3:uid="{00000000-0010-0000-0E00-00000A000000}" name="Quantity x Freq" dataDxfId="800">
      <calculatedColumnFormula>Table412[[#This Row],[Quantity in BOM]]*Table412[[#This Row],[Freq]]</calculatedColumnFormula>
    </tableColumn>
    <tableColumn id="11" xr3:uid="{00000000-0010-0000-0E00-00000B000000}" name="available BOMs" dataDxfId="799">
      <calculatedColumnFormula>IF(Table412[[#This Row],[Exist]]=1,Table412[[#This Row],[MAT]],"")</calculatedColumnFormula>
    </tableColumn>
    <tableColumn id="13" xr3:uid="{00000000-0010-0000-0E00-00000D000000}" name="Cutters in These Bits" dataDxfId="798">
      <calculatedColumnFormula>IF(Table412[[#This Row],[Exist]]=1,Table412[[#This Row],[Component]],"")</calculatedColumnFormula>
    </tableColumn>
    <tableColumn id="15" xr3:uid="{00000000-0010-0000-0E00-00000F000000}" name="MAT &amp; X#" dataDxfId="797">
      <calculatedColumnFormula>IFERROR(VALUE(Table412[[#This Row],[MAT]]&amp;Table412[[#This Row],[X'#]]),IF(COUNTIF(Table412[[#This Row],[MAT]],"*M"),Table412[[#This Row],[MAT]]&amp;Table412[[#This Row],[X'#]],""))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F000000}" name="Table14" displayName="Table14" ref="T1:V306" totalsRowShown="0" headerRowDxfId="796" headerRowBorderDxfId="795" tableBorderDxfId="794" totalsRowBorderDxfId="793">
  <autoFilter ref="T1:V306" xr:uid="{00000000-0009-0000-0100-00000D000000}"/>
  <tableColumns count="3">
    <tableColumn id="1" xr3:uid="{00000000-0010-0000-0F00-000001000000}" name="No" dataDxfId="792"/>
    <tableColumn id="2" xr3:uid="{00000000-0010-0000-0F00-000002000000}" name="SAPNo" dataDxfId="791"/>
    <tableColumn id="3" xr3:uid="{00000000-0010-0000-0F00-000003000000}" name="Description" dataDxfId="79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0.xml"/><Relationship Id="rId3" Type="http://schemas.openxmlformats.org/officeDocument/2006/relationships/table" Target="../tables/table5.xml"/><Relationship Id="rId7" Type="http://schemas.openxmlformats.org/officeDocument/2006/relationships/table" Target="../tables/table9.xml"/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9" tint="0.39997558519241921"/>
    <pageSetUpPr fitToPage="1"/>
  </sheetPr>
  <dimension ref="A1:BE479"/>
  <sheetViews>
    <sheetView tabSelected="1" zoomScale="40" zoomScaleNormal="40" zoomScaleSheetLayoutView="199" workbookViewId="0">
      <pane xSplit="7" ySplit="1" topLeftCell="H164" activePane="bottomRight" state="frozen"/>
      <selection pane="topRight" activeCell="G1" sqref="G1"/>
      <selection pane="bottomLeft" activeCell="A2" sqref="A2"/>
      <selection pane="bottomRight" activeCell="C1" sqref="C1"/>
    </sheetView>
  </sheetViews>
  <sheetFormatPr defaultRowHeight="18.5" x14ac:dyDescent="0.35"/>
  <cols>
    <col min="1" max="1" width="8.1796875" style="4" bestFit="1" customWidth="1"/>
    <col min="2" max="2" width="10.81640625" style="4" bestFit="1" customWidth="1"/>
    <col min="3" max="3" width="51" style="4" customWidth="1"/>
    <col min="4" max="4" width="20.7265625" style="4" customWidth="1"/>
    <col min="5" max="5" width="11.1796875" style="4" customWidth="1"/>
    <col min="6" max="6" width="15.453125" style="4" customWidth="1"/>
    <col min="7" max="7" width="36.7265625" style="4" customWidth="1"/>
    <col min="8" max="9" width="13.7265625" style="1" customWidth="1"/>
    <col min="10" max="10" width="13.7265625" style="8" customWidth="1"/>
    <col min="11" max="11" width="13.7265625" style="736" customWidth="1"/>
    <col min="12" max="17" width="13.7265625" style="1" customWidth="1"/>
    <col min="18" max="18" width="18.81640625" style="1" customWidth="1"/>
    <col min="19" max="19" width="14.26953125" style="4" customWidth="1"/>
    <col min="20" max="20" width="14" style="815" customWidth="1"/>
    <col min="21" max="21" width="11.54296875" style="4" customWidth="1"/>
    <col min="22" max="22" width="20.7265625" style="9" customWidth="1"/>
    <col min="23" max="23" width="33.453125" style="4" customWidth="1"/>
    <col min="24" max="26" width="13" style="4" customWidth="1"/>
    <col min="27" max="27" width="11.54296875" style="4" customWidth="1"/>
    <col min="28" max="28" width="10.54296875" style="4" customWidth="1"/>
    <col min="29" max="29" width="4.26953125" customWidth="1"/>
    <col min="30" max="30" width="20.26953125" style="4" customWidth="1"/>
    <col min="31" max="31" width="4.26953125" style="4" customWidth="1"/>
    <col min="32" max="32" width="6.453125" style="4" customWidth="1"/>
    <col min="33" max="33" width="10" customWidth="1"/>
    <col min="34" max="34" width="14.26953125" customWidth="1"/>
    <col min="35" max="36" width="20.54296875" customWidth="1"/>
    <col min="37" max="37" width="25.453125" customWidth="1"/>
    <col min="38" max="39" width="12.26953125" customWidth="1"/>
    <col min="40" max="41" width="10.26953125" customWidth="1"/>
    <col min="42" max="42" width="14.26953125" hidden="1" customWidth="1"/>
    <col min="43" max="44" width="14.7265625" hidden="1" customWidth="1"/>
    <col min="45" max="45" width="13.7265625" hidden="1" customWidth="1"/>
    <col min="46" max="46" width="11" customWidth="1"/>
    <col min="47" max="47" width="10.7265625" customWidth="1"/>
    <col min="48" max="48" width="11.54296875" customWidth="1"/>
    <col min="58" max="231" width="9.26953125" style="4"/>
    <col min="232" max="232" width="8.26953125" style="4" customWidth="1"/>
    <col min="233" max="233" width="12.26953125" style="4" bestFit="1" customWidth="1"/>
    <col min="234" max="234" width="23.7265625" style="4" bestFit="1" customWidth="1"/>
    <col min="235" max="235" width="7.54296875" style="4" customWidth="1"/>
    <col min="236" max="236" width="12" style="4" customWidth="1"/>
    <col min="237" max="237" width="9.7265625" style="4" customWidth="1"/>
    <col min="238" max="238" width="23.7265625" style="4" customWidth="1"/>
    <col min="239" max="239" width="50.7265625" style="4" customWidth="1"/>
    <col min="240" max="240" width="11.453125" style="4" customWidth="1"/>
    <col min="241" max="241" width="12.54296875" style="4" customWidth="1"/>
    <col min="242" max="242" width="10.26953125" style="4" customWidth="1"/>
    <col min="243" max="243" width="9" style="4" customWidth="1"/>
    <col min="244" max="244" width="11.54296875" style="4" customWidth="1"/>
    <col min="245" max="245" width="9.453125" style="4" customWidth="1"/>
    <col min="246" max="246" width="10.7265625" style="4" customWidth="1"/>
    <col min="247" max="247" width="8.26953125" style="4" customWidth="1"/>
    <col min="248" max="248" width="9.26953125" style="4" customWidth="1"/>
    <col min="249" max="249" width="11.54296875" style="4" customWidth="1"/>
    <col min="250" max="251" width="9.26953125" style="4" bestFit="1" customWidth="1"/>
    <col min="252" max="252" width="9.7265625" style="4" customWidth="1"/>
    <col min="253" max="253" width="11.54296875" style="4" bestFit="1" customWidth="1"/>
    <col min="254" max="254" width="9.26953125" style="4"/>
    <col min="255" max="257" width="0" style="4" hidden="1" customWidth="1"/>
    <col min="258" max="264" width="9.26953125" style="4"/>
    <col min="265" max="265" width="10.54296875" style="4" bestFit="1" customWidth="1"/>
    <col min="266" max="266" width="9.26953125" style="4"/>
    <col min="267" max="267" width="12.26953125" style="4" bestFit="1" customWidth="1"/>
    <col min="268" max="268" width="9.26953125" style="4"/>
    <col min="269" max="270" width="0" style="4" hidden="1" customWidth="1"/>
    <col min="271" max="271" width="11" style="4" bestFit="1" customWidth="1"/>
    <col min="272" max="272" width="8.26953125" style="4" bestFit="1" customWidth="1"/>
    <col min="273" max="273" width="6.453125" style="4" bestFit="1" customWidth="1"/>
    <col min="274" max="274" width="10" style="4" bestFit="1" customWidth="1"/>
    <col min="275" max="275" width="29.7265625" style="4" bestFit="1" customWidth="1"/>
    <col min="276" max="276" width="17" style="4" bestFit="1" customWidth="1"/>
    <col min="277" max="487" width="9.26953125" style="4"/>
    <col min="488" max="488" width="8.26953125" style="4" customWidth="1"/>
    <col min="489" max="489" width="12.26953125" style="4" bestFit="1" customWidth="1"/>
    <col min="490" max="490" width="23.7265625" style="4" bestFit="1" customWidth="1"/>
    <col min="491" max="491" width="7.54296875" style="4" customWidth="1"/>
    <col min="492" max="492" width="12" style="4" customWidth="1"/>
    <col min="493" max="493" width="9.7265625" style="4" customWidth="1"/>
    <col min="494" max="494" width="23.7265625" style="4" customWidth="1"/>
    <col min="495" max="495" width="50.7265625" style="4" customWidth="1"/>
    <col min="496" max="496" width="11.453125" style="4" customWidth="1"/>
    <col min="497" max="497" width="12.54296875" style="4" customWidth="1"/>
    <col min="498" max="498" width="10.26953125" style="4" customWidth="1"/>
    <col min="499" max="499" width="9" style="4" customWidth="1"/>
    <col min="500" max="500" width="11.54296875" style="4" customWidth="1"/>
    <col min="501" max="501" width="9.453125" style="4" customWidth="1"/>
    <col min="502" max="502" width="10.7265625" style="4" customWidth="1"/>
    <col min="503" max="503" width="8.26953125" style="4" customWidth="1"/>
    <col min="504" max="504" width="9.26953125" style="4" customWidth="1"/>
    <col min="505" max="505" width="11.54296875" style="4" customWidth="1"/>
    <col min="506" max="507" width="9.26953125" style="4" bestFit="1" customWidth="1"/>
    <col min="508" max="508" width="9.7265625" style="4" customWidth="1"/>
    <col min="509" max="509" width="11.54296875" style="4" bestFit="1" customWidth="1"/>
    <col min="510" max="510" width="9.26953125" style="4"/>
    <col min="511" max="513" width="0" style="4" hidden="1" customWidth="1"/>
    <col min="514" max="520" width="9.26953125" style="4"/>
    <col min="521" max="521" width="10.54296875" style="4" bestFit="1" customWidth="1"/>
    <col min="522" max="522" width="9.26953125" style="4"/>
    <col min="523" max="523" width="12.26953125" style="4" bestFit="1" customWidth="1"/>
    <col min="524" max="524" width="9.26953125" style="4"/>
    <col min="525" max="526" width="0" style="4" hidden="1" customWidth="1"/>
    <col min="527" max="527" width="11" style="4" bestFit="1" customWidth="1"/>
    <col min="528" max="528" width="8.26953125" style="4" bestFit="1" customWidth="1"/>
    <col min="529" max="529" width="6.453125" style="4" bestFit="1" customWidth="1"/>
    <col min="530" max="530" width="10" style="4" bestFit="1" customWidth="1"/>
    <col min="531" max="531" width="29.7265625" style="4" bestFit="1" customWidth="1"/>
    <col min="532" max="532" width="17" style="4" bestFit="1" customWidth="1"/>
    <col min="533" max="743" width="9.26953125" style="4"/>
    <col min="744" max="744" width="8.26953125" style="4" customWidth="1"/>
    <col min="745" max="745" width="12.26953125" style="4" bestFit="1" customWidth="1"/>
    <col min="746" max="746" width="23.7265625" style="4" bestFit="1" customWidth="1"/>
    <col min="747" max="747" width="7.54296875" style="4" customWidth="1"/>
    <col min="748" max="748" width="12" style="4" customWidth="1"/>
    <col min="749" max="749" width="9.7265625" style="4" customWidth="1"/>
    <col min="750" max="750" width="23.7265625" style="4" customWidth="1"/>
    <col min="751" max="751" width="50.7265625" style="4" customWidth="1"/>
    <col min="752" max="752" width="11.453125" style="4" customWidth="1"/>
    <col min="753" max="753" width="12.54296875" style="4" customWidth="1"/>
    <col min="754" max="754" width="10.26953125" style="4" customWidth="1"/>
    <col min="755" max="755" width="9" style="4" customWidth="1"/>
    <col min="756" max="756" width="11.54296875" style="4" customWidth="1"/>
    <col min="757" max="757" width="9.453125" style="4" customWidth="1"/>
    <col min="758" max="758" width="10.7265625" style="4" customWidth="1"/>
    <col min="759" max="759" width="8.26953125" style="4" customWidth="1"/>
    <col min="760" max="760" width="9.26953125" style="4" customWidth="1"/>
    <col min="761" max="761" width="11.54296875" style="4" customWidth="1"/>
    <col min="762" max="763" width="9.26953125" style="4" bestFit="1" customWidth="1"/>
    <col min="764" max="764" width="9.7265625" style="4" customWidth="1"/>
    <col min="765" max="765" width="11.54296875" style="4" bestFit="1" customWidth="1"/>
    <col min="766" max="766" width="9.26953125" style="4"/>
    <col min="767" max="769" width="0" style="4" hidden="1" customWidth="1"/>
    <col min="770" max="776" width="9.26953125" style="4"/>
    <col min="777" max="777" width="10.54296875" style="4" bestFit="1" customWidth="1"/>
    <col min="778" max="778" width="9.26953125" style="4"/>
    <col min="779" max="779" width="12.26953125" style="4" bestFit="1" customWidth="1"/>
    <col min="780" max="780" width="9.26953125" style="4"/>
    <col min="781" max="782" width="0" style="4" hidden="1" customWidth="1"/>
    <col min="783" max="783" width="11" style="4" bestFit="1" customWidth="1"/>
    <col min="784" max="784" width="8.26953125" style="4" bestFit="1" customWidth="1"/>
    <col min="785" max="785" width="6.453125" style="4" bestFit="1" customWidth="1"/>
    <col min="786" max="786" width="10" style="4" bestFit="1" customWidth="1"/>
    <col min="787" max="787" width="29.7265625" style="4" bestFit="1" customWidth="1"/>
    <col min="788" max="788" width="17" style="4" bestFit="1" customWidth="1"/>
    <col min="789" max="999" width="9.26953125" style="4"/>
    <col min="1000" max="1000" width="8.26953125" style="4" customWidth="1"/>
    <col min="1001" max="1001" width="12.26953125" style="4" bestFit="1" customWidth="1"/>
    <col min="1002" max="1002" width="23.7265625" style="4" bestFit="1" customWidth="1"/>
    <col min="1003" max="1003" width="7.54296875" style="4" customWidth="1"/>
    <col min="1004" max="1004" width="12" style="4" customWidth="1"/>
    <col min="1005" max="1005" width="9.7265625" style="4" customWidth="1"/>
    <col min="1006" max="1006" width="23.7265625" style="4" customWidth="1"/>
    <col min="1007" max="1007" width="50.7265625" style="4" customWidth="1"/>
    <col min="1008" max="1008" width="11.453125" style="4" customWidth="1"/>
    <col min="1009" max="1009" width="12.54296875" style="4" customWidth="1"/>
    <col min="1010" max="1010" width="10.26953125" style="4" customWidth="1"/>
    <col min="1011" max="1011" width="9" style="4" customWidth="1"/>
    <col min="1012" max="1012" width="11.54296875" style="4" customWidth="1"/>
    <col min="1013" max="1013" width="9.453125" style="4" customWidth="1"/>
    <col min="1014" max="1014" width="10.7265625" style="4" customWidth="1"/>
    <col min="1015" max="1015" width="8.26953125" style="4" customWidth="1"/>
    <col min="1016" max="1016" width="9.26953125" style="4" customWidth="1"/>
    <col min="1017" max="1017" width="11.54296875" style="4" customWidth="1"/>
    <col min="1018" max="1019" width="9.26953125" style="4" bestFit="1" customWidth="1"/>
    <col min="1020" max="1020" width="9.7265625" style="4" customWidth="1"/>
    <col min="1021" max="1021" width="11.54296875" style="4" bestFit="1" customWidth="1"/>
    <col min="1022" max="1022" width="9.26953125" style="4"/>
    <col min="1023" max="1025" width="0" style="4" hidden="1" customWidth="1"/>
    <col min="1026" max="1032" width="9.26953125" style="4"/>
    <col min="1033" max="1033" width="10.54296875" style="4" bestFit="1" customWidth="1"/>
    <col min="1034" max="1034" width="9.26953125" style="4"/>
    <col min="1035" max="1035" width="12.26953125" style="4" bestFit="1" customWidth="1"/>
    <col min="1036" max="1036" width="9.26953125" style="4"/>
    <col min="1037" max="1038" width="0" style="4" hidden="1" customWidth="1"/>
    <col min="1039" max="1039" width="11" style="4" bestFit="1" customWidth="1"/>
    <col min="1040" max="1040" width="8.26953125" style="4" bestFit="1" customWidth="1"/>
    <col min="1041" max="1041" width="6.453125" style="4" bestFit="1" customWidth="1"/>
    <col min="1042" max="1042" width="10" style="4" bestFit="1" customWidth="1"/>
    <col min="1043" max="1043" width="29.7265625" style="4" bestFit="1" customWidth="1"/>
    <col min="1044" max="1044" width="17" style="4" bestFit="1" customWidth="1"/>
    <col min="1045" max="1255" width="9.26953125" style="4"/>
    <col min="1256" max="1256" width="8.26953125" style="4" customWidth="1"/>
    <col min="1257" max="1257" width="12.26953125" style="4" bestFit="1" customWidth="1"/>
    <col min="1258" max="1258" width="23.7265625" style="4" bestFit="1" customWidth="1"/>
    <col min="1259" max="1259" width="7.54296875" style="4" customWidth="1"/>
    <col min="1260" max="1260" width="12" style="4" customWidth="1"/>
    <col min="1261" max="1261" width="9.7265625" style="4" customWidth="1"/>
    <col min="1262" max="1262" width="23.7265625" style="4" customWidth="1"/>
    <col min="1263" max="1263" width="50.7265625" style="4" customWidth="1"/>
    <col min="1264" max="1264" width="11.453125" style="4" customWidth="1"/>
    <col min="1265" max="1265" width="12.54296875" style="4" customWidth="1"/>
    <col min="1266" max="1266" width="10.26953125" style="4" customWidth="1"/>
    <col min="1267" max="1267" width="9" style="4" customWidth="1"/>
    <col min="1268" max="1268" width="11.54296875" style="4" customWidth="1"/>
    <col min="1269" max="1269" width="9.453125" style="4" customWidth="1"/>
    <col min="1270" max="1270" width="10.7265625" style="4" customWidth="1"/>
    <col min="1271" max="1271" width="8.26953125" style="4" customWidth="1"/>
    <col min="1272" max="1272" width="9.26953125" style="4" customWidth="1"/>
    <col min="1273" max="1273" width="11.54296875" style="4" customWidth="1"/>
    <col min="1274" max="1275" width="9.26953125" style="4" bestFit="1" customWidth="1"/>
    <col min="1276" max="1276" width="9.7265625" style="4" customWidth="1"/>
    <col min="1277" max="1277" width="11.54296875" style="4" bestFit="1" customWidth="1"/>
    <col min="1278" max="1278" width="9.26953125" style="4"/>
    <col min="1279" max="1281" width="0" style="4" hidden="1" customWidth="1"/>
    <col min="1282" max="1288" width="9.26953125" style="4"/>
    <col min="1289" max="1289" width="10.54296875" style="4" bestFit="1" customWidth="1"/>
    <col min="1290" max="1290" width="9.26953125" style="4"/>
    <col min="1291" max="1291" width="12.26953125" style="4" bestFit="1" customWidth="1"/>
    <col min="1292" max="1292" width="9.26953125" style="4"/>
    <col min="1293" max="1294" width="0" style="4" hidden="1" customWidth="1"/>
    <col min="1295" max="1295" width="11" style="4" bestFit="1" customWidth="1"/>
    <col min="1296" max="1296" width="8.26953125" style="4" bestFit="1" customWidth="1"/>
    <col min="1297" max="1297" width="6.453125" style="4" bestFit="1" customWidth="1"/>
    <col min="1298" max="1298" width="10" style="4" bestFit="1" customWidth="1"/>
    <col min="1299" max="1299" width="29.7265625" style="4" bestFit="1" customWidth="1"/>
    <col min="1300" max="1300" width="17" style="4" bestFit="1" customWidth="1"/>
    <col min="1301" max="1511" width="9.26953125" style="4"/>
    <col min="1512" max="1512" width="8.26953125" style="4" customWidth="1"/>
    <col min="1513" max="1513" width="12.26953125" style="4" bestFit="1" customWidth="1"/>
    <col min="1514" max="1514" width="23.7265625" style="4" bestFit="1" customWidth="1"/>
    <col min="1515" max="1515" width="7.54296875" style="4" customWidth="1"/>
    <col min="1516" max="1516" width="12" style="4" customWidth="1"/>
    <col min="1517" max="1517" width="9.7265625" style="4" customWidth="1"/>
    <col min="1518" max="1518" width="23.7265625" style="4" customWidth="1"/>
    <col min="1519" max="1519" width="50.7265625" style="4" customWidth="1"/>
    <col min="1520" max="1520" width="11.453125" style="4" customWidth="1"/>
    <col min="1521" max="1521" width="12.54296875" style="4" customWidth="1"/>
    <col min="1522" max="1522" width="10.26953125" style="4" customWidth="1"/>
    <col min="1523" max="1523" width="9" style="4" customWidth="1"/>
    <col min="1524" max="1524" width="11.54296875" style="4" customWidth="1"/>
    <col min="1525" max="1525" width="9.453125" style="4" customWidth="1"/>
    <col min="1526" max="1526" width="10.7265625" style="4" customWidth="1"/>
    <col min="1527" max="1527" width="8.26953125" style="4" customWidth="1"/>
    <col min="1528" max="1528" width="9.26953125" style="4" customWidth="1"/>
    <col min="1529" max="1529" width="11.54296875" style="4" customWidth="1"/>
    <col min="1530" max="1531" width="9.26953125" style="4" bestFit="1" customWidth="1"/>
    <col min="1532" max="1532" width="9.7265625" style="4" customWidth="1"/>
    <col min="1533" max="1533" width="11.54296875" style="4" bestFit="1" customWidth="1"/>
    <col min="1534" max="1534" width="9.26953125" style="4"/>
    <col min="1535" max="1537" width="0" style="4" hidden="1" customWidth="1"/>
    <col min="1538" max="1544" width="9.26953125" style="4"/>
    <col min="1545" max="1545" width="10.54296875" style="4" bestFit="1" customWidth="1"/>
    <col min="1546" max="1546" width="9.26953125" style="4"/>
    <col min="1547" max="1547" width="12.26953125" style="4" bestFit="1" customWidth="1"/>
    <col min="1548" max="1548" width="9.26953125" style="4"/>
    <col min="1549" max="1550" width="0" style="4" hidden="1" customWidth="1"/>
    <col min="1551" max="1551" width="11" style="4" bestFit="1" customWidth="1"/>
    <col min="1552" max="1552" width="8.26953125" style="4" bestFit="1" customWidth="1"/>
    <col min="1553" max="1553" width="6.453125" style="4" bestFit="1" customWidth="1"/>
    <col min="1554" max="1554" width="10" style="4" bestFit="1" customWidth="1"/>
    <col min="1555" max="1555" width="29.7265625" style="4" bestFit="1" customWidth="1"/>
    <col min="1556" max="1556" width="17" style="4" bestFit="1" customWidth="1"/>
    <col min="1557" max="1767" width="9.26953125" style="4"/>
    <col min="1768" max="1768" width="8.26953125" style="4" customWidth="1"/>
    <col min="1769" max="1769" width="12.26953125" style="4" bestFit="1" customWidth="1"/>
    <col min="1770" max="1770" width="23.7265625" style="4" bestFit="1" customWidth="1"/>
    <col min="1771" max="1771" width="7.54296875" style="4" customWidth="1"/>
    <col min="1772" max="1772" width="12" style="4" customWidth="1"/>
    <col min="1773" max="1773" width="9.7265625" style="4" customWidth="1"/>
    <col min="1774" max="1774" width="23.7265625" style="4" customWidth="1"/>
    <col min="1775" max="1775" width="50.7265625" style="4" customWidth="1"/>
    <col min="1776" max="1776" width="11.453125" style="4" customWidth="1"/>
    <col min="1777" max="1777" width="12.54296875" style="4" customWidth="1"/>
    <col min="1778" max="1778" width="10.26953125" style="4" customWidth="1"/>
    <col min="1779" max="1779" width="9" style="4" customWidth="1"/>
    <col min="1780" max="1780" width="11.54296875" style="4" customWidth="1"/>
    <col min="1781" max="1781" width="9.453125" style="4" customWidth="1"/>
    <col min="1782" max="1782" width="10.7265625" style="4" customWidth="1"/>
    <col min="1783" max="1783" width="8.26953125" style="4" customWidth="1"/>
    <col min="1784" max="1784" width="9.26953125" style="4" customWidth="1"/>
    <col min="1785" max="1785" width="11.54296875" style="4" customWidth="1"/>
    <col min="1786" max="1787" width="9.26953125" style="4" bestFit="1" customWidth="1"/>
    <col min="1788" max="1788" width="9.7265625" style="4" customWidth="1"/>
    <col min="1789" max="1789" width="11.54296875" style="4" bestFit="1" customWidth="1"/>
    <col min="1790" max="1790" width="9.26953125" style="4"/>
    <col min="1791" max="1793" width="0" style="4" hidden="1" customWidth="1"/>
    <col min="1794" max="1800" width="9.26953125" style="4"/>
    <col min="1801" max="1801" width="10.54296875" style="4" bestFit="1" customWidth="1"/>
    <col min="1802" max="1802" width="9.26953125" style="4"/>
    <col min="1803" max="1803" width="12.26953125" style="4" bestFit="1" customWidth="1"/>
    <col min="1804" max="1804" width="9.26953125" style="4"/>
    <col min="1805" max="1806" width="0" style="4" hidden="1" customWidth="1"/>
    <col min="1807" max="1807" width="11" style="4" bestFit="1" customWidth="1"/>
    <col min="1808" max="1808" width="8.26953125" style="4" bestFit="1" customWidth="1"/>
    <col min="1809" max="1809" width="6.453125" style="4" bestFit="1" customWidth="1"/>
    <col min="1810" max="1810" width="10" style="4" bestFit="1" customWidth="1"/>
    <col min="1811" max="1811" width="29.7265625" style="4" bestFit="1" customWidth="1"/>
    <col min="1812" max="1812" width="17" style="4" bestFit="1" customWidth="1"/>
    <col min="1813" max="2023" width="9.26953125" style="4"/>
    <col min="2024" max="2024" width="8.26953125" style="4" customWidth="1"/>
    <col min="2025" max="2025" width="12.26953125" style="4" bestFit="1" customWidth="1"/>
    <col min="2026" max="2026" width="23.7265625" style="4" bestFit="1" customWidth="1"/>
    <col min="2027" max="2027" width="7.54296875" style="4" customWidth="1"/>
    <col min="2028" max="2028" width="12" style="4" customWidth="1"/>
    <col min="2029" max="2029" width="9.7265625" style="4" customWidth="1"/>
    <col min="2030" max="2030" width="23.7265625" style="4" customWidth="1"/>
    <col min="2031" max="2031" width="50.7265625" style="4" customWidth="1"/>
    <col min="2032" max="2032" width="11.453125" style="4" customWidth="1"/>
    <col min="2033" max="2033" width="12.54296875" style="4" customWidth="1"/>
    <col min="2034" max="2034" width="10.26953125" style="4" customWidth="1"/>
    <col min="2035" max="2035" width="9" style="4" customWidth="1"/>
    <col min="2036" max="2036" width="11.54296875" style="4" customWidth="1"/>
    <col min="2037" max="2037" width="9.453125" style="4" customWidth="1"/>
    <col min="2038" max="2038" width="10.7265625" style="4" customWidth="1"/>
    <col min="2039" max="2039" width="8.26953125" style="4" customWidth="1"/>
    <col min="2040" max="2040" width="9.26953125" style="4" customWidth="1"/>
    <col min="2041" max="2041" width="11.54296875" style="4" customWidth="1"/>
    <col min="2042" max="2043" width="9.26953125" style="4" bestFit="1" customWidth="1"/>
    <col min="2044" max="2044" width="9.7265625" style="4" customWidth="1"/>
    <col min="2045" max="2045" width="11.54296875" style="4" bestFit="1" customWidth="1"/>
    <col min="2046" max="2046" width="9.26953125" style="4"/>
    <col min="2047" max="2049" width="0" style="4" hidden="1" customWidth="1"/>
    <col min="2050" max="2056" width="9.26953125" style="4"/>
    <col min="2057" max="2057" width="10.54296875" style="4" bestFit="1" customWidth="1"/>
    <col min="2058" max="2058" width="9.26953125" style="4"/>
    <col min="2059" max="2059" width="12.26953125" style="4" bestFit="1" customWidth="1"/>
    <col min="2060" max="2060" width="9.26953125" style="4"/>
    <col min="2061" max="2062" width="0" style="4" hidden="1" customWidth="1"/>
    <col min="2063" max="2063" width="11" style="4" bestFit="1" customWidth="1"/>
    <col min="2064" max="2064" width="8.26953125" style="4" bestFit="1" customWidth="1"/>
    <col min="2065" max="2065" width="6.453125" style="4" bestFit="1" customWidth="1"/>
    <col min="2066" max="2066" width="10" style="4" bestFit="1" customWidth="1"/>
    <col min="2067" max="2067" width="29.7265625" style="4" bestFit="1" customWidth="1"/>
    <col min="2068" max="2068" width="17" style="4" bestFit="1" customWidth="1"/>
    <col min="2069" max="2279" width="9.26953125" style="4"/>
    <col min="2280" max="2280" width="8.26953125" style="4" customWidth="1"/>
    <col min="2281" max="2281" width="12.26953125" style="4" bestFit="1" customWidth="1"/>
    <col min="2282" max="2282" width="23.7265625" style="4" bestFit="1" customWidth="1"/>
    <col min="2283" max="2283" width="7.54296875" style="4" customWidth="1"/>
    <col min="2284" max="2284" width="12" style="4" customWidth="1"/>
    <col min="2285" max="2285" width="9.7265625" style="4" customWidth="1"/>
    <col min="2286" max="2286" width="23.7265625" style="4" customWidth="1"/>
    <col min="2287" max="2287" width="50.7265625" style="4" customWidth="1"/>
    <col min="2288" max="2288" width="11.453125" style="4" customWidth="1"/>
    <col min="2289" max="2289" width="12.54296875" style="4" customWidth="1"/>
    <col min="2290" max="2290" width="10.26953125" style="4" customWidth="1"/>
    <col min="2291" max="2291" width="9" style="4" customWidth="1"/>
    <col min="2292" max="2292" width="11.54296875" style="4" customWidth="1"/>
    <col min="2293" max="2293" width="9.453125" style="4" customWidth="1"/>
    <col min="2294" max="2294" width="10.7265625" style="4" customWidth="1"/>
    <col min="2295" max="2295" width="8.26953125" style="4" customWidth="1"/>
    <col min="2296" max="2296" width="9.26953125" style="4" customWidth="1"/>
    <col min="2297" max="2297" width="11.54296875" style="4" customWidth="1"/>
    <col min="2298" max="2299" width="9.26953125" style="4" bestFit="1" customWidth="1"/>
    <col min="2300" max="2300" width="9.7265625" style="4" customWidth="1"/>
    <col min="2301" max="2301" width="11.54296875" style="4" bestFit="1" customWidth="1"/>
    <col min="2302" max="2302" width="9.26953125" style="4"/>
    <col min="2303" max="2305" width="0" style="4" hidden="1" customWidth="1"/>
    <col min="2306" max="2312" width="9.26953125" style="4"/>
    <col min="2313" max="2313" width="10.54296875" style="4" bestFit="1" customWidth="1"/>
    <col min="2314" max="2314" width="9.26953125" style="4"/>
    <col min="2315" max="2315" width="12.26953125" style="4" bestFit="1" customWidth="1"/>
    <col min="2316" max="2316" width="9.26953125" style="4"/>
    <col min="2317" max="2318" width="0" style="4" hidden="1" customWidth="1"/>
    <col min="2319" max="2319" width="11" style="4" bestFit="1" customWidth="1"/>
    <col min="2320" max="2320" width="8.26953125" style="4" bestFit="1" customWidth="1"/>
    <col min="2321" max="2321" width="6.453125" style="4" bestFit="1" customWidth="1"/>
    <col min="2322" max="2322" width="10" style="4" bestFit="1" customWidth="1"/>
    <col min="2323" max="2323" width="29.7265625" style="4" bestFit="1" customWidth="1"/>
    <col min="2324" max="2324" width="17" style="4" bestFit="1" customWidth="1"/>
    <col min="2325" max="2535" width="9.26953125" style="4"/>
    <col min="2536" max="2536" width="8.26953125" style="4" customWidth="1"/>
    <col min="2537" max="2537" width="12.26953125" style="4" bestFit="1" customWidth="1"/>
    <col min="2538" max="2538" width="23.7265625" style="4" bestFit="1" customWidth="1"/>
    <col min="2539" max="2539" width="7.54296875" style="4" customWidth="1"/>
    <col min="2540" max="2540" width="12" style="4" customWidth="1"/>
    <col min="2541" max="2541" width="9.7265625" style="4" customWidth="1"/>
    <col min="2542" max="2542" width="23.7265625" style="4" customWidth="1"/>
    <col min="2543" max="2543" width="50.7265625" style="4" customWidth="1"/>
    <col min="2544" max="2544" width="11.453125" style="4" customWidth="1"/>
    <col min="2545" max="2545" width="12.54296875" style="4" customWidth="1"/>
    <col min="2546" max="2546" width="10.26953125" style="4" customWidth="1"/>
    <col min="2547" max="2547" width="9" style="4" customWidth="1"/>
    <col min="2548" max="2548" width="11.54296875" style="4" customWidth="1"/>
    <col min="2549" max="2549" width="9.453125" style="4" customWidth="1"/>
    <col min="2550" max="2550" width="10.7265625" style="4" customWidth="1"/>
    <col min="2551" max="2551" width="8.26953125" style="4" customWidth="1"/>
    <col min="2552" max="2552" width="9.26953125" style="4" customWidth="1"/>
    <col min="2553" max="2553" width="11.54296875" style="4" customWidth="1"/>
    <col min="2554" max="2555" width="9.26953125" style="4" bestFit="1" customWidth="1"/>
    <col min="2556" max="2556" width="9.7265625" style="4" customWidth="1"/>
    <col min="2557" max="2557" width="11.54296875" style="4" bestFit="1" customWidth="1"/>
    <col min="2558" max="2558" width="9.26953125" style="4"/>
    <col min="2559" max="2561" width="0" style="4" hidden="1" customWidth="1"/>
    <col min="2562" max="2568" width="9.26953125" style="4"/>
    <col min="2569" max="2569" width="10.54296875" style="4" bestFit="1" customWidth="1"/>
    <col min="2570" max="2570" width="9.26953125" style="4"/>
    <col min="2571" max="2571" width="12.26953125" style="4" bestFit="1" customWidth="1"/>
    <col min="2572" max="2572" width="9.26953125" style="4"/>
    <col min="2573" max="2574" width="0" style="4" hidden="1" customWidth="1"/>
    <col min="2575" max="2575" width="11" style="4" bestFit="1" customWidth="1"/>
    <col min="2576" max="2576" width="8.26953125" style="4" bestFit="1" customWidth="1"/>
    <col min="2577" max="2577" width="6.453125" style="4" bestFit="1" customWidth="1"/>
    <col min="2578" max="2578" width="10" style="4" bestFit="1" customWidth="1"/>
    <col min="2579" max="2579" width="29.7265625" style="4" bestFit="1" customWidth="1"/>
    <col min="2580" max="2580" width="17" style="4" bestFit="1" customWidth="1"/>
    <col min="2581" max="2791" width="9.26953125" style="4"/>
    <col min="2792" max="2792" width="8.26953125" style="4" customWidth="1"/>
    <col min="2793" max="2793" width="12.26953125" style="4" bestFit="1" customWidth="1"/>
    <col min="2794" max="2794" width="23.7265625" style="4" bestFit="1" customWidth="1"/>
    <col min="2795" max="2795" width="7.54296875" style="4" customWidth="1"/>
    <col min="2796" max="2796" width="12" style="4" customWidth="1"/>
    <col min="2797" max="2797" width="9.7265625" style="4" customWidth="1"/>
    <col min="2798" max="2798" width="23.7265625" style="4" customWidth="1"/>
    <col min="2799" max="2799" width="50.7265625" style="4" customWidth="1"/>
    <col min="2800" max="2800" width="11.453125" style="4" customWidth="1"/>
    <col min="2801" max="2801" width="12.54296875" style="4" customWidth="1"/>
    <col min="2802" max="2802" width="10.26953125" style="4" customWidth="1"/>
    <col min="2803" max="2803" width="9" style="4" customWidth="1"/>
    <col min="2804" max="2804" width="11.54296875" style="4" customWidth="1"/>
    <col min="2805" max="2805" width="9.453125" style="4" customWidth="1"/>
    <col min="2806" max="2806" width="10.7265625" style="4" customWidth="1"/>
    <col min="2807" max="2807" width="8.26953125" style="4" customWidth="1"/>
    <col min="2808" max="2808" width="9.26953125" style="4" customWidth="1"/>
    <col min="2809" max="2809" width="11.54296875" style="4" customWidth="1"/>
    <col min="2810" max="2811" width="9.26953125" style="4" bestFit="1" customWidth="1"/>
    <col min="2812" max="2812" width="9.7265625" style="4" customWidth="1"/>
    <col min="2813" max="2813" width="11.54296875" style="4" bestFit="1" customWidth="1"/>
    <col min="2814" max="2814" width="9.26953125" style="4"/>
    <col min="2815" max="2817" width="0" style="4" hidden="1" customWidth="1"/>
    <col min="2818" max="2824" width="9.26953125" style="4"/>
    <col min="2825" max="2825" width="10.54296875" style="4" bestFit="1" customWidth="1"/>
    <col min="2826" max="2826" width="9.26953125" style="4"/>
    <col min="2827" max="2827" width="12.26953125" style="4" bestFit="1" customWidth="1"/>
    <col min="2828" max="2828" width="9.26953125" style="4"/>
    <col min="2829" max="2830" width="0" style="4" hidden="1" customWidth="1"/>
    <col min="2831" max="2831" width="11" style="4" bestFit="1" customWidth="1"/>
    <col min="2832" max="2832" width="8.26953125" style="4" bestFit="1" customWidth="1"/>
    <col min="2833" max="2833" width="6.453125" style="4" bestFit="1" customWidth="1"/>
    <col min="2834" max="2834" width="10" style="4" bestFit="1" customWidth="1"/>
    <col min="2835" max="2835" width="29.7265625" style="4" bestFit="1" customWidth="1"/>
    <col min="2836" max="2836" width="17" style="4" bestFit="1" customWidth="1"/>
    <col min="2837" max="3047" width="9.26953125" style="4"/>
    <col min="3048" max="3048" width="8.26953125" style="4" customWidth="1"/>
    <col min="3049" max="3049" width="12.26953125" style="4" bestFit="1" customWidth="1"/>
    <col min="3050" max="3050" width="23.7265625" style="4" bestFit="1" customWidth="1"/>
    <col min="3051" max="3051" width="7.54296875" style="4" customWidth="1"/>
    <col min="3052" max="3052" width="12" style="4" customWidth="1"/>
    <col min="3053" max="3053" width="9.7265625" style="4" customWidth="1"/>
    <col min="3054" max="3054" width="23.7265625" style="4" customWidth="1"/>
    <col min="3055" max="3055" width="50.7265625" style="4" customWidth="1"/>
    <col min="3056" max="3056" width="11.453125" style="4" customWidth="1"/>
    <col min="3057" max="3057" width="12.54296875" style="4" customWidth="1"/>
    <col min="3058" max="3058" width="10.26953125" style="4" customWidth="1"/>
    <col min="3059" max="3059" width="9" style="4" customWidth="1"/>
    <col min="3060" max="3060" width="11.54296875" style="4" customWidth="1"/>
    <col min="3061" max="3061" width="9.453125" style="4" customWidth="1"/>
    <col min="3062" max="3062" width="10.7265625" style="4" customWidth="1"/>
    <col min="3063" max="3063" width="8.26953125" style="4" customWidth="1"/>
    <col min="3064" max="3064" width="9.26953125" style="4" customWidth="1"/>
    <col min="3065" max="3065" width="11.54296875" style="4" customWidth="1"/>
    <col min="3066" max="3067" width="9.26953125" style="4" bestFit="1" customWidth="1"/>
    <col min="3068" max="3068" width="9.7265625" style="4" customWidth="1"/>
    <col min="3069" max="3069" width="11.54296875" style="4" bestFit="1" customWidth="1"/>
    <col min="3070" max="3070" width="9.26953125" style="4"/>
    <col min="3071" max="3073" width="0" style="4" hidden="1" customWidth="1"/>
    <col min="3074" max="3080" width="9.26953125" style="4"/>
    <col min="3081" max="3081" width="10.54296875" style="4" bestFit="1" customWidth="1"/>
    <col min="3082" max="3082" width="9.26953125" style="4"/>
    <col min="3083" max="3083" width="12.26953125" style="4" bestFit="1" customWidth="1"/>
    <col min="3084" max="3084" width="9.26953125" style="4"/>
    <col min="3085" max="3086" width="0" style="4" hidden="1" customWidth="1"/>
    <col min="3087" max="3087" width="11" style="4" bestFit="1" customWidth="1"/>
    <col min="3088" max="3088" width="8.26953125" style="4" bestFit="1" customWidth="1"/>
    <col min="3089" max="3089" width="6.453125" style="4" bestFit="1" customWidth="1"/>
    <col min="3090" max="3090" width="10" style="4" bestFit="1" customWidth="1"/>
    <col min="3091" max="3091" width="29.7265625" style="4" bestFit="1" customWidth="1"/>
    <col min="3092" max="3092" width="17" style="4" bestFit="1" customWidth="1"/>
    <col min="3093" max="3303" width="9.26953125" style="4"/>
    <col min="3304" max="3304" width="8.26953125" style="4" customWidth="1"/>
    <col min="3305" max="3305" width="12.26953125" style="4" bestFit="1" customWidth="1"/>
    <col min="3306" max="3306" width="23.7265625" style="4" bestFit="1" customWidth="1"/>
    <col min="3307" max="3307" width="7.54296875" style="4" customWidth="1"/>
    <col min="3308" max="3308" width="12" style="4" customWidth="1"/>
    <col min="3309" max="3309" width="9.7265625" style="4" customWidth="1"/>
    <col min="3310" max="3310" width="23.7265625" style="4" customWidth="1"/>
    <col min="3311" max="3311" width="50.7265625" style="4" customWidth="1"/>
    <col min="3312" max="3312" width="11.453125" style="4" customWidth="1"/>
    <col min="3313" max="3313" width="12.54296875" style="4" customWidth="1"/>
    <col min="3314" max="3314" width="10.26953125" style="4" customWidth="1"/>
    <col min="3315" max="3315" width="9" style="4" customWidth="1"/>
    <col min="3316" max="3316" width="11.54296875" style="4" customWidth="1"/>
    <col min="3317" max="3317" width="9.453125" style="4" customWidth="1"/>
    <col min="3318" max="3318" width="10.7265625" style="4" customWidth="1"/>
    <col min="3319" max="3319" width="8.26953125" style="4" customWidth="1"/>
    <col min="3320" max="3320" width="9.26953125" style="4" customWidth="1"/>
    <col min="3321" max="3321" width="11.54296875" style="4" customWidth="1"/>
    <col min="3322" max="3323" width="9.26953125" style="4" bestFit="1" customWidth="1"/>
    <col min="3324" max="3324" width="9.7265625" style="4" customWidth="1"/>
    <col min="3325" max="3325" width="11.54296875" style="4" bestFit="1" customWidth="1"/>
    <col min="3326" max="3326" width="9.26953125" style="4"/>
    <col min="3327" max="3329" width="0" style="4" hidden="1" customWidth="1"/>
    <col min="3330" max="3336" width="9.26953125" style="4"/>
    <col min="3337" max="3337" width="10.54296875" style="4" bestFit="1" customWidth="1"/>
    <col min="3338" max="3338" width="9.26953125" style="4"/>
    <col min="3339" max="3339" width="12.26953125" style="4" bestFit="1" customWidth="1"/>
    <col min="3340" max="3340" width="9.26953125" style="4"/>
    <col min="3341" max="3342" width="0" style="4" hidden="1" customWidth="1"/>
    <col min="3343" max="3343" width="11" style="4" bestFit="1" customWidth="1"/>
    <col min="3344" max="3344" width="8.26953125" style="4" bestFit="1" customWidth="1"/>
    <col min="3345" max="3345" width="6.453125" style="4" bestFit="1" customWidth="1"/>
    <col min="3346" max="3346" width="10" style="4" bestFit="1" customWidth="1"/>
    <col min="3347" max="3347" width="29.7265625" style="4" bestFit="1" customWidth="1"/>
    <col min="3348" max="3348" width="17" style="4" bestFit="1" customWidth="1"/>
    <col min="3349" max="3559" width="9.26953125" style="4"/>
    <col min="3560" max="3560" width="8.26953125" style="4" customWidth="1"/>
    <col min="3561" max="3561" width="12.26953125" style="4" bestFit="1" customWidth="1"/>
    <col min="3562" max="3562" width="23.7265625" style="4" bestFit="1" customWidth="1"/>
    <col min="3563" max="3563" width="7.54296875" style="4" customWidth="1"/>
    <col min="3564" max="3564" width="12" style="4" customWidth="1"/>
    <col min="3565" max="3565" width="9.7265625" style="4" customWidth="1"/>
    <col min="3566" max="3566" width="23.7265625" style="4" customWidth="1"/>
    <col min="3567" max="3567" width="50.7265625" style="4" customWidth="1"/>
    <col min="3568" max="3568" width="11.453125" style="4" customWidth="1"/>
    <col min="3569" max="3569" width="12.54296875" style="4" customWidth="1"/>
    <col min="3570" max="3570" width="10.26953125" style="4" customWidth="1"/>
    <col min="3571" max="3571" width="9" style="4" customWidth="1"/>
    <col min="3572" max="3572" width="11.54296875" style="4" customWidth="1"/>
    <col min="3573" max="3573" width="9.453125" style="4" customWidth="1"/>
    <col min="3574" max="3574" width="10.7265625" style="4" customWidth="1"/>
    <col min="3575" max="3575" width="8.26953125" style="4" customWidth="1"/>
    <col min="3576" max="3576" width="9.26953125" style="4" customWidth="1"/>
    <col min="3577" max="3577" width="11.54296875" style="4" customWidth="1"/>
    <col min="3578" max="3579" width="9.26953125" style="4" bestFit="1" customWidth="1"/>
    <col min="3580" max="3580" width="9.7265625" style="4" customWidth="1"/>
    <col min="3581" max="3581" width="11.54296875" style="4" bestFit="1" customWidth="1"/>
    <col min="3582" max="3582" width="9.26953125" style="4"/>
    <col min="3583" max="3585" width="0" style="4" hidden="1" customWidth="1"/>
    <col min="3586" max="3592" width="9.26953125" style="4"/>
    <col min="3593" max="3593" width="10.54296875" style="4" bestFit="1" customWidth="1"/>
    <col min="3594" max="3594" width="9.26953125" style="4"/>
    <col min="3595" max="3595" width="12.26953125" style="4" bestFit="1" customWidth="1"/>
    <col min="3596" max="3596" width="9.26953125" style="4"/>
    <col min="3597" max="3598" width="0" style="4" hidden="1" customWidth="1"/>
    <col min="3599" max="3599" width="11" style="4" bestFit="1" customWidth="1"/>
    <col min="3600" max="3600" width="8.26953125" style="4" bestFit="1" customWidth="1"/>
    <col min="3601" max="3601" width="6.453125" style="4" bestFit="1" customWidth="1"/>
    <col min="3602" max="3602" width="10" style="4" bestFit="1" customWidth="1"/>
    <col min="3603" max="3603" width="29.7265625" style="4" bestFit="1" customWidth="1"/>
    <col min="3604" max="3604" width="17" style="4" bestFit="1" customWidth="1"/>
    <col min="3605" max="3815" width="9.26953125" style="4"/>
    <col min="3816" max="3816" width="8.26953125" style="4" customWidth="1"/>
    <col min="3817" max="3817" width="12.26953125" style="4" bestFit="1" customWidth="1"/>
    <col min="3818" max="3818" width="23.7265625" style="4" bestFit="1" customWidth="1"/>
    <col min="3819" max="3819" width="7.54296875" style="4" customWidth="1"/>
    <col min="3820" max="3820" width="12" style="4" customWidth="1"/>
    <col min="3821" max="3821" width="9.7265625" style="4" customWidth="1"/>
    <col min="3822" max="3822" width="23.7265625" style="4" customWidth="1"/>
    <col min="3823" max="3823" width="50.7265625" style="4" customWidth="1"/>
    <col min="3824" max="3824" width="11.453125" style="4" customWidth="1"/>
    <col min="3825" max="3825" width="12.54296875" style="4" customWidth="1"/>
    <col min="3826" max="3826" width="10.26953125" style="4" customWidth="1"/>
    <col min="3827" max="3827" width="9" style="4" customWidth="1"/>
    <col min="3828" max="3828" width="11.54296875" style="4" customWidth="1"/>
    <col min="3829" max="3829" width="9.453125" style="4" customWidth="1"/>
    <col min="3830" max="3830" width="10.7265625" style="4" customWidth="1"/>
    <col min="3831" max="3831" width="8.26953125" style="4" customWidth="1"/>
    <col min="3832" max="3832" width="9.26953125" style="4" customWidth="1"/>
    <col min="3833" max="3833" width="11.54296875" style="4" customWidth="1"/>
    <col min="3834" max="3835" width="9.26953125" style="4" bestFit="1" customWidth="1"/>
    <col min="3836" max="3836" width="9.7265625" style="4" customWidth="1"/>
    <col min="3837" max="3837" width="11.54296875" style="4" bestFit="1" customWidth="1"/>
    <col min="3838" max="3838" width="9.26953125" style="4"/>
    <col min="3839" max="3841" width="0" style="4" hidden="1" customWidth="1"/>
    <col min="3842" max="3848" width="9.26953125" style="4"/>
    <col min="3849" max="3849" width="10.54296875" style="4" bestFit="1" customWidth="1"/>
    <col min="3850" max="3850" width="9.26953125" style="4"/>
    <col min="3851" max="3851" width="12.26953125" style="4" bestFit="1" customWidth="1"/>
    <col min="3852" max="3852" width="9.26953125" style="4"/>
    <col min="3853" max="3854" width="0" style="4" hidden="1" customWidth="1"/>
    <col min="3855" max="3855" width="11" style="4" bestFit="1" customWidth="1"/>
    <col min="3856" max="3856" width="8.26953125" style="4" bestFit="1" customWidth="1"/>
    <col min="3857" max="3857" width="6.453125" style="4" bestFit="1" customWidth="1"/>
    <col min="3858" max="3858" width="10" style="4" bestFit="1" customWidth="1"/>
    <col min="3859" max="3859" width="29.7265625" style="4" bestFit="1" customWidth="1"/>
    <col min="3860" max="3860" width="17" style="4" bestFit="1" customWidth="1"/>
    <col min="3861" max="4071" width="9.26953125" style="4"/>
    <col min="4072" max="4072" width="8.26953125" style="4" customWidth="1"/>
    <col min="4073" max="4073" width="12.26953125" style="4" bestFit="1" customWidth="1"/>
    <col min="4074" max="4074" width="23.7265625" style="4" bestFit="1" customWidth="1"/>
    <col min="4075" max="4075" width="7.54296875" style="4" customWidth="1"/>
    <col min="4076" max="4076" width="12" style="4" customWidth="1"/>
    <col min="4077" max="4077" width="9.7265625" style="4" customWidth="1"/>
    <col min="4078" max="4078" width="23.7265625" style="4" customWidth="1"/>
    <col min="4079" max="4079" width="50.7265625" style="4" customWidth="1"/>
    <col min="4080" max="4080" width="11.453125" style="4" customWidth="1"/>
    <col min="4081" max="4081" width="12.54296875" style="4" customWidth="1"/>
    <col min="4082" max="4082" width="10.26953125" style="4" customWidth="1"/>
    <col min="4083" max="4083" width="9" style="4" customWidth="1"/>
    <col min="4084" max="4084" width="11.54296875" style="4" customWidth="1"/>
    <col min="4085" max="4085" width="9.453125" style="4" customWidth="1"/>
    <col min="4086" max="4086" width="10.7265625" style="4" customWidth="1"/>
    <col min="4087" max="4087" width="8.26953125" style="4" customWidth="1"/>
    <col min="4088" max="4088" width="9.26953125" style="4" customWidth="1"/>
    <col min="4089" max="4089" width="11.54296875" style="4" customWidth="1"/>
    <col min="4090" max="4091" width="9.26953125" style="4" bestFit="1" customWidth="1"/>
    <col min="4092" max="4092" width="9.7265625" style="4" customWidth="1"/>
    <col min="4093" max="4093" width="11.54296875" style="4" bestFit="1" customWidth="1"/>
    <col min="4094" max="4094" width="9.26953125" style="4"/>
    <col min="4095" max="4097" width="0" style="4" hidden="1" customWidth="1"/>
    <col min="4098" max="4104" width="9.26953125" style="4"/>
    <col min="4105" max="4105" width="10.54296875" style="4" bestFit="1" customWidth="1"/>
    <col min="4106" max="4106" width="9.26953125" style="4"/>
    <col min="4107" max="4107" width="12.26953125" style="4" bestFit="1" customWidth="1"/>
    <col min="4108" max="4108" width="9.26953125" style="4"/>
    <col min="4109" max="4110" width="0" style="4" hidden="1" customWidth="1"/>
    <col min="4111" max="4111" width="11" style="4" bestFit="1" customWidth="1"/>
    <col min="4112" max="4112" width="8.26953125" style="4" bestFit="1" customWidth="1"/>
    <col min="4113" max="4113" width="6.453125" style="4" bestFit="1" customWidth="1"/>
    <col min="4114" max="4114" width="10" style="4" bestFit="1" customWidth="1"/>
    <col min="4115" max="4115" width="29.7265625" style="4" bestFit="1" customWidth="1"/>
    <col min="4116" max="4116" width="17" style="4" bestFit="1" customWidth="1"/>
    <col min="4117" max="4327" width="9.26953125" style="4"/>
    <col min="4328" max="4328" width="8.26953125" style="4" customWidth="1"/>
    <col min="4329" max="4329" width="12.26953125" style="4" bestFit="1" customWidth="1"/>
    <col min="4330" max="4330" width="23.7265625" style="4" bestFit="1" customWidth="1"/>
    <col min="4331" max="4331" width="7.54296875" style="4" customWidth="1"/>
    <col min="4332" max="4332" width="12" style="4" customWidth="1"/>
    <col min="4333" max="4333" width="9.7265625" style="4" customWidth="1"/>
    <col min="4334" max="4334" width="23.7265625" style="4" customWidth="1"/>
    <col min="4335" max="4335" width="50.7265625" style="4" customWidth="1"/>
    <col min="4336" max="4336" width="11.453125" style="4" customWidth="1"/>
    <col min="4337" max="4337" width="12.54296875" style="4" customWidth="1"/>
    <col min="4338" max="4338" width="10.26953125" style="4" customWidth="1"/>
    <col min="4339" max="4339" width="9" style="4" customWidth="1"/>
    <col min="4340" max="4340" width="11.54296875" style="4" customWidth="1"/>
    <col min="4341" max="4341" width="9.453125" style="4" customWidth="1"/>
    <col min="4342" max="4342" width="10.7265625" style="4" customWidth="1"/>
    <col min="4343" max="4343" width="8.26953125" style="4" customWidth="1"/>
    <col min="4344" max="4344" width="9.26953125" style="4" customWidth="1"/>
    <col min="4345" max="4345" width="11.54296875" style="4" customWidth="1"/>
    <col min="4346" max="4347" width="9.26953125" style="4" bestFit="1" customWidth="1"/>
    <col min="4348" max="4348" width="9.7265625" style="4" customWidth="1"/>
    <col min="4349" max="4349" width="11.54296875" style="4" bestFit="1" customWidth="1"/>
    <col min="4350" max="4350" width="9.26953125" style="4"/>
    <col min="4351" max="4353" width="0" style="4" hidden="1" customWidth="1"/>
    <col min="4354" max="4360" width="9.26953125" style="4"/>
    <col min="4361" max="4361" width="10.54296875" style="4" bestFit="1" customWidth="1"/>
    <col min="4362" max="4362" width="9.26953125" style="4"/>
    <col min="4363" max="4363" width="12.26953125" style="4" bestFit="1" customWidth="1"/>
    <col min="4364" max="4364" width="9.26953125" style="4"/>
    <col min="4365" max="4366" width="0" style="4" hidden="1" customWidth="1"/>
    <col min="4367" max="4367" width="11" style="4" bestFit="1" customWidth="1"/>
    <col min="4368" max="4368" width="8.26953125" style="4" bestFit="1" customWidth="1"/>
    <col min="4369" max="4369" width="6.453125" style="4" bestFit="1" customWidth="1"/>
    <col min="4370" max="4370" width="10" style="4" bestFit="1" customWidth="1"/>
    <col min="4371" max="4371" width="29.7265625" style="4" bestFit="1" customWidth="1"/>
    <col min="4372" max="4372" width="17" style="4" bestFit="1" customWidth="1"/>
    <col min="4373" max="4583" width="9.26953125" style="4"/>
    <col min="4584" max="4584" width="8.26953125" style="4" customWidth="1"/>
    <col min="4585" max="4585" width="12.26953125" style="4" bestFit="1" customWidth="1"/>
    <col min="4586" max="4586" width="23.7265625" style="4" bestFit="1" customWidth="1"/>
    <col min="4587" max="4587" width="7.54296875" style="4" customWidth="1"/>
    <col min="4588" max="4588" width="12" style="4" customWidth="1"/>
    <col min="4589" max="4589" width="9.7265625" style="4" customWidth="1"/>
    <col min="4590" max="4590" width="23.7265625" style="4" customWidth="1"/>
    <col min="4591" max="4591" width="50.7265625" style="4" customWidth="1"/>
    <col min="4592" max="4592" width="11.453125" style="4" customWidth="1"/>
    <col min="4593" max="4593" width="12.54296875" style="4" customWidth="1"/>
    <col min="4594" max="4594" width="10.26953125" style="4" customWidth="1"/>
    <col min="4595" max="4595" width="9" style="4" customWidth="1"/>
    <col min="4596" max="4596" width="11.54296875" style="4" customWidth="1"/>
    <col min="4597" max="4597" width="9.453125" style="4" customWidth="1"/>
    <col min="4598" max="4598" width="10.7265625" style="4" customWidth="1"/>
    <col min="4599" max="4599" width="8.26953125" style="4" customWidth="1"/>
    <col min="4600" max="4600" width="9.26953125" style="4" customWidth="1"/>
    <col min="4601" max="4601" width="11.54296875" style="4" customWidth="1"/>
    <col min="4602" max="4603" width="9.26953125" style="4" bestFit="1" customWidth="1"/>
    <col min="4604" max="4604" width="9.7265625" style="4" customWidth="1"/>
    <col min="4605" max="4605" width="11.54296875" style="4" bestFit="1" customWidth="1"/>
    <col min="4606" max="4606" width="9.26953125" style="4"/>
    <col min="4607" max="4609" width="0" style="4" hidden="1" customWidth="1"/>
    <col min="4610" max="4616" width="9.26953125" style="4"/>
    <col min="4617" max="4617" width="10.54296875" style="4" bestFit="1" customWidth="1"/>
    <col min="4618" max="4618" width="9.26953125" style="4"/>
    <col min="4619" max="4619" width="12.26953125" style="4" bestFit="1" customWidth="1"/>
    <col min="4620" max="4620" width="9.26953125" style="4"/>
    <col min="4621" max="4622" width="0" style="4" hidden="1" customWidth="1"/>
    <col min="4623" max="4623" width="11" style="4" bestFit="1" customWidth="1"/>
    <col min="4624" max="4624" width="8.26953125" style="4" bestFit="1" customWidth="1"/>
    <col min="4625" max="4625" width="6.453125" style="4" bestFit="1" customWidth="1"/>
    <col min="4626" max="4626" width="10" style="4" bestFit="1" customWidth="1"/>
    <col min="4627" max="4627" width="29.7265625" style="4" bestFit="1" customWidth="1"/>
    <col min="4628" max="4628" width="17" style="4" bestFit="1" customWidth="1"/>
    <col min="4629" max="4839" width="9.26953125" style="4"/>
    <col min="4840" max="4840" width="8.26953125" style="4" customWidth="1"/>
    <col min="4841" max="4841" width="12.26953125" style="4" bestFit="1" customWidth="1"/>
    <col min="4842" max="4842" width="23.7265625" style="4" bestFit="1" customWidth="1"/>
    <col min="4843" max="4843" width="7.54296875" style="4" customWidth="1"/>
    <col min="4844" max="4844" width="12" style="4" customWidth="1"/>
    <col min="4845" max="4845" width="9.7265625" style="4" customWidth="1"/>
    <col min="4846" max="4846" width="23.7265625" style="4" customWidth="1"/>
    <col min="4847" max="4847" width="50.7265625" style="4" customWidth="1"/>
    <col min="4848" max="4848" width="11.453125" style="4" customWidth="1"/>
    <col min="4849" max="4849" width="12.54296875" style="4" customWidth="1"/>
    <col min="4850" max="4850" width="10.26953125" style="4" customWidth="1"/>
    <col min="4851" max="4851" width="9" style="4" customWidth="1"/>
    <col min="4852" max="4852" width="11.54296875" style="4" customWidth="1"/>
    <col min="4853" max="4853" width="9.453125" style="4" customWidth="1"/>
    <col min="4854" max="4854" width="10.7265625" style="4" customWidth="1"/>
    <col min="4855" max="4855" width="8.26953125" style="4" customWidth="1"/>
    <col min="4856" max="4856" width="9.26953125" style="4" customWidth="1"/>
    <col min="4857" max="4857" width="11.54296875" style="4" customWidth="1"/>
    <col min="4858" max="4859" width="9.26953125" style="4" bestFit="1" customWidth="1"/>
    <col min="4860" max="4860" width="9.7265625" style="4" customWidth="1"/>
    <col min="4861" max="4861" width="11.54296875" style="4" bestFit="1" customWidth="1"/>
    <col min="4862" max="4862" width="9.26953125" style="4"/>
    <col min="4863" max="4865" width="0" style="4" hidden="1" customWidth="1"/>
    <col min="4866" max="4872" width="9.26953125" style="4"/>
    <col min="4873" max="4873" width="10.54296875" style="4" bestFit="1" customWidth="1"/>
    <col min="4874" max="4874" width="9.26953125" style="4"/>
    <col min="4875" max="4875" width="12.26953125" style="4" bestFit="1" customWidth="1"/>
    <col min="4876" max="4876" width="9.26953125" style="4"/>
    <col min="4877" max="4878" width="0" style="4" hidden="1" customWidth="1"/>
    <col min="4879" max="4879" width="11" style="4" bestFit="1" customWidth="1"/>
    <col min="4880" max="4880" width="8.26953125" style="4" bestFit="1" customWidth="1"/>
    <col min="4881" max="4881" width="6.453125" style="4" bestFit="1" customWidth="1"/>
    <col min="4882" max="4882" width="10" style="4" bestFit="1" customWidth="1"/>
    <col min="4883" max="4883" width="29.7265625" style="4" bestFit="1" customWidth="1"/>
    <col min="4884" max="4884" width="17" style="4" bestFit="1" customWidth="1"/>
    <col min="4885" max="5095" width="9.26953125" style="4"/>
    <col min="5096" max="5096" width="8.26953125" style="4" customWidth="1"/>
    <col min="5097" max="5097" width="12.26953125" style="4" bestFit="1" customWidth="1"/>
    <col min="5098" max="5098" width="23.7265625" style="4" bestFit="1" customWidth="1"/>
    <col min="5099" max="5099" width="7.54296875" style="4" customWidth="1"/>
    <col min="5100" max="5100" width="12" style="4" customWidth="1"/>
    <col min="5101" max="5101" width="9.7265625" style="4" customWidth="1"/>
    <col min="5102" max="5102" width="23.7265625" style="4" customWidth="1"/>
    <col min="5103" max="5103" width="50.7265625" style="4" customWidth="1"/>
    <col min="5104" max="5104" width="11.453125" style="4" customWidth="1"/>
    <col min="5105" max="5105" width="12.54296875" style="4" customWidth="1"/>
    <col min="5106" max="5106" width="10.26953125" style="4" customWidth="1"/>
    <col min="5107" max="5107" width="9" style="4" customWidth="1"/>
    <col min="5108" max="5108" width="11.54296875" style="4" customWidth="1"/>
    <col min="5109" max="5109" width="9.453125" style="4" customWidth="1"/>
    <col min="5110" max="5110" width="10.7265625" style="4" customWidth="1"/>
    <col min="5111" max="5111" width="8.26953125" style="4" customWidth="1"/>
    <col min="5112" max="5112" width="9.26953125" style="4" customWidth="1"/>
    <col min="5113" max="5113" width="11.54296875" style="4" customWidth="1"/>
    <col min="5114" max="5115" width="9.26953125" style="4" bestFit="1" customWidth="1"/>
    <col min="5116" max="5116" width="9.7265625" style="4" customWidth="1"/>
    <col min="5117" max="5117" width="11.54296875" style="4" bestFit="1" customWidth="1"/>
    <col min="5118" max="5118" width="9.26953125" style="4"/>
    <col min="5119" max="5121" width="0" style="4" hidden="1" customWidth="1"/>
    <col min="5122" max="5128" width="9.26953125" style="4"/>
    <col min="5129" max="5129" width="10.54296875" style="4" bestFit="1" customWidth="1"/>
    <col min="5130" max="5130" width="9.26953125" style="4"/>
    <col min="5131" max="5131" width="12.26953125" style="4" bestFit="1" customWidth="1"/>
    <col min="5132" max="5132" width="9.26953125" style="4"/>
    <col min="5133" max="5134" width="0" style="4" hidden="1" customWidth="1"/>
    <col min="5135" max="5135" width="11" style="4" bestFit="1" customWidth="1"/>
    <col min="5136" max="5136" width="8.26953125" style="4" bestFit="1" customWidth="1"/>
    <col min="5137" max="5137" width="6.453125" style="4" bestFit="1" customWidth="1"/>
    <col min="5138" max="5138" width="10" style="4" bestFit="1" customWidth="1"/>
    <col min="5139" max="5139" width="29.7265625" style="4" bestFit="1" customWidth="1"/>
    <col min="5140" max="5140" width="17" style="4" bestFit="1" customWidth="1"/>
    <col min="5141" max="5351" width="9.26953125" style="4"/>
    <col min="5352" max="5352" width="8.26953125" style="4" customWidth="1"/>
    <col min="5353" max="5353" width="12.26953125" style="4" bestFit="1" customWidth="1"/>
    <col min="5354" max="5354" width="23.7265625" style="4" bestFit="1" customWidth="1"/>
    <col min="5355" max="5355" width="7.54296875" style="4" customWidth="1"/>
    <col min="5356" max="5356" width="12" style="4" customWidth="1"/>
    <col min="5357" max="5357" width="9.7265625" style="4" customWidth="1"/>
    <col min="5358" max="5358" width="23.7265625" style="4" customWidth="1"/>
    <col min="5359" max="5359" width="50.7265625" style="4" customWidth="1"/>
    <col min="5360" max="5360" width="11.453125" style="4" customWidth="1"/>
    <col min="5361" max="5361" width="12.54296875" style="4" customWidth="1"/>
    <col min="5362" max="5362" width="10.26953125" style="4" customWidth="1"/>
    <col min="5363" max="5363" width="9" style="4" customWidth="1"/>
    <col min="5364" max="5364" width="11.54296875" style="4" customWidth="1"/>
    <col min="5365" max="5365" width="9.453125" style="4" customWidth="1"/>
    <col min="5366" max="5366" width="10.7265625" style="4" customWidth="1"/>
    <col min="5367" max="5367" width="8.26953125" style="4" customWidth="1"/>
    <col min="5368" max="5368" width="9.26953125" style="4" customWidth="1"/>
    <col min="5369" max="5369" width="11.54296875" style="4" customWidth="1"/>
    <col min="5370" max="5371" width="9.26953125" style="4" bestFit="1" customWidth="1"/>
    <col min="5372" max="5372" width="9.7265625" style="4" customWidth="1"/>
    <col min="5373" max="5373" width="11.54296875" style="4" bestFit="1" customWidth="1"/>
    <col min="5374" max="5374" width="9.26953125" style="4"/>
    <col min="5375" max="5377" width="0" style="4" hidden="1" customWidth="1"/>
    <col min="5378" max="5384" width="9.26953125" style="4"/>
    <col min="5385" max="5385" width="10.54296875" style="4" bestFit="1" customWidth="1"/>
    <col min="5386" max="5386" width="9.26953125" style="4"/>
    <col min="5387" max="5387" width="12.26953125" style="4" bestFit="1" customWidth="1"/>
    <col min="5388" max="5388" width="9.26953125" style="4"/>
    <col min="5389" max="5390" width="0" style="4" hidden="1" customWidth="1"/>
    <col min="5391" max="5391" width="11" style="4" bestFit="1" customWidth="1"/>
    <col min="5392" max="5392" width="8.26953125" style="4" bestFit="1" customWidth="1"/>
    <col min="5393" max="5393" width="6.453125" style="4" bestFit="1" customWidth="1"/>
    <col min="5394" max="5394" width="10" style="4" bestFit="1" customWidth="1"/>
    <col min="5395" max="5395" width="29.7265625" style="4" bestFit="1" customWidth="1"/>
    <col min="5396" max="5396" width="17" style="4" bestFit="1" customWidth="1"/>
    <col min="5397" max="5607" width="9.26953125" style="4"/>
    <col min="5608" max="5608" width="8.26953125" style="4" customWidth="1"/>
    <col min="5609" max="5609" width="12.26953125" style="4" bestFit="1" customWidth="1"/>
    <col min="5610" max="5610" width="23.7265625" style="4" bestFit="1" customWidth="1"/>
    <col min="5611" max="5611" width="7.54296875" style="4" customWidth="1"/>
    <col min="5612" max="5612" width="12" style="4" customWidth="1"/>
    <col min="5613" max="5613" width="9.7265625" style="4" customWidth="1"/>
    <col min="5614" max="5614" width="23.7265625" style="4" customWidth="1"/>
    <col min="5615" max="5615" width="50.7265625" style="4" customWidth="1"/>
    <col min="5616" max="5616" width="11.453125" style="4" customWidth="1"/>
    <col min="5617" max="5617" width="12.54296875" style="4" customWidth="1"/>
    <col min="5618" max="5618" width="10.26953125" style="4" customWidth="1"/>
    <col min="5619" max="5619" width="9" style="4" customWidth="1"/>
    <col min="5620" max="5620" width="11.54296875" style="4" customWidth="1"/>
    <col min="5621" max="5621" width="9.453125" style="4" customWidth="1"/>
    <col min="5622" max="5622" width="10.7265625" style="4" customWidth="1"/>
    <col min="5623" max="5623" width="8.26953125" style="4" customWidth="1"/>
    <col min="5624" max="5624" width="9.26953125" style="4" customWidth="1"/>
    <col min="5625" max="5625" width="11.54296875" style="4" customWidth="1"/>
    <col min="5626" max="5627" width="9.26953125" style="4" bestFit="1" customWidth="1"/>
    <col min="5628" max="5628" width="9.7265625" style="4" customWidth="1"/>
    <col min="5629" max="5629" width="11.54296875" style="4" bestFit="1" customWidth="1"/>
    <col min="5630" max="5630" width="9.26953125" style="4"/>
    <col min="5631" max="5633" width="0" style="4" hidden="1" customWidth="1"/>
    <col min="5634" max="5640" width="9.26953125" style="4"/>
    <col min="5641" max="5641" width="10.54296875" style="4" bestFit="1" customWidth="1"/>
    <col min="5642" max="5642" width="9.26953125" style="4"/>
    <col min="5643" max="5643" width="12.26953125" style="4" bestFit="1" customWidth="1"/>
    <col min="5644" max="5644" width="9.26953125" style="4"/>
    <col min="5645" max="5646" width="0" style="4" hidden="1" customWidth="1"/>
    <col min="5647" max="5647" width="11" style="4" bestFit="1" customWidth="1"/>
    <col min="5648" max="5648" width="8.26953125" style="4" bestFit="1" customWidth="1"/>
    <col min="5649" max="5649" width="6.453125" style="4" bestFit="1" customWidth="1"/>
    <col min="5650" max="5650" width="10" style="4" bestFit="1" customWidth="1"/>
    <col min="5651" max="5651" width="29.7265625" style="4" bestFit="1" customWidth="1"/>
    <col min="5652" max="5652" width="17" style="4" bestFit="1" customWidth="1"/>
    <col min="5653" max="5863" width="9.26953125" style="4"/>
    <col min="5864" max="5864" width="8.26953125" style="4" customWidth="1"/>
    <col min="5865" max="5865" width="12.26953125" style="4" bestFit="1" customWidth="1"/>
    <col min="5866" max="5866" width="23.7265625" style="4" bestFit="1" customWidth="1"/>
    <col min="5867" max="5867" width="7.54296875" style="4" customWidth="1"/>
    <col min="5868" max="5868" width="12" style="4" customWidth="1"/>
    <col min="5869" max="5869" width="9.7265625" style="4" customWidth="1"/>
    <col min="5870" max="5870" width="23.7265625" style="4" customWidth="1"/>
    <col min="5871" max="5871" width="50.7265625" style="4" customWidth="1"/>
    <col min="5872" max="5872" width="11.453125" style="4" customWidth="1"/>
    <col min="5873" max="5873" width="12.54296875" style="4" customWidth="1"/>
    <col min="5874" max="5874" width="10.26953125" style="4" customWidth="1"/>
    <col min="5875" max="5875" width="9" style="4" customWidth="1"/>
    <col min="5876" max="5876" width="11.54296875" style="4" customWidth="1"/>
    <col min="5877" max="5877" width="9.453125" style="4" customWidth="1"/>
    <col min="5878" max="5878" width="10.7265625" style="4" customWidth="1"/>
    <col min="5879" max="5879" width="8.26953125" style="4" customWidth="1"/>
    <col min="5880" max="5880" width="9.26953125" style="4" customWidth="1"/>
    <col min="5881" max="5881" width="11.54296875" style="4" customWidth="1"/>
    <col min="5882" max="5883" width="9.26953125" style="4" bestFit="1" customWidth="1"/>
    <col min="5884" max="5884" width="9.7265625" style="4" customWidth="1"/>
    <col min="5885" max="5885" width="11.54296875" style="4" bestFit="1" customWidth="1"/>
    <col min="5886" max="5886" width="9.26953125" style="4"/>
    <col min="5887" max="5889" width="0" style="4" hidden="1" customWidth="1"/>
    <col min="5890" max="5896" width="9.26953125" style="4"/>
    <col min="5897" max="5897" width="10.54296875" style="4" bestFit="1" customWidth="1"/>
    <col min="5898" max="5898" width="9.26953125" style="4"/>
    <col min="5899" max="5899" width="12.26953125" style="4" bestFit="1" customWidth="1"/>
    <col min="5900" max="5900" width="9.26953125" style="4"/>
    <col min="5901" max="5902" width="0" style="4" hidden="1" customWidth="1"/>
    <col min="5903" max="5903" width="11" style="4" bestFit="1" customWidth="1"/>
    <col min="5904" max="5904" width="8.26953125" style="4" bestFit="1" customWidth="1"/>
    <col min="5905" max="5905" width="6.453125" style="4" bestFit="1" customWidth="1"/>
    <col min="5906" max="5906" width="10" style="4" bestFit="1" customWidth="1"/>
    <col min="5907" max="5907" width="29.7265625" style="4" bestFit="1" customWidth="1"/>
    <col min="5908" max="5908" width="17" style="4" bestFit="1" customWidth="1"/>
    <col min="5909" max="6119" width="9.26953125" style="4"/>
    <col min="6120" max="6120" width="8.26953125" style="4" customWidth="1"/>
    <col min="6121" max="6121" width="12.26953125" style="4" bestFit="1" customWidth="1"/>
    <col min="6122" max="6122" width="23.7265625" style="4" bestFit="1" customWidth="1"/>
    <col min="6123" max="6123" width="7.54296875" style="4" customWidth="1"/>
    <col min="6124" max="6124" width="12" style="4" customWidth="1"/>
    <col min="6125" max="6125" width="9.7265625" style="4" customWidth="1"/>
    <col min="6126" max="6126" width="23.7265625" style="4" customWidth="1"/>
    <col min="6127" max="6127" width="50.7265625" style="4" customWidth="1"/>
    <col min="6128" max="6128" width="11.453125" style="4" customWidth="1"/>
    <col min="6129" max="6129" width="12.54296875" style="4" customWidth="1"/>
    <col min="6130" max="6130" width="10.26953125" style="4" customWidth="1"/>
    <col min="6131" max="6131" width="9" style="4" customWidth="1"/>
    <col min="6132" max="6132" width="11.54296875" style="4" customWidth="1"/>
    <col min="6133" max="6133" width="9.453125" style="4" customWidth="1"/>
    <col min="6134" max="6134" width="10.7265625" style="4" customWidth="1"/>
    <col min="6135" max="6135" width="8.26953125" style="4" customWidth="1"/>
    <col min="6136" max="6136" width="9.26953125" style="4" customWidth="1"/>
    <col min="6137" max="6137" width="11.54296875" style="4" customWidth="1"/>
    <col min="6138" max="6139" width="9.26953125" style="4" bestFit="1" customWidth="1"/>
    <col min="6140" max="6140" width="9.7265625" style="4" customWidth="1"/>
    <col min="6141" max="6141" width="11.54296875" style="4" bestFit="1" customWidth="1"/>
    <col min="6142" max="6142" width="9.26953125" style="4"/>
    <col min="6143" max="6145" width="0" style="4" hidden="1" customWidth="1"/>
    <col min="6146" max="6152" width="9.26953125" style="4"/>
    <col min="6153" max="6153" width="10.54296875" style="4" bestFit="1" customWidth="1"/>
    <col min="6154" max="6154" width="9.26953125" style="4"/>
    <col min="6155" max="6155" width="12.26953125" style="4" bestFit="1" customWidth="1"/>
    <col min="6156" max="6156" width="9.26953125" style="4"/>
    <col min="6157" max="6158" width="0" style="4" hidden="1" customWidth="1"/>
    <col min="6159" max="6159" width="11" style="4" bestFit="1" customWidth="1"/>
    <col min="6160" max="6160" width="8.26953125" style="4" bestFit="1" customWidth="1"/>
    <col min="6161" max="6161" width="6.453125" style="4" bestFit="1" customWidth="1"/>
    <col min="6162" max="6162" width="10" style="4" bestFit="1" customWidth="1"/>
    <col min="6163" max="6163" width="29.7265625" style="4" bestFit="1" customWidth="1"/>
    <col min="6164" max="6164" width="17" style="4" bestFit="1" customWidth="1"/>
    <col min="6165" max="6375" width="9.26953125" style="4"/>
    <col min="6376" max="6376" width="8.26953125" style="4" customWidth="1"/>
    <col min="6377" max="6377" width="12.26953125" style="4" bestFit="1" customWidth="1"/>
    <col min="6378" max="6378" width="23.7265625" style="4" bestFit="1" customWidth="1"/>
    <col min="6379" max="6379" width="7.54296875" style="4" customWidth="1"/>
    <col min="6380" max="6380" width="12" style="4" customWidth="1"/>
    <col min="6381" max="6381" width="9.7265625" style="4" customWidth="1"/>
    <col min="6382" max="6382" width="23.7265625" style="4" customWidth="1"/>
    <col min="6383" max="6383" width="50.7265625" style="4" customWidth="1"/>
    <col min="6384" max="6384" width="11.453125" style="4" customWidth="1"/>
    <col min="6385" max="6385" width="12.54296875" style="4" customWidth="1"/>
    <col min="6386" max="6386" width="10.26953125" style="4" customWidth="1"/>
    <col min="6387" max="6387" width="9" style="4" customWidth="1"/>
    <col min="6388" max="6388" width="11.54296875" style="4" customWidth="1"/>
    <col min="6389" max="6389" width="9.453125" style="4" customWidth="1"/>
    <col min="6390" max="6390" width="10.7265625" style="4" customWidth="1"/>
    <col min="6391" max="6391" width="8.26953125" style="4" customWidth="1"/>
    <col min="6392" max="6392" width="9.26953125" style="4" customWidth="1"/>
    <col min="6393" max="6393" width="11.54296875" style="4" customWidth="1"/>
    <col min="6394" max="6395" width="9.26953125" style="4" bestFit="1" customWidth="1"/>
    <col min="6396" max="6396" width="9.7265625" style="4" customWidth="1"/>
    <col min="6397" max="6397" width="11.54296875" style="4" bestFit="1" customWidth="1"/>
    <col min="6398" max="6398" width="9.26953125" style="4"/>
    <col min="6399" max="6401" width="0" style="4" hidden="1" customWidth="1"/>
    <col min="6402" max="6408" width="9.26953125" style="4"/>
    <col min="6409" max="6409" width="10.54296875" style="4" bestFit="1" customWidth="1"/>
    <col min="6410" max="6410" width="9.26953125" style="4"/>
    <col min="6411" max="6411" width="12.26953125" style="4" bestFit="1" customWidth="1"/>
    <col min="6412" max="6412" width="9.26953125" style="4"/>
    <col min="6413" max="6414" width="0" style="4" hidden="1" customWidth="1"/>
    <col min="6415" max="6415" width="11" style="4" bestFit="1" customWidth="1"/>
    <col min="6416" max="6416" width="8.26953125" style="4" bestFit="1" customWidth="1"/>
    <col min="6417" max="6417" width="6.453125" style="4" bestFit="1" customWidth="1"/>
    <col min="6418" max="6418" width="10" style="4" bestFit="1" customWidth="1"/>
    <col min="6419" max="6419" width="29.7265625" style="4" bestFit="1" customWidth="1"/>
    <col min="6420" max="6420" width="17" style="4" bestFit="1" customWidth="1"/>
    <col min="6421" max="6631" width="9.26953125" style="4"/>
    <col min="6632" max="6632" width="8.26953125" style="4" customWidth="1"/>
    <col min="6633" max="6633" width="12.26953125" style="4" bestFit="1" customWidth="1"/>
    <col min="6634" max="6634" width="23.7265625" style="4" bestFit="1" customWidth="1"/>
    <col min="6635" max="6635" width="7.54296875" style="4" customWidth="1"/>
    <col min="6636" max="6636" width="12" style="4" customWidth="1"/>
    <col min="6637" max="6637" width="9.7265625" style="4" customWidth="1"/>
    <col min="6638" max="6638" width="23.7265625" style="4" customWidth="1"/>
    <col min="6639" max="6639" width="50.7265625" style="4" customWidth="1"/>
    <col min="6640" max="6640" width="11.453125" style="4" customWidth="1"/>
    <col min="6641" max="6641" width="12.54296875" style="4" customWidth="1"/>
    <col min="6642" max="6642" width="10.26953125" style="4" customWidth="1"/>
    <col min="6643" max="6643" width="9" style="4" customWidth="1"/>
    <col min="6644" max="6644" width="11.54296875" style="4" customWidth="1"/>
    <col min="6645" max="6645" width="9.453125" style="4" customWidth="1"/>
    <col min="6646" max="6646" width="10.7265625" style="4" customWidth="1"/>
    <col min="6647" max="6647" width="8.26953125" style="4" customWidth="1"/>
    <col min="6648" max="6648" width="9.26953125" style="4" customWidth="1"/>
    <col min="6649" max="6649" width="11.54296875" style="4" customWidth="1"/>
    <col min="6650" max="6651" width="9.26953125" style="4" bestFit="1" customWidth="1"/>
    <col min="6652" max="6652" width="9.7265625" style="4" customWidth="1"/>
    <col min="6653" max="6653" width="11.54296875" style="4" bestFit="1" customWidth="1"/>
    <col min="6654" max="6654" width="9.26953125" style="4"/>
    <col min="6655" max="6657" width="0" style="4" hidden="1" customWidth="1"/>
    <col min="6658" max="6664" width="9.26953125" style="4"/>
    <col min="6665" max="6665" width="10.54296875" style="4" bestFit="1" customWidth="1"/>
    <col min="6666" max="6666" width="9.26953125" style="4"/>
    <col min="6667" max="6667" width="12.26953125" style="4" bestFit="1" customWidth="1"/>
    <col min="6668" max="6668" width="9.26953125" style="4"/>
    <col min="6669" max="6670" width="0" style="4" hidden="1" customWidth="1"/>
    <col min="6671" max="6671" width="11" style="4" bestFit="1" customWidth="1"/>
    <col min="6672" max="6672" width="8.26953125" style="4" bestFit="1" customWidth="1"/>
    <col min="6673" max="6673" width="6.453125" style="4" bestFit="1" customWidth="1"/>
    <col min="6674" max="6674" width="10" style="4" bestFit="1" customWidth="1"/>
    <col min="6675" max="6675" width="29.7265625" style="4" bestFit="1" customWidth="1"/>
    <col min="6676" max="6676" width="17" style="4" bestFit="1" customWidth="1"/>
    <col min="6677" max="6887" width="9.26953125" style="4"/>
    <col min="6888" max="6888" width="8.26953125" style="4" customWidth="1"/>
    <col min="6889" max="6889" width="12.26953125" style="4" bestFit="1" customWidth="1"/>
    <col min="6890" max="6890" width="23.7265625" style="4" bestFit="1" customWidth="1"/>
    <col min="6891" max="6891" width="7.54296875" style="4" customWidth="1"/>
    <col min="6892" max="6892" width="12" style="4" customWidth="1"/>
    <col min="6893" max="6893" width="9.7265625" style="4" customWidth="1"/>
    <col min="6894" max="6894" width="23.7265625" style="4" customWidth="1"/>
    <col min="6895" max="6895" width="50.7265625" style="4" customWidth="1"/>
    <col min="6896" max="6896" width="11.453125" style="4" customWidth="1"/>
    <col min="6897" max="6897" width="12.54296875" style="4" customWidth="1"/>
    <col min="6898" max="6898" width="10.26953125" style="4" customWidth="1"/>
    <col min="6899" max="6899" width="9" style="4" customWidth="1"/>
    <col min="6900" max="6900" width="11.54296875" style="4" customWidth="1"/>
    <col min="6901" max="6901" width="9.453125" style="4" customWidth="1"/>
    <col min="6902" max="6902" width="10.7265625" style="4" customWidth="1"/>
    <col min="6903" max="6903" width="8.26953125" style="4" customWidth="1"/>
    <col min="6904" max="6904" width="9.26953125" style="4" customWidth="1"/>
    <col min="6905" max="6905" width="11.54296875" style="4" customWidth="1"/>
    <col min="6906" max="6907" width="9.26953125" style="4" bestFit="1" customWidth="1"/>
    <col min="6908" max="6908" width="9.7265625" style="4" customWidth="1"/>
    <col min="6909" max="6909" width="11.54296875" style="4" bestFit="1" customWidth="1"/>
    <col min="6910" max="6910" width="9.26953125" style="4"/>
    <col min="6911" max="6913" width="0" style="4" hidden="1" customWidth="1"/>
    <col min="6914" max="6920" width="9.26953125" style="4"/>
    <col min="6921" max="6921" width="10.54296875" style="4" bestFit="1" customWidth="1"/>
    <col min="6922" max="6922" width="9.26953125" style="4"/>
    <col min="6923" max="6923" width="12.26953125" style="4" bestFit="1" customWidth="1"/>
    <col min="6924" max="6924" width="9.26953125" style="4"/>
    <col min="6925" max="6926" width="0" style="4" hidden="1" customWidth="1"/>
    <col min="6927" max="6927" width="11" style="4" bestFit="1" customWidth="1"/>
    <col min="6928" max="6928" width="8.26953125" style="4" bestFit="1" customWidth="1"/>
    <col min="6929" max="6929" width="6.453125" style="4" bestFit="1" customWidth="1"/>
    <col min="6930" max="6930" width="10" style="4" bestFit="1" customWidth="1"/>
    <col min="6931" max="6931" width="29.7265625" style="4" bestFit="1" customWidth="1"/>
    <col min="6932" max="6932" width="17" style="4" bestFit="1" customWidth="1"/>
    <col min="6933" max="7143" width="9.26953125" style="4"/>
    <col min="7144" max="7144" width="8.26953125" style="4" customWidth="1"/>
    <col min="7145" max="7145" width="12.26953125" style="4" bestFit="1" customWidth="1"/>
    <col min="7146" max="7146" width="23.7265625" style="4" bestFit="1" customWidth="1"/>
    <col min="7147" max="7147" width="7.54296875" style="4" customWidth="1"/>
    <col min="7148" max="7148" width="12" style="4" customWidth="1"/>
    <col min="7149" max="7149" width="9.7265625" style="4" customWidth="1"/>
    <col min="7150" max="7150" width="23.7265625" style="4" customWidth="1"/>
    <col min="7151" max="7151" width="50.7265625" style="4" customWidth="1"/>
    <col min="7152" max="7152" width="11.453125" style="4" customWidth="1"/>
    <col min="7153" max="7153" width="12.54296875" style="4" customWidth="1"/>
    <col min="7154" max="7154" width="10.26953125" style="4" customWidth="1"/>
    <col min="7155" max="7155" width="9" style="4" customWidth="1"/>
    <col min="7156" max="7156" width="11.54296875" style="4" customWidth="1"/>
    <col min="7157" max="7157" width="9.453125" style="4" customWidth="1"/>
    <col min="7158" max="7158" width="10.7265625" style="4" customWidth="1"/>
    <col min="7159" max="7159" width="8.26953125" style="4" customWidth="1"/>
    <col min="7160" max="7160" width="9.26953125" style="4" customWidth="1"/>
    <col min="7161" max="7161" width="11.54296875" style="4" customWidth="1"/>
    <col min="7162" max="7163" width="9.26953125" style="4" bestFit="1" customWidth="1"/>
    <col min="7164" max="7164" width="9.7265625" style="4" customWidth="1"/>
    <col min="7165" max="7165" width="11.54296875" style="4" bestFit="1" customWidth="1"/>
    <col min="7166" max="7166" width="9.26953125" style="4"/>
    <col min="7167" max="7169" width="0" style="4" hidden="1" customWidth="1"/>
    <col min="7170" max="7176" width="9.26953125" style="4"/>
    <col min="7177" max="7177" width="10.54296875" style="4" bestFit="1" customWidth="1"/>
    <col min="7178" max="7178" width="9.26953125" style="4"/>
    <col min="7179" max="7179" width="12.26953125" style="4" bestFit="1" customWidth="1"/>
    <col min="7180" max="7180" width="9.26953125" style="4"/>
    <col min="7181" max="7182" width="0" style="4" hidden="1" customWidth="1"/>
    <col min="7183" max="7183" width="11" style="4" bestFit="1" customWidth="1"/>
    <col min="7184" max="7184" width="8.26953125" style="4" bestFit="1" customWidth="1"/>
    <col min="7185" max="7185" width="6.453125" style="4" bestFit="1" customWidth="1"/>
    <col min="7186" max="7186" width="10" style="4" bestFit="1" customWidth="1"/>
    <col min="7187" max="7187" width="29.7265625" style="4" bestFit="1" customWidth="1"/>
    <col min="7188" max="7188" width="17" style="4" bestFit="1" customWidth="1"/>
    <col min="7189" max="7399" width="9.26953125" style="4"/>
    <col min="7400" max="7400" width="8.26953125" style="4" customWidth="1"/>
    <col min="7401" max="7401" width="12.26953125" style="4" bestFit="1" customWidth="1"/>
    <col min="7402" max="7402" width="23.7265625" style="4" bestFit="1" customWidth="1"/>
    <col min="7403" max="7403" width="7.54296875" style="4" customWidth="1"/>
    <col min="7404" max="7404" width="12" style="4" customWidth="1"/>
    <col min="7405" max="7405" width="9.7265625" style="4" customWidth="1"/>
    <col min="7406" max="7406" width="23.7265625" style="4" customWidth="1"/>
    <col min="7407" max="7407" width="50.7265625" style="4" customWidth="1"/>
    <col min="7408" max="7408" width="11.453125" style="4" customWidth="1"/>
    <col min="7409" max="7409" width="12.54296875" style="4" customWidth="1"/>
    <col min="7410" max="7410" width="10.26953125" style="4" customWidth="1"/>
    <col min="7411" max="7411" width="9" style="4" customWidth="1"/>
    <col min="7412" max="7412" width="11.54296875" style="4" customWidth="1"/>
    <col min="7413" max="7413" width="9.453125" style="4" customWidth="1"/>
    <col min="7414" max="7414" width="10.7265625" style="4" customWidth="1"/>
    <col min="7415" max="7415" width="8.26953125" style="4" customWidth="1"/>
    <col min="7416" max="7416" width="9.26953125" style="4" customWidth="1"/>
    <col min="7417" max="7417" width="11.54296875" style="4" customWidth="1"/>
    <col min="7418" max="7419" width="9.26953125" style="4" bestFit="1" customWidth="1"/>
    <col min="7420" max="7420" width="9.7265625" style="4" customWidth="1"/>
    <col min="7421" max="7421" width="11.54296875" style="4" bestFit="1" customWidth="1"/>
    <col min="7422" max="7422" width="9.26953125" style="4"/>
    <col min="7423" max="7425" width="0" style="4" hidden="1" customWidth="1"/>
    <col min="7426" max="7432" width="9.26953125" style="4"/>
    <col min="7433" max="7433" width="10.54296875" style="4" bestFit="1" customWidth="1"/>
    <col min="7434" max="7434" width="9.26953125" style="4"/>
    <col min="7435" max="7435" width="12.26953125" style="4" bestFit="1" customWidth="1"/>
    <col min="7436" max="7436" width="9.26953125" style="4"/>
    <col min="7437" max="7438" width="0" style="4" hidden="1" customWidth="1"/>
    <col min="7439" max="7439" width="11" style="4" bestFit="1" customWidth="1"/>
    <col min="7440" max="7440" width="8.26953125" style="4" bestFit="1" customWidth="1"/>
    <col min="7441" max="7441" width="6.453125" style="4" bestFit="1" customWidth="1"/>
    <col min="7442" max="7442" width="10" style="4" bestFit="1" customWidth="1"/>
    <col min="7443" max="7443" width="29.7265625" style="4" bestFit="1" customWidth="1"/>
    <col min="7444" max="7444" width="17" style="4" bestFit="1" customWidth="1"/>
    <col min="7445" max="7655" width="9.26953125" style="4"/>
    <col min="7656" max="7656" width="8.26953125" style="4" customWidth="1"/>
    <col min="7657" max="7657" width="12.26953125" style="4" bestFit="1" customWidth="1"/>
    <col min="7658" max="7658" width="23.7265625" style="4" bestFit="1" customWidth="1"/>
    <col min="7659" max="7659" width="7.54296875" style="4" customWidth="1"/>
    <col min="7660" max="7660" width="12" style="4" customWidth="1"/>
    <col min="7661" max="7661" width="9.7265625" style="4" customWidth="1"/>
    <col min="7662" max="7662" width="23.7265625" style="4" customWidth="1"/>
    <col min="7663" max="7663" width="50.7265625" style="4" customWidth="1"/>
    <col min="7664" max="7664" width="11.453125" style="4" customWidth="1"/>
    <col min="7665" max="7665" width="12.54296875" style="4" customWidth="1"/>
    <col min="7666" max="7666" width="10.26953125" style="4" customWidth="1"/>
    <col min="7667" max="7667" width="9" style="4" customWidth="1"/>
    <col min="7668" max="7668" width="11.54296875" style="4" customWidth="1"/>
    <col min="7669" max="7669" width="9.453125" style="4" customWidth="1"/>
    <col min="7670" max="7670" width="10.7265625" style="4" customWidth="1"/>
    <col min="7671" max="7671" width="8.26953125" style="4" customWidth="1"/>
    <col min="7672" max="7672" width="9.26953125" style="4" customWidth="1"/>
    <col min="7673" max="7673" width="11.54296875" style="4" customWidth="1"/>
    <col min="7674" max="7675" width="9.26953125" style="4" bestFit="1" customWidth="1"/>
    <col min="7676" max="7676" width="9.7265625" style="4" customWidth="1"/>
    <col min="7677" max="7677" width="11.54296875" style="4" bestFit="1" customWidth="1"/>
    <col min="7678" max="7678" width="9.26953125" style="4"/>
    <col min="7679" max="7681" width="0" style="4" hidden="1" customWidth="1"/>
    <col min="7682" max="7688" width="9.26953125" style="4"/>
    <col min="7689" max="7689" width="10.54296875" style="4" bestFit="1" customWidth="1"/>
    <col min="7690" max="7690" width="9.26953125" style="4"/>
    <col min="7691" max="7691" width="12.26953125" style="4" bestFit="1" customWidth="1"/>
    <col min="7692" max="7692" width="9.26953125" style="4"/>
    <col min="7693" max="7694" width="0" style="4" hidden="1" customWidth="1"/>
    <col min="7695" max="7695" width="11" style="4" bestFit="1" customWidth="1"/>
    <col min="7696" max="7696" width="8.26953125" style="4" bestFit="1" customWidth="1"/>
    <col min="7697" max="7697" width="6.453125" style="4" bestFit="1" customWidth="1"/>
    <col min="7698" max="7698" width="10" style="4" bestFit="1" customWidth="1"/>
    <col min="7699" max="7699" width="29.7265625" style="4" bestFit="1" customWidth="1"/>
    <col min="7700" max="7700" width="17" style="4" bestFit="1" customWidth="1"/>
    <col min="7701" max="7911" width="9.26953125" style="4"/>
    <col min="7912" max="7912" width="8.26953125" style="4" customWidth="1"/>
    <col min="7913" max="7913" width="12.26953125" style="4" bestFit="1" customWidth="1"/>
    <col min="7914" max="7914" width="23.7265625" style="4" bestFit="1" customWidth="1"/>
    <col min="7915" max="7915" width="7.54296875" style="4" customWidth="1"/>
    <col min="7916" max="7916" width="12" style="4" customWidth="1"/>
    <col min="7917" max="7917" width="9.7265625" style="4" customWidth="1"/>
    <col min="7918" max="7918" width="23.7265625" style="4" customWidth="1"/>
    <col min="7919" max="7919" width="50.7265625" style="4" customWidth="1"/>
    <col min="7920" max="7920" width="11.453125" style="4" customWidth="1"/>
    <col min="7921" max="7921" width="12.54296875" style="4" customWidth="1"/>
    <col min="7922" max="7922" width="10.26953125" style="4" customWidth="1"/>
    <col min="7923" max="7923" width="9" style="4" customWidth="1"/>
    <col min="7924" max="7924" width="11.54296875" style="4" customWidth="1"/>
    <col min="7925" max="7925" width="9.453125" style="4" customWidth="1"/>
    <col min="7926" max="7926" width="10.7265625" style="4" customWidth="1"/>
    <col min="7927" max="7927" width="8.26953125" style="4" customWidth="1"/>
    <col min="7928" max="7928" width="9.26953125" style="4" customWidth="1"/>
    <col min="7929" max="7929" width="11.54296875" style="4" customWidth="1"/>
    <col min="7930" max="7931" width="9.26953125" style="4" bestFit="1" customWidth="1"/>
    <col min="7932" max="7932" width="9.7265625" style="4" customWidth="1"/>
    <col min="7933" max="7933" width="11.54296875" style="4" bestFit="1" customWidth="1"/>
    <col min="7934" max="7934" width="9.26953125" style="4"/>
    <col min="7935" max="7937" width="0" style="4" hidden="1" customWidth="1"/>
    <col min="7938" max="7944" width="9.26953125" style="4"/>
    <col min="7945" max="7945" width="10.54296875" style="4" bestFit="1" customWidth="1"/>
    <col min="7946" max="7946" width="9.26953125" style="4"/>
    <col min="7947" max="7947" width="12.26953125" style="4" bestFit="1" customWidth="1"/>
    <col min="7948" max="7948" width="9.26953125" style="4"/>
    <col min="7949" max="7950" width="0" style="4" hidden="1" customWidth="1"/>
    <col min="7951" max="7951" width="11" style="4" bestFit="1" customWidth="1"/>
    <col min="7952" max="7952" width="8.26953125" style="4" bestFit="1" customWidth="1"/>
    <col min="7953" max="7953" width="6.453125" style="4" bestFit="1" customWidth="1"/>
    <col min="7954" max="7954" width="10" style="4" bestFit="1" customWidth="1"/>
    <col min="7955" max="7955" width="29.7265625" style="4" bestFit="1" customWidth="1"/>
    <col min="7956" max="7956" width="17" style="4" bestFit="1" customWidth="1"/>
    <col min="7957" max="8167" width="9.26953125" style="4"/>
    <col min="8168" max="8168" width="8.26953125" style="4" customWidth="1"/>
    <col min="8169" max="8169" width="12.26953125" style="4" bestFit="1" customWidth="1"/>
    <col min="8170" max="8170" width="23.7265625" style="4" bestFit="1" customWidth="1"/>
    <col min="8171" max="8171" width="7.54296875" style="4" customWidth="1"/>
    <col min="8172" max="8172" width="12" style="4" customWidth="1"/>
    <col min="8173" max="8173" width="9.7265625" style="4" customWidth="1"/>
    <col min="8174" max="8174" width="23.7265625" style="4" customWidth="1"/>
    <col min="8175" max="8175" width="50.7265625" style="4" customWidth="1"/>
    <col min="8176" max="8176" width="11.453125" style="4" customWidth="1"/>
    <col min="8177" max="8177" width="12.54296875" style="4" customWidth="1"/>
    <col min="8178" max="8178" width="10.26953125" style="4" customWidth="1"/>
    <col min="8179" max="8179" width="9" style="4" customWidth="1"/>
    <col min="8180" max="8180" width="11.54296875" style="4" customWidth="1"/>
    <col min="8181" max="8181" width="9.453125" style="4" customWidth="1"/>
    <col min="8182" max="8182" width="10.7265625" style="4" customWidth="1"/>
    <col min="8183" max="8183" width="8.26953125" style="4" customWidth="1"/>
    <col min="8184" max="8184" width="9.26953125" style="4" customWidth="1"/>
    <col min="8185" max="8185" width="11.54296875" style="4" customWidth="1"/>
    <col min="8186" max="8187" width="9.26953125" style="4" bestFit="1" customWidth="1"/>
    <col min="8188" max="8188" width="9.7265625" style="4" customWidth="1"/>
    <col min="8189" max="8189" width="11.54296875" style="4" bestFit="1" customWidth="1"/>
    <col min="8190" max="8190" width="9.26953125" style="4"/>
    <col min="8191" max="8193" width="0" style="4" hidden="1" customWidth="1"/>
    <col min="8194" max="8200" width="9.26953125" style="4"/>
    <col min="8201" max="8201" width="10.54296875" style="4" bestFit="1" customWidth="1"/>
    <col min="8202" max="8202" width="9.26953125" style="4"/>
    <col min="8203" max="8203" width="12.26953125" style="4" bestFit="1" customWidth="1"/>
    <col min="8204" max="8204" width="9.26953125" style="4"/>
    <col min="8205" max="8206" width="0" style="4" hidden="1" customWidth="1"/>
    <col min="8207" max="8207" width="11" style="4" bestFit="1" customWidth="1"/>
    <col min="8208" max="8208" width="8.26953125" style="4" bestFit="1" customWidth="1"/>
    <col min="8209" max="8209" width="6.453125" style="4" bestFit="1" customWidth="1"/>
    <col min="8210" max="8210" width="10" style="4" bestFit="1" customWidth="1"/>
    <col min="8211" max="8211" width="29.7265625" style="4" bestFit="1" customWidth="1"/>
    <col min="8212" max="8212" width="17" style="4" bestFit="1" customWidth="1"/>
    <col min="8213" max="8423" width="9.26953125" style="4"/>
    <col min="8424" max="8424" width="8.26953125" style="4" customWidth="1"/>
    <col min="8425" max="8425" width="12.26953125" style="4" bestFit="1" customWidth="1"/>
    <col min="8426" max="8426" width="23.7265625" style="4" bestFit="1" customWidth="1"/>
    <col min="8427" max="8427" width="7.54296875" style="4" customWidth="1"/>
    <col min="8428" max="8428" width="12" style="4" customWidth="1"/>
    <col min="8429" max="8429" width="9.7265625" style="4" customWidth="1"/>
    <col min="8430" max="8430" width="23.7265625" style="4" customWidth="1"/>
    <col min="8431" max="8431" width="50.7265625" style="4" customWidth="1"/>
    <col min="8432" max="8432" width="11.453125" style="4" customWidth="1"/>
    <col min="8433" max="8433" width="12.54296875" style="4" customWidth="1"/>
    <col min="8434" max="8434" width="10.26953125" style="4" customWidth="1"/>
    <col min="8435" max="8435" width="9" style="4" customWidth="1"/>
    <col min="8436" max="8436" width="11.54296875" style="4" customWidth="1"/>
    <col min="8437" max="8437" width="9.453125" style="4" customWidth="1"/>
    <col min="8438" max="8438" width="10.7265625" style="4" customWidth="1"/>
    <col min="8439" max="8439" width="8.26953125" style="4" customWidth="1"/>
    <col min="8440" max="8440" width="9.26953125" style="4" customWidth="1"/>
    <col min="8441" max="8441" width="11.54296875" style="4" customWidth="1"/>
    <col min="8442" max="8443" width="9.26953125" style="4" bestFit="1" customWidth="1"/>
    <col min="8444" max="8444" width="9.7265625" style="4" customWidth="1"/>
    <col min="8445" max="8445" width="11.54296875" style="4" bestFit="1" customWidth="1"/>
    <col min="8446" max="8446" width="9.26953125" style="4"/>
    <col min="8447" max="8449" width="0" style="4" hidden="1" customWidth="1"/>
    <col min="8450" max="8456" width="9.26953125" style="4"/>
    <col min="8457" max="8457" width="10.54296875" style="4" bestFit="1" customWidth="1"/>
    <col min="8458" max="8458" width="9.26953125" style="4"/>
    <col min="8459" max="8459" width="12.26953125" style="4" bestFit="1" customWidth="1"/>
    <col min="8460" max="8460" width="9.26953125" style="4"/>
    <col min="8461" max="8462" width="0" style="4" hidden="1" customWidth="1"/>
    <col min="8463" max="8463" width="11" style="4" bestFit="1" customWidth="1"/>
    <col min="8464" max="8464" width="8.26953125" style="4" bestFit="1" customWidth="1"/>
    <col min="8465" max="8465" width="6.453125" style="4" bestFit="1" customWidth="1"/>
    <col min="8466" max="8466" width="10" style="4" bestFit="1" customWidth="1"/>
    <col min="8467" max="8467" width="29.7265625" style="4" bestFit="1" customWidth="1"/>
    <col min="8468" max="8468" width="17" style="4" bestFit="1" customWidth="1"/>
    <col min="8469" max="8679" width="9.26953125" style="4"/>
    <col min="8680" max="8680" width="8.26953125" style="4" customWidth="1"/>
    <col min="8681" max="8681" width="12.26953125" style="4" bestFit="1" customWidth="1"/>
    <col min="8682" max="8682" width="23.7265625" style="4" bestFit="1" customWidth="1"/>
    <col min="8683" max="8683" width="7.54296875" style="4" customWidth="1"/>
    <col min="8684" max="8684" width="12" style="4" customWidth="1"/>
    <col min="8685" max="8685" width="9.7265625" style="4" customWidth="1"/>
    <col min="8686" max="8686" width="23.7265625" style="4" customWidth="1"/>
    <col min="8687" max="8687" width="50.7265625" style="4" customWidth="1"/>
    <col min="8688" max="8688" width="11.453125" style="4" customWidth="1"/>
    <col min="8689" max="8689" width="12.54296875" style="4" customWidth="1"/>
    <col min="8690" max="8690" width="10.26953125" style="4" customWidth="1"/>
    <col min="8691" max="8691" width="9" style="4" customWidth="1"/>
    <col min="8692" max="8692" width="11.54296875" style="4" customWidth="1"/>
    <col min="8693" max="8693" width="9.453125" style="4" customWidth="1"/>
    <col min="8694" max="8694" width="10.7265625" style="4" customWidth="1"/>
    <col min="8695" max="8695" width="8.26953125" style="4" customWidth="1"/>
    <col min="8696" max="8696" width="9.26953125" style="4" customWidth="1"/>
    <col min="8697" max="8697" width="11.54296875" style="4" customWidth="1"/>
    <col min="8698" max="8699" width="9.26953125" style="4" bestFit="1" customWidth="1"/>
    <col min="8700" max="8700" width="9.7265625" style="4" customWidth="1"/>
    <col min="8701" max="8701" width="11.54296875" style="4" bestFit="1" customWidth="1"/>
    <col min="8702" max="8702" width="9.26953125" style="4"/>
    <col min="8703" max="8705" width="0" style="4" hidden="1" customWidth="1"/>
    <col min="8706" max="8712" width="9.26953125" style="4"/>
    <col min="8713" max="8713" width="10.54296875" style="4" bestFit="1" customWidth="1"/>
    <col min="8714" max="8714" width="9.26953125" style="4"/>
    <col min="8715" max="8715" width="12.26953125" style="4" bestFit="1" customWidth="1"/>
    <col min="8716" max="8716" width="9.26953125" style="4"/>
    <col min="8717" max="8718" width="0" style="4" hidden="1" customWidth="1"/>
    <col min="8719" max="8719" width="11" style="4" bestFit="1" customWidth="1"/>
    <col min="8720" max="8720" width="8.26953125" style="4" bestFit="1" customWidth="1"/>
    <col min="8721" max="8721" width="6.453125" style="4" bestFit="1" customWidth="1"/>
    <col min="8722" max="8722" width="10" style="4" bestFit="1" customWidth="1"/>
    <col min="8723" max="8723" width="29.7265625" style="4" bestFit="1" customWidth="1"/>
    <col min="8724" max="8724" width="17" style="4" bestFit="1" customWidth="1"/>
    <col min="8725" max="8935" width="9.26953125" style="4"/>
    <col min="8936" max="8936" width="8.26953125" style="4" customWidth="1"/>
    <col min="8937" max="8937" width="12.26953125" style="4" bestFit="1" customWidth="1"/>
    <col min="8938" max="8938" width="23.7265625" style="4" bestFit="1" customWidth="1"/>
    <col min="8939" max="8939" width="7.54296875" style="4" customWidth="1"/>
    <col min="8940" max="8940" width="12" style="4" customWidth="1"/>
    <col min="8941" max="8941" width="9.7265625" style="4" customWidth="1"/>
    <col min="8942" max="8942" width="23.7265625" style="4" customWidth="1"/>
    <col min="8943" max="8943" width="50.7265625" style="4" customWidth="1"/>
    <col min="8944" max="8944" width="11.453125" style="4" customWidth="1"/>
    <col min="8945" max="8945" width="12.54296875" style="4" customWidth="1"/>
    <col min="8946" max="8946" width="10.26953125" style="4" customWidth="1"/>
    <col min="8947" max="8947" width="9" style="4" customWidth="1"/>
    <col min="8948" max="8948" width="11.54296875" style="4" customWidth="1"/>
    <col min="8949" max="8949" width="9.453125" style="4" customWidth="1"/>
    <col min="8950" max="8950" width="10.7265625" style="4" customWidth="1"/>
    <col min="8951" max="8951" width="8.26953125" style="4" customWidth="1"/>
    <col min="8952" max="8952" width="9.26953125" style="4" customWidth="1"/>
    <col min="8953" max="8953" width="11.54296875" style="4" customWidth="1"/>
    <col min="8954" max="8955" width="9.26953125" style="4" bestFit="1" customWidth="1"/>
    <col min="8956" max="8956" width="9.7265625" style="4" customWidth="1"/>
    <col min="8957" max="8957" width="11.54296875" style="4" bestFit="1" customWidth="1"/>
    <col min="8958" max="8958" width="9.26953125" style="4"/>
    <col min="8959" max="8961" width="0" style="4" hidden="1" customWidth="1"/>
    <col min="8962" max="8968" width="9.26953125" style="4"/>
    <col min="8969" max="8969" width="10.54296875" style="4" bestFit="1" customWidth="1"/>
    <col min="8970" max="8970" width="9.26953125" style="4"/>
    <col min="8971" max="8971" width="12.26953125" style="4" bestFit="1" customWidth="1"/>
    <col min="8972" max="8972" width="9.26953125" style="4"/>
    <col min="8973" max="8974" width="0" style="4" hidden="1" customWidth="1"/>
    <col min="8975" max="8975" width="11" style="4" bestFit="1" customWidth="1"/>
    <col min="8976" max="8976" width="8.26953125" style="4" bestFit="1" customWidth="1"/>
    <col min="8977" max="8977" width="6.453125" style="4" bestFit="1" customWidth="1"/>
    <col min="8978" max="8978" width="10" style="4" bestFit="1" customWidth="1"/>
    <col min="8979" max="8979" width="29.7265625" style="4" bestFit="1" customWidth="1"/>
    <col min="8980" max="8980" width="17" style="4" bestFit="1" customWidth="1"/>
    <col min="8981" max="9191" width="9.26953125" style="4"/>
    <col min="9192" max="9192" width="8.26953125" style="4" customWidth="1"/>
    <col min="9193" max="9193" width="12.26953125" style="4" bestFit="1" customWidth="1"/>
    <col min="9194" max="9194" width="23.7265625" style="4" bestFit="1" customWidth="1"/>
    <col min="9195" max="9195" width="7.54296875" style="4" customWidth="1"/>
    <col min="9196" max="9196" width="12" style="4" customWidth="1"/>
    <col min="9197" max="9197" width="9.7265625" style="4" customWidth="1"/>
    <col min="9198" max="9198" width="23.7265625" style="4" customWidth="1"/>
    <col min="9199" max="9199" width="50.7265625" style="4" customWidth="1"/>
    <col min="9200" max="9200" width="11.453125" style="4" customWidth="1"/>
    <col min="9201" max="9201" width="12.54296875" style="4" customWidth="1"/>
    <col min="9202" max="9202" width="10.26953125" style="4" customWidth="1"/>
    <col min="9203" max="9203" width="9" style="4" customWidth="1"/>
    <col min="9204" max="9204" width="11.54296875" style="4" customWidth="1"/>
    <col min="9205" max="9205" width="9.453125" style="4" customWidth="1"/>
    <col min="9206" max="9206" width="10.7265625" style="4" customWidth="1"/>
    <col min="9207" max="9207" width="8.26953125" style="4" customWidth="1"/>
    <col min="9208" max="9208" width="9.26953125" style="4" customWidth="1"/>
    <col min="9209" max="9209" width="11.54296875" style="4" customWidth="1"/>
    <col min="9210" max="9211" width="9.26953125" style="4" bestFit="1" customWidth="1"/>
    <col min="9212" max="9212" width="9.7265625" style="4" customWidth="1"/>
    <col min="9213" max="9213" width="11.54296875" style="4" bestFit="1" customWidth="1"/>
    <col min="9214" max="9214" width="9.26953125" style="4"/>
    <col min="9215" max="9217" width="0" style="4" hidden="1" customWidth="1"/>
    <col min="9218" max="9224" width="9.26953125" style="4"/>
    <col min="9225" max="9225" width="10.54296875" style="4" bestFit="1" customWidth="1"/>
    <col min="9226" max="9226" width="9.26953125" style="4"/>
    <col min="9227" max="9227" width="12.26953125" style="4" bestFit="1" customWidth="1"/>
    <col min="9228" max="9228" width="9.26953125" style="4"/>
    <col min="9229" max="9230" width="0" style="4" hidden="1" customWidth="1"/>
    <col min="9231" max="9231" width="11" style="4" bestFit="1" customWidth="1"/>
    <col min="9232" max="9232" width="8.26953125" style="4" bestFit="1" customWidth="1"/>
    <col min="9233" max="9233" width="6.453125" style="4" bestFit="1" customWidth="1"/>
    <col min="9234" max="9234" width="10" style="4" bestFit="1" customWidth="1"/>
    <col min="9235" max="9235" width="29.7265625" style="4" bestFit="1" customWidth="1"/>
    <col min="9236" max="9236" width="17" style="4" bestFit="1" customWidth="1"/>
    <col min="9237" max="9447" width="9.26953125" style="4"/>
    <col min="9448" max="9448" width="8.26953125" style="4" customWidth="1"/>
    <col min="9449" max="9449" width="12.26953125" style="4" bestFit="1" customWidth="1"/>
    <col min="9450" max="9450" width="23.7265625" style="4" bestFit="1" customWidth="1"/>
    <col min="9451" max="9451" width="7.54296875" style="4" customWidth="1"/>
    <col min="9452" max="9452" width="12" style="4" customWidth="1"/>
    <col min="9453" max="9453" width="9.7265625" style="4" customWidth="1"/>
    <col min="9454" max="9454" width="23.7265625" style="4" customWidth="1"/>
    <col min="9455" max="9455" width="50.7265625" style="4" customWidth="1"/>
    <col min="9456" max="9456" width="11.453125" style="4" customWidth="1"/>
    <col min="9457" max="9457" width="12.54296875" style="4" customWidth="1"/>
    <col min="9458" max="9458" width="10.26953125" style="4" customWidth="1"/>
    <col min="9459" max="9459" width="9" style="4" customWidth="1"/>
    <col min="9460" max="9460" width="11.54296875" style="4" customWidth="1"/>
    <col min="9461" max="9461" width="9.453125" style="4" customWidth="1"/>
    <col min="9462" max="9462" width="10.7265625" style="4" customWidth="1"/>
    <col min="9463" max="9463" width="8.26953125" style="4" customWidth="1"/>
    <col min="9464" max="9464" width="9.26953125" style="4" customWidth="1"/>
    <col min="9465" max="9465" width="11.54296875" style="4" customWidth="1"/>
    <col min="9466" max="9467" width="9.26953125" style="4" bestFit="1" customWidth="1"/>
    <col min="9468" max="9468" width="9.7265625" style="4" customWidth="1"/>
    <col min="9469" max="9469" width="11.54296875" style="4" bestFit="1" customWidth="1"/>
    <col min="9470" max="9470" width="9.26953125" style="4"/>
    <col min="9471" max="9473" width="0" style="4" hidden="1" customWidth="1"/>
    <col min="9474" max="9480" width="9.26953125" style="4"/>
    <col min="9481" max="9481" width="10.54296875" style="4" bestFit="1" customWidth="1"/>
    <col min="9482" max="9482" width="9.26953125" style="4"/>
    <col min="9483" max="9483" width="12.26953125" style="4" bestFit="1" customWidth="1"/>
    <col min="9484" max="9484" width="9.26953125" style="4"/>
    <col min="9485" max="9486" width="0" style="4" hidden="1" customWidth="1"/>
    <col min="9487" max="9487" width="11" style="4" bestFit="1" customWidth="1"/>
    <col min="9488" max="9488" width="8.26953125" style="4" bestFit="1" customWidth="1"/>
    <col min="9489" max="9489" width="6.453125" style="4" bestFit="1" customWidth="1"/>
    <col min="9490" max="9490" width="10" style="4" bestFit="1" customWidth="1"/>
    <col min="9491" max="9491" width="29.7265625" style="4" bestFit="1" customWidth="1"/>
    <col min="9492" max="9492" width="17" style="4" bestFit="1" customWidth="1"/>
    <col min="9493" max="9703" width="9.26953125" style="4"/>
    <col min="9704" max="9704" width="8.26953125" style="4" customWidth="1"/>
    <col min="9705" max="9705" width="12.26953125" style="4" bestFit="1" customWidth="1"/>
    <col min="9706" max="9706" width="23.7265625" style="4" bestFit="1" customWidth="1"/>
    <col min="9707" max="9707" width="7.54296875" style="4" customWidth="1"/>
    <col min="9708" max="9708" width="12" style="4" customWidth="1"/>
    <col min="9709" max="9709" width="9.7265625" style="4" customWidth="1"/>
    <col min="9710" max="9710" width="23.7265625" style="4" customWidth="1"/>
    <col min="9711" max="9711" width="50.7265625" style="4" customWidth="1"/>
    <col min="9712" max="9712" width="11.453125" style="4" customWidth="1"/>
    <col min="9713" max="9713" width="12.54296875" style="4" customWidth="1"/>
    <col min="9714" max="9714" width="10.26953125" style="4" customWidth="1"/>
    <col min="9715" max="9715" width="9" style="4" customWidth="1"/>
    <col min="9716" max="9716" width="11.54296875" style="4" customWidth="1"/>
    <col min="9717" max="9717" width="9.453125" style="4" customWidth="1"/>
    <col min="9718" max="9718" width="10.7265625" style="4" customWidth="1"/>
    <col min="9719" max="9719" width="8.26953125" style="4" customWidth="1"/>
    <col min="9720" max="9720" width="9.26953125" style="4" customWidth="1"/>
    <col min="9721" max="9721" width="11.54296875" style="4" customWidth="1"/>
    <col min="9722" max="9723" width="9.26953125" style="4" bestFit="1" customWidth="1"/>
    <col min="9724" max="9724" width="9.7265625" style="4" customWidth="1"/>
    <col min="9725" max="9725" width="11.54296875" style="4" bestFit="1" customWidth="1"/>
    <col min="9726" max="9726" width="9.26953125" style="4"/>
    <col min="9727" max="9729" width="0" style="4" hidden="1" customWidth="1"/>
    <col min="9730" max="9736" width="9.26953125" style="4"/>
    <col min="9737" max="9737" width="10.54296875" style="4" bestFit="1" customWidth="1"/>
    <col min="9738" max="9738" width="9.26953125" style="4"/>
    <col min="9739" max="9739" width="12.26953125" style="4" bestFit="1" customWidth="1"/>
    <col min="9740" max="9740" width="9.26953125" style="4"/>
    <col min="9741" max="9742" width="0" style="4" hidden="1" customWidth="1"/>
    <col min="9743" max="9743" width="11" style="4" bestFit="1" customWidth="1"/>
    <col min="9744" max="9744" width="8.26953125" style="4" bestFit="1" customWidth="1"/>
    <col min="9745" max="9745" width="6.453125" style="4" bestFit="1" customWidth="1"/>
    <col min="9746" max="9746" width="10" style="4" bestFit="1" customWidth="1"/>
    <col min="9747" max="9747" width="29.7265625" style="4" bestFit="1" customWidth="1"/>
    <col min="9748" max="9748" width="17" style="4" bestFit="1" customWidth="1"/>
    <col min="9749" max="9959" width="9.26953125" style="4"/>
    <col min="9960" max="9960" width="8.26953125" style="4" customWidth="1"/>
    <col min="9961" max="9961" width="12.26953125" style="4" bestFit="1" customWidth="1"/>
    <col min="9962" max="9962" width="23.7265625" style="4" bestFit="1" customWidth="1"/>
    <col min="9963" max="9963" width="7.54296875" style="4" customWidth="1"/>
    <col min="9964" max="9964" width="12" style="4" customWidth="1"/>
    <col min="9965" max="9965" width="9.7265625" style="4" customWidth="1"/>
    <col min="9966" max="9966" width="23.7265625" style="4" customWidth="1"/>
    <col min="9967" max="9967" width="50.7265625" style="4" customWidth="1"/>
    <col min="9968" max="9968" width="11.453125" style="4" customWidth="1"/>
    <col min="9969" max="9969" width="12.54296875" style="4" customWidth="1"/>
    <col min="9970" max="9970" width="10.26953125" style="4" customWidth="1"/>
    <col min="9971" max="9971" width="9" style="4" customWidth="1"/>
    <col min="9972" max="9972" width="11.54296875" style="4" customWidth="1"/>
    <col min="9973" max="9973" width="9.453125" style="4" customWidth="1"/>
    <col min="9974" max="9974" width="10.7265625" style="4" customWidth="1"/>
    <col min="9975" max="9975" width="8.26953125" style="4" customWidth="1"/>
    <col min="9976" max="9976" width="9.26953125" style="4" customWidth="1"/>
    <col min="9977" max="9977" width="11.54296875" style="4" customWidth="1"/>
    <col min="9978" max="9979" width="9.26953125" style="4" bestFit="1" customWidth="1"/>
    <col min="9980" max="9980" width="9.7265625" style="4" customWidth="1"/>
    <col min="9981" max="9981" width="11.54296875" style="4" bestFit="1" customWidth="1"/>
    <col min="9982" max="9982" width="9.26953125" style="4"/>
    <col min="9983" max="9985" width="0" style="4" hidden="1" customWidth="1"/>
    <col min="9986" max="9992" width="9.26953125" style="4"/>
    <col min="9993" max="9993" width="10.54296875" style="4" bestFit="1" customWidth="1"/>
    <col min="9994" max="9994" width="9.26953125" style="4"/>
    <col min="9995" max="9995" width="12.26953125" style="4" bestFit="1" customWidth="1"/>
    <col min="9996" max="9996" width="9.26953125" style="4"/>
    <col min="9997" max="9998" width="0" style="4" hidden="1" customWidth="1"/>
    <col min="9999" max="9999" width="11" style="4" bestFit="1" customWidth="1"/>
    <col min="10000" max="10000" width="8.26953125" style="4" bestFit="1" customWidth="1"/>
    <col min="10001" max="10001" width="6.453125" style="4" bestFit="1" customWidth="1"/>
    <col min="10002" max="10002" width="10" style="4" bestFit="1" customWidth="1"/>
    <col min="10003" max="10003" width="29.7265625" style="4" bestFit="1" customWidth="1"/>
    <col min="10004" max="10004" width="17" style="4" bestFit="1" customWidth="1"/>
    <col min="10005" max="10215" width="9.26953125" style="4"/>
    <col min="10216" max="10216" width="8.26953125" style="4" customWidth="1"/>
    <col min="10217" max="10217" width="12.26953125" style="4" bestFit="1" customWidth="1"/>
    <col min="10218" max="10218" width="23.7265625" style="4" bestFit="1" customWidth="1"/>
    <col min="10219" max="10219" width="7.54296875" style="4" customWidth="1"/>
    <col min="10220" max="10220" width="12" style="4" customWidth="1"/>
    <col min="10221" max="10221" width="9.7265625" style="4" customWidth="1"/>
    <col min="10222" max="10222" width="23.7265625" style="4" customWidth="1"/>
    <col min="10223" max="10223" width="50.7265625" style="4" customWidth="1"/>
    <col min="10224" max="10224" width="11.453125" style="4" customWidth="1"/>
    <col min="10225" max="10225" width="12.54296875" style="4" customWidth="1"/>
    <col min="10226" max="10226" width="10.26953125" style="4" customWidth="1"/>
    <col min="10227" max="10227" width="9" style="4" customWidth="1"/>
    <col min="10228" max="10228" width="11.54296875" style="4" customWidth="1"/>
    <col min="10229" max="10229" width="9.453125" style="4" customWidth="1"/>
    <col min="10230" max="10230" width="10.7265625" style="4" customWidth="1"/>
    <col min="10231" max="10231" width="8.26953125" style="4" customWidth="1"/>
    <col min="10232" max="10232" width="9.26953125" style="4" customWidth="1"/>
    <col min="10233" max="10233" width="11.54296875" style="4" customWidth="1"/>
    <col min="10234" max="10235" width="9.26953125" style="4" bestFit="1" customWidth="1"/>
    <col min="10236" max="10236" width="9.7265625" style="4" customWidth="1"/>
    <col min="10237" max="10237" width="11.54296875" style="4" bestFit="1" customWidth="1"/>
    <col min="10238" max="10238" width="9.26953125" style="4"/>
    <col min="10239" max="10241" width="0" style="4" hidden="1" customWidth="1"/>
    <col min="10242" max="10248" width="9.26953125" style="4"/>
    <col min="10249" max="10249" width="10.54296875" style="4" bestFit="1" customWidth="1"/>
    <col min="10250" max="10250" width="9.26953125" style="4"/>
    <col min="10251" max="10251" width="12.26953125" style="4" bestFit="1" customWidth="1"/>
    <col min="10252" max="10252" width="9.26953125" style="4"/>
    <col min="10253" max="10254" width="0" style="4" hidden="1" customWidth="1"/>
    <col min="10255" max="10255" width="11" style="4" bestFit="1" customWidth="1"/>
    <col min="10256" max="10256" width="8.26953125" style="4" bestFit="1" customWidth="1"/>
    <col min="10257" max="10257" width="6.453125" style="4" bestFit="1" customWidth="1"/>
    <col min="10258" max="10258" width="10" style="4" bestFit="1" customWidth="1"/>
    <col min="10259" max="10259" width="29.7265625" style="4" bestFit="1" customWidth="1"/>
    <col min="10260" max="10260" width="17" style="4" bestFit="1" customWidth="1"/>
    <col min="10261" max="10471" width="9.26953125" style="4"/>
    <col min="10472" max="10472" width="8.26953125" style="4" customWidth="1"/>
    <col min="10473" max="10473" width="12.26953125" style="4" bestFit="1" customWidth="1"/>
    <col min="10474" max="10474" width="23.7265625" style="4" bestFit="1" customWidth="1"/>
    <col min="10475" max="10475" width="7.54296875" style="4" customWidth="1"/>
    <col min="10476" max="10476" width="12" style="4" customWidth="1"/>
    <col min="10477" max="10477" width="9.7265625" style="4" customWidth="1"/>
    <col min="10478" max="10478" width="23.7265625" style="4" customWidth="1"/>
    <col min="10479" max="10479" width="50.7265625" style="4" customWidth="1"/>
    <col min="10480" max="10480" width="11.453125" style="4" customWidth="1"/>
    <col min="10481" max="10481" width="12.54296875" style="4" customWidth="1"/>
    <col min="10482" max="10482" width="10.26953125" style="4" customWidth="1"/>
    <col min="10483" max="10483" width="9" style="4" customWidth="1"/>
    <col min="10484" max="10484" width="11.54296875" style="4" customWidth="1"/>
    <col min="10485" max="10485" width="9.453125" style="4" customWidth="1"/>
    <col min="10486" max="10486" width="10.7265625" style="4" customWidth="1"/>
    <col min="10487" max="10487" width="8.26953125" style="4" customWidth="1"/>
    <col min="10488" max="10488" width="9.26953125" style="4" customWidth="1"/>
    <col min="10489" max="10489" width="11.54296875" style="4" customWidth="1"/>
    <col min="10490" max="10491" width="9.26953125" style="4" bestFit="1" customWidth="1"/>
    <col min="10492" max="10492" width="9.7265625" style="4" customWidth="1"/>
    <col min="10493" max="10493" width="11.54296875" style="4" bestFit="1" customWidth="1"/>
    <col min="10494" max="10494" width="9.26953125" style="4"/>
    <col min="10495" max="10497" width="0" style="4" hidden="1" customWidth="1"/>
    <col min="10498" max="10504" width="9.26953125" style="4"/>
    <col min="10505" max="10505" width="10.54296875" style="4" bestFit="1" customWidth="1"/>
    <col min="10506" max="10506" width="9.26953125" style="4"/>
    <col min="10507" max="10507" width="12.26953125" style="4" bestFit="1" customWidth="1"/>
    <col min="10508" max="10508" width="9.26953125" style="4"/>
    <col min="10509" max="10510" width="0" style="4" hidden="1" customWidth="1"/>
    <col min="10511" max="10511" width="11" style="4" bestFit="1" customWidth="1"/>
    <col min="10512" max="10512" width="8.26953125" style="4" bestFit="1" customWidth="1"/>
    <col min="10513" max="10513" width="6.453125" style="4" bestFit="1" customWidth="1"/>
    <col min="10514" max="10514" width="10" style="4" bestFit="1" customWidth="1"/>
    <col min="10515" max="10515" width="29.7265625" style="4" bestFit="1" customWidth="1"/>
    <col min="10516" max="10516" width="17" style="4" bestFit="1" customWidth="1"/>
    <col min="10517" max="10727" width="9.26953125" style="4"/>
    <col min="10728" max="10728" width="8.26953125" style="4" customWidth="1"/>
    <col min="10729" max="10729" width="12.26953125" style="4" bestFit="1" customWidth="1"/>
    <col min="10730" max="10730" width="23.7265625" style="4" bestFit="1" customWidth="1"/>
    <col min="10731" max="10731" width="7.54296875" style="4" customWidth="1"/>
    <col min="10732" max="10732" width="12" style="4" customWidth="1"/>
    <col min="10733" max="10733" width="9.7265625" style="4" customWidth="1"/>
    <col min="10734" max="10734" width="23.7265625" style="4" customWidth="1"/>
    <col min="10735" max="10735" width="50.7265625" style="4" customWidth="1"/>
    <col min="10736" max="10736" width="11.453125" style="4" customWidth="1"/>
    <col min="10737" max="10737" width="12.54296875" style="4" customWidth="1"/>
    <col min="10738" max="10738" width="10.26953125" style="4" customWidth="1"/>
    <col min="10739" max="10739" width="9" style="4" customWidth="1"/>
    <col min="10740" max="10740" width="11.54296875" style="4" customWidth="1"/>
    <col min="10741" max="10741" width="9.453125" style="4" customWidth="1"/>
    <col min="10742" max="10742" width="10.7265625" style="4" customWidth="1"/>
    <col min="10743" max="10743" width="8.26953125" style="4" customWidth="1"/>
    <col min="10744" max="10744" width="9.26953125" style="4" customWidth="1"/>
    <col min="10745" max="10745" width="11.54296875" style="4" customWidth="1"/>
    <col min="10746" max="10747" width="9.26953125" style="4" bestFit="1" customWidth="1"/>
    <col min="10748" max="10748" width="9.7265625" style="4" customWidth="1"/>
    <col min="10749" max="10749" width="11.54296875" style="4" bestFit="1" customWidth="1"/>
    <col min="10750" max="10750" width="9.26953125" style="4"/>
    <col min="10751" max="10753" width="0" style="4" hidden="1" customWidth="1"/>
    <col min="10754" max="10760" width="9.26953125" style="4"/>
    <col min="10761" max="10761" width="10.54296875" style="4" bestFit="1" customWidth="1"/>
    <col min="10762" max="10762" width="9.26953125" style="4"/>
    <col min="10763" max="10763" width="12.26953125" style="4" bestFit="1" customWidth="1"/>
    <col min="10764" max="10764" width="9.26953125" style="4"/>
    <col min="10765" max="10766" width="0" style="4" hidden="1" customWidth="1"/>
    <col min="10767" max="10767" width="11" style="4" bestFit="1" customWidth="1"/>
    <col min="10768" max="10768" width="8.26953125" style="4" bestFit="1" customWidth="1"/>
    <col min="10769" max="10769" width="6.453125" style="4" bestFit="1" customWidth="1"/>
    <col min="10770" max="10770" width="10" style="4" bestFit="1" customWidth="1"/>
    <col min="10771" max="10771" width="29.7265625" style="4" bestFit="1" customWidth="1"/>
    <col min="10772" max="10772" width="17" style="4" bestFit="1" customWidth="1"/>
    <col min="10773" max="10983" width="9.26953125" style="4"/>
    <col min="10984" max="10984" width="8.26953125" style="4" customWidth="1"/>
    <col min="10985" max="10985" width="12.26953125" style="4" bestFit="1" customWidth="1"/>
    <col min="10986" max="10986" width="23.7265625" style="4" bestFit="1" customWidth="1"/>
    <col min="10987" max="10987" width="7.54296875" style="4" customWidth="1"/>
    <col min="10988" max="10988" width="12" style="4" customWidth="1"/>
    <col min="10989" max="10989" width="9.7265625" style="4" customWidth="1"/>
    <col min="10990" max="10990" width="23.7265625" style="4" customWidth="1"/>
    <col min="10991" max="10991" width="50.7265625" style="4" customWidth="1"/>
    <col min="10992" max="10992" width="11.453125" style="4" customWidth="1"/>
    <col min="10993" max="10993" width="12.54296875" style="4" customWidth="1"/>
    <col min="10994" max="10994" width="10.26953125" style="4" customWidth="1"/>
    <col min="10995" max="10995" width="9" style="4" customWidth="1"/>
    <col min="10996" max="10996" width="11.54296875" style="4" customWidth="1"/>
    <col min="10997" max="10997" width="9.453125" style="4" customWidth="1"/>
    <col min="10998" max="10998" width="10.7265625" style="4" customWidth="1"/>
    <col min="10999" max="10999" width="8.26953125" style="4" customWidth="1"/>
    <col min="11000" max="11000" width="9.26953125" style="4" customWidth="1"/>
    <col min="11001" max="11001" width="11.54296875" style="4" customWidth="1"/>
    <col min="11002" max="11003" width="9.26953125" style="4" bestFit="1" customWidth="1"/>
    <col min="11004" max="11004" width="9.7265625" style="4" customWidth="1"/>
    <col min="11005" max="11005" width="11.54296875" style="4" bestFit="1" customWidth="1"/>
    <col min="11006" max="11006" width="9.26953125" style="4"/>
    <col min="11007" max="11009" width="0" style="4" hidden="1" customWidth="1"/>
    <col min="11010" max="11016" width="9.26953125" style="4"/>
    <col min="11017" max="11017" width="10.54296875" style="4" bestFit="1" customWidth="1"/>
    <col min="11018" max="11018" width="9.26953125" style="4"/>
    <col min="11019" max="11019" width="12.26953125" style="4" bestFit="1" customWidth="1"/>
    <col min="11020" max="11020" width="9.26953125" style="4"/>
    <col min="11021" max="11022" width="0" style="4" hidden="1" customWidth="1"/>
    <col min="11023" max="11023" width="11" style="4" bestFit="1" customWidth="1"/>
    <col min="11024" max="11024" width="8.26953125" style="4" bestFit="1" customWidth="1"/>
    <col min="11025" max="11025" width="6.453125" style="4" bestFit="1" customWidth="1"/>
    <col min="11026" max="11026" width="10" style="4" bestFit="1" customWidth="1"/>
    <col min="11027" max="11027" width="29.7265625" style="4" bestFit="1" customWidth="1"/>
    <col min="11028" max="11028" width="17" style="4" bestFit="1" customWidth="1"/>
    <col min="11029" max="11239" width="9.26953125" style="4"/>
    <col min="11240" max="11240" width="8.26953125" style="4" customWidth="1"/>
    <col min="11241" max="11241" width="12.26953125" style="4" bestFit="1" customWidth="1"/>
    <col min="11242" max="11242" width="23.7265625" style="4" bestFit="1" customWidth="1"/>
    <col min="11243" max="11243" width="7.54296875" style="4" customWidth="1"/>
    <col min="11244" max="11244" width="12" style="4" customWidth="1"/>
    <col min="11245" max="11245" width="9.7265625" style="4" customWidth="1"/>
    <col min="11246" max="11246" width="23.7265625" style="4" customWidth="1"/>
    <col min="11247" max="11247" width="50.7265625" style="4" customWidth="1"/>
    <col min="11248" max="11248" width="11.453125" style="4" customWidth="1"/>
    <col min="11249" max="11249" width="12.54296875" style="4" customWidth="1"/>
    <col min="11250" max="11250" width="10.26953125" style="4" customWidth="1"/>
    <col min="11251" max="11251" width="9" style="4" customWidth="1"/>
    <col min="11252" max="11252" width="11.54296875" style="4" customWidth="1"/>
    <col min="11253" max="11253" width="9.453125" style="4" customWidth="1"/>
    <col min="11254" max="11254" width="10.7265625" style="4" customWidth="1"/>
    <col min="11255" max="11255" width="8.26953125" style="4" customWidth="1"/>
    <col min="11256" max="11256" width="9.26953125" style="4" customWidth="1"/>
    <col min="11257" max="11257" width="11.54296875" style="4" customWidth="1"/>
    <col min="11258" max="11259" width="9.26953125" style="4" bestFit="1" customWidth="1"/>
    <col min="11260" max="11260" width="9.7265625" style="4" customWidth="1"/>
    <col min="11261" max="11261" width="11.54296875" style="4" bestFit="1" customWidth="1"/>
    <col min="11262" max="11262" width="9.26953125" style="4"/>
    <col min="11263" max="11265" width="0" style="4" hidden="1" customWidth="1"/>
    <col min="11266" max="11272" width="9.26953125" style="4"/>
    <col min="11273" max="11273" width="10.54296875" style="4" bestFit="1" customWidth="1"/>
    <col min="11274" max="11274" width="9.26953125" style="4"/>
    <col min="11275" max="11275" width="12.26953125" style="4" bestFit="1" customWidth="1"/>
    <col min="11276" max="11276" width="9.26953125" style="4"/>
    <col min="11277" max="11278" width="0" style="4" hidden="1" customWidth="1"/>
    <col min="11279" max="11279" width="11" style="4" bestFit="1" customWidth="1"/>
    <col min="11280" max="11280" width="8.26953125" style="4" bestFit="1" customWidth="1"/>
    <col min="11281" max="11281" width="6.453125" style="4" bestFit="1" customWidth="1"/>
    <col min="11282" max="11282" width="10" style="4" bestFit="1" customWidth="1"/>
    <col min="11283" max="11283" width="29.7265625" style="4" bestFit="1" customWidth="1"/>
    <col min="11284" max="11284" width="17" style="4" bestFit="1" customWidth="1"/>
    <col min="11285" max="11495" width="9.26953125" style="4"/>
    <col min="11496" max="11496" width="8.26953125" style="4" customWidth="1"/>
    <col min="11497" max="11497" width="12.26953125" style="4" bestFit="1" customWidth="1"/>
    <col min="11498" max="11498" width="23.7265625" style="4" bestFit="1" customWidth="1"/>
    <col min="11499" max="11499" width="7.54296875" style="4" customWidth="1"/>
    <col min="11500" max="11500" width="12" style="4" customWidth="1"/>
    <col min="11501" max="11501" width="9.7265625" style="4" customWidth="1"/>
    <col min="11502" max="11502" width="23.7265625" style="4" customWidth="1"/>
    <col min="11503" max="11503" width="50.7265625" style="4" customWidth="1"/>
    <col min="11504" max="11504" width="11.453125" style="4" customWidth="1"/>
    <col min="11505" max="11505" width="12.54296875" style="4" customWidth="1"/>
    <col min="11506" max="11506" width="10.26953125" style="4" customWidth="1"/>
    <col min="11507" max="11507" width="9" style="4" customWidth="1"/>
    <col min="11508" max="11508" width="11.54296875" style="4" customWidth="1"/>
    <col min="11509" max="11509" width="9.453125" style="4" customWidth="1"/>
    <col min="11510" max="11510" width="10.7265625" style="4" customWidth="1"/>
    <col min="11511" max="11511" width="8.26953125" style="4" customWidth="1"/>
    <col min="11512" max="11512" width="9.26953125" style="4" customWidth="1"/>
    <col min="11513" max="11513" width="11.54296875" style="4" customWidth="1"/>
    <col min="11514" max="11515" width="9.26953125" style="4" bestFit="1" customWidth="1"/>
    <col min="11516" max="11516" width="9.7265625" style="4" customWidth="1"/>
    <col min="11517" max="11517" width="11.54296875" style="4" bestFit="1" customWidth="1"/>
    <col min="11518" max="11518" width="9.26953125" style="4"/>
    <col min="11519" max="11521" width="0" style="4" hidden="1" customWidth="1"/>
    <col min="11522" max="11528" width="9.26953125" style="4"/>
    <col min="11529" max="11529" width="10.54296875" style="4" bestFit="1" customWidth="1"/>
    <col min="11530" max="11530" width="9.26953125" style="4"/>
    <col min="11531" max="11531" width="12.26953125" style="4" bestFit="1" customWidth="1"/>
    <col min="11532" max="11532" width="9.26953125" style="4"/>
    <col min="11533" max="11534" width="0" style="4" hidden="1" customWidth="1"/>
    <col min="11535" max="11535" width="11" style="4" bestFit="1" customWidth="1"/>
    <col min="11536" max="11536" width="8.26953125" style="4" bestFit="1" customWidth="1"/>
    <col min="11537" max="11537" width="6.453125" style="4" bestFit="1" customWidth="1"/>
    <col min="11538" max="11538" width="10" style="4" bestFit="1" customWidth="1"/>
    <col min="11539" max="11539" width="29.7265625" style="4" bestFit="1" customWidth="1"/>
    <col min="11540" max="11540" width="17" style="4" bestFit="1" customWidth="1"/>
    <col min="11541" max="11751" width="9.26953125" style="4"/>
    <col min="11752" max="11752" width="8.26953125" style="4" customWidth="1"/>
    <col min="11753" max="11753" width="12.26953125" style="4" bestFit="1" customWidth="1"/>
    <col min="11754" max="11754" width="23.7265625" style="4" bestFit="1" customWidth="1"/>
    <col min="11755" max="11755" width="7.54296875" style="4" customWidth="1"/>
    <col min="11756" max="11756" width="12" style="4" customWidth="1"/>
    <col min="11757" max="11757" width="9.7265625" style="4" customWidth="1"/>
    <col min="11758" max="11758" width="23.7265625" style="4" customWidth="1"/>
    <col min="11759" max="11759" width="50.7265625" style="4" customWidth="1"/>
    <col min="11760" max="11760" width="11.453125" style="4" customWidth="1"/>
    <col min="11761" max="11761" width="12.54296875" style="4" customWidth="1"/>
    <col min="11762" max="11762" width="10.26953125" style="4" customWidth="1"/>
    <col min="11763" max="11763" width="9" style="4" customWidth="1"/>
    <col min="11764" max="11764" width="11.54296875" style="4" customWidth="1"/>
    <col min="11765" max="11765" width="9.453125" style="4" customWidth="1"/>
    <col min="11766" max="11766" width="10.7265625" style="4" customWidth="1"/>
    <col min="11767" max="11767" width="8.26953125" style="4" customWidth="1"/>
    <col min="11768" max="11768" width="9.26953125" style="4" customWidth="1"/>
    <col min="11769" max="11769" width="11.54296875" style="4" customWidth="1"/>
    <col min="11770" max="11771" width="9.26953125" style="4" bestFit="1" customWidth="1"/>
    <col min="11772" max="11772" width="9.7265625" style="4" customWidth="1"/>
    <col min="11773" max="11773" width="11.54296875" style="4" bestFit="1" customWidth="1"/>
    <col min="11774" max="11774" width="9.26953125" style="4"/>
    <col min="11775" max="11777" width="0" style="4" hidden="1" customWidth="1"/>
    <col min="11778" max="11784" width="9.26953125" style="4"/>
    <col min="11785" max="11785" width="10.54296875" style="4" bestFit="1" customWidth="1"/>
    <col min="11786" max="11786" width="9.26953125" style="4"/>
    <col min="11787" max="11787" width="12.26953125" style="4" bestFit="1" customWidth="1"/>
    <col min="11788" max="11788" width="9.26953125" style="4"/>
    <col min="11789" max="11790" width="0" style="4" hidden="1" customWidth="1"/>
    <col min="11791" max="11791" width="11" style="4" bestFit="1" customWidth="1"/>
    <col min="11792" max="11792" width="8.26953125" style="4" bestFit="1" customWidth="1"/>
    <col min="11793" max="11793" width="6.453125" style="4" bestFit="1" customWidth="1"/>
    <col min="11794" max="11794" width="10" style="4" bestFit="1" customWidth="1"/>
    <col min="11795" max="11795" width="29.7265625" style="4" bestFit="1" customWidth="1"/>
    <col min="11796" max="11796" width="17" style="4" bestFit="1" customWidth="1"/>
    <col min="11797" max="12007" width="9.26953125" style="4"/>
    <col min="12008" max="12008" width="8.26953125" style="4" customWidth="1"/>
    <col min="12009" max="12009" width="12.26953125" style="4" bestFit="1" customWidth="1"/>
    <col min="12010" max="12010" width="23.7265625" style="4" bestFit="1" customWidth="1"/>
    <col min="12011" max="12011" width="7.54296875" style="4" customWidth="1"/>
    <col min="12012" max="12012" width="12" style="4" customWidth="1"/>
    <col min="12013" max="12013" width="9.7265625" style="4" customWidth="1"/>
    <col min="12014" max="12014" width="23.7265625" style="4" customWidth="1"/>
    <col min="12015" max="12015" width="50.7265625" style="4" customWidth="1"/>
    <col min="12016" max="12016" width="11.453125" style="4" customWidth="1"/>
    <col min="12017" max="12017" width="12.54296875" style="4" customWidth="1"/>
    <col min="12018" max="12018" width="10.26953125" style="4" customWidth="1"/>
    <col min="12019" max="12019" width="9" style="4" customWidth="1"/>
    <col min="12020" max="12020" width="11.54296875" style="4" customWidth="1"/>
    <col min="12021" max="12021" width="9.453125" style="4" customWidth="1"/>
    <col min="12022" max="12022" width="10.7265625" style="4" customWidth="1"/>
    <col min="12023" max="12023" width="8.26953125" style="4" customWidth="1"/>
    <col min="12024" max="12024" width="9.26953125" style="4" customWidth="1"/>
    <col min="12025" max="12025" width="11.54296875" style="4" customWidth="1"/>
    <col min="12026" max="12027" width="9.26953125" style="4" bestFit="1" customWidth="1"/>
    <col min="12028" max="12028" width="9.7265625" style="4" customWidth="1"/>
    <col min="12029" max="12029" width="11.54296875" style="4" bestFit="1" customWidth="1"/>
    <col min="12030" max="12030" width="9.26953125" style="4"/>
    <col min="12031" max="12033" width="0" style="4" hidden="1" customWidth="1"/>
    <col min="12034" max="12040" width="9.26953125" style="4"/>
    <col min="12041" max="12041" width="10.54296875" style="4" bestFit="1" customWidth="1"/>
    <col min="12042" max="12042" width="9.26953125" style="4"/>
    <col min="12043" max="12043" width="12.26953125" style="4" bestFit="1" customWidth="1"/>
    <col min="12044" max="12044" width="9.26953125" style="4"/>
    <col min="12045" max="12046" width="0" style="4" hidden="1" customWidth="1"/>
    <col min="12047" max="12047" width="11" style="4" bestFit="1" customWidth="1"/>
    <col min="12048" max="12048" width="8.26953125" style="4" bestFit="1" customWidth="1"/>
    <col min="12049" max="12049" width="6.453125" style="4" bestFit="1" customWidth="1"/>
    <col min="12050" max="12050" width="10" style="4" bestFit="1" customWidth="1"/>
    <col min="12051" max="12051" width="29.7265625" style="4" bestFit="1" customWidth="1"/>
    <col min="12052" max="12052" width="17" style="4" bestFit="1" customWidth="1"/>
    <col min="12053" max="12263" width="9.26953125" style="4"/>
    <col min="12264" max="12264" width="8.26953125" style="4" customWidth="1"/>
    <col min="12265" max="12265" width="12.26953125" style="4" bestFit="1" customWidth="1"/>
    <col min="12266" max="12266" width="23.7265625" style="4" bestFit="1" customWidth="1"/>
    <col min="12267" max="12267" width="7.54296875" style="4" customWidth="1"/>
    <col min="12268" max="12268" width="12" style="4" customWidth="1"/>
    <col min="12269" max="12269" width="9.7265625" style="4" customWidth="1"/>
    <col min="12270" max="12270" width="23.7265625" style="4" customWidth="1"/>
    <col min="12271" max="12271" width="50.7265625" style="4" customWidth="1"/>
    <col min="12272" max="12272" width="11.453125" style="4" customWidth="1"/>
    <col min="12273" max="12273" width="12.54296875" style="4" customWidth="1"/>
    <col min="12274" max="12274" width="10.26953125" style="4" customWidth="1"/>
    <col min="12275" max="12275" width="9" style="4" customWidth="1"/>
    <col min="12276" max="12276" width="11.54296875" style="4" customWidth="1"/>
    <col min="12277" max="12277" width="9.453125" style="4" customWidth="1"/>
    <col min="12278" max="12278" width="10.7265625" style="4" customWidth="1"/>
    <col min="12279" max="12279" width="8.26953125" style="4" customWidth="1"/>
    <col min="12280" max="12280" width="9.26953125" style="4" customWidth="1"/>
    <col min="12281" max="12281" width="11.54296875" style="4" customWidth="1"/>
    <col min="12282" max="12283" width="9.26953125" style="4" bestFit="1" customWidth="1"/>
    <col min="12284" max="12284" width="9.7265625" style="4" customWidth="1"/>
    <col min="12285" max="12285" width="11.54296875" style="4" bestFit="1" customWidth="1"/>
    <col min="12286" max="12286" width="9.26953125" style="4"/>
    <col min="12287" max="12289" width="0" style="4" hidden="1" customWidth="1"/>
    <col min="12290" max="12296" width="9.26953125" style="4"/>
    <col min="12297" max="12297" width="10.54296875" style="4" bestFit="1" customWidth="1"/>
    <col min="12298" max="12298" width="9.26953125" style="4"/>
    <col min="12299" max="12299" width="12.26953125" style="4" bestFit="1" customWidth="1"/>
    <col min="12300" max="12300" width="9.26953125" style="4"/>
    <col min="12301" max="12302" width="0" style="4" hidden="1" customWidth="1"/>
    <col min="12303" max="12303" width="11" style="4" bestFit="1" customWidth="1"/>
    <col min="12304" max="12304" width="8.26953125" style="4" bestFit="1" customWidth="1"/>
    <col min="12305" max="12305" width="6.453125" style="4" bestFit="1" customWidth="1"/>
    <col min="12306" max="12306" width="10" style="4" bestFit="1" customWidth="1"/>
    <col min="12307" max="12307" width="29.7265625" style="4" bestFit="1" customWidth="1"/>
    <col min="12308" max="12308" width="17" style="4" bestFit="1" customWidth="1"/>
    <col min="12309" max="12519" width="9.26953125" style="4"/>
    <col min="12520" max="12520" width="8.26953125" style="4" customWidth="1"/>
    <col min="12521" max="12521" width="12.26953125" style="4" bestFit="1" customWidth="1"/>
    <col min="12522" max="12522" width="23.7265625" style="4" bestFit="1" customWidth="1"/>
    <col min="12523" max="12523" width="7.54296875" style="4" customWidth="1"/>
    <col min="12524" max="12524" width="12" style="4" customWidth="1"/>
    <col min="12525" max="12525" width="9.7265625" style="4" customWidth="1"/>
    <col min="12526" max="12526" width="23.7265625" style="4" customWidth="1"/>
    <col min="12527" max="12527" width="50.7265625" style="4" customWidth="1"/>
    <col min="12528" max="12528" width="11.453125" style="4" customWidth="1"/>
    <col min="12529" max="12529" width="12.54296875" style="4" customWidth="1"/>
    <col min="12530" max="12530" width="10.26953125" style="4" customWidth="1"/>
    <col min="12531" max="12531" width="9" style="4" customWidth="1"/>
    <col min="12532" max="12532" width="11.54296875" style="4" customWidth="1"/>
    <col min="12533" max="12533" width="9.453125" style="4" customWidth="1"/>
    <col min="12534" max="12534" width="10.7265625" style="4" customWidth="1"/>
    <col min="12535" max="12535" width="8.26953125" style="4" customWidth="1"/>
    <col min="12536" max="12536" width="9.26953125" style="4" customWidth="1"/>
    <col min="12537" max="12537" width="11.54296875" style="4" customWidth="1"/>
    <col min="12538" max="12539" width="9.26953125" style="4" bestFit="1" customWidth="1"/>
    <col min="12540" max="12540" width="9.7265625" style="4" customWidth="1"/>
    <col min="12541" max="12541" width="11.54296875" style="4" bestFit="1" customWidth="1"/>
    <col min="12542" max="12542" width="9.26953125" style="4"/>
    <col min="12543" max="12545" width="0" style="4" hidden="1" customWidth="1"/>
    <col min="12546" max="12552" width="9.26953125" style="4"/>
    <col min="12553" max="12553" width="10.54296875" style="4" bestFit="1" customWidth="1"/>
    <col min="12554" max="12554" width="9.26953125" style="4"/>
    <col min="12555" max="12555" width="12.26953125" style="4" bestFit="1" customWidth="1"/>
    <col min="12556" max="12556" width="9.26953125" style="4"/>
    <col min="12557" max="12558" width="0" style="4" hidden="1" customWidth="1"/>
    <col min="12559" max="12559" width="11" style="4" bestFit="1" customWidth="1"/>
    <col min="12560" max="12560" width="8.26953125" style="4" bestFit="1" customWidth="1"/>
    <col min="12561" max="12561" width="6.453125" style="4" bestFit="1" customWidth="1"/>
    <col min="12562" max="12562" width="10" style="4" bestFit="1" customWidth="1"/>
    <col min="12563" max="12563" width="29.7265625" style="4" bestFit="1" customWidth="1"/>
    <col min="12564" max="12564" width="17" style="4" bestFit="1" customWidth="1"/>
    <col min="12565" max="12775" width="9.26953125" style="4"/>
    <col min="12776" max="12776" width="8.26953125" style="4" customWidth="1"/>
    <col min="12777" max="12777" width="12.26953125" style="4" bestFit="1" customWidth="1"/>
    <col min="12778" max="12778" width="23.7265625" style="4" bestFit="1" customWidth="1"/>
    <col min="12779" max="12779" width="7.54296875" style="4" customWidth="1"/>
    <col min="12780" max="12780" width="12" style="4" customWidth="1"/>
    <col min="12781" max="12781" width="9.7265625" style="4" customWidth="1"/>
    <col min="12782" max="12782" width="23.7265625" style="4" customWidth="1"/>
    <col min="12783" max="12783" width="50.7265625" style="4" customWidth="1"/>
    <col min="12784" max="12784" width="11.453125" style="4" customWidth="1"/>
    <col min="12785" max="12785" width="12.54296875" style="4" customWidth="1"/>
    <col min="12786" max="12786" width="10.26953125" style="4" customWidth="1"/>
    <col min="12787" max="12787" width="9" style="4" customWidth="1"/>
    <col min="12788" max="12788" width="11.54296875" style="4" customWidth="1"/>
    <col min="12789" max="12789" width="9.453125" style="4" customWidth="1"/>
    <col min="12790" max="12790" width="10.7265625" style="4" customWidth="1"/>
    <col min="12791" max="12791" width="8.26953125" style="4" customWidth="1"/>
    <col min="12792" max="12792" width="9.26953125" style="4" customWidth="1"/>
    <col min="12793" max="12793" width="11.54296875" style="4" customWidth="1"/>
    <col min="12794" max="12795" width="9.26953125" style="4" bestFit="1" customWidth="1"/>
    <col min="12796" max="12796" width="9.7265625" style="4" customWidth="1"/>
    <col min="12797" max="12797" width="11.54296875" style="4" bestFit="1" customWidth="1"/>
    <col min="12798" max="12798" width="9.26953125" style="4"/>
    <col min="12799" max="12801" width="0" style="4" hidden="1" customWidth="1"/>
    <col min="12802" max="12808" width="9.26953125" style="4"/>
    <col min="12809" max="12809" width="10.54296875" style="4" bestFit="1" customWidth="1"/>
    <col min="12810" max="12810" width="9.26953125" style="4"/>
    <col min="12811" max="12811" width="12.26953125" style="4" bestFit="1" customWidth="1"/>
    <col min="12812" max="12812" width="9.26953125" style="4"/>
    <col min="12813" max="12814" width="0" style="4" hidden="1" customWidth="1"/>
    <col min="12815" max="12815" width="11" style="4" bestFit="1" customWidth="1"/>
    <col min="12816" max="12816" width="8.26953125" style="4" bestFit="1" customWidth="1"/>
    <col min="12817" max="12817" width="6.453125" style="4" bestFit="1" customWidth="1"/>
    <col min="12818" max="12818" width="10" style="4" bestFit="1" customWidth="1"/>
    <col min="12819" max="12819" width="29.7265625" style="4" bestFit="1" customWidth="1"/>
    <col min="12820" max="12820" width="17" style="4" bestFit="1" customWidth="1"/>
    <col min="12821" max="13031" width="9.26953125" style="4"/>
    <col min="13032" max="13032" width="8.26953125" style="4" customWidth="1"/>
    <col min="13033" max="13033" width="12.26953125" style="4" bestFit="1" customWidth="1"/>
    <col min="13034" max="13034" width="23.7265625" style="4" bestFit="1" customWidth="1"/>
    <col min="13035" max="13035" width="7.54296875" style="4" customWidth="1"/>
    <col min="13036" max="13036" width="12" style="4" customWidth="1"/>
    <col min="13037" max="13037" width="9.7265625" style="4" customWidth="1"/>
    <col min="13038" max="13038" width="23.7265625" style="4" customWidth="1"/>
    <col min="13039" max="13039" width="50.7265625" style="4" customWidth="1"/>
    <col min="13040" max="13040" width="11.453125" style="4" customWidth="1"/>
    <col min="13041" max="13041" width="12.54296875" style="4" customWidth="1"/>
    <col min="13042" max="13042" width="10.26953125" style="4" customWidth="1"/>
    <col min="13043" max="13043" width="9" style="4" customWidth="1"/>
    <col min="13044" max="13044" width="11.54296875" style="4" customWidth="1"/>
    <col min="13045" max="13045" width="9.453125" style="4" customWidth="1"/>
    <col min="13046" max="13046" width="10.7265625" style="4" customWidth="1"/>
    <col min="13047" max="13047" width="8.26953125" style="4" customWidth="1"/>
    <col min="13048" max="13048" width="9.26953125" style="4" customWidth="1"/>
    <col min="13049" max="13049" width="11.54296875" style="4" customWidth="1"/>
    <col min="13050" max="13051" width="9.26953125" style="4" bestFit="1" customWidth="1"/>
    <col min="13052" max="13052" width="9.7265625" style="4" customWidth="1"/>
    <col min="13053" max="13053" width="11.54296875" style="4" bestFit="1" customWidth="1"/>
    <col min="13054" max="13054" width="9.26953125" style="4"/>
    <col min="13055" max="13057" width="0" style="4" hidden="1" customWidth="1"/>
    <col min="13058" max="13064" width="9.26953125" style="4"/>
    <col min="13065" max="13065" width="10.54296875" style="4" bestFit="1" customWidth="1"/>
    <col min="13066" max="13066" width="9.26953125" style="4"/>
    <col min="13067" max="13067" width="12.26953125" style="4" bestFit="1" customWidth="1"/>
    <col min="13068" max="13068" width="9.26953125" style="4"/>
    <col min="13069" max="13070" width="0" style="4" hidden="1" customWidth="1"/>
    <col min="13071" max="13071" width="11" style="4" bestFit="1" customWidth="1"/>
    <col min="13072" max="13072" width="8.26953125" style="4" bestFit="1" customWidth="1"/>
    <col min="13073" max="13073" width="6.453125" style="4" bestFit="1" customWidth="1"/>
    <col min="13074" max="13074" width="10" style="4" bestFit="1" customWidth="1"/>
    <col min="13075" max="13075" width="29.7265625" style="4" bestFit="1" customWidth="1"/>
    <col min="13076" max="13076" width="17" style="4" bestFit="1" customWidth="1"/>
    <col min="13077" max="13287" width="9.26953125" style="4"/>
    <col min="13288" max="13288" width="8.26953125" style="4" customWidth="1"/>
    <col min="13289" max="13289" width="12.26953125" style="4" bestFit="1" customWidth="1"/>
    <col min="13290" max="13290" width="23.7265625" style="4" bestFit="1" customWidth="1"/>
    <col min="13291" max="13291" width="7.54296875" style="4" customWidth="1"/>
    <col min="13292" max="13292" width="12" style="4" customWidth="1"/>
    <col min="13293" max="13293" width="9.7265625" style="4" customWidth="1"/>
    <col min="13294" max="13294" width="23.7265625" style="4" customWidth="1"/>
    <col min="13295" max="13295" width="50.7265625" style="4" customWidth="1"/>
    <col min="13296" max="13296" width="11.453125" style="4" customWidth="1"/>
    <col min="13297" max="13297" width="12.54296875" style="4" customWidth="1"/>
    <col min="13298" max="13298" width="10.26953125" style="4" customWidth="1"/>
    <col min="13299" max="13299" width="9" style="4" customWidth="1"/>
    <col min="13300" max="13300" width="11.54296875" style="4" customWidth="1"/>
    <col min="13301" max="13301" width="9.453125" style="4" customWidth="1"/>
    <col min="13302" max="13302" width="10.7265625" style="4" customWidth="1"/>
    <col min="13303" max="13303" width="8.26953125" style="4" customWidth="1"/>
    <col min="13304" max="13304" width="9.26953125" style="4" customWidth="1"/>
    <col min="13305" max="13305" width="11.54296875" style="4" customWidth="1"/>
    <col min="13306" max="13307" width="9.26953125" style="4" bestFit="1" customWidth="1"/>
    <col min="13308" max="13308" width="9.7265625" style="4" customWidth="1"/>
    <col min="13309" max="13309" width="11.54296875" style="4" bestFit="1" customWidth="1"/>
    <col min="13310" max="13310" width="9.26953125" style="4"/>
    <col min="13311" max="13313" width="0" style="4" hidden="1" customWidth="1"/>
    <col min="13314" max="13320" width="9.26953125" style="4"/>
    <col min="13321" max="13321" width="10.54296875" style="4" bestFit="1" customWidth="1"/>
    <col min="13322" max="13322" width="9.26953125" style="4"/>
    <col min="13323" max="13323" width="12.26953125" style="4" bestFit="1" customWidth="1"/>
    <col min="13324" max="13324" width="9.26953125" style="4"/>
    <col min="13325" max="13326" width="0" style="4" hidden="1" customWidth="1"/>
    <col min="13327" max="13327" width="11" style="4" bestFit="1" customWidth="1"/>
    <col min="13328" max="13328" width="8.26953125" style="4" bestFit="1" customWidth="1"/>
    <col min="13329" max="13329" width="6.453125" style="4" bestFit="1" customWidth="1"/>
    <col min="13330" max="13330" width="10" style="4" bestFit="1" customWidth="1"/>
    <col min="13331" max="13331" width="29.7265625" style="4" bestFit="1" customWidth="1"/>
    <col min="13332" max="13332" width="17" style="4" bestFit="1" customWidth="1"/>
    <col min="13333" max="13543" width="9.26953125" style="4"/>
    <col min="13544" max="13544" width="8.26953125" style="4" customWidth="1"/>
    <col min="13545" max="13545" width="12.26953125" style="4" bestFit="1" customWidth="1"/>
    <col min="13546" max="13546" width="23.7265625" style="4" bestFit="1" customWidth="1"/>
    <col min="13547" max="13547" width="7.54296875" style="4" customWidth="1"/>
    <col min="13548" max="13548" width="12" style="4" customWidth="1"/>
    <col min="13549" max="13549" width="9.7265625" style="4" customWidth="1"/>
    <col min="13550" max="13550" width="23.7265625" style="4" customWidth="1"/>
    <col min="13551" max="13551" width="50.7265625" style="4" customWidth="1"/>
    <col min="13552" max="13552" width="11.453125" style="4" customWidth="1"/>
    <col min="13553" max="13553" width="12.54296875" style="4" customWidth="1"/>
    <col min="13554" max="13554" width="10.26953125" style="4" customWidth="1"/>
    <col min="13555" max="13555" width="9" style="4" customWidth="1"/>
    <col min="13556" max="13556" width="11.54296875" style="4" customWidth="1"/>
    <col min="13557" max="13557" width="9.453125" style="4" customWidth="1"/>
    <col min="13558" max="13558" width="10.7265625" style="4" customWidth="1"/>
    <col min="13559" max="13559" width="8.26953125" style="4" customWidth="1"/>
    <col min="13560" max="13560" width="9.26953125" style="4" customWidth="1"/>
    <col min="13561" max="13561" width="11.54296875" style="4" customWidth="1"/>
    <col min="13562" max="13563" width="9.26953125" style="4" bestFit="1" customWidth="1"/>
    <col min="13564" max="13564" width="9.7265625" style="4" customWidth="1"/>
    <col min="13565" max="13565" width="11.54296875" style="4" bestFit="1" customWidth="1"/>
    <col min="13566" max="13566" width="9.26953125" style="4"/>
    <col min="13567" max="13569" width="0" style="4" hidden="1" customWidth="1"/>
    <col min="13570" max="13576" width="9.26953125" style="4"/>
    <col min="13577" max="13577" width="10.54296875" style="4" bestFit="1" customWidth="1"/>
    <col min="13578" max="13578" width="9.26953125" style="4"/>
    <col min="13579" max="13579" width="12.26953125" style="4" bestFit="1" customWidth="1"/>
    <col min="13580" max="13580" width="9.26953125" style="4"/>
    <col min="13581" max="13582" width="0" style="4" hidden="1" customWidth="1"/>
    <col min="13583" max="13583" width="11" style="4" bestFit="1" customWidth="1"/>
    <col min="13584" max="13584" width="8.26953125" style="4" bestFit="1" customWidth="1"/>
    <col min="13585" max="13585" width="6.453125" style="4" bestFit="1" customWidth="1"/>
    <col min="13586" max="13586" width="10" style="4" bestFit="1" customWidth="1"/>
    <col min="13587" max="13587" width="29.7265625" style="4" bestFit="1" customWidth="1"/>
    <col min="13588" max="13588" width="17" style="4" bestFit="1" customWidth="1"/>
    <col min="13589" max="13799" width="9.26953125" style="4"/>
    <col min="13800" max="13800" width="8.26953125" style="4" customWidth="1"/>
    <col min="13801" max="13801" width="12.26953125" style="4" bestFit="1" customWidth="1"/>
    <col min="13802" max="13802" width="23.7265625" style="4" bestFit="1" customWidth="1"/>
    <col min="13803" max="13803" width="7.54296875" style="4" customWidth="1"/>
    <col min="13804" max="13804" width="12" style="4" customWidth="1"/>
    <col min="13805" max="13805" width="9.7265625" style="4" customWidth="1"/>
    <col min="13806" max="13806" width="23.7265625" style="4" customWidth="1"/>
    <col min="13807" max="13807" width="50.7265625" style="4" customWidth="1"/>
    <col min="13808" max="13808" width="11.453125" style="4" customWidth="1"/>
    <col min="13809" max="13809" width="12.54296875" style="4" customWidth="1"/>
    <col min="13810" max="13810" width="10.26953125" style="4" customWidth="1"/>
    <col min="13811" max="13811" width="9" style="4" customWidth="1"/>
    <col min="13812" max="13812" width="11.54296875" style="4" customWidth="1"/>
    <col min="13813" max="13813" width="9.453125" style="4" customWidth="1"/>
    <col min="13814" max="13814" width="10.7265625" style="4" customWidth="1"/>
    <col min="13815" max="13815" width="8.26953125" style="4" customWidth="1"/>
    <col min="13816" max="13816" width="9.26953125" style="4" customWidth="1"/>
    <col min="13817" max="13817" width="11.54296875" style="4" customWidth="1"/>
    <col min="13818" max="13819" width="9.26953125" style="4" bestFit="1" customWidth="1"/>
    <col min="13820" max="13820" width="9.7265625" style="4" customWidth="1"/>
    <col min="13821" max="13821" width="11.54296875" style="4" bestFit="1" customWidth="1"/>
    <col min="13822" max="13822" width="9.26953125" style="4"/>
    <col min="13823" max="13825" width="0" style="4" hidden="1" customWidth="1"/>
    <col min="13826" max="13832" width="9.26953125" style="4"/>
    <col min="13833" max="13833" width="10.54296875" style="4" bestFit="1" customWidth="1"/>
    <col min="13834" max="13834" width="9.26953125" style="4"/>
    <col min="13835" max="13835" width="12.26953125" style="4" bestFit="1" customWidth="1"/>
    <col min="13836" max="13836" width="9.26953125" style="4"/>
    <col min="13837" max="13838" width="0" style="4" hidden="1" customWidth="1"/>
    <col min="13839" max="13839" width="11" style="4" bestFit="1" customWidth="1"/>
    <col min="13840" max="13840" width="8.26953125" style="4" bestFit="1" customWidth="1"/>
    <col min="13841" max="13841" width="6.453125" style="4" bestFit="1" customWidth="1"/>
    <col min="13842" max="13842" width="10" style="4" bestFit="1" customWidth="1"/>
    <col min="13843" max="13843" width="29.7265625" style="4" bestFit="1" customWidth="1"/>
    <col min="13844" max="13844" width="17" style="4" bestFit="1" customWidth="1"/>
    <col min="13845" max="14055" width="9.26953125" style="4"/>
    <col min="14056" max="14056" width="8.26953125" style="4" customWidth="1"/>
    <col min="14057" max="14057" width="12.26953125" style="4" bestFit="1" customWidth="1"/>
    <col min="14058" max="14058" width="23.7265625" style="4" bestFit="1" customWidth="1"/>
    <col min="14059" max="14059" width="7.54296875" style="4" customWidth="1"/>
    <col min="14060" max="14060" width="12" style="4" customWidth="1"/>
    <col min="14061" max="14061" width="9.7265625" style="4" customWidth="1"/>
    <col min="14062" max="14062" width="23.7265625" style="4" customWidth="1"/>
    <col min="14063" max="14063" width="50.7265625" style="4" customWidth="1"/>
    <col min="14064" max="14064" width="11.453125" style="4" customWidth="1"/>
    <col min="14065" max="14065" width="12.54296875" style="4" customWidth="1"/>
    <col min="14066" max="14066" width="10.26953125" style="4" customWidth="1"/>
    <col min="14067" max="14067" width="9" style="4" customWidth="1"/>
    <col min="14068" max="14068" width="11.54296875" style="4" customWidth="1"/>
    <col min="14069" max="14069" width="9.453125" style="4" customWidth="1"/>
    <col min="14070" max="14070" width="10.7265625" style="4" customWidth="1"/>
    <col min="14071" max="14071" width="8.26953125" style="4" customWidth="1"/>
    <col min="14072" max="14072" width="9.26953125" style="4" customWidth="1"/>
    <col min="14073" max="14073" width="11.54296875" style="4" customWidth="1"/>
    <col min="14074" max="14075" width="9.26953125" style="4" bestFit="1" customWidth="1"/>
    <col min="14076" max="14076" width="9.7265625" style="4" customWidth="1"/>
    <col min="14077" max="14077" width="11.54296875" style="4" bestFit="1" customWidth="1"/>
    <col min="14078" max="14078" width="9.26953125" style="4"/>
    <col min="14079" max="14081" width="0" style="4" hidden="1" customWidth="1"/>
    <col min="14082" max="14088" width="9.26953125" style="4"/>
    <col min="14089" max="14089" width="10.54296875" style="4" bestFit="1" customWidth="1"/>
    <col min="14090" max="14090" width="9.26953125" style="4"/>
    <col min="14091" max="14091" width="12.26953125" style="4" bestFit="1" customWidth="1"/>
    <col min="14092" max="14092" width="9.26953125" style="4"/>
    <col min="14093" max="14094" width="0" style="4" hidden="1" customWidth="1"/>
    <col min="14095" max="14095" width="11" style="4" bestFit="1" customWidth="1"/>
    <col min="14096" max="14096" width="8.26953125" style="4" bestFit="1" customWidth="1"/>
    <col min="14097" max="14097" width="6.453125" style="4" bestFit="1" customWidth="1"/>
    <col min="14098" max="14098" width="10" style="4" bestFit="1" customWidth="1"/>
    <col min="14099" max="14099" width="29.7265625" style="4" bestFit="1" customWidth="1"/>
    <col min="14100" max="14100" width="17" style="4" bestFit="1" customWidth="1"/>
    <col min="14101" max="14311" width="9.26953125" style="4"/>
    <col min="14312" max="14312" width="8.26953125" style="4" customWidth="1"/>
    <col min="14313" max="14313" width="12.26953125" style="4" bestFit="1" customWidth="1"/>
    <col min="14314" max="14314" width="23.7265625" style="4" bestFit="1" customWidth="1"/>
    <col min="14315" max="14315" width="7.54296875" style="4" customWidth="1"/>
    <col min="14316" max="14316" width="12" style="4" customWidth="1"/>
    <col min="14317" max="14317" width="9.7265625" style="4" customWidth="1"/>
    <col min="14318" max="14318" width="23.7265625" style="4" customWidth="1"/>
    <col min="14319" max="14319" width="50.7265625" style="4" customWidth="1"/>
    <col min="14320" max="14320" width="11.453125" style="4" customWidth="1"/>
    <col min="14321" max="14321" width="12.54296875" style="4" customWidth="1"/>
    <col min="14322" max="14322" width="10.26953125" style="4" customWidth="1"/>
    <col min="14323" max="14323" width="9" style="4" customWidth="1"/>
    <col min="14324" max="14324" width="11.54296875" style="4" customWidth="1"/>
    <col min="14325" max="14325" width="9.453125" style="4" customWidth="1"/>
    <col min="14326" max="14326" width="10.7265625" style="4" customWidth="1"/>
    <col min="14327" max="14327" width="8.26953125" style="4" customWidth="1"/>
    <col min="14328" max="14328" width="9.26953125" style="4" customWidth="1"/>
    <col min="14329" max="14329" width="11.54296875" style="4" customWidth="1"/>
    <col min="14330" max="14331" width="9.26953125" style="4" bestFit="1" customWidth="1"/>
    <col min="14332" max="14332" width="9.7265625" style="4" customWidth="1"/>
    <col min="14333" max="14333" width="11.54296875" style="4" bestFit="1" customWidth="1"/>
    <col min="14334" max="14334" width="9.26953125" style="4"/>
    <col min="14335" max="14337" width="0" style="4" hidden="1" customWidth="1"/>
    <col min="14338" max="14344" width="9.26953125" style="4"/>
    <col min="14345" max="14345" width="10.54296875" style="4" bestFit="1" customWidth="1"/>
    <col min="14346" max="14346" width="9.26953125" style="4"/>
    <col min="14347" max="14347" width="12.26953125" style="4" bestFit="1" customWidth="1"/>
    <col min="14348" max="14348" width="9.26953125" style="4"/>
    <col min="14349" max="14350" width="0" style="4" hidden="1" customWidth="1"/>
    <col min="14351" max="14351" width="11" style="4" bestFit="1" customWidth="1"/>
    <col min="14352" max="14352" width="8.26953125" style="4" bestFit="1" customWidth="1"/>
    <col min="14353" max="14353" width="6.453125" style="4" bestFit="1" customWidth="1"/>
    <col min="14354" max="14354" width="10" style="4" bestFit="1" customWidth="1"/>
    <col min="14355" max="14355" width="29.7265625" style="4" bestFit="1" customWidth="1"/>
    <col min="14356" max="14356" width="17" style="4" bestFit="1" customWidth="1"/>
    <col min="14357" max="14567" width="9.26953125" style="4"/>
    <col min="14568" max="14568" width="8.26953125" style="4" customWidth="1"/>
    <col min="14569" max="14569" width="12.26953125" style="4" bestFit="1" customWidth="1"/>
    <col min="14570" max="14570" width="23.7265625" style="4" bestFit="1" customWidth="1"/>
    <col min="14571" max="14571" width="7.54296875" style="4" customWidth="1"/>
    <col min="14572" max="14572" width="12" style="4" customWidth="1"/>
    <col min="14573" max="14573" width="9.7265625" style="4" customWidth="1"/>
    <col min="14574" max="14574" width="23.7265625" style="4" customWidth="1"/>
    <col min="14575" max="14575" width="50.7265625" style="4" customWidth="1"/>
    <col min="14576" max="14576" width="11.453125" style="4" customWidth="1"/>
    <col min="14577" max="14577" width="12.54296875" style="4" customWidth="1"/>
    <col min="14578" max="14578" width="10.26953125" style="4" customWidth="1"/>
    <col min="14579" max="14579" width="9" style="4" customWidth="1"/>
    <col min="14580" max="14580" width="11.54296875" style="4" customWidth="1"/>
    <col min="14581" max="14581" width="9.453125" style="4" customWidth="1"/>
    <col min="14582" max="14582" width="10.7265625" style="4" customWidth="1"/>
    <col min="14583" max="14583" width="8.26953125" style="4" customWidth="1"/>
    <col min="14584" max="14584" width="9.26953125" style="4" customWidth="1"/>
    <col min="14585" max="14585" width="11.54296875" style="4" customWidth="1"/>
    <col min="14586" max="14587" width="9.26953125" style="4" bestFit="1" customWidth="1"/>
    <col min="14588" max="14588" width="9.7265625" style="4" customWidth="1"/>
    <col min="14589" max="14589" width="11.54296875" style="4" bestFit="1" customWidth="1"/>
    <col min="14590" max="14590" width="9.26953125" style="4"/>
    <col min="14591" max="14593" width="0" style="4" hidden="1" customWidth="1"/>
    <col min="14594" max="14600" width="9.26953125" style="4"/>
    <col min="14601" max="14601" width="10.54296875" style="4" bestFit="1" customWidth="1"/>
    <col min="14602" max="14602" width="9.26953125" style="4"/>
    <col min="14603" max="14603" width="12.26953125" style="4" bestFit="1" customWidth="1"/>
    <col min="14604" max="14604" width="9.26953125" style="4"/>
    <col min="14605" max="14606" width="0" style="4" hidden="1" customWidth="1"/>
    <col min="14607" max="14607" width="11" style="4" bestFit="1" customWidth="1"/>
    <col min="14608" max="14608" width="8.26953125" style="4" bestFit="1" customWidth="1"/>
    <col min="14609" max="14609" width="6.453125" style="4" bestFit="1" customWidth="1"/>
    <col min="14610" max="14610" width="10" style="4" bestFit="1" customWidth="1"/>
    <col min="14611" max="14611" width="29.7265625" style="4" bestFit="1" customWidth="1"/>
    <col min="14612" max="14612" width="17" style="4" bestFit="1" customWidth="1"/>
    <col min="14613" max="14823" width="9.26953125" style="4"/>
    <col min="14824" max="14824" width="8.26953125" style="4" customWidth="1"/>
    <col min="14825" max="14825" width="12.26953125" style="4" bestFit="1" customWidth="1"/>
    <col min="14826" max="14826" width="23.7265625" style="4" bestFit="1" customWidth="1"/>
    <col min="14827" max="14827" width="7.54296875" style="4" customWidth="1"/>
    <col min="14828" max="14828" width="12" style="4" customWidth="1"/>
    <col min="14829" max="14829" width="9.7265625" style="4" customWidth="1"/>
    <col min="14830" max="14830" width="23.7265625" style="4" customWidth="1"/>
    <col min="14831" max="14831" width="50.7265625" style="4" customWidth="1"/>
    <col min="14832" max="14832" width="11.453125" style="4" customWidth="1"/>
    <col min="14833" max="14833" width="12.54296875" style="4" customWidth="1"/>
    <col min="14834" max="14834" width="10.26953125" style="4" customWidth="1"/>
    <col min="14835" max="14835" width="9" style="4" customWidth="1"/>
    <col min="14836" max="14836" width="11.54296875" style="4" customWidth="1"/>
    <col min="14837" max="14837" width="9.453125" style="4" customWidth="1"/>
    <col min="14838" max="14838" width="10.7265625" style="4" customWidth="1"/>
    <col min="14839" max="14839" width="8.26953125" style="4" customWidth="1"/>
    <col min="14840" max="14840" width="9.26953125" style="4" customWidth="1"/>
    <col min="14841" max="14841" width="11.54296875" style="4" customWidth="1"/>
    <col min="14842" max="14843" width="9.26953125" style="4" bestFit="1" customWidth="1"/>
    <col min="14844" max="14844" width="9.7265625" style="4" customWidth="1"/>
    <col min="14845" max="14845" width="11.54296875" style="4" bestFit="1" customWidth="1"/>
    <col min="14846" max="14846" width="9.26953125" style="4"/>
    <col min="14847" max="14849" width="0" style="4" hidden="1" customWidth="1"/>
    <col min="14850" max="14856" width="9.26953125" style="4"/>
    <col min="14857" max="14857" width="10.54296875" style="4" bestFit="1" customWidth="1"/>
    <col min="14858" max="14858" width="9.26953125" style="4"/>
    <col min="14859" max="14859" width="12.26953125" style="4" bestFit="1" customWidth="1"/>
    <col min="14860" max="14860" width="9.26953125" style="4"/>
    <col min="14861" max="14862" width="0" style="4" hidden="1" customWidth="1"/>
    <col min="14863" max="14863" width="11" style="4" bestFit="1" customWidth="1"/>
    <col min="14864" max="14864" width="8.26953125" style="4" bestFit="1" customWidth="1"/>
    <col min="14865" max="14865" width="6.453125" style="4" bestFit="1" customWidth="1"/>
    <col min="14866" max="14866" width="10" style="4" bestFit="1" customWidth="1"/>
    <col min="14867" max="14867" width="29.7265625" style="4" bestFit="1" customWidth="1"/>
    <col min="14868" max="14868" width="17" style="4" bestFit="1" customWidth="1"/>
    <col min="14869" max="15079" width="9.26953125" style="4"/>
    <col min="15080" max="15080" width="8.26953125" style="4" customWidth="1"/>
    <col min="15081" max="15081" width="12.26953125" style="4" bestFit="1" customWidth="1"/>
    <col min="15082" max="15082" width="23.7265625" style="4" bestFit="1" customWidth="1"/>
    <col min="15083" max="15083" width="7.54296875" style="4" customWidth="1"/>
    <col min="15084" max="15084" width="12" style="4" customWidth="1"/>
    <col min="15085" max="15085" width="9.7265625" style="4" customWidth="1"/>
    <col min="15086" max="15086" width="23.7265625" style="4" customWidth="1"/>
    <col min="15087" max="15087" width="50.7265625" style="4" customWidth="1"/>
    <col min="15088" max="15088" width="11.453125" style="4" customWidth="1"/>
    <col min="15089" max="15089" width="12.54296875" style="4" customWidth="1"/>
    <col min="15090" max="15090" width="10.26953125" style="4" customWidth="1"/>
    <col min="15091" max="15091" width="9" style="4" customWidth="1"/>
    <col min="15092" max="15092" width="11.54296875" style="4" customWidth="1"/>
    <col min="15093" max="15093" width="9.453125" style="4" customWidth="1"/>
    <col min="15094" max="15094" width="10.7265625" style="4" customWidth="1"/>
    <col min="15095" max="15095" width="8.26953125" style="4" customWidth="1"/>
    <col min="15096" max="15096" width="9.26953125" style="4" customWidth="1"/>
    <col min="15097" max="15097" width="11.54296875" style="4" customWidth="1"/>
    <col min="15098" max="15099" width="9.26953125" style="4" bestFit="1" customWidth="1"/>
    <col min="15100" max="15100" width="9.7265625" style="4" customWidth="1"/>
    <col min="15101" max="15101" width="11.54296875" style="4" bestFit="1" customWidth="1"/>
    <col min="15102" max="15102" width="9.26953125" style="4"/>
    <col min="15103" max="15105" width="0" style="4" hidden="1" customWidth="1"/>
    <col min="15106" max="15112" width="9.26953125" style="4"/>
    <col min="15113" max="15113" width="10.54296875" style="4" bestFit="1" customWidth="1"/>
    <col min="15114" max="15114" width="9.26953125" style="4"/>
    <col min="15115" max="15115" width="12.26953125" style="4" bestFit="1" customWidth="1"/>
    <col min="15116" max="15116" width="9.26953125" style="4"/>
    <col min="15117" max="15118" width="0" style="4" hidden="1" customWidth="1"/>
    <col min="15119" max="15119" width="11" style="4" bestFit="1" customWidth="1"/>
    <col min="15120" max="15120" width="8.26953125" style="4" bestFit="1" customWidth="1"/>
    <col min="15121" max="15121" width="6.453125" style="4" bestFit="1" customWidth="1"/>
    <col min="15122" max="15122" width="10" style="4" bestFit="1" customWidth="1"/>
    <col min="15123" max="15123" width="29.7265625" style="4" bestFit="1" customWidth="1"/>
    <col min="15124" max="15124" width="17" style="4" bestFit="1" customWidth="1"/>
    <col min="15125" max="15335" width="9.26953125" style="4"/>
    <col min="15336" max="15336" width="8.26953125" style="4" customWidth="1"/>
    <col min="15337" max="15337" width="12.26953125" style="4" bestFit="1" customWidth="1"/>
    <col min="15338" max="15338" width="23.7265625" style="4" bestFit="1" customWidth="1"/>
    <col min="15339" max="15339" width="7.54296875" style="4" customWidth="1"/>
    <col min="15340" max="15340" width="12" style="4" customWidth="1"/>
    <col min="15341" max="15341" width="9.7265625" style="4" customWidth="1"/>
    <col min="15342" max="15342" width="23.7265625" style="4" customWidth="1"/>
    <col min="15343" max="15343" width="50.7265625" style="4" customWidth="1"/>
    <col min="15344" max="15344" width="11.453125" style="4" customWidth="1"/>
    <col min="15345" max="15345" width="12.54296875" style="4" customWidth="1"/>
    <col min="15346" max="15346" width="10.26953125" style="4" customWidth="1"/>
    <col min="15347" max="15347" width="9" style="4" customWidth="1"/>
    <col min="15348" max="15348" width="11.54296875" style="4" customWidth="1"/>
    <col min="15349" max="15349" width="9.453125" style="4" customWidth="1"/>
    <col min="15350" max="15350" width="10.7265625" style="4" customWidth="1"/>
    <col min="15351" max="15351" width="8.26953125" style="4" customWidth="1"/>
    <col min="15352" max="15352" width="9.26953125" style="4" customWidth="1"/>
    <col min="15353" max="15353" width="11.54296875" style="4" customWidth="1"/>
    <col min="15354" max="15355" width="9.26953125" style="4" bestFit="1" customWidth="1"/>
    <col min="15356" max="15356" width="9.7265625" style="4" customWidth="1"/>
    <col min="15357" max="15357" width="11.54296875" style="4" bestFit="1" customWidth="1"/>
    <col min="15358" max="15358" width="9.26953125" style="4"/>
    <col min="15359" max="15361" width="0" style="4" hidden="1" customWidth="1"/>
    <col min="15362" max="15368" width="9.26953125" style="4"/>
    <col min="15369" max="15369" width="10.54296875" style="4" bestFit="1" customWidth="1"/>
    <col min="15370" max="15370" width="9.26953125" style="4"/>
    <col min="15371" max="15371" width="12.26953125" style="4" bestFit="1" customWidth="1"/>
    <col min="15372" max="15372" width="9.26953125" style="4"/>
    <col min="15373" max="15374" width="0" style="4" hidden="1" customWidth="1"/>
    <col min="15375" max="15375" width="11" style="4" bestFit="1" customWidth="1"/>
    <col min="15376" max="15376" width="8.26953125" style="4" bestFit="1" customWidth="1"/>
    <col min="15377" max="15377" width="6.453125" style="4" bestFit="1" customWidth="1"/>
    <col min="15378" max="15378" width="10" style="4" bestFit="1" customWidth="1"/>
    <col min="15379" max="15379" width="29.7265625" style="4" bestFit="1" customWidth="1"/>
    <col min="15380" max="15380" width="17" style="4" bestFit="1" customWidth="1"/>
    <col min="15381" max="15591" width="9.26953125" style="4"/>
    <col min="15592" max="15592" width="8.26953125" style="4" customWidth="1"/>
    <col min="15593" max="15593" width="12.26953125" style="4" bestFit="1" customWidth="1"/>
    <col min="15594" max="15594" width="23.7265625" style="4" bestFit="1" customWidth="1"/>
    <col min="15595" max="15595" width="7.54296875" style="4" customWidth="1"/>
    <col min="15596" max="15596" width="12" style="4" customWidth="1"/>
    <col min="15597" max="15597" width="9.7265625" style="4" customWidth="1"/>
    <col min="15598" max="15598" width="23.7265625" style="4" customWidth="1"/>
    <col min="15599" max="15599" width="50.7265625" style="4" customWidth="1"/>
    <col min="15600" max="15600" width="11.453125" style="4" customWidth="1"/>
    <col min="15601" max="15601" width="12.54296875" style="4" customWidth="1"/>
    <col min="15602" max="15602" width="10.26953125" style="4" customWidth="1"/>
    <col min="15603" max="15603" width="9" style="4" customWidth="1"/>
    <col min="15604" max="15604" width="11.54296875" style="4" customWidth="1"/>
    <col min="15605" max="15605" width="9.453125" style="4" customWidth="1"/>
    <col min="15606" max="15606" width="10.7265625" style="4" customWidth="1"/>
    <col min="15607" max="15607" width="8.26953125" style="4" customWidth="1"/>
    <col min="15608" max="15608" width="9.26953125" style="4" customWidth="1"/>
    <col min="15609" max="15609" width="11.54296875" style="4" customWidth="1"/>
    <col min="15610" max="15611" width="9.26953125" style="4" bestFit="1" customWidth="1"/>
    <col min="15612" max="15612" width="9.7265625" style="4" customWidth="1"/>
    <col min="15613" max="15613" width="11.54296875" style="4" bestFit="1" customWidth="1"/>
    <col min="15614" max="15614" width="9.26953125" style="4"/>
    <col min="15615" max="15617" width="0" style="4" hidden="1" customWidth="1"/>
    <col min="15618" max="15624" width="9.26953125" style="4"/>
    <col min="15625" max="15625" width="10.54296875" style="4" bestFit="1" customWidth="1"/>
    <col min="15626" max="15626" width="9.26953125" style="4"/>
    <col min="15627" max="15627" width="12.26953125" style="4" bestFit="1" customWidth="1"/>
    <col min="15628" max="15628" width="9.26953125" style="4"/>
    <col min="15629" max="15630" width="0" style="4" hidden="1" customWidth="1"/>
    <col min="15631" max="15631" width="11" style="4" bestFit="1" customWidth="1"/>
    <col min="15632" max="15632" width="8.26953125" style="4" bestFit="1" customWidth="1"/>
    <col min="15633" max="15633" width="6.453125" style="4" bestFit="1" customWidth="1"/>
    <col min="15634" max="15634" width="10" style="4" bestFit="1" customWidth="1"/>
    <col min="15635" max="15635" width="29.7265625" style="4" bestFit="1" customWidth="1"/>
    <col min="15636" max="15636" width="17" style="4" bestFit="1" customWidth="1"/>
    <col min="15637" max="15847" width="9.26953125" style="4"/>
    <col min="15848" max="15848" width="8.26953125" style="4" customWidth="1"/>
    <col min="15849" max="15849" width="12.26953125" style="4" bestFit="1" customWidth="1"/>
    <col min="15850" max="15850" width="23.7265625" style="4" bestFit="1" customWidth="1"/>
    <col min="15851" max="15851" width="7.54296875" style="4" customWidth="1"/>
    <col min="15852" max="15852" width="12" style="4" customWidth="1"/>
    <col min="15853" max="15853" width="9.7265625" style="4" customWidth="1"/>
    <col min="15854" max="15854" width="23.7265625" style="4" customWidth="1"/>
    <col min="15855" max="15855" width="50.7265625" style="4" customWidth="1"/>
    <col min="15856" max="15856" width="11.453125" style="4" customWidth="1"/>
    <col min="15857" max="15857" width="12.54296875" style="4" customWidth="1"/>
    <col min="15858" max="15858" width="10.26953125" style="4" customWidth="1"/>
    <col min="15859" max="15859" width="9" style="4" customWidth="1"/>
    <col min="15860" max="15860" width="11.54296875" style="4" customWidth="1"/>
    <col min="15861" max="15861" width="9.453125" style="4" customWidth="1"/>
    <col min="15862" max="15862" width="10.7265625" style="4" customWidth="1"/>
    <col min="15863" max="15863" width="8.26953125" style="4" customWidth="1"/>
    <col min="15864" max="15864" width="9.26953125" style="4" customWidth="1"/>
    <col min="15865" max="15865" width="11.54296875" style="4" customWidth="1"/>
    <col min="15866" max="15867" width="9.26953125" style="4" bestFit="1" customWidth="1"/>
    <col min="15868" max="15868" width="9.7265625" style="4" customWidth="1"/>
    <col min="15869" max="15869" width="11.54296875" style="4" bestFit="1" customWidth="1"/>
    <col min="15870" max="15870" width="9.26953125" style="4"/>
    <col min="15871" max="15873" width="0" style="4" hidden="1" customWidth="1"/>
    <col min="15874" max="15880" width="9.26953125" style="4"/>
    <col min="15881" max="15881" width="10.54296875" style="4" bestFit="1" customWidth="1"/>
    <col min="15882" max="15882" width="9.26953125" style="4"/>
    <col min="15883" max="15883" width="12.26953125" style="4" bestFit="1" customWidth="1"/>
    <col min="15884" max="15884" width="9.26953125" style="4"/>
    <col min="15885" max="15886" width="0" style="4" hidden="1" customWidth="1"/>
    <col min="15887" max="15887" width="11" style="4" bestFit="1" customWidth="1"/>
    <col min="15888" max="15888" width="8.26953125" style="4" bestFit="1" customWidth="1"/>
    <col min="15889" max="15889" width="6.453125" style="4" bestFit="1" customWidth="1"/>
    <col min="15890" max="15890" width="10" style="4" bestFit="1" customWidth="1"/>
    <col min="15891" max="15891" width="29.7265625" style="4" bestFit="1" customWidth="1"/>
    <col min="15892" max="15892" width="17" style="4" bestFit="1" customWidth="1"/>
    <col min="15893" max="16103" width="9.26953125" style="4"/>
    <col min="16104" max="16104" width="8.26953125" style="4" customWidth="1"/>
    <col min="16105" max="16105" width="12.26953125" style="4" bestFit="1" customWidth="1"/>
    <col min="16106" max="16106" width="23.7265625" style="4" bestFit="1" customWidth="1"/>
    <col min="16107" max="16107" width="7.54296875" style="4" customWidth="1"/>
    <col min="16108" max="16108" width="12" style="4" customWidth="1"/>
    <col min="16109" max="16109" width="9.7265625" style="4" customWidth="1"/>
    <col min="16110" max="16110" width="23.7265625" style="4" customWidth="1"/>
    <col min="16111" max="16111" width="50.7265625" style="4" customWidth="1"/>
    <col min="16112" max="16112" width="11.453125" style="4" customWidth="1"/>
    <col min="16113" max="16113" width="12.54296875" style="4" customWidth="1"/>
    <col min="16114" max="16114" width="10.26953125" style="4" customWidth="1"/>
    <col min="16115" max="16115" width="9" style="4" customWidth="1"/>
    <col min="16116" max="16116" width="11.54296875" style="4" customWidth="1"/>
    <col min="16117" max="16117" width="9.453125" style="4" customWidth="1"/>
    <col min="16118" max="16118" width="10.7265625" style="4" customWidth="1"/>
    <col min="16119" max="16119" width="8.26953125" style="4" customWidth="1"/>
    <col min="16120" max="16120" width="9.26953125" style="4" customWidth="1"/>
    <col min="16121" max="16121" width="11.54296875" style="4" customWidth="1"/>
    <col min="16122" max="16123" width="9.26953125" style="4" bestFit="1" customWidth="1"/>
    <col min="16124" max="16124" width="9.7265625" style="4" customWidth="1"/>
    <col min="16125" max="16125" width="11.54296875" style="4" bestFit="1" customWidth="1"/>
    <col min="16126" max="16126" width="9.26953125" style="4"/>
    <col min="16127" max="16129" width="0" style="4" hidden="1" customWidth="1"/>
    <col min="16130" max="16136" width="9.26953125" style="4"/>
    <col min="16137" max="16137" width="10.54296875" style="4" bestFit="1" customWidth="1"/>
    <col min="16138" max="16138" width="9.26953125" style="4"/>
    <col min="16139" max="16139" width="12.26953125" style="4" bestFit="1" customWidth="1"/>
    <col min="16140" max="16140" width="9.26953125" style="4"/>
    <col min="16141" max="16142" width="0" style="4" hidden="1" customWidth="1"/>
    <col min="16143" max="16143" width="11" style="4" bestFit="1" customWidth="1"/>
    <col min="16144" max="16144" width="8.26953125" style="4" bestFit="1" customWidth="1"/>
    <col min="16145" max="16145" width="6.453125" style="4" bestFit="1" customWidth="1"/>
    <col min="16146" max="16146" width="10" style="4" bestFit="1" customWidth="1"/>
    <col min="16147" max="16147" width="29.7265625" style="4" bestFit="1" customWidth="1"/>
    <col min="16148" max="16148" width="17" style="4" bestFit="1" customWidth="1"/>
    <col min="16149" max="16371" width="9.26953125" style="4"/>
    <col min="16372" max="16384" width="9.26953125" style="4" customWidth="1"/>
  </cols>
  <sheetData>
    <row r="1" spans="1:45" s="1" customFormat="1" ht="55.5" x14ac:dyDescent="0.25">
      <c r="A1" s="112" t="s">
        <v>0</v>
      </c>
      <c r="B1" s="800" t="s">
        <v>518</v>
      </c>
      <c r="C1" s="800" t="s">
        <v>4175</v>
      </c>
      <c r="D1" s="800" t="s">
        <v>4176</v>
      </c>
      <c r="E1" s="800" t="s">
        <v>258</v>
      </c>
      <c r="F1" s="800" t="s">
        <v>5</v>
      </c>
      <c r="G1" s="800" t="s">
        <v>4177</v>
      </c>
      <c r="H1" s="572" t="s">
        <v>8</v>
      </c>
      <c r="I1" s="117" t="s">
        <v>9</v>
      </c>
      <c r="J1" s="571" t="s">
        <v>10</v>
      </c>
      <c r="K1" s="737" t="s">
        <v>11</v>
      </c>
      <c r="L1" s="118" t="s">
        <v>12</v>
      </c>
      <c r="M1" s="809" t="s">
        <v>13</v>
      </c>
      <c r="N1" s="809" t="s">
        <v>14</v>
      </c>
      <c r="O1" s="809" t="s">
        <v>15</v>
      </c>
      <c r="P1" s="809" t="s">
        <v>16</v>
      </c>
      <c r="Q1" s="702" t="s">
        <v>17</v>
      </c>
      <c r="R1" s="702" t="s">
        <v>7</v>
      </c>
      <c r="S1" s="120" t="s">
        <v>4531</v>
      </c>
      <c r="T1" s="812" t="s">
        <v>4252</v>
      </c>
      <c r="U1" s="122" t="s">
        <v>18</v>
      </c>
      <c r="V1" s="11" t="s">
        <v>19</v>
      </c>
      <c r="W1" s="275" t="s">
        <v>20</v>
      </c>
      <c r="Y1" s="1" t="s">
        <v>21</v>
      </c>
      <c r="AB1" s="1" t="str">
        <f>IF(SUM(AB2:AB91)&lt;&gt;0,"THERE IS ERROR","ITS OKAY")</f>
        <v>ITS OKAY</v>
      </c>
      <c r="AD1" s="577" t="s">
        <v>22</v>
      </c>
      <c r="AG1"/>
      <c r="AH1"/>
      <c r="AI1" s="274" t="s">
        <v>23</v>
      </c>
      <c r="AJ1" s="274" t="s">
        <v>24</v>
      </c>
      <c r="AK1" s="274" t="s">
        <v>25</v>
      </c>
      <c r="AL1"/>
      <c r="AM1"/>
      <c r="AN1"/>
      <c r="AO1"/>
      <c r="AP1"/>
      <c r="AQ1"/>
      <c r="AR1"/>
      <c r="AS1"/>
    </row>
    <row r="2" spans="1:45" ht="15.65" customHeight="1" x14ac:dyDescent="0.35">
      <c r="A2" s="2">
        <v>1</v>
      </c>
      <c r="B2" s="2">
        <v>802065</v>
      </c>
      <c r="C2" s="2" t="s">
        <v>4257</v>
      </c>
      <c r="D2" s="2" t="s">
        <v>27</v>
      </c>
      <c r="E2" s="2">
        <v>1313</v>
      </c>
      <c r="F2" s="2" t="s">
        <v>248</v>
      </c>
      <c r="G2" s="2" t="s">
        <v>28</v>
      </c>
      <c r="H2" s="10">
        <f>SUMIFS('Cutters Consumption Updates'!$F:$F,'Cutters Consumption Updates'!$D:$D,H$1,'Cutters Consumption Updates'!$B:$B,$B2)-SUMIFS('Cutters Consumption Updates'!$E:$E,'Cutters Consumption Updates'!$D:$D,H$1,'Cutters Consumption Updates'!$B:$B,$B2)+ SUMIF('Cutters Consumption Updates'!$AS:$AS,$B2,'Cutters Consumption Updates'!AT:AT)</f>
        <v>0</v>
      </c>
      <c r="I2" s="10">
        <f>SUMIFS('Cutters Consumption Updates'!$F:$F,'Cutters Consumption Updates'!$D:$D,I$1,'Cutters Consumption Updates'!$B:$B,$B2)-SUMIFS('Cutters Consumption Updates'!$E:$E,'Cutters Consumption Updates'!$D:$D,I$1,'Cutters Consumption Updates'!$B:$B,$B2)+ SUMIF('Cutters Consumption Updates'!$AS:$AS,$B2,'Cutters Consumption Updates'!AU:AU)</f>
        <v>0</v>
      </c>
      <c r="J2" s="116">
        <f>SUMIFS('Cutters Consumption Updates'!$F:$F,'Cutters Consumption Updates'!$D:$D,J$1,'Cutters Consumption Updates'!$B:$B,$B2)-SUMIFS('Cutters Consumption Updates'!$E:$E,'Cutters Consumption Updates'!$D:$D,J$1,'Cutters Consumption Updates'!$B:$B,$B2)+ SUMIF('Cutters Consumption Updates'!$AS:$AS,$B2,'Cutters Consumption Updates'!AV:AV)</f>
        <v>0</v>
      </c>
      <c r="K2" s="738">
        <f>SUMIFS('Cutters Consumption Updates'!$F:$F,'Cutters Consumption Updates'!$D:$D,K$1,'Cutters Consumption Updates'!$B:$B,$B2)-SUMIFS('Cutters Consumption Updates'!$E:$E,'Cutters Consumption Updates'!$D:$D,K$1,'Cutters Consumption Updates'!$B:$B,$B2)+ SUMIF('Cutters Consumption Updates'!$AS:$AS,$B2,'Cutters Consumption Updates'!AW:AW)</f>
        <v>2</v>
      </c>
      <c r="L2" s="116">
        <f>SUMIFS('Cutters Consumption Updates'!$F:$F,'Cutters Consumption Updates'!$D:$D,L$1,'Cutters Consumption Updates'!$B:$B,$B2)-SUMIFS('Cutters Consumption Updates'!$E:$E,'Cutters Consumption Updates'!$D:$D,$L$1,'Cutters Consumption Updates'!$B:$B,$B2)+SUMIFS('Cutters Consumption Updates'!$F:$F,'Cutters Consumption Updates'!$D:$D,"Retrofit",'Cutters Consumption Updates'!$B:$B,$B2)-SUMIFS('Cutters Consumption Updates'!$E:$E,'Cutters Consumption Updates'!$D:$D,"Retrofit",'Cutters Consumption Updates'!$B:$B,$B2)+ SUMIF('Cutters Consumption Updates'!$AS:$AS,$B2,'Cutters Consumption Updates'!AX:AX)</f>
        <v>0</v>
      </c>
      <c r="M2" s="810">
        <f t="shared" ref="M2:M65" si="0">L2+H2</f>
        <v>0</v>
      </c>
      <c r="N2" s="810">
        <f ca="1">SUMIFS('Cutters Consumption Updates'!E:E,
        'Cutters Consumption Updates'!B:B, B2,
        'Cutters Consumption Updates'!A:A, "&gt;" &amp; TODAY()-182)</f>
        <v>11</v>
      </c>
      <c r="O2" s="810">
        <f ca="1">SUMIFS('Cutters Consumption Updates'!E:E,
        'Cutters Consumption Updates'!B:B, B2,
        'Cutters Consumption Updates'!A:A, "&gt;" &amp; TODAY()-91)</f>
        <v>11</v>
      </c>
      <c r="P2" s="810">
        <f t="shared" ref="P2:P65" ca="1" si="1">IF(N2&lt;&gt;0,_xlfn.CEILING.MATH(N2/3),0)</f>
        <v>4</v>
      </c>
      <c r="Q2" s="703">
        <f t="shared" ref="Q2:Q65" ca="1" si="2">IF(P2&lt;=1, 0,
 CEILING(
  IF(P2&gt;=300, P2+10,
  IF(P2&gt;=200, P2+5,
  IF(P2&gt;=100, P2+5,
  IF(P2&gt;=50, P2+2,
  IF(P2&gt;=20, P2+2,
  IF(P2&gt;=10, P2+2,
  IF(P2&gt;=5,  P2+2,
  P2+1))))))), 5))</f>
        <v>5</v>
      </c>
      <c r="R2" s="703" t="s">
        <v>29</v>
      </c>
      <c r="S2" s="24">
        <f>IFERROR(INDEX(Table5[],MATCH($B2,Table5[Component],0),2),0)</f>
        <v>0</v>
      </c>
      <c r="T2" s="813">
        <f>SUMIFS(Table7[Balance],Table7[Cutter Mat'#],$B2)</f>
        <v>0</v>
      </c>
      <c r="U2" s="24">
        <f t="shared" ref="U2:U65" si="3">M2+T2-S2</f>
        <v>0</v>
      </c>
      <c r="V2" s="119"/>
      <c r="W2" s="2"/>
      <c r="Y2" s="4">
        <f>IFERROR(INDEX(Table5[],MATCH($B2,Table5[Component],0),2),0)</f>
        <v>0</v>
      </c>
      <c r="Z2" s="4">
        <f>IFERROR(INDEX(Table5[],MATCH($B2,Table5[Component],0),1),0)</f>
        <v>0</v>
      </c>
      <c r="AA2" s="4" t="str">
        <f>IF(Y2&lt;&gt;0,B2,"")</f>
        <v/>
      </c>
      <c r="AB2" s="4" t="str">
        <f t="shared" ref="AB2:AB65" si="4">IF(S2&lt;&gt;Y2,1,"")</f>
        <v/>
      </c>
      <c r="AD2" s="4">
        <f t="shared" ref="AD2:AD65" si="5">H2+I2+J2+L2</f>
        <v>0</v>
      </c>
      <c r="AE2"/>
      <c r="AI2" s="248" t="str">
        <f>IFERROR(INDEX($B$1:$AK$243,MATCH(W2,$B$1:$B$243,0),13),"")</f>
        <v/>
      </c>
      <c r="AJ2" s="248" t="str">
        <f>IFERROR(INDEX($B$1:$AK$243,MATCH(W2,$B$1:$B$243,0),15),"")</f>
        <v/>
      </c>
      <c r="AK2">
        <f>SUMIF($W$2:$W$243,B2,$S$2:$S$243)</f>
        <v>0</v>
      </c>
      <c r="AP2">
        <f>T2</f>
        <v>0</v>
      </c>
      <c r="AR2" cm="1">
        <f t="array" ref="AR2:AR305">_xlfn._xlws.SORT(_xlfn.UNIQUE(B:B))</f>
        <v>177778</v>
      </c>
      <c r="AS2">
        <f>SUMIF($B:$B,AR2,$AP:$AP)</f>
        <v>0</v>
      </c>
    </row>
    <row r="3" spans="1:45" ht="15.65" customHeight="1" x14ac:dyDescent="0.35">
      <c r="A3" s="2">
        <v>2</v>
      </c>
      <c r="B3" s="2">
        <v>179692</v>
      </c>
      <c r="C3" s="2" t="s">
        <v>4258</v>
      </c>
      <c r="D3" s="2" t="s">
        <v>4242</v>
      </c>
      <c r="E3" s="2">
        <v>1313</v>
      </c>
      <c r="F3" s="2" t="s">
        <v>253</v>
      </c>
      <c r="G3" s="2" t="s">
        <v>47</v>
      </c>
      <c r="H3" s="10">
        <f>SUMIFS('Cutters Consumption Updates'!$F:$F,'Cutters Consumption Updates'!$D:$D,H$1,'Cutters Consumption Updates'!$B:$B,$B3)-SUMIFS('Cutters Consumption Updates'!$E:$E,'Cutters Consumption Updates'!$D:$D,H$1,'Cutters Consumption Updates'!$B:$B,$B3)+ SUMIF('Cutters Consumption Updates'!$AS:$AS,$B3,'Cutters Consumption Updates'!AT:AT)</f>
        <v>0</v>
      </c>
      <c r="I3" s="10">
        <f>SUMIFS('Cutters Consumption Updates'!$F:$F,'Cutters Consumption Updates'!$D:$D,I$1,'Cutters Consumption Updates'!$B:$B,$B3)-SUMIFS('Cutters Consumption Updates'!$E:$E,'Cutters Consumption Updates'!$D:$D,I$1,'Cutters Consumption Updates'!$B:$B,$B3)+ SUMIF('Cutters Consumption Updates'!$AS:$AS,$B3,'Cutters Consumption Updates'!AU:AU)</f>
        <v>12</v>
      </c>
      <c r="J3" s="116">
        <f>SUMIFS('Cutters Consumption Updates'!$F:$F,'Cutters Consumption Updates'!$D:$D,J$1,'Cutters Consumption Updates'!$B:$B,$B3)-SUMIFS('Cutters Consumption Updates'!$E:$E,'Cutters Consumption Updates'!$D:$D,J$1,'Cutters Consumption Updates'!$B:$B,$B3)+ SUMIF('Cutters Consumption Updates'!$AS:$AS,$B3,'Cutters Consumption Updates'!AV:AV)</f>
        <v>0</v>
      </c>
      <c r="K3" s="738">
        <f>SUMIFS('Cutters Consumption Updates'!$F:$F,'Cutters Consumption Updates'!$D:$D,K$1,'Cutters Consumption Updates'!$B:$B,$B3)-SUMIFS('Cutters Consumption Updates'!$E:$E,'Cutters Consumption Updates'!$D:$D,K$1,'Cutters Consumption Updates'!$B:$B,$B3)+ SUMIF('Cutters Consumption Updates'!$AS:$AS,$B3,'Cutters Consumption Updates'!AW:AW)</f>
        <v>0</v>
      </c>
      <c r="L3" s="116">
        <f>SUMIFS('Cutters Consumption Updates'!$F:$F,'Cutters Consumption Updates'!$D:$D,L$1,'Cutters Consumption Updates'!$B:$B,$B3)-SUMIFS('Cutters Consumption Updates'!$E:$E,'Cutters Consumption Updates'!$D:$D,$L$1,'Cutters Consumption Updates'!$B:$B,$B3)+SUMIFS('Cutters Consumption Updates'!$F:$F,'Cutters Consumption Updates'!$D:$D,"Retrofit",'Cutters Consumption Updates'!$B:$B,$B3)-SUMIFS('Cutters Consumption Updates'!$E:$E,'Cutters Consumption Updates'!$D:$D,"Retrofit",'Cutters Consumption Updates'!$B:$B,$B3)+ SUMIF('Cutters Consumption Updates'!$AS:$AS,$B3,'Cutters Consumption Updates'!AX:AX)</f>
        <v>0</v>
      </c>
      <c r="M3" s="810">
        <f t="shared" si="0"/>
        <v>0</v>
      </c>
      <c r="N3" s="810">
        <f ca="1">SUMIFS('Cutters Consumption Updates'!E:E,
        'Cutters Consumption Updates'!B:B, B3,
        'Cutters Consumption Updates'!A:A, "&gt;" &amp; TODAY()-182)</f>
        <v>0</v>
      </c>
      <c r="O3" s="810">
        <f ca="1">SUMIFS('Cutters Consumption Updates'!E:E,
        'Cutters Consumption Updates'!B:B, B3,
        'Cutters Consumption Updates'!A:A, "&gt;" &amp; TODAY()-91)</f>
        <v>0</v>
      </c>
      <c r="P3" s="810">
        <f t="shared" ca="1" si="1"/>
        <v>0</v>
      </c>
      <c r="Q3" s="703">
        <f t="shared" ca="1" si="2"/>
        <v>0</v>
      </c>
      <c r="R3" s="703" t="s">
        <v>29</v>
      </c>
      <c r="S3" s="24">
        <f>IFERROR(INDEX(Table5[],MATCH($B3,Table5[Component],0),2),0)</f>
        <v>0</v>
      </c>
      <c r="T3" s="813">
        <f>SUMIFS(Table7[Balance],Table7[Cutter Mat'#],$B3)</f>
        <v>0</v>
      </c>
      <c r="U3" s="24">
        <f t="shared" si="3"/>
        <v>0</v>
      </c>
      <c r="V3" s="119"/>
      <c r="W3" s="2"/>
      <c r="Y3" s="4">
        <f>IFERROR(INDEX(Table5[],MATCH($B3,Table5[Component],0),2),0)</f>
        <v>0</v>
      </c>
      <c r="Z3" s="4">
        <f>IFERROR(INDEX(Table5[],MATCH($B3,Table5[Component],0),1),0)</f>
        <v>0</v>
      </c>
      <c r="AA3" s="4" t="str">
        <f>IF(Y3&lt;&gt;0,B3,"")</f>
        <v/>
      </c>
      <c r="AB3" s="4" t="str">
        <f t="shared" si="4"/>
        <v/>
      </c>
      <c r="AD3" s="4">
        <f t="shared" si="5"/>
        <v>12</v>
      </c>
      <c r="AE3"/>
      <c r="AI3" s="248" t="str">
        <f>IFERROR(INDEX($B$1:$AK$243,MATCH(W3,$B$1:$B$243,0),13),"")</f>
        <v/>
      </c>
      <c r="AJ3" s="248" t="str">
        <f>IFERROR(INDEX($B$1:$AK$243,MATCH(W3,$B$1:$B$243,0),15),"")</f>
        <v/>
      </c>
      <c r="AK3">
        <f>SUMIF($W$2:$W$243,B3,$S$2:$S$243)</f>
        <v>0</v>
      </c>
      <c r="AP3">
        <f t="shared" ref="AP3:AP66" si="6">T3</f>
        <v>0</v>
      </c>
      <c r="AR3">
        <v>179692</v>
      </c>
      <c r="AS3">
        <f>SUMIF($B:$B,AR3,$AP:$AP)</f>
        <v>0</v>
      </c>
    </row>
    <row r="4" spans="1:45" ht="15.65" customHeight="1" x14ac:dyDescent="0.35">
      <c r="A4" s="2">
        <v>3</v>
      </c>
      <c r="B4" s="2">
        <v>179694</v>
      </c>
      <c r="C4" s="2" t="s">
        <v>4259</v>
      </c>
      <c r="D4" s="2" t="s">
        <v>4242</v>
      </c>
      <c r="E4" s="2">
        <v>1308</v>
      </c>
      <c r="F4" s="2" t="s">
        <v>253</v>
      </c>
      <c r="G4" s="2" t="s">
        <v>47</v>
      </c>
      <c r="H4" s="10">
        <f>SUMIFS('Cutters Consumption Updates'!$F:$F,'Cutters Consumption Updates'!$D:$D,H$1,'Cutters Consumption Updates'!$B:$B,$B4)-SUMIFS('Cutters Consumption Updates'!$E:$E,'Cutters Consumption Updates'!$D:$D,H$1,'Cutters Consumption Updates'!$B:$B,$B4)+ SUMIF('Cutters Consumption Updates'!$AS:$AS,$B4,'Cutters Consumption Updates'!AT:AT)</f>
        <v>0</v>
      </c>
      <c r="I4" s="10">
        <f>SUMIFS('Cutters Consumption Updates'!$F:$F,'Cutters Consumption Updates'!$D:$D,I$1,'Cutters Consumption Updates'!$B:$B,$B4)-SUMIFS('Cutters Consumption Updates'!$E:$E,'Cutters Consumption Updates'!$D:$D,I$1,'Cutters Consumption Updates'!$B:$B,$B4)+ SUMIF('Cutters Consumption Updates'!$AS:$AS,$B4,'Cutters Consumption Updates'!AU:AU)</f>
        <v>8</v>
      </c>
      <c r="J4" s="116">
        <f>SUMIFS('Cutters Consumption Updates'!$F:$F,'Cutters Consumption Updates'!$D:$D,J$1,'Cutters Consumption Updates'!$B:$B,$B4)-SUMIFS('Cutters Consumption Updates'!$E:$E,'Cutters Consumption Updates'!$D:$D,J$1,'Cutters Consumption Updates'!$B:$B,$B4)+ SUMIF('Cutters Consumption Updates'!$AS:$AS,$B4,'Cutters Consumption Updates'!AV:AV)</f>
        <v>0</v>
      </c>
      <c r="K4" s="738">
        <f>SUMIFS('Cutters Consumption Updates'!$F:$F,'Cutters Consumption Updates'!$D:$D,K$1,'Cutters Consumption Updates'!$B:$B,$B4)-SUMIFS('Cutters Consumption Updates'!$E:$E,'Cutters Consumption Updates'!$D:$D,K$1,'Cutters Consumption Updates'!$B:$B,$B4)+ SUMIF('Cutters Consumption Updates'!$AS:$AS,$B4,'Cutters Consumption Updates'!AW:AW)</f>
        <v>0</v>
      </c>
      <c r="L4" s="116">
        <f>SUMIFS('Cutters Consumption Updates'!$F:$F,'Cutters Consumption Updates'!$D:$D,L$1,'Cutters Consumption Updates'!$B:$B,$B4)-SUMIFS('Cutters Consumption Updates'!$E:$E,'Cutters Consumption Updates'!$D:$D,$L$1,'Cutters Consumption Updates'!$B:$B,$B4)+SUMIFS('Cutters Consumption Updates'!$F:$F,'Cutters Consumption Updates'!$D:$D,"Retrofit",'Cutters Consumption Updates'!$B:$B,$B4)-SUMIFS('Cutters Consumption Updates'!$E:$E,'Cutters Consumption Updates'!$D:$D,"Retrofit",'Cutters Consumption Updates'!$B:$B,$B4)+ SUMIF('Cutters Consumption Updates'!$AS:$AS,$B4,'Cutters Consumption Updates'!AX:AX)</f>
        <v>0</v>
      </c>
      <c r="M4" s="810">
        <f t="shared" si="0"/>
        <v>0</v>
      </c>
      <c r="N4" s="810">
        <f ca="1">SUMIFS('Cutters Consumption Updates'!E:E,
        'Cutters Consumption Updates'!B:B, B4,
        'Cutters Consumption Updates'!A:A, "&gt;" &amp; TODAY()-182)</f>
        <v>0</v>
      </c>
      <c r="O4" s="810">
        <f ca="1">SUMIFS('Cutters Consumption Updates'!E:E,
        'Cutters Consumption Updates'!B:B, B4,
        'Cutters Consumption Updates'!A:A, "&gt;" &amp; TODAY()-91)</f>
        <v>0</v>
      </c>
      <c r="P4" s="810">
        <f t="shared" ca="1" si="1"/>
        <v>0</v>
      </c>
      <c r="Q4" s="703">
        <f t="shared" ca="1" si="2"/>
        <v>0</v>
      </c>
      <c r="R4" s="703" t="s">
        <v>29</v>
      </c>
      <c r="S4" s="24">
        <f>IFERROR(INDEX(Table5[],MATCH($B4,Table5[Component],0),2),0)</f>
        <v>0</v>
      </c>
      <c r="T4" s="813">
        <f>SUMIFS(Table7[Balance],Table7[Cutter Mat'#],$B4)</f>
        <v>0</v>
      </c>
      <c r="U4" s="24">
        <f t="shared" si="3"/>
        <v>0</v>
      </c>
      <c r="V4" s="119"/>
      <c r="W4" s="2"/>
      <c r="Y4" s="4">
        <f>IFERROR(INDEX(Table5[],MATCH($B4,Table5[Component],0),2),0)</f>
        <v>0</v>
      </c>
      <c r="Z4" s="4">
        <f>IFERROR(INDEX(Table5[],MATCH($B4,Table5[Component],0),1),0)</f>
        <v>0</v>
      </c>
      <c r="AA4" s="4" t="str">
        <f>IF(Y4&lt;&gt;0,B4,"")</f>
        <v/>
      </c>
      <c r="AB4" s="4" t="str">
        <f t="shared" si="4"/>
        <v/>
      </c>
      <c r="AD4" s="4">
        <f t="shared" si="5"/>
        <v>8</v>
      </c>
      <c r="AE4"/>
      <c r="AI4" s="248" t="str">
        <f>IFERROR(INDEX($B$1:$AK$243,MATCH(W4,$B$1:$B$243,0),13),"")</f>
        <v/>
      </c>
      <c r="AJ4" s="248" t="str">
        <f>IFERROR(INDEX($B$1:$AK$243,MATCH(W4,$B$1:$B$243,0),15),"")</f>
        <v/>
      </c>
      <c r="AK4">
        <f>SUMIF($W$2:$W$243,B4,$S$2:$S$243)</f>
        <v>0</v>
      </c>
      <c r="AP4">
        <f t="shared" si="6"/>
        <v>0</v>
      </c>
      <c r="AR4">
        <v>179694</v>
      </c>
      <c r="AS4">
        <f>SUMIF($B:$B,AR4,$AP:$AP)</f>
        <v>0</v>
      </c>
    </row>
    <row r="5" spans="1:45" ht="15.65" customHeight="1" x14ac:dyDescent="0.35">
      <c r="A5" s="2">
        <v>4</v>
      </c>
      <c r="B5" s="2">
        <v>179734</v>
      </c>
      <c r="C5" s="2" t="s">
        <v>4260</v>
      </c>
      <c r="D5" s="2" t="s">
        <v>4507</v>
      </c>
      <c r="E5" s="2" t="s">
        <v>38</v>
      </c>
      <c r="F5" s="2" t="s">
        <v>103</v>
      </c>
      <c r="G5" s="2" t="s">
        <v>36</v>
      </c>
      <c r="H5" s="10">
        <f>SUMIFS('Cutters Consumption Updates'!$F:$F,'Cutters Consumption Updates'!$D:$D,H$1,'Cutters Consumption Updates'!$B:$B,$B5)-SUMIFS('Cutters Consumption Updates'!$E:$E,'Cutters Consumption Updates'!$D:$D,H$1,'Cutters Consumption Updates'!$B:$B,$B5)+ SUMIF('Cutters Consumption Updates'!$AS:$AS,$B5,'Cutters Consumption Updates'!AT:AT)</f>
        <v>0</v>
      </c>
      <c r="I5" s="10">
        <f>SUMIFS('Cutters Consumption Updates'!$F:$F,'Cutters Consumption Updates'!$D:$D,I$1,'Cutters Consumption Updates'!$B:$B,$B5)-SUMIFS('Cutters Consumption Updates'!$E:$E,'Cutters Consumption Updates'!$D:$D,I$1,'Cutters Consumption Updates'!$B:$B,$B5)+ SUMIF('Cutters Consumption Updates'!$AS:$AS,$B5,'Cutters Consumption Updates'!AU:AU)</f>
        <v>0</v>
      </c>
      <c r="J5" s="116">
        <f>SUMIFS('Cutters Consumption Updates'!$F:$F,'Cutters Consumption Updates'!$D:$D,J$1,'Cutters Consumption Updates'!$B:$B,$B5)-SUMIFS('Cutters Consumption Updates'!$E:$E,'Cutters Consumption Updates'!$D:$D,J$1,'Cutters Consumption Updates'!$B:$B,$B5)+ SUMIF('Cutters Consumption Updates'!$AS:$AS,$B5,'Cutters Consumption Updates'!AV:AV)</f>
        <v>0</v>
      </c>
      <c r="K5" s="738">
        <f>SUMIFS('Cutters Consumption Updates'!$F:$F,'Cutters Consumption Updates'!$D:$D,K$1,'Cutters Consumption Updates'!$B:$B,$B5)-SUMIFS('Cutters Consumption Updates'!$E:$E,'Cutters Consumption Updates'!$D:$D,K$1,'Cutters Consumption Updates'!$B:$B,$B5)+ SUMIF('Cutters Consumption Updates'!$AS:$AS,$B5,'Cutters Consumption Updates'!AW:AW)</f>
        <v>9</v>
      </c>
      <c r="L5" s="116">
        <f>SUMIFS('Cutters Consumption Updates'!$F:$F,'Cutters Consumption Updates'!$D:$D,L$1,'Cutters Consumption Updates'!$B:$B,$B5)-SUMIFS('Cutters Consumption Updates'!$E:$E,'Cutters Consumption Updates'!$D:$D,$L$1,'Cutters Consumption Updates'!$B:$B,$B5)+SUMIFS('Cutters Consumption Updates'!$F:$F,'Cutters Consumption Updates'!$D:$D,"Retrofit",'Cutters Consumption Updates'!$B:$B,$B5)-SUMIFS('Cutters Consumption Updates'!$E:$E,'Cutters Consumption Updates'!$D:$D,"Retrofit",'Cutters Consumption Updates'!$B:$B,$B5)+ SUMIF('Cutters Consumption Updates'!$AS:$AS,$B5,'Cutters Consumption Updates'!AX:AX)</f>
        <v>137</v>
      </c>
      <c r="M5" s="810">
        <f t="shared" si="0"/>
        <v>137</v>
      </c>
      <c r="N5" s="810">
        <f ca="1">SUMIFS('Cutters Consumption Updates'!E:E,
        'Cutters Consumption Updates'!B:B, B5,
        'Cutters Consumption Updates'!A:A, "&gt;" &amp; TODAY()-182)</f>
        <v>140</v>
      </c>
      <c r="O5" s="810">
        <f ca="1">SUMIFS('Cutters Consumption Updates'!E:E,
        'Cutters Consumption Updates'!B:B, B5,
        'Cutters Consumption Updates'!A:A, "&gt;" &amp; TODAY()-91)</f>
        <v>70</v>
      </c>
      <c r="P5" s="810">
        <f t="shared" ca="1" si="1"/>
        <v>47</v>
      </c>
      <c r="Q5" s="703">
        <f t="shared" ca="1" si="2"/>
        <v>50</v>
      </c>
      <c r="R5" s="703" t="s">
        <v>29</v>
      </c>
      <c r="S5" s="24">
        <f>IFERROR(INDEX(Table5[],MATCH($B5,Table5[Component],0),2),0)</f>
        <v>342</v>
      </c>
      <c r="T5" s="813">
        <f>SUMIFS(Table7[Balance],Table7[Cutter Mat'#],$B5)</f>
        <v>0</v>
      </c>
      <c r="U5" s="24">
        <f t="shared" si="3"/>
        <v>-205</v>
      </c>
      <c r="V5" s="119"/>
      <c r="W5" s="2"/>
      <c r="Y5" s="4">
        <f>IFERROR(INDEX(Table5[],MATCH($B5,Table5[Component],0),2),0)</f>
        <v>342</v>
      </c>
      <c r="Z5" s="4">
        <f>IFERROR(INDEX(Table5[],MATCH($B5,Table5[Component],0),1),0)</f>
        <v>179734</v>
      </c>
      <c r="AA5" s="4">
        <f>IF(Y5&lt;&gt;0,B5,"")</f>
        <v>179734</v>
      </c>
      <c r="AB5" s="4" t="str">
        <f t="shared" si="4"/>
        <v/>
      </c>
      <c r="AD5" s="4">
        <f t="shared" si="5"/>
        <v>137</v>
      </c>
      <c r="AE5"/>
      <c r="AI5" s="248" t="str">
        <f>IFERROR(INDEX($B$1:$AK$243,MATCH(W5,$B$1:$B$243,0),13),"")</f>
        <v/>
      </c>
      <c r="AJ5" s="248" t="str">
        <f>IFERROR(INDEX($B$1:$AK$243,MATCH(W5,$B$1:$B$243,0),15),"")</f>
        <v/>
      </c>
      <c r="AK5">
        <f>SUMIF($W$2:$W$243,B5,$S$2:$S$243)</f>
        <v>0</v>
      </c>
      <c r="AP5">
        <f t="shared" si="6"/>
        <v>0</v>
      </c>
      <c r="AR5">
        <v>179733</v>
      </c>
      <c r="AS5">
        <f>SUMIF($B:$B,AR5,$AP:$AP)</f>
        <v>0</v>
      </c>
    </row>
    <row r="6" spans="1:45" ht="15.65" customHeight="1" x14ac:dyDescent="0.35">
      <c r="A6" s="2">
        <v>5</v>
      </c>
      <c r="B6" s="2">
        <v>179790</v>
      </c>
      <c r="C6" s="2" t="s">
        <v>4261</v>
      </c>
      <c r="D6" s="2" t="s">
        <v>4242</v>
      </c>
      <c r="E6" s="2">
        <v>1613</v>
      </c>
      <c r="F6" s="2" t="s">
        <v>253</v>
      </c>
      <c r="G6" s="2" t="s">
        <v>47</v>
      </c>
      <c r="H6" s="10">
        <f>SUMIFS('Cutters Consumption Updates'!$F:$F,'Cutters Consumption Updates'!$D:$D,H$1,'Cutters Consumption Updates'!$B:$B,$B6)-SUMIFS('Cutters Consumption Updates'!$E:$E,'Cutters Consumption Updates'!$D:$D,H$1,'Cutters Consumption Updates'!$B:$B,$B6)+ SUMIF('Cutters Consumption Updates'!$AS:$AS,$B6,'Cutters Consumption Updates'!AT:AT)</f>
        <v>21</v>
      </c>
      <c r="I6" s="10">
        <f>SUMIFS('Cutters Consumption Updates'!$F:$F,'Cutters Consumption Updates'!$D:$D,I$1,'Cutters Consumption Updates'!$B:$B,$B6)-SUMIFS('Cutters Consumption Updates'!$E:$E,'Cutters Consumption Updates'!$D:$D,I$1,'Cutters Consumption Updates'!$B:$B,$B6)+ SUMIF('Cutters Consumption Updates'!$AS:$AS,$B6,'Cutters Consumption Updates'!AU:AU)</f>
        <v>0</v>
      </c>
      <c r="J6" s="116">
        <f>SUMIFS('Cutters Consumption Updates'!$F:$F,'Cutters Consumption Updates'!$D:$D,J$1,'Cutters Consumption Updates'!$B:$B,$B6)-SUMIFS('Cutters Consumption Updates'!$E:$E,'Cutters Consumption Updates'!$D:$D,J$1,'Cutters Consumption Updates'!$B:$B,$B6)+ SUMIF('Cutters Consumption Updates'!$AS:$AS,$B6,'Cutters Consumption Updates'!AV:AV)</f>
        <v>0</v>
      </c>
      <c r="K6" s="738">
        <f>SUMIFS('Cutters Consumption Updates'!$F:$F,'Cutters Consumption Updates'!$D:$D,K$1,'Cutters Consumption Updates'!$B:$B,$B6)-SUMIFS('Cutters Consumption Updates'!$E:$E,'Cutters Consumption Updates'!$D:$D,K$1,'Cutters Consumption Updates'!$B:$B,$B6)+ SUMIF('Cutters Consumption Updates'!$AS:$AS,$B6,'Cutters Consumption Updates'!AW:AW)</f>
        <v>0</v>
      </c>
      <c r="L6" s="116">
        <f>SUMIFS('Cutters Consumption Updates'!$F:$F,'Cutters Consumption Updates'!$D:$D,L$1,'Cutters Consumption Updates'!$B:$B,$B6)-SUMIFS('Cutters Consumption Updates'!$E:$E,'Cutters Consumption Updates'!$D:$D,$L$1,'Cutters Consumption Updates'!$B:$B,$B6)+SUMIFS('Cutters Consumption Updates'!$F:$F,'Cutters Consumption Updates'!$D:$D,"Retrofit",'Cutters Consumption Updates'!$B:$B,$B6)-SUMIFS('Cutters Consumption Updates'!$E:$E,'Cutters Consumption Updates'!$D:$D,"Retrofit",'Cutters Consumption Updates'!$B:$B,$B6)+ SUMIF('Cutters Consumption Updates'!$AS:$AS,$B6,'Cutters Consumption Updates'!AX:AX)</f>
        <v>0</v>
      </c>
      <c r="M6" s="810">
        <f t="shared" si="0"/>
        <v>21</v>
      </c>
      <c r="N6" s="810">
        <f ca="1">SUMIFS('Cutters Consumption Updates'!E:E,
        'Cutters Consumption Updates'!B:B, B6,
        'Cutters Consumption Updates'!A:A, "&gt;" &amp; TODAY()-182)</f>
        <v>1</v>
      </c>
      <c r="O6" s="810">
        <f ca="1">SUMIFS('Cutters Consumption Updates'!E:E,
        'Cutters Consumption Updates'!B:B, B6,
        'Cutters Consumption Updates'!A:A, "&gt;" &amp; TODAY()-91)</f>
        <v>1</v>
      </c>
      <c r="P6" s="810">
        <f t="shared" ca="1" si="1"/>
        <v>1</v>
      </c>
      <c r="Q6" s="703">
        <f t="shared" ca="1" si="2"/>
        <v>0</v>
      </c>
      <c r="R6" s="703" t="s">
        <v>29</v>
      </c>
      <c r="S6" s="24">
        <f>IFERROR(INDEX(Table5[],MATCH($B6,Table5[Component],0),2),0)</f>
        <v>0</v>
      </c>
      <c r="T6" s="813">
        <f>SUMIFS(Table7[Balance],Table7[Cutter Mat'#],$B6)</f>
        <v>0</v>
      </c>
      <c r="U6" s="24">
        <f t="shared" si="3"/>
        <v>21</v>
      </c>
      <c r="V6" s="119"/>
      <c r="W6" s="2"/>
      <c r="Y6" s="4">
        <f>IFERROR(INDEX(Table5[],MATCH($B6,Table5[Component],0),2),0)</f>
        <v>0</v>
      </c>
      <c r="Z6" s="4">
        <f>IFERROR(INDEX(Table5[],MATCH($B6,Table5[Component],0),1),0)</f>
        <v>0</v>
      </c>
      <c r="AA6" s="4" t="str">
        <f>IF(Y6&lt;&gt;0,B6,"")</f>
        <v/>
      </c>
      <c r="AB6" s="4" t="str">
        <f t="shared" si="4"/>
        <v/>
      </c>
      <c r="AD6" s="4">
        <f t="shared" si="5"/>
        <v>21</v>
      </c>
      <c r="AE6"/>
      <c r="AI6" s="248" t="str">
        <f>IFERROR(INDEX($B$1:$AK$243,MATCH(W6,$B$1:$B$243,0),13),"")</f>
        <v/>
      </c>
      <c r="AJ6" s="248" t="str">
        <f>IFERROR(INDEX($B$1:$AK$243,MATCH(W6,$B$1:$B$243,0),15),"")</f>
        <v/>
      </c>
      <c r="AK6">
        <f>SUMIF($W$2:$W$243,B6,$S$2:$S$243)</f>
        <v>0</v>
      </c>
      <c r="AP6">
        <f t="shared" si="6"/>
        <v>0</v>
      </c>
      <c r="AR6">
        <v>179734</v>
      </c>
      <c r="AS6">
        <f>SUMIF($B:$B,AR6,$AP:$AP)</f>
        <v>0</v>
      </c>
    </row>
    <row r="7" spans="1:45" ht="15.65" customHeight="1" x14ac:dyDescent="0.35">
      <c r="A7" s="2">
        <v>6</v>
      </c>
      <c r="B7" s="2">
        <v>375538</v>
      </c>
      <c r="C7" s="2" t="s">
        <v>4262</v>
      </c>
      <c r="D7" s="2" t="s">
        <v>4506</v>
      </c>
      <c r="E7" s="2" t="s">
        <v>38</v>
      </c>
      <c r="F7" s="2" t="s">
        <v>103</v>
      </c>
      <c r="G7" s="2" t="s">
        <v>36</v>
      </c>
      <c r="H7" s="10">
        <f>SUMIFS('Cutters Consumption Updates'!$F:$F,'Cutters Consumption Updates'!$D:$D,H$1,'Cutters Consumption Updates'!$B:$B,$B7)-SUMIFS('Cutters Consumption Updates'!$E:$E,'Cutters Consumption Updates'!$D:$D,H$1,'Cutters Consumption Updates'!$B:$B,$B7)+ SUMIF('Cutters Consumption Updates'!$AS:$AS,$B7,'Cutters Consumption Updates'!AT:AT)</f>
        <v>26</v>
      </c>
      <c r="I7" s="10">
        <f>SUMIFS('Cutters Consumption Updates'!$F:$F,'Cutters Consumption Updates'!$D:$D,I$1,'Cutters Consumption Updates'!$B:$B,$B7)-SUMIFS('Cutters Consumption Updates'!$E:$E,'Cutters Consumption Updates'!$D:$D,I$1,'Cutters Consumption Updates'!$B:$B,$B7)+ SUMIF('Cutters Consumption Updates'!$AS:$AS,$B7,'Cutters Consumption Updates'!AU:AU)</f>
        <v>0</v>
      </c>
      <c r="J7" s="116">
        <f>SUMIFS('Cutters Consumption Updates'!$F:$F,'Cutters Consumption Updates'!$D:$D,J$1,'Cutters Consumption Updates'!$B:$B,$B7)-SUMIFS('Cutters Consumption Updates'!$E:$E,'Cutters Consumption Updates'!$D:$D,J$1,'Cutters Consumption Updates'!$B:$B,$B7)+ SUMIF('Cutters Consumption Updates'!$AS:$AS,$B7,'Cutters Consumption Updates'!AV:AV)</f>
        <v>0</v>
      </c>
      <c r="K7" s="738">
        <f>SUMIFS('Cutters Consumption Updates'!$F:$F,'Cutters Consumption Updates'!$D:$D,K$1,'Cutters Consumption Updates'!$B:$B,$B7)-SUMIFS('Cutters Consumption Updates'!$E:$E,'Cutters Consumption Updates'!$D:$D,K$1,'Cutters Consumption Updates'!$B:$B,$B7)+ SUMIF('Cutters Consumption Updates'!$AS:$AS,$B7,'Cutters Consumption Updates'!AW:AW)</f>
        <v>33</v>
      </c>
      <c r="L7" s="116">
        <f>SUMIFS('Cutters Consumption Updates'!$F:$F,'Cutters Consumption Updates'!$D:$D,L$1,'Cutters Consumption Updates'!$B:$B,$B7)-SUMIFS('Cutters Consumption Updates'!$E:$E,'Cutters Consumption Updates'!$D:$D,$L$1,'Cutters Consumption Updates'!$B:$B,$B7)+SUMIFS('Cutters Consumption Updates'!$F:$F,'Cutters Consumption Updates'!$D:$D,"Retrofit",'Cutters Consumption Updates'!$B:$B,$B7)-SUMIFS('Cutters Consumption Updates'!$E:$E,'Cutters Consumption Updates'!$D:$D,"Retrofit",'Cutters Consumption Updates'!$B:$B,$B7)+ SUMIF('Cutters Consumption Updates'!$AS:$AS,$B7,'Cutters Consumption Updates'!AX:AX)</f>
        <v>11</v>
      </c>
      <c r="M7" s="810">
        <f t="shared" si="0"/>
        <v>37</v>
      </c>
      <c r="N7" s="810">
        <f ca="1">SUMIFS('Cutters Consumption Updates'!E:E,
        'Cutters Consumption Updates'!B:B, B7,
        'Cutters Consumption Updates'!A:A, "&gt;" &amp; TODAY()-182)</f>
        <v>0</v>
      </c>
      <c r="O7" s="810">
        <f ca="1">SUMIFS('Cutters Consumption Updates'!E:E,
        'Cutters Consumption Updates'!B:B, B7,
        'Cutters Consumption Updates'!A:A, "&gt;" &amp; TODAY()-91)</f>
        <v>0</v>
      </c>
      <c r="P7" s="810">
        <f t="shared" ca="1" si="1"/>
        <v>0</v>
      </c>
      <c r="Q7" s="703">
        <f t="shared" ca="1" si="2"/>
        <v>0</v>
      </c>
      <c r="R7" s="703" t="s">
        <v>29</v>
      </c>
      <c r="S7" s="24">
        <f>IFERROR(INDEX(Table5[],MATCH($B7,Table5[Component],0),2),0)</f>
        <v>24</v>
      </c>
      <c r="T7" s="813">
        <f>SUMIFS(Table7[Balance],Table7[Cutter Mat'#],$B7)</f>
        <v>0</v>
      </c>
      <c r="U7" s="24">
        <f t="shared" si="3"/>
        <v>13</v>
      </c>
      <c r="V7" s="119"/>
      <c r="W7" s="2"/>
      <c r="Y7" s="4">
        <f>IFERROR(INDEX(Table5[],MATCH($B7,Table5[Component],0),2),0)</f>
        <v>24</v>
      </c>
      <c r="Z7" s="4">
        <f>IFERROR(INDEX(Table5[],MATCH($B7,Table5[Component],0),1),0)</f>
        <v>375538</v>
      </c>
      <c r="AA7" s="4">
        <f>IF(Y7&lt;&gt;0,B7,"")</f>
        <v>375538</v>
      </c>
      <c r="AB7" s="4" t="str">
        <f t="shared" si="4"/>
        <v/>
      </c>
      <c r="AD7" s="4">
        <f t="shared" si="5"/>
        <v>37</v>
      </c>
      <c r="AE7"/>
      <c r="AI7" s="248" t="str">
        <f>IFERROR(INDEX($B$1:$AK$243,MATCH(W7,$B$1:$B$243,0),13),"")</f>
        <v/>
      </c>
      <c r="AJ7" s="248" t="str">
        <f>IFERROR(INDEX($B$1:$AK$243,MATCH(W7,$B$1:$B$243,0),15),"")</f>
        <v/>
      </c>
      <c r="AK7">
        <f>SUMIF($W$2:$W$243,B7,$S$2:$S$243)</f>
        <v>0</v>
      </c>
      <c r="AP7">
        <f t="shared" si="6"/>
        <v>0</v>
      </c>
      <c r="AR7">
        <v>179790</v>
      </c>
      <c r="AS7">
        <f>SUMIF($B:$B,AR7,$AP:$AP)</f>
        <v>0</v>
      </c>
    </row>
    <row r="8" spans="1:45" ht="15.65" customHeight="1" x14ac:dyDescent="0.35">
      <c r="A8" s="2">
        <v>7</v>
      </c>
      <c r="B8" s="2">
        <v>399930</v>
      </c>
      <c r="C8" s="2" t="s">
        <v>4263</v>
      </c>
      <c r="D8" s="2" t="s">
        <v>44</v>
      </c>
      <c r="E8" s="2" t="s">
        <v>4247</v>
      </c>
      <c r="F8" s="2" t="s">
        <v>253</v>
      </c>
      <c r="G8" s="2" t="s">
        <v>28</v>
      </c>
      <c r="H8" s="10">
        <f>SUMIFS('Cutters Consumption Updates'!$F:$F,'Cutters Consumption Updates'!$D:$D,H$1,'Cutters Consumption Updates'!$B:$B,$B8)-SUMIFS('Cutters Consumption Updates'!$E:$E,'Cutters Consumption Updates'!$D:$D,H$1,'Cutters Consumption Updates'!$B:$B,$B8)+ SUMIF('Cutters Consumption Updates'!$AS:$AS,$B8,'Cutters Consumption Updates'!AT:AT)</f>
        <v>0</v>
      </c>
      <c r="I8" s="10">
        <f>SUMIFS('Cutters Consumption Updates'!$F:$F,'Cutters Consumption Updates'!$D:$D,I$1,'Cutters Consumption Updates'!$B:$B,$B8)-SUMIFS('Cutters Consumption Updates'!$E:$E,'Cutters Consumption Updates'!$D:$D,I$1,'Cutters Consumption Updates'!$B:$B,$B8)+ SUMIF('Cutters Consumption Updates'!$AS:$AS,$B8,'Cutters Consumption Updates'!AU:AU)</f>
        <v>0</v>
      </c>
      <c r="J8" s="116">
        <f>SUMIFS('Cutters Consumption Updates'!$F:$F,'Cutters Consumption Updates'!$D:$D,J$1,'Cutters Consumption Updates'!$B:$B,$B8)-SUMIFS('Cutters Consumption Updates'!$E:$E,'Cutters Consumption Updates'!$D:$D,J$1,'Cutters Consumption Updates'!$B:$B,$B8)+ SUMIF('Cutters Consumption Updates'!$AS:$AS,$B8,'Cutters Consumption Updates'!AV:AV)</f>
        <v>0</v>
      </c>
      <c r="K8" s="738">
        <f>SUMIFS('Cutters Consumption Updates'!$F:$F,'Cutters Consumption Updates'!$D:$D,K$1,'Cutters Consumption Updates'!$B:$B,$B8)-SUMIFS('Cutters Consumption Updates'!$E:$E,'Cutters Consumption Updates'!$D:$D,K$1,'Cutters Consumption Updates'!$B:$B,$B8)+ SUMIF('Cutters Consumption Updates'!$AS:$AS,$B8,'Cutters Consumption Updates'!AW:AW)</f>
        <v>24</v>
      </c>
      <c r="L8" s="116">
        <f>SUMIFS('Cutters Consumption Updates'!$F:$F,'Cutters Consumption Updates'!$D:$D,L$1,'Cutters Consumption Updates'!$B:$B,$B8)-SUMIFS('Cutters Consumption Updates'!$E:$E,'Cutters Consumption Updates'!$D:$D,$L$1,'Cutters Consumption Updates'!$B:$B,$B8)+SUMIFS('Cutters Consumption Updates'!$F:$F,'Cutters Consumption Updates'!$D:$D,"Retrofit",'Cutters Consumption Updates'!$B:$B,$B8)-SUMIFS('Cutters Consumption Updates'!$E:$E,'Cutters Consumption Updates'!$D:$D,"Retrofit",'Cutters Consumption Updates'!$B:$B,$B8)+ SUMIF('Cutters Consumption Updates'!$AS:$AS,$B8,'Cutters Consumption Updates'!AX:AX)</f>
        <v>1</v>
      </c>
      <c r="M8" s="810">
        <f t="shared" si="0"/>
        <v>1</v>
      </c>
      <c r="N8" s="810">
        <f ca="1">SUMIFS('Cutters Consumption Updates'!E:E,
        'Cutters Consumption Updates'!B:B, B8,
        'Cutters Consumption Updates'!A:A, "&gt;" &amp; TODAY()-182)</f>
        <v>0</v>
      </c>
      <c r="O8" s="810">
        <f ca="1">SUMIFS('Cutters Consumption Updates'!E:E,
        'Cutters Consumption Updates'!B:B, B8,
        'Cutters Consumption Updates'!A:A, "&gt;" &amp; TODAY()-91)</f>
        <v>0</v>
      </c>
      <c r="P8" s="810">
        <f t="shared" ca="1" si="1"/>
        <v>0</v>
      </c>
      <c r="Q8" s="703">
        <f t="shared" ca="1" si="2"/>
        <v>0</v>
      </c>
      <c r="R8" s="703" t="s">
        <v>29</v>
      </c>
      <c r="S8" s="24">
        <f>IFERROR(INDEX(Table5[],MATCH($B8,Table5[Component],0),2),0)</f>
        <v>0</v>
      </c>
      <c r="T8" s="813">
        <f>SUMIFS(Table7[Balance],Table7[Cutter Mat'#],$B8)</f>
        <v>0</v>
      </c>
      <c r="U8" s="24">
        <f t="shared" si="3"/>
        <v>1</v>
      </c>
      <c r="V8" s="119"/>
      <c r="W8" s="2"/>
      <c r="Y8" s="4">
        <f>IFERROR(INDEX(Table5[],MATCH($B8,Table5[Component],0),2),0)</f>
        <v>0</v>
      </c>
      <c r="Z8" s="4">
        <f>IFERROR(INDEX(Table5[],MATCH($B8,Table5[Component],0),1),0)</f>
        <v>0</v>
      </c>
      <c r="AA8" s="4" t="str">
        <f>IF(Y8&lt;&gt;0,B8,"")</f>
        <v/>
      </c>
      <c r="AB8" s="4" t="str">
        <f t="shared" si="4"/>
        <v/>
      </c>
      <c r="AD8" s="4">
        <f t="shared" si="5"/>
        <v>1</v>
      </c>
      <c r="AE8"/>
      <c r="AI8" s="248" t="str">
        <f>IFERROR(INDEX($B$1:$AK$243,MATCH(W8,$B$1:$B$243,0),13),"")</f>
        <v/>
      </c>
      <c r="AJ8" s="248" t="str">
        <f>IFERROR(INDEX($B$1:$AK$243,MATCH(W8,$B$1:$B$243,0),15),"")</f>
        <v/>
      </c>
      <c r="AK8">
        <f>SUMIF($W$2:$W$243,B8,$S$2:$S$243)</f>
        <v>0</v>
      </c>
      <c r="AP8">
        <f t="shared" si="6"/>
        <v>0</v>
      </c>
      <c r="AR8">
        <v>375538</v>
      </c>
      <c r="AS8">
        <f>SUMIF($B:$B,AR8,$AP:$AP)</f>
        <v>0</v>
      </c>
    </row>
    <row r="9" spans="1:45" ht="15.65" customHeight="1" x14ac:dyDescent="0.35">
      <c r="A9" s="2">
        <v>8</v>
      </c>
      <c r="B9" s="2">
        <v>584832</v>
      </c>
      <c r="C9" s="2" t="s">
        <v>4264</v>
      </c>
      <c r="D9" s="2" t="s">
        <v>46</v>
      </c>
      <c r="E9" s="2">
        <v>1913</v>
      </c>
      <c r="F9" s="2" t="s">
        <v>248</v>
      </c>
      <c r="G9" s="2" t="s">
        <v>47</v>
      </c>
      <c r="H9" s="10">
        <f>SUMIFS('Cutters Consumption Updates'!$F:$F,'Cutters Consumption Updates'!$D:$D,H$1,'Cutters Consumption Updates'!$B:$B,$B9)-SUMIFS('Cutters Consumption Updates'!$E:$E,'Cutters Consumption Updates'!$D:$D,H$1,'Cutters Consumption Updates'!$B:$B,$B9)+ SUMIF('Cutters Consumption Updates'!$AS:$AS,$B9,'Cutters Consumption Updates'!AT:AT)</f>
        <v>0</v>
      </c>
      <c r="I9" s="10">
        <f>SUMIFS('Cutters Consumption Updates'!$F:$F,'Cutters Consumption Updates'!$D:$D,I$1,'Cutters Consumption Updates'!$B:$B,$B9)-SUMIFS('Cutters Consumption Updates'!$E:$E,'Cutters Consumption Updates'!$D:$D,I$1,'Cutters Consumption Updates'!$B:$B,$B9)+ SUMIF('Cutters Consumption Updates'!$AS:$AS,$B9,'Cutters Consumption Updates'!AU:AU)</f>
        <v>0</v>
      </c>
      <c r="J9" s="116">
        <f>SUMIFS('Cutters Consumption Updates'!$F:$F,'Cutters Consumption Updates'!$D:$D,J$1,'Cutters Consumption Updates'!$B:$B,$B9)-SUMIFS('Cutters Consumption Updates'!$E:$E,'Cutters Consumption Updates'!$D:$D,J$1,'Cutters Consumption Updates'!$B:$B,$B9)+ SUMIF('Cutters Consumption Updates'!$AS:$AS,$B9,'Cutters Consumption Updates'!AV:AV)</f>
        <v>0</v>
      </c>
      <c r="K9" s="738">
        <f>SUMIFS('Cutters Consumption Updates'!$F:$F,'Cutters Consumption Updates'!$D:$D,K$1,'Cutters Consumption Updates'!$B:$B,$B9)-SUMIFS('Cutters Consumption Updates'!$E:$E,'Cutters Consumption Updates'!$D:$D,K$1,'Cutters Consumption Updates'!$B:$B,$B9)+ SUMIF('Cutters Consumption Updates'!$AS:$AS,$B9,'Cutters Consumption Updates'!AW:AW)</f>
        <v>0</v>
      </c>
      <c r="L9" s="116">
        <f>SUMIFS('Cutters Consumption Updates'!$F:$F,'Cutters Consumption Updates'!$D:$D,L$1,'Cutters Consumption Updates'!$B:$B,$B9)-SUMIFS('Cutters Consumption Updates'!$E:$E,'Cutters Consumption Updates'!$D:$D,$L$1,'Cutters Consumption Updates'!$B:$B,$B9)+SUMIFS('Cutters Consumption Updates'!$F:$F,'Cutters Consumption Updates'!$D:$D,"Retrofit",'Cutters Consumption Updates'!$B:$B,$B9)-SUMIFS('Cutters Consumption Updates'!$E:$E,'Cutters Consumption Updates'!$D:$D,"Retrofit",'Cutters Consumption Updates'!$B:$B,$B9)+ SUMIF('Cutters Consumption Updates'!$AS:$AS,$B9,'Cutters Consumption Updates'!AX:AX)</f>
        <v>19</v>
      </c>
      <c r="M9" s="810">
        <f t="shared" si="0"/>
        <v>19</v>
      </c>
      <c r="N9" s="810">
        <f ca="1">SUMIFS('Cutters Consumption Updates'!E:E,
        'Cutters Consumption Updates'!B:B, B9,
        'Cutters Consumption Updates'!A:A, "&gt;" &amp; TODAY()-182)</f>
        <v>0</v>
      </c>
      <c r="O9" s="810">
        <f ca="1">SUMIFS('Cutters Consumption Updates'!E:E,
        'Cutters Consumption Updates'!B:B, B9,
        'Cutters Consumption Updates'!A:A, "&gt;" &amp; TODAY()-91)</f>
        <v>0</v>
      </c>
      <c r="P9" s="810">
        <f t="shared" ca="1" si="1"/>
        <v>0</v>
      </c>
      <c r="Q9" s="703">
        <f t="shared" ca="1" si="2"/>
        <v>0</v>
      </c>
      <c r="R9" s="703" t="s">
        <v>29</v>
      </c>
      <c r="S9" s="24">
        <f>IFERROR(INDEX(Table5[],MATCH($B9,Table5[Component],0),2),0)</f>
        <v>0</v>
      </c>
      <c r="T9" s="813">
        <f>SUMIFS(Table7[Balance],Table7[Cutter Mat'#],$B9)</f>
        <v>0</v>
      </c>
      <c r="U9" s="24">
        <f t="shared" si="3"/>
        <v>19</v>
      </c>
      <c r="V9" s="119"/>
      <c r="W9" s="2"/>
      <c r="Y9" s="4">
        <f>IFERROR(INDEX(Table5[],MATCH($B9,Table5[Component],0),2),0)</f>
        <v>0</v>
      </c>
      <c r="Z9" s="4">
        <f>IFERROR(INDEX(Table5[],MATCH($B9,Table5[Component],0),1),0)</f>
        <v>0</v>
      </c>
      <c r="AA9" s="4" t="str">
        <f>IF(Y9&lt;&gt;0,B9,"")</f>
        <v/>
      </c>
      <c r="AB9" s="4" t="str">
        <f t="shared" si="4"/>
        <v/>
      </c>
      <c r="AD9" s="4">
        <f t="shared" si="5"/>
        <v>19</v>
      </c>
      <c r="AE9"/>
      <c r="AI9" s="248" t="str">
        <f>IFERROR(INDEX($B$1:$AK$243,MATCH(W9,$B$1:$B$243,0),13),"")</f>
        <v/>
      </c>
      <c r="AJ9" s="248" t="str">
        <f>IFERROR(INDEX($B$1:$AK$243,MATCH(W9,$B$1:$B$243,0),15),"")</f>
        <v/>
      </c>
      <c r="AK9">
        <f>SUMIF($W$2:$W$243,B9,$S$2:$S$243)</f>
        <v>0</v>
      </c>
      <c r="AP9">
        <f t="shared" si="6"/>
        <v>0</v>
      </c>
      <c r="AR9">
        <v>376826</v>
      </c>
      <c r="AS9">
        <f>SUMIF($B:$B,AR9,$AP:$AP)</f>
        <v>0</v>
      </c>
    </row>
    <row r="10" spans="1:45" ht="15.65" customHeight="1" x14ac:dyDescent="0.35">
      <c r="A10" s="2">
        <v>9</v>
      </c>
      <c r="B10" s="2">
        <v>467367</v>
      </c>
      <c r="C10" s="2" t="s">
        <v>4265</v>
      </c>
      <c r="D10" s="2" t="s">
        <v>48</v>
      </c>
      <c r="E10" s="2">
        <v>1613</v>
      </c>
      <c r="F10" s="2" t="s">
        <v>253</v>
      </c>
      <c r="G10" s="2" t="s">
        <v>49</v>
      </c>
      <c r="H10" s="10">
        <f>SUMIFS('Cutters Consumption Updates'!$F:$F,'Cutters Consumption Updates'!$D:$D,H$1,'Cutters Consumption Updates'!$B:$B,$B10)-SUMIFS('Cutters Consumption Updates'!$E:$E,'Cutters Consumption Updates'!$D:$D,H$1,'Cutters Consumption Updates'!$B:$B,$B10)+ SUMIF('Cutters Consumption Updates'!$AS:$AS,$B10,'Cutters Consumption Updates'!AT:AT)</f>
        <v>0</v>
      </c>
      <c r="I10" s="10">
        <f>SUMIFS('Cutters Consumption Updates'!$F:$F,'Cutters Consumption Updates'!$D:$D,I$1,'Cutters Consumption Updates'!$B:$B,$B10)-SUMIFS('Cutters Consumption Updates'!$E:$E,'Cutters Consumption Updates'!$D:$D,I$1,'Cutters Consumption Updates'!$B:$B,$B10)+ SUMIF('Cutters Consumption Updates'!$AS:$AS,$B10,'Cutters Consumption Updates'!AU:AU)</f>
        <v>0</v>
      </c>
      <c r="J10" s="116">
        <f>SUMIFS('Cutters Consumption Updates'!$F:$F,'Cutters Consumption Updates'!$D:$D,J$1,'Cutters Consumption Updates'!$B:$B,$B10)-SUMIFS('Cutters Consumption Updates'!$E:$E,'Cutters Consumption Updates'!$D:$D,J$1,'Cutters Consumption Updates'!$B:$B,$B10)+ SUMIF('Cutters Consumption Updates'!$AS:$AS,$B10,'Cutters Consumption Updates'!AV:AV)</f>
        <v>0</v>
      </c>
      <c r="K10" s="738">
        <f>SUMIFS('Cutters Consumption Updates'!$F:$F,'Cutters Consumption Updates'!$D:$D,K$1,'Cutters Consumption Updates'!$B:$B,$B10)-SUMIFS('Cutters Consumption Updates'!$E:$E,'Cutters Consumption Updates'!$D:$D,K$1,'Cutters Consumption Updates'!$B:$B,$B10)+ SUMIF('Cutters Consumption Updates'!$AS:$AS,$B10,'Cutters Consumption Updates'!AW:AW)</f>
        <v>10</v>
      </c>
      <c r="L10" s="116">
        <f>SUMIFS('Cutters Consumption Updates'!$F:$F,'Cutters Consumption Updates'!$D:$D,L$1,'Cutters Consumption Updates'!$B:$B,$B10)-SUMIFS('Cutters Consumption Updates'!$E:$E,'Cutters Consumption Updates'!$D:$D,$L$1,'Cutters Consumption Updates'!$B:$B,$B10)+SUMIFS('Cutters Consumption Updates'!$F:$F,'Cutters Consumption Updates'!$D:$D,"Retrofit",'Cutters Consumption Updates'!$B:$B,$B10)-SUMIFS('Cutters Consumption Updates'!$E:$E,'Cutters Consumption Updates'!$D:$D,"Retrofit",'Cutters Consumption Updates'!$B:$B,$B10)+ SUMIF('Cutters Consumption Updates'!$AS:$AS,$B10,'Cutters Consumption Updates'!AX:AX)</f>
        <v>0</v>
      </c>
      <c r="M10" s="810">
        <f t="shared" si="0"/>
        <v>0</v>
      </c>
      <c r="N10" s="810">
        <f ca="1">SUMIFS('Cutters Consumption Updates'!E:E,
        'Cutters Consumption Updates'!B:B, B10,
        'Cutters Consumption Updates'!A:A, "&gt;" &amp; TODAY()-182)</f>
        <v>0</v>
      </c>
      <c r="O10" s="810">
        <f ca="1">SUMIFS('Cutters Consumption Updates'!E:E,
        'Cutters Consumption Updates'!B:B, B10,
        'Cutters Consumption Updates'!A:A, "&gt;" &amp; TODAY()-91)</f>
        <v>0</v>
      </c>
      <c r="P10" s="810">
        <f t="shared" ca="1" si="1"/>
        <v>0</v>
      </c>
      <c r="Q10" s="703">
        <f t="shared" ca="1" si="2"/>
        <v>0</v>
      </c>
      <c r="R10" s="703" t="s">
        <v>29</v>
      </c>
      <c r="S10" s="24">
        <f>IFERROR(INDEX(Table5[],MATCH($B10,Table5[Component],0),2),0)</f>
        <v>0</v>
      </c>
      <c r="T10" s="813">
        <f>SUMIFS(Table7[Balance],Table7[Cutter Mat'#],$B10)</f>
        <v>0</v>
      </c>
      <c r="U10" s="24">
        <f t="shared" si="3"/>
        <v>0</v>
      </c>
      <c r="V10" s="119"/>
      <c r="W10" s="2"/>
      <c r="Y10" s="4">
        <f>IFERROR(INDEX(Table5[],MATCH($B10,Table5[Component],0),2),0)</f>
        <v>0</v>
      </c>
      <c r="Z10" s="4">
        <f>IFERROR(INDEX(Table5[],MATCH($B10,Table5[Component],0),1),0)</f>
        <v>0</v>
      </c>
      <c r="AA10" s="4" t="str">
        <f>IF(Y10&lt;&gt;0,B10,"")</f>
        <v/>
      </c>
      <c r="AB10" s="4" t="str">
        <f t="shared" si="4"/>
        <v/>
      </c>
      <c r="AD10" s="4">
        <f t="shared" si="5"/>
        <v>0</v>
      </c>
      <c r="AE10"/>
      <c r="AI10" s="248" t="str">
        <f>IFERROR(INDEX($B$1:$AK$243,MATCH(W10,$B$1:$B$243,0),13),"")</f>
        <v/>
      </c>
      <c r="AJ10" s="248" t="str">
        <f>IFERROR(INDEX($B$1:$AK$243,MATCH(W10,$B$1:$B$243,0),15),"")</f>
        <v/>
      </c>
      <c r="AK10">
        <f>SUMIF($W$2:$W$243,B10,$S$2:$S$243)</f>
        <v>0</v>
      </c>
      <c r="AP10">
        <f t="shared" si="6"/>
        <v>0</v>
      </c>
      <c r="AR10">
        <v>397470</v>
      </c>
      <c r="AS10">
        <f>SUMIF($B:$B,AR10,$AP:$AP)</f>
        <v>0</v>
      </c>
    </row>
    <row r="11" spans="1:45" ht="15.65" customHeight="1" x14ac:dyDescent="0.35">
      <c r="A11" s="2">
        <v>10</v>
      </c>
      <c r="B11" s="2">
        <v>535656</v>
      </c>
      <c r="C11" s="2" t="s">
        <v>4266</v>
      </c>
      <c r="D11" s="2" t="s">
        <v>48</v>
      </c>
      <c r="E11" s="2">
        <v>1608</v>
      </c>
      <c r="F11" s="2" t="s">
        <v>248</v>
      </c>
      <c r="G11" s="2" t="s">
        <v>49</v>
      </c>
      <c r="H11" s="10">
        <f>SUMIFS('Cutters Consumption Updates'!$F:$F,'Cutters Consumption Updates'!$D:$D,H$1,'Cutters Consumption Updates'!$B:$B,$B11)-SUMIFS('Cutters Consumption Updates'!$E:$E,'Cutters Consumption Updates'!$D:$D,H$1,'Cutters Consumption Updates'!$B:$B,$B11)+ SUMIF('Cutters Consumption Updates'!$AS:$AS,$B11,'Cutters Consumption Updates'!AT:AT)</f>
        <v>0</v>
      </c>
      <c r="I11" s="10">
        <f>SUMIFS('Cutters Consumption Updates'!$F:$F,'Cutters Consumption Updates'!$D:$D,I$1,'Cutters Consumption Updates'!$B:$B,$B11)-SUMIFS('Cutters Consumption Updates'!$E:$E,'Cutters Consumption Updates'!$D:$D,I$1,'Cutters Consumption Updates'!$B:$B,$B11)+ SUMIF('Cutters Consumption Updates'!$AS:$AS,$B11,'Cutters Consumption Updates'!AU:AU)</f>
        <v>0</v>
      </c>
      <c r="J11" s="116">
        <f>SUMIFS('Cutters Consumption Updates'!$F:$F,'Cutters Consumption Updates'!$D:$D,J$1,'Cutters Consumption Updates'!$B:$B,$B11)-SUMIFS('Cutters Consumption Updates'!$E:$E,'Cutters Consumption Updates'!$D:$D,J$1,'Cutters Consumption Updates'!$B:$B,$B11)+ SUMIF('Cutters Consumption Updates'!$AS:$AS,$B11,'Cutters Consumption Updates'!AV:AV)</f>
        <v>0</v>
      </c>
      <c r="K11" s="738">
        <f>SUMIFS('Cutters Consumption Updates'!$F:$F,'Cutters Consumption Updates'!$D:$D,K$1,'Cutters Consumption Updates'!$B:$B,$B11)-SUMIFS('Cutters Consumption Updates'!$E:$E,'Cutters Consumption Updates'!$D:$D,K$1,'Cutters Consumption Updates'!$B:$B,$B11)+ SUMIF('Cutters Consumption Updates'!$AS:$AS,$B11,'Cutters Consumption Updates'!AW:AW)</f>
        <v>0</v>
      </c>
      <c r="L11" s="116">
        <f>SUMIFS('Cutters Consumption Updates'!$F:$F,'Cutters Consumption Updates'!$D:$D,L$1,'Cutters Consumption Updates'!$B:$B,$B11)-SUMIFS('Cutters Consumption Updates'!$E:$E,'Cutters Consumption Updates'!$D:$D,$L$1,'Cutters Consumption Updates'!$B:$B,$B11)+SUMIFS('Cutters Consumption Updates'!$F:$F,'Cutters Consumption Updates'!$D:$D,"Retrofit",'Cutters Consumption Updates'!$B:$B,$B11)-SUMIFS('Cutters Consumption Updates'!$E:$E,'Cutters Consumption Updates'!$D:$D,"Retrofit",'Cutters Consumption Updates'!$B:$B,$B11)+ SUMIF('Cutters Consumption Updates'!$AS:$AS,$B11,'Cutters Consumption Updates'!AX:AX)</f>
        <v>28</v>
      </c>
      <c r="M11" s="810">
        <f t="shared" si="0"/>
        <v>28</v>
      </c>
      <c r="N11" s="810">
        <f ca="1">SUMIFS('Cutters Consumption Updates'!E:E,
        'Cutters Consumption Updates'!B:B, B11,
        'Cutters Consumption Updates'!A:A, "&gt;" &amp; TODAY()-182)</f>
        <v>7</v>
      </c>
      <c r="O11" s="810">
        <f ca="1">SUMIFS('Cutters Consumption Updates'!E:E,
        'Cutters Consumption Updates'!B:B, B11,
        'Cutters Consumption Updates'!A:A, "&gt;" &amp; TODAY()-91)</f>
        <v>5</v>
      </c>
      <c r="P11" s="810">
        <f t="shared" ca="1" si="1"/>
        <v>3</v>
      </c>
      <c r="Q11" s="703">
        <f t="shared" ca="1" si="2"/>
        <v>5</v>
      </c>
      <c r="R11" s="703" t="s">
        <v>29</v>
      </c>
      <c r="S11" s="24">
        <f>IFERROR(INDEX(Table5[],MATCH($B11,Table5[Component],0),2),0)</f>
        <v>0</v>
      </c>
      <c r="T11" s="813">
        <f>SUMIFS(Table7[Balance],Table7[Cutter Mat'#],$B11)</f>
        <v>0</v>
      </c>
      <c r="U11" s="24">
        <f t="shared" si="3"/>
        <v>28</v>
      </c>
      <c r="V11" s="119"/>
      <c r="W11" s="2"/>
      <c r="Y11" s="4">
        <f>IFERROR(INDEX(Table5[],MATCH($B11,Table5[Component],0),2),0)</f>
        <v>0</v>
      </c>
      <c r="Z11" s="4">
        <f>IFERROR(INDEX(Table5[],MATCH($B11,Table5[Component],0),1),0)</f>
        <v>0</v>
      </c>
      <c r="AA11" s="4" t="str">
        <f>IF(Y11&lt;&gt;0,B11,"")</f>
        <v/>
      </c>
      <c r="AB11" s="4" t="str">
        <f t="shared" si="4"/>
        <v/>
      </c>
      <c r="AD11" s="4">
        <f t="shared" si="5"/>
        <v>28</v>
      </c>
      <c r="AE11"/>
      <c r="AI11" s="248" t="str">
        <f>IFERROR(INDEX($B$1:$AK$243,MATCH(W11,$B$1:$B$243,0),13),"")</f>
        <v/>
      </c>
      <c r="AJ11" s="248" t="str">
        <f>IFERROR(INDEX($B$1:$AK$243,MATCH(W11,$B$1:$B$243,0),15),"")</f>
        <v/>
      </c>
      <c r="AK11">
        <f>SUMIF($W$2:$W$243,B11,$S$2:$S$243)</f>
        <v>0</v>
      </c>
      <c r="AP11">
        <f t="shared" si="6"/>
        <v>0</v>
      </c>
      <c r="AR11">
        <v>399930</v>
      </c>
      <c r="AS11">
        <f>SUMIF($B:$B,AR11,$AP:$AP)</f>
        <v>0</v>
      </c>
    </row>
    <row r="12" spans="1:45" ht="15.65" customHeight="1" x14ac:dyDescent="0.35">
      <c r="A12" s="2">
        <v>11</v>
      </c>
      <c r="B12" s="2">
        <v>471108</v>
      </c>
      <c r="C12" s="2" t="s">
        <v>4267</v>
      </c>
      <c r="D12" s="2" t="s">
        <v>48</v>
      </c>
      <c r="E12" s="2">
        <v>1313</v>
      </c>
      <c r="F12" s="2" t="s">
        <v>248</v>
      </c>
      <c r="G12" s="2" t="s">
        <v>49</v>
      </c>
      <c r="H12" s="10">
        <f>SUMIFS('Cutters Consumption Updates'!$F:$F,'Cutters Consumption Updates'!$D:$D,H$1,'Cutters Consumption Updates'!$B:$B,$B12)-SUMIFS('Cutters Consumption Updates'!$E:$E,'Cutters Consumption Updates'!$D:$D,H$1,'Cutters Consumption Updates'!$B:$B,$B12)+ SUMIF('Cutters Consumption Updates'!$AS:$AS,$B12,'Cutters Consumption Updates'!AT:AT)</f>
        <v>0</v>
      </c>
      <c r="I12" s="10">
        <f>SUMIFS('Cutters Consumption Updates'!$F:$F,'Cutters Consumption Updates'!$D:$D,I$1,'Cutters Consumption Updates'!$B:$B,$B12)-SUMIFS('Cutters Consumption Updates'!$E:$E,'Cutters Consumption Updates'!$D:$D,I$1,'Cutters Consumption Updates'!$B:$B,$B12)+ SUMIF('Cutters Consumption Updates'!$AS:$AS,$B12,'Cutters Consumption Updates'!AU:AU)</f>
        <v>0</v>
      </c>
      <c r="J12" s="116">
        <f>SUMIFS('Cutters Consumption Updates'!$F:$F,'Cutters Consumption Updates'!$D:$D,J$1,'Cutters Consumption Updates'!$B:$B,$B12)-SUMIFS('Cutters Consumption Updates'!$E:$E,'Cutters Consumption Updates'!$D:$D,J$1,'Cutters Consumption Updates'!$B:$B,$B12)+ SUMIF('Cutters Consumption Updates'!$AS:$AS,$B12,'Cutters Consumption Updates'!AV:AV)</f>
        <v>0</v>
      </c>
      <c r="K12" s="738">
        <f>SUMIFS('Cutters Consumption Updates'!$F:$F,'Cutters Consumption Updates'!$D:$D,K$1,'Cutters Consumption Updates'!$B:$B,$B12)-SUMIFS('Cutters Consumption Updates'!$E:$E,'Cutters Consumption Updates'!$D:$D,K$1,'Cutters Consumption Updates'!$B:$B,$B12)+ SUMIF('Cutters Consumption Updates'!$AS:$AS,$B12,'Cutters Consumption Updates'!AW:AW)</f>
        <v>1</v>
      </c>
      <c r="L12" s="116">
        <f>SUMIFS('Cutters Consumption Updates'!$F:$F,'Cutters Consumption Updates'!$D:$D,L$1,'Cutters Consumption Updates'!$B:$B,$B12)-SUMIFS('Cutters Consumption Updates'!$E:$E,'Cutters Consumption Updates'!$D:$D,$L$1,'Cutters Consumption Updates'!$B:$B,$B12)+SUMIFS('Cutters Consumption Updates'!$F:$F,'Cutters Consumption Updates'!$D:$D,"Retrofit",'Cutters Consumption Updates'!$B:$B,$B12)-SUMIFS('Cutters Consumption Updates'!$E:$E,'Cutters Consumption Updates'!$D:$D,"Retrofit",'Cutters Consumption Updates'!$B:$B,$B12)+ SUMIF('Cutters Consumption Updates'!$AS:$AS,$B12,'Cutters Consumption Updates'!AX:AX)</f>
        <v>0</v>
      </c>
      <c r="M12" s="810">
        <f t="shared" si="0"/>
        <v>0</v>
      </c>
      <c r="N12" s="810">
        <f ca="1">SUMIFS('Cutters Consumption Updates'!E:E,
        'Cutters Consumption Updates'!B:B, B12,
        'Cutters Consumption Updates'!A:A, "&gt;" &amp; TODAY()-182)</f>
        <v>0</v>
      </c>
      <c r="O12" s="810">
        <f ca="1">SUMIFS('Cutters Consumption Updates'!E:E,
        'Cutters Consumption Updates'!B:B, B12,
        'Cutters Consumption Updates'!A:A, "&gt;" &amp; TODAY()-91)</f>
        <v>0</v>
      </c>
      <c r="P12" s="810">
        <f t="shared" ca="1" si="1"/>
        <v>0</v>
      </c>
      <c r="Q12" s="703">
        <f t="shared" ca="1" si="2"/>
        <v>0</v>
      </c>
      <c r="R12" s="703" t="s">
        <v>29</v>
      </c>
      <c r="S12" s="24">
        <f>IFERROR(INDEX(Table5[],MATCH($B12,Table5[Component],0),2),0)</f>
        <v>0</v>
      </c>
      <c r="T12" s="813">
        <f>SUMIFS(Table7[Balance],Table7[Cutter Mat'#],$B12)</f>
        <v>0</v>
      </c>
      <c r="U12" s="24">
        <f t="shared" si="3"/>
        <v>0</v>
      </c>
      <c r="V12" s="119"/>
      <c r="W12" s="2"/>
      <c r="Y12" s="4">
        <f>IFERROR(INDEX(Table5[],MATCH($B12,Table5[Component],0),2),0)</f>
        <v>0</v>
      </c>
      <c r="Z12" s="4">
        <f>IFERROR(INDEX(Table5[],MATCH($B12,Table5[Component],0),1),0)</f>
        <v>0</v>
      </c>
      <c r="AA12" s="4" t="str">
        <f>IF(Y12&lt;&gt;0,B12,"")</f>
        <v/>
      </c>
      <c r="AB12" s="4" t="str">
        <f t="shared" si="4"/>
        <v/>
      </c>
      <c r="AD12" s="4">
        <f t="shared" si="5"/>
        <v>0</v>
      </c>
      <c r="AE12"/>
      <c r="AI12" s="248" t="str">
        <f>IFERROR(INDEX($B$1:$AK$243,MATCH(W12,$B$1:$B$243,0),13),"")</f>
        <v/>
      </c>
      <c r="AJ12" s="248" t="str">
        <f>IFERROR(INDEX($B$1:$AK$243,MATCH(W12,$B$1:$B$243,0),15),"")</f>
        <v/>
      </c>
      <c r="AK12">
        <f>SUMIF($W$2:$W$243,B12,$S$2:$S$243)</f>
        <v>0</v>
      </c>
      <c r="AP12">
        <f t="shared" si="6"/>
        <v>0</v>
      </c>
      <c r="AR12">
        <v>409593</v>
      </c>
      <c r="AS12">
        <f>SUMIF($B:$B,AR12,$AP:$AP)</f>
        <v>0</v>
      </c>
    </row>
    <row r="13" spans="1:45" ht="15.65" customHeight="1" x14ac:dyDescent="0.35">
      <c r="A13" s="2">
        <v>12</v>
      </c>
      <c r="B13" s="2">
        <v>471109</v>
      </c>
      <c r="C13" s="2" t="s">
        <v>4268</v>
      </c>
      <c r="D13" s="2" t="s">
        <v>48</v>
      </c>
      <c r="E13" s="2">
        <v>1613</v>
      </c>
      <c r="F13" s="2" t="s">
        <v>248</v>
      </c>
      <c r="G13" s="2" t="s">
        <v>49</v>
      </c>
      <c r="H13" s="10">
        <f>SUMIFS('Cutters Consumption Updates'!$F:$F,'Cutters Consumption Updates'!$D:$D,H$1,'Cutters Consumption Updates'!$B:$B,$B13)-SUMIFS('Cutters Consumption Updates'!$E:$E,'Cutters Consumption Updates'!$D:$D,H$1,'Cutters Consumption Updates'!$B:$B,$B13)+ SUMIF('Cutters Consumption Updates'!$AS:$AS,$B13,'Cutters Consumption Updates'!AT:AT)</f>
        <v>0</v>
      </c>
      <c r="I13" s="10">
        <f>SUMIFS('Cutters Consumption Updates'!$F:$F,'Cutters Consumption Updates'!$D:$D,I$1,'Cutters Consumption Updates'!$B:$B,$B13)-SUMIFS('Cutters Consumption Updates'!$E:$E,'Cutters Consumption Updates'!$D:$D,I$1,'Cutters Consumption Updates'!$B:$B,$B13)+ SUMIF('Cutters Consumption Updates'!$AS:$AS,$B13,'Cutters Consumption Updates'!AU:AU)</f>
        <v>0</v>
      </c>
      <c r="J13" s="116">
        <f>SUMIFS('Cutters Consumption Updates'!$F:$F,'Cutters Consumption Updates'!$D:$D,J$1,'Cutters Consumption Updates'!$B:$B,$B13)-SUMIFS('Cutters Consumption Updates'!$E:$E,'Cutters Consumption Updates'!$D:$D,J$1,'Cutters Consumption Updates'!$B:$B,$B13)+ SUMIF('Cutters Consumption Updates'!$AS:$AS,$B13,'Cutters Consumption Updates'!AV:AV)</f>
        <v>0</v>
      </c>
      <c r="K13" s="738">
        <f>SUMIFS('Cutters Consumption Updates'!$F:$F,'Cutters Consumption Updates'!$D:$D,K$1,'Cutters Consumption Updates'!$B:$B,$B13)-SUMIFS('Cutters Consumption Updates'!$E:$E,'Cutters Consumption Updates'!$D:$D,K$1,'Cutters Consumption Updates'!$B:$B,$B13)+ SUMIF('Cutters Consumption Updates'!$AS:$AS,$B13,'Cutters Consumption Updates'!AW:AW)</f>
        <v>38</v>
      </c>
      <c r="L13" s="116">
        <f>SUMIFS('Cutters Consumption Updates'!$F:$F,'Cutters Consumption Updates'!$D:$D,L$1,'Cutters Consumption Updates'!$B:$B,$B13)-SUMIFS('Cutters Consumption Updates'!$E:$E,'Cutters Consumption Updates'!$D:$D,$L$1,'Cutters Consumption Updates'!$B:$B,$B13)+SUMIFS('Cutters Consumption Updates'!$F:$F,'Cutters Consumption Updates'!$D:$D,"Retrofit",'Cutters Consumption Updates'!$B:$B,$B13)-SUMIFS('Cutters Consumption Updates'!$E:$E,'Cutters Consumption Updates'!$D:$D,"Retrofit",'Cutters Consumption Updates'!$B:$B,$B13)+ SUMIF('Cutters Consumption Updates'!$AS:$AS,$B13,'Cutters Consumption Updates'!AX:AX)</f>
        <v>1</v>
      </c>
      <c r="M13" s="810">
        <f t="shared" si="0"/>
        <v>1</v>
      </c>
      <c r="N13" s="810">
        <f ca="1">SUMIFS('Cutters Consumption Updates'!E:E,
        'Cutters Consumption Updates'!B:B, B13,
        'Cutters Consumption Updates'!A:A, "&gt;" &amp; TODAY()-182)</f>
        <v>0</v>
      </c>
      <c r="O13" s="810">
        <f ca="1">SUMIFS('Cutters Consumption Updates'!E:E,
        'Cutters Consumption Updates'!B:B, B13,
        'Cutters Consumption Updates'!A:A, "&gt;" &amp; TODAY()-91)</f>
        <v>0</v>
      </c>
      <c r="P13" s="810">
        <f t="shared" ca="1" si="1"/>
        <v>0</v>
      </c>
      <c r="Q13" s="703">
        <f t="shared" ca="1" si="2"/>
        <v>0</v>
      </c>
      <c r="R13" s="703" t="s">
        <v>29</v>
      </c>
      <c r="S13" s="24">
        <f>IFERROR(INDEX(Table5[],MATCH($B13,Table5[Component],0),2),0)</f>
        <v>0</v>
      </c>
      <c r="T13" s="813">
        <f>SUMIFS(Table7[Balance],Table7[Cutter Mat'#],$B13)</f>
        <v>0</v>
      </c>
      <c r="U13" s="24">
        <f t="shared" si="3"/>
        <v>1</v>
      </c>
      <c r="V13" s="119"/>
      <c r="W13" s="2"/>
      <c r="Y13" s="4">
        <f>IFERROR(INDEX(Table5[],MATCH($B13,Table5[Component],0),2),0)</f>
        <v>0</v>
      </c>
      <c r="Z13" s="4">
        <f>IFERROR(INDEX(Table5[],MATCH($B13,Table5[Component],0),1),0)</f>
        <v>0</v>
      </c>
      <c r="AA13" s="4" t="str">
        <f>IF(Y13&lt;&gt;0,B13,"")</f>
        <v/>
      </c>
      <c r="AB13" s="4" t="str">
        <f t="shared" si="4"/>
        <v/>
      </c>
      <c r="AD13" s="4">
        <f t="shared" si="5"/>
        <v>1</v>
      </c>
      <c r="AE13"/>
      <c r="AI13" s="248" t="str">
        <f>IFERROR(INDEX($B$1:$AK$243,MATCH(W13,$B$1:$B$243,0),13),"")</f>
        <v/>
      </c>
      <c r="AJ13" s="248" t="str">
        <f>IFERROR(INDEX($B$1:$AK$243,MATCH(W13,$B$1:$B$243,0),15),"")</f>
        <v/>
      </c>
      <c r="AK13">
        <f>SUMIF($W$2:$W$243,B13,$S$2:$S$243)</f>
        <v>0</v>
      </c>
      <c r="AP13">
        <f t="shared" si="6"/>
        <v>0</v>
      </c>
      <c r="AR13">
        <v>410851</v>
      </c>
      <c r="AS13">
        <f>SUMIF($B:$B,AR13,$AP:$AP)</f>
        <v>0</v>
      </c>
    </row>
    <row r="14" spans="1:45" ht="15.65" customHeight="1" x14ac:dyDescent="0.35">
      <c r="A14" s="2">
        <v>13</v>
      </c>
      <c r="B14" s="2">
        <v>587493</v>
      </c>
      <c r="C14" s="2" t="s">
        <v>4269</v>
      </c>
      <c r="D14" s="2" t="s">
        <v>46</v>
      </c>
      <c r="E14" s="2">
        <v>1908</v>
      </c>
      <c r="F14" s="2" t="s">
        <v>253</v>
      </c>
      <c r="G14" s="2" t="s">
        <v>47</v>
      </c>
      <c r="H14" s="10">
        <f>SUMIFS('Cutters Consumption Updates'!$F:$F,'Cutters Consumption Updates'!$D:$D,H$1,'Cutters Consumption Updates'!$B:$B,$B14)-SUMIFS('Cutters Consumption Updates'!$E:$E,'Cutters Consumption Updates'!$D:$D,H$1,'Cutters Consumption Updates'!$B:$B,$B14)+ SUMIF('Cutters Consumption Updates'!$AS:$AS,$B14,'Cutters Consumption Updates'!AT:AT)</f>
        <v>0</v>
      </c>
      <c r="I14" s="10">
        <f>SUMIFS('Cutters Consumption Updates'!$F:$F,'Cutters Consumption Updates'!$D:$D,I$1,'Cutters Consumption Updates'!$B:$B,$B14)-SUMIFS('Cutters Consumption Updates'!$E:$E,'Cutters Consumption Updates'!$D:$D,I$1,'Cutters Consumption Updates'!$B:$B,$B14)+ SUMIF('Cutters Consumption Updates'!$AS:$AS,$B14,'Cutters Consumption Updates'!AU:AU)</f>
        <v>0</v>
      </c>
      <c r="J14" s="116">
        <f>SUMIFS('Cutters Consumption Updates'!$F:$F,'Cutters Consumption Updates'!$D:$D,J$1,'Cutters Consumption Updates'!$B:$B,$B14)-SUMIFS('Cutters Consumption Updates'!$E:$E,'Cutters Consumption Updates'!$D:$D,J$1,'Cutters Consumption Updates'!$B:$B,$B14)+ SUMIF('Cutters Consumption Updates'!$AS:$AS,$B14,'Cutters Consumption Updates'!AV:AV)</f>
        <v>0</v>
      </c>
      <c r="K14" s="738">
        <f>SUMIFS('Cutters Consumption Updates'!$F:$F,'Cutters Consumption Updates'!$D:$D,K$1,'Cutters Consumption Updates'!$B:$B,$B14)-SUMIFS('Cutters Consumption Updates'!$E:$E,'Cutters Consumption Updates'!$D:$D,K$1,'Cutters Consumption Updates'!$B:$B,$B14)+ SUMIF('Cutters Consumption Updates'!$AS:$AS,$B14,'Cutters Consumption Updates'!AW:AW)</f>
        <v>0</v>
      </c>
      <c r="L14" s="116">
        <f>SUMIFS('Cutters Consumption Updates'!$F:$F,'Cutters Consumption Updates'!$D:$D,L$1,'Cutters Consumption Updates'!$B:$B,$B14)-SUMIFS('Cutters Consumption Updates'!$E:$E,'Cutters Consumption Updates'!$D:$D,$L$1,'Cutters Consumption Updates'!$B:$B,$B14)+SUMIFS('Cutters Consumption Updates'!$F:$F,'Cutters Consumption Updates'!$D:$D,"Retrofit",'Cutters Consumption Updates'!$B:$B,$B14)-SUMIFS('Cutters Consumption Updates'!$E:$E,'Cutters Consumption Updates'!$D:$D,"Retrofit",'Cutters Consumption Updates'!$B:$B,$B14)+ SUMIF('Cutters Consumption Updates'!$AS:$AS,$B14,'Cutters Consumption Updates'!AX:AX)</f>
        <v>20</v>
      </c>
      <c r="M14" s="810">
        <f t="shared" si="0"/>
        <v>20</v>
      </c>
      <c r="N14" s="810">
        <f ca="1">SUMIFS('Cutters Consumption Updates'!E:E,
        'Cutters Consumption Updates'!B:B, B14,
        'Cutters Consumption Updates'!A:A, "&gt;" &amp; TODAY()-182)</f>
        <v>0</v>
      </c>
      <c r="O14" s="810">
        <f ca="1">SUMIFS('Cutters Consumption Updates'!E:E,
        'Cutters Consumption Updates'!B:B, B14,
        'Cutters Consumption Updates'!A:A, "&gt;" &amp; TODAY()-91)</f>
        <v>0</v>
      </c>
      <c r="P14" s="810">
        <f t="shared" ca="1" si="1"/>
        <v>0</v>
      </c>
      <c r="Q14" s="703">
        <f t="shared" ca="1" si="2"/>
        <v>0</v>
      </c>
      <c r="R14" s="703" t="s">
        <v>29</v>
      </c>
      <c r="S14" s="24">
        <f>IFERROR(INDEX(Table5[],MATCH($B14,Table5[Component],0),2),0)</f>
        <v>0</v>
      </c>
      <c r="T14" s="813">
        <f>SUMIFS(Table7[Balance],Table7[Cutter Mat'#],$B14)</f>
        <v>0</v>
      </c>
      <c r="U14" s="24">
        <f t="shared" si="3"/>
        <v>20</v>
      </c>
      <c r="V14" s="119"/>
      <c r="W14" s="2"/>
      <c r="Y14" s="4">
        <f>IFERROR(INDEX(Table5[],MATCH($B14,Table5[Component],0),2),0)</f>
        <v>0</v>
      </c>
      <c r="Z14" s="4">
        <f>IFERROR(INDEX(Table5[],MATCH($B14,Table5[Component],0),1),0)</f>
        <v>0</v>
      </c>
      <c r="AA14" s="4" t="str">
        <f>IF(Y14&lt;&gt;0,B14,"")</f>
        <v/>
      </c>
      <c r="AB14" s="4" t="str">
        <f t="shared" si="4"/>
        <v/>
      </c>
      <c r="AD14" s="4">
        <f t="shared" si="5"/>
        <v>20</v>
      </c>
      <c r="AE14"/>
      <c r="AI14" s="248" t="str">
        <f>IFERROR(INDEX($B$1:$AK$243,MATCH(W14,$B$1:$B$243,0),13),"")</f>
        <v/>
      </c>
      <c r="AJ14" s="248" t="str">
        <f>IFERROR(INDEX($B$1:$AK$243,MATCH(W14,$B$1:$B$243,0),15),"")</f>
        <v/>
      </c>
      <c r="AK14">
        <f>SUMIF($W$2:$W$243,B14,$S$2:$S$243)</f>
        <v>0</v>
      </c>
      <c r="AP14">
        <f t="shared" si="6"/>
        <v>0</v>
      </c>
      <c r="AR14">
        <v>418525</v>
      </c>
      <c r="AS14">
        <f>SUMIF($B:$B,AR14,$AP:$AP)</f>
        <v>150</v>
      </c>
    </row>
    <row r="15" spans="1:45" ht="15.65" customHeight="1" x14ac:dyDescent="0.35">
      <c r="A15" s="2">
        <v>14</v>
      </c>
      <c r="B15" s="2">
        <v>565884</v>
      </c>
      <c r="C15" s="2" t="s">
        <v>4438</v>
      </c>
      <c r="D15" s="2" t="s">
        <v>50</v>
      </c>
      <c r="E15" s="2">
        <v>1313</v>
      </c>
      <c r="F15" s="2" t="s">
        <v>253</v>
      </c>
      <c r="G15" s="2" t="s">
        <v>47</v>
      </c>
      <c r="H15" s="10">
        <f>SUMIFS('Cutters Consumption Updates'!$F:$F,'Cutters Consumption Updates'!$D:$D,H$1,'Cutters Consumption Updates'!$B:$B,$B15)-SUMIFS('Cutters Consumption Updates'!$E:$E,'Cutters Consumption Updates'!$D:$D,H$1,'Cutters Consumption Updates'!$B:$B,$B15)+ SUMIF('Cutters Consumption Updates'!$AS:$AS,$B15,'Cutters Consumption Updates'!AT:AT)</f>
        <v>0</v>
      </c>
      <c r="I15" s="10">
        <f>SUMIFS('Cutters Consumption Updates'!$F:$F,'Cutters Consumption Updates'!$D:$D,I$1,'Cutters Consumption Updates'!$B:$B,$B15)-SUMIFS('Cutters Consumption Updates'!$E:$E,'Cutters Consumption Updates'!$D:$D,I$1,'Cutters Consumption Updates'!$B:$B,$B15)+ SUMIF('Cutters Consumption Updates'!$AS:$AS,$B15,'Cutters Consumption Updates'!AU:AU)</f>
        <v>0</v>
      </c>
      <c r="J15" s="116">
        <f>SUMIFS('Cutters Consumption Updates'!$F:$F,'Cutters Consumption Updates'!$D:$D,J$1,'Cutters Consumption Updates'!$B:$B,$B15)-SUMIFS('Cutters Consumption Updates'!$E:$E,'Cutters Consumption Updates'!$D:$D,J$1,'Cutters Consumption Updates'!$B:$B,$B15)+ SUMIF('Cutters Consumption Updates'!$AS:$AS,$B15,'Cutters Consumption Updates'!AV:AV)</f>
        <v>0</v>
      </c>
      <c r="K15" s="738">
        <f>SUMIFS('Cutters Consumption Updates'!$F:$F,'Cutters Consumption Updates'!$D:$D,K$1,'Cutters Consumption Updates'!$B:$B,$B15)-SUMIFS('Cutters Consumption Updates'!$E:$E,'Cutters Consumption Updates'!$D:$D,K$1,'Cutters Consumption Updates'!$B:$B,$B15)+ SUMIF('Cutters Consumption Updates'!$AS:$AS,$B15,'Cutters Consumption Updates'!AW:AW)</f>
        <v>0</v>
      </c>
      <c r="L15" s="116">
        <f>SUMIFS('Cutters Consumption Updates'!$F:$F,'Cutters Consumption Updates'!$D:$D,L$1,'Cutters Consumption Updates'!$B:$B,$B15)-SUMIFS('Cutters Consumption Updates'!$E:$E,'Cutters Consumption Updates'!$D:$D,$L$1,'Cutters Consumption Updates'!$B:$B,$B15)+SUMIFS('Cutters Consumption Updates'!$F:$F,'Cutters Consumption Updates'!$D:$D,"Retrofit",'Cutters Consumption Updates'!$B:$B,$B15)-SUMIFS('Cutters Consumption Updates'!$E:$E,'Cutters Consumption Updates'!$D:$D,"Retrofit",'Cutters Consumption Updates'!$B:$B,$B15)+ SUMIF('Cutters Consumption Updates'!$AS:$AS,$B15,'Cutters Consumption Updates'!AX:AX)</f>
        <v>0</v>
      </c>
      <c r="M15" s="810">
        <f t="shared" si="0"/>
        <v>0</v>
      </c>
      <c r="N15" s="810">
        <f ca="1">SUMIFS('Cutters Consumption Updates'!E:E,
        'Cutters Consumption Updates'!B:B, B15,
        'Cutters Consumption Updates'!A:A, "&gt;" &amp; TODAY()-182)</f>
        <v>0</v>
      </c>
      <c r="O15" s="810">
        <f ca="1">SUMIFS('Cutters Consumption Updates'!E:E,
        'Cutters Consumption Updates'!B:B, B15,
        'Cutters Consumption Updates'!A:A, "&gt;" &amp; TODAY()-91)</f>
        <v>0</v>
      </c>
      <c r="P15" s="810">
        <f t="shared" ca="1" si="1"/>
        <v>0</v>
      </c>
      <c r="Q15" s="703">
        <f t="shared" ca="1" si="2"/>
        <v>0</v>
      </c>
      <c r="R15" s="703" t="s">
        <v>29</v>
      </c>
      <c r="S15" s="24">
        <f>IFERROR(INDEX(Table5[],MATCH($B15,Table5[Component],0),2),0)</f>
        <v>0</v>
      </c>
      <c r="T15" s="813">
        <f>SUMIFS(Table7[Balance],Table7[Cutter Mat'#],$B15)</f>
        <v>0</v>
      </c>
      <c r="U15" s="24">
        <f t="shared" si="3"/>
        <v>0</v>
      </c>
      <c r="V15" s="119"/>
      <c r="W15" s="2"/>
      <c r="Y15" s="4">
        <f>IFERROR(INDEX(Table5[],MATCH($B15,Table5[Component],0),2),0)</f>
        <v>0</v>
      </c>
      <c r="Z15" s="4">
        <f>IFERROR(INDEX(Table5[],MATCH($B15,Table5[Component],0),1),0)</f>
        <v>0</v>
      </c>
      <c r="AA15" s="4" t="str">
        <f>IF(Y15&lt;&gt;0,B15,"")</f>
        <v/>
      </c>
      <c r="AB15" s="4" t="str">
        <f t="shared" si="4"/>
        <v/>
      </c>
      <c r="AD15" s="4">
        <f t="shared" si="5"/>
        <v>0</v>
      </c>
      <c r="AE15"/>
      <c r="AI15" s="248" t="str">
        <f>IFERROR(INDEX($B$1:$AK$243,MATCH(W15,$B$1:$B$243,0),13),"")</f>
        <v/>
      </c>
      <c r="AJ15" s="248" t="str">
        <f>IFERROR(INDEX($B$1:$AK$243,MATCH(W15,$B$1:$B$243,0),15),"")</f>
        <v/>
      </c>
      <c r="AK15">
        <f>SUMIF($W$2:$W$243,B15,$S$2:$S$243)</f>
        <v>0</v>
      </c>
      <c r="AP15">
        <f t="shared" si="6"/>
        <v>0</v>
      </c>
      <c r="AR15">
        <v>467367</v>
      </c>
      <c r="AS15">
        <f>SUMIF($B:$B,AR15,$AP:$AP)</f>
        <v>0</v>
      </c>
    </row>
    <row r="16" spans="1:45" ht="15.65" customHeight="1" x14ac:dyDescent="0.35">
      <c r="A16" s="2">
        <v>15</v>
      </c>
      <c r="B16" s="2">
        <v>703670</v>
      </c>
      <c r="C16" s="2" t="s">
        <v>4270</v>
      </c>
      <c r="D16" s="2" t="s">
        <v>51</v>
      </c>
      <c r="E16" s="2">
        <v>1313</v>
      </c>
      <c r="F16" s="2" t="s">
        <v>248</v>
      </c>
      <c r="G16" s="2" t="s">
        <v>47</v>
      </c>
      <c r="H16" s="10">
        <f>SUMIFS('Cutters Consumption Updates'!$F:$F,'Cutters Consumption Updates'!$D:$D,H$1,'Cutters Consumption Updates'!$B:$B,$B16)-SUMIFS('Cutters Consumption Updates'!$E:$E,'Cutters Consumption Updates'!$D:$D,H$1,'Cutters Consumption Updates'!$B:$B,$B16)+ SUMIF('Cutters Consumption Updates'!$AS:$AS,$B16,'Cutters Consumption Updates'!AT:AT)</f>
        <v>0</v>
      </c>
      <c r="I16" s="10">
        <f>SUMIFS('Cutters Consumption Updates'!$F:$F,'Cutters Consumption Updates'!$D:$D,I$1,'Cutters Consumption Updates'!$B:$B,$B16)-SUMIFS('Cutters Consumption Updates'!$E:$E,'Cutters Consumption Updates'!$D:$D,I$1,'Cutters Consumption Updates'!$B:$B,$B16)+ SUMIF('Cutters Consumption Updates'!$AS:$AS,$B16,'Cutters Consumption Updates'!AU:AU)</f>
        <v>0</v>
      </c>
      <c r="J16" s="116">
        <f>SUMIFS('Cutters Consumption Updates'!$F:$F,'Cutters Consumption Updates'!$D:$D,J$1,'Cutters Consumption Updates'!$B:$B,$B16)-SUMIFS('Cutters Consumption Updates'!$E:$E,'Cutters Consumption Updates'!$D:$D,J$1,'Cutters Consumption Updates'!$B:$B,$B16)+ SUMIF('Cutters Consumption Updates'!$AS:$AS,$B16,'Cutters Consumption Updates'!AV:AV)</f>
        <v>0</v>
      </c>
      <c r="K16" s="738">
        <f>SUMIFS('Cutters Consumption Updates'!$F:$F,'Cutters Consumption Updates'!$D:$D,K$1,'Cutters Consumption Updates'!$B:$B,$B16)-SUMIFS('Cutters Consumption Updates'!$E:$E,'Cutters Consumption Updates'!$D:$D,K$1,'Cutters Consumption Updates'!$B:$B,$B16)+ SUMIF('Cutters Consumption Updates'!$AS:$AS,$B16,'Cutters Consumption Updates'!AW:AW)</f>
        <v>29</v>
      </c>
      <c r="L16" s="116">
        <f>SUMIFS('Cutters Consumption Updates'!$F:$F,'Cutters Consumption Updates'!$D:$D,L$1,'Cutters Consumption Updates'!$B:$B,$B16)-SUMIFS('Cutters Consumption Updates'!$E:$E,'Cutters Consumption Updates'!$D:$D,$L$1,'Cutters Consumption Updates'!$B:$B,$B16)+SUMIFS('Cutters Consumption Updates'!$F:$F,'Cutters Consumption Updates'!$D:$D,"Retrofit",'Cutters Consumption Updates'!$B:$B,$B16)-SUMIFS('Cutters Consumption Updates'!$E:$E,'Cutters Consumption Updates'!$D:$D,"Retrofit",'Cutters Consumption Updates'!$B:$B,$B16)+ SUMIF('Cutters Consumption Updates'!$AS:$AS,$B16,'Cutters Consumption Updates'!AX:AX)</f>
        <v>14</v>
      </c>
      <c r="M16" s="810">
        <f t="shared" si="0"/>
        <v>14</v>
      </c>
      <c r="N16" s="810">
        <f ca="1">SUMIFS('Cutters Consumption Updates'!E:E,
        'Cutters Consumption Updates'!B:B, B16,
        'Cutters Consumption Updates'!A:A, "&gt;" &amp; TODAY()-182)</f>
        <v>49</v>
      </c>
      <c r="O16" s="810">
        <f ca="1">SUMIFS('Cutters Consumption Updates'!E:E,
        'Cutters Consumption Updates'!B:B, B16,
        'Cutters Consumption Updates'!A:A, "&gt;" &amp; TODAY()-91)</f>
        <v>5</v>
      </c>
      <c r="P16" s="810">
        <f t="shared" ca="1" si="1"/>
        <v>17</v>
      </c>
      <c r="Q16" s="703">
        <f t="shared" ca="1" si="2"/>
        <v>20</v>
      </c>
      <c r="R16" s="703" t="s">
        <v>52</v>
      </c>
      <c r="S16" s="24">
        <f>IFERROR(INDEX(Table5[],MATCH($B16,Table5[Component],0),2),0)</f>
        <v>0</v>
      </c>
      <c r="T16" s="813">
        <f>SUMIFS(Table7[Balance],Table7[Cutter Mat'#],$B16)</f>
        <v>0</v>
      </c>
      <c r="U16" s="24">
        <f t="shared" si="3"/>
        <v>14</v>
      </c>
      <c r="V16" s="119"/>
      <c r="W16" s="2"/>
      <c r="Y16" s="4">
        <f>IFERROR(INDEX(Table5[],MATCH($B16,Table5[Component],0),2),0)</f>
        <v>0</v>
      </c>
      <c r="Z16" s="4">
        <f>IFERROR(INDEX(Table5[],MATCH($B16,Table5[Component],0),1),0)</f>
        <v>703670</v>
      </c>
      <c r="AA16" s="4" t="str">
        <f>IF(Y16&lt;&gt;0,B16,"")</f>
        <v/>
      </c>
      <c r="AB16" s="4" t="str">
        <f t="shared" si="4"/>
        <v/>
      </c>
      <c r="AD16" s="4">
        <f t="shared" si="5"/>
        <v>14</v>
      </c>
      <c r="AE16"/>
      <c r="AI16" s="248" t="str">
        <f>IFERROR(INDEX($B$1:$AK$243,MATCH(W16,$B$1:$B$243,0),13),"")</f>
        <v/>
      </c>
      <c r="AJ16" s="248" t="str">
        <f>IFERROR(INDEX($B$1:$AK$243,MATCH(W16,$B$1:$B$243,0),15),"")</f>
        <v/>
      </c>
      <c r="AK16">
        <f>SUMIF($W$2:$W$243,B16,$S$2:$S$243)</f>
        <v>0</v>
      </c>
      <c r="AP16">
        <f t="shared" si="6"/>
        <v>0</v>
      </c>
      <c r="AR16">
        <v>471108</v>
      </c>
      <c r="AS16">
        <f>SUMIF($B:$B,AR16,$AP:$AP)</f>
        <v>0</v>
      </c>
    </row>
    <row r="17" spans="1:45" ht="15.65" customHeight="1" x14ac:dyDescent="0.35">
      <c r="A17" s="2">
        <v>16</v>
      </c>
      <c r="B17" s="2">
        <v>708305</v>
      </c>
      <c r="C17" s="2" t="s">
        <v>4271</v>
      </c>
      <c r="D17" s="2" t="s">
        <v>51</v>
      </c>
      <c r="E17" s="2">
        <v>1913</v>
      </c>
      <c r="F17" s="2" t="s">
        <v>248</v>
      </c>
      <c r="G17" s="2" t="s">
        <v>47</v>
      </c>
      <c r="H17" s="10">
        <f>SUMIFS('Cutters Consumption Updates'!$F:$F,'Cutters Consumption Updates'!$D:$D,H$1,'Cutters Consumption Updates'!$B:$B,$B17)-SUMIFS('Cutters Consumption Updates'!$E:$E,'Cutters Consumption Updates'!$D:$D,H$1,'Cutters Consumption Updates'!$B:$B,$B17)+ SUMIF('Cutters Consumption Updates'!$AS:$AS,$B17,'Cutters Consumption Updates'!AT:AT)</f>
        <v>0</v>
      </c>
      <c r="I17" s="10">
        <f>SUMIFS('Cutters Consumption Updates'!$F:$F,'Cutters Consumption Updates'!$D:$D,I$1,'Cutters Consumption Updates'!$B:$B,$B17)-SUMIFS('Cutters Consumption Updates'!$E:$E,'Cutters Consumption Updates'!$D:$D,I$1,'Cutters Consumption Updates'!$B:$B,$B17)+ SUMIF('Cutters Consumption Updates'!$AS:$AS,$B17,'Cutters Consumption Updates'!AU:AU)</f>
        <v>0</v>
      </c>
      <c r="J17" s="116">
        <f>SUMIFS('Cutters Consumption Updates'!$F:$F,'Cutters Consumption Updates'!$D:$D,J$1,'Cutters Consumption Updates'!$B:$B,$B17)-SUMIFS('Cutters Consumption Updates'!$E:$E,'Cutters Consumption Updates'!$D:$D,J$1,'Cutters Consumption Updates'!$B:$B,$B17)+ SUMIF('Cutters Consumption Updates'!$AS:$AS,$B17,'Cutters Consumption Updates'!AV:AV)</f>
        <v>0</v>
      </c>
      <c r="K17" s="738">
        <f>SUMIFS('Cutters Consumption Updates'!$F:$F,'Cutters Consumption Updates'!$D:$D,K$1,'Cutters Consumption Updates'!$B:$B,$B17)-SUMIFS('Cutters Consumption Updates'!$E:$E,'Cutters Consumption Updates'!$D:$D,K$1,'Cutters Consumption Updates'!$B:$B,$B17)+ SUMIF('Cutters Consumption Updates'!$AS:$AS,$B17,'Cutters Consumption Updates'!AW:AW)</f>
        <v>0</v>
      </c>
      <c r="L17" s="116">
        <f>SUMIFS('Cutters Consumption Updates'!$F:$F,'Cutters Consumption Updates'!$D:$D,L$1,'Cutters Consumption Updates'!$B:$B,$B17)-SUMIFS('Cutters Consumption Updates'!$E:$E,'Cutters Consumption Updates'!$D:$D,$L$1,'Cutters Consumption Updates'!$B:$B,$B17)+SUMIFS('Cutters Consumption Updates'!$F:$F,'Cutters Consumption Updates'!$D:$D,"Retrofit",'Cutters Consumption Updates'!$B:$B,$B17)-SUMIFS('Cutters Consumption Updates'!$E:$E,'Cutters Consumption Updates'!$D:$D,"Retrofit",'Cutters Consumption Updates'!$B:$B,$B17)+ SUMIF('Cutters Consumption Updates'!$AS:$AS,$B17,'Cutters Consumption Updates'!AX:AX)</f>
        <v>2</v>
      </c>
      <c r="M17" s="810">
        <f t="shared" si="0"/>
        <v>2</v>
      </c>
      <c r="N17" s="810">
        <f ca="1">SUMIFS('Cutters Consumption Updates'!E:E,
        'Cutters Consumption Updates'!B:B, B17,
        'Cutters Consumption Updates'!A:A, "&gt;" &amp; TODAY()-182)</f>
        <v>0</v>
      </c>
      <c r="O17" s="810">
        <f ca="1">SUMIFS('Cutters Consumption Updates'!E:E,
        'Cutters Consumption Updates'!B:B, B17,
        'Cutters Consumption Updates'!A:A, "&gt;" &amp; TODAY()-91)</f>
        <v>0</v>
      </c>
      <c r="P17" s="810">
        <f t="shared" ca="1" si="1"/>
        <v>0</v>
      </c>
      <c r="Q17" s="703">
        <f t="shared" ca="1" si="2"/>
        <v>0</v>
      </c>
      <c r="R17" s="703" t="s">
        <v>29</v>
      </c>
      <c r="S17" s="24">
        <f>IFERROR(INDEX(Table5[],MATCH($B17,Table5[Component],0),2),0)</f>
        <v>0</v>
      </c>
      <c r="T17" s="813">
        <f>SUMIFS(Table7[Balance],Table7[Cutter Mat'#],$B17)</f>
        <v>0</v>
      </c>
      <c r="U17" s="24">
        <f t="shared" si="3"/>
        <v>2</v>
      </c>
      <c r="V17" s="119"/>
      <c r="W17" s="2"/>
      <c r="Y17" s="4">
        <f>IFERROR(INDEX(Table5[],MATCH($B17,Table5[Component],0),2),0)</f>
        <v>0</v>
      </c>
      <c r="Z17" s="4">
        <f>IFERROR(INDEX(Table5[],MATCH($B17,Table5[Component],0),1),0)</f>
        <v>0</v>
      </c>
      <c r="AA17" s="4" t="str">
        <f>IF(Y17&lt;&gt;0,B17,"")</f>
        <v/>
      </c>
      <c r="AB17" s="4" t="str">
        <f t="shared" si="4"/>
        <v/>
      </c>
      <c r="AD17" s="4">
        <f t="shared" si="5"/>
        <v>2</v>
      </c>
      <c r="AE17"/>
      <c r="AI17" s="248" t="str">
        <f>IFERROR(INDEX($B$1:$AK$243,MATCH(W17,$B$1:$B$243,0),13),"")</f>
        <v/>
      </c>
      <c r="AJ17" s="248" t="str">
        <f>IFERROR(INDEX($B$1:$AK$243,MATCH(W17,$B$1:$B$243,0),15),"")</f>
        <v/>
      </c>
      <c r="AK17">
        <f>SUMIF($W$2:$W$243,B17,$S$2:$S$243)</f>
        <v>0</v>
      </c>
      <c r="AP17">
        <f t="shared" si="6"/>
        <v>0</v>
      </c>
      <c r="AR17">
        <v>471109</v>
      </c>
      <c r="AS17">
        <f>SUMIF($B:$B,AR17,$AP:$AP)</f>
        <v>0</v>
      </c>
    </row>
    <row r="18" spans="1:45" ht="15.65" customHeight="1" x14ac:dyDescent="0.35">
      <c r="A18" s="2">
        <v>17</v>
      </c>
      <c r="B18" s="2">
        <v>717749</v>
      </c>
      <c r="C18" s="2" t="s">
        <v>4439</v>
      </c>
      <c r="D18" s="2" t="s">
        <v>51</v>
      </c>
      <c r="E18" s="2">
        <v>1308</v>
      </c>
      <c r="F18" s="2" t="s">
        <v>248</v>
      </c>
      <c r="G18" s="2" t="s">
        <v>47</v>
      </c>
      <c r="H18" s="10">
        <f>SUMIFS('Cutters Consumption Updates'!$F:$F,'Cutters Consumption Updates'!$D:$D,H$1,'Cutters Consumption Updates'!$B:$B,$B18)-SUMIFS('Cutters Consumption Updates'!$E:$E,'Cutters Consumption Updates'!$D:$D,H$1,'Cutters Consumption Updates'!$B:$B,$B18)+ SUMIF('Cutters Consumption Updates'!$AS:$AS,$B18,'Cutters Consumption Updates'!AT:AT)</f>
        <v>0</v>
      </c>
      <c r="I18" s="10">
        <f>SUMIFS('Cutters Consumption Updates'!$F:$F,'Cutters Consumption Updates'!$D:$D,I$1,'Cutters Consumption Updates'!$B:$B,$B18)-SUMIFS('Cutters Consumption Updates'!$E:$E,'Cutters Consumption Updates'!$D:$D,I$1,'Cutters Consumption Updates'!$B:$B,$B18)+ SUMIF('Cutters Consumption Updates'!$AS:$AS,$B18,'Cutters Consumption Updates'!AU:AU)</f>
        <v>0</v>
      </c>
      <c r="J18" s="116">
        <f>SUMIFS('Cutters Consumption Updates'!$F:$F,'Cutters Consumption Updates'!$D:$D,J$1,'Cutters Consumption Updates'!$B:$B,$B18)-SUMIFS('Cutters Consumption Updates'!$E:$E,'Cutters Consumption Updates'!$D:$D,J$1,'Cutters Consumption Updates'!$B:$B,$B18)+ SUMIF('Cutters Consumption Updates'!$AS:$AS,$B18,'Cutters Consumption Updates'!AV:AV)</f>
        <v>0</v>
      </c>
      <c r="K18" s="738">
        <f>SUMIFS('Cutters Consumption Updates'!$F:$F,'Cutters Consumption Updates'!$D:$D,K$1,'Cutters Consumption Updates'!$B:$B,$B18)-SUMIFS('Cutters Consumption Updates'!$E:$E,'Cutters Consumption Updates'!$D:$D,K$1,'Cutters Consumption Updates'!$B:$B,$B18)+ SUMIF('Cutters Consumption Updates'!$AS:$AS,$B18,'Cutters Consumption Updates'!AW:AW)</f>
        <v>0</v>
      </c>
      <c r="L18" s="116">
        <f>SUMIFS('Cutters Consumption Updates'!$F:$F,'Cutters Consumption Updates'!$D:$D,L$1,'Cutters Consumption Updates'!$B:$B,$B18)-SUMIFS('Cutters Consumption Updates'!$E:$E,'Cutters Consumption Updates'!$D:$D,$L$1,'Cutters Consumption Updates'!$B:$B,$B18)+SUMIFS('Cutters Consumption Updates'!$F:$F,'Cutters Consumption Updates'!$D:$D,"Retrofit",'Cutters Consumption Updates'!$B:$B,$B18)-SUMIFS('Cutters Consumption Updates'!$E:$E,'Cutters Consumption Updates'!$D:$D,"Retrofit",'Cutters Consumption Updates'!$B:$B,$B18)+ SUMIF('Cutters Consumption Updates'!$AS:$AS,$B18,'Cutters Consumption Updates'!AX:AX)</f>
        <v>0</v>
      </c>
      <c r="M18" s="810">
        <f t="shared" si="0"/>
        <v>0</v>
      </c>
      <c r="N18" s="810">
        <f ca="1">SUMIFS('Cutters Consumption Updates'!E:E,
        'Cutters Consumption Updates'!B:B, B18,
        'Cutters Consumption Updates'!A:A, "&gt;" &amp; TODAY()-182)</f>
        <v>0</v>
      </c>
      <c r="O18" s="810">
        <f ca="1">SUMIFS('Cutters Consumption Updates'!E:E,
        'Cutters Consumption Updates'!B:B, B18,
        'Cutters Consumption Updates'!A:A, "&gt;" &amp; TODAY()-91)</f>
        <v>0</v>
      </c>
      <c r="P18" s="810">
        <f t="shared" ca="1" si="1"/>
        <v>0</v>
      </c>
      <c r="Q18" s="703">
        <f t="shared" ca="1" si="2"/>
        <v>0</v>
      </c>
      <c r="R18" s="703" t="s">
        <v>29</v>
      </c>
      <c r="S18" s="24">
        <f>IFERROR(INDEX(Table5[],MATCH($B18,Table5[Component],0),2),0)</f>
        <v>0</v>
      </c>
      <c r="T18" s="813">
        <f>SUMIFS(Table7[Balance],Table7[Cutter Mat'#],$B18)</f>
        <v>0</v>
      </c>
      <c r="U18" s="24">
        <f t="shared" si="3"/>
        <v>0</v>
      </c>
      <c r="V18" s="119"/>
      <c r="W18" s="2"/>
      <c r="Y18" s="4">
        <f>IFERROR(INDEX(Table5[],MATCH($B18,Table5[Component],0),2),0)</f>
        <v>0</v>
      </c>
      <c r="Z18" s="4">
        <f>IFERROR(INDEX(Table5[],MATCH($B18,Table5[Component],0),1),0)</f>
        <v>0</v>
      </c>
      <c r="AA18" s="4" t="str">
        <f>IF(Y18&lt;&gt;0,B18,"")</f>
        <v/>
      </c>
      <c r="AB18" s="4" t="str">
        <f t="shared" si="4"/>
        <v/>
      </c>
      <c r="AD18" s="4">
        <f t="shared" si="5"/>
        <v>0</v>
      </c>
      <c r="AE18"/>
      <c r="AI18" s="248" t="str">
        <f>IFERROR(INDEX($B$1:$AK$243,MATCH(W18,$B$1:$B$243,0),13),"")</f>
        <v/>
      </c>
      <c r="AJ18" s="248" t="str">
        <f>IFERROR(INDEX($B$1:$AK$243,MATCH(W18,$B$1:$B$243,0),15),"")</f>
        <v/>
      </c>
      <c r="AK18">
        <f>SUMIF($W$2:$W$243,B18,$S$2:$S$243)</f>
        <v>0</v>
      </c>
      <c r="AP18">
        <f t="shared" si="6"/>
        <v>0</v>
      </c>
      <c r="AR18">
        <v>535656</v>
      </c>
      <c r="AS18">
        <f>SUMIF($B:$B,AR18,$AP:$AP)</f>
        <v>0</v>
      </c>
    </row>
    <row r="19" spans="1:45" ht="15.65" customHeight="1" x14ac:dyDescent="0.35">
      <c r="A19" s="2">
        <v>18</v>
      </c>
      <c r="B19" s="2">
        <v>745171</v>
      </c>
      <c r="C19" s="2" t="s">
        <v>4272</v>
      </c>
      <c r="D19" s="2" t="s">
        <v>53</v>
      </c>
      <c r="E19" s="2">
        <v>1308</v>
      </c>
      <c r="F19" s="2" t="s">
        <v>248</v>
      </c>
      <c r="G19" s="2" t="s">
        <v>47</v>
      </c>
      <c r="H19" s="10">
        <f>SUMIFS('Cutters Consumption Updates'!$F:$F,'Cutters Consumption Updates'!$D:$D,H$1,'Cutters Consumption Updates'!$B:$B,$B19)-SUMIFS('Cutters Consumption Updates'!$E:$E,'Cutters Consumption Updates'!$D:$D,H$1,'Cutters Consumption Updates'!$B:$B,$B19)+ SUMIF('Cutters Consumption Updates'!$AS:$AS,$B19,'Cutters Consumption Updates'!AT:AT)</f>
        <v>0</v>
      </c>
      <c r="I19" s="10">
        <f>SUMIFS('Cutters Consumption Updates'!$F:$F,'Cutters Consumption Updates'!$D:$D,I$1,'Cutters Consumption Updates'!$B:$B,$B19)-SUMIFS('Cutters Consumption Updates'!$E:$E,'Cutters Consumption Updates'!$D:$D,I$1,'Cutters Consumption Updates'!$B:$B,$B19)+ SUMIF('Cutters Consumption Updates'!$AS:$AS,$B19,'Cutters Consumption Updates'!AU:AU)</f>
        <v>0</v>
      </c>
      <c r="J19" s="116">
        <f>SUMIFS('Cutters Consumption Updates'!$F:$F,'Cutters Consumption Updates'!$D:$D,J$1,'Cutters Consumption Updates'!$B:$B,$B19)-SUMIFS('Cutters Consumption Updates'!$E:$E,'Cutters Consumption Updates'!$D:$D,J$1,'Cutters Consumption Updates'!$B:$B,$B19)+ SUMIF('Cutters Consumption Updates'!$AS:$AS,$B19,'Cutters Consumption Updates'!AV:AV)</f>
        <v>0</v>
      </c>
      <c r="K19" s="738">
        <f>SUMIFS('Cutters Consumption Updates'!$F:$F,'Cutters Consumption Updates'!$D:$D,K$1,'Cutters Consumption Updates'!$B:$B,$B19)-SUMIFS('Cutters Consumption Updates'!$E:$E,'Cutters Consumption Updates'!$D:$D,K$1,'Cutters Consumption Updates'!$B:$B,$B19)+ SUMIF('Cutters Consumption Updates'!$AS:$AS,$B19,'Cutters Consumption Updates'!AW:AW)</f>
        <v>4</v>
      </c>
      <c r="L19" s="116">
        <f>SUMIFS('Cutters Consumption Updates'!$F:$F,'Cutters Consumption Updates'!$D:$D,L$1,'Cutters Consumption Updates'!$B:$B,$B19)-SUMIFS('Cutters Consumption Updates'!$E:$E,'Cutters Consumption Updates'!$D:$D,$L$1,'Cutters Consumption Updates'!$B:$B,$B19)+SUMIFS('Cutters Consumption Updates'!$F:$F,'Cutters Consumption Updates'!$D:$D,"Retrofit",'Cutters Consumption Updates'!$B:$B,$B19)-SUMIFS('Cutters Consumption Updates'!$E:$E,'Cutters Consumption Updates'!$D:$D,"Retrofit",'Cutters Consumption Updates'!$B:$B,$B19)+ SUMIF('Cutters Consumption Updates'!$AS:$AS,$B19,'Cutters Consumption Updates'!AX:AX)</f>
        <v>1</v>
      </c>
      <c r="M19" s="810">
        <f t="shared" si="0"/>
        <v>1</v>
      </c>
      <c r="N19" s="810">
        <f ca="1">SUMIFS('Cutters Consumption Updates'!E:E,
        'Cutters Consumption Updates'!B:B, B19,
        'Cutters Consumption Updates'!A:A, "&gt;" &amp; TODAY()-182)</f>
        <v>0</v>
      </c>
      <c r="O19" s="810">
        <f ca="1">SUMIFS('Cutters Consumption Updates'!E:E,
        'Cutters Consumption Updates'!B:B, B19,
        'Cutters Consumption Updates'!A:A, "&gt;" &amp; TODAY()-91)</f>
        <v>0</v>
      </c>
      <c r="P19" s="810">
        <f t="shared" ca="1" si="1"/>
        <v>0</v>
      </c>
      <c r="Q19" s="703">
        <f t="shared" ca="1" si="2"/>
        <v>0</v>
      </c>
      <c r="R19" s="703" t="s">
        <v>29</v>
      </c>
      <c r="S19" s="24">
        <f>IFERROR(INDEX(Table5[],MATCH($B19,Table5[Component],0),2),0)</f>
        <v>0</v>
      </c>
      <c r="T19" s="813">
        <f>SUMIFS(Table7[Balance],Table7[Cutter Mat'#],$B19)</f>
        <v>0</v>
      </c>
      <c r="U19" s="24">
        <f t="shared" si="3"/>
        <v>1</v>
      </c>
      <c r="V19" s="119"/>
      <c r="W19" s="2"/>
      <c r="Y19" s="4">
        <f>IFERROR(INDEX(Table5[],MATCH($B19,Table5[Component],0),2),0)</f>
        <v>0</v>
      </c>
      <c r="Z19" s="4">
        <f>IFERROR(INDEX(Table5[],MATCH($B19,Table5[Component],0),1),0)</f>
        <v>0</v>
      </c>
      <c r="AA19" s="4" t="str">
        <f>IF(Y19&lt;&gt;0,B19,"")</f>
        <v/>
      </c>
      <c r="AB19" s="4" t="str">
        <f t="shared" si="4"/>
        <v/>
      </c>
      <c r="AD19" s="4">
        <f t="shared" si="5"/>
        <v>1</v>
      </c>
      <c r="AE19"/>
      <c r="AI19" s="248" t="str">
        <f>IFERROR(INDEX($B$1:$AK$243,MATCH(W19,$B$1:$B$243,0),13),"")</f>
        <v/>
      </c>
      <c r="AJ19" s="248" t="str">
        <f>IFERROR(INDEX($B$1:$AK$243,MATCH(W19,$B$1:$B$243,0),15),"")</f>
        <v/>
      </c>
      <c r="AK19">
        <f>SUMIF($W$2:$W$243,B19,$S$2:$S$243)</f>
        <v>0</v>
      </c>
      <c r="AP19">
        <f t="shared" si="6"/>
        <v>0</v>
      </c>
      <c r="AR19">
        <v>562195</v>
      </c>
      <c r="AS19">
        <f>SUMIF($B:$B,AR19,$AP:$AP)</f>
        <v>0</v>
      </c>
    </row>
    <row r="20" spans="1:45" ht="15.65" customHeight="1" x14ac:dyDescent="0.35">
      <c r="A20" s="2">
        <v>19</v>
      </c>
      <c r="B20" s="2">
        <v>376826</v>
      </c>
      <c r="C20" s="2" t="e">
        <v>#N/A</v>
      </c>
      <c r="D20" s="2" t="e">
        <v>#N/A</v>
      </c>
      <c r="E20" s="2" t="e">
        <v>#N/A</v>
      </c>
      <c r="F20" s="2" t="e">
        <v>#N/A</v>
      </c>
      <c r="G20" s="806" t="e">
        <v>#N/A</v>
      </c>
      <c r="H20" s="10">
        <f>SUMIFS('Cutters Consumption Updates'!$F:$F,'Cutters Consumption Updates'!$D:$D,H$1,'Cutters Consumption Updates'!$B:$B,$B20)-SUMIFS('Cutters Consumption Updates'!$E:$E,'Cutters Consumption Updates'!$D:$D,H$1,'Cutters Consumption Updates'!$B:$B,$B20)+ SUMIF('Cutters Consumption Updates'!$AS:$AS,$B20,'Cutters Consumption Updates'!AT:AT)</f>
        <v>0</v>
      </c>
      <c r="I20" s="10">
        <f>SUMIFS('Cutters Consumption Updates'!$F:$F,'Cutters Consumption Updates'!$D:$D,I$1,'Cutters Consumption Updates'!$B:$B,$B20)-SUMIFS('Cutters Consumption Updates'!$E:$E,'Cutters Consumption Updates'!$D:$D,I$1,'Cutters Consumption Updates'!$B:$B,$B20)+ SUMIF('Cutters Consumption Updates'!$AS:$AS,$B20,'Cutters Consumption Updates'!AU:AU)</f>
        <v>0</v>
      </c>
      <c r="J20" s="116">
        <f>SUMIFS('Cutters Consumption Updates'!$F:$F,'Cutters Consumption Updates'!$D:$D,J$1,'Cutters Consumption Updates'!$B:$B,$B20)-SUMIFS('Cutters Consumption Updates'!$E:$E,'Cutters Consumption Updates'!$D:$D,J$1,'Cutters Consumption Updates'!$B:$B,$B20)+ SUMIF('Cutters Consumption Updates'!$AS:$AS,$B20,'Cutters Consumption Updates'!AV:AV)</f>
        <v>0</v>
      </c>
      <c r="K20" s="738">
        <f>SUMIFS('Cutters Consumption Updates'!$F:$F,'Cutters Consumption Updates'!$D:$D,K$1,'Cutters Consumption Updates'!$B:$B,$B20)-SUMIFS('Cutters Consumption Updates'!$E:$E,'Cutters Consumption Updates'!$D:$D,K$1,'Cutters Consumption Updates'!$B:$B,$B20)+ SUMIF('Cutters Consumption Updates'!$AS:$AS,$B20,'Cutters Consumption Updates'!AW:AW)</f>
        <v>0</v>
      </c>
      <c r="L20" s="116">
        <f>SUMIFS('Cutters Consumption Updates'!$F:$F,'Cutters Consumption Updates'!$D:$D,L$1,'Cutters Consumption Updates'!$B:$B,$B20)-SUMIFS('Cutters Consumption Updates'!$E:$E,'Cutters Consumption Updates'!$D:$D,$L$1,'Cutters Consumption Updates'!$B:$B,$B20)+SUMIFS('Cutters Consumption Updates'!$F:$F,'Cutters Consumption Updates'!$D:$D,"Retrofit",'Cutters Consumption Updates'!$B:$B,$B20)-SUMIFS('Cutters Consumption Updates'!$E:$E,'Cutters Consumption Updates'!$D:$D,"Retrofit",'Cutters Consumption Updates'!$B:$B,$B20)+ SUMIF('Cutters Consumption Updates'!$AS:$AS,$B20,'Cutters Consumption Updates'!AX:AX)</f>
        <v>0</v>
      </c>
      <c r="M20" s="810">
        <f t="shared" si="0"/>
        <v>0</v>
      </c>
      <c r="N20" s="810">
        <f ca="1">SUMIFS('Cutters Consumption Updates'!E:E,
        'Cutters Consumption Updates'!B:B, B20,
        'Cutters Consumption Updates'!A:A, "&gt;" &amp; TODAY()-182)</f>
        <v>0</v>
      </c>
      <c r="O20" s="810">
        <f ca="1">SUMIFS('Cutters Consumption Updates'!E:E,
        'Cutters Consumption Updates'!B:B, B20,
        'Cutters Consumption Updates'!A:A, "&gt;" &amp; TODAY()-91)</f>
        <v>0</v>
      </c>
      <c r="P20" s="810">
        <f t="shared" ca="1" si="1"/>
        <v>0</v>
      </c>
      <c r="Q20" s="703">
        <f t="shared" ca="1" si="2"/>
        <v>0</v>
      </c>
      <c r="R20" s="703" t="s">
        <v>29</v>
      </c>
      <c r="S20" s="24">
        <f>IFERROR(INDEX(Table5[],MATCH($B20,Table5[Component],0),2),0)</f>
        <v>0</v>
      </c>
      <c r="T20" s="813">
        <f>SUMIFS(Table7[Balance],Table7[Cutter Mat'#],$B20)</f>
        <v>0</v>
      </c>
      <c r="U20" s="24">
        <f t="shared" si="3"/>
        <v>0</v>
      </c>
      <c r="V20" s="119"/>
      <c r="W20" s="2"/>
      <c r="Y20" s="4">
        <f>IFERROR(INDEX(Table5[],MATCH($B20,Table5[Component],0),2),0)</f>
        <v>0</v>
      </c>
      <c r="Z20" s="4">
        <f>IFERROR(INDEX(Table5[],MATCH($B20,Table5[Component],0),1),0)</f>
        <v>0</v>
      </c>
      <c r="AA20" s="4" t="str">
        <f>IF(Y20&lt;&gt;0,B20,"")</f>
        <v/>
      </c>
      <c r="AB20" s="4" t="str">
        <f t="shared" si="4"/>
        <v/>
      </c>
      <c r="AD20" s="4">
        <f t="shared" si="5"/>
        <v>0</v>
      </c>
      <c r="AE20"/>
      <c r="AI20" s="248" t="str">
        <f>IFERROR(INDEX($B$1:$AK$243,MATCH(W20,$B$1:$B$243,0),13),"")</f>
        <v/>
      </c>
      <c r="AJ20" s="248" t="str">
        <f>IFERROR(INDEX($B$1:$AK$243,MATCH(W20,$B$1:$B$243,0),15),"")</f>
        <v/>
      </c>
      <c r="AK20">
        <f>SUMIF($W$2:$W$243,B20,$S$2:$S$243)</f>
        <v>0</v>
      </c>
      <c r="AP20">
        <f t="shared" si="6"/>
        <v>0</v>
      </c>
      <c r="AR20">
        <v>565884</v>
      </c>
      <c r="AS20">
        <f>SUMIF($B:$B,AR20,$AP:$AP)</f>
        <v>0</v>
      </c>
    </row>
    <row r="21" spans="1:45" ht="15.65" customHeight="1" x14ac:dyDescent="0.35">
      <c r="A21" s="2">
        <v>20</v>
      </c>
      <c r="B21" s="2">
        <v>621152</v>
      </c>
      <c r="C21" s="607" t="s">
        <v>4273</v>
      </c>
      <c r="D21" s="2" t="s">
        <v>4505</v>
      </c>
      <c r="E21" s="2" t="s">
        <v>38</v>
      </c>
      <c r="F21" s="2" t="s">
        <v>103</v>
      </c>
      <c r="G21" s="2" t="s">
        <v>36</v>
      </c>
      <c r="H21" s="10">
        <f>SUMIFS('Cutters Consumption Updates'!$F:$F,'Cutters Consumption Updates'!$D:$D,H$1,'Cutters Consumption Updates'!$B:$B,$B21)-SUMIFS('Cutters Consumption Updates'!$E:$E,'Cutters Consumption Updates'!$D:$D,H$1,'Cutters Consumption Updates'!$B:$B,$B21)+ SUMIF('Cutters Consumption Updates'!$AS:$AS,$B21,'Cutters Consumption Updates'!AT:AT)</f>
        <v>9</v>
      </c>
      <c r="I21" s="10">
        <f>SUMIFS('Cutters Consumption Updates'!$F:$F,'Cutters Consumption Updates'!$D:$D,I$1,'Cutters Consumption Updates'!$B:$B,$B21)-SUMIFS('Cutters Consumption Updates'!$E:$E,'Cutters Consumption Updates'!$D:$D,I$1,'Cutters Consumption Updates'!$B:$B,$B21)+ SUMIF('Cutters Consumption Updates'!$AS:$AS,$B21,'Cutters Consumption Updates'!AU:AU)</f>
        <v>0</v>
      </c>
      <c r="J21" s="116">
        <f>SUMIFS('Cutters Consumption Updates'!$F:$F,'Cutters Consumption Updates'!$D:$D,J$1,'Cutters Consumption Updates'!$B:$B,$B21)-SUMIFS('Cutters Consumption Updates'!$E:$E,'Cutters Consumption Updates'!$D:$D,J$1,'Cutters Consumption Updates'!$B:$B,$B21)+ SUMIF('Cutters Consumption Updates'!$AS:$AS,$B21,'Cutters Consumption Updates'!AV:AV)</f>
        <v>0</v>
      </c>
      <c r="K21" s="738">
        <f>SUMIFS('Cutters Consumption Updates'!$F:$F,'Cutters Consumption Updates'!$D:$D,K$1,'Cutters Consumption Updates'!$B:$B,$B21)-SUMIFS('Cutters Consumption Updates'!$E:$E,'Cutters Consumption Updates'!$D:$D,K$1,'Cutters Consumption Updates'!$B:$B,$B21)+ SUMIF('Cutters Consumption Updates'!$AS:$AS,$B21,'Cutters Consumption Updates'!AW:AW)</f>
        <v>0</v>
      </c>
      <c r="L21" s="116">
        <f>SUMIFS('Cutters Consumption Updates'!$F:$F,'Cutters Consumption Updates'!$D:$D,L$1,'Cutters Consumption Updates'!$B:$B,$B21)-SUMIFS('Cutters Consumption Updates'!$E:$E,'Cutters Consumption Updates'!$D:$D,$L$1,'Cutters Consumption Updates'!$B:$B,$B21)+SUMIFS('Cutters Consumption Updates'!$F:$F,'Cutters Consumption Updates'!$D:$D,"Retrofit",'Cutters Consumption Updates'!$B:$B,$B21)-SUMIFS('Cutters Consumption Updates'!$E:$E,'Cutters Consumption Updates'!$D:$D,"Retrofit",'Cutters Consumption Updates'!$B:$B,$B21)+ SUMIF('Cutters Consumption Updates'!$AS:$AS,$B21,'Cutters Consumption Updates'!AX:AX)</f>
        <v>32</v>
      </c>
      <c r="M21" s="810">
        <f t="shared" si="0"/>
        <v>41</v>
      </c>
      <c r="N21" s="810">
        <f ca="1">SUMIFS('Cutters Consumption Updates'!E:E,
        'Cutters Consumption Updates'!B:B, B21,
        'Cutters Consumption Updates'!A:A, "&gt;" &amp; TODAY()-182)</f>
        <v>0</v>
      </c>
      <c r="O21" s="810">
        <f ca="1">SUMIFS('Cutters Consumption Updates'!E:E,
        'Cutters Consumption Updates'!B:B, B21,
        'Cutters Consumption Updates'!A:A, "&gt;" &amp; TODAY()-91)</f>
        <v>0</v>
      </c>
      <c r="P21" s="810">
        <f t="shared" ca="1" si="1"/>
        <v>0</v>
      </c>
      <c r="Q21" s="703">
        <f t="shared" ca="1" si="2"/>
        <v>0</v>
      </c>
      <c r="R21" s="703" t="s">
        <v>29</v>
      </c>
      <c r="S21" s="24">
        <f>IFERROR(INDEX(Table5[],MATCH($B21,Table5[Component],0),2),0)</f>
        <v>0</v>
      </c>
      <c r="T21" s="813">
        <f>SUMIFS(Table7[Balance],Table7[Cutter Mat'#],$B21)</f>
        <v>0</v>
      </c>
      <c r="U21" s="24">
        <f t="shared" si="3"/>
        <v>41</v>
      </c>
      <c r="V21" s="119"/>
      <c r="W21" s="2"/>
      <c r="Y21" s="4">
        <f>IFERROR(INDEX(Table5[],MATCH($B21,Table5[Component],0),2),0)</f>
        <v>0</v>
      </c>
      <c r="Z21" s="4">
        <f>IFERROR(INDEX(Table5[],MATCH($B21,Table5[Component],0),1),0)</f>
        <v>0</v>
      </c>
      <c r="AA21" s="4" t="str">
        <f>IF(Y21&lt;&gt;0,B21,"")</f>
        <v/>
      </c>
      <c r="AB21" s="4" t="str">
        <f t="shared" si="4"/>
        <v/>
      </c>
      <c r="AD21" s="4">
        <f t="shared" si="5"/>
        <v>41</v>
      </c>
      <c r="AE21"/>
      <c r="AI21" s="248" t="str">
        <f>IFERROR(INDEX($B$1:$AK$243,MATCH(W21,$B$1:$B$243,0),13),"")</f>
        <v/>
      </c>
      <c r="AJ21" s="248" t="str">
        <f>IFERROR(INDEX($B$1:$AK$243,MATCH(W21,$B$1:$B$243,0),15),"")</f>
        <v/>
      </c>
      <c r="AK21">
        <f>SUMIF($W$2:$W$243,B21,$S$2:$S$243)</f>
        <v>0</v>
      </c>
      <c r="AP21">
        <f t="shared" si="6"/>
        <v>0</v>
      </c>
      <c r="AR21">
        <v>578502</v>
      </c>
      <c r="AS21">
        <f>SUMIF($B:$B,AR21,$AP:$AP)</f>
        <v>0</v>
      </c>
    </row>
    <row r="22" spans="1:45" ht="15.65" customHeight="1" x14ac:dyDescent="0.35">
      <c r="A22" s="2">
        <v>21</v>
      </c>
      <c r="B22" s="2">
        <v>643435</v>
      </c>
      <c r="C22" s="2" t="s">
        <v>4274</v>
      </c>
      <c r="D22" s="2" t="s">
        <v>61</v>
      </c>
      <c r="E22" s="2">
        <v>1913</v>
      </c>
      <c r="F22" s="2" t="s">
        <v>253</v>
      </c>
      <c r="G22" s="2" t="s">
        <v>4275</v>
      </c>
      <c r="H22" s="10">
        <f>SUMIFS('Cutters Consumption Updates'!$F:$F,'Cutters Consumption Updates'!$D:$D,H$1,'Cutters Consumption Updates'!$B:$B,$B22)-SUMIFS('Cutters Consumption Updates'!$E:$E,'Cutters Consumption Updates'!$D:$D,H$1,'Cutters Consumption Updates'!$B:$B,$B22)+ SUMIF('Cutters Consumption Updates'!$AS:$AS,$B22,'Cutters Consumption Updates'!AT:AT)</f>
        <v>0</v>
      </c>
      <c r="I22" s="10">
        <f>SUMIFS('Cutters Consumption Updates'!$F:$F,'Cutters Consumption Updates'!$D:$D,I$1,'Cutters Consumption Updates'!$B:$B,$B22)-SUMIFS('Cutters Consumption Updates'!$E:$E,'Cutters Consumption Updates'!$D:$D,I$1,'Cutters Consumption Updates'!$B:$B,$B22)+ SUMIF('Cutters Consumption Updates'!$AS:$AS,$B22,'Cutters Consumption Updates'!AU:AU)</f>
        <v>6</v>
      </c>
      <c r="J22" s="116">
        <f>SUMIFS('Cutters Consumption Updates'!$F:$F,'Cutters Consumption Updates'!$D:$D,J$1,'Cutters Consumption Updates'!$B:$B,$B22)-SUMIFS('Cutters Consumption Updates'!$E:$E,'Cutters Consumption Updates'!$D:$D,J$1,'Cutters Consumption Updates'!$B:$B,$B22)+ SUMIF('Cutters Consumption Updates'!$AS:$AS,$B22,'Cutters Consumption Updates'!AV:AV)</f>
        <v>0</v>
      </c>
      <c r="K22" s="738">
        <f>SUMIFS('Cutters Consumption Updates'!$F:$F,'Cutters Consumption Updates'!$D:$D,K$1,'Cutters Consumption Updates'!$B:$B,$B22)-SUMIFS('Cutters Consumption Updates'!$E:$E,'Cutters Consumption Updates'!$D:$D,K$1,'Cutters Consumption Updates'!$B:$B,$B22)+ SUMIF('Cutters Consumption Updates'!$AS:$AS,$B22,'Cutters Consumption Updates'!AW:AW)</f>
        <v>0</v>
      </c>
      <c r="L22" s="116">
        <f>SUMIFS('Cutters Consumption Updates'!$F:$F,'Cutters Consumption Updates'!$D:$D,L$1,'Cutters Consumption Updates'!$B:$B,$B22)-SUMIFS('Cutters Consumption Updates'!$E:$E,'Cutters Consumption Updates'!$D:$D,$L$1,'Cutters Consumption Updates'!$B:$B,$B22)+SUMIFS('Cutters Consumption Updates'!$F:$F,'Cutters Consumption Updates'!$D:$D,"Retrofit",'Cutters Consumption Updates'!$B:$B,$B22)-SUMIFS('Cutters Consumption Updates'!$E:$E,'Cutters Consumption Updates'!$D:$D,"Retrofit",'Cutters Consumption Updates'!$B:$B,$B22)+ SUMIF('Cutters Consumption Updates'!$AS:$AS,$B22,'Cutters Consumption Updates'!AX:AX)</f>
        <v>0</v>
      </c>
      <c r="M22" s="810">
        <f t="shared" si="0"/>
        <v>0</v>
      </c>
      <c r="N22" s="810">
        <f ca="1">SUMIFS('Cutters Consumption Updates'!E:E,
        'Cutters Consumption Updates'!B:B, B22,
        'Cutters Consumption Updates'!A:A, "&gt;" &amp; TODAY()-182)</f>
        <v>0</v>
      </c>
      <c r="O22" s="810">
        <f ca="1">SUMIFS('Cutters Consumption Updates'!E:E,
        'Cutters Consumption Updates'!B:B, B22,
        'Cutters Consumption Updates'!A:A, "&gt;" &amp; TODAY()-91)</f>
        <v>0</v>
      </c>
      <c r="P22" s="810">
        <f t="shared" ca="1" si="1"/>
        <v>0</v>
      </c>
      <c r="Q22" s="703">
        <f t="shared" ca="1" si="2"/>
        <v>0</v>
      </c>
      <c r="R22" s="703" t="s">
        <v>29</v>
      </c>
      <c r="S22" s="24">
        <f>IFERROR(INDEX(Table5[],MATCH($B22,Table5[Component],0),2),0)</f>
        <v>0</v>
      </c>
      <c r="T22" s="813">
        <f>SUMIFS(Table7[Balance],Table7[Cutter Mat'#],$B22)</f>
        <v>0</v>
      </c>
      <c r="U22" s="24">
        <f t="shared" si="3"/>
        <v>0</v>
      </c>
      <c r="V22" s="119"/>
      <c r="W22" s="2"/>
      <c r="Y22" s="4">
        <f>IFERROR(INDEX(Table5[],MATCH($B22,Table5[Component],0),2),0)</f>
        <v>0</v>
      </c>
      <c r="Z22" s="4">
        <f>IFERROR(INDEX(Table5[],MATCH($B22,Table5[Component],0),1),0)</f>
        <v>0</v>
      </c>
      <c r="AA22" s="4" t="str">
        <f>IF(Y22&lt;&gt;0,B22,"")</f>
        <v/>
      </c>
      <c r="AB22" s="4" t="str">
        <f t="shared" si="4"/>
        <v/>
      </c>
      <c r="AD22" s="4">
        <f t="shared" si="5"/>
        <v>6</v>
      </c>
      <c r="AI22" s="248" t="str">
        <f>IFERROR(INDEX($B$1:$AK$243,MATCH(W22,$B$1:$B$243,0),13),"")</f>
        <v/>
      </c>
      <c r="AJ22" s="248" t="str">
        <f>IFERROR(INDEX($B$1:$AK$243,MATCH(W22,$B$1:$B$243,0),15),"")</f>
        <v/>
      </c>
      <c r="AK22">
        <f>SUMIF($W$2:$W$243,B22,$S$2:$S$243)</f>
        <v>0</v>
      </c>
      <c r="AP22">
        <f t="shared" si="6"/>
        <v>0</v>
      </c>
      <c r="AR22">
        <v>584832</v>
      </c>
      <c r="AS22">
        <f>SUMIF($B:$B,AR22,$AP:$AP)</f>
        <v>0</v>
      </c>
    </row>
    <row r="23" spans="1:45" ht="15.65" customHeight="1" x14ac:dyDescent="0.35">
      <c r="A23" s="2">
        <v>22</v>
      </c>
      <c r="B23" s="2">
        <v>638561</v>
      </c>
      <c r="C23" s="2" t="s">
        <v>4276</v>
      </c>
      <c r="D23" s="2" t="s">
        <v>61</v>
      </c>
      <c r="E23" s="2">
        <v>1613</v>
      </c>
      <c r="F23" s="2" t="s">
        <v>253</v>
      </c>
      <c r="G23" s="2" t="s">
        <v>4275</v>
      </c>
      <c r="H23" s="10">
        <f>SUMIFS('Cutters Consumption Updates'!$F:$F,'Cutters Consumption Updates'!$D:$D,H$1,'Cutters Consumption Updates'!$B:$B,$B23)-SUMIFS('Cutters Consumption Updates'!$E:$E,'Cutters Consumption Updates'!$D:$D,H$1,'Cutters Consumption Updates'!$B:$B,$B23)+ SUMIF('Cutters Consumption Updates'!$AS:$AS,$B23,'Cutters Consumption Updates'!AT:AT)</f>
        <v>2</v>
      </c>
      <c r="I23" s="10">
        <f>SUMIFS('Cutters Consumption Updates'!$F:$F,'Cutters Consumption Updates'!$D:$D,I$1,'Cutters Consumption Updates'!$B:$B,$B23)-SUMIFS('Cutters Consumption Updates'!$E:$E,'Cutters Consumption Updates'!$D:$D,I$1,'Cutters Consumption Updates'!$B:$B,$B23)+ SUMIF('Cutters Consumption Updates'!$AS:$AS,$B23,'Cutters Consumption Updates'!AU:AU)</f>
        <v>27</v>
      </c>
      <c r="J23" s="116">
        <f>SUMIFS('Cutters Consumption Updates'!$F:$F,'Cutters Consumption Updates'!$D:$D,J$1,'Cutters Consumption Updates'!$B:$B,$B23)-SUMIFS('Cutters Consumption Updates'!$E:$E,'Cutters Consumption Updates'!$D:$D,J$1,'Cutters Consumption Updates'!$B:$B,$B23)+ SUMIF('Cutters Consumption Updates'!$AS:$AS,$B23,'Cutters Consumption Updates'!AV:AV)</f>
        <v>0</v>
      </c>
      <c r="K23" s="738">
        <f>SUMIFS('Cutters Consumption Updates'!$F:$F,'Cutters Consumption Updates'!$D:$D,K$1,'Cutters Consumption Updates'!$B:$B,$B23)-SUMIFS('Cutters Consumption Updates'!$E:$E,'Cutters Consumption Updates'!$D:$D,K$1,'Cutters Consumption Updates'!$B:$B,$B23)+ SUMIF('Cutters Consumption Updates'!$AS:$AS,$B23,'Cutters Consumption Updates'!AW:AW)</f>
        <v>12</v>
      </c>
      <c r="L23" s="116">
        <f>SUMIFS('Cutters Consumption Updates'!$F:$F,'Cutters Consumption Updates'!$D:$D,L$1,'Cutters Consumption Updates'!$B:$B,$B23)-SUMIFS('Cutters Consumption Updates'!$E:$E,'Cutters Consumption Updates'!$D:$D,$L$1,'Cutters Consumption Updates'!$B:$B,$B23)+SUMIFS('Cutters Consumption Updates'!$F:$F,'Cutters Consumption Updates'!$D:$D,"Retrofit",'Cutters Consumption Updates'!$B:$B,$B23)-SUMIFS('Cutters Consumption Updates'!$E:$E,'Cutters Consumption Updates'!$D:$D,"Retrofit",'Cutters Consumption Updates'!$B:$B,$B23)+ SUMIF('Cutters Consumption Updates'!$AS:$AS,$B23,'Cutters Consumption Updates'!AX:AX)</f>
        <v>0</v>
      </c>
      <c r="M23" s="810">
        <f t="shared" si="0"/>
        <v>2</v>
      </c>
      <c r="N23" s="810">
        <f ca="1">SUMIFS('Cutters Consumption Updates'!E:E,
        'Cutters Consumption Updates'!B:B, B23,
        'Cutters Consumption Updates'!A:A, "&gt;" &amp; TODAY()-182)</f>
        <v>0</v>
      </c>
      <c r="O23" s="810">
        <f ca="1">SUMIFS('Cutters Consumption Updates'!E:E,
        'Cutters Consumption Updates'!B:B, B23,
        'Cutters Consumption Updates'!A:A, "&gt;" &amp; TODAY()-91)</f>
        <v>0</v>
      </c>
      <c r="P23" s="810">
        <f t="shared" ca="1" si="1"/>
        <v>0</v>
      </c>
      <c r="Q23" s="703">
        <f t="shared" ca="1" si="2"/>
        <v>0</v>
      </c>
      <c r="R23" s="703" t="s">
        <v>29</v>
      </c>
      <c r="S23" s="24">
        <f>IFERROR(INDEX(Table5[],MATCH($B23,Table5[Component],0),2),0)</f>
        <v>0</v>
      </c>
      <c r="T23" s="813">
        <f>SUMIFS(Table7[Balance],Table7[Cutter Mat'#],$B23)</f>
        <v>0</v>
      </c>
      <c r="U23" s="24">
        <f t="shared" si="3"/>
        <v>2</v>
      </c>
      <c r="V23" s="119"/>
      <c r="W23" s="2"/>
      <c r="Y23" s="4">
        <f>IFERROR(INDEX(Table5[],MATCH($B23,Table5[Component],0),2),0)</f>
        <v>0</v>
      </c>
      <c r="Z23" s="4">
        <f>IFERROR(INDEX(Table5[],MATCH($B23,Table5[Component],0),1),0)</f>
        <v>0</v>
      </c>
      <c r="AA23" s="4" t="str">
        <f>IF(Y23&lt;&gt;0,B23,"")</f>
        <v/>
      </c>
      <c r="AB23" s="4" t="str">
        <f t="shared" si="4"/>
        <v/>
      </c>
      <c r="AD23" s="4">
        <f t="shared" si="5"/>
        <v>29</v>
      </c>
      <c r="AI23" s="248" t="str">
        <f>IFERROR(INDEX($B$1:$AK$243,MATCH(W23,$B$1:$B$243,0),13),"")</f>
        <v/>
      </c>
      <c r="AJ23" s="248" t="str">
        <f>IFERROR(INDEX($B$1:$AK$243,MATCH(W23,$B$1:$B$243,0),15),"")</f>
        <v/>
      </c>
      <c r="AK23">
        <f>SUMIF($W$2:$W$243,B23,$S$2:$S$243)</f>
        <v>0</v>
      </c>
      <c r="AP23">
        <f t="shared" si="6"/>
        <v>0</v>
      </c>
      <c r="AR23">
        <v>587493</v>
      </c>
      <c r="AS23">
        <f>SUMIF($B:$B,AR23,$AP:$AP)</f>
        <v>0</v>
      </c>
    </row>
    <row r="24" spans="1:45" ht="15.65" customHeight="1" x14ac:dyDescent="0.35">
      <c r="A24" s="2">
        <v>23</v>
      </c>
      <c r="B24" s="2">
        <v>745576</v>
      </c>
      <c r="C24" s="2" t="s">
        <v>4277</v>
      </c>
      <c r="D24" s="2" t="s">
        <v>62</v>
      </c>
      <c r="E24" s="2">
        <v>1913</v>
      </c>
      <c r="F24" s="2" t="s">
        <v>253</v>
      </c>
      <c r="G24" s="2" t="s">
        <v>4275</v>
      </c>
      <c r="H24" s="10">
        <f>SUMIFS('Cutters Consumption Updates'!$F:$F,'Cutters Consumption Updates'!$D:$D,H$1,'Cutters Consumption Updates'!$B:$B,$B24)-SUMIFS('Cutters Consumption Updates'!$E:$E,'Cutters Consumption Updates'!$D:$D,H$1,'Cutters Consumption Updates'!$B:$B,$B24)+ SUMIF('Cutters Consumption Updates'!$AS:$AS,$B24,'Cutters Consumption Updates'!AT:AT)</f>
        <v>13</v>
      </c>
      <c r="I24" s="10">
        <f>SUMIFS('Cutters Consumption Updates'!$F:$F,'Cutters Consumption Updates'!$D:$D,I$1,'Cutters Consumption Updates'!$B:$B,$B24)-SUMIFS('Cutters Consumption Updates'!$E:$E,'Cutters Consumption Updates'!$D:$D,I$1,'Cutters Consumption Updates'!$B:$B,$B24)+ SUMIF('Cutters Consumption Updates'!$AS:$AS,$B24,'Cutters Consumption Updates'!AU:AU)</f>
        <v>0</v>
      </c>
      <c r="J24" s="116">
        <f>SUMIFS('Cutters Consumption Updates'!$F:$F,'Cutters Consumption Updates'!$D:$D,J$1,'Cutters Consumption Updates'!$B:$B,$B24)-SUMIFS('Cutters Consumption Updates'!$E:$E,'Cutters Consumption Updates'!$D:$D,J$1,'Cutters Consumption Updates'!$B:$B,$B24)+ SUMIF('Cutters Consumption Updates'!$AS:$AS,$B24,'Cutters Consumption Updates'!AV:AV)</f>
        <v>0</v>
      </c>
      <c r="K24" s="738">
        <f>SUMIFS('Cutters Consumption Updates'!$F:$F,'Cutters Consumption Updates'!$D:$D,K$1,'Cutters Consumption Updates'!$B:$B,$B24)-SUMIFS('Cutters Consumption Updates'!$E:$E,'Cutters Consumption Updates'!$D:$D,K$1,'Cutters Consumption Updates'!$B:$B,$B24)+ SUMIF('Cutters Consumption Updates'!$AS:$AS,$B24,'Cutters Consumption Updates'!AW:AW)</f>
        <v>0</v>
      </c>
      <c r="L24" s="116">
        <f>SUMIFS('Cutters Consumption Updates'!$F:$F,'Cutters Consumption Updates'!$D:$D,L$1,'Cutters Consumption Updates'!$B:$B,$B24)-SUMIFS('Cutters Consumption Updates'!$E:$E,'Cutters Consumption Updates'!$D:$D,$L$1,'Cutters Consumption Updates'!$B:$B,$B24)+SUMIFS('Cutters Consumption Updates'!$F:$F,'Cutters Consumption Updates'!$D:$D,"Retrofit",'Cutters Consumption Updates'!$B:$B,$B24)-SUMIFS('Cutters Consumption Updates'!$E:$E,'Cutters Consumption Updates'!$D:$D,"Retrofit",'Cutters Consumption Updates'!$B:$B,$B24)+ SUMIF('Cutters Consumption Updates'!$AS:$AS,$B24,'Cutters Consumption Updates'!AX:AX)</f>
        <v>1</v>
      </c>
      <c r="M24" s="810">
        <f t="shared" si="0"/>
        <v>14</v>
      </c>
      <c r="N24" s="810">
        <f ca="1">SUMIFS('Cutters Consumption Updates'!E:E,
        'Cutters Consumption Updates'!B:B, B24,
        'Cutters Consumption Updates'!A:A, "&gt;" &amp; TODAY()-182)</f>
        <v>0</v>
      </c>
      <c r="O24" s="810">
        <f ca="1">SUMIFS('Cutters Consumption Updates'!E:E,
        'Cutters Consumption Updates'!B:B, B24,
        'Cutters Consumption Updates'!A:A, "&gt;" &amp; TODAY()-91)</f>
        <v>0</v>
      </c>
      <c r="P24" s="810">
        <f t="shared" ca="1" si="1"/>
        <v>0</v>
      </c>
      <c r="Q24" s="703">
        <f t="shared" ca="1" si="2"/>
        <v>0</v>
      </c>
      <c r="R24" s="703" t="s">
        <v>63</v>
      </c>
      <c r="S24" s="24">
        <f>IFERROR(INDEX(Table5[],MATCH($B24,Table5[Component],0),2),0)</f>
        <v>0</v>
      </c>
      <c r="T24" s="813">
        <f>SUMIFS(Table7[Balance],Table7[Cutter Mat'#],$B24)</f>
        <v>0</v>
      </c>
      <c r="U24" s="24">
        <f t="shared" si="3"/>
        <v>14</v>
      </c>
      <c r="V24" s="119"/>
      <c r="W24" s="2"/>
      <c r="Y24" s="4">
        <f>IFERROR(INDEX(Table5[],MATCH($B24,Table5[Component],0),2),0)</f>
        <v>0</v>
      </c>
      <c r="Z24" s="4">
        <f>IFERROR(INDEX(Table5[],MATCH($B24,Table5[Component],0),1),0)</f>
        <v>0</v>
      </c>
      <c r="AA24" s="4" t="str">
        <f>IF(Y24&lt;&gt;0,B24,"")</f>
        <v/>
      </c>
      <c r="AB24" s="4" t="str">
        <f t="shared" si="4"/>
        <v/>
      </c>
      <c r="AD24" s="4">
        <f t="shared" si="5"/>
        <v>14</v>
      </c>
      <c r="AI24" s="248" t="str">
        <f>IFERROR(INDEX($B$1:$AK$243,MATCH(W24,$B$1:$B$243,0),13),"")</f>
        <v/>
      </c>
      <c r="AJ24" s="248" t="str">
        <f>IFERROR(INDEX($B$1:$AK$243,MATCH(W24,$B$1:$B$243,0),15),"")</f>
        <v/>
      </c>
      <c r="AK24">
        <f>SUMIF($W$2:$W$243,B24,$S$2:$S$243)</f>
        <v>0</v>
      </c>
      <c r="AP24">
        <f t="shared" si="6"/>
        <v>0</v>
      </c>
      <c r="AR24">
        <v>621152</v>
      </c>
      <c r="AS24">
        <f>SUMIF($B:$B,AR24,$AP:$AP)</f>
        <v>0</v>
      </c>
    </row>
    <row r="25" spans="1:45" ht="15.65" customHeight="1" x14ac:dyDescent="0.35">
      <c r="A25" s="2">
        <v>24</v>
      </c>
      <c r="B25" s="2">
        <v>729688</v>
      </c>
      <c r="C25" s="2" t="s">
        <v>4440</v>
      </c>
      <c r="D25" s="2" t="s">
        <v>62</v>
      </c>
      <c r="E25" s="2">
        <v>1308</v>
      </c>
      <c r="F25" s="2" t="s">
        <v>253</v>
      </c>
      <c r="G25" s="2" t="s">
        <v>4275</v>
      </c>
      <c r="H25" s="10">
        <f>SUMIFS('Cutters Consumption Updates'!$F:$F,'Cutters Consumption Updates'!$D:$D,H$1,'Cutters Consumption Updates'!$B:$B,$B25)-SUMIFS('Cutters Consumption Updates'!$E:$E,'Cutters Consumption Updates'!$D:$D,H$1,'Cutters Consumption Updates'!$B:$B,$B25)+ SUMIF('Cutters Consumption Updates'!$AS:$AS,$B25,'Cutters Consumption Updates'!AT:AT)</f>
        <v>0</v>
      </c>
      <c r="I25" s="10">
        <f>SUMIFS('Cutters Consumption Updates'!$F:$F,'Cutters Consumption Updates'!$D:$D,I$1,'Cutters Consumption Updates'!$B:$B,$B25)-SUMIFS('Cutters Consumption Updates'!$E:$E,'Cutters Consumption Updates'!$D:$D,I$1,'Cutters Consumption Updates'!$B:$B,$B25)+ SUMIF('Cutters Consumption Updates'!$AS:$AS,$B25,'Cutters Consumption Updates'!AU:AU)</f>
        <v>0</v>
      </c>
      <c r="J25" s="116">
        <f>SUMIFS('Cutters Consumption Updates'!$F:$F,'Cutters Consumption Updates'!$D:$D,J$1,'Cutters Consumption Updates'!$B:$B,$B25)-SUMIFS('Cutters Consumption Updates'!$E:$E,'Cutters Consumption Updates'!$D:$D,J$1,'Cutters Consumption Updates'!$B:$B,$B25)+ SUMIF('Cutters Consumption Updates'!$AS:$AS,$B25,'Cutters Consumption Updates'!AV:AV)</f>
        <v>0</v>
      </c>
      <c r="K25" s="738">
        <f>SUMIFS('Cutters Consumption Updates'!$F:$F,'Cutters Consumption Updates'!$D:$D,K$1,'Cutters Consumption Updates'!$B:$B,$B25)-SUMIFS('Cutters Consumption Updates'!$E:$E,'Cutters Consumption Updates'!$D:$D,K$1,'Cutters Consumption Updates'!$B:$B,$B25)+ SUMIF('Cutters Consumption Updates'!$AS:$AS,$B25,'Cutters Consumption Updates'!AW:AW)</f>
        <v>0</v>
      </c>
      <c r="L25" s="116">
        <f>SUMIFS('Cutters Consumption Updates'!$F:$F,'Cutters Consumption Updates'!$D:$D,L$1,'Cutters Consumption Updates'!$B:$B,$B25)-SUMIFS('Cutters Consumption Updates'!$E:$E,'Cutters Consumption Updates'!$D:$D,$L$1,'Cutters Consumption Updates'!$B:$B,$B25)+SUMIFS('Cutters Consumption Updates'!$F:$F,'Cutters Consumption Updates'!$D:$D,"Retrofit",'Cutters Consumption Updates'!$B:$B,$B25)-SUMIFS('Cutters Consumption Updates'!$E:$E,'Cutters Consumption Updates'!$D:$D,"Retrofit",'Cutters Consumption Updates'!$B:$B,$B25)+ SUMIF('Cutters Consumption Updates'!$AS:$AS,$B25,'Cutters Consumption Updates'!AX:AX)</f>
        <v>0</v>
      </c>
      <c r="M25" s="810">
        <f t="shared" si="0"/>
        <v>0</v>
      </c>
      <c r="N25" s="810">
        <f ca="1">SUMIFS('Cutters Consumption Updates'!E:E,
        'Cutters Consumption Updates'!B:B, B25,
        'Cutters Consumption Updates'!A:A, "&gt;" &amp; TODAY()-182)</f>
        <v>0</v>
      </c>
      <c r="O25" s="810">
        <f ca="1">SUMIFS('Cutters Consumption Updates'!E:E,
        'Cutters Consumption Updates'!B:B, B25,
        'Cutters Consumption Updates'!A:A, "&gt;" &amp; TODAY()-91)</f>
        <v>0</v>
      </c>
      <c r="P25" s="810">
        <f t="shared" ca="1" si="1"/>
        <v>0</v>
      </c>
      <c r="Q25" s="703">
        <f t="shared" ca="1" si="2"/>
        <v>0</v>
      </c>
      <c r="R25" s="703" t="s">
        <v>29</v>
      </c>
      <c r="S25" s="24">
        <f>IFERROR(INDEX(Table5[],MATCH($B25,Table5[Component],0),2),0)</f>
        <v>0</v>
      </c>
      <c r="T25" s="813">
        <f>SUMIFS(Table7[Balance],Table7[Cutter Mat'#],$B25)</f>
        <v>0</v>
      </c>
      <c r="U25" s="24">
        <f t="shared" si="3"/>
        <v>0</v>
      </c>
      <c r="V25" s="119"/>
      <c r="W25" s="2"/>
      <c r="Y25" s="4">
        <f>IFERROR(INDEX(Table5[],MATCH($B25,Table5[Component],0),2),0)</f>
        <v>0</v>
      </c>
      <c r="Z25" s="4">
        <f>IFERROR(INDEX(Table5[],MATCH($B25,Table5[Component],0),1),0)</f>
        <v>0</v>
      </c>
      <c r="AA25" s="4" t="str">
        <f>IF(Y25&lt;&gt;0,B25,"")</f>
        <v/>
      </c>
      <c r="AB25" s="4" t="str">
        <f t="shared" si="4"/>
        <v/>
      </c>
      <c r="AD25" s="4">
        <f t="shared" si="5"/>
        <v>0</v>
      </c>
      <c r="AI25" s="248" t="str">
        <f>IFERROR(INDEX($B$1:$AK$243,MATCH(W25,$B$1:$B$243,0),13),"")</f>
        <v/>
      </c>
      <c r="AJ25" s="248" t="str">
        <f>IFERROR(INDEX($B$1:$AK$243,MATCH(W25,$B$1:$B$243,0),15),"")</f>
        <v/>
      </c>
      <c r="AK25">
        <f>SUMIF($W$2:$W$243,B25,$S$2:$S$243)</f>
        <v>0</v>
      </c>
      <c r="AP25">
        <f t="shared" si="6"/>
        <v>0</v>
      </c>
      <c r="AR25">
        <v>625854</v>
      </c>
      <c r="AS25">
        <f>SUMIF($B:$B,AR25,$AP:$AP)</f>
        <v>0</v>
      </c>
    </row>
    <row r="26" spans="1:45" ht="15.65" customHeight="1" x14ac:dyDescent="0.35">
      <c r="A26" s="2">
        <v>25</v>
      </c>
      <c r="B26" s="2">
        <v>729691</v>
      </c>
      <c r="C26" s="2" t="s">
        <v>4278</v>
      </c>
      <c r="D26" s="2" t="s">
        <v>62</v>
      </c>
      <c r="E26" s="2">
        <v>1613</v>
      </c>
      <c r="F26" s="2" t="s">
        <v>253</v>
      </c>
      <c r="G26" s="2" t="s">
        <v>4275</v>
      </c>
      <c r="H26" s="10">
        <f>SUMIFS('Cutters Consumption Updates'!$F:$F,'Cutters Consumption Updates'!$D:$D,H$1,'Cutters Consumption Updates'!$B:$B,$B26)-SUMIFS('Cutters Consumption Updates'!$E:$E,'Cutters Consumption Updates'!$D:$D,H$1,'Cutters Consumption Updates'!$B:$B,$B26)+ SUMIF('Cutters Consumption Updates'!$AS:$AS,$B26,'Cutters Consumption Updates'!AT:AT)</f>
        <v>2</v>
      </c>
      <c r="I26" s="10">
        <f>SUMIFS('Cutters Consumption Updates'!$F:$F,'Cutters Consumption Updates'!$D:$D,I$1,'Cutters Consumption Updates'!$B:$B,$B26)-SUMIFS('Cutters Consumption Updates'!$E:$E,'Cutters Consumption Updates'!$D:$D,I$1,'Cutters Consumption Updates'!$B:$B,$B26)+ SUMIF('Cutters Consumption Updates'!$AS:$AS,$B26,'Cutters Consumption Updates'!AU:AU)</f>
        <v>82</v>
      </c>
      <c r="J26" s="116">
        <f>SUMIFS('Cutters Consumption Updates'!$F:$F,'Cutters Consumption Updates'!$D:$D,J$1,'Cutters Consumption Updates'!$B:$B,$B26)-SUMIFS('Cutters Consumption Updates'!$E:$E,'Cutters Consumption Updates'!$D:$D,J$1,'Cutters Consumption Updates'!$B:$B,$B26)+ SUMIF('Cutters Consumption Updates'!$AS:$AS,$B26,'Cutters Consumption Updates'!AV:AV)</f>
        <v>0</v>
      </c>
      <c r="K26" s="738">
        <f>SUMIFS('Cutters Consumption Updates'!$F:$F,'Cutters Consumption Updates'!$D:$D,K$1,'Cutters Consumption Updates'!$B:$B,$B26)-SUMIFS('Cutters Consumption Updates'!$E:$E,'Cutters Consumption Updates'!$D:$D,K$1,'Cutters Consumption Updates'!$B:$B,$B26)+ SUMIF('Cutters Consumption Updates'!$AS:$AS,$B26,'Cutters Consumption Updates'!AW:AW)</f>
        <v>0</v>
      </c>
      <c r="L26" s="116">
        <f>SUMIFS('Cutters Consumption Updates'!$F:$F,'Cutters Consumption Updates'!$D:$D,L$1,'Cutters Consumption Updates'!$B:$B,$B26)-SUMIFS('Cutters Consumption Updates'!$E:$E,'Cutters Consumption Updates'!$D:$D,$L$1,'Cutters Consumption Updates'!$B:$B,$B26)+SUMIFS('Cutters Consumption Updates'!$F:$F,'Cutters Consumption Updates'!$D:$D,"Retrofit",'Cutters Consumption Updates'!$B:$B,$B26)-SUMIFS('Cutters Consumption Updates'!$E:$E,'Cutters Consumption Updates'!$D:$D,"Retrofit",'Cutters Consumption Updates'!$B:$B,$B26)+ SUMIF('Cutters Consumption Updates'!$AS:$AS,$B26,'Cutters Consumption Updates'!AX:AX)</f>
        <v>0</v>
      </c>
      <c r="M26" s="810">
        <f t="shared" si="0"/>
        <v>2</v>
      </c>
      <c r="N26" s="810">
        <f ca="1">SUMIFS('Cutters Consumption Updates'!E:E,
        'Cutters Consumption Updates'!B:B, B26,
        'Cutters Consumption Updates'!A:A, "&gt;" &amp; TODAY()-182)</f>
        <v>0</v>
      </c>
      <c r="O26" s="810">
        <f ca="1">SUMIFS('Cutters Consumption Updates'!E:E,
        'Cutters Consumption Updates'!B:B, B26,
        'Cutters Consumption Updates'!A:A, "&gt;" &amp; TODAY()-91)</f>
        <v>0</v>
      </c>
      <c r="P26" s="810">
        <f t="shared" ca="1" si="1"/>
        <v>0</v>
      </c>
      <c r="Q26" s="703">
        <f t="shared" ca="1" si="2"/>
        <v>0</v>
      </c>
      <c r="R26" s="703" t="s">
        <v>29</v>
      </c>
      <c r="S26" s="24">
        <f>IFERROR(INDEX(Table5[],MATCH($B26,Table5[Component],0),2),0)</f>
        <v>0</v>
      </c>
      <c r="T26" s="813">
        <f>SUMIFS(Table7[Balance],Table7[Cutter Mat'#],$B26)</f>
        <v>0</v>
      </c>
      <c r="U26" s="24">
        <f t="shared" si="3"/>
        <v>2</v>
      </c>
      <c r="V26" s="119"/>
      <c r="W26" s="2"/>
      <c r="Y26" s="4">
        <f>IFERROR(INDEX(Table5[],MATCH($B26,Table5[Component],0),2),0)</f>
        <v>0</v>
      </c>
      <c r="Z26" s="4">
        <f>IFERROR(INDEX(Table5[],MATCH($B26,Table5[Component],0),1),0)</f>
        <v>0</v>
      </c>
      <c r="AA26" s="4" t="str">
        <f>IF(Y26&lt;&gt;0,B26,"")</f>
        <v/>
      </c>
      <c r="AB26" s="4" t="str">
        <f t="shared" si="4"/>
        <v/>
      </c>
      <c r="AD26" s="4">
        <f t="shared" si="5"/>
        <v>84</v>
      </c>
      <c r="AI26" s="248" t="str">
        <f>IFERROR(INDEX($B$1:$AK$243,MATCH(W26,$B$1:$B$243,0),13),"")</f>
        <v/>
      </c>
      <c r="AJ26" s="248" t="str">
        <f>IFERROR(INDEX($B$1:$AK$243,MATCH(W26,$B$1:$B$243,0),15),"")</f>
        <v/>
      </c>
      <c r="AK26">
        <f>SUMIF($W$2:$W$243,B26,$S$2:$S$243)</f>
        <v>0</v>
      </c>
      <c r="AP26">
        <f t="shared" si="6"/>
        <v>0</v>
      </c>
      <c r="AR26">
        <v>632948</v>
      </c>
      <c r="AS26">
        <f>SUMIF($B:$B,AR26,$AP:$AP)</f>
        <v>0</v>
      </c>
    </row>
    <row r="27" spans="1:45" ht="15.65" customHeight="1" x14ac:dyDescent="0.35">
      <c r="A27" s="2">
        <v>26</v>
      </c>
      <c r="B27" s="2">
        <v>643433</v>
      </c>
      <c r="C27" s="2" t="s">
        <v>4279</v>
      </c>
      <c r="D27" s="2" t="s">
        <v>61</v>
      </c>
      <c r="E27" s="2">
        <v>1913</v>
      </c>
      <c r="F27" s="2" t="s">
        <v>248</v>
      </c>
      <c r="G27" s="2" t="s">
        <v>4275</v>
      </c>
      <c r="H27" s="10">
        <f>SUMIFS('Cutters Consumption Updates'!$F:$F,'Cutters Consumption Updates'!$D:$D,H$1,'Cutters Consumption Updates'!$B:$B,$B27)-SUMIFS('Cutters Consumption Updates'!$E:$E,'Cutters Consumption Updates'!$D:$D,H$1,'Cutters Consumption Updates'!$B:$B,$B27)+ SUMIF('Cutters Consumption Updates'!$AS:$AS,$B27,'Cutters Consumption Updates'!AT:AT)</f>
        <v>0</v>
      </c>
      <c r="I27" s="10">
        <f>SUMIFS('Cutters Consumption Updates'!$F:$F,'Cutters Consumption Updates'!$D:$D,I$1,'Cutters Consumption Updates'!$B:$B,$B27)-SUMIFS('Cutters Consumption Updates'!$E:$E,'Cutters Consumption Updates'!$D:$D,I$1,'Cutters Consumption Updates'!$B:$B,$B27)+ SUMIF('Cutters Consumption Updates'!$AS:$AS,$B27,'Cutters Consumption Updates'!AU:AU)</f>
        <v>0</v>
      </c>
      <c r="J27" s="116">
        <f>SUMIFS('Cutters Consumption Updates'!$F:$F,'Cutters Consumption Updates'!$D:$D,J$1,'Cutters Consumption Updates'!$B:$B,$B27)-SUMIFS('Cutters Consumption Updates'!$E:$E,'Cutters Consumption Updates'!$D:$D,J$1,'Cutters Consumption Updates'!$B:$B,$B27)+ SUMIF('Cutters Consumption Updates'!$AS:$AS,$B27,'Cutters Consumption Updates'!AV:AV)</f>
        <v>0</v>
      </c>
      <c r="K27" s="738">
        <f>SUMIFS('Cutters Consumption Updates'!$F:$F,'Cutters Consumption Updates'!$D:$D,K$1,'Cutters Consumption Updates'!$B:$B,$B27)-SUMIFS('Cutters Consumption Updates'!$E:$E,'Cutters Consumption Updates'!$D:$D,K$1,'Cutters Consumption Updates'!$B:$B,$B27)+ SUMIF('Cutters Consumption Updates'!$AS:$AS,$B27,'Cutters Consumption Updates'!AW:AW)</f>
        <v>14</v>
      </c>
      <c r="L27" s="116">
        <f>SUMIFS('Cutters Consumption Updates'!$F:$F,'Cutters Consumption Updates'!$D:$D,L$1,'Cutters Consumption Updates'!$B:$B,$B27)-SUMIFS('Cutters Consumption Updates'!$E:$E,'Cutters Consumption Updates'!$D:$D,$L$1,'Cutters Consumption Updates'!$B:$B,$B27)+SUMIFS('Cutters Consumption Updates'!$F:$F,'Cutters Consumption Updates'!$D:$D,"Retrofit",'Cutters Consumption Updates'!$B:$B,$B27)-SUMIFS('Cutters Consumption Updates'!$E:$E,'Cutters Consumption Updates'!$D:$D,"Retrofit",'Cutters Consumption Updates'!$B:$B,$B27)+ SUMIF('Cutters Consumption Updates'!$AS:$AS,$B27,'Cutters Consumption Updates'!AX:AX)</f>
        <v>0</v>
      </c>
      <c r="M27" s="810">
        <f t="shared" si="0"/>
        <v>0</v>
      </c>
      <c r="N27" s="810">
        <f ca="1">SUMIFS('Cutters Consumption Updates'!E:E,
        'Cutters Consumption Updates'!B:B, B27,
        'Cutters Consumption Updates'!A:A, "&gt;" &amp; TODAY()-182)</f>
        <v>0</v>
      </c>
      <c r="O27" s="810">
        <f ca="1">SUMIFS('Cutters Consumption Updates'!E:E,
        'Cutters Consumption Updates'!B:B, B27,
        'Cutters Consumption Updates'!A:A, "&gt;" &amp; TODAY()-91)</f>
        <v>0</v>
      </c>
      <c r="P27" s="810">
        <f t="shared" ca="1" si="1"/>
        <v>0</v>
      </c>
      <c r="Q27" s="703">
        <f t="shared" ca="1" si="2"/>
        <v>0</v>
      </c>
      <c r="R27" s="703" t="s">
        <v>29</v>
      </c>
      <c r="S27" s="24">
        <f>IFERROR(INDEX(Table5[],MATCH($B27,Table5[Component],0),2),0)</f>
        <v>0</v>
      </c>
      <c r="T27" s="813">
        <f>SUMIFS(Table7[Balance],Table7[Cutter Mat'#],$B27)</f>
        <v>0</v>
      </c>
      <c r="U27" s="24">
        <f t="shared" si="3"/>
        <v>0</v>
      </c>
      <c r="V27" s="119"/>
      <c r="W27" s="2"/>
      <c r="Y27" s="4">
        <f>IFERROR(INDEX(Table5[],MATCH($B27,Table5[Component],0),2),0)</f>
        <v>0</v>
      </c>
      <c r="Z27" s="4">
        <f>IFERROR(INDEX(Table5[],MATCH($B27,Table5[Component],0),1),0)</f>
        <v>0</v>
      </c>
      <c r="AA27" s="4" t="str">
        <f>IF(Y27&lt;&gt;0,B27,"")</f>
        <v/>
      </c>
      <c r="AB27" s="4" t="str">
        <f t="shared" si="4"/>
        <v/>
      </c>
      <c r="AD27" s="4">
        <f t="shared" si="5"/>
        <v>0</v>
      </c>
      <c r="AI27" s="248" t="str">
        <f>IFERROR(INDEX($B$1:$AK$243,MATCH(W27,$B$1:$B$243,0),13),"")</f>
        <v/>
      </c>
      <c r="AJ27" s="248" t="str">
        <f>IFERROR(INDEX($B$1:$AK$243,MATCH(W27,$B$1:$B$243,0),15),"")</f>
        <v/>
      </c>
      <c r="AK27">
        <f>SUMIF($W$2:$W$243,B27,$S$2:$S$243)</f>
        <v>0</v>
      </c>
      <c r="AP27">
        <f t="shared" si="6"/>
        <v>0</v>
      </c>
      <c r="AR27">
        <v>638559</v>
      </c>
      <c r="AS27">
        <f>SUMIF($B:$B,AR27,$AP:$AP)</f>
        <v>0</v>
      </c>
    </row>
    <row r="28" spans="1:45" ht="15.65" customHeight="1" x14ac:dyDescent="0.35">
      <c r="A28" s="2">
        <v>27</v>
      </c>
      <c r="B28" s="2">
        <v>729687</v>
      </c>
      <c r="C28" s="2" t="s">
        <v>4280</v>
      </c>
      <c r="D28" s="2" t="s">
        <v>62</v>
      </c>
      <c r="E28" s="2">
        <v>1613</v>
      </c>
      <c r="F28" s="2" t="s">
        <v>248</v>
      </c>
      <c r="G28" s="2" t="s">
        <v>4275</v>
      </c>
      <c r="H28" s="10">
        <f>SUMIFS('Cutters Consumption Updates'!$F:$F,'Cutters Consumption Updates'!$D:$D,H$1,'Cutters Consumption Updates'!$B:$B,$B28)-SUMIFS('Cutters Consumption Updates'!$E:$E,'Cutters Consumption Updates'!$D:$D,H$1,'Cutters Consumption Updates'!$B:$B,$B28)+ SUMIF('Cutters Consumption Updates'!$AS:$AS,$B28,'Cutters Consumption Updates'!AT:AT)</f>
        <v>0</v>
      </c>
      <c r="I28" s="10">
        <f>SUMIFS('Cutters Consumption Updates'!$F:$F,'Cutters Consumption Updates'!$D:$D,I$1,'Cutters Consumption Updates'!$B:$B,$B28)-SUMIFS('Cutters Consumption Updates'!$E:$E,'Cutters Consumption Updates'!$D:$D,I$1,'Cutters Consumption Updates'!$B:$B,$B28)+ SUMIF('Cutters Consumption Updates'!$AS:$AS,$B28,'Cutters Consumption Updates'!AU:AU)</f>
        <v>0</v>
      </c>
      <c r="J28" s="116">
        <f>SUMIFS('Cutters Consumption Updates'!$F:$F,'Cutters Consumption Updates'!$D:$D,J$1,'Cutters Consumption Updates'!$B:$B,$B28)-SUMIFS('Cutters Consumption Updates'!$E:$E,'Cutters Consumption Updates'!$D:$D,J$1,'Cutters Consumption Updates'!$B:$B,$B28)+ SUMIF('Cutters Consumption Updates'!$AS:$AS,$B28,'Cutters Consumption Updates'!AV:AV)</f>
        <v>5</v>
      </c>
      <c r="K28" s="738">
        <f>SUMIFS('Cutters Consumption Updates'!$F:$F,'Cutters Consumption Updates'!$D:$D,K$1,'Cutters Consumption Updates'!$B:$B,$B28)-SUMIFS('Cutters Consumption Updates'!$E:$E,'Cutters Consumption Updates'!$D:$D,K$1,'Cutters Consumption Updates'!$B:$B,$B28)+ SUMIF('Cutters Consumption Updates'!$AS:$AS,$B28,'Cutters Consumption Updates'!AW:AW)</f>
        <v>14</v>
      </c>
      <c r="L28" s="116">
        <f>SUMIFS('Cutters Consumption Updates'!$F:$F,'Cutters Consumption Updates'!$D:$D,L$1,'Cutters Consumption Updates'!$B:$B,$B28)-SUMIFS('Cutters Consumption Updates'!$E:$E,'Cutters Consumption Updates'!$D:$D,$L$1,'Cutters Consumption Updates'!$B:$B,$B28)+SUMIFS('Cutters Consumption Updates'!$F:$F,'Cutters Consumption Updates'!$D:$D,"Retrofit",'Cutters Consumption Updates'!$B:$B,$B28)-SUMIFS('Cutters Consumption Updates'!$E:$E,'Cutters Consumption Updates'!$D:$D,"Retrofit",'Cutters Consumption Updates'!$B:$B,$B28)+ SUMIF('Cutters Consumption Updates'!$AS:$AS,$B28,'Cutters Consumption Updates'!AX:AX)</f>
        <v>0</v>
      </c>
      <c r="M28" s="810">
        <f t="shared" si="0"/>
        <v>0</v>
      </c>
      <c r="N28" s="810">
        <f ca="1">SUMIFS('Cutters Consumption Updates'!E:E,
        'Cutters Consumption Updates'!B:B, B28,
        'Cutters Consumption Updates'!A:A, "&gt;" &amp; TODAY()-182)</f>
        <v>0</v>
      </c>
      <c r="O28" s="810">
        <f ca="1">SUMIFS('Cutters Consumption Updates'!E:E,
        'Cutters Consumption Updates'!B:B, B28,
        'Cutters Consumption Updates'!A:A, "&gt;" &amp; TODAY()-91)</f>
        <v>0</v>
      </c>
      <c r="P28" s="810">
        <f t="shared" ca="1" si="1"/>
        <v>0</v>
      </c>
      <c r="Q28" s="703">
        <f t="shared" ca="1" si="2"/>
        <v>0</v>
      </c>
      <c r="R28" s="703" t="s">
        <v>64</v>
      </c>
      <c r="S28" s="24">
        <f>IFERROR(INDEX(Table5[],MATCH($B28,Table5[Component],0),2),0)</f>
        <v>0</v>
      </c>
      <c r="T28" s="813">
        <f>SUMIFS(Table7[Balance],Table7[Cutter Mat'#],$B28)</f>
        <v>0</v>
      </c>
      <c r="U28" s="24">
        <f t="shared" si="3"/>
        <v>0</v>
      </c>
      <c r="V28" s="119"/>
      <c r="W28" s="2"/>
      <c r="Y28" s="4">
        <f>IFERROR(INDEX(Table5[],MATCH($B28,Table5[Component],0),2),0)</f>
        <v>0</v>
      </c>
      <c r="Z28" s="4">
        <f>IFERROR(INDEX(Table5[],MATCH($B28,Table5[Component],0),1),0)</f>
        <v>0</v>
      </c>
      <c r="AA28" s="4" t="str">
        <f>IF(Y28&lt;&gt;0,B28,"")</f>
        <v/>
      </c>
      <c r="AB28" s="4" t="str">
        <f t="shared" si="4"/>
        <v/>
      </c>
      <c r="AD28" s="4">
        <f t="shared" si="5"/>
        <v>5</v>
      </c>
      <c r="AI28" s="248" t="str">
        <f>IFERROR(INDEX($B$1:$AK$243,MATCH(W28,$B$1:$B$243,0),13),"")</f>
        <v/>
      </c>
      <c r="AJ28" s="248" t="str">
        <f>IFERROR(INDEX($B$1:$AK$243,MATCH(W28,$B$1:$B$243,0),15),"")</f>
        <v/>
      </c>
      <c r="AK28">
        <f>SUMIF($W$2:$W$243,B28,$S$2:$S$243)</f>
        <v>0</v>
      </c>
      <c r="AP28">
        <f t="shared" si="6"/>
        <v>0</v>
      </c>
      <c r="AR28">
        <v>638560</v>
      </c>
      <c r="AS28">
        <f>SUMIF($B:$B,AR28,$AP:$AP)</f>
        <v>0</v>
      </c>
    </row>
    <row r="29" spans="1:45" ht="15.65" customHeight="1" x14ac:dyDescent="0.35">
      <c r="A29" s="2">
        <v>28</v>
      </c>
      <c r="B29" s="2">
        <v>177778</v>
      </c>
      <c r="C29" s="2" t="s">
        <v>4281</v>
      </c>
      <c r="D29" s="2" t="s">
        <v>51</v>
      </c>
      <c r="E29" s="2">
        <v>1303</v>
      </c>
      <c r="F29" s="2" t="s">
        <v>103</v>
      </c>
      <c r="G29" s="2" t="s">
        <v>47</v>
      </c>
      <c r="H29" s="10">
        <f>SUMIFS('Cutters Consumption Updates'!$F:$F,'Cutters Consumption Updates'!$D:$D,H$1,'Cutters Consumption Updates'!$B:$B,$B29)-SUMIFS('Cutters Consumption Updates'!$E:$E,'Cutters Consumption Updates'!$D:$D,H$1,'Cutters Consumption Updates'!$B:$B,$B29)+ SUMIF('Cutters Consumption Updates'!$AS:$AS,$B29,'Cutters Consumption Updates'!AT:AT)</f>
        <v>0</v>
      </c>
      <c r="I29" s="10">
        <f>SUMIFS('Cutters Consumption Updates'!$F:$F,'Cutters Consumption Updates'!$D:$D,I$1,'Cutters Consumption Updates'!$B:$B,$B29)-SUMIFS('Cutters Consumption Updates'!$E:$E,'Cutters Consumption Updates'!$D:$D,I$1,'Cutters Consumption Updates'!$B:$B,$B29)+ SUMIF('Cutters Consumption Updates'!$AS:$AS,$B29,'Cutters Consumption Updates'!AU:AU)</f>
        <v>0</v>
      </c>
      <c r="J29" s="116">
        <f>SUMIFS('Cutters Consumption Updates'!$F:$F,'Cutters Consumption Updates'!$D:$D,J$1,'Cutters Consumption Updates'!$B:$B,$B29)-SUMIFS('Cutters Consumption Updates'!$E:$E,'Cutters Consumption Updates'!$D:$D,J$1,'Cutters Consumption Updates'!$B:$B,$B29)+ SUMIF('Cutters Consumption Updates'!$AS:$AS,$B29,'Cutters Consumption Updates'!AV:AV)</f>
        <v>0</v>
      </c>
      <c r="K29" s="738">
        <f>SUMIFS('Cutters Consumption Updates'!$F:$F,'Cutters Consumption Updates'!$D:$D,K$1,'Cutters Consumption Updates'!$B:$B,$B29)-SUMIFS('Cutters Consumption Updates'!$E:$E,'Cutters Consumption Updates'!$D:$D,K$1,'Cutters Consumption Updates'!$B:$B,$B29)+ SUMIF('Cutters Consumption Updates'!$AS:$AS,$B29,'Cutters Consumption Updates'!AW:AW)</f>
        <v>0</v>
      </c>
      <c r="L29" s="116">
        <f>SUMIFS('Cutters Consumption Updates'!$F:$F,'Cutters Consumption Updates'!$D:$D,L$1,'Cutters Consumption Updates'!$B:$B,$B29)-SUMIFS('Cutters Consumption Updates'!$E:$E,'Cutters Consumption Updates'!$D:$D,$L$1,'Cutters Consumption Updates'!$B:$B,$B29)+SUMIFS('Cutters Consumption Updates'!$F:$F,'Cutters Consumption Updates'!$D:$D,"Retrofit",'Cutters Consumption Updates'!$B:$B,$B29)-SUMIFS('Cutters Consumption Updates'!$E:$E,'Cutters Consumption Updates'!$D:$D,"Retrofit",'Cutters Consumption Updates'!$B:$B,$B29)+ SUMIF('Cutters Consumption Updates'!$AS:$AS,$B29,'Cutters Consumption Updates'!AX:AX)</f>
        <v>3</v>
      </c>
      <c r="M29" s="810">
        <f t="shared" si="0"/>
        <v>3</v>
      </c>
      <c r="N29" s="810">
        <f ca="1">SUMIFS('Cutters Consumption Updates'!E:E,
        'Cutters Consumption Updates'!B:B, B29,
        'Cutters Consumption Updates'!A:A, "&gt;" &amp; TODAY()-182)</f>
        <v>0</v>
      </c>
      <c r="O29" s="810">
        <f ca="1">SUMIFS('Cutters Consumption Updates'!E:E,
        'Cutters Consumption Updates'!B:B, B29,
        'Cutters Consumption Updates'!A:A, "&gt;" &amp; TODAY()-91)</f>
        <v>0</v>
      </c>
      <c r="P29" s="810">
        <f t="shared" ca="1" si="1"/>
        <v>0</v>
      </c>
      <c r="Q29" s="703">
        <f t="shared" ca="1" si="2"/>
        <v>0</v>
      </c>
      <c r="R29" s="703" t="s">
        <v>29</v>
      </c>
      <c r="S29" s="24">
        <f>IFERROR(INDEX(Table5[],MATCH($B29,Table5[Component],0),2),0)</f>
        <v>0</v>
      </c>
      <c r="T29" s="813">
        <f>SUMIFS(Table7[Balance],Table7[Cutter Mat'#],$B29)</f>
        <v>0</v>
      </c>
      <c r="U29" s="24">
        <f t="shared" si="3"/>
        <v>3</v>
      </c>
      <c r="V29" s="119"/>
      <c r="W29" s="2"/>
      <c r="Y29" s="4">
        <f>IFERROR(INDEX(Table5[],MATCH($B29,Table5[Component],0),2),0)</f>
        <v>0</v>
      </c>
      <c r="Z29" s="4">
        <f>IFERROR(INDEX(Table5[],MATCH($B29,Table5[Component],0),1),0)</f>
        <v>0</v>
      </c>
      <c r="AA29" s="4" t="str">
        <f>IF(Y29&lt;&gt;0,B29,"")</f>
        <v/>
      </c>
      <c r="AB29" s="4" t="str">
        <f t="shared" si="4"/>
        <v/>
      </c>
      <c r="AD29" s="4">
        <f t="shared" si="5"/>
        <v>3</v>
      </c>
      <c r="AI29" s="248" t="str">
        <f>IFERROR(INDEX($B$1:$AK$243,MATCH(W29,$B$1:$B$243,0),13),"")</f>
        <v/>
      </c>
      <c r="AJ29" s="248" t="str">
        <f>IFERROR(INDEX($B$1:$AK$243,MATCH(W29,$B$1:$B$243,0),15),"")</f>
        <v/>
      </c>
      <c r="AK29">
        <f>SUMIF($W$2:$W$243,B29,$S$2:$S$243)</f>
        <v>0</v>
      </c>
      <c r="AP29">
        <f t="shared" si="6"/>
        <v>0</v>
      </c>
      <c r="AR29">
        <v>638561</v>
      </c>
      <c r="AS29">
        <f>SUMIF($B:$B,AR29,$AP:$AP)</f>
        <v>0</v>
      </c>
    </row>
    <row r="30" spans="1:45" ht="15.65" customHeight="1" x14ac:dyDescent="0.35">
      <c r="A30" s="2">
        <v>29</v>
      </c>
      <c r="B30" s="2">
        <v>638560</v>
      </c>
      <c r="C30" s="2" t="s">
        <v>4282</v>
      </c>
      <c r="D30" s="2" t="s">
        <v>61</v>
      </c>
      <c r="E30" s="2">
        <v>1313</v>
      </c>
      <c r="F30" s="2" t="s">
        <v>253</v>
      </c>
      <c r="G30" s="2" t="s">
        <v>4275</v>
      </c>
      <c r="H30" s="10">
        <f>SUMIFS('Cutters Consumption Updates'!$F:$F,'Cutters Consumption Updates'!$D:$D,H$1,'Cutters Consumption Updates'!$B:$B,$B30)-SUMIFS('Cutters Consumption Updates'!$E:$E,'Cutters Consumption Updates'!$D:$D,H$1,'Cutters Consumption Updates'!$B:$B,$B30)+ SUMIF('Cutters Consumption Updates'!$AS:$AS,$B30,'Cutters Consumption Updates'!AT:AT)</f>
        <v>3</v>
      </c>
      <c r="I30" s="10">
        <f>SUMIFS('Cutters Consumption Updates'!$F:$F,'Cutters Consumption Updates'!$D:$D,I$1,'Cutters Consumption Updates'!$B:$B,$B30)-SUMIFS('Cutters Consumption Updates'!$E:$E,'Cutters Consumption Updates'!$D:$D,I$1,'Cutters Consumption Updates'!$B:$B,$B30)+ SUMIF('Cutters Consumption Updates'!$AS:$AS,$B30,'Cutters Consumption Updates'!AU:AU)</f>
        <v>9</v>
      </c>
      <c r="J30" s="116">
        <f>SUMIFS('Cutters Consumption Updates'!$F:$F,'Cutters Consumption Updates'!$D:$D,J$1,'Cutters Consumption Updates'!$B:$B,$B30)-SUMIFS('Cutters Consumption Updates'!$E:$E,'Cutters Consumption Updates'!$D:$D,J$1,'Cutters Consumption Updates'!$B:$B,$B30)+ SUMIF('Cutters Consumption Updates'!$AS:$AS,$B30,'Cutters Consumption Updates'!AV:AV)</f>
        <v>0</v>
      </c>
      <c r="K30" s="738">
        <f>SUMIFS('Cutters Consumption Updates'!$F:$F,'Cutters Consumption Updates'!$D:$D,K$1,'Cutters Consumption Updates'!$B:$B,$B30)-SUMIFS('Cutters Consumption Updates'!$E:$E,'Cutters Consumption Updates'!$D:$D,K$1,'Cutters Consumption Updates'!$B:$B,$B30)+ SUMIF('Cutters Consumption Updates'!$AS:$AS,$B30,'Cutters Consumption Updates'!AW:AW)</f>
        <v>0</v>
      </c>
      <c r="L30" s="116">
        <f>SUMIFS('Cutters Consumption Updates'!$F:$F,'Cutters Consumption Updates'!$D:$D,L$1,'Cutters Consumption Updates'!$B:$B,$B30)-SUMIFS('Cutters Consumption Updates'!$E:$E,'Cutters Consumption Updates'!$D:$D,$L$1,'Cutters Consumption Updates'!$B:$B,$B30)+SUMIFS('Cutters Consumption Updates'!$F:$F,'Cutters Consumption Updates'!$D:$D,"Retrofit",'Cutters Consumption Updates'!$B:$B,$B30)-SUMIFS('Cutters Consumption Updates'!$E:$E,'Cutters Consumption Updates'!$D:$D,"Retrofit",'Cutters Consumption Updates'!$B:$B,$B30)+ SUMIF('Cutters Consumption Updates'!$AS:$AS,$B30,'Cutters Consumption Updates'!AX:AX)</f>
        <v>0</v>
      </c>
      <c r="M30" s="810">
        <f t="shared" si="0"/>
        <v>3</v>
      </c>
      <c r="N30" s="810">
        <f ca="1">SUMIFS('Cutters Consumption Updates'!E:E,
        'Cutters Consumption Updates'!B:B, B30,
        'Cutters Consumption Updates'!A:A, "&gt;" &amp; TODAY()-182)</f>
        <v>28</v>
      </c>
      <c r="O30" s="810">
        <f ca="1">SUMIFS('Cutters Consumption Updates'!E:E,
        'Cutters Consumption Updates'!B:B, B30,
        'Cutters Consumption Updates'!A:A, "&gt;" &amp; TODAY()-91)</f>
        <v>28</v>
      </c>
      <c r="P30" s="810">
        <f t="shared" ca="1" si="1"/>
        <v>10</v>
      </c>
      <c r="Q30" s="703">
        <f t="shared" ca="1" si="2"/>
        <v>15</v>
      </c>
      <c r="R30" s="703" t="s">
        <v>29</v>
      </c>
      <c r="S30" s="24">
        <f>IFERROR(INDEX(Table5[],MATCH($B30,Table5[Component],0),2),0)</f>
        <v>0</v>
      </c>
      <c r="T30" s="813">
        <f>SUMIFS(Table7[Balance],Table7[Cutter Mat'#],$B30)</f>
        <v>0</v>
      </c>
      <c r="U30" s="24">
        <f t="shared" si="3"/>
        <v>3</v>
      </c>
      <c r="V30" s="119"/>
      <c r="W30" s="2"/>
      <c r="Y30" s="4">
        <f>IFERROR(INDEX(Table5[],MATCH($B30,Table5[Component],0),2),0)</f>
        <v>0</v>
      </c>
      <c r="Z30" s="4">
        <f>IFERROR(INDEX(Table5[],MATCH($B30,Table5[Component],0),1),0)</f>
        <v>0</v>
      </c>
      <c r="AA30" s="4" t="str">
        <f>IF(Y30&lt;&gt;0,B30,"")</f>
        <v/>
      </c>
      <c r="AB30" s="4" t="str">
        <f t="shared" si="4"/>
        <v/>
      </c>
      <c r="AD30" s="4">
        <f t="shared" si="5"/>
        <v>12</v>
      </c>
      <c r="AI30" s="248" t="str">
        <f>IFERROR(INDEX($B$1:$AK$243,MATCH(W30,$B$1:$B$243,0),13),"")</f>
        <v/>
      </c>
      <c r="AJ30" s="248" t="str">
        <f>IFERROR(INDEX($B$1:$AK$243,MATCH(W30,$B$1:$B$243,0),15),"")</f>
        <v/>
      </c>
      <c r="AK30">
        <f>SUMIF($W$2:$W$243,B30,$S$2:$S$243)</f>
        <v>0</v>
      </c>
      <c r="AP30">
        <f t="shared" si="6"/>
        <v>0</v>
      </c>
      <c r="AR30">
        <v>642299</v>
      </c>
      <c r="AS30">
        <f>SUMIF($B:$B,AR30,$AP:$AP)</f>
        <v>0</v>
      </c>
    </row>
    <row r="31" spans="1:45" ht="15.65" customHeight="1" x14ac:dyDescent="0.35">
      <c r="A31" s="2">
        <v>30</v>
      </c>
      <c r="B31" s="2">
        <v>578502</v>
      </c>
      <c r="C31" s="2" t="s">
        <v>4283</v>
      </c>
      <c r="D31" s="2" t="s">
        <v>50</v>
      </c>
      <c r="E31" s="2">
        <v>1010</v>
      </c>
      <c r="F31" s="2" t="s">
        <v>253</v>
      </c>
      <c r="G31" s="2" t="s">
        <v>47</v>
      </c>
      <c r="H31" s="10">
        <f>SUMIFS('Cutters Consumption Updates'!$F:$F,'Cutters Consumption Updates'!$D:$D,H$1,'Cutters Consumption Updates'!$B:$B,$B31)-SUMIFS('Cutters Consumption Updates'!$E:$E,'Cutters Consumption Updates'!$D:$D,H$1,'Cutters Consumption Updates'!$B:$B,$B31)+ SUMIF('Cutters Consumption Updates'!$AS:$AS,$B31,'Cutters Consumption Updates'!AT:AT)</f>
        <v>0</v>
      </c>
      <c r="I31" s="10">
        <f>SUMIFS('Cutters Consumption Updates'!$F:$F,'Cutters Consumption Updates'!$D:$D,I$1,'Cutters Consumption Updates'!$B:$B,$B31)-SUMIFS('Cutters Consumption Updates'!$E:$E,'Cutters Consumption Updates'!$D:$D,I$1,'Cutters Consumption Updates'!$B:$B,$B31)+ SUMIF('Cutters Consumption Updates'!$AS:$AS,$B31,'Cutters Consumption Updates'!AU:AU)</f>
        <v>0</v>
      </c>
      <c r="J31" s="116">
        <f>SUMIFS('Cutters Consumption Updates'!$F:$F,'Cutters Consumption Updates'!$D:$D,J$1,'Cutters Consumption Updates'!$B:$B,$B31)-SUMIFS('Cutters Consumption Updates'!$E:$E,'Cutters Consumption Updates'!$D:$D,J$1,'Cutters Consumption Updates'!$B:$B,$B31)+ SUMIF('Cutters Consumption Updates'!$AS:$AS,$B31,'Cutters Consumption Updates'!AV:AV)</f>
        <v>0</v>
      </c>
      <c r="K31" s="738">
        <f>SUMIFS('Cutters Consumption Updates'!$F:$F,'Cutters Consumption Updates'!$D:$D,K$1,'Cutters Consumption Updates'!$B:$B,$B31)-SUMIFS('Cutters Consumption Updates'!$E:$E,'Cutters Consumption Updates'!$D:$D,K$1,'Cutters Consumption Updates'!$B:$B,$B31)+ SUMIF('Cutters Consumption Updates'!$AS:$AS,$B31,'Cutters Consumption Updates'!AW:AW)</f>
        <v>6</v>
      </c>
      <c r="L31" s="116">
        <f>SUMIFS('Cutters Consumption Updates'!$F:$F,'Cutters Consumption Updates'!$D:$D,L$1,'Cutters Consumption Updates'!$B:$B,$B31)-SUMIFS('Cutters Consumption Updates'!$E:$E,'Cutters Consumption Updates'!$D:$D,$L$1,'Cutters Consumption Updates'!$B:$B,$B31)+SUMIFS('Cutters Consumption Updates'!$F:$F,'Cutters Consumption Updates'!$D:$D,"Retrofit",'Cutters Consumption Updates'!$B:$B,$B31)-SUMIFS('Cutters Consumption Updates'!$E:$E,'Cutters Consumption Updates'!$D:$D,"Retrofit",'Cutters Consumption Updates'!$B:$B,$B31)+ SUMIF('Cutters Consumption Updates'!$AS:$AS,$B31,'Cutters Consumption Updates'!AX:AX)</f>
        <v>0</v>
      </c>
      <c r="M31" s="810">
        <f t="shared" si="0"/>
        <v>0</v>
      </c>
      <c r="N31" s="810">
        <f ca="1">SUMIFS('Cutters Consumption Updates'!E:E,
        'Cutters Consumption Updates'!B:B, B31,
        'Cutters Consumption Updates'!A:A, "&gt;" &amp; TODAY()-182)</f>
        <v>0</v>
      </c>
      <c r="O31" s="810">
        <f ca="1">SUMIFS('Cutters Consumption Updates'!E:E,
        'Cutters Consumption Updates'!B:B, B31,
        'Cutters Consumption Updates'!A:A, "&gt;" &amp; TODAY()-91)</f>
        <v>0</v>
      </c>
      <c r="P31" s="810">
        <f t="shared" ca="1" si="1"/>
        <v>0</v>
      </c>
      <c r="Q31" s="703">
        <f t="shared" ca="1" si="2"/>
        <v>0</v>
      </c>
      <c r="R31" s="703" t="s">
        <v>29</v>
      </c>
      <c r="S31" s="24">
        <f>IFERROR(INDEX(Table5[],MATCH($B31,Table5[Component],0),2),0)</f>
        <v>0</v>
      </c>
      <c r="T31" s="813">
        <f>SUMIFS(Table7[Balance],Table7[Cutter Mat'#],$B31)</f>
        <v>0</v>
      </c>
      <c r="U31" s="24">
        <f t="shared" si="3"/>
        <v>0</v>
      </c>
      <c r="V31" s="119"/>
      <c r="W31" s="2"/>
      <c r="Y31" s="4">
        <f>IFERROR(INDEX(Table5[],MATCH($B31,Table5[Component],0),2),0)</f>
        <v>0</v>
      </c>
      <c r="Z31" s="4">
        <f>IFERROR(INDEX(Table5[],MATCH($B31,Table5[Component],0),1),0)</f>
        <v>0</v>
      </c>
      <c r="AA31" s="4" t="str">
        <f>IF(Y31&lt;&gt;0,B31,"")</f>
        <v/>
      </c>
      <c r="AB31" s="4" t="str">
        <f t="shared" si="4"/>
        <v/>
      </c>
      <c r="AD31" s="4">
        <f t="shared" si="5"/>
        <v>0</v>
      </c>
      <c r="AI31" s="248" t="str">
        <f>IFERROR(INDEX($B$1:$AK$243,MATCH(W31,$B$1:$B$243,0),13),"")</f>
        <v/>
      </c>
      <c r="AJ31" s="248" t="str">
        <f>IFERROR(INDEX($B$1:$AK$243,MATCH(W31,$B$1:$B$243,0),15),"")</f>
        <v/>
      </c>
      <c r="AK31">
        <f>SUMIF($W$2:$W$243,B31,$S$2:$S$243)</f>
        <v>0</v>
      </c>
      <c r="AP31">
        <f t="shared" si="6"/>
        <v>0</v>
      </c>
      <c r="AR31">
        <v>643433</v>
      </c>
      <c r="AS31">
        <f>SUMIF($B:$B,AR31,$AP:$AP)</f>
        <v>0</v>
      </c>
    </row>
    <row r="32" spans="1:45" ht="15.65" customHeight="1" x14ac:dyDescent="0.35">
      <c r="A32" s="2">
        <v>31</v>
      </c>
      <c r="B32" s="2">
        <v>781580</v>
      </c>
      <c r="C32" s="2" t="s">
        <v>4441</v>
      </c>
      <c r="D32" s="2" t="s">
        <v>53</v>
      </c>
      <c r="E32" s="2">
        <v>1010</v>
      </c>
      <c r="F32" s="2" t="s">
        <v>253</v>
      </c>
      <c r="G32" s="2" t="s">
        <v>47</v>
      </c>
      <c r="H32" s="10">
        <f>SUMIFS('Cutters Consumption Updates'!$F:$F,'Cutters Consumption Updates'!$D:$D,H$1,'Cutters Consumption Updates'!$B:$B,$B32)-SUMIFS('Cutters Consumption Updates'!$E:$E,'Cutters Consumption Updates'!$D:$D,H$1,'Cutters Consumption Updates'!$B:$B,$B32)+ SUMIF('Cutters Consumption Updates'!$AS:$AS,$B32,'Cutters Consumption Updates'!AT:AT)</f>
        <v>0</v>
      </c>
      <c r="I32" s="10">
        <f>SUMIFS('Cutters Consumption Updates'!$F:$F,'Cutters Consumption Updates'!$D:$D,I$1,'Cutters Consumption Updates'!$B:$B,$B32)-SUMIFS('Cutters Consumption Updates'!$E:$E,'Cutters Consumption Updates'!$D:$D,I$1,'Cutters Consumption Updates'!$B:$B,$B32)+ SUMIF('Cutters Consumption Updates'!$AS:$AS,$B32,'Cutters Consumption Updates'!AU:AU)</f>
        <v>0</v>
      </c>
      <c r="J32" s="116">
        <f>SUMIFS('Cutters Consumption Updates'!$F:$F,'Cutters Consumption Updates'!$D:$D,J$1,'Cutters Consumption Updates'!$B:$B,$B32)-SUMIFS('Cutters Consumption Updates'!$E:$E,'Cutters Consumption Updates'!$D:$D,J$1,'Cutters Consumption Updates'!$B:$B,$B32)+ SUMIF('Cutters Consumption Updates'!$AS:$AS,$B32,'Cutters Consumption Updates'!AV:AV)</f>
        <v>0</v>
      </c>
      <c r="K32" s="738">
        <f>SUMIFS('Cutters Consumption Updates'!$F:$F,'Cutters Consumption Updates'!$D:$D,K$1,'Cutters Consumption Updates'!$B:$B,$B32)-SUMIFS('Cutters Consumption Updates'!$E:$E,'Cutters Consumption Updates'!$D:$D,K$1,'Cutters Consumption Updates'!$B:$B,$B32)+ SUMIF('Cutters Consumption Updates'!$AS:$AS,$B32,'Cutters Consumption Updates'!AW:AW)</f>
        <v>0</v>
      </c>
      <c r="L32" s="116">
        <f>SUMIFS('Cutters Consumption Updates'!$F:$F,'Cutters Consumption Updates'!$D:$D,L$1,'Cutters Consumption Updates'!$B:$B,$B32)-SUMIFS('Cutters Consumption Updates'!$E:$E,'Cutters Consumption Updates'!$D:$D,$L$1,'Cutters Consumption Updates'!$B:$B,$B32)+SUMIFS('Cutters Consumption Updates'!$F:$F,'Cutters Consumption Updates'!$D:$D,"Retrofit",'Cutters Consumption Updates'!$B:$B,$B32)-SUMIFS('Cutters Consumption Updates'!$E:$E,'Cutters Consumption Updates'!$D:$D,"Retrofit",'Cutters Consumption Updates'!$B:$B,$B32)+ SUMIF('Cutters Consumption Updates'!$AS:$AS,$B32,'Cutters Consumption Updates'!AX:AX)</f>
        <v>0</v>
      </c>
      <c r="M32" s="810">
        <f t="shared" si="0"/>
        <v>0</v>
      </c>
      <c r="N32" s="810">
        <f ca="1">SUMIFS('Cutters Consumption Updates'!E:E,
        'Cutters Consumption Updates'!B:B, B32,
        'Cutters Consumption Updates'!A:A, "&gt;" &amp; TODAY()-182)</f>
        <v>0</v>
      </c>
      <c r="O32" s="810">
        <f ca="1">SUMIFS('Cutters Consumption Updates'!E:E,
        'Cutters Consumption Updates'!B:B, B32,
        'Cutters Consumption Updates'!A:A, "&gt;" &amp; TODAY()-91)</f>
        <v>0</v>
      </c>
      <c r="P32" s="810">
        <f t="shared" ca="1" si="1"/>
        <v>0</v>
      </c>
      <c r="Q32" s="703">
        <f t="shared" ca="1" si="2"/>
        <v>0</v>
      </c>
      <c r="R32" s="703" t="s">
        <v>29</v>
      </c>
      <c r="S32" s="24">
        <f>IFERROR(INDEX(Table5[],MATCH($B32,Table5[Component],0),2),0)</f>
        <v>0</v>
      </c>
      <c r="T32" s="813">
        <f>SUMIFS(Table7[Balance],Table7[Cutter Mat'#],$B32)</f>
        <v>0</v>
      </c>
      <c r="U32" s="24">
        <f t="shared" si="3"/>
        <v>0</v>
      </c>
      <c r="V32" s="119"/>
      <c r="W32" s="2"/>
      <c r="Y32" s="4">
        <f>IFERROR(INDEX(Table5[],MATCH($B32,Table5[Component],0),2),0)</f>
        <v>0</v>
      </c>
      <c r="Z32" s="4">
        <f>IFERROR(INDEX(Table5[],MATCH($B32,Table5[Component],0),1),0)</f>
        <v>0</v>
      </c>
      <c r="AA32" s="4" t="str">
        <f>IF(Y32&lt;&gt;0,B32,"")</f>
        <v/>
      </c>
      <c r="AB32" s="4" t="str">
        <f t="shared" si="4"/>
        <v/>
      </c>
      <c r="AD32" s="4">
        <f t="shared" si="5"/>
        <v>0</v>
      </c>
      <c r="AI32" s="248" t="str">
        <f>IFERROR(INDEX($B$1:$AK$243,MATCH(W32,$B$1:$B$243,0),13),"")</f>
        <v/>
      </c>
      <c r="AJ32" s="248" t="str">
        <f>IFERROR(INDEX($B$1:$AK$243,MATCH(W32,$B$1:$B$243,0),15),"")</f>
        <v/>
      </c>
      <c r="AK32">
        <f>SUMIF($W$2:$W$243,B32,$S$2:$S$243)</f>
        <v>0</v>
      </c>
      <c r="AP32">
        <f t="shared" si="6"/>
        <v>0</v>
      </c>
      <c r="AR32">
        <v>643435</v>
      </c>
      <c r="AS32">
        <f>SUMIF($B:$B,AR32,$AP:$AP)</f>
        <v>0</v>
      </c>
    </row>
    <row r="33" spans="1:45" ht="15.65" customHeight="1" x14ac:dyDescent="0.35">
      <c r="A33" s="2">
        <v>32</v>
      </c>
      <c r="B33" s="2">
        <v>646938</v>
      </c>
      <c r="C33" s="2" t="s">
        <v>4284</v>
      </c>
      <c r="D33" s="2" t="s">
        <v>66</v>
      </c>
      <c r="E33" s="2">
        <v>1308</v>
      </c>
      <c r="F33" s="2" t="s">
        <v>248</v>
      </c>
      <c r="G33" s="2" t="s">
        <v>28</v>
      </c>
      <c r="H33" s="10">
        <f>SUMIFS('Cutters Consumption Updates'!$F:$F,'Cutters Consumption Updates'!$D:$D,H$1,'Cutters Consumption Updates'!$B:$B,$B33)-SUMIFS('Cutters Consumption Updates'!$E:$E,'Cutters Consumption Updates'!$D:$D,H$1,'Cutters Consumption Updates'!$B:$B,$B33)+ SUMIF('Cutters Consumption Updates'!$AS:$AS,$B33,'Cutters Consumption Updates'!AT:AT)</f>
        <v>0</v>
      </c>
      <c r="I33" s="10">
        <f>SUMIFS('Cutters Consumption Updates'!$F:$F,'Cutters Consumption Updates'!$D:$D,I$1,'Cutters Consumption Updates'!$B:$B,$B33)-SUMIFS('Cutters Consumption Updates'!$E:$E,'Cutters Consumption Updates'!$D:$D,I$1,'Cutters Consumption Updates'!$B:$B,$B33)+ SUMIF('Cutters Consumption Updates'!$AS:$AS,$B33,'Cutters Consumption Updates'!AU:AU)</f>
        <v>0</v>
      </c>
      <c r="J33" s="116">
        <f>SUMIFS('Cutters Consumption Updates'!$F:$F,'Cutters Consumption Updates'!$D:$D,J$1,'Cutters Consumption Updates'!$B:$B,$B33)-SUMIFS('Cutters Consumption Updates'!$E:$E,'Cutters Consumption Updates'!$D:$D,J$1,'Cutters Consumption Updates'!$B:$B,$B33)+ SUMIF('Cutters Consumption Updates'!$AS:$AS,$B33,'Cutters Consumption Updates'!AV:AV)</f>
        <v>0</v>
      </c>
      <c r="K33" s="738">
        <f>SUMIFS('Cutters Consumption Updates'!$F:$F,'Cutters Consumption Updates'!$D:$D,K$1,'Cutters Consumption Updates'!$B:$B,$B33)-SUMIFS('Cutters Consumption Updates'!$E:$E,'Cutters Consumption Updates'!$D:$D,K$1,'Cutters Consumption Updates'!$B:$B,$B33)+ SUMIF('Cutters Consumption Updates'!$AS:$AS,$B33,'Cutters Consumption Updates'!AW:AW)</f>
        <v>5</v>
      </c>
      <c r="L33" s="116">
        <f>SUMIFS('Cutters Consumption Updates'!$F:$F,'Cutters Consumption Updates'!$D:$D,L$1,'Cutters Consumption Updates'!$B:$B,$B33)-SUMIFS('Cutters Consumption Updates'!$E:$E,'Cutters Consumption Updates'!$D:$D,$L$1,'Cutters Consumption Updates'!$B:$B,$B33)+SUMIFS('Cutters Consumption Updates'!$F:$F,'Cutters Consumption Updates'!$D:$D,"Retrofit",'Cutters Consumption Updates'!$B:$B,$B33)-SUMIFS('Cutters Consumption Updates'!$E:$E,'Cutters Consumption Updates'!$D:$D,"Retrofit",'Cutters Consumption Updates'!$B:$B,$B33)+ SUMIF('Cutters Consumption Updates'!$AS:$AS,$B33,'Cutters Consumption Updates'!AX:AX)</f>
        <v>0</v>
      </c>
      <c r="M33" s="810">
        <f t="shared" si="0"/>
        <v>0</v>
      </c>
      <c r="N33" s="810">
        <f ca="1">SUMIFS('Cutters Consumption Updates'!E:E,
        'Cutters Consumption Updates'!B:B, B33,
        'Cutters Consumption Updates'!A:A, "&gt;" &amp; TODAY()-182)</f>
        <v>0</v>
      </c>
      <c r="O33" s="810">
        <f ca="1">SUMIFS('Cutters Consumption Updates'!E:E,
        'Cutters Consumption Updates'!B:B, B33,
        'Cutters Consumption Updates'!A:A, "&gt;" &amp; TODAY()-91)</f>
        <v>0</v>
      </c>
      <c r="P33" s="810">
        <f t="shared" ca="1" si="1"/>
        <v>0</v>
      </c>
      <c r="Q33" s="703">
        <f t="shared" ca="1" si="2"/>
        <v>0</v>
      </c>
      <c r="R33" s="703" t="s">
        <v>29</v>
      </c>
      <c r="S33" s="24">
        <f>IFERROR(INDEX(Table5[],MATCH($B33,Table5[Component],0),2),0)</f>
        <v>0</v>
      </c>
      <c r="T33" s="813">
        <f>SUMIFS(Table7[Balance],Table7[Cutter Mat'#],$B33)</f>
        <v>0</v>
      </c>
      <c r="U33" s="24">
        <f t="shared" si="3"/>
        <v>0</v>
      </c>
      <c r="V33" s="119"/>
      <c r="W33" s="2"/>
      <c r="Y33" s="4">
        <f>IFERROR(INDEX(Table5[],MATCH($B33,Table5[Component],0),2),0)</f>
        <v>0</v>
      </c>
      <c r="Z33" s="4">
        <f>IFERROR(INDEX(Table5[],MATCH($B33,Table5[Component],0),1),0)</f>
        <v>0</v>
      </c>
      <c r="AA33" s="4" t="str">
        <f>IF(Y33&lt;&gt;0,B33,"")</f>
        <v/>
      </c>
      <c r="AB33" s="4" t="str">
        <f t="shared" si="4"/>
        <v/>
      </c>
      <c r="AD33" s="4">
        <f t="shared" si="5"/>
        <v>0</v>
      </c>
      <c r="AI33" s="248" t="str">
        <f>IFERROR(INDEX($B$1:$AK$243,MATCH(W33,$B$1:$B$243,0),13),"")</f>
        <v/>
      </c>
      <c r="AJ33" s="248" t="str">
        <f>IFERROR(INDEX($B$1:$AK$243,MATCH(W33,$B$1:$B$243,0),15),"")</f>
        <v/>
      </c>
      <c r="AK33">
        <f>SUMIF($W$2:$W$243,B33,$S$2:$S$243)</f>
        <v>0</v>
      </c>
      <c r="AP33">
        <f t="shared" si="6"/>
        <v>0</v>
      </c>
      <c r="AR33">
        <v>643738</v>
      </c>
      <c r="AS33">
        <f>SUMIF($B:$B,AR33,$AP:$AP)</f>
        <v>0</v>
      </c>
    </row>
    <row r="34" spans="1:45" ht="15.65" customHeight="1" x14ac:dyDescent="0.35">
      <c r="A34" s="2">
        <v>33</v>
      </c>
      <c r="B34" s="2">
        <v>780654</v>
      </c>
      <c r="C34" s="2" t="s">
        <v>4442</v>
      </c>
      <c r="D34" s="2" t="s">
        <v>53</v>
      </c>
      <c r="E34" s="2">
        <v>1010</v>
      </c>
      <c r="F34" s="2" t="s">
        <v>248</v>
      </c>
      <c r="G34" s="2" t="s">
        <v>47</v>
      </c>
      <c r="H34" s="10">
        <f>SUMIFS('Cutters Consumption Updates'!$F:$F,'Cutters Consumption Updates'!$D:$D,H$1,'Cutters Consumption Updates'!$B:$B,$B34)-SUMIFS('Cutters Consumption Updates'!$E:$E,'Cutters Consumption Updates'!$D:$D,H$1,'Cutters Consumption Updates'!$B:$B,$B34)+ SUMIF('Cutters Consumption Updates'!$AS:$AS,$B34,'Cutters Consumption Updates'!AT:AT)</f>
        <v>0</v>
      </c>
      <c r="I34" s="10">
        <f>SUMIFS('Cutters Consumption Updates'!$F:$F,'Cutters Consumption Updates'!$D:$D,I$1,'Cutters Consumption Updates'!$B:$B,$B34)-SUMIFS('Cutters Consumption Updates'!$E:$E,'Cutters Consumption Updates'!$D:$D,I$1,'Cutters Consumption Updates'!$B:$B,$B34)+ SUMIF('Cutters Consumption Updates'!$AS:$AS,$B34,'Cutters Consumption Updates'!AU:AU)</f>
        <v>0</v>
      </c>
      <c r="J34" s="116">
        <f>SUMIFS('Cutters Consumption Updates'!$F:$F,'Cutters Consumption Updates'!$D:$D,J$1,'Cutters Consumption Updates'!$B:$B,$B34)-SUMIFS('Cutters Consumption Updates'!$E:$E,'Cutters Consumption Updates'!$D:$D,J$1,'Cutters Consumption Updates'!$B:$B,$B34)+ SUMIF('Cutters Consumption Updates'!$AS:$AS,$B34,'Cutters Consumption Updates'!AV:AV)</f>
        <v>0</v>
      </c>
      <c r="K34" s="738">
        <f>SUMIFS('Cutters Consumption Updates'!$F:$F,'Cutters Consumption Updates'!$D:$D,K$1,'Cutters Consumption Updates'!$B:$B,$B34)-SUMIFS('Cutters Consumption Updates'!$E:$E,'Cutters Consumption Updates'!$D:$D,K$1,'Cutters Consumption Updates'!$B:$B,$B34)+ SUMIF('Cutters Consumption Updates'!$AS:$AS,$B34,'Cutters Consumption Updates'!AW:AW)</f>
        <v>0</v>
      </c>
      <c r="L34" s="116">
        <f>SUMIFS('Cutters Consumption Updates'!$F:$F,'Cutters Consumption Updates'!$D:$D,L$1,'Cutters Consumption Updates'!$B:$B,$B34)-SUMIFS('Cutters Consumption Updates'!$E:$E,'Cutters Consumption Updates'!$D:$D,$L$1,'Cutters Consumption Updates'!$B:$B,$B34)+SUMIFS('Cutters Consumption Updates'!$F:$F,'Cutters Consumption Updates'!$D:$D,"Retrofit",'Cutters Consumption Updates'!$B:$B,$B34)-SUMIFS('Cutters Consumption Updates'!$E:$E,'Cutters Consumption Updates'!$D:$D,"Retrofit",'Cutters Consumption Updates'!$B:$B,$B34)+ SUMIF('Cutters Consumption Updates'!$AS:$AS,$B34,'Cutters Consumption Updates'!AX:AX)</f>
        <v>0</v>
      </c>
      <c r="M34" s="810">
        <f t="shared" si="0"/>
        <v>0</v>
      </c>
      <c r="N34" s="810">
        <f ca="1">SUMIFS('Cutters Consumption Updates'!E:E,
        'Cutters Consumption Updates'!B:B, B34,
        'Cutters Consumption Updates'!A:A, "&gt;" &amp; TODAY()-182)</f>
        <v>0</v>
      </c>
      <c r="O34" s="810">
        <f ca="1">SUMIFS('Cutters Consumption Updates'!E:E,
        'Cutters Consumption Updates'!B:B, B34,
        'Cutters Consumption Updates'!A:A, "&gt;" &amp; TODAY()-91)</f>
        <v>0</v>
      </c>
      <c r="P34" s="810">
        <f t="shared" ca="1" si="1"/>
        <v>0</v>
      </c>
      <c r="Q34" s="703">
        <f t="shared" ca="1" si="2"/>
        <v>0</v>
      </c>
      <c r="R34" s="703" t="s">
        <v>29</v>
      </c>
      <c r="S34" s="24">
        <f>IFERROR(INDEX(Table5[],MATCH($B34,Table5[Component],0),2),0)</f>
        <v>0</v>
      </c>
      <c r="T34" s="813">
        <f>SUMIFS(Table7[Balance],Table7[Cutter Mat'#],$B34)</f>
        <v>0</v>
      </c>
      <c r="U34" s="24">
        <f t="shared" si="3"/>
        <v>0</v>
      </c>
      <c r="V34" s="119"/>
      <c r="W34" s="2"/>
      <c r="Y34" s="4">
        <f>IFERROR(INDEX(Table5[],MATCH($B34,Table5[Component],0),2),0)</f>
        <v>0</v>
      </c>
      <c r="Z34" s="4">
        <f>IFERROR(INDEX(Table5[],MATCH($B34,Table5[Component],0),1),0)</f>
        <v>780654</v>
      </c>
      <c r="AA34" s="4" t="str">
        <f>IF(Y34&lt;&gt;0,B34,"")</f>
        <v/>
      </c>
      <c r="AB34" s="4" t="str">
        <f t="shared" si="4"/>
        <v/>
      </c>
      <c r="AD34" s="4">
        <f t="shared" si="5"/>
        <v>0</v>
      </c>
      <c r="AI34" s="248" t="str">
        <f>IFERROR(INDEX($B$1:$AK$243,MATCH(W34,$B$1:$B$243,0),13),"")</f>
        <v/>
      </c>
      <c r="AJ34" s="248" t="str">
        <f>IFERROR(INDEX($B$1:$AK$243,MATCH(W34,$B$1:$B$243,0),15),"")</f>
        <v/>
      </c>
      <c r="AK34">
        <f>SUMIF($W$2:$W$243,B34,$S$2:$S$243)</f>
        <v>0</v>
      </c>
      <c r="AP34">
        <f t="shared" si="6"/>
        <v>0</v>
      </c>
      <c r="AR34">
        <v>646938</v>
      </c>
      <c r="AS34">
        <f>SUMIF($B:$B,AR34,$AP:$AP)</f>
        <v>0</v>
      </c>
    </row>
    <row r="35" spans="1:45" ht="15.65" customHeight="1" x14ac:dyDescent="0.35">
      <c r="A35" s="2">
        <v>34</v>
      </c>
      <c r="B35" s="2">
        <v>729434</v>
      </c>
      <c r="C35" s="2" t="s">
        <v>4443</v>
      </c>
      <c r="D35" s="2" t="s">
        <v>62</v>
      </c>
      <c r="E35" s="2">
        <v>1308</v>
      </c>
      <c r="F35" s="2" t="s">
        <v>248</v>
      </c>
      <c r="G35" s="2" t="s">
        <v>4275</v>
      </c>
      <c r="H35" s="10">
        <f>SUMIFS('Cutters Consumption Updates'!$F:$F,'Cutters Consumption Updates'!$D:$D,H$1,'Cutters Consumption Updates'!$B:$B,$B35)-SUMIFS('Cutters Consumption Updates'!$E:$E,'Cutters Consumption Updates'!$D:$D,H$1,'Cutters Consumption Updates'!$B:$B,$B35)+ SUMIF('Cutters Consumption Updates'!$AS:$AS,$B35,'Cutters Consumption Updates'!AT:AT)</f>
        <v>0</v>
      </c>
      <c r="I35" s="10">
        <f>SUMIFS('Cutters Consumption Updates'!$F:$F,'Cutters Consumption Updates'!$D:$D,I$1,'Cutters Consumption Updates'!$B:$B,$B35)-SUMIFS('Cutters Consumption Updates'!$E:$E,'Cutters Consumption Updates'!$D:$D,I$1,'Cutters Consumption Updates'!$B:$B,$B35)+ SUMIF('Cutters Consumption Updates'!$AS:$AS,$B35,'Cutters Consumption Updates'!AU:AU)</f>
        <v>0</v>
      </c>
      <c r="J35" s="116">
        <f>SUMIFS('Cutters Consumption Updates'!$F:$F,'Cutters Consumption Updates'!$D:$D,J$1,'Cutters Consumption Updates'!$B:$B,$B35)-SUMIFS('Cutters Consumption Updates'!$E:$E,'Cutters Consumption Updates'!$D:$D,J$1,'Cutters Consumption Updates'!$B:$B,$B35)+ SUMIF('Cutters Consumption Updates'!$AS:$AS,$B35,'Cutters Consumption Updates'!AV:AV)</f>
        <v>0</v>
      </c>
      <c r="K35" s="738">
        <f>SUMIFS('Cutters Consumption Updates'!$F:$F,'Cutters Consumption Updates'!$D:$D,K$1,'Cutters Consumption Updates'!$B:$B,$B35)-SUMIFS('Cutters Consumption Updates'!$E:$E,'Cutters Consumption Updates'!$D:$D,K$1,'Cutters Consumption Updates'!$B:$B,$B35)+ SUMIF('Cutters Consumption Updates'!$AS:$AS,$B35,'Cutters Consumption Updates'!AW:AW)</f>
        <v>0</v>
      </c>
      <c r="L35" s="116">
        <f>SUMIFS('Cutters Consumption Updates'!$F:$F,'Cutters Consumption Updates'!$D:$D,L$1,'Cutters Consumption Updates'!$B:$B,$B35)-SUMIFS('Cutters Consumption Updates'!$E:$E,'Cutters Consumption Updates'!$D:$D,$L$1,'Cutters Consumption Updates'!$B:$B,$B35)+SUMIFS('Cutters Consumption Updates'!$F:$F,'Cutters Consumption Updates'!$D:$D,"Retrofit",'Cutters Consumption Updates'!$B:$B,$B35)-SUMIFS('Cutters Consumption Updates'!$E:$E,'Cutters Consumption Updates'!$D:$D,"Retrofit",'Cutters Consumption Updates'!$B:$B,$B35)+ SUMIF('Cutters Consumption Updates'!$AS:$AS,$B35,'Cutters Consumption Updates'!AX:AX)</f>
        <v>0</v>
      </c>
      <c r="M35" s="810">
        <f t="shared" si="0"/>
        <v>0</v>
      </c>
      <c r="N35" s="810">
        <f ca="1">SUMIFS('Cutters Consumption Updates'!E:E,
        'Cutters Consumption Updates'!B:B, B35,
        'Cutters Consumption Updates'!A:A, "&gt;" &amp; TODAY()-182)</f>
        <v>0</v>
      </c>
      <c r="O35" s="810">
        <f ca="1">SUMIFS('Cutters Consumption Updates'!E:E,
        'Cutters Consumption Updates'!B:B, B35,
        'Cutters Consumption Updates'!A:A, "&gt;" &amp; TODAY()-91)</f>
        <v>0</v>
      </c>
      <c r="P35" s="810">
        <f t="shared" ca="1" si="1"/>
        <v>0</v>
      </c>
      <c r="Q35" s="703">
        <f t="shared" ca="1" si="2"/>
        <v>0</v>
      </c>
      <c r="R35" s="703" t="s">
        <v>29</v>
      </c>
      <c r="S35" s="24">
        <f>IFERROR(INDEX(Table5[],MATCH($B35,Table5[Component],0),2),0)</f>
        <v>0</v>
      </c>
      <c r="T35" s="813">
        <f>SUMIFS(Table7[Balance],Table7[Cutter Mat'#],$B35)</f>
        <v>0</v>
      </c>
      <c r="U35" s="24">
        <f t="shared" si="3"/>
        <v>0</v>
      </c>
      <c r="V35" s="119"/>
      <c r="W35" s="2"/>
      <c r="Y35" s="4">
        <f>IFERROR(INDEX(Table5[],MATCH($B35,Table5[Component],0),2),0)</f>
        <v>0</v>
      </c>
      <c r="Z35" s="4">
        <f>IFERROR(INDEX(Table5[],MATCH($B35,Table5[Component],0),1),0)</f>
        <v>0</v>
      </c>
      <c r="AA35" s="4" t="str">
        <f>IF(Y35&lt;&gt;0,B35,"")</f>
        <v/>
      </c>
      <c r="AB35" s="4" t="str">
        <f t="shared" si="4"/>
        <v/>
      </c>
      <c r="AD35" s="4">
        <f t="shared" si="5"/>
        <v>0</v>
      </c>
      <c r="AI35" s="248" t="str">
        <f>IFERROR(INDEX($B$1:$AK$243,MATCH(W35,$B$1:$B$243,0),13),"")</f>
        <v/>
      </c>
      <c r="AJ35" s="248" t="str">
        <f>IFERROR(INDEX($B$1:$AK$243,MATCH(W35,$B$1:$B$243,0),15),"")</f>
        <v/>
      </c>
      <c r="AK35">
        <f>SUMIF($W$2:$W$243,B35,$S$2:$S$243)</f>
        <v>0</v>
      </c>
      <c r="AP35">
        <f t="shared" si="6"/>
        <v>0</v>
      </c>
      <c r="AR35">
        <v>646941</v>
      </c>
      <c r="AS35">
        <f>SUMIF($B:$B,AR35,$AP:$AP)</f>
        <v>0</v>
      </c>
    </row>
    <row r="36" spans="1:45" ht="15.65" customHeight="1" x14ac:dyDescent="0.35">
      <c r="A36" s="2">
        <v>35</v>
      </c>
      <c r="B36" s="2">
        <v>802064</v>
      </c>
      <c r="C36" s="2" t="s">
        <v>4285</v>
      </c>
      <c r="D36" s="2" t="s">
        <v>27</v>
      </c>
      <c r="E36" s="2">
        <v>1308</v>
      </c>
      <c r="F36" s="2" t="s">
        <v>248</v>
      </c>
      <c r="G36" s="2" t="s">
        <v>28</v>
      </c>
      <c r="H36" s="10">
        <f>SUMIFS('Cutters Consumption Updates'!$F:$F,'Cutters Consumption Updates'!$D:$D,H$1,'Cutters Consumption Updates'!$B:$B,$B36)-SUMIFS('Cutters Consumption Updates'!$E:$E,'Cutters Consumption Updates'!$D:$D,H$1,'Cutters Consumption Updates'!$B:$B,$B36)+ SUMIF('Cutters Consumption Updates'!$AS:$AS,$B36,'Cutters Consumption Updates'!AT:AT)</f>
        <v>0</v>
      </c>
      <c r="I36" s="10">
        <f>SUMIFS('Cutters Consumption Updates'!$F:$F,'Cutters Consumption Updates'!$D:$D,I$1,'Cutters Consumption Updates'!$B:$B,$B36)-SUMIFS('Cutters Consumption Updates'!$E:$E,'Cutters Consumption Updates'!$D:$D,I$1,'Cutters Consumption Updates'!$B:$B,$B36)+ SUMIF('Cutters Consumption Updates'!$AS:$AS,$B36,'Cutters Consumption Updates'!AU:AU)</f>
        <v>0</v>
      </c>
      <c r="J36" s="116">
        <f>SUMIFS('Cutters Consumption Updates'!$F:$F,'Cutters Consumption Updates'!$D:$D,J$1,'Cutters Consumption Updates'!$B:$B,$B36)-SUMIFS('Cutters Consumption Updates'!$E:$E,'Cutters Consumption Updates'!$D:$D,J$1,'Cutters Consumption Updates'!$B:$B,$B36)+ SUMIF('Cutters Consumption Updates'!$AS:$AS,$B36,'Cutters Consumption Updates'!AV:AV)</f>
        <v>0</v>
      </c>
      <c r="K36" s="738">
        <f>SUMIFS('Cutters Consumption Updates'!$F:$F,'Cutters Consumption Updates'!$D:$D,K$1,'Cutters Consumption Updates'!$B:$B,$B36)-SUMIFS('Cutters Consumption Updates'!$E:$E,'Cutters Consumption Updates'!$D:$D,K$1,'Cutters Consumption Updates'!$B:$B,$B36)+ SUMIF('Cutters Consumption Updates'!$AS:$AS,$B36,'Cutters Consumption Updates'!AW:AW)</f>
        <v>8</v>
      </c>
      <c r="L36" s="116">
        <f>SUMIFS('Cutters Consumption Updates'!$F:$F,'Cutters Consumption Updates'!$D:$D,L$1,'Cutters Consumption Updates'!$B:$B,$B36)-SUMIFS('Cutters Consumption Updates'!$E:$E,'Cutters Consumption Updates'!$D:$D,$L$1,'Cutters Consumption Updates'!$B:$B,$B36)+SUMIFS('Cutters Consumption Updates'!$F:$F,'Cutters Consumption Updates'!$D:$D,"Retrofit",'Cutters Consumption Updates'!$B:$B,$B36)-SUMIFS('Cutters Consumption Updates'!$E:$E,'Cutters Consumption Updates'!$D:$D,"Retrofit",'Cutters Consumption Updates'!$B:$B,$B36)+ SUMIF('Cutters Consumption Updates'!$AS:$AS,$B36,'Cutters Consumption Updates'!AX:AX)</f>
        <v>1</v>
      </c>
      <c r="M36" s="810">
        <f t="shared" si="0"/>
        <v>1</v>
      </c>
      <c r="N36" s="810">
        <f ca="1">SUMIFS('Cutters Consumption Updates'!E:E,
        'Cutters Consumption Updates'!B:B, B36,
        'Cutters Consumption Updates'!A:A, "&gt;" &amp; TODAY()-182)</f>
        <v>13</v>
      </c>
      <c r="O36" s="810">
        <f ca="1">SUMIFS('Cutters Consumption Updates'!E:E,
        'Cutters Consumption Updates'!B:B, B36,
        'Cutters Consumption Updates'!A:A, "&gt;" &amp; TODAY()-91)</f>
        <v>13</v>
      </c>
      <c r="P36" s="810">
        <f t="shared" ca="1" si="1"/>
        <v>5</v>
      </c>
      <c r="Q36" s="703">
        <f t="shared" ca="1" si="2"/>
        <v>10</v>
      </c>
      <c r="R36" s="703" t="s">
        <v>29</v>
      </c>
      <c r="S36" s="24">
        <f>IFERROR(INDEX(Table5[],MATCH($B36,Table5[Component],0),2),0)</f>
        <v>0</v>
      </c>
      <c r="T36" s="813">
        <f>SUMIFS(Table7[Balance],Table7[Cutter Mat'#],$B36)</f>
        <v>0</v>
      </c>
      <c r="U36" s="24">
        <f t="shared" si="3"/>
        <v>1</v>
      </c>
      <c r="V36" s="119"/>
      <c r="W36" s="2"/>
      <c r="Y36" s="4">
        <f>IFERROR(INDEX(Table5[],MATCH($B36,Table5[Component],0),2),0)</f>
        <v>0</v>
      </c>
      <c r="Z36" s="4">
        <f>IFERROR(INDEX(Table5[],MATCH($B36,Table5[Component],0),1),0)</f>
        <v>0</v>
      </c>
      <c r="AA36" s="4" t="str">
        <f>IF(Y36&lt;&gt;0,B36,"")</f>
        <v/>
      </c>
      <c r="AB36" s="4" t="str">
        <f t="shared" si="4"/>
        <v/>
      </c>
      <c r="AD36" s="4">
        <f t="shared" si="5"/>
        <v>1</v>
      </c>
      <c r="AI36" s="248" t="str">
        <f>IFERROR(INDEX($B$1:$AK$243,MATCH(W36,$B$1:$B$243,0),13),"")</f>
        <v/>
      </c>
      <c r="AJ36" s="248" t="str">
        <f>IFERROR(INDEX($B$1:$AK$243,MATCH(W36,$B$1:$B$243,0),15),"")</f>
        <v/>
      </c>
      <c r="AK36">
        <f>SUMIF($W$2:$W$243,B36,$S$2:$S$243)</f>
        <v>0</v>
      </c>
      <c r="AP36">
        <f t="shared" si="6"/>
        <v>0</v>
      </c>
      <c r="AR36">
        <v>647435</v>
      </c>
      <c r="AS36">
        <f>SUMIF($B:$B,AR36,$AP:$AP)</f>
        <v>0</v>
      </c>
    </row>
    <row r="37" spans="1:45" ht="15.65" customHeight="1" x14ac:dyDescent="0.35">
      <c r="A37" s="2">
        <v>36</v>
      </c>
      <c r="B37" s="2">
        <v>717748</v>
      </c>
      <c r="C37" s="2" t="s">
        <v>4127</v>
      </c>
      <c r="D37" s="2" t="s">
        <v>51</v>
      </c>
      <c r="E37" s="2">
        <v>1010</v>
      </c>
      <c r="F37" s="2" t="s">
        <v>253</v>
      </c>
      <c r="G37" s="2" t="s">
        <v>47</v>
      </c>
      <c r="H37" s="10">
        <f>SUMIFS('Cutters Consumption Updates'!$F:$F,'Cutters Consumption Updates'!$D:$D,H$1,'Cutters Consumption Updates'!$B:$B,$B37)-SUMIFS('Cutters Consumption Updates'!$E:$E,'Cutters Consumption Updates'!$D:$D,H$1,'Cutters Consumption Updates'!$B:$B,$B37)+ SUMIF('Cutters Consumption Updates'!$AS:$AS,$B37,'Cutters Consumption Updates'!AT:AT)</f>
        <v>0</v>
      </c>
      <c r="I37" s="10">
        <f>SUMIFS('Cutters Consumption Updates'!$F:$F,'Cutters Consumption Updates'!$D:$D,I$1,'Cutters Consumption Updates'!$B:$B,$B37)-SUMIFS('Cutters Consumption Updates'!$E:$E,'Cutters Consumption Updates'!$D:$D,I$1,'Cutters Consumption Updates'!$B:$B,$B37)+ SUMIF('Cutters Consumption Updates'!$AS:$AS,$B37,'Cutters Consumption Updates'!AU:AU)</f>
        <v>0</v>
      </c>
      <c r="J37" s="116">
        <f>SUMIFS('Cutters Consumption Updates'!$F:$F,'Cutters Consumption Updates'!$D:$D,J$1,'Cutters Consumption Updates'!$B:$B,$B37)-SUMIFS('Cutters Consumption Updates'!$E:$E,'Cutters Consumption Updates'!$D:$D,J$1,'Cutters Consumption Updates'!$B:$B,$B37)+ SUMIF('Cutters Consumption Updates'!$AS:$AS,$B37,'Cutters Consumption Updates'!AV:AV)</f>
        <v>2</v>
      </c>
      <c r="K37" s="738">
        <f>SUMIFS('Cutters Consumption Updates'!$F:$F,'Cutters Consumption Updates'!$D:$D,K$1,'Cutters Consumption Updates'!$B:$B,$B37)-SUMIFS('Cutters Consumption Updates'!$E:$E,'Cutters Consumption Updates'!$D:$D,K$1,'Cutters Consumption Updates'!$B:$B,$B37)+ SUMIF('Cutters Consumption Updates'!$AS:$AS,$B37,'Cutters Consumption Updates'!AW:AW)</f>
        <v>3</v>
      </c>
      <c r="L37" s="116">
        <f>SUMIFS('Cutters Consumption Updates'!$F:$F,'Cutters Consumption Updates'!$D:$D,L$1,'Cutters Consumption Updates'!$B:$B,$B37)-SUMIFS('Cutters Consumption Updates'!$E:$E,'Cutters Consumption Updates'!$D:$D,$L$1,'Cutters Consumption Updates'!$B:$B,$B37)+SUMIFS('Cutters Consumption Updates'!$F:$F,'Cutters Consumption Updates'!$D:$D,"Retrofit",'Cutters Consumption Updates'!$B:$B,$B37)-SUMIFS('Cutters Consumption Updates'!$E:$E,'Cutters Consumption Updates'!$D:$D,"Retrofit",'Cutters Consumption Updates'!$B:$B,$B37)+ SUMIF('Cutters Consumption Updates'!$AS:$AS,$B37,'Cutters Consumption Updates'!AX:AX)</f>
        <v>-19</v>
      </c>
      <c r="M37" s="810">
        <f t="shared" si="0"/>
        <v>-19</v>
      </c>
      <c r="N37" s="810">
        <f ca="1">SUMIFS('Cutters Consumption Updates'!E:E,
        'Cutters Consumption Updates'!B:B, B37,
        'Cutters Consumption Updates'!A:A, "&gt;" &amp; TODAY()-182)</f>
        <v>295</v>
      </c>
      <c r="O37" s="810">
        <f ca="1">SUMIFS('Cutters Consumption Updates'!E:E,
        'Cutters Consumption Updates'!B:B, B37,
        'Cutters Consumption Updates'!A:A, "&gt;" &amp; TODAY()-91)</f>
        <v>191</v>
      </c>
      <c r="P37" s="810">
        <f t="shared" ca="1" si="1"/>
        <v>99</v>
      </c>
      <c r="Q37" s="703">
        <f t="shared" ca="1" si="2"/>
        <v>105</v>
      </c>
      <c r="R37" s="703" t="s">
        <v>67</v>
      </c>
      <c r="S37" s="24">
        <f>IFERROR(INDEX(Table5[],MATCH($B37,Table5[Component],0),2),0)</f>
        <v>382</v>
      </c>
      <c r="T37" s="813">
        <f>SUMIFS(Table7[Balance],Table7[Cutter Mat'#],$B37)</f>
        <v>50</v>
      </c>
      <c r="U37" s="24">
        <f t="shared" si="3"/>
        <v>-351</v>
      </c>
      <c r="V37" s="119"/>
      <c r="W37" s="2"/>
      <c r="Y37" s="4">
        <f>IFERROR(INDEX(Table5[],MATCH($B37,Table5[Component],0),2),0)</f>
        <v>382</v>
      </c>
      <c r="Z37" s="4">
        <f>IFERROR(INDEX(Table5[],MATCH($B37,Table5[Component],0),1),0)</f>
        <v>717748</v>
      </c>
      <c r="AA37" s="4">
        <f>IF(Y37&lt;&gt;0,B37,"")</f>
        <v>717748</v>
      </c>
      <c r="AB37" s="4" t="str">
        <f t="shared" si="4"/>
        <v/>
      </c>
      <c r="AD37" s="4">
        <f t="shared" si="5"/>
        <v>-17</v>
      </c>
      <c r="AI37" s="248" t="str">
        <f>IFERROR(INDEX($B$1:$AK$243,MATCH(W37,$B$1:$B$243,0),13),"")</f>
        <v/>
      </c>
      <c r="AJ37" s="248" t="str">
        <f>IFERROR(INDEX($B$1:$AK$243,MATCH(W37,$B$1:$B$243,0),15),"")</f>
        <v/>
      </c>
      <c r="AK37">
        <f>SUMIF($W$2:$W$243,B37,$S$2:$S$243)</f>
        <v>0</v>
      </c>
      <c r="AP37">
        <f t="shared" si="6"/>
        <v>50</v>
      </c>
      <c r="AR37">
        <v>647436</v>
      </c>
      <c r="AS37">
        <f>SUMIF($B:$B,AR37,$AP:$AP)</f>
        <v>0</v>
      </c>
    </row>
    <row r="38" spans="1:45" ht="15.65" customHeight="1" x14ac:dyDescent="0.35">
      <c r="A38" s="2">
        <v>37</v>
      </c>
      <c r="B38" s="2">
        <v>752294</v>
      </c>
      <c r="C38" s="2" t="s">
        <v>4444</v>
      </c>
      <c r="D38" s="2" t="s">
        <v>62</v>
      </c>
      <c r="E38" s="2">
        <v>1010</v>
      </c>
      <c r="F38" s="2" t="s">
        <v>253</v>
      </c>
      <c r="G38" s="2" t="s">
        <v>4275</v>
      </c>
      <c r="H38" s="10">
        <f>SUMIFS('Cutters Consumption Updates'!$F:$F,'Cutters Consumption Updates'!$D:$D,H$1,'Cutters Consumption Updates'!$B:$B,$B38)-SUMIFS('Cutters Consumption Updates'!$E:$E,'Cutters Consumption Updates'!$D:$D,H$1,'Cutters Consumption Updates'!$B:$B,$B38)+ SUMIF('Cutters Consumption Updates'!$AS:$AS,$B38,'Cutters Consumption Updates'!AT:AT)</f>
        <v>0</v>
      </c>
      <c r="I38" s="10">
        <f>SUMIFS('Cutters Consumption Updates'!$F:$F,'Cutters Consumption Updates'!$D:$D,I$1,'Cutters Consumption Updates'!$B:$B,$B38)-SUMIFS('Cutters Consumption Updates'!$E:$E,'Cutters Consumption Updates'!$D:$D,I$1,'Cutters Consumption Updates'!$B:$B,$B38)+ SUMIF('Cutters Consumption Updates'!$AS:$AS,$B38,'Cutters Consumption Updates'!AU:AU)</f>
        <v>0</v>
      </c>
      <c r="J38" s="116">
        <f>SUMIFS('Cutters Consumption Updates'!$F:$F,'Cutters Consumption Updates'!$D:$D,J$1,'Cutters Consumption Updates'!$B:$B,$B38)-SUMIFS('Cutters Consumption Updates'!$E:$E,'Cutters Consumption Updates'!$D:$D,J$1,'Cutters Consumption Updates'!$B:$B,$B38)+ SUMIF('Cutters Consumption Updates'!$AS:$AS,$B38,'Cutters Consumption Updates'!AV:AV)</f>
        <v>0</v>
      </c>
      <c r="K38" s="738">
        <f>SUMIFS('Cutters Consumption Updates'!$F:$F,'Cutters Consumption Updates'!$D:$D,K$1,'Cutters Consumption Updates'!$B:$B,$B38)-SUMIFS('Cutters Consumption Updates'!$E:$E,'Cutters Consumption Updates'!$D:$D,K$1,'Cutters Consumption Updates'!$B:$B,$B38)+ SUMIF('Cutters Consumption Updates'!$AS:$AS,$B38,'Cutters Consumption Updates'!AW:AW)</f>
        <v>0</v>
      </c>
      <c r="L38" s="116">
        <f>SUMIFS('Cutters Consumption Updates'!$F:$F,'Cutters Consumption Updates'!$D:$D,L$1,'Cutters Consumption Updates'!$B:$B,$B38)-SUMIFS('Cutters Consumption Updates'!$E:$E,'Cutters Consumption Updates'!$D:$D,$L$1,'Cutters Consumption Updates'!$B:$B,$B38)+SUMIFS('Cutters Consumption Updates'!$F:$F,'Cutters Consumption Updates'!$D:$D,"Retrofit",'Cutters Consumption Updates'!$B:$B,$B38)-SUMIFS('Cutters Consumption Updates'!$E:$E,'Cutters Consumption Updates'!$D:$D,"Retrofit",'Cutters Consumption Updates'!$B:$B,$B38)+ SUMIF('Cutters Consumption Updates'!$AS:$AS,$B38,'Cutters Consumption Updates'!AX:AX)</f>
        <v>0</v>
      </c>
      <c r="M38" s="810">
        <f t="shared" si="0"/>
        <v>0</v>
      </c>
      <c r="N38" s="810">
        <f ca="1">SUMIFS('Cutters Consumption Updates'!E:E,
        'Cutters Consumption Updates'!B:B, B38,
        'Cutters Consumption Updates'!A:A, "&gt;" &amp; TODAY()-182)</f>
        <v>0</v>
      </c>
      <c r="O38" s="810">
        <f ca="1">SUMIFS('Cutters Consumption Updates'!E:E,
        'Cutters Consumption Updates'!B:B, B38,
        'Cutters Consumption Updates'!A:A, "&gt;" &amp; TODAY()-91)</f>
        <v>0</v>
      </c>
      <c r="P38" s="810">
        <f t="shared" ca="1" si="1"/>
        <v>0</v>
      </c>
      <c r="Q38" s="703">
        <f t="shared" ca="1" si="2"/>
        <v>0</v>
      </c>
      <c r="R38" s="703" t="s">
        <v>29</v>
      </c>
      <c r="S38" s="24">
        <f>IFERROR(INDEX(Table5[],MATCH($B38,Table5[Component],0),2),0)</f>
        <v>0</v>
      </c>
      <c r="T38" s="813">
        <f>SUMIFS(Table7[Balance],Table7[Cutter Mat'#],$B38)</f>
        <v>0</v>
      </c>
      <c r="U38" s="24">
        <f t="shared" si="3"/>
        <v>0</v>
      </c>
      <c r="V38" s="119"/>
      <c r="W38" s="2"/>
      <c r="Y38" s="4">
        <f>IFERROR(INDEX(Table5[],MATCH($B38,Table5[Component],0),2),0)</f>
        <v>0</v>
      </c>
      <c r="Z38" s="4">
        <f>IFERROR(INDEX(Table5[],MATCH($B38,Table5[Component],0),1),0)</f>
        <v>0</v>
      </c>
      <c r="AA38" s="4" t="str">
        <f>IF(Y38&lt;&gt;0,B38,"")</f>
        <v/>
      </c>
      <c r="AB38" s="4" t="str">
        <f t="shared" si="4"/>
        <v/>
      </c>
      <c r="AD38" s="4">
        <f t="shared" si="5"/>
        <v>0</v>
      </c>
      <c r="AI38" s="248" t="str">
        <f>IFERROR(INDEX($B$1:$AK$243,MATCH(W38,$B$1:$B$243,0),13),"")</f>
        <v/>
      </c>
      <c r="AJ38" s="248" t="str">
        <f>IFERROR(INDEX($B$1:$AK$243,MATCH(W38,$B$1:$B$243,0),15),"")</f>
        <v/>
      </c>
      <c r="AK38">
        <f>SUMIF($W$2:$W$243,B38,$S$2:$S$243)</f>
        <v>0</v>
      </c>
      <c r="AP38">
        <f t="shared" si="6"/>
        <v>0</v>
      </c>
      <c r="AR38">
        <v>647464</v>
      </c>
      <c r="AS38">
        <f>SUMIF($B:$B,AR38,$AP:$AP)</f>
        <v>0</v>
      </c>
    </row>
    <row r="39" spans="1:45" ht="15.65" customHeight="1" x14ac:dyDescent="0.35">
      <c r="A39" s="2">
        <v>38</v>
      </c>
      <c r="B39" s="2">
        <v>761304</v>
      </c>
      <c r="C39" s="2" t="s">
        <v>4286</v>
      </c>
      <c r="D39" s="2" t="s">
        <v>53</v>
      </c>
      <c r="E39" s="2" t="s">
        <v>911</v>
      </c>
      <c r="F39" s="2" t="s">
        <v>248</v>
      </c>
      <c r="G39" s="2" t="s">
        <v>47</v>
      </c>
      <c r="H39" s="10">
        <f>SUMIFS('Cutters Consumption Updates'!$F:$F,'Cutters Consumption Updates'!$D:$D,H$1,'Cutters Consumption Updates'!$B:$B,$B39)-SUMIFS('Cutters Consumption Updates'!$E:$E,'Cutters Consumption Updates'!$D:$D,H$1,'Cutters Consumption Updates'!$B:$B,$B39)+ SUMIF('Cutters Consumption Updates'!$AS:$AS,$B39,'Cutters Consumption Updates'!AT:AT)</f>
        <v>0</v>
      </c>
      <c r="I39" s="10">
        <f>SUMIFS('Cutters Consumption Updates'!$F:$F,'Cutters Consumption Updates'!$D:$D,I$1,'Cutters Consumption Updates'!$B:$B,$B39)-SUMIFS('Cutters Consumption Updates'!$E:$E,'Cutters Consumption Updates'!$D:$D,I$1,'Cutters Consumption Updates'!$B:$B,$B39)+ SUMIF('Cutters Consumption Updates'!$AS:$AS,$B39,'Cutters Consumption Updates'!AU:AU)</f>
        <v>0</v>
      </c>
      <c r="J39" s="116">
        <f>SUMIFS('Cutters Consumption Updates'!$F:$F,'Cutters Consumption Updates'!$D:$D,J$1,'Cutters Consumption Updates'!$B:$B,$B39)-SUMIFS('Cutters Consumption Updates'!$E:$E,'Cutters Consumption Updates'!$D:$D,J$1,'Cutters Consumption Updates'!$B:$B,$B39)+ SUMIF('Cutters Consumption Updates'!$AS:$AS,$B39,'Cutters Consumption Updates'!AV:AV)</f>
        <v>0</v>
      </c>
      <c r="K39" s="738">
        <f>SUMIFS('Cutters Consumption Updates'!$F:$F,'Cutters Consumption Updates'!$D:$D,K$1,'Cutters Consumption Updates'!$B:$B,$B39)-SUMIFS('Cutters Consumption Updates'!$E:$E,'Cutters Consumption Updates'!$D:$D,K$1,'Cutters Consumption Updates'!$B:$B,$B39)+ SUMIF('Cutters Consumption Updates'!$AS:$AS,$B39,'Cutters Consumption Updates'!AW:AW)</f>
        <v>0</v>
      </c>
      <c r="L39" s="116">
        <f>SUMIFS('Cutters Consumption Updates'!$F:$F,'Cutters Consumption Updates'!$D:$D,L$1,'Cutters Consumption Updates'!$B:$B,$B39)-SUMIFS('Cutters Consumption Updates'!$E:$E,'Cutters Consumption Updates'!$D:$D,$L$1,'Cutters Consumption Updates'!$B:$B,$B39)+SUMIFS('Cutters Consumption Updates'!$F:$F,'Cutters Consumption Updates'!$D:$D,"Retrofit",'Cutters Consumption Updates'!$B:$B,$B39)-SUMIFS('Cutters Consumption Updates'!$E:$E,'Cutters Consumption Updates'!$D:$D,"Retrofit",'Cutters Consumption Updates'!$B:$B,$B39)+ SUMIF('Cutters Consumption Updates'!$AS:$AS,$B39,'Cutters Consumption Updates'!AX:AX)</f>
        <v>21</v>
      </c>
      <c r="M39" s="810">
        <f t="shared" si="0"/>
        <v>21</v>
      </c>
      <c r="N39" s="810">
        <f ca="1">SUMIFS('Cutters Consumption Updates'!E:E,
        'Cutters Consumption Updates'!B:B, B39,
        'Cutters Consumption Updates'!A:A, "&gt;" &amp; TODAY()-182)</f>
        <v>0</v>
      </c>
      <c r="O39" s="810">
        <f ca="1">SUMIFS('Cutters Consumption Updates'!E:E,
        'Cutters Consumption Updates'!B:B, B39,
        'Cutters Consumption Updates'!A:A, "&gt;" &amp; TODAY()-91)</f>
        <v>0</v>
      </c>
      <c r="P39" s="810">
        <f t="shared" ca="1" si="1"/>
        <v>0</v>
      </c>
      <c r="Q39" s="703">
        <f t="shared" ca="1" si="2"/>
        <v>0</v>
      </c>
      <c r="R39" s="703" t="s">
        <v>29</v>
      </c>
      <c r="S39" s="24">
        <f>IFERROR(INDEX(Table5[],MATCH($B39,Table5[Component],0),2),0)</f>
        <v>0</v>
      </c>
      <c r="T39" s="813">
        <f>SUMIFS(Table7[Balance],Table7[Cutter Mat'#],$B39)</f>
        <v>0</v>
      </c>
      <c r="U39" s="24">
        <f t="shared" si="3"/>
        <v>21</v>
      </c>
      <c r="V39" s="119"/>
      <c r="W39" s="2"/>
      <c r="Y39" s="4">
        <f>IFERROR(INDEX(Table5[],MATCH($B39,Table5[Component],0),2),0)</f>
        <v>0</v>
      </c>
      <c r="Z39" s="4">
        <f>IFERROR(INDEX(Table5[],MATCH($B39,Table5[Component],0),1),0)</f>
        <v>0</v>
      </c>
      <c r="AA39" s="4" t="str">
        <f>IF(Y39&lt;&gt;0,B39,"")</f>
        <v/>
      </c>
      <c r="AB39" s="4" t="str">
        <f t="shared" si="4"/>
        <v/>
      </c>
      <c r="AD39" s="4">
        <f t="shared" si="5"/>
        <v>21</v>
      </c>
      <c r="AI39" s="248" t="str">
        <f>IFERROR(INDEX($B$1:$AK$243,MATCH(W39,$B$1:$B$243,0),13),"")</f>
        <v/>
      </c>
      <c r="AJ39" s="248" t="str">
        <f>IFERROR(INDEX($B$1:$AK$243,MATCH(W39,$B$1:$B$243,0),15),"")</f>
        <v/>
      </c>
      <c r="AK39">
        <f>SUMIF($W$2:$W$243,B39,$S$2:$S$243)</f>
        <v>0</v>
      </c>
      <c r="AP39">
        <f t="shared" si="6"/>
        <v>0</v>
      </c>
      <c r="AR39">
        <v>647467</v>
      </c>
      <c r="AS39">
        <f>SUMIF($B:$B,AR39,$AP:$AP)</f>
        <v>0</v>
      </c>
    </row>
    <row r="40" spans="1:45" ht="15.65" customHeight="1" x14ac:dyDescent="0.35">
      <c r="A40" s="2">
        <v>39</v>
      </c>
      <c r="B40" s="2">
        <v>770450</v>
      </c>
      <c r="C40" s="2" t="s">
        <v>4287</v>
      </c>
      <c r="D40" s="2" t="s">
        <v>53</v>
      </c>
      <c r="E40" s="2" t="s">
        <v>4248</v>
      </c>
      <c r="F40" s="2" t="s">
        <v>253</v>
      </c>
      <c r="G40" s="2" t="s">
        <v>47</v>
      </c>
      <c r="H40" s="10">
        <f>SUMIFS('Cutters Consumption Updates'!$F:$F,'Cutters Consumption Updates'!$D:$D,H$1,'Cutters Consumption Updates'!$B:$B,$B40)-SUMIFS('Cutters Consumption Updates'!$E:$E,'Cutters Consumption Updates'!$D:$D,H$1,'Cutters Consumption Updates'!$B:$B,$B40)+ SUMIF('Cutters Consumption Updates'!$AS:$AS,$B40,'Cutters Consumption Updates'!AT:AT)</f>
        <v>0</v>
      </c>
      <c r="I40" s="10">
        <f>SUMIFS('Cutters Consumption Updates'!$F:$F,'Cutters Consumption Updates'!$D:$D,I$1,'Cutters Consumption Updates'!$B:$B,$B40)-SUMIFS('Cutters Consumption Updates'!$E:$E,'Cutters Consumption Updates'!$D:$D,I$1,'Cutters Consumption Updates'!$B:$B,$B40)+ SUMIF('Cutters Consumption Updates'!$AS:$AS,$B40,'Cutters Consumption Updates'!AU:AU)</f>
        <v>0</v>
      </c>
      <c r="J40" s="116">
        <f>SUMIFS('Cutters Consumption Updates'!$F:$F,'Cutters Consumption Updates'!$D:$D,J$1,'Cutters Consumption Updates'!$B:$B,$B40)-SUMIFS('Cutters Consumption Updates'!$E:$E,'Cutters Consumption Updates'!$D:$D,J$1,'Cutters Consumption Updates'!$B:$B,$B40)+ SUMIF('Cutters Consumption Updates'!$AS:$AS,$B40,'Cutters Consumption Updates'!AV:AV)</f>
        <v>0</v>
      </c>
      <c r="K40" s="738">
        <f>SUMIFS('Cutters Consumption Updates'!$F:$F,'Cutters Consumption Updates'!$D:$D,K$1,'Cutters Consumption Updates'!$B:$B,$B40)-SUMIFS('Cutters Consumption Updates'!$E:$E,'Cutters Consumption Updates'!$D:$D,K$1,'Cutters Consumption Updates'!$B:$B,$B40)+ SUMIF('Cutters Consumption Updates'!$AS:$AS,$B40,'Cutters Consumption Updates'!AW:AW)</f>
        <v>13</v>
      </c>
      <c r="L40" s="116">
        <f>SUMIFS('Cutters Consumption Updates'!$F:$F,'Cutters Consumption Updates'!$D:$D,L$1,'Cutters Consumption Updates'!$B:$B,$B40)-SUMIFS('Cutters Consumption Updates'!$E:$E,'Cutters Consumption Updates'!$D:$D,$L$1,'Cutters Consumption Updates'!$B:$B,$B40)+SUMIFS('Cutters Consumption Updates'!$F:$F,'Cutters Consumption Updates'!$D:$D,"Retrofit",'Cutters Consumption Updates'!$B:$B,$B40)-SUMIFS('Cutters Consumption Updates'!$E:$E,'Cutters Consumption Updates'!$D:$D,"Retrofit",'Cutters Consumption Updates'!$B:$B,$B40)+ SUMIF('Cutters Consumption Updates'!$AS:$AS,$B40,'Cutters Consumption Updates'!AX:AX)</f>
        <v>1</v>
      </c>
      <c r="M40" s="810">
        <f t="shared" si="0"/>
        <v>1</v>
      </c>
      <c r="N40" s="810">
        <f ca="1">SUMIFS('Cutters Consumption Updates'!E:E,
        'Cutters Consumption Updates'!B:B, B40,
        'Cutters Consumption Updates'!A:A, "&gt;" &amp; TODAY()-182)</f>
        <v>0</v>
      </c>
      <c r="O40" s="810">
        <f ca="1">SUMIFS('Cutters Consumption Updates'!E:E,
        'Cutters Consumption Updates'!B:B, B40,
        'Cutters Consumption Updates'!A:A, "&gt;" &amp; TODAY()-91)</f>
        <v>0</v>
      </c>
      <c r="P40" s="810">
        <f t="shared" ca="1" si="1"/>
        <v>0</v>
      </c>
      <c r="Q40" s="703">
        <f t="shared" ca="1" si="2"/>
        <v>0</v>
      </c>
      <c r="R40" s="703" t="s">
        <v>29</v>
      </c>
      <c r="S40" s="24">
        <f>IFERROR(INDEX(Table5[],MATCH($B40,Table5[Component],0),2),0)</f>
        <v>0</v>
      </c>
      <c r="T40" s="813">
        <f>SUMIFS(Table7[Balance],Table7[Cutter Mat'#],$B40)</f>
        <v>0</v>
      </c>
      <c r="U40" s="24">
        <f t="shared" si="3"/>
        <v>1</v>
      </c>
      <c r="V40" s="119"/>
      <c r="W40" s="2"/>
      <c r="Y40" s="4">
        <f>IFERROR(INDEX(Table5[],MATCH($B40,Table5[Component],0),2),0)</f>
        <v>0</v>
      </c>
      <c r="Z40" s="4">
        <f>IFERROR(INDEX(Table5[],MATCH($B40,Table5[Component],0),1),0)</f>
        <v>0</v>
      </c>
      <c r="AA40" s="4" t="str">
        <f>IF(Y40&lt;&gt;0,B40,"")</f>
        <v/>
      </c>
      <c r="AB40" s="4" t="str">
        <f t="shared" si="4"/>
        <v/>
      </c>
      <c r="AD40" s="4">
        <f t="shared" si="5"/>
        <v>1</v>
      </c>
      <c r="AI40" s="248" t="str">
        <f>IFERROR(INDEX($B$1:$AK$243,MATCH(W40,$B$1:$B$243,0),13),"")</f>
        <v/>
      </c>
      <c r="AJ40" s="248" t="str">
        <f>IFERROR(INDEX($B$1:$AK$243,MATCH(W40,$B$1:$B$243,0),15),"")</f>
        <v/>
      </c>
      <c r="AK40">
        <f>SUMIF($W$2:$W$243,B40,$S$2:$S$243)</f>
        <v>0</v>
      </c>
      <c r="AP40">
        <f t="shared" si="6"/>
        <v>0</v>
      </c>
      <c r="AR40">
        <v>649901</v>
      </c>
      <c r="AS40">
        <f>SUMIF($B:$B,AR40,$AP:$AP)</f>
        <v>0</v>
      </c>
    </row>
    <row r="41" spans="1:45" ht="15.65" customHeight="1" x14ac:dyDescent="0.35">
      <c r="A41" s="2">
        <v>40</v>
      </c>
      <c r="B41" s="2">
        <v>761246</v>
      </c>
      <c r="C41" s="2" t="s">
        <v>4288</v>
      </c>
      <c r="D41" s="2" t="s">
        <v>53</v>
      </c>
      <c r="E41" s="2" t="s">
        <v>4249</v>
      </c>
      <c r="F41" s="2" t="s">
        <v>253</v>
      </c>
      <c r="G41" s="2" t="s">
        <v>47</v>
      </c>
      <c r="H41" s="10">
        <f>SUMIFS('Cutters Consumption Updates'!$F:$F,'Cutters Consumption Updates'!$D:$D,H$1,'Cutters Consumption Updates'!$B:$B,$B41)-SUMIFS('Cutters Consumption Updates'!$E:$E,'Cutters Consumption Updates'!$D:$D,H$1,'Cutters Consumption Updates'!$B:$B,$B41)+ SUMIF('Cutters Consumption Updates'!$AS:$AS,$B41,'Cutters Consumption Updates'!AT:AT)</f>
        <v>0</v>
      </c>
      <c r="I41" s="10">
        <f>SUMIFS('Cutters Consumption Updates'!$F:$F,'Cutters Consumption Updates'!$D:$D,I$1,'Cutters Consumption Updates'!$B:$B,$B41)-SUMIFS('Cutters Consumption Updates'!$E:$E,'Cutters Consumption Updates'!$D:$D,I$1,'Cutters Consumption Updates'!$B:$B,$B41)+ SUMIF('Cutters Consumption Updates'!$AS:$AS,$B41,'Cutters Consumption Updates'!AU:AU)</f>
        <v>0</v>
      </c>
      <c r="J41" s="116">
        <f>SUMIFS('Cutters Consumption Updates'!$F:$F,'Cutters Consumption Updates'!$D:$D,J$1,'Cutters Consumption Updates'!$B:$B,$B41)-SUMIFS('Cutters Consumption Updates'!$E:$E,'Cutters Consumption Updates'!$D:$D,J$1,'Cutters Consumption Updates'!$B:$B,$B41)+ SUMIF('Cutters Consumption Updates'!$AS:$AS,$B41,'Cutters Consumption Updates'!AV:AV)</f>
        <v>0</v>
      </c>
      <c r="K41" s="738">
        <f>SUMIFS('Cutters Consumption Updates'!$F:$F,'Cutters Consumption Updates'!$D:$D,K$1,'Cutters Consumption Updates'!$B:$B,$B41)-SUMIFS('Cutters Consumption Updates'!$E:$E,'Cutters Consumption Updates'!$D:$D,K$1,'Cutters Consumption Updates'!$B:$B,$B41)+ SUMIF('Cutters Consumption Updates'!$AS:$AS,$B41,'Cutters Consumption Updates'!AW:AW)</f>
        <v>0</v>
      </c>
      <c r="L41" s="116">
        <f>SUMIFS('Cutters Consumption Updates'!$F:$F,'Cutters Consumption Updates'!$D:$D,L$1,'Cutters Consumption Updates'!$B:$B,$B41)-SUMIFS('Cutters Consumption Updates'!$E:$E,'Cutters Consumption Updates'!$D:$D,$L$1,'Cutters Consumption Updates'!$B:$B,$B41)+SUMIFS('Cutters Consumption Updates'!$F:$F,'Cutters Consumption Updates'!$D:$D,"Retrofit",'Cutters Consumption Updates'!$B:$B,$B41)-SUMIFS('Cutters Consumption Updates'!$E:$E,'Cutters Consumption Updates'!$D:$D,"Retrofit",'Cutters Consumption Updates'!$B:$B,$B41)+ SUMIF('Cutters Consumption Updates'!$AS:$AS,$B41,'Cutters Consumption Updates'!AX:AX)</f>
        <v>91</v>
      </c>
      <c r="M41" s="810">
        <f t="shared" si="0"/>
        <v>91</v>
      </c>
      <c r="N41" s="810">
        <f ca="1">SUMIFS('Cutters Consumption Updates'!E:E,
        'Cutters Consumption Updates'!B:B, B41,
        'Cutters Consumption Updates'!A:A, "&gt;" &amp; TODAY()-182)</f>
        <v>1</v>
      </c>
      <c r="O41" s="810">
        <f ca="1">SUMIFS('Cutters Consumption Updates'!E:E,
        'Cutters Consumption Updates'!B:B, B41,
        'Cutters Consumption Updates'!A:A, "&gt;" &amp; TODAY()-91)</f>
        <v>0</v>
      </c>
      <c r="P41" s="810">
        <f t="shared" ca="1" si="1"/>
        <v>1</v>
      </c>
      <c r="Q41" s="703">
        <f t="shared" ca="1" si="2"/>
        <v>0</v>
      </c>
      <c r="R41" s="703" t="s">
        <v>29</v>
      </c>
      <c r="S41" s="24">
        <f>IFERROR(INDEX(Table5[],MATCH($B41,Table5[Component],0),2),0)</f>
        <v>0</v>
      </c>
      <c r="T41" s="813">
        <f>SUMIFS(Table7[Balance],Table7[Cutter Mat'#],$B41)</f>
        <v>0</v>
      </c>
      <c r="U41" s="24">
        <f t="shared" si="3"/>
        <v>91</v>
      </c>
      <c r="V41" s="119"/>
      <c r="W41" s="2"/>
      <c r="Y41" s="4">
        <f>IFERROR(INDEX(Table5[],MATCH($B41,Table5[Component],0),2),0)</f>
        <v>0</v>
      </c>
      <c r="Z41" s="4">
        <f>IFERROR(INDEX(Table5[],MATCH($B41,Table5[Component],0),1),0)</f>
        <v>0</v>
      </c>
      <c r="AA41" s="4" t="str">
        <f>IF(Y41&lt;&gt;0,B41,"")</f>
        <v/>
      </c>
      <c r="AB41" s="4" t="str">
        <f t="shared" si="4"/>
        <v/>
      </c>
      <c r="AD41" s="4">
        <f t="shared" si="5"/>
        <v>91</v>
      </c>
      <c r="AE41" s="9"/>
      <c r="AI41" s="248" t="str">
        <f>IFERROR(INDEX($B$1:$AK$243,MATCH(W41,$B$1:$B$243,0),13),"")</f>
        <v/>
      </c>
      <c r="AJ41" s="248" t="str">
        <f>IFERROR(INDEX($B$1:$AK$243,MATCH(W41,$B$1:$B$243,0),15),"")</f>
        <v/>
      </c>
      <c r="AK41">
        <f>SUMIF($W$2:$W$243,B41,$S$2:$S$243)</f>
        <v>0</v>
      </c>
      <c r="AP41">
        <f t="shared" si="6"/>
        <v>0</v>
      </c>
      <c r="AR41">
        <v>653400</v>
      </c>
      <c r="AS41">
        <f>SUMIF($B:$B,AR41,$AP:$AP)</f>
        <v>25</v>
      </c>
    </row>
    <row r="42" spans="1:45" ht="15.65" customHeight="1" x14ac:dyDescent="0.35">
      <c r="A42" s="2">
        <v>41</v>
      </c>
      <c r="B42" s="2">
        <v>745573</v>
      </c>
      <c r="C42" s="2" t="s">
        <v>4289</v>
      </c>
      <c r="D42" s="2" t="s">
        <v>62</v>
      </c>
      <c r="E42" s="2">
        <v>1913</v>
      </c>
      <c r="F42" s="2" t="s">
        <v>248</v>
      </c>
      <c r="G42" s="2" t="s">
        <v>4275</v>
      </c>
      <c r="H42" s="10">
        <f>SUMIFS('Cutters Consumption Updates'!$F:$F,'Cutters Consumption Updates'!$D:$D,H$1,'Cutters Consumption Updates'!$B:$B,$B42)-SUMIFS('Cutters Consumption Updates'!$E:$E,'Cutters Consumption Updates'!$D:$D,H$1,'Cutters Consumption Updates'!$B:$B,$B42)+ SUMIF('Cutters Consumption Updates'!$AS:$AS,$B42,'Cutters Consumption Updates'!AT:AT)</f>
        <v>0</v>
      </c>
      <c r="I42" s="10">
        <f>SUMIFS('Cutters Consumption Updates'!$F:$F,'Cutters Consumption Updates'!$D:$D,I$1,'Cutters Consumption Updates'!$B:$B,$B42)-SUMIFS('Cutters Consumption Updates'!$E:$E,'Cutters Consumption Updates'!$D:$D,I$1,'Cutters Consumption Updates'!$B:$B,$B42)+ SUMIF('Cutters Consumption Updates'!$AS:$AS,$B42,'Cutters Consumption Updates'!AU:AU)</f>
        <v>0</v>
      </c>
      <c r="J42" s="116">
        <f>SUMIFS('Cutters Consumption Updates'!$F:$F,'Cutters Consumption Updates'!$D:$D,J$1,'Cutters Consumption Updates'!$B:$B,$B42)-SUMIFS('Cutters Consumption Updates'!$E:$E,'Cutters Consumption Updates'!$D:$D,J$1,'Cutters Consumption Updates'!$B:$B,$B42)+ SUMIF('Cutters Consumption Updates'!$AS:$AS,$B42,'Cutters Consumption Updates'!AV:AV)</f>
        <v>10</v>
      </c>
      <c r="K42" s="738">
        <f>SUMIFS('Cutters Consumption Updates'!$F:$F,'Cutters Consumption Updates'!$D:$D,K$1,'Cutters Consumption Updates'!$B:$B,$B42)-SUMIFS('Cutters Consumption Updates'!$E:$E,'Cutters Consumption Updates'!$D:$D,K$1,'Cutters Consumption Updates'!$B:$B,$B42)+ SUMIF('Cutters Consumption Updates'!$AS:$AS,$B42,'Cutters Consumption Updates'!AW:AW)</f>
        <v>0</v>
      </c>
      <c r="L42" s="116">
        <f>SUMIFS('Cutters Consumption Updates'!$F:$F,'Cutters Consumption Updates'!$D:$D,L$1,'Cutters Consumption Updates'!$B:$B,$B42)-SUMIFS('Cutters Consumption Updates'!$E:$E,'Cutters Consumption Updates'!$D:$D,$L$1,'Cutters Consumption Updates'!$B:$B,$B42)+SUMIFS('Cutters Consumption Updates'!$F:$F,'Cutters Consumption Updates'!$D:$D,"Retrofit",'Cutters Consumption Updates'!$B:$B,$B42)-SUMIFS('Cutters Consumption Updates'!$E:$E,'Cutters Consumption Updates'!$D:$D,"Retrofit",'Cutters Consumption Updates'!$B:$B,$B42)+ SUMIF('Cutters Consumption Updates'!$AS:$AS,$B42,'Cutters Consumption Updates'!AX:AX)</f>
        <v>27</v>
      </c>
      <c r="M42" s="810">
        <f t="shared" si="0"/>
        <v>27</v>
      </c>
      <c r="N42" s="810">
        <f ca="1">SUMIFS('Cutters Consumption Updates'!E:E,
        'Cutters Consumption Updates'!B:B, B42,
        'Cutters Consumption Updates'!A:A, "&gt;" &amp; TODAY()-182)</f>
        <v>0</v>
      </c>
      <c r="O42" s="810">
        <f ca="1">SUMIFS('Cutters Consumption Updates'!E:E,
        'Cutters Consumption Updates'!B:B, B42,
        'Cutters Consumption Updates'!A:A, "&gt;" &amp; TODAY()-91)</f>
        <v>0</v>
      </c>
      <c r="P42" s="810">
        <f t="shared" ca="1" si="1"/>
        <v>0</v>
      </c>
      <c r="Q42" s="703">
        <f t="shared" ca="1" si="2"/>
        <v>0</v>
      </c>
      <c r="R42" s="703" t="s">
        <v>29</v>
      </c>
      <c r="S42" s="24">
        <f>IFERROR(INDEX(Table5[],MATCH($B42,Table5[Component],0),2),0)</f>
        <v>0</v>
      </c>
      <c r="T42" s="813">
        <f>SUMIFS(Table7[Balance],Table7[Cutter Mat'#],$B42)</f>
        <v>0</v>
      </c>
      <c r="U42" s="24">
        <f t="shared" si="3"/>
        <v>27</v>
      </c>
      <c r="V42" s="119"/>
      <c r="W42" s="2"/>
      <c r="Y42" s="4">
        <f>IFERROR(INDEX(Table5[],MATCH($B42,Table5[Component],0),2),0)</f>
        <v>0</v>
      </c>
      <c r="Z42" s="4">
        <f>IFERROR(INDEX(Table5[],MATCH($B42,Table5[Component],0),1),0)</f>
        <v>0</v>
      </c>
      <c r="AA42" s="4" t="str">
        <f>IF(Y42&lt;&gt;0,B42,"")</f>
        <v/>
      </c>
      <c r="AB42" s="4" t="str">
        <f t="shared" si="4"/>
        <v/>
      </c>
      <c r="AD42" s="4">
        <f t="shared" si="5"/>
        <v>37</v>
      </c>
      <c r="AE42" s="9"/>
      <c r="AI42" s="248" t="str">
        <f>IFERROR(INDEX($B$1:$AK$243,MATCH(W42,$B$1:$B$243,0),13),"")</f>
        <v/>
      </c>
      <c r="AJ42" s="248" t="str">
        <f>IFERROR(INDEX($B$1:$AK$243,MATCH(W42,$B$1:$B$243,0),15),"")</f>
        <v/>
      </c>
      <c r="AK42">
        <f>SUMIF($W$2:$W$243,B42,$S$2:$S$243)</f>
        <v>0</v>
      </c>
      <c r="AP42">
        <f t="shared" si="6"/>
        <v>0</v>
      </c>
      <c r="AR42">
        <v>661065</v>
      </c>
      <c r="AS42">
        <f>SUMIF($B:$B,AR42,$AP:$AP)</f>
        <v>0</v>
      </c>
    </row>
    <row r="43" spans="1:45" ht="15.65" customHeight="1" x14ac:dyDescent="0.35">
      <c r="A43" s="2">
        <v>42</v>
      </c>
      <c r="B43" s="2">
        <v>418525</v>
      </c>
      <c r="C43" s="2" t="s">
        <v>4290</v>
      </c>
      <c r="D43" s="2" t="s">
        <v>71</v>
      </c>
      <c r="E43" s="2">
        <v>1308</v>
      </c>
      <c r="F43" s="2" t="s">
        <v>103</v>
      </c>
      <c r="G43" s="2" t="s">
        <v>47</v>
      </c>
      <c r="H43" s="10">
        <f>SUMIFS('Cutters Consumption Updates'!$F:$F,'Cutters Consumption Updates'!$D:$D,H$1,'Cutters Consumption Updates'!$B:$B,$B43)-SUMIFS('Cutters Consumption Updates'!$E:$E,'Cutters Consumption Updates'!$D:$D,H$1,'Cutters Consumption Updates'!$B:$B,$B43)+ SUMIF('Cutters Consumption Updates'!$AS:$AS,$B43,'Cutters Consumption Updates'!AT:AT)</f>
        <v>0</v>
      </c>
      <c r="I43" s="10">
        <f>SUMIFS('Cutters Consumption Updates'!$F:$F,'Cutters Consumption Updates'!$D:$D,I$1,'Cutters Consumption Updates'!$B:$B,$B43)-SUMIFS('Cutters Consumption Updates'!$E:$E,'Cutters Consumption Updates'!$D:$D,I$1,'Cutters Consumption Updates'!$B:$B,$B43)+ SUMIF('Cutters Consumption Updates'!$AS:$AS,$B43,'Cutters Consumption Updates'!AU:AU)</f>
        <v>0</v>
      </c>
      <c r="J43" s="116">
        <f>SUMIFS('Cutters Consumption Updates'!$F:$F,'Cutters Consumption Updates'!$D:$D,J$1,'Cutters Consumption Updates'!$B:$B,$B43)-SUMIFS('Cutters Consumption Updates'!$E:$E,'Cutters Consumption Updates'!$D:$D,J$1,'Cutters Consumption Updates'!$B:$B,$B43)+ SUMIF('Cutters Consumption Updates'!$AS:$AS,$B43,'Cutters Consumption Updates'!AV:AV)</f>
        <v>0</v>
      </c>
      <c r="K43" s="738">
        <f>SUMIFS('Cutters Consumption Updates'!$F:$F,'Cutters Consumption Updates'!$D:$D,K$1,'Cutters Consumption Updates'!$B:$B,$B43)-SUMIFS('Cutters Consumption Updates'!$E:$E,'Cutters Consumption Updates'!$D:$D,K$1,'Cutters Consumption Updates'!$B:$B,$B43)+ SUMIF('Cutters Consumption Updates'!$AS:$AS,$B43,'Cutters Consumption Updates'!AW:AW)</f>
        <v>0</v>
      </c>
      <c r="L43" s="116">
        <f>SUMIFS('Cutters Consumption Updates'!$F:$F,'Cutters Consumption Updates'!$D:$D,L$1,'Cutters Consumption Updates'!$B:$B,$B43)-SUMIFS('Cutters Consumption Updates'!$E:$E,'Cutters Consumption Updates'!$D:$D,$L$1,'Cutters Consumption Updates'!$B:$B,$B43)+SUMIFS('Cutters Consumption Updates'!$F:$F,'Cutters Consumption Updates'!$D:$D,"Retrofit",'Cutters Consumption Updates'!$B:$B,$B43)-SUMIFS('Cutters Consumption Updates'!$E:$E,'Cutters Consumption Updates'!$D:$D,"Retrofit",'Cutters Consumption Updates'!$B:$B,$B43)+ SUMIF('Cutters Consumption Updates'!$AS:$AS,$B43,'Cutters Consumption Updates'!AX:AX)</f>
        <v>163</v>
      </c>
      <c r="M43" s="810">
        <f t="shared" si="0"/>
        <v>163</v>
      </c>
      <c r="N43" s="810">
        <f ca="1">SUMIFS('Cutters Consumption Updates'!E:E,
        'Cutters Consumption Updates'!B:B, B43,
        'Cutters Consumption Updates'!A:A, "&gt;" &amp; TODAY()-182)</f>
        <v>933</v>
      </c>
      <c r="O43" s="810">
        <f ca="1">SUMIFS('Cutters Consumption Updates'!E:E,
        'Cutters Consumption Updates'!B:B, B43,
        'Cutters Consumption Updates'!A:A, "&gt;" &amp; TODAY()-91)</f>
        <v>477</v>
      </c>
      <c r="P43" s="810">
        <f t="shared" ca="1" si="1"/>
        <v>311</v>
      </c>
      <c r="Q43" s="703">
        <f t="shared" ca="1" si="2"/>
        <v>325</v>
      </c>
      <c r="R43" s="703" t="s">
        <v>29</v>
      </c>
      <c r="S43" s="24">
        <f>IFERROR(INDEX(Table5[],MATCH($B43,Table5[Component],0),2),0)</f>
        <v>715</v>
      </c>
      <c r="T43" s="813">
        <f>SUMIFS(Table7[Balance],Table7[Cutter Mat'#],$B43)</f>
        <v>150</v>
      </c>
      <c r="U43" s="24">
        <f t="shared" si="3"/>
        <v>-402</v>
      </c>
      <c r="V43" s="119"/>
      <c r="W43" s="2"/>
      <c r="Y43" s="4">
        <f>IFERROR(INDEX(Table5[],MATCH($B43,Table5[Component],0),2),0)</f>
        <v>715</v>
      </c>
      <c r="Z43" s="4">
        <f>IFERROR(INDEX(Table5[],MATCH($B43,Table5[Component],0),1),0)</f>
        <v>418525</v>
      </c>
      <c r="AA43" s="4">
        <f>IF(Y43&lt;&gt;0,B43,"")</f>
        <v>418525</v>
      </c>
      <c r="AB43" s="4" t="str">
        <f t="shared" si="4"/>
        <v/>
      </c>
      <c r="AD43" s="4">
        <f t="shared" si="5"/>
        <v>163</v>
      </c>
      <c r="AE43" s="9"/>
      <c r="AI43" s="248" t="str">
        <f>IFERROR(INDEX($B$1:$AK$243,MATCH(W43,$B$1:$B$243,0),13),"")</f>
        <v/>
      </c>
      <c r="AJ43" s="248" t="str">
        <f>IFERROR(INDEX($B$1:$AK$243,MATCH(W43,$B$1:$B$243,0),15),"")</f>
        <v/>
      </c>
      <c r="AK43">
        <f>SUMIF($W$2:$W$243,B43,$S$2:$S$243)</f>
        <v>0</v>
      </c>
      <c r="AP43">
        <f t="shared" si="6"/>
        <v>150</v>
      </c>
      <c r="AR43">
        <v>661066</v>
      </c>
      <c r="AS43">
        <f>SUMIF($B:$B,AR43,$AP:$AP)</f>
        <v>0</v>
      </c>
    </row>
    <row r="44" spans="1:45" ht="15.65" customHeight="1" x14ac:dyDescent="0.35">
      <c r="A44" s="2">
        <v>43</v>
      </c>
      <c r="B44" s="2">
        <v>717751</v>
      </c>
      <c r="C44" s="2" t="s">
        <v>4291</v>
      </c>
      <c r="D44" s="2" t="s">
        <v>51</v>
      </c>
      <c r="E44" s="2">
        <v>1308</v>
      </c>
      <c r="F44" s="2" t="s">
        <v>253</v>
      </c>
      <c r="G44" s="2" t="s">
        <v>47</v>
      </c>
      <c r="H44" s="10">
        <f>SUMIFS('Cutters Consumption Updates'!$F:$F,'Cutters Consumption Updates'!$D:$D,H$1,'Cutters Consumption Updates'!$B:$B,$B44)-SUMIFS('Cutters Consumption Updates'!$E:$E,'Cutters Consumption Updates'!$D:$D,H$1,'Cutters Consumption Updates'!$B:$B,$B44)+ SUMIF('Cutters Consumption Updates'!$AS:$AS,$B44,'Cutters Consumption Updates'!AT:AT)</f>
        <v>0</v>
      </c>
      <c r="I44" s="10">
        <f>SUMIFS('Cutters Consumption Updates'!$F:$F,'Cutters Consumption Updates'!$D:$D,I$1,'Cutters Consumption Updates'!$B:$B,$B44)-SUMIFS('Cutters Consumption Updates'!$E:$E,'Cutters Consumption Updates'!$D:$D,I$1,'Cutters Consumption Updates'!$B:$B,$B44)+ SUMIF('Cutters Consumption Updates'!$AS:$AS,$B44,'Cutters Consumption Updates'!AU:AU)</f>
        <v>0</v>
      </c>
      <c r="J44" s="116">
        <f>SUMIFS('Cutters Consumption Updates'!$F:$F,'Cutters Consumption Updates'!$D:$D,J$1,'Cutters Consumption Updates'!$B:$B,$B44)-SUMIFS('Cutters Consumption Updates'!$E:$E,'Cutters Consumption Updates'!$D:$D,J$1,'Cutters Consumption Updates'!$B:$B,$B44)+ SUMIF('Cutters Consumption Updates'!$AS:$AS,$B44,'Cutters Consumption Updates'!AV:AV)</f>
        <v>11</v>
      </c>
      <c r="K44" s="738">
        <f>SUMIFS('Cutters Consumption Updates'!$F:$F,'Cutters Consumption Updates'!$D:$D,K$1,'Cutters Consumption Updates'!$B:$B,$B44)-SUMIFS('Cutters Consumption Updates'!$E:$E,'Cutters Consumption Updates'!$D:$D,K$1,'Cutters Consumption Updates'!$B:$B,$B44)+ SUMIF('Cutters Consumption Updates'!$AS:$AS,$B44,'Cutters Consumption Updates'!AW:AW)</f>
        <v>0</v>
      </c>
      <c r="L44" s="116">
        <f>SUMIFS('Cutters Consumption Updates'!$F:$F,'Cutters Consumption Updates'!$D:$D,L$1,'Cutters Consumption Updates'!$B:$B,$B44)-SUMIFS('Cutters Consumption Updates'!$E:$E,'Cutters Consumption Updates'!$D:$D,$L$1,'Cutters Consumption Updates'!$B:$B,$B44)+SUMIFS('Cutters Consumption Updates'!$F:$F,'Cutters Consumption Updates'!$D:$D,"Retrofit",'Cutters Consumption Updates'!$B:$B,$B44)-SUMIFS('Cutters Consumption Updates'!$E:$E,'Cutters Consumption Updates'!$D:$D,"Retrofit",'Cutters Consumption Updates'!$B:$B,$B44)+ SUMIF('Cutters Consumption Updates'!$AS:$AS,$B44,'Cutters Consumption Updates'!AX:AX)</f>
        <v>449</v>
      </c>
      <c r="M44" s="810">
        <f t="shared" si="0"/>
        <v>449</v>
      </c>
      <c r="N44" s="810">
        <f ca="1">SUMIFS('Cutters Consumption Updates'!E:E,
        'Cutters Consumption Updates'!B:B, B44,
        'Cutters Consumption Updates'!A:A, "&gt;" &amp; TODAY()-182)</f>
        <v>28</v>
      </c>
      <c r="O44" s="810">
        <f ca="1">SUMIFS('Cutters Consumption Updates'!E:E,
        'Cutters Consumption Updates'!B:B, B44,
        'Cutters Consumption Updates'!A:A, "&gt;" &amp; TODAY()-91)</f>
        <v>12</v>
      </c>
      <c r="P44" s="810">
        <f t="shared" ca="1" si="1"/>
        <v>10</v>
      </c>
      <c r="Q44" s="703">
        <f t="shared" ca="1" si="2"/>
        <v>15</v>
      </c>
      <c r="R44" s="703" t="s">
        <v>29</v>
      </c>
      <c r="S44" s="24">
        <f>IFERROR(INDEX(Table5[],MATCH($B44,Table5[Component],0),2),0)</f>
        <v>248</v>
      </c>
      <c r="T44" s="813">
        <f>SUMIFS(Table7[Balance],Table7[Cutter Mat'#],$B44)</f>
        <v>0</v>
      </c>
      <c r="U44" s="24">
        <f t="shared" si="3"/>
        <v>201</v>
      </c>
      <c r="V44" s="119"/>
      <c r="W44" s="2"/>
      <c r="Y44" s="4">
        <f>IFERROR(INDEX(Table5[],MATCH($B44,Table5[Component],0),2),0)</f>
        <v>248</v>
      </c>
      <c r="Z44" s="4">
        <f>IFERROR(INDEX(Table5[],MATCH($B44,Table5[Component],0),1),0)</f>
        <v>717751</v>
      </c>
      <c r="AA44" s="4">
        <f>IF(Y44&lt;&gt;0,B44,"")</f>
        <v>717751</v>
      </c>
      <c r="AB44" s="4" t="str">
        <f t="shared" si="4"/>
        <v/>
      </c>
      <c r="AD44" s="4">
        <f t="shared" si="5"/>
        <v>460</v>
      </c>
      <c r="AE44" s="9"/>
      <c r="AI44" s="248" t="str">
        <f>IFERROR(INDEX($B$1:$AK$243,MATCH(W44,$B$1:$B$243,0),13),"")</f>
        <v/>
      </c>
      <c r="AJ44" s="248" t="str">
        <f>IFERROR(INDEX($B$1:$AK$243,MATCH(W44,$B$1:$B$243,0),15),"")</f>
        <v/>
      </c>
      <c r="AK44">
        <f>SUMIF($W$2:$W$243,B44,$S$2:$S$243)</f>
        <v>0</v>
      </c>
      <c r="AP44">
        <f t="shared" si="6"/>
        <v>0</v>
      </c>
      <c r="AR44">
        <v>703670</v>
      </c>
      <c r="AS44">
        <f>SUMIF($B:$B,AR44,$AP:$AP)</f>
        <v>0</v>
      </c>
    </row>
    <row r="45" spans="1:45" ht="15.65" customHeight="1" x14ac:dyDescent="0.35">
      <c r="A45" s="2">
        <v>44</v>
      </c>
      <c r="B45" s="2">
        <v>729435</v>
      </c>
      <c r="C45" s="2" t="s">
        <v>4445</v>
      </c>
      <c r="D45" s="2" t="s">
        <v>62</v>
      </c>
      <c r="E45" s="2">
        <v>1313</v>
      </c>
      <c r="F45" s="2" t="s">
        <v>248</v>
      </c>
      <c r="G45" s="2" t="s">
        <v>4275</v>
      </c>
      <c r="H45" s="10">
        <f>SUMIFS('Cutters Consumption Updates'!$F:$F,'Cutters Consumption Updates'!$D:$D,H$1,'Cutters Consumption Updates'!$B:$B,$B45)-SUMIFS('Cutters Consumption Updates'!$E:$E,'Cutters Consumption Updates'!$D:$D,H$1,'Cutters Consumption Updates'!$B:$B,$B45)+ SUMIF('Cutters Consumption Updates'!$AS:$AS,$B45,'Cutters Consumption Updates'!AT:AT)</f>
        <v>0</v>
      </c>
      <c r="I45" s="10">
        <f>SUMIFS('Cutters Consumption Updates'!$F:$F,'Cutters Consumption Updates'!$D:$D,I$1,'Cutters Consumption Updates'!$B:$B,$B45)-SUMIFS('Cutters Consumption Updates'!$E:$E,'Cutters Consumption Updates'!$D:$D,I$1,'Cutters Consumption Updates'!$B:$B,$B45)+ SUMIF('Cutters Consumption Updates'!$AS:$AS,$B45,'Cutters Consumption Updates'!AU:AU)</f>
        <v>0</v>
      </c>
      <c r="J45" s="116">
        <f>SUMIFS('Cutters Consumption Updates'!$F:$F,'Cutters Consumption Updates'!$D:$D,J$1,'Cutters Consumption Updates'!$B:$B,$B45)-SUMIFS('Cutters Consumption Updates'!$E:$E,'Cutters Consumption Updates'!$D:$D,J$1,'Cutters Consumption Updates'!$B:$B,$B45)+ SUMIF('Cutters Consumption Updates'!$AS:$AS,$B45,'Cutters Consumption Updates'!AV:AV)</f>
        <v>0</v>
      </c>
      <c r="K45" s="738">
        <f>SUMIFS('Cutters Consumption Updates'!$F:$F,'Cutters Consumption Updates'!$D:$D,K$1,'Cutters Consumption Updates'!$B:$B,$B45)-SUMIFS('Cutters Consumption Updates'!$E:$E,'Cutters Consumption Updates'!$D:$D,K$1,'Cutters Consumption Updates'!$B:$B,$B45)+ SUMIF('Cutters Consumption Updates'!$AS:$AS,$B45,'Cutters Consumption Updates'!AW:AW)</f>
        <v>0</v>
      </c>
      <c r="L45" s="116">
        <f>SUMIFS('Cutters Consumption Updates'!$F:$F,'Cutters Consumption Updates'!$D:$D,L$1,'Cutters Consumption Updates'!$B:$B,$B45)-SUMIFS('Cutters Consumption Updates'!$E:$E,'Cutters Consumption Updates'!$D:$D,$L$1,'Cutters Consumption Updates'!$B:$B,$B45)+SUMIFS('Cutters Consumption Updates'!$F:$F,'Cutters Consumption Updates'!$D:$D,"Retrofit",'Cutters Consumption Updates'!$B:$B,$B45)-SUMIFS('Cutters Consumption Updates'!$E:$E,'Cutters Consumption Updates'!$D:$D,"Retrofit",'Cutters Consumption Updates'!$B:$B,$B45)+ SUMIF('Cutters Consumption Updates'!$AS:$AS,$B45,'Cutters Consumption Updates'!AX:AX)</f>
        <v>0</v>
      </c>
      <c r="M45" s="810">
        <f t="shared" si="0"/>
        <v>0</v>
      </c>
      <c r="N45" s="810">
        <f ca="1">SUMIFS('Cutters Consumption Updates'!E:E,
        'Cutters Consumption Updates'!B:B, B45,
        'Cutters Consumption Updates'!A:A, "&gt;" &amp; TODAY()-182)</f>
        <v>0</v>
      </c>
      <c r="O45" s="810">
        <f ca="1">SUMIFS('Cutters Consumption Updates'!E:E,
        'Cutters Consumption Updates'!B:B, B45,
        'Cutters Consumption Updates'!A:A, "&gt;" &amp; TODAY()-91)</f>
        <v>0</v>
      </c>
      <c r="P45" s="810">
        <f t="shared" ca="1" si="1"/>
        <v>0</v>
      </c>
      <c r="Q45" s="703">
        <f t="shared" ca="1" si="2"/>
        <v>0</v>
      </c>
      <c r="R45" s="703" t="s">
        <v>29</v>
      </c>
      <c r="S45" s="24">
        <f>IFERROR(INDEX(Table5[],MATCH($B45,Table5[Component],0),2),0)</f>
        <v>0</v>
      </c>
      <c r="T45" s="813">
        <f>SUMIFS(Table7[Balance],Table7[Cutter Mat'#],$B45)</f>
        <v>0</v>
      </c>
      <c r="U45" s="24">
        <f t="shared" si="3"/>
        <v>0</v>
      </c>
      <c r="V45" s="119"/>
      <c r="W45" s="2"/>
      <c r="Y45" s="4">
        <f>IFERROR(INDEX(Table5[],MATCH($B45,Table5[Component],0),2),0)</f>
        <v>0</v>
      </c>
      <c r="Z45" s="4">
        <f>IFERROR(INDEX(Table5[],MATCH($B45,Table5[Component],0),1),0)</f>
        <v>0</v>
      </c>
      <c r="AA45" s="4" t="str">
        <f>IF(Y45&lt;&gt;0,B45,"")</f>
        <v/>
      </c>
      <c r="AB45" s="4" t="str">
        <f t="shared" si="4"/>
        <v/>
      </c>
      <c r="AD45" s="4">
        <f t="shared" si="5"/>
        <v>0</v>
      </c>
      <c r="AE45" s="9"/>
      <c r="AI45" s="248" t="str">
        <f>IFERROR(INDEX($B$1:$AK$243,MATCH(W45,$B$1:$B$243,0),13),"")</f>
        <v/>
      </c>
      <c r="AJ45" s="248" t="str">
        <f>IFERROR(INDEX($B$1:$AK$243,MATCH(W45,$B$1:$B$243,0),15),"")</f>
        <v/>
      </c>
      <c r="AK45">
        <f>SUMIF($W$2:$W$243,B45,$S$2:$S$243)</f>
        <v>0</v>
      </c>
      <c r="AP45">
        <f t="shared" si="6"/>
        <v>0</v>
      </c>
      <c r="AR45">
        <v>703671</v>
      </c>
      <c r="AS45">
        <f>SUMIF($B:$B,AR45,$AP:$AP)</f>
        <v>0</v>
      </c>
    </row>
    <row r="46" spans="1:45" ht="15.65" customHeight="1" x14ac:dyDescent="0.35">
      <c r="A46" s="2">
        <v>45</v>
      </c>
      <c r="B46" s="2">
        <v>729689</v>
      </c>
      <c r="C46" s="2" t="s">
        <v>4292</v>
      </c>
      <c r="D46" s="2" t="s">
        <v>62</v>
      </c>
      <c r="E46" s="2">
        <v>1313</v>
      </c>
      <c r="F46" s="2" t="s">
        <v>253</v>
      </c>
      <c r="G46" s="2" t="s">
        <v>4275</v>
      </c>
      <c r="H46" s="10">
        <f>SUMIFS('Cutters Consumption Updates'!$F:$F,'Cutters Consumption Updates'!$D:$D,H$1,'Cutters Consumption Updates'!$B:$B,$B46)-SUMIFS('Cutters Consumption Updates'!$E:$E,'Cutters Consumption Updates'!$D:$D,H$1,'Cutters Consumption Updates'!$B:$B,$B46)+ SUMIF('Cutters Consumption Updates'!$AS:$AS,$B46,'Cutters Consumption Updates'!AT:AT)</f>
        <v>0</v>
      </c>
      <c r="I46" s="10">
        <f>SUMIFS('Cutters Consumption Updates'!$F:$F,'Cutters Consumption Updates'!$D:$D,I$1,'Cutters Consumption Updates'!$B:$B,$B46)-SUMIFS('Cutters Consumption Updates'!$E:$E,'Cutters Consumption Updates'!$D:$D,I$1,'Cutters Consumption Updates'!$B:$B,$B46)+ SUMIF('Cutters Consumption Updates'!$AS:$AS,$B46,'Cutters Consumption Updates'!AU:AU)</f>
        <v>39</v>
      </c>
      <c r="J46" s="116">
        <f>SUMIFS('Cutters Consumption Updates'!$F:$F,'Cutters Consumption Updates'!$D:$D,J$1,'Cutters Consumption Updates'!$B:$B,$B46)-SUMIFS('Cutters Consumption Updates'!$E:$E,'Cutters Consumption Updates'!$D:$D,J$1,'Cutters Consumption Updates'!$B:$B,$B46)+ SUMIF('Cutters Consumption Updates'!$AS:$AS,$B46,'Cutters Consumption Updates'!AV:AV)</f>
        <v>0</v>
      </c>
      <c r="K46" s="738">
        <f>SUMIFS('Cutters Consumption Updates'!$F:$F,'Cutters Consumption Updates'!$D:$D,K$1,'Cutters Consumption Updates'!$B:$B,$B46)-SUMIFS('Cutters Consumption Updates'!$E:$E,'Cutters Consumption Updates'!$D:$D,K$1,'Cutters Consumption Updates'!$B:$B,$B46)+ SUMIF('Cutters Consumption Updates'!$AS:$AS,$B46,'Cutters Consumption Updates'!AW:AW)</f>
        <v>0</v>
      </c>
      <c r="L46" s="116">
        <f>SUMIFS('Cutters Consumption Updates'!$F:$F,'Cutters Consumption Updates'!$D:$D,L$1,'Cutters Consumption Updates'!$B:$B,$B46)-SUMIFS('Cutters Consumption Updates'!$E:$E,'Cutters Consumption Updates'!$D:$D,$L$1,'Cutters Consumption Updates'!$B:$B,$B46)+SUMIFS('Cutters Consumption Updates'!$F:$F,'Cutters Consumption Updates'!$D:$D,"Retrofit",'Cutters Consumption Updates'!$B:$B,$B46)-SUMIFS('Cutters Consumption Updates'!$E:$E,'Cutters Consumption Updates'!$D:$D,"Retrofit",'Cutters Consumption Updates'!$B:$B,$B46)+ SUMIF('Cutters Consumption Updates'!$AS:$AS,$B46,'Cutters Consumption Updates'!AX:AX)</f>
        <v>0</v>
      </c>
      <c r="M46" s="810">
        <f t="shared" si="0"/>
        <v>0</v>
      </c>
      <c r="N46" s="810">
        <f ca="1">SUMIFS('Cutters Consumption Updates'!E:E,
        'Cutters Consumption Updates'!B:B, B46,
        'Cutters Consumption Updates'!A:A, "&gt;" &amp; TODAY()-182)</f>
        <v>0</v>
      </c>
      <c r="O46" s="810">
        <f ca="1">SUMIFS('Cutters Consumption Updates'!E:E,
        'Cutters Consumption Updates'!B:B, B46,
        'Cutters Consumption Updates'!A:A, "&gt;" &amp; TODAY()-91)</f>
        <v>0</v>
      </c>
      <c r="P46" s="810">
        <f t="shared" ca="1" si="1"/>
        <v>0</v>
      </c>
      <c r="Q46" s="703">
        <f t="shared" ca="1" si="2"/>
        <v>0</v>
      </c>
      <c r="R46" s="703" t="s">
        <v>29</v>
      </c>
      <c r="S46" s="24">
        <f>IFERROR(INDEX(Table5[],MATCH($B46,Table5[Component],0),2),0)</f>
        <v>0</v>
      </c>
      <c r="T46" s="813">
        <f>SUMIFS(Table7[Balance],Table7[Cutter Mat'#],$B46)</f>
        <v>0</v>
      </c>
      <c r="U46" s="24">
        <f t="shared" si="3"/>
        <v>0</v>
      </c>
      <c r="V46" s="119"/>
      <c r="W46" s="2"/>
      <c r="Y46" s="4">
        <f>IFERROR(INDEX(Table5[],MATCH($B46,Table5[Component],0),2),0)</f>
        <v>0</v>
      </c>
      <c r="Z46" s="4">
        <f>IFERROR(INDEX(Table5[],MATCH($B46,Table5[Component],0),1),0)</f>
        <v>0</v>
      </c>
      <c r="AA46" s="4" t="str">
        <f>IF(Y46&lt;&gt;0,B46,"")</f>
        <v/>
      </c>
      <c r="AB46" s="4" t="str">
        <f t="shared" si="4"/>
        <v/>
      </c>
      <c r="AD46" s="4">
        <f t="shared" si="5"/>
        <v>39</v>
      </c>
      <c r="AE46" s="9"/>
      <c r="AI46" s="248" t="str">
        <f>IFERROR(INDEX($B$1:$AK$243,MATCH(W46,$B$1:$B$243,0),13),"")</f>
        <v/>
      </c>
      <c r="AJ46" s="248" t="str">
        <f>IFERROR(INDEX($B$1:$AK$243,MATCH(W46,$B$1:$B$243,0),15),"")</f>
        <v/>
      </c>
      <c r="AK46">
        <f>SUMIF($W$2:$W$243,B46,$S$2:$S$243)</f>
        <v>0</v>
      </c>
      <c r="AP46">
        <f t="shared" si="6"/>
        <v>0</v>
      </c>
      <c r="AR46">
        <v>708305</v>
      </c>
      <c r="AS46">
        <f>SUMIF($B:$B,AR46,$AP:$AP)</f>
        <v>0</v>
      </c>
    </row>
    <row r="47" spans="1:45" ht="15.65" customHeight="1" x14ac:dyDescent="0.35">
      <c r="A47" s="2">
        <v>46</v>
      </c>
      <c r="B47" s="2">
        <v>742473</v>
      </c>
      <c r="C47" s="2" t="s">
        <v>4293</v>
      </c>
      <c r="D47" s="2" t="s">
        <v>72</v>
      </c>
      <c r="E47" s="2">
        <v>1308</v>
      </c>
      <c r="F47" s="2" t="s">
        <v>248</v>
      </c>
      <c r="G47" s="2" t="s">
        <v>47</v>
      </c>
      <c r="H47" s="10">
        <f>SUMIFS('Cutters Consumption Updates'!$F:$F,'Cutters Consumption Updates'!$D:$D,H$1,'Cutters Consumption Updates'!$B:$B,$B47)-SUMIFS('Cutters Consumption Updates'!$E:$E,'Cutters Consumption Updates'!$D:$D,H$1,'Cutters Consumption Updates'!$B:$B,$B47)+ SUMIF('Cutters Consumption Updates'!$AS:$AS,$B47,'Cutters Consumption Updates'!AT:AT)</f>
        <v>0</v>
      </c>
      <c r="I47" s="10">
        <f>SUMIFS('Cutters Consumption Updates'!$F:$F,'Cutters Consumption Updates'!$D:$D,I$1,'Cutters Consumption Updates'!$B:$B,$B47)-SUMIFS('Cutters Consumption Updates'!$E:$E,'Cutters Consumption Updates'!$D:$D,I$1,'Cutters Consumption Updates'!$B:$B,$B47)+ SUMIF('Cutters Consumption Updates'!$AS:$AS,$B47,'Cutters Consumption Updates'!AU:AU)</f>
        <v>0</v>
      </c>
      <c r="J47" s="116">
        <f>SUMIFS('Cutters Consumption Updates'!$F:$F,'Cutters Consumption Updates'!$D:$D,J$1,'Cutters Consumption Updates'!$B:$B,$B47)-SUMIFS('Cutters Consumption Updates'!$E:$E,'Cutters Consumption Updates'!$D:$D,J$1,'Cutters Consumption Updates'!$B:$B,$B47)+ SUMIF('Cutters Consumption Updates'!$AS:$AS,$B47,'Cutters Consumption Updates'!AV:AV)</f>
        <v>0</v>
      </c>
      <c r="K47" s="738">
        <f>SUMIFS('Cutters Consumption Updates'!$F:$F,'Cutters Consumption Updates'!$D:$D,K$1,'Cutters Consumption Updates'!$B:$B,$B47)-SUMIFS('Cutters Consumption Updates'!$E:$E,'Cutters Consumption Updates'!$D:$D,K$1,'Cutters Consumption Updates'!$B:$B,$B47)+ SUMIF('Cutters Consumption Updates'!$AS:$AS,$B47,'Cutters Consumption Updates'!AW:AW)</f>
        <v>0</v>
      </c>
      <c r="L47" s="116">
        <f>SUMIFS('Cutters Consumption Updates'!$F:$F,'Cutters Consumption Updates'!$D:$D,L$1,'Cutters Consumption Updates'!$B:$B,$B47)-SUMIFS('Cutters Consumption Updates'!$E:$E,'Cutters Consumption Updates'!$D:$D,$L$1,'Cutters Consumption Updates'!$B:$B,$B47)+SUMIFS('Cutters Consumption Updates'!$F:$F,'Cutters Consumption Updates'!$D:$D,"Retrofit",'Cutters Consumption Updates'!$B:$B,$B47)-SUMIFS('Cutters Consumption Updates'!$E:$E,'Cutters Consumption Updates'!$D:$D,"Retrofit",'Cutters Consumption Updates'!$B:$B,$B47)+ SUMIF('Cutters Consumption Updates'!$AS:$AS,$B47,'Cutters Consumption Updates'!AX:AX)</f>
        <v>11</v>
      </c>
      <c r="M47" s="810">
        <f t="shared" si="0"/>
        <v>11</v>
      </c>
      <c r="N47" s="810">
        <f ca="1">SUMIFS('Cutters Consumption Updates'!E:E,
        'Cutters Consumption Updates'!B:B, B47,
        'Cutters Consumption Updates'!A:A, "&gt;" &amp; TODAY()-182)</f>
        <v>0</v>
      </c>
      <c r="O47" s="810">
        <f ca="1">SUMIFS('Cutters Consumption Updates'!E:E,
        'Cutters Consumption Updates'!B:B, B47,
        'Cutters Consumption Updates'!A:A, "&gt;" &amp; TODAY()-91)</f>
        <v>0</v>
      </c>
      <c r="P47" s="810">
        <f t="shared" ca="1" si="1"/>
        <v>0</v>
      </c>
      <c r="Q47" s="703">
        <f t="shared" ca="1" si="2"/>
        <v>0</v>
      </c>
      <c r="R47" s="703" t="s">
        <v>29</v>
      </c>
      <c r="S47" s="24">
        <f>IFERROR(INDEX(Table5[],MATCH($B47,Table5[Component],0),2),0)</f>
        <v>0</v>
      </c>
      <c r="T47" s="813">
        <f>SUMIFS(Table7[Balance],Table7[Cutter Mat'#],$B47)</f>
        <v>0</v>
      </c>
      <c r="U47" s="24">
        <f t="shared" si="3"/>
        <v>11</v>
      </c>
      <c r="V47" s="119"/>
      <c r="W47" s="2"/>
      <c r="Y47" s="4">
        <f>IFERROR(INDEX(Table5[],MATCH($B47,Table5[Component],0),2),0)</f>
        <v>0</v>
      </c>
      <c r="Z47" s="4">
        <f>IFERROR(INDEX(Table5[],MATCH($B47,Table5[Component],0),1),0)</f>
        <v>0</v>
      </c>
      <c r="AA47" s="4" t="str">
        <f>IF(Y47&lt;&gt;0,B47,"")</f>
        <v/>
      </c>
      <c r="AB47" s="4" t="str">
        <f t="shared" si="4"/>
        <v/>
      </c>
      <c r="AD47" s="4">
        <f t="shared" si="5"/>
        <v>11</v>
      </c>
      <c r="AE47" s="9"/>
      <c r="AI47" s="248" t="str">
        <f>IFERROR(INDEX($B$1:$AK$243,MATCH(W47,$B$1:$B$243,0),13),"")</f>
        <v/>
      </c>
      <c r="AJ47" s="248" t="str">
        <f>IFERROR(INDEX($B$1:$AK$243,MATCH(W47,$B$1:$B$243,0),15),"")</f>
        <v/>
      </c>
      <c r="AK47">
        <f>SUMIF($W$2:$W$243,B47,$S$2:$S$243)</f>
        <v>0</v>
      </c>
      <c r="AP47">
        <f t="shared" si="6"/>
        <v>0</v>
      </c>
      <c r="AR47">
        <v>708306</v>
      </c>
      <c r="AS47">
        <f>SUMIF($B:$B,AR47,$AP:$AP)</f>
        <v>0</v>
      </c>
    </row>
    <row r="48" spans="1:45" ht="15.65" customHeight="1" x14ac:dyDescent="0.35">
      <c r="A48" s="2">
        <v>47</v>
      </c>
      <c r="B48" s="2">
        <v>742617</v>
      </c>
      <c r="C48" s="2" t="s">
        <v>4294</v>
      </c>
      <c r="D48" s="2" t="s">
        <v>72</v>
      </c>
      <c r="E48" s="2">
        <v>1308</v>
      </c>
      <c r="F48" s="2" t="s">
        <v>253</v>
      </c>
      <c r="G48" s="2" t="s">
        <v>47</v>
      </c>
      <c r="H48" s="10">
        <f>SUMIFS('Cutters Consumption Updates'!$F:$F,'Cutters Consumption Updates'!$D:$D,H$1,'Cutters Consumption Updates'!$B:$B,$B48)-SUMIFS('Cutters Consumption Updates'!$E:$E,'Cutters Consumption Updates'!$D:$D,H$1,'Cutters Consumption Updates'!$B:$B,$B48)+ SUMIF('Cutters Consumption Updates'!$AS:$AS,$B48,'Cutters Consumption Updates'!AT:AT)</f>
        <v>0</v>
      </c>
      <c r="I48" s="10">
        <f>SUMIFS('Cutters Consumption Updates'!$F:$F,'Cutters Consumption Updates'!$D:$D,I$1,'Cutters Consumption Updates'!$B:$B,$B48)-SUMIFS('Cutters Consumption Updates'!$E:$E,'Cutters Consumption Updates'!$D:$D,I$1,'Cutters Consumption Updates'!$B:$B,$B48)+ SUMIF('Cutters Consumption Updates'!$AS:$AS,$B48,'Cutters Consumption Updates'!AU:AU)</f>
        <v>0</v>
      </c>
      <c r="J48" s="116">
        <f>SUMIFS('Cutters Consumption Updates'!$F:$F,'Cutters Consumption Updates'!$D:$D,J$1,'Cutters Consumption Updates'!$B:$B,$B48)-SUMIFS('Cutters Consumption Updates'!$E:$E,'Cutters Consumption Updates'!$D:$D,J$1,'Cutters Consumption Updates'!$B:$B,$B48)+ SUMIF('Cutters Consumption Updates'!$AS:$AS,$B48,'Cutters Consumption Updates'!AV:AV)</f>
        <v>0</v>
      </c>
      <c r="K48" s="738">
        <f>SUMIFS('Cutters Consumption Updates'!$F:$F,'Cutters Consumption Updates'!$D:$D,K$1,'Cutters Consumption Updates'!$B:$B,$B48)-SUMIFS('Cutters Consumption Updates'!$E:$E,'Cutters Consumption Updates'!$D:$D,K$1,'Cutters Consumption Updates'!$B:$B,$B48)+ SUMIF('Cutters Consumption Updates'!$AS:$AS,$B48,'Cutters Consumption Updates'!AW:AW)</f>
        <v>0</v>
      </c>
      <c r="L48" s="116">
        <f>SUMIFS('Cutters Consumption Updates'!$F:$F,'Cutters Consumption Updates'!$D:$D,L$1,'Cutters Consumption Updates'!$B:$B,$B48)-SUMIFS('Cutters Consumption Updates'!$E:$E,'Cutters Consumption Updates'!$D:$D,$L$1,'Cutters Consumption Updates'!$B:$B,$B48)+SUMIFS('Cutters Consumption Updates'!$F:$F,'Cutters Consumption Updates'!$D:$D,"Retrofit",'Cutters Consumption Updates'!$B:$B,$B48)-SUMIFS('Cutters Consumption Updates'!$E:$E,'Cutters Consumption Updates'!$D:$D,"Retrofit",'Cutters Consumption Updates'!$B:$B,$B48)+ SUMIF('Cutters Consumption Updates'!$AS:$AS,$B48,'Cutters Consumption Updates'!AX:AX)</f>
        <v>2</v>
      </c>
      <c r="M48" s="810">
        <f t="shared" si="0"/>
        <v>2</v>
      </c>
      <c r="N48" s="810">
        <f ca="1">SUMIFS('Cutters Consumption Updates'!E:E,
        'Cutters Consumption Updates'!B:B, B48,
        'Cutters Consumption Updates'!A:A, "&gt;" &amp; TODAY()-182)</f>
        <v>0</v>
      </c>
      <c r="O48" s="810">
        <f ca="1">SUMIFS('Cutters Consumption Updates'!E:E,
        'Cutters Consumption Updates'!B:B, B48,
        'Cutters Consumption Updates'!A:A, "&gt;" &amp; TODAY()-91)</f>
        <v>0</v>
      </c>
      <c r="P48" s="810">
        <f t="shared" ca="1" si="1"/>
        <v>0</v>
      </c>
      <c r="Q48" s="703">
        <f t="shared" ca="1" si="2"/>
        <v>0</v>
      </c>
      <c r="R48" s="703" t="s">
        <v>29</v>
      </c>
      <c r="S48" s="24">
        <f>IFERROR(INDEX(Table5[],MATCH($B48,Table5[Component],0),2),0)</f>
        <v>0</v>
      </c>
      <c r="T48" s="813">
        <f>SUMIFS(Table7[Balance],Table7[Cutter Mat'#],$B48)</f>
        <v>0</v>
      </c>
      <c r="U48" s="24">
        <f t="shared" si="3"/>
        <v>2</v>
      </c>
      <c r="V48" s="119"/>
      <c r="W48" s="2"/>
      <c r="Y48" s="4">
        <f>IFERROR(INDEX(Table5[],MATCH($B48,Table5[Component],0),2),0)</f>
        <v>0</v>
      </c>
      <c r="Z48" s="4">
        <f>IFERROR(INDEX(Table5[],MATCH($B48,Table5[Component],0),1),0)</f>
        <v>0</v>
      </c>
      <c r="AA48" s="4" t="str">
        <f>IF(Y48&lt;&gt;0,B48,"")</f>
        <v/>
      </c>
      <c r="AB48" s="4" t="str">
        <f t="shared" si="4"/>
        <v/>
      </c>
      <c r="AD48" s="4">
        <f t="shared" si="5"/>
        <v>2</v>
      </c>
      <c r="AE48" s="9"/>
      <c r="AI48" s="248" t="str">
        <f>IFERROR(INDEX($B$1:$AK$243,MATCH(W48,$B$1:$B$243,0),13),"")</f>
        <v/>
      </c>
      <c r="AJ48" s="248" t="str">
        <f>IFERROR(INDEX($B$1:$AK$243,MATCH(W48,$B$1:$B$243,0),15),"")</f>
        <v/>
      </c>
      <c r="AK48">
        <f>SUMIF($W$2:$W$243,B48,$S$2:$S$243)</f>
        <v>0</v>
      </c>
      <c r="AP48">
        <f t="shared" si="6"/>
        <v>0</v>
      </c>
      <c r="AR48">
        <v>717747</v>
      </c>
      <c r="AS48">
        <f>SUMIF($B:$B,AR48,$AP:$AP)</f>
        <v>0</v>
      </c>
    </row>
    <row r="49" spans="1:45" ht="15.65" customHeight="1" x14ac:dyDescent="0.35">
      <c r="A49" s="2">
        <v>48</v>
      </c>
      <c r="B49" s="2">
        <v>882800</v>
      </c>
      <c r="C49" s="2" t="s">
        <v>4131</v>
      </c>
      <c r="D49" s="2" t="s">
        <v>53</v>
      </c>
      <c r="E49" s="2" t="s">
        <v>73</v>
      </c>
      <c r="F49" s="2" t="s">
        <v>253</v>
      </c>
      <c r="G49" s="2" t="s">
        <v>47</v>
      </c>
      <c r="H49" s="10">
        <f>SUMIFS('Cutters Consumption Updates'!$F:$F,'Cutters Consumption Updates'!$D:$D,H$1,'Cutters Consumption Updates'!$B:$B,$B49)-SUMIFS('Cutters Consumption Updates'!$E:$E,'Cutters Consumption Updates'!$D:$D,H$1,'Cutters Consumption Updates'!$B:$B,$B49)+ SUMIF('Cutters Consumption Updates'!$AS:$AS,$B49,'Cutters Consumption Updates'!AT:AT)</f>
        <v>0</v>
      </c>
      <c r="I49" s="10">
        <f>SUMIFS('Cutters Consumption Updates'!$F:$F,'Cutters Consumption Updates'!$D:$D,I$1,'Cutters Consumption Updates'!$B:$B,$B49)-SUMIFS('Cutters Consumption Updates'!$E:$E,'Cutters Consumption Updates'!$D:$D,I$1,'Cutters Consumption Updates'!$B:$B,$B49)+ SUMIF('Cutters Consumption Updates'!$AS:$AS,$B49,'Cutters Consumption Updates'!AU:AU)</f>
        <v>0</v>
      </c>
      <c r="J49" s="116">
        <f>SUMIFS('Cutters Consumption Updates'!$F:$F,'Cutters Consumption Updates'!$D:$D,J$1,'Cutters Consumption Updates'!$B:$B,$B49)-SUMIFS('Cutters Consumption Updates'!$E:$E,'Cutters Consumption Updates'!$D:$D,J$1,'Cutters Consumption Updates'!$B:$B,$B49)+ SUMIF('Cutters Consumption Updates'!$AS:$AS,$B49,'Cutters Consumption Updates'!AV:AV)</f>
        <v>0</v>
      </c>
      <c r="K49" s="738">
        <f>SUMIFS('Cutters Consumption Updates'!$F:$F,'Cutters Consumption Updates'!$D:$D,K$1,'Cutters Consumption Updates'!$B:$B,$B49)-SUMIFS('Cutters Consumption Updates'!$E:$E,'Cutters Consumption Updates'!$D:$D,K$1,'Cutters Consumption Updates'!$B:$B,$B49)+ SUMIF('Cutters Consumption Updates'!$AS:$AS,$B49,'Cutters Consumption Updates'!AW:AW)</f>
        <v>8</v>
      </c>
      <c r="L49" s="116">
        <f>SUMIFS('Cutters Consumption Updates'!$F:$F,'Cutters Consumption Updates'!$D:$D,L$1,'Cutters Consumption Updates'!$B:$B,$B49)-SUMIFS('Cutters Consumption Updates'!$E:$E,'Cutters Consumption Updates'!$D:$D,$L$1,'Cutters Consumption Updates'!$B:$B,$B49)+SUMIFS('Cutters Consumption Updates'!$F:$F,'Cutters Consumption Updates'!$D:$D,"Retrofit",'Cutters Consumption Updates'!$B:$B,$B49)-SUMIFS('Cutters Consumption Updates'!$E:$E,'Cutters Consumption Updates'!$D:$D,"Retrofit",'Cutters Consumption Updates'!$B:$B,$B49)+ SUMIF('Cutters Consumption Updates'!$AS:$AS,$B49,'Cutters Consumption Updates'!AX:AX)</f>
        <v>0</v>
      </c>
      <c r="M49" s="810">
        <f t="shared" si="0"/>
        <v>0</v>
      </c>
      <c r="N49" s="810">
        <f ca="1">SUMIFS('Cutters Consumption Updates'!E:E,
        'Cutters Consumption Updates'!B:B, B49,
        'Cutters Consumption Updates'!A:A, "&gt;" &amp; TODAY()-182)</f>
        <v>0</v>
      </c>
      <c r="O49" s="810">
        <f ca="1">SUMIFS('Cutters Consumption Updates'!E:E,
        'Cutters Consumption Updates'!B:B, B49,
        'Cutters Consumption Updates'!A:A, "&gt;" &amp; TODAY()-91)</f>
        <v>0</v>
      </c>
      <c r="P49" s="810">
        <f t="shared" ca="1" si="1"/>
        <v>0</v>
      </c>
      <c r="Q49" s="703">
        <f t="shared" ca="1" si="2"/>
        <v>0</v>
      </c>
      <c r="R49" s="703" t="s">
        <v>29</v>
      </c>
      <c r="S49" s="24">
        <f>IFERROR(INDEX(Table5[],MATCH($B49,Table5[Component],0),2),0)</f>
        <v>0</v>
      </c>
      <c r="T49" s="813">
        <f>SUMIFS(Table7[Balance],Table7[Cutter Mat'#],$B49)</f>
        <v>0</v>
      </c>
      <c r="U49" s="24">
        <f t="shared" si="3"/>
        <v>0</v>
      </c>
      <c r="V49" s="119"/>
      <c r="W49" s="2"/>
      <c r="Y49" s="4">
        <f>IFERROR(INDEX(Table5[],MATCH($B49,Table5[Component],0),2),0)</f>
        <v>0</v>
      </c>
      <c r="Z49" s="4">
        <f>IFERROR(INDEX(Table5[],MATCH($B49,Table5[Component],0),1),0)</f>
        <v>0</v>
      </c>
      <c r="AA49" s="4" t="str">
        <f>IF(Y49&lt;&gt;0,B49,"")</f>
        <v/>
      </c>
      <c r="AB49" s="4" t="str">
        <f t="shared" si="4"/>
        <v/>
      </c>
      <c r="AD49" s="4">
        <f t="shared" si="5"/>
        <v>0</v>
      </c>
      <c r="AE49" s="9"/>
      <c r="AI49" s="248" t="str">
        <f>IFERROR(INDEX($B$1:$AK$243,MATCH(W49,$B$1:$B$243,0),13),"")</f>
        <v/>
      </c>
      <c r="AJ49" s="248" t="str">
        <f>IFERROR(INDEX($B$1:$AK$243,MATCH(W49,$B$1:$B$243,0),15),"")</f>
        <v/>
      </c>
      <c r="AK49">
        <f>SUMIF($W$2:$W$243,B49,$S$2:$S$243)</f>
        <v>0</v>
      </c>
      <c r="AP49">
        <f t="shared" si="6"/>
        <v>0</v>
      </c>
      <c r="AR49">
        <v>717748</v>
      </c>
      <c r="AS49">
        <f>SUMIF($B:$B,AR49,$AP:$AP)</f>
        <v>50</v>
      </c>
    </row>
    <row r="50" spans="1:45" ht="15.65" customHeight="1" x14ac:dyDescent="0.35">
      <c r="A50" s="2">
        <v>49</v>
      </c>
      <c r="B50" s="2">
        <v>729690</v>
      </c>
      <c r="C50" s="2" t="s">
        <v>4446</v>
      </c>
      <c r="D50" s="2" t="s">
        <v>62</v>
      </c>
      <c r="E50" s="2">
        <v>1608</v>
      </c>
      <c r="F50" s="2" t="s">
        <v>253</v>
      </c>
      <c r="G50" s="2" t="s">
        <v>4275</v>
      </c>
      <c r="H50" s="10">
        <f>SUMIFS('Cutters Consumption Updates'!$F:$F,'Cutters Consumption Updates'!$D:$D,H$1,'Cutters Consumption Updates'!$B:$B,$B50)-SUMIFS('Cutters Consumption Updates'!$E:$E,'Cutters Consumption Updates'!$D:$D,H$1,'Cutters Consumption Updates'!$B:$B,$B50)+ SUMIF('Cutters Consumption Updates'!$AS:$AS,$B50,'Cutters Consumption Updates'!AT:AT)</f>
        <v>0</v>
      </c>
      <c r="I50" s="10">
        <f>SUMIFS('Cutters Consumption Updates'!$F:$F,'Cutters Consumption Updates'!$D:$D,I$1,'Cutters Consumption Updates'!$B:$B,$B50)-SUMIFS('Cutters Consumption Updates'!$E:$E,'Cutters Consumption Updates'!$D:$D,I$1,'Cutters Consumption Updates'!$B:$B,$B50)+ SUMIF('Cutters Consumption Updates'!$AS:$AS,$B50,'Cutters Consumption Updates'!AU:AU)</f>
        <v>0</v>
      </c>
      <c r="J50" s="116">
        <f>SUMIFS('Cutters Consumption Updates'!$F:$F,'Cutters Consumption Updates'!$D:$D,J$1,'Cutters Consumption Updates'!$B:$B,$B50)-SUMIFS('Cutters Consumption Updates'!$E:$E,'Cutters Consumption Updates'!$D:$D,J$1,'Cutters Consumption Updates'!$B:$B,$B50)+ SUMIF('Cutters Consumption Updates'!$AS:$AS,$B50,'Cutters Consumption Updates'!AV:AV)</f>
        <v>0</v>
      </c>
      <c r="K50" s="738">
        <f>SUMIFS('Cutters Consumption Updates'!$F:$F,'Cutters Consumption Updates'!$D:$D,K$1,'Cutters Consumption Updates'!$B:$B,$B50)-SUMIFS('Cutters Consumption Updates'!$E:$E,'Cutters Consumption Updates'!$D:$D,K$1,'Cutters Consumption Updates'!$B:$B,$B50)+ SUMIF('Cutters Consumption Updates'!$AS:$AS,$B50,'Cutters Consumption Updates'!AW:AW)</f>
        <v>0</v>
      </c>
      <c r="L50" s="116">
        <f>SUMIFS('Cutters Consumption Updates'!$F:$F,'Cutters Consumption Updates'!$D:$D,L$1,'Cutters Consumption Updates'!$B:$B,$B50)-SUMIFS('Cutters Consumption Updates'!$E:$E,'Cutters Consumption Updates'!$D:$D,$L$1,'Cutters Consumption Updates'!$B:$B,$B50)+SUMIFS('Cutters Consumption Updates'!$F:$F,'Cutters Consumption Updates'!$D:$D,"Retrofit",'Cutters Consumption Updates'!$B:$B,$B50)-SUMIFS('Cutters Consumption Updates'!$E:$E,'Cutters Consumption Updates'!$D:$D,"Retrofit",'Cutters Consumption Updates'!$B:$B,$B50)+ SUMIF('Cutters Consumption Updates'!$AS:$AS,$B50,'Cutters Consumption Updates'!AX:AX)</f>
        <v>0</v>
      </c>
      <c r="M50" s="810">
        <f t="shared" si="0"/>
        <v>0</v>
      </c>
      <c r="N50" s="810">
        <f ca="1">SUMIFS('Cutters Consumption Updates'!E:E,
        'Cutters Consumption Updates'!B:B, B50,
        'Cutters Consumption Updates'!A:A, "&gt;" &amp; TODAY()-182)</f>
        <v>0</v>
      </c>
      <c r="O50" s="810">
        <f ca="1">SUMIFS('Cutters Consumption Updates'!E:E,
        'Cutters Consumption Updates'!B:B, B50,
        'Cutters Consumption Updates'!A:A, "&gt;" &amp; TODAY()-91)</f>
        <v>0</v>
      </c>
      <c r="P50" s="810">
        <f t="shared" ca="1" si="1"/>
        <v>0</v>
      </c>
      <c r="Q50" s="703">
        <f t="shared" ca="1" si="2"/>
        <v>0</v>
      </c>
      <c r="R50" s="703" t="s">
        <v>29</v>
      </c>
      <c r="S50" s="24">
        <f>IFERROR(INDEX(Table5[],MATCH($B50,Table5[Component],0),2),0)</f>
        <v>0</v>
      </c>
      <c r="T50" s="813">
        <f>SUMIFS(Table7[Balance],Table7[Cutter Mat'#],$B50)</f>
        <v>0</v>
      </c>
      <c r="U50" s="24">
        <f t="shared" si="3"/>
        <v>0</v>
      </c>
      <c r="V50" s="119"/>
      <c r="W50" s="2"/>
      <c r="Y50" s="4">
        <f>IFERROR(INDEX(Table5[],MATCH($B50,Table5[Component],0),2),0)</f>
        <v>0</v>
      </c>
      <c r="Z50" s="4">
        <f>IFERROR(INDEX(Table5[],MATCH($B50,Table5[Component],0),1),0)</f>
        <v>0</v>
      </c>
      <c r="AA50" s="4" t="str">
        <f>IF(Y50&lt;&gt;0,B50,"")</f>
        <v/>
      </c>
      <c r="AB50" s="4" t="str">
        <f t="shared" si="4"/>
        <v/>
      </c>
      <c r="AD50" s="4">
        <f t="shared" si="5"/>
        <v>0</v>
      </c>
      <c r="AE50" s="9"/>
      <c r="AI50" s="248" t="str">
        <f>IFERROR(INDEX($B$1:$AK$243,MATCH(W50,$B$1:$B$243,0),13),"")</f>
        <v/>
      </c>
      <c r="AJ50" s="248" t="str">
        <f>IFERROR(INDEX($B$1:$AK$243,MATCH(W50,$B$1:$B$243,0),15),"")</f>
        <v/>
      </c>
      <c r="AK50">
        <f>SUMIF($W$2:$W$243,B50,$S$2:$S$243)</f>
        <v>0</v>
      </c>
      <c r="AP50">
        <f t="shared" si="6"/>
        <v>0</v>
      </c>
      <c r="AR50">
        <v>717749</v>
      </c>
      <c r="AS50">
        <f>SUMIF($B:$B,AR50,$AP:$AP)</f>
        <v>0</v>
      </c>
    </row>
    <row r="51" spans="1:45" ht="15.65" customHeight="1" x14ac:dyDescent="0.35">
      <c r="A51" s="2">
        <v>50</v>
      </c>
      <c r="B51" s="2">
        <v>1010264</v>
      </c>
      <c r="C51" s="2" t="s">
        <v>4295</v>
      </c>
      <c r="D51" s="2" t="s">
        <v>74</v>
      </c>
      <c r="E51" s="2">
        <v>1005</v>
      </c>
      <c r="F51" s="2" t="s">
        <v>248</v>
      </c>
      <c r="G51" s="2" t="s">
        <v>4275</v>
      </c>
      <c r="H51" s="10">
        <f>SUMIFS('Cutters Consumption Updates'!$F:$F,'Cutters Consumption Updates'!$D:$D,H$1,'Cutters Consumption Updates'!$B:$B,$B51)-SUMIFS('Cutters Consumption Updates'!$E:$E,'Cutters Consumption Updates'!$D:$D,H$1,'Cutters Consumption Updates'!$B:$B,$B51)+ SUMIF('Cutters Consumption Updates'!$AS:$AS,$B51,'Cutters Consumption Updates'!AT:AT)</f>
        <v>0</v>
      </c>
      <c r="I51" s="10">
        <f>SUMIFS('Cutters Consumption Updates'!$F:$F,'Cutters Consumption Updates'!$D:$D,I$1,'Cutters Consumption Updates'!$B:$B,$B51)-SUMIFS('Cutters Consumption Updates'!$E:$E,'Cutters Consumption Updates'!$D:$D,I$1,'Cutters Consumption Updates'!$B:$B,$B51)+ SUMIF('Cutters Consumption Updates'!$AS:$AS,$B51,'Cutters Consumption Updates'!AU:AU)</f>
        <v>0</v>
      </c>
      <c r="J51" s="116">
        <f>SUMIFS('Cutters Consumption Updates'!$F:$F,'Cutters Consumption Updates'!$D:$D,J$1,'Cutters Consumption Updates'!$B:$B,$B51)-SUMIFS('Cutters Consumption Updates'!$E:$E,'Cutters Consumption Updates'!$D:$D,J$1,'Cutters Consumption Updates'!$B:$B,$B51)+ SUMIF('Cutters Consumption Updates'!$AS:$AS,$B51,'Cutters Consumption Updates'!AV:AV)</f>
        <v>0</v>
      </c>
      <c r="K51" s="738">
        <f>SUMIFS('Cutters Consumption Updates'!$F:$F,'Cutters Consumption Updates'!$D:$D,K$1,'Cutters Consumption Updates'!$B:$B,$B51)-SUMIFS('Cutters Consumption Updates'!$E:$E,'Cutters Consumption Updates'!$D:$D,K$1,'Cutters Consumption Updates'!$B:$B,$B51)+ SUMIF('Cutters Consumption Updates'!$AS:$AS,$B51,'Cutters Consumption Updates'!AW:AW)</f>
        <v>0</v>
      </c>
      <c r="L51" s="116">
        <f>SUMIFS('Cutters Consumption Updates'!$F:$F,'Cutters Consumption Updates'!$D:$D,L$1,'Cutters Consumption Updates'!$B:$B,$B51)-SUMIFS('Cutters Consumption Updates'!$E:$E,'Cutters Consumption Updates'!$D:$D,$L$1,'Cutters Consumption Updates'!$B:$B,$B51)+SUMIFS('Cutters Consumption Updates'!$F:$F,'Cutters Consumption Updates'!$D:$D,"Retrofit",'Cutters Consumption Updates'!$B:$B,$B51)-SUMIFS('Cutters Consumption Updates'!$E:$E,'Cutters Consumption Updates'!$D:$D,"Retrofit",'Cutters Consumption Updates'!$B:$B,$B51)+ SUMIF('Cutters Consumption Updates'!$AS:$AS,$B51,'Cutters Consumption Updates'!AX:AX)</f>
        <v>5</v>
      </c>
      <c r="M51" s="810">
        <f t="shared" si="0"/>
        <v>5</v>
      </c>
      <c r="N51" s="810">
        <f ca="1">SUMIFS('Cutters Consumption Updates'!E:E,
        'Cutters Consumption Updates'!B:B, B51,
        'Cutters Consumption Updates'!A:A, "&gt;" &amp; TODAY()-182)</f>
        <v>0</v>
      </c>
      <c r="O51" s="810">
        <f ca="1">SUMIFS('Cutters Consumption Updates'!E:E,
        'Cutters Consumption Updates'!B:B, B51,
        'Cutters Consumption Updates'!A:A, "&gt;" &amp; TODAY()-91)</f>
        <v>0</v>
      </c>
      <c r="P51" s="810">
        <f t="shared" ca="1" si="1"/>
        <v>0</v>
      </c>
      <c r="Q51" s="703">
        <f t="shared" ca="1" si="2"/>
        <v>0</v>
      </c>
      <c r="R51" s="703" t="s">
        <v>29</v>
      </c>
      <c r="S51" s="24">
        <f>IFERROR(INDEX(Table5[],MATCH($B51,Table5[Component],0),2),0)</f>
        <v>0</v>
      </c>
      <c r="T51" s="813">
        <f>SUMIFS(Table7[Balance],Table7[Cutter Mat'#],$B51)</f>
        <v>0</v>
      </c>
      <c r="U51" s="24">
        <f t="shared" si="3"/>
        <v>5</v>
      </c>
      <c r="V51" s="119"/>
      <c r="W51" s="2"/>
      <c r="Y51" s="4">
        <f>IFERROR(INDEX(Table5[],MATCH($B51,Table5[Component],0),2),0)</f>
        <v>0</v>
      </c>
      <c r="Z51" s="4">
        <f>IFERROR(INDEX(Table5[],MATCH($B51,Table5[Component],0),1),0)</f>
        <v>0</v>
      </c>
      <c r="AA51" s="4" t="str">
        <f>IF(Y51&lt;&gt;0,B51,"")</f>
        <v/>
      </c>
      <c r="AB51" s="4" t="str">
        <f t="shared" si="4"/>
        <v/>
      </c>
      <c r="AD51" s="4">
        <f t="shared" si="5"/>
        <v>5</v>
      </c>
      <c r="AE51" s="9"/>
      <c r="AI51" s="248" t="str">
        <f>IFERROR(INDEX($B$1:$AK$243,MATCH(W51,$B$1:$B$243,0),13),"")</f>
        <v/>
      </c>
      <c r="AJ51" s="248" t="str">
        <f>IFERROR(INDEX($B$1:$AK$243,MATCH(W51,$B$1:$B$243,0),15),"")</f>
        <v/>
      </c>
      <c r="AK51">
        <f>SUMIF($W$2:$W$243,B51,$S$2:$S$243)</f>
        <v>0</v>
      </c>
      <c r="AP51">
        <f t="shared" si="6"/>
        <v>0</v>
      </c>
      <c r="AR51">
        <v>717751</v>
      </c>
      <c r="AS51">
        <f>SUMIF($B:$B,AR51,$AP:$AP)</f>
        <v>0</v>
      </c>
    </row>
    <row r="52" spans="1:45" ht="15.65" customHeight="1" x14ac:dyDescent="0.35">
      <c r="A52" s="2">
        <v>51</v>
      </c>
      <c r="B52" s="2">
        <v>930925</v>
      </c>
      <c r="C52" s="2" t="s">
        <v>4447</v>
      </c>
      <c r="D52" s="2" t="s">
        <v>74</v>
      </c>
      <c r="E52" s="2">
        <v>1010</v>
      </c>
      <c r="F52" s="2" t="s">
        <v>248</v>
      </c>
      <c r="G52" s="2" t="s">
        <v>4275</v>
      </c>
      <c r="H52" s="10">
        <f>SUMIFS('Cutters Consumption Updates'!$F:$F,'Cutters Consumption Updates'!$D:$D,H$1,'Cutters Consumption Updates'!$B:$B,$B52)-SUMIFS('Cutters Consumption Updates'!$E:$E,'Cutters Consumption Updates'!$D:$D,H$1,'Cutters Consumption Updates'!$B:$B,$B52)+ SUMIF('Cutters Consumption Updates'!$AS:$AS,$B52,'Cutters Consumption Updates'!AT:AT)</f>
        <v>0</v>
      </c>
      <c r="I52" s="10">
        <f>SUMIFS('Cutters Consumption Updates'!$F:$F,'Cutters Consumption Updates'!$D:$D,I$1,'Cutters Consumption Updates'!$B:$B,$B52)-SUMIFS('Cutters Consumption Updates'!$E:$E,'Cutters Consumption Updates'!$D:$D,I$1,'Cutters Consumption Updates'!$B:$B,$B52)+ SUMIF('Cutters Consumption Updates'!$AS:$AS,$B52,'Cutters Consumption Updates'!AU:AU)</f>
        <v>0</v>
      </c>
      <c r="J52" s="116">
        <f>SUMIFS('Cutters Consumption Updates'!$F:$F,'Cutters Consumption Updates'!$D:$D,J$1,'Cutters Consumption Updates'!$B:$B,$B52)-SUMIFS('Cutters Consumption Updates'!$E:$E,'Cutters Consumption Updates'!$D:$D,J$1,'Cutters Consumption Updates'!$B:$B,$B52)+ SUMIF('Cutters Consumption Updates'!$AS:$AS,$B52,'Cutters Consumption Updates'!AV:AV)</f>
        <v>0</v>
      </c>
      <c r="K52" s="738">
        <f>SUMIFS('Cutters Consumption Updates'!$F:$F,'Cutters Consumption Updates'!$D:$D,K$1,'Cutters Consumption Updates'!$B:$B,$B52)-SUMIFS('Cutters Consumption Updates'!$E:$E,'Cutters Consumption Updates'!$D:$D,K$1,'Cutters Consumption Updates'!$B:$B,$B52)+ SUMIF('Cutters Consumption Updates'!$AS:$AS,$B52,'Cutters Consumption Updates'!AW:AW)</f>
        <v>0</v>
      </c>
      <c r="L52" s="116">
        <f>SUMIFS('Cutters Consumption Updates'!$F:$F,'Cutters Consumption Updates'!$D:$D,L$1,'Cutters Consumption Updates'!$B:$B,$B52)-SUMIFS('Cutters Consumption Updates'!$E:$E,'Cutters Consumption Updates'!$D:$D,$L$1,'Cutters Consumption Updates'!$B:$B,$B52)+SUMIFS('Cutters Consumption Updates'!$F:$F,'Cutters Consumption Updates'!$D:$D,"Retrofit",'Cutters Consumption Updates'!$B:$B,$B52)-SUMIFS('Cutters Consumption Updates'!$E:$E,'Cutters Consumption Updates'!$D:$D,"Retrofit",'Cutters Consumption Updates'!$B:$B,$B52)+ SUMIF('Cutters Consumption Updates'!$AS:$AS,$B52,'Cutters Consumption Updates'!AX:AX)</f>
        <v>0</v>
      </c>
      <c r="M52" s="810">
        <f t="shared" si="0"/>
        <v>0</v>
      </c>
      <c r="N52" s="810">
        <f ca="1">SUMIFS('Cutters Consumption Updates'!E:E,
        'Cutters Consumption Updates'!B:B, B52,
        'Cutters Consumption Updates'!A:A, "&gt;" &amp; TODAY()-182)</f>
        <v>0</v>
      </c>
      <c r="O52" s="810">
        <f ca="1">SUMIFS('Cutters Consumption Updates'!E:E,
        'Cutters Consumption Updates'!B:B, B52,
        'Cutters Consumption Updates'!A:A, "&gt;" &amp; TODAY()-91)</f>
        <v>0</v>
      </c>
      <c r="P52" s="810">
        <f t="shared" ca="1" si="1"/>
        <v>0</v>
      </c>
      <c r="Q52" s="703">
        <f t="shared" ca="1" si="2"/>
        <v>0</v>
      </c>
      <c r="R52" s="703" t="s">
        <v>29</v>
      </c>
      <c r="S52" s="24">
        <f>IFERROR(INDEX(Table5[],MATCH($B52,Table5[Component],0),2),0)</f>
        <v>0</v>
      </c>
      <c r="T52" s="813">
        <f>SUMIFS(Table7[Balance],Table7[Cutter Mat'#],$B52)</f>
        <v>0</v>
      </c>
      <c r="U52" s="24">
        <f t="shared" si="3"/>
        <v>0</v>
      </c>
      <c r="V52" s="119"/>
      <c r="W52" s="2"/>
      <c r="Y52" s="4">
        <f>IFERROR(INDEX(Table5[],MATCH($B52,Table5[Component],0),2),0)</f>
        <v>0</v>
      </c>
      <c r="Z52" s="4">
        <f>IFERROR(INDEX(Table5[],MATCH($B52,Table5[Component],0),1),0)</f>
        <v>0</v>
      </c>
      <c r="AA52" s="4" t="str">
        <f>IF(Y52&lt;&gt;0,B52,"")</f>
        <v/>
      </c>
      <c r="AB52" s="4" t="str">
        <f t="shared" si="4"/>
        <v/>
      </c>
      <c r="AD52" s="4">
        <f t="shared" si="5"/>
        <v>0</v>
      </c>
      <c r="AE52" s="9"/>
      <c r="AI52" s="248" t="str">
        <f>IFERROR(INDEX($B$1:$AK$243,MATCH(W52,$B$1:$B$243,0),13),"")</f>
        <v/>
      </c>
      <c r="AJ52" s="248" t="str">
        <f>IFERROR(INDEX($B$1:$AK$243,MATCH(W52,$B$1:$B$243,0),15),"")</f>
        <v/>
      </c>
      <c r="AK52">
        <f>SUMIF($W$2:$W$243,B52,$S$2:$S$243)</f>
        <v>0</v>
      </c>
      <c r="AP52">
        <f t="shared" si="6"/>
        <v>0</v>
      </c>
      <c r="AR52">
        <v>729434</v>
      </c>
      <c r="AS52">
        <f>SUMIF($B:$B,AR52,$AP:$AP)</f>
        <v>0</v>
      </c>
    </row>
    <row r="53" spans="1:45" ht="15.65" customHeight="1" x14ac:dyDescent="0.35">
      <c r="A53" s="2">
        <v>52</v>
      </c>
      <c r="B53" s="2">
        <v>752563</v>
      </c>
      <c r="C53" s="2" t="s">
        <v>4448</v>
      </c>
      <c r="D53" s="2" t="s">
        <v>76</v>
      </c>
      <c r="E53" s="2">
        <v>1010</v>
      </c>
      <c r="F53" s="2" t="s">
        <v>253</v>
      </c>
      <c r="G53" s="2" t="s">
        <v>28</v>
      </c>
      <c r="H53" s="10">
        <f>SUMIFS('Cutters Consumption Updates'!$F:$F,'Cutters Consumption Updates'!$D:$D,H$1,'Cutters Consumption Updates'!$B:$B,$B53)-SUMIFS('Cutters Consumption Updates'!$E:$E,'Cutters Consumption Updates'!$D:$D,H$1,'Cutters Consumption Updates'!$B:$B,$B53)+ SUMIF('Cutters Consumption Updates'!$AS:$AS,$B53,'Cutters Consumption Updates'!AT:AT)</f>
        <v>0</v>
      </c>
      <c r="I53" s="10">
        <f>SUMIFS('Cutters Consumption Updates'!$F:$F,'Cutters Consumption Updates'!$D:$D,I$1,'Cutters Consumption Updates'!$B:$B,$B53)-SUMIFS('Cutters Consumption Updates'!$E:$E,'Cutters Consumption Updates'!$D:$D,I$1,'Cutters Consumption Updates'!$B:$B,$B53)+ SUMIF('Cutters Consumption Updates'!$AS:$AS,$B53,'Cutters Consumption Updates'!AU:AU)</f>
        <v>0</v>
      </c>
      <c r="J53" s="116">
        <f>SUMIFS('Cutters Consumption Updates'!$F:$F,'Cutters Consumption Updates'!$D:$D,J$1,'Cutters Consumption Updates'!$B:$B,$B53)-SUMIFS('Cutters Consumption Updates'!$E:$E,'Cutters Consumption Updates'!$D:$D,J$1,'Cutters Consumption Updates'!$B:$B,$B53)+ SUMIF('Cutters Consumption Updates'!$AS:$AS,$B53,'Cutters Consumption Updates'!AV:AV)</f>
        <v>0</v>
      </c>
      <c r="K53" s="738">
        <f>SUMIFS('Cutters Consumption Updates'!$F:$F,'Cutters Consumption Updates'!$D:$D,K$1,'Cutters Consumption Updates'!$B:$B,$B53)-SUMIFS('Cutters Consumption Updates'!$E:$E,'Cutters Consumption Updates'!$D:$D,K$1,'Cutters Consumption Updates'!$B:$B,$B53)+ SUMIF('Cutters Consumption Updates'!$AS:$AS,$B53,'Cutters Consumption Updates'!AW:AW)</f>
        <v>0</v>
      </c>
      <c r="L53" s="116">
        <f>SUMIFS('Cutters Consumption Updates'!$F:$F,'Cutters Consumption Updates'!$D:$D,L$1,'Cutters Consumption Updates'!$B:$B,$B53)-SUMIFS('Cutters Consumption Updates'!$E:$E,'Cutters Consumption Updates'!$D:$D,$L$1,'Cutters Consumption Updates'!$B:$B,$B53)+SUMIFS('Cutters Consumption Updates'!$F:$F,'Cutters Consumption Updates'!$D:$D,"Retrofit",'Cutters Consumption Updates'!$B:$B,$B53)-SUMIFS('Cutters Consumption Updates'!$E:$E,'Cutters Consumption Updates'!$D:$D,"Retrofit",'Cutters Consumption Updates'!$B:$B,$B53)+ SUMIF('Cutters Consumption Updates'!$AS:$AS,$B53,'Cutters Consumption Updates'!AX:AX)</f>
        <v>0</v>
      </c>
      <c r="M53" s="810">
        <f t="shared" si="0"/>
        <v>0</v>
      </c>
      <c r="N53" s="810">
        <f ca="1">SUMIFS('Cutters Consumption Updates'!E:E,
        'Cutters Consumption Updates'!B:B, B53,
        'Cutters Consumption Updates'!A:A, "&gt;" &amp; TODAY()-182)</f>
        <v>0</v>
      </c>
      <c r="O53" s="810">
        <f ca="1">SUMIFS('Cutters Consumption Updates'!E:E,
        'Cutters Consumption Updates'!B:B, B53,
        'Cutters Consumption Updates'!A:A, "&gt;" &amp; TODAY()-91)</f>
        <v>0</v>
      </c>
      <c r="P53" s="810">
        <f t="shared" ca="1" si="1"/>
        <v>0</v>
      </c>
      <c r="Q53" s="703">
        <f t="shared" ca="1" si="2"/>
        <v>0</v>
      </c>
      <c r="R53" s="703" t="s">
        <v>29</v>
      </c>
      <c r="S53" s="24">
        <f>IFERROR(INDEX(Table5[],MATCH($B53,Table5[Component],0),2),0)</f>
        <v>0</v>
      </c>
      <c r="T53" s="813">
        <f>SUMIFS(Table7[Balance],Table7[Cutter Mat'#],$B53)</f>
        <v>0</v>
      </c>
      <c r="U53" s="24">
        <f t="shared" si="3"/>
        <v>0</v>
      </c>
      <c r="V53" s="119"/>
      <c r="W53" s="2"/>
      <c r="Y53" s="4">
        <f>IFERROR(INDEX(Table5[],MATCH($B53,Table5[Component],0),2),0)</f>
        <v>0</v>
      </c>
      <c r="Z53" s="4">
        <f>IFERROR(INDEX(Table5[],MATCH($B53,Table5[Component],0),1),0)</f>
        <v>0</v>
      </c>
      <c r="AA53" s="4" t="str">
        <f>IF(Y53&lt;&gt;0,B53,"")</f>
        <v/>
      </c>
      <c r="AB53" s="4" t="str">
        <f t="shared" si="4"/>
        <v/>
      </c>
      <c r="AD53" s="4">
        <f t="shared" si="5"/>
        <v>0</v>
      </c>
      <c r="AE53" s="9"/>
      <c r="AI53" s="248" t="str">
        <f>IFERROR(INDEX($B$1:$AK$243,MATCH(W53,$B$1:$B$243,0),13),"")</f>
        <v/>
      </c>
      <c r="AJ53" s="248" t="str">
        <f>IFERROR(INDEX($B$1:$AK$243,MATCH(W53,$B$1:$B$243,0),15),"")</f>
        <v/>
      </c>
      <c r="AK53">
        <f>SUMIF($W$2:$W$243,B53,$S$2:$S$243)</f>
        <v>0</v>
      </c>
      <c r="AP53">
        <f t="shared" si="6"/>
        <v>0</v>
      </c>
      <c r="AR53">
        <v>729435</v>
      </c>
      <c r="AS53">
        <f>SUMIF($B:$B,AR53,$AP:$AP)</f>
        <v>0</v>
      </c>
    </row>
    <row r="54" spans="1:45" ht="15.65" customHeight="1" x14ac:dyDescent="0.35">
      <c r="A54" s="2">
        <v>53</v>
      </c>
      <c r="B54" s="2">
        <v>708306</v>
      </c>
      <c r="C54" s="2" t="s">
        <v>4296</v>
      </c>
      <c r="D54" s="2" t="s">
        <v>51</v>
      </c>
      <c r="E54" s="2">
        <v>1913</v>
      </c>
      <c r="F54" s="2" t="s">
        <v>253</v>
      </c>
      <c r="G54" s="2" t="s">
        <v>47</v>
      </c>
      <c r="H54" s="10">
        <f>SUMIFS('Cutters Consumption Updates'!$F:$F,'Cutters Consumption Updates'!$D:$D,H$1,'Cutters Consumption Updates'!$B:$B,$B54)-SUMIFS('Cutters Consumption Updates'!$E:$E,'Cutters Consumption Updates'!$D:$D,H$1,'Cutters Consumption Updates'!$B:$B,$B54)+ SUMIF('Cutters Consumption Updates'!$AS:$AS,$B54,'Cutters Consumption Updates'!AT:AT)</f>
        <v>0</v>
      </c>
      <c r="I54" s="10">
        <f>SUMIFS('Cutters Consumption Updates'!$F:$F,'Cutters Consumption Updates'!$D:$D,I$1,'Cutters Consumption Updates'!$B:$B,$B54)-SUMIFS('Cutters Consumption Updates'!$E:$E,'Cutters Consumption Updates'!$D:$D,I$1,'Cutters Consumption Updates'!$B:$B,$B54)+ SUMIF('Cutters Consumption Updates'!$AS:$AS,$B54,'Cutters Consumption Updates'!AU:AU)</f>
        <v>0</v>
      </c>
      <c r="J54" s="116">
        <f>SUMIFS('Cutters Consumption Updates'!$F:$F,'Cutters Consumption Updates'!$D:$D,J$1,'Cutters Consumption Updates'!$B:$B,$B54)-SUMIFS('Cutters Consumption Updates'!$E:$E,'Cutters Consumption Updates'!$D:$D,J$1,'Cutters Consumption Updates'!$B:$B,$B54)+ SUMIF('Cutters Consumption Updates'!$AS:$AS,$B54,'Cutters Consumption Updates'!AV:AV)</f>
        <v>0</v>
      </c>
      <c r="K54" s="738">
        <f>SUMIFS('Cutters Consumption Updates'!$F:$F,'Cutters Consumption Updates'!$D:$D,K$1,'Cutters Consumption Updates'!$B:$B,$B54)-SUMIFS('Cutters Consumption Updates'!$E:$E,'Cutters Consumption Updates'!$D:$D,K$1,'Cutters Consumption Updates'!$B:$B,$B54)+ SUMIF('Cutters Consumption Updates'!$AS:$AS,$B54,'Cutters Consumption Updates'!AW:AW)</f>
        <v>1</v>
      </c>
      <c r="L54" s="116">
        <f>SUMIFS('Cutters Consumption Updates'!$F:$F,'Cutters Consumption Updates'!$D:$D,L$1,'Cutters Consumption Updates'!$B:$B,$B54)-SUMIFS('Cutters Consumption Updates'!$E:$E,'Cutters Consumption Updates'!$D:$D,$L$1,'Cutters Consumption Updates'!$B:$B,$B54)+SUMIFS('Cutters Consumption Updates'!$F:$F,'Cutters Consumption Updates'!$D:$D,"Retrofit",'Cutters Consumption Updates'!$B:$B,$B54)-SUMIFS('Cutters Consumption Updates'!$E:$E,'Cutters Consumption Updates'!$D:$D,"Retrofit",'Cutters Consumption Updates'!$B:$B,$B54)+ SUMIF('Cutters Consumption Updates'!$AS:$AS,$B54,'Cutters Consumption Updates'!AX:AX)</f>
        <v>146</v>
      </c>
      <c r="M54" s="810">
        <f t="shared" si="0"/>
        <v>146</v>
      </c>
      <c r="N54" s="810">
        <f ca="1">SUMIFS('Cutters Consumption Updates'!E:E,
        'Cutters Consumption Updates'!B:B, B54,
        'Cutters Consumption Updates'!A:A, "&gt;" &amp; TODAY()-182)</f>
        <v>82</v>
      </c>
      <c r="O54" s="810">
        <f ca="1">SUMIFS('Cutters Consumption Updates'!E:E,
        'Cutters Consumption Updates'!B:B, B54,
        'Cutters Consumption Updates'!A:A, "&gt;" &amp; TODAY()-91)</f>
        <v>82</v>
      </c>
      <c r="P54" s="810">
        <f t="shared" ca="1" si="1"/>
        <v>28</v>
      </c>
      <c r="Q54" s="703">
        <f t="shared" ca="1" si="2"/>
        <v>30</v>
      </c>
      <c r="R54" s="703" t="s">
        <v>77</v>
      </c>
      <c r="S54" s="24">
        <f>IFERROR(INDEX(Table5[],MATCH($B54,Table5[Component],0),2),0)</f>
        <v>272</v>
      </c>
      <c r="T54" s="813">
        <f>SUMIFS(Table7[Balance],Table7[Cutter Mat'#],$B54)</f>
        <v>0</v>
      </c>
      <c r="U54" s="24">
        <f t="shared" si="3"/>
        <v>-126</v>
      </c>
      <c r="V54" s="119"/>
      <c r="W54" s="2"/>
      <c r="Y54" s="4">
        <f>IFERROR(INDEX(Table5[],MATCH($B54,Table5[Component],0),2),0)</f>
        <v>272</v>
      </c>
      <c r="Z54" s="4">
        <f>IFERROR(INDEX(Table5[],MATCH($B54,Table5[Component],0),1),0)</f>
        <v>708306</v>
      </c>
      <c r="AA54" s="4">
        <f>IF(Y54&lt;&gt;0,B54,"")</f>
        <v>708306</v>
      </c>
      <c r="AB54" s="4" t="str">
        <f t="shared" si="4"/>
        <v/>
      </c>
      <c r="AD54" s="4">
        <f t="shared" si="5"/>
        <v>146</v>
      </c>
      <c r="AE54" s="9"/>
      <c r="AI54" s="248" t="str">
        <f>IFERROR(INDEX($B$1:$AK$243,MATCH(W54,$B$1:$B$243,0),13),"")</f>
        <v/>
      </c>
      <c r="AJ54" s="248" t="str">
        <f>IFERROR(INDEX($B$1:$AK$243,MATCH(W54,$B$1:$B$243,0),15),"")</f>
        <v/>
      </c>
      <c r="AK54">
        <f>SUMIF($W$2:$W$243,B54,$S$2:$S$243)</f>
        <v>0</v>
      </c>
      <c r="AP54">
        <f t="shared" si="6"/>
        <v>0</v>
      </c>
      <c r="AR54">
        <v>729687</v>
      </c>
      <c r="AS54">
        <f>SUMIF($B:$B,AR54,$AP:$AP)</f>
        <v>0</v>
      </c>
    </row>
    <row r="55" spans="1:45" ht="15.65" customHeight="1" x14ac:dyDescent="0.35">
      <c r="A55" s="2">
        <v>54</v>
      </c>
      <c r="B55" s="2">
        <v>744015</v>
      </c>
      <c r="C55" s="2" t="s">
        <v>4449</v>
      </c>
      <c r="D55" s="2" t="s">
        <v>76</v>
      </c>
      <c r="E55" s="2">
        <v>1613</v>
      </c>
      <c r="F55" s="2" t="s">
        <v>253</v>
      </c>
      <c r="G55" s="2" t="s">
        <v>28</v>
      </c>
      <c r="H55" s="10">
        <f>SUMIFS('Cutters Consumption Updates'!$F:$F,'Cutters Consumption Updates'!$D:$D,H$1,'Cutters Consumption Updates'!$B:$B,$B55)-SUMIFS('Cutters Consumption Updates'!$E:$E,'Cutters Consumption Updates'!$D:$D,H$1,'Cutters Consumption Updates'!$B:$B,$B55)+ SUMIF('Cutters Consumption Updates'!$AS:$AS,$B55,'Cutters Consumption Updates'!AT:AT)</f>
        <v>0</v>
      </c>
      <c r="I55" s="10">
        <f>SUMIFS('Cutters Consumption Updates'!$F:$F,'Cutters Consumption Updates'!$D:$D,I$1,'Cutters Consumption Updates'!$B:$B,$B55)-SUMIFS('Cutters Consumption Updates'!$E:$E,'Cutters Consumption Updates'!$D:$D,I$1,'Cutters Consumption Updates'!$B:$B,$B55)+ SUMIF('Cutters Consumption Updates'!$AS:$AS,$B55,'Cutters Consumption Updates'!AU:AU)</f>
        <v>0</v>
      </c>
      <c r="J55" s="116">
        <f>SUMIFS('Cutters Consumption Updates'!$F:$F,'Cutters Consumption Updates'!$D:$D,J$1,'Cutters Consumption Updates'!$B:$B,$B55)-SUMIFS('Cutters Consumption Updates'!$E:$E,'Cutters Consumption Updates'!$D:$D,J$1,'Cutters Consumption Updates'!$B:$B,$B55)+ SUMIF('Cutters Consumption Updates'!$AS:$AS,$B55,'Cutters Consumption Updates'!AV:AV)</f>
        <v>0</v>
      </c>
      <c r="K55" s="738">
        <f>SUMIFS('Cutters Consumption Updates'!$F:$F,'Cutters Consumption Updates'!$D:$D,K$1,'Cutters Consumption Updates'!$B:$B,$B55)-SUMIFS('Cutters Consumption Updates'!$E:$E,'Cutters Consumption Updates'!$D:$D,K$1,'Cutters Consumption Updates'!$B:$B,$B55)+ SUMIF('Cutters Consumption Updates'!$AS:$AS,$B55,'Cutters Consumption Updates'!AW:AW)</f>
        <v>0</v>
      </c>
      <c r="L55" s="116">
        <f>SUMIFS('Cutters Consumption Updates'!$F:$F,'Cutters Consumption Updates'!$D:$D,L$1,'Cutters Consumption Updates'!$B:$B,$B55)-SUMIFS('Cutters Consumption Updates'!$E:$E,'Cutters Consumption Updates'!$D:$D,$L$1,'Cutters Consumption Updates'!$B:$B,$B55)+SUMIFS('Cutters Consumption Updates'!$F:$F,'Cutters Consumption Updates'!$D:$D,"Retrofit",'Cutters Consumption Updates'!$B:$B,$B55)-SUMIFS('Cutters Consumption Updates'!$E:$E,'Cutters Consumption Updates'!$D:$D,"Retrofit",'Cutters Consumption Updates'!$B:$B,$B55)+ SUMIF('Cutters Consumption Updates'!$AS:$AS,$B55,'Cutters Consumption Updates'!AX:AX)</f>
        <v>0</v>
      </c>
      <c r="M55" s="810">
        <f t="shared" si="0"/>
        <v>0</v>
      </c>
      <c r="N55" s="810">
        <f ca="1">SUMIFS('Cutters Consumption Updates'!E:E,
        'Cutters Consumption Updates'!B:B, B55,
        'Cutters Consumption Updates'!A:A, "&gt;" &amp; TODAY()-182)</f>
        <v>0</v>
      </c>
      <c r="O55" s="810">
        <f ca="1">SUMIFS('Cutters Consumption Updates'!E:E,
        'Cutters Consumption Updates'!B:B, B55,
        'Cutters Consumption Updates'!A:A, "&gt;" &amp; TODAY()-91)</f>
        <v>0</v>
      </c>
      <c r="P55" s="810">
        <f t="shared" ca="1" si="1"/>
        <v>0</v>
      </c>
      <c r="Q55" s="703">
        <f t="shared" ca="1" si="2"/>
        <v>0</v>
      </c>
      <c r="R55" s="703" t="s">
        <v>29</v>
      </c>
      <c r="S55" s="24">
        <f>IFERROR(INDEX(Table5[],MATCH($B55,Table5[Component],0),2),0)</f>
        <v>0</v>
      </c>
      <c r="T55" s="813">
        <f>SUMIFS(Table7[Balance],Table7[Cutter Mat'#],$B55)</f>
        <v>0</v>
      </c>
      <c r="U55" s="24">
        <f t="shared" si="3"/>
        <v>0</v>
      </c>
      <c r="V55" s="119"/>
      <c r="W55" s="2"/>
      <c r="Y55" s="4">
        <f>IFERROR(INDEX(Table5[],MATCH($B55,Table5[Component],0),2),0)</f>
        <v>0</v>
      </c>
      <c r="Z55" s="4">
        <f>IFERROR(INDEX(Table5[],MATCH($B55,Table5[Component],0),1),0)</f>
        <v>0</v>
      </c>
      <c r="AA55" s="4" t="str">
        <f>IF(Y55&lt;&gt;0,B55,"")</f>
        <v/>
      </c>
      <c r="AB55" s="4" t="str">
        <f t="shared" si="4"/>
        <v/>
      </c>
      <c r="AD55" s="4">
        <f t="shared" si="5"/>
        <v>0</v>
      </c>
      <c r="AE55" s="9"/>
      <c r="AI55" s="248" t="str">
        <f>IFERROR(INDEX($B$1:$AK$243,MATCH(W55,$B$1:$B$243,0),13),"")</f>
        <v/>
      </c>
      <c r="AJ55" s="248" t="str">
        <f>IFERROR(INDEX($B$1:$AK$243,MATCH(W55,$B$1:$B$243,0),15),"")</f>
        <v/>
      </c>
      <c r="AK55">
        <f>SUMIF($W$2:$W$243,B55,$S$2:$S$243)</f>
        <v>0</v>
      </c>
      <c r="AP55">
        <f t="shared" si="6"/>
        <v>0</v>
      </c>
      <c r="AR55">
        <v>729688</v>
      </c>
      <c r="AS55">
        <f>SUMIF($B:$B,AR55,$AP:$AP)</f>
        <v>0</v>
      </c>
    </row>
    <row r="56" spans="1:45" ht="15.65" customHeight="1" x14ac:dyDescent="0.35">
      <c r="A56" s="2">
        <v>55</v>
      </c>
      <c r="B56" s="2">
        <v>932725</v>
      </c>
      <c r="C56" s="807" t="s">
        <v>4450</v>
      </c>
      <c r="D56" s="807" t="s">
        <v>78</v>
      </c>
      <c r="E56" s="807">
        <v>1313</v>
      </c>
      <c r="F56" s="807" t="s">
        <v>248</v>
      </c>
      <c r="G56" s="807" t="s">
        <v>47</v>
      </c>
      <c r="H56" s="10">
        <f>SUMIFS('Cutters Consumption Updates'!$F:$F,'Cutters Consumption Updates'!$D:$D,H$1,'Cutters Consumption Updates'!$B:$B,$B56)-SUMIFS('Cutters Consumption Updates'!$E:$E,'Cutters Consumption Updates'!$D:$D,H$1,'Cutters Consumption Updates'!$B:$B,$B56)+ SUMIF('Cutters Consumption Updates'!$AS:$AS,$B56,'Cutters Consumption Updates'!AT:AT)</f>
        <v>0</v>
      </c>
      <c r="I56" s="10">
        <f>SUMIFS('Cutters Consumption Updates'!$F:$F,'Cutters Consumption Updates'!$D:$D,I$1,'Cutters Consumption Updates'!$B:$B,$B56)-SUMIFS('Cutters Consumption Updates'!$E:$E,'Cutters Consumption Updates'!$D:$D,I$1,'Cutters Consumption Updates'!$B:$B,$B56)+ SUMIF('Cutters Consumption Updates'!$AS:$AS,$B56,'Cutters Consumption Updates'!AU:AU)</f>
        <v>0</v>
      </c>
      <c r="J56" s="116">
        <f>SUMIFS('Cutters Consumption Updates'!$F:$F,'Cutters Consumption Updates'!$D:$D,J$1,'Cutters Consumption Updates'!$B:$B,$B56)-SUMIFS('Cutters Consumption Updates'!$E:$E,'Cutters Consumption Updates'!$D:$D,J$1,'Cutters Consumption Updates'!$B:$B,$B56)+ SUMIF('Cutters Consumption Updates'!$AS:$AS,$B56,'Cutters Consumption Updates'!AV:AV)</f>
        <v>0</v>
      </c>
      <c r="K56" s="738">
        <f>SUMIFS('Cutters Consumption Updates'!$F:$F,'Cutters Consumption Updates'!$D:$D,K$1,'Cutters Consumption Updates'!$B:$B,$B56)-SUMIFS('Cutters Consumption Updates'!$E:$E,'Cutters Consumption Updates'!$D:$D,K$1,'Cutters Consumption Updates'!$B:$B,$B56)+ SUMIF('Cutters Consumption Updates'!$AS:$AS,$B56,'Cutters Consumption Updates'!AW:AW)</f>
        <v>0</v>
      </c>
      <c r="L56" s="116">
        <f>SUMIFS('Cutters Consumption Updates'!$F:$F,'Cutters Consumption Updates'!$D:$D,L$1,'Cutters Consumption Updates'!$B:$B,$B56)-SUMIFS('Cutters Consumption Updates'!$E:$E,'Cutters Consumption Updates'!$D:$D,$L$1,'Cutters Consumption Updates'!$B:$B,$B56)+SUMIFS('Cutters Consumption Updates'!$F:$F,'Cutters Consumption Updates'!$D:$D,"Retrofit",'Cutters Consumption Updates'!$B:$B,$B56)-SUMIFS('Cutters Consumption Updates'!$E:$E,'Cutters Consumption Updates'!$D:$D,"Retrofit",'Cutters Consumption Updates'!$B:$B,$B56)+ SUMIF('Cutters Consumption Updates'!$AS:$AS,$B56,'Cutters Consumption Updates'!AX:AX)</f>
        <v>0</v>
      </c>
      <c r="M56" s="810">
        <f t="shared" si="0"/>
        <v>0</v>
      </c>
      <c r="N56" s="810">
        <f ca="1">SUMIFS('Cutters Consumption Updates'!E:E,
        'Cutters Consumption Updates'!B:B, B56,
        'Cutters Consumption Updates'!A:A, "&gt;" &amp; TODAY()-182)</f>
        <v>0</v>
      </c>
      <c r="O56" s="810">
        <f ca="1">SUMIFS('Cutters Consumption Updates'!E:E,
        'Cutters Consumption Updates'!B:B, B56,
        'Cutters Consumption Updates'!A:A, "&gt;" &amp; TODAY()-91)</f>
        <v>0</v>
      </c>
      <c r="P56" s="810">
        <f t="shared" ca="1" si="1"/>
        <v>0</v>
      </c>
      <c r="Q56" s="703">
        <f t="shared" ca="1" si="2"/>
        <v>0</v>
      </c>
      <c r="R56" s="703" t="s">
        <v>29</v>
      </c>
      <c r="S56" s="24">
        <f>IFERROR(INDEX(Table5[],MATCH($B56,Table5[Component],0),2),0)</f>
        <v>0</v>
      </c>
      <c r="T56" s="813">
        <f>SUMIFS(Table7[Balance],Table7[Cutter Mat'#],$B56)</f>
        <v>0</v>
      </c>
      <c r="U56" s="24">
        <f t="shared" si="3"/>
        <v>0</v>
      </c>
      <c r="V56" s="119"/>
      <c r="W56" s="2"/>
      <c r="Y56" s="4">
        <f>IFERROR(INDEX(Table5[],MATCH($B56,Table5[Component],0),2),0)</f>
        <v>0</v>
      </c>
      <c r="Z56" s="4">
        <f>IFERROR(INDEX(Table5[],MATCH($B56,Table5[Component],0),1),0)</f>
        <v>0</v>
      </c>
      <c r="AA56" s="4" t="str">
        <f>IF(Y56&lt;&gt;0,B56,"")</f>
        <v/>
      </c>
      <c r="AB56" s="4" t="str">
        <f t="shared" si="4"/>
        <v/>
      </c>
      <c r="AD56" s="4">
        <f t="shared" si="5"/>
        <v>0</v>
      </c>
      <c r="AE56" s="9"/>
      <c r="AI56" s="248" t="str">
        <f>IFERROR(INDEX($B$1:$AK$243,MATCH(W56,$B$1:$B$243,0),13),"")</f>
        <v/>
      </c>
      <c r="AJ56" s="248" t="str">
        <f>IFERROR(INDEX($B$1:$AK$243,MATCH(W56,$B$1:$B$243,0),15),"")</f>
        <v/>
      </c>
      <c r="AK56">
        <f>SUMIF($W$2:$W$243,B56,$S$2:$S$243)</f>
        <v>0</v>
      </c>
      <c r="AP56">
        <f t="shared" si="6"/>
        <v>0</v>
      </c>
      <c r="AR56">
        <v>729689</v>
      </c>
      <c r="AS56">
        <f>SUMIF($B:$B,AR56,$AP:$AP)</f>
        <v>0</v>
      </c>
    </row>
    <row r="57" spans="1:45" ht="15.65" customHeight="1" x14ac:dyDescent="0.35">
      <c r="A57" s="2">
        <v>56</v>
      </c>
      <c r="B57" s="2">
        <v>983094</v>
      </c>
      <c r="C57" s="2" t="s">
        <v>4451</v>
      </c>
      <c r="D57" s="2" t="s">
        <v>79</v>
      </c>
      <c r="E57" s="2">
        <v>1308</v>
      </c>
      <c r="F57" s="2" t="s">
        <v>253</v>
      </c>
      <c r="G57" s="2" t="s">
        <v>4275</v>
      </c>
      <c r="H57" s="10">
        <f>SUMIFS('Cutters Consumption Updates'!$F:$F,'Cutters Consumption Updates'!$D:$D,H$1,'Cutters Consumption Updates'!$B:$B,$B57)-SUMIFS('Cutters Consumption Updates'!$E:$E,'Cutters Consumption Updates'!$D:$D,H$1,'Cutters Consumption Updates'!$B:$B,$B57)+ SUMIF('Cutters Consumption Updates'!$AS:$AS,$B57,'Cutters Consumption Updates'!AT:AT)</f>
        <v>0</v>
      </c>
      <c r="I57" s="10">
        <f>SUMIFS('Cutters Consumption Updates'!$F:$F,'Cutters Consumption Updates'!$D:$D,I$1,'Cutters Consumption Updates'!$B:$B,$B57)-SUMIFS('Cutters Consumption Updates'!$E:$E,'Cutters Consumption Updates'!$D:$D,I$1,'Cutters Consumption Updates'!$B:$B,$B57)+ SUMIF('Cutters Consumption Updates'!$AS:$AS,$B57,'Cutters Consumption Updates'!AU:AU)</f>
        <v>0</v>
      </c>
      <c r="J57" s="116">
        <f>SUMIFS('Cutters Consumption Updates'!$F:$F,'Cutters Consumption Updates'!$D:$D,J$1,'Cutters Consumption Updates'!$B:$B,$B57)-SUMIFS('Cutters Consumption Updates'!$E:$E,'Cutters Consumption Updates'!$D:$D,J$1,'Cutters Consumption Updates'!$B:$B,$B57)+ SUMIF('Cutters Consumption Updates'!$AS:$AS,$B57,'Cutters Consumption Updates'!AV:AV)</f>
        <v>0</v>
      </c>
      <c r="K57" s="738">
        <f>SUMIFS('Cutters Consumption Updates'!$F:$F,'Cutters Consumption Updates'!$D:$D,K$1,'Cutters Consumption Updates'!$B:$B,$B57)-SUMIFS('Cutters Consumption Updates'!$E:$E,'Cutters Consumption Updates'!$D:$D,K$1,'Cutters Consumption Updates'!$B:$B,$B57)+ SUMIF('Cutters Consumption Updates'!$AS:$AS,$B57,'Cutters Consumption Updates'!AW:AW)</f>
        <v>0</v>
      </c>
      <c r="L57" s="116">
        <f>SUMIFS('Cutters Consumption Updates'!$F:$F,'Cutters Consumption Updates'!$D:$D,L$1,'Cutters Consumption Updates'!$B:$B,$B57)-SUMIFS('Cutters Consumption Updates'!$E:$E,'Cutters Consumption Updates'!$D:$D,$L$1,'Cutters Consumption Updates'!$B:$B,$B57)+SUMIFS('Cutters Consumption Updates'!$F:$F,'Cutters Consumption Updates'!$D:$D,"Retrofit",'Cutters Consumption Updates'!$B:$B,$B57)-SUMIFS('Cutters Consumption Updates'!$E:$E,'Cutters Consumption Updates'!$D:$D,"Retrofit",'Cutters Consumption Updates'!$B:$B,$B57)+ SUMIF('Cutters Consumption Updates'!$AS:$AS,$B57,'Cutters Consumption Updates'!AX:AX)</f>
        <v>0</v>
      </c>
      <c r="M57" s="810">
        <f t="shared" si="0"/>
        <v>0</v>
      </c>
      <c r="N57" s="810">
        <f ca="1">SUMIFS('Cutters Consumption Updates'!E:E,
        'Cutters Consumption Updates'!B:B, B57,
        'Cutters Consumption Updates'!A:A, "&gt;" &amp; TODAY()-182)</f>
        <v>0</v>
      </c>
      <c r="O57" s="810">
        <f ca="1">SUMIFS('Cutters Consumption Updates'!E:E,
        'Cutters Consumption Updates'!B:B, B57,
        'Cutters Consumption Updates'!A:A, "&gt;" &amp; TODAY()-91)</f>
        <v>0</v>
      </c>
      <c r="P57" s="810">
        <f t="shared" ca="1" si="1"/>
        <v>0</v>
      </c>
      <c r="Q57" s="703">
        <f t="shared" ca="1" si="2"/>
        <v>0</v>
      </c>
      <c r="R57" s="703" t="s">
        <v>29</v>
      </c>
      <c r="S57" s="24">
        <f>IFERROR(INDEX(Table5[],MATCH($B57,Table5[Component],0),2),0)</f>
        <v>0</v>
      </c>
      <c r="T57" s="813">
        <f>SUMIFS(Table7[Balance],Table7[Cutter Mat'#],$B57)</f>
        <v>0</v>
      </c>
      <c r="U57" s="24">
        <f t="shared" si="3"/>
        <v>0</v>
      </c>
      <c r="V57" s="119"/>
      <c r="W57" s="2"/>
      <c r="Y57" s="4">
        <f>IFERROR(INDEX(Table5[],MATCH($B57,Table5[Component],0),2),0)</f>
        <v>0</v>
      </c>
      <c r="Z57" s="4">
        <f>IFERROR(INDEX(Table5[],MATCH($B57,Table5[Component],0),1),0)</f>
        <v>0</v>
      </c>
      <c r="AA57" s="4" t="str">
        <f>IF(Y57&lt;&gt;0,B57,"")</f>
        <v/>
      </c>
      <c r="AB57" s="4" t="str">
        <f t="shared" si="4"/>
        <v/>
      </c>
      <c r="AD57" s="4">
        <f t="shared" si="5"/>
        <v>0</v>
      </c>
      <c r="AE57" s="9"/>
      <c r="AI57" s="248" t="str">
        <f>IFERROR(INDEX($B$1:$AK$243,MATCH(W57,$B$1:$B$243,0),13),"")</f>
        <v/>
      </c>
      <c r="AJ57" s="248" t="str">
        <f>IFERROR(INDEX($B$1:$AK$243,MATCH(W57,$B$1:$B$243,0),15),"")</f>
        <v/>
      </c>
      <c r="AK57">
        <f>SUMIF($W$2:$W$243,B57,$S$2:$S$243)</f>
        <v>0</v>
      </c>
      <c r="AP57">
        <f t="shared" si="6"/>
        <v>0</v>
      </c>
      <c r="AR57">
        <v>729690</v>
      </c>
      <c r="AS57">
        <f>SUMIF($B:$B,AR57,$AP:$AP)</f>
        <v>0</v>
      </c>
    </row>
    <row r="58" spans="1:45" ht="15.65" customHeight="1" x14ac:dyDescent="0.35">
      <c r="A58" s="2">
        <v>57</v>
      </c>
      <c r="B58" s="2">
        <v>752555</v>
      </c>
      <c r="C58" s="2" t="s">
        <v>4297</v>
      </c>
      <c r="D58" s="2" t="s">
        <v>76</v>
      </c>
      <c r="E58" s="2">
        <v>1313</v>
      </c>
      <c r="F58" s="2" t="s">
        <v>253</v>
      </c>
      <c r="G58" s="2" t="s">
        <v>28</v>
      </c>
      <c r="H58" s="10">
        <f>SUMIFS('Cutters Consumption Updates'!$F:$F,'Cutters Consumption Updates'!$D:$D,H$1,'Cutters Consumption Updates'!$B:$B,$B58)-SUMIFS('Cutters Consumption Updates'!$E:$E,'Cutters Consumption Updates'!$D:$D,H$1,'Cutters Consumption Updates'!$B:$B,$B58)+ SUMIF('Cutters Consumption Updates'!$AS:$AS,$B58,'Cutters Consumption Updates'!AT:AT)</f>
        <v>0</v>
      </c>
      <c r="I58" s="10">
        <f>SUMIFS('Cutters Consumption Updates'!$F:$F,'Cutters Consumption Updates'!$D:$D,I$1,'Cutters Consumption Updates'!$B:$B,$B58)-SUMIFS('Cutters Consumption Updates'!$E:$E,'Cutters Consumption Updates'!$D:$D,I$1,'Cutters Consumption Updates'!$B:$B,$B58)+ SUMIF('Cutters Consumption Updates'!$AS:$AS,$B58,'Cutters Consumption Updates'!AU:AU)</f>
        <v>0</v>
      </c>
      <c r="J58" s="116">
        <f>SUMIFS('Cutters Consumption Updates'!$F:$F,'Cutters Consumption Updates'!$D:$D,J$1,'Cutters Consumption Updates'!$B:$B,$B58)-SUMIFS('Cutters Consumption Updates'!$E:$E,'Cutters Consumption Updates'!$D:$D,J$1,'Cutters Consumption Updates'!$B:$B,$B58)+ SUMIF('Cutters Consumption Updates'!$AS:$AS,$B58,'Cutters Consumption Updates'!AV:AV)</f>
        <v>0</v>
      </c>
      <c r="K58" s="738">
        <f>SUMIFS('Cutters Consumption Updates'!$F:$F,'Cutters Consumption Updates'!$D:$D,K$1,'Cutters Consumption Updates'!$B:$B,$B58)-SUMIFS('Cutters Consumption Updates'!$E:$E,'Cutters Consumption Updates'!$D:$D,K$1,'Cutters Consumption Updates'!$B:$B,$B58)+ SUMIF('Cutters Consumption Updates'!$AS:$AS,$B58,'Cutters Consumption Updates'!AW:AW)</f>
        <v>0</v>
      </c>
      <c r="L58" s="116">
        <f>SUMIFS('Cutters Consumption Updates'!$F:$F,'Cutters Consumption Updates'!$D:$D,L$1,'Cutters Consumption Updates'!$B:$B,$B58)-SUMIFS('Cutters Consumption Updates'!$E:$E,'Cutters Consumption Updates'!$D:$D,$L$1,'Cutters Consumption Updates'!$B:$B,$B58)+SUMIFS('Cutters Consumption Updates'!$F:$F,'Cutters Consumption Updates'!$D:$D,"Retrofit",'Cutters Consumption Updates'!$B:$B,$B58)-SUMIFS('Cutters Consumption Updates'!$E:$E,'Cutters Consumption Updates'!$D:$D,"Retrofit",'Cutters Consumption Updates'!$B:$B,$B58)+ SUMIF('Cutters Consumption Updates'!$AS:$AS,$B58,'Cutters Consumption Updates'!AX:AX)</f>
        <v>1</v>
      </c>
      <c r="M58" s="810">
        <f t="shared" si="0"/>
        <v>1</v>
      </c>
      <c r="N58" s="810">
        <f ca="1">SUMIFS('Cutters Consumption Updates'!E:E,
        'Cutters Consumption Updates'!B:B, B58,
        'Cutters Consumption Updates'!A:A, "&gt;" &amp; TODAY()-182)</f>
        <v>0</v>
      </c>
      <c r="O58" s="810">
        <f ca="1">SUMIFS('Cutters Consumption Updates'!E:E,
        'Cutters Consumption Updates'!B:B, B58,
        'Cutters Consumption Updates'!A:A, "&gt;" &amp; TODAY()-91)</f>
        <v>0</v>
      </c>
      <c r="P58" s="810">
        <f t="shared" ca="1" si="1"/>
        <v>0</v>
      </c>
      <c r="Q58" s="703">
        <f t="shared" ca="1" si="2"/>
        <v>0</v>
      </c>
      <c r="R58" s="703" t="s">
        <v>29</v>
      </c>
      <c r="S58" s="24">
        <f>IFERROR(INDEX(Table5[],MATCH($B58,Table5[Component],0),2),0)</f>
        <v>0</v>
      </c>
      <c r="T58" s="813">
        <f>SUMIFS(Table7[Balance],Table7[Cutter Mat'#],$B58)</f>
        <v>0</v>
      </c>
      <c r="U58" s="24">
        <f t="shared" si="3"/>
        <v>1</v>
      </c>
      <c r="V58" s="119"/>
      <c r="W58" s="2"/>
      <c r="Y58" s="4">
        <f>IFERROR(INDEX(Table5[],MATCH($B58,Table5[Component],0),2),0)</f>
        <v>0</v>
      </c>
      <c r="Z58" s="4">
        <f>IFERROR(INDEX(Table5[],MATCH($B58,Table5[Component],0),1),0)</f>
        <v>0</v>
      </c>
      <c r="AA58" s="4" t="str">
        <f>IF(Y58&lt;&gt;0,B58,"")</f>
        <v/>
      </c>
      <c r="AB58" s="4" t="str">
        <f t="shared" si="4"/>
        <v/>
      </c>
      <c r="AD58" s="4">
        <f t="shared" si="5"/>
        <v>1</v>
      </c>
      <c r="AE58" s="9"/>
      <c r="AI58" s="248" t="str">
        <f>IFERROR(INDEX($B$1:$AK$243,MATCH(W58,$B$1:$B$243,0),13),"")</f>
        <v/>
      </c>
      <c r="AJ58" s="248" t="str">
        <f>IFERROR(INDEX($B$1:$AK$243,MATCH(W58,$B$1:$B$243,0),15),"")</f>
        <v/>
      </c>
      <c r="AK58">
        <f>SUMIF($W$2:$W$243,B58,$S$2:$S$243)</f>
        <v>0</v>
      </c>
      <c r="AP58">
        <f t="shared" si="6"/>
        <v>0</v>
      </c>
      <c r="AR58">
        <v>729691</v>
      </c>
      <c r="AS58">
        <f>SUMIF($B:$B,AR58,$AP:$AP)</f>
        <v>0</v>
      </c>
    </row>
    <row r="59" spans="1:45" ht="15.65" customHeight="1" x14ac:dyDescent="0.35">
      <c r="A59" s="2">
        <v>58</v>
      </c>
      <c r="B59" s="2">
        <v>647436</v>
      </c>
      <c r="C59" s="2" t="s">
        <v>4298</v>
      </c>
      <c r="D59" s="2" t="s">
        <v>51</v>
      </c>
      <c r="E59" s="2">
        <v>1613</v>
      </c>
      <c r="F59" s="2" t="s">
        <v>253</v>
      </c>
      <c r="G59" s="2" t="s">
        <v>47</v>
      </c>
      <c r="H59" s="10">
        <f>SUMIFS('Cutters Consumption Updates'!$F:$F,'Cutters Consumption Updates'!$D:$D,H$1,'Cutters Consumption Updates'!$B:$B,$B59)-SUMIFS('Cutters Consumption Updates'!$E:$E,'Cutters Consumption Updates'!$D:$D,H$1,'Cutters Consumption Updates'!$B:$B,$B59)+ SUMIF('Cutters Consumption Updates'!$AS:$AS,$B59,'Cutters Consumption Updates'!AT:AT)</f>
        <v>68</v>
      </c>
      <c r="I59" s="10">
        <f>SUMIFS('Cutters Consumption Updates'!$F:$F,'Cutters Consumption Updates'!$D:$D,I$1,'Cutters Consumption Updates'!$B:$B,$B59)-SUMIFS('Cutters Consumption Updates'!$E:$E,'Cutters Consumption Updates'!$D:$D,I$1,'Cutters Consumption Updates'!$B:$B,$B59)+ SUMIF('Cutters Consumption Updates'!$AS:$AS,$B59,'Cutters Consumption Updates'!AU:AU)</f>
        <v>42</v>
      </c>
      <c r="J59" s="116">
        <f>SUMIFS('Cutters Consumption Updates'!$F:$F,'Cutters Consumption Updates'!$D:$D,J$1,'Cutters Consumption Updates'!$B:$B,$B59)-SUMIFS('Cutters Consumption Updates'!$E:$E,'Cutters Consumption Updates'!$D:$D,J$1,'Cutters Consumption Updates'!$B:$B,$B59)+ SUMIF('Cutters Consumption Updates'!$AS:$AS,$B59,'Cutters Consumption Updates'!AV:AV)</f>
        <v>0</v>
      </c>
      <c r="K59" s="738">
        <f>SUMIFS('Cutters Consumption Updates'!$F:$F,'Cutters Consumption Updates'!$D:$D,K$1,'Cutters Consumption Updates'!$B:$B,$B59)-SUMIFS('Cutters Consumption Updates'!$E:$E,'Cutters Consumption Updates'!$D:$D,K$1,'Cutters Consumption Updates'!$B:$B,$B59)+ SUMIF('Cutters Consumption Updates'!$AS:$AS,$B59,'Cutters Consumption Updates'!AW:AW)</f>
        <v>1</v>
      </c>
      <c r="L59" s="116">
        <f>SUMIFS('Cutters Consumption Updates'!$F:$F,'Cutters Consumption Updates'!$D:$D,L$1,'Cutters Consumption Updates'!$B:$B,$B59)-SUMIFS('Cutters Consumption Updates'!$E:$E,'Cutters Consumption Updates'!$D:$D,$L$1,'Cutters Consumption Updates'!$B:$B,$B59)+SUMIFS('Cutters Consumption Updates'!$F:$F,'Cutters Consumption Updates'!$D:$D,"Retrofit",'Cutters Consumption Updates'!$B:$B,$B59)-SUMIFS('Cutters Consumption Updates'!$E:$E,'Cutters Consumption Updates'!$D:$D,"Retrofit",'Cutters Consumption Updates'!$B:$B,$B59)+ SUMIF('Cutters Consumption Updates'!$AS:$AS,$B59,'Cutters Consumption Updates'!AX:AX)</f>
        <v>285</v>
      </c>
      <c r="M59" s="810">
        <f t="shared" si="0"/>
        <v>353</v>
      </c>
      <c r="N59" s="810">
        <f ca="1">SUMIFS('Cutters Consumption Updates'!E:E,
        'Cutters Consumption Updates'!B:B, B59,
        'Cutters Consumption Updates'!A:A, "&gt;" &amp; TODAY()-182)</f>
        <v>412</v>
      </c>
      <c r="O59" s="810">
        <f ca="1">SUMIFS('Cutters Consumption Updates'!E:E,
        'Cutters Consumption Updates'!B:B, B59,
        'Cutters Consumption Updates'!A:A, "&gt;" &amp; TODAY()-91)</f>
        <v>120</v>
      </c>
      <c r="P59" s="810">
        <f t="shared" ca="1" si="1"/>
        <v>138</v>
      </c>
      <c r="Q59" s="703">
        <f t="shared" ca="1" si="2"/>
        <v>145</v>
      </c>
      <c r="R59" s="703" t="s">
        <v>80</v>
      </c>
      <c r="S59" s="24">
        <f>IFERROR(INDEX(Table5[],MATCH($B59,Table5[Component],0),2),0)</f>
        <v>705</v>
      </c>
      <c r="T59" s="813">
        <f>SUMIFS(Table7[Balance],Table7[Cutter Mat'#],$B59)</f>
        <v>0</v>
      </c>
      <c r="U59" s="24">
        <f t="shared" si="3"/>
        <v>-352</v>
      </c>
      <c r="V59" s="119"/>
      <c r="W59" s="2"/>
      <c r="Y59" s="4">
        <f>IFERROR(INDEX(Table5[],MATCH($B59,Table5[Component],0),2),0)</f>
        <v>705</v>
      </c>
      <c r="Z59" s="4">
        <f>IFERROR(INDEX(Table5[],MATCH($B59,Table5[Component],0),1),0)</f>
        <v>647436</v>
      </c>
      <c r="AA59" s="4">
        <f>IF(Y59&lt;&gt;0,B59,"")</f>
        <v>647436</v>
      </c>
      <c r="AB59" s="4" t="str">
        <f t="shared" si="4"/>
        <v/>
      </c>
      <c r="AD59" s="4">
        <f t="shared" si="5"/>
        <v>395</v>
      </c>
      <c r="AE59" s="9"/>
      <c r="AI59" s="248" t="str">
        <f>IFERROR(INDEX($B$1:$AK$243,MATCH(W59,$B$1:$B$243,0),13),"")</f>
        <v/>
      </c>
      <c r="AJ59" s="248" t="str">
        <f>IFERROR(INDEX($B$1:$AK$243,MATCH(W59,$B$1:$B$243,0),15),"")</f>
        <v/>
      </c>
      <c r="AK59">
        <f>SUMIF($W$2:$W$243,B59,$S$2:$S$243)</f>
        <v>0</v>
      </c>
      <c r="AP59">
        <f t="shared" si="6"/>
        <v>0</v>
      </c>
      <c r="AR59">
        <v>738227</v>
      </c>
      <c r="AS59">
        <f>SUMIF($B:$B,AR59,$AP:$AP)</f>
        <v>0</v>
      </c>
    </row>
    <row r="60" spans="1:45" ht="15.65" customHeight="1" x14ac:dyDescent="0.35">
      <c r="A60" s="2">
        <v>59</v>
      </c>
      <c r="B60" s="2">
        <v>871781</v>
      </c>
      <c r="C60" s="2" t="s">
        <v>4139</v>
      </c>
      <c r="D60" s="2" t="s">
        <v>51</v>
      </c>
      <c r="E60" s="2">
        <v>1313</v>
      </c>
      <c r="F60" s="2" t="s">
        <v>253</v>
      </c>
      <c r="G60" s="2" t="s">
        <v>47</v>
      </c>
      <c r="H60" s="10">
        <f>SUMIFS('Cutters Consumption Updates'!$F:$F,'Cutters Consumption Updates'!$D:$D,H$1,'Cutters Consumption Updates'!$B:$B,$B60)-SUMIFS('Cutters Consumption Updates'!$E:$E,'Cutters Consumption Updates'!$D:$D,H$1,'Cutters Consumption Updates'!$B:$B,$B60)+ SUMIF('Cutters Consumption Updates'!$AS:$AS,$B60,'Cutters Consumption Updates'!AT:AT)</f>
        <v>18</v>
      </c>
      <c r="I60" s="10">
        <f>SUMIFS('Cutters Consumption Updates'!$F:$F,'Cutters Consumption Updates'!$D:$D,I$1,'Cutters Consumption Updates'!$B:$B,$B60)-SUMIFS('Cutters Consumption Updates'!$E:$E,'Cutters Consumption Updates'!$D:$D,I$1,'Cutters Consumption Updates'!$B:$B,$B60)+ SUMIF('Cutters Consumption Updates'!$AS:$AS,$B60,'Cutters Consumption Updates'!AU:AU)</f>
        <v>1</v>
      </c>
      <c r="J60" s="116">
        <f>SUMIFS('Cutters Consumption Updates'!$F:$F,'Cutters Consumption Updates'!$D:$D,J$1,'Cutters Consumption Updates'!$B:$B,$B60)-SUMIFS('Cutters Consumption Updates'!$E:$E,'Cutters Consumption Updates'!$D:$D,J$1,'Cutters Consumption Updates'!$B:$B,$B60)+ SUMIF('Cutters Consumption Updates'!$AS:$AS,$B60,'Cutters Consumption Updates'!AV:AV)</f>
        <v>0</v>
      </c>
      <c r="K60" s="738">
        <f>SUMIFS('Cutters Consumption Updates'!$F:$F,'Cutters Consumption Updates'!$D:$D,K$1,'Cutters Consumption Updates'!$B:$B,$B60)-SUMIFS('Cutters Consumption Updates'!$E:$E,'Cutters Consumption Updates'!$D:$D,K$1,'Cutters Consumption Updates'!$B:$B,$B60)+ SUMIF('Cutters Consumption Updates'!$AS:$AS,$B60,'Cutters Consumption Updates'!AW:AW)</f>
        <v>33</v>
      </c>
      <c r="L60" s="116">
        <f>SUMIFS('Cutters Consumption Updates'!$F:$F,'Cutters Consumption Updates'!$D:$D,L$1,'Cutters Consumption Updates'!$B:$B,$B60)-SUMIFS('Cutters Consumption Updates'!$E:$E,'Cutters Consumption Updates'!$D:$D,$L$1,'Cutters Consumption Updates'!$B:$B,$B60)+SUMIFS('Cutters Consumption Updates'!$F:$F,'Cutters Consumption Updates'!$D:$D,"Retrofit",'Cutters Consumption Updates'!$B:$B,$B60)-SUMIFS('Cutters Consumption Updates'!$E:$E,'Cutters Consumption Updates'!$D:$D,"Retrofit",'Cutters Consumption Updates'!$B:$B,$B60)+ SUMIF('Cutters Consumption Updates'!$AS:$AS,$B60,'Cutters Consumption Updates'!AX:AX)</f>
        <v>-266</v>
      </c>
      <c r="M60" s="810">
        <f t="shared" si="0"/>
        <v>-248</v>
      </c>
      <c r="N60" s="810">
        <f ca="1">SUMIFS('Cutters Consumption Updates'!E:E,
        'Cutters Consumption Updates'!B:B, B60,
        'Cutters Consumption Updates'!A:A, "&gt;" &amp; TODAY()-182)</f>
        <v>843</v>
      </c>
      <c r="O60" s="810">
        <f ca="1">SUMIFS('Cutters Consumption Updates'!E:E,
        'Cutters Consumption Updates'!B:B, B60,
        'Cutters Consumption Updates'!A:A, "&gt;" &amp; TODAY()-91)</f>
        <v>522</v>
      </c>
      <c r="P60" s="810">
        <f t="shared" ca="1" si="1"/>
        <v>281</v>
      </c>
      <c r="Q60" s="703">
        <f t="shared" ca="1" si="2"/>
        <v>290</v>
      </c>
      <c r="R60" s="703" t="s">
        <v>52</v>
      </c>
      <c r="S60" s="24">
        <f>IFERROR(INDEX(Table5[],MATCH($B60,Table5[Component],0),2),0)</f>
        <v>772</v>
      </c>
      <c r="T60" s="813">
        <f>SUMIFS(Table7[Balance],Table7[Cutter Mat'#],$B60)</f>
        <v>300</v>
      </c>
      <c r="U60" s="24">
        <f t="shared" si="3"/>
        <v>-720</v>
      </c>
      <c r="V60" s="119"/>
      <c r="W60" s="2"/>
      <c r="Y60" s="4">
        <f>IFERROR(INDEX(Table5[],MATCH($B60,Table5[Component],0),2),0)</f>
        <v>772</v>
      </c>
      <c r="Z60" s="4">
        <f>IFERROR(INDEX(Table5[],MATCH($B60,Table5[Component],0),1),0)</f>
        <v>871781</v>
      </c>
      <c r="AA60" s="4">
        <f>IF(Y60&lt;&gt;0,B60,"")</f>
        <v>871781</v>
      </c>
      <c r="AB60" s="4" t="str">
        <f t="shared" si="4"/>
        <v/>
      </c>
      <c r="AD60" s="4">
        <f t="shared" si="5"/>
        <v>-247</v>
      </c>
      <c r="AE60" s="9"/>
      <c r="AI60" s="248" t="str">
        <f>IFERROR(INDEX($B$1:$AK$243,MATCH(W60,$B$1:$B$243,0),13),"")</f>
        <v/>
      </c>
      <c r="AJ60" s="248" t="str">
        <f>IFERROR(INDEX($B$1:$AK$243,MATCH(W60,$B$1:$B$243,0),15),"")</f>
        <v/>
      </c>
      <c r="AK60">
        <f>SUMIF($W$2:$W$243,B60,$S$2:$S$243)</f>
        <v>0</v>
      </c>
      <c r="AP60">
        <f t="shared" si="6"/>
        <v>300</v>
      </c>
      <c r="AR60">
        <v>738228</v>
      </c>
      <c r="AS60">
        <f>SUMIF($B:$B,AR60,$AP:$AP)</f>
        <v>0</v>
      </c>
    </row>
    <row r="61" spans="1:45" ht="15.65" customHeight="1" x14ac:dyDescent="0.35">
      <c r="A61" s="2">
        <v>60</v>
      </c>
      <c r="B61" s="2">
        <v>625854</v>
      </c>
      <c r="C61" s="2" t="s">
        <v>4299</v>
      </c>
      <c r="D61" s="2" t="s">
        <v>4504</v>
      </c>
      <c r="E61" s="2" t="s">
        <v>38</v>
      </c>
      <c r="F61" s="2" t="s">
        <v>103</v>
      </c>
      <c r="G61" s="2" t="s">
        <v>36</v>
      </c>
      <c r="H61" s="10">
        <f>SUMIFS('Cutters Consumption Updates'!$F:$F,'Cutters Consumption Updates'!$D:$D,H$1,'Cutters Consumption Updates'!$B:$B,$B61)-SUMIFS('Cutters Consumption Updates'!$E:$E,'Cutters Consumption Updates'!$D:$D,H$1,'Cutters Consumption Updates'!$B:$B,$B61)+ SUMIF('Cutters Consumption Updates'!$AS:$AS,$B61,'Cutters Consumption Updates'!AT:AT)</f>
        <v>53</v>
      </c>
      <c r="I61" s="10">
        <f>SUMIFS('Cutters Consumption Updates'!$F:$F,'Cutters Consumption Updates'!$D:$D,I$1,'Cutters Consumption Updates'!$B:$B,$B61)-SUMIFS('Cutters Consumption Updates'!$E:$E,'Cutters Consumption Updates'!$D:$D,I$1,'Cutters Consumption Updates'!$B:$B,$B61)+ SUMIF('Cutters Consumption Updates'!$AS:$AS,$B61,'Cutters Consumption Updates'!AU:AU)</f>
        <v>0</v>
      </c>
      <c r="J61" s="116">
        <f>SUMIFS('Cutters Consumption Updates'!$F:$F,'Cutters Consumption Updates'!$D:$D,J$1,'Cutters Consumption Updates'!$B:$B,$B61)-SUMIFS('Cutters Consumption Updates'!$E:$E,'Cutters Consumption Updates'!$D:$D,J$1,'Cutters Consumption Updates'!$B:$B,$B61)+ SUMIF('Cutters Consumption Updates'!$AS:$AS,$B61,'Cutters Consumption Updates'!AV:AV)</f>
        <v>0</v>
      </c>
      <c r="K61" s="738">
        <f>SUMIFS('Cutters Consumption Updates'!$F:$F,'Cutters Consumption Updates'!$D:$D,K$1,'Cutters Consumption Updates'!$B:$B,$B61)-SUMIFS('Cutters Consumption Updates'!$E:$E,'Cutters Consumption Updates'!$D:$D,K$1,'Cutters Consumption Updates'!$B:$B,$B61)+ SUMIF('Cutters Consumption Updates'!$AS:$AS,$B61,'Cutters Consumption Updates'!AW:AW)</f>
        <v>0</v>
      </c>
      <c r="L61" s="116">
        <f>SUMIFS('Cutters Consumption Updates'!$F:$F,'Cutters Consumption Updates'!$D:$D,L$1,'Cutters Consumption Updates'!$B:$B,$B61)-SUMIFS('Cutters Consumption Updates'!$E:$E,'Cutters Consumption Updates'!$D:$D,$L$1,'Cutters Consumption Updates'!$B:$B,$B61)+SUMIFS('Cutters Consumption Updates'!$F:$F,'Cutters Consumption Updates'!$D:$D,"Retrofit",'Cutters Consumption Updates'!$B:$B,$B61)-SUMIFS('Cutters Consumption Updates'!$E:$E,'Cutters Consumption Updates'!$D:$D,"Retrofit",'Cutters Consumption Updates'!$B:$B,$B61)+ SUMIF('Cutters Consumption Updates'!$AS:$AS,$B61,'Cutters Consumption Updates'!AX:AX)</f>
        <v>110</v>
      </c>
      <c r="M61" s="810">
        <f t="shared" si="0"/>
        <v>163</v>
      </c>
      <c r="N61" s="810">
        <f ca="1">SUMIFS('Cutters Consumption Updates'!E:E,
        'Cutters Consumption Updates'!B:B, B61,
        'Cutters Consumption Updates'!A:A, "&gt;" &amp; TODAY()-182)</f>
        <v>74</v>
      </c>
      <c r="O61" s="810">
        <f ca="1">SUMIFS('Cutters Consumption Updates'!E:E,
        'Cutters Consumption Updates'!B:B, B61,
        'Cutters Consumption Updates'!A:A, "&gt;" &amp; TODAY()-91)</f>
        <v>44</v>
      </c>
      <c r="P61" s="810">
        <f t="shared" ca="1" si="1"/>
        <v>25</v>
      </c>
      <c r="Q61" s="703">
        <f t="shared" ca="1" si="2"/>
        <v>30</v>
      </c>
      <c r="R61" s="703" t="s">
        <v>29</v>
      </c>
      <c r="S61" s="24">
        <f>IFERROR(INDEX(Table5[],MATCH($B61,Table5[Component],0),2),0)</f>
        <v>245</v>
      </c>
      <c r="T61" s="813">
        <f>SUMIFS(Table7[Balance],Table7[Cutter Mat'#],$B61)</f>
        <v>0</v>
      </c>
      <c r="U61" s="24">
        <f t="shared" si="3"/>
        <v>-82</v>
      </c>
      <c r="V61" s="119"/>
      <c r="W61" s="2"/>
      <c r="Y61" s="4">
        <f>IFERROR(INDEX(Table5[],MATCH($B61,Table5[Component],0),2),0)</f>
        <v>245</v>
      </c>
      <c r="Z61" s="4">
        <f>IFERROR(INDEX(Table5[],MATCH($B61,Table5[Component],0),1),0)</f>
        <v>625854</v>
      </c>
      <c r="AA61" s="4">
        <f>IF(Y61&lt;&gt;0,B61,"")</f>
        <v>625854</v>
      </c>
      <c r="AB61" s="4" t="str">
        <f t="shared" si="4"/>
        <v/>
      </c>
      <c r="AD61" s="4">
        <f t="shared" si="5"/>
        <v>163</v>
      </c>
      <c r="AE61" s="9"/>
      <c r="AI61" s="248" t="str">
        <f>IFERROR(INDEX($B$1:$AK$243,MATCH(W61,$B$1:$B$243,0),13),"")</f>
        <v/>
      </c>
      <c r="AJ61" s="248" t="str">
        <f>IFERROR(INDEX($B$1:$AK$243,MATCH(W61,$B$1:$B$243,0),15),"")</f>
        <v/>
      </c>
      <c r="AK61">
        <f>SUMIF($W$2:$W$243,B61,$S$2:$S$243)</f>
        <v>0</v>
      </c>
      <c r="AP61">
        <f t="shared" si="6"/>
        <v>0</v>
      </c>
      <c r="AR61">
        <v>742473</v>
      </c>
      <c r="AS61">
        <f>SUMIF($B:$B,AR61,$AP:$AP)</f>
        <v>0</v>
      </c>
    </row>
    <row r="62" spans="1:45" ht="15.65" customHeight="1" x14ac:dyDescent="0.35">
      <c r="A62" s="2">
        <v>61</v>
      </c>
      <c r="B62" s="2">
        <v>770451</v>
      </c>
      <c r="C62" s="2" t="s">
        <v>4300</v>
      </c>
      <c r="D62" s="2" t="s">
        <v>53</v>
      </c>
      <c r="E62" s="2" t="s">
        <v>4247</v>
      </c>
      <c r="F62" s="2" t="s">
        <v>253</v>
      </c>
      <c r="G62" s="2" t="s">
        <v>47</v>
      </c>
      <c r="H62" s="10">
        <f>SUMIFS('Cutters Consumption Updates'!$F:$F,'Cutters Consumption Updates'!$D:$D,H$1,'Cutters Consumption Updates'!$B:$B,$B62)-SUMIFS('Cutters Consumption Updates'!$E:$E,'Cutters Consumption Updates'!$D:$D,H$1,'Cutters Consumption Updates'!$B:$B,$B62)+ SUMIF('Cutters Consumption Updates'!$AS:$AS,$B62,'Cutters Consumption Updates'!AT:AT)</f>
        <v>0</v>
      </c>
      <c r="I62" s="10">
        <f>SUMIFS('Cutters Consumption Updates'!$F:$F,'Cutters Consumption Updates'!$D:$D,I$1,'Cutters Consumption Updates'!$B:$B,$B62)-SUMIFS('Cutters Consumption Updates'!$E:$E,'Cutters Consumption Updates'!$D:$D,I$1,'Cutters Consumption Updates'!$B:$B,$B62)+ SUMIF('Cutters Consumption Updates'!$AS:$AS,$B62,'Cutters Consumption Updates'!AU:AU)</f>
        <v>0</v>
      </c>
      <c r="J62" s="116">
        <f>SUMIFS('Cutters Consumption Updates'!$F:$F,'Cutters Consumption Updates'!$D:$D,J$1,'Cutters Consumption Updates'!$B:$B,$B62)-SUMIFS('Cutters Consumption Updates'!$E:$E,'Cutters Consumption Updates'!$D:$D,J$1,'Cutters Consumption Updates'!$B:$B,$B62)+ SUMIF('Cutters Consumption Updates'!$AS:$AS,$B62,'Cutters Consumption Updates'!AV:AV)</f>
        <v>0</v>
      </c>
      <c r="K62" s="738">
        <f>SUMIFS('Cutters Consumption Updates'!$F:$F,'Cutters Consumption Updates'!$D:$D,K$1,'Cutters Consumption Updates'!$B:$B,$B62)-SUMIFS('Cutters Consumption Updates'!$E:$E,'Cutters Consumption Updates'!$D:$D,K$1,'Cutters Consumption Updates'!$B:$B,$B62)+ SUMIF('Cutters Consumption Updates'!$AS:$AS,$B62,'Cutters Consumption Updates'!AW:AW)</f>
        <v>6</v>
      </c>
      <c r="L62" s="116">
        <f>SUMIFS('Cutters Consumption Updates'!$F:$F,'Cutters Consumption Updates'!$D:$D,L$1,'Cutters Consumption Updates'!$B:$B,$B62)-SUMIFS('Cutters Consumption Updates'!$E:$E,'Cutters Consumption Updates'!$D:$D,$L$1,'Cutters Consumption Updates'!$B:$B,$B62)+SUMIFS('Cutters Consumption Updates'!$F:$F,'Cutters Consumption Updates'!$D:$D,"Retrofit",'Cutters Consumption Updates'!$B:$B,$B62)-SUMIFS('Cutters Consumption Updates'!$E:$E,'Cutters Consumption Updates'!$D:$D,"Retrofit",'Cutters Consumption Updates'!$B:$B,$B62)+ SUMIF('Cutters Consumption Updates'!$AS:$AS,$B62,'Cutters Consumption Updates'!AX:AX)</f>
        <v>12</v>
      </c>
      <c r="M62" s="810">
        <f t="shared" si="0"/>
        <v>12</v>
      </c>
      <c r="N62" s="810">
        <f ca="1">SUMIFS('Cutters Consumption Updates'!E:E,
        'Cutters Consumption Updates'!B:B, B62,
        'Cutters Consumption Updates'!A:A, "&gt;" &amp; TODAY()-182)</f>
        <v>0</v>
      </c>
      <c r="O62" s="810">
        <f ca="1">SUMIFS('Cutters Consumption Updates'!E:E,
        'Cutters Consumption Updates'!B:B, B62,
        'Cutters Consumption Updates'!A:A, "&gt;" &amp; TODAY()-91)</f>
        <v>0</v>
      </c>
      <c r="P62" s="810">
        <f t="shared" ca="1" si="1"/>
        <v>0</v>
      </c>
      <c r="Q62" s="703">
        <f t="shared" ca="1" si="2"/>
        <v>0</v>
      </c>
      <c r="R62" s="703" t="s">
        <v>29</v>
      </c>
      <c r="S62" s="24">
        <f>IFERROR(INDEX(Table5[],MATCH($B62,Table5[Component],0),2),0)</f>
        <v>0</v>
      </c>
      <c r="T62" s="813">
        <f>SUMIFS(Table7[Balance],Table7[Cutter Mat'#],$B62)</f>
        <v>0</v>
      </c>
      <c r="U62" s="24">
        <f t="shared" si="3"/>
        <v>12</v>
      </c>
      <c r="V62" s="119"/>
      <c r="W62" s="2"/>
      <c r="Y62" s="4">
        <f>IFERROR(INDEX(Table5[],MATCH($B62,Table5[Component],0),2),0)</f>
        <v>0</v>
      </c>
      <c r="Z62" s="4">
        <f>IFERROR(INDEX(Table5[],MATCH($B62,Table5[Component],0),1),0)</f>
        <v>0</v>
      </c>
      <c r="AA62" s="4" t="str">
        <f>IF(Y62&lt;&gt;0,B62,"")</f>
        <v/>
      </c>
      <c r="AB62" s="4" t="str">
        <f t="shared" si="4"/>
        <v/>
      </c>
      <c r="AD62" s="4">
        <f t="shared" si="5"/>
        <v>12</v>
      </c>
      <c r="AE62" s="9"/>
      <c r="AI62" s="248" t="str">
        <f>IFERROR(INDEX($B$1:$AK$243,MATCH(W62,$B$1:$B$243,0),13),"")</f>
        <v/>
      </c>
      <c r="AJ62" s="248" t="str">
        <f>IFERROR(INDEX($B$1:$AK$243,MATCH(W62,$B$1:$B$243,0),15),"")</f>
        <v/>
      </c>
      <c r="AK62">
        <f>SUMIF($W$2:$W$243,B62,$S$2:$S$243)</f>
        <v>0</v>
      </c>
      <c r="AP62">
        <f t="shared" si="6"/>
        <v>0</v>
      </c>
      <c r="AR62">
        <v>742617</v>
      </c>
      <c r="AS62">
        <f>SUMIF($B:$B,AR62,$AP:$AP)</f>
        <v>0</v>
      </c>
    </row>
    <row r="63" spans="1:45" ht="15.65" customHeight="1" x14ac:dyDescent="0.35">
      <c r="A63" s="2">
        <v>62</v>
      </c>
      <c r="B63" s="2">
        <v>755975</v>
      </c>
      <c r="C63" s="2" t="s">
        <v>4301</v>
      </c>
      <c r="D63" s="2" t="s">
        <v>53</v>
      </c>
      <c r="E63" s="2">
        <v>1913</v>
      </c>
      <c r="F63" s="2" t="s">
        <v>253</v>
      </c>
      <c r="G63" s="2" t="s">
        <v>47</v>
      </c>
      <c r="H63" s="10">
        <f>SUMIFS('Cutters Consumption Updates'!$F:$F,'Cutters Consumption Updates'!$D:$D,H$1,'Cutters Consumption Updates'!$B:$B,$B63)-SUMIFS('Cutters Consumption Updates'!$E:$E,'Cutters Consumption Updates'!$D:$D,H$1,'Cutters Consumption Updates'!$B:$B,$B63)+ SUMIF('Cutters Consumption Updates'!$AS:$AS,$B63,'Cutters Consumption Updates'!AT:AT)</f>
        <v>0</v>
      </c>
      <c r="I63" s="10">
        <f>SUMIFS('Cutters Consumption Updates'!$F:$F,'Cutters Consumption Updates'!$D:$D,I$1,'Cutters Consumption Updates'!$B:$B,$B63)-SUMIFS('Cutters Consumption Updates'!$E:$E,'Cutters Consumption Updates'!$D:$D,I$1,'Cutters Consumption Updates'!$B:$B,$B63)+ SUMIF('Cutters Consumption Updates'!$AS:$AS,$B63,'Cutters Consumption Updates'!AU:AU)</f>
        <v>0</v>
      </c>
      <c r="J63" s="116">
        <f>SUMIFS('Cutters Consumption Updates'!$F:$F,'Cutters Consumption Updates'!$D:$D,J$1,'Cutters Consumption Updates'!$B:$B,$B63)-SUMIFS('Cutters Consumption Updates'!$E:$E,'Cutters Consumption Updates'!$D:$D,J$1,'Cutters Consumption Updates'!$B:$B,$B63)+ SUMIF('Cutters Consumption Updates'!$AS:$AS,$B63,'Cutters Consumption Updates'!AV:AV)</f>
        <v>0</v>
      </c>
      <c r="K63" s="738">
        <f>SUMIFS('Cutters Consumption Updates'!$F:$F,'Cutters Consumption Updates'!$D:$D,K$1,'Cutters Consumption Updates'!$B:$B,$B63)-SUMIFS('Cutters Consumption Updates'!$E:$E,'Cutters Consumption Updates'!$D:$D,K$1,'Cutters Consumption Updates'!$B:$B,$B63)+ SUMIF('Cutters Consumption Updates'!$AS:$AS,$B63,'Cutters Consumption Updates'!AW:AW)</f>
        <v>1</v>
      </c>
      <c r="L63" s="116">
        <f>SUMIFS('Cutters Consumption Updates'!$F:$F,'Cutters Consumption Updates'!$D:$D,L$1,'Cutters Consumption Updates'!$B:$B,$B63)-SUMIFS('Cutters Consumption Updates'!$E:$E,'Cutters Consumption Updates'!$D:$D,$L$1,'Cutters Consumption Updates'!$B:$B,$B63)+SUMIFS('Cutters Consumption Updates'!$F:$F,'Cutters Consumption Updates'!$D:$D,"Retrofit",'Cutters Consumption Updates'!$B:$B,$B63)-SUMIFS('Cutters Consumption Updates'!$E:$E,'Cutters Consumption Updates'!$D:$D,"Retrofit",'Cutters Consumption Updates'!$B:$B,$B63)+ SUMIF('Cutters Consumption Updates'!$AS:$AS,$B63,'Cutters Consumption Updates'!AX:AX)</f>
        <v>0</v>
      </c>
      <c r="M63" s="810">
        <f t="shared" si="0"/>
        <v>0</v>
      </c>
      <c r="N63" s="810">
        <f ca="1">SUMIFS('Cutters Consumption Updates'!E:E,
        'Cutters Consumption Updates'!B:B, B63,
        'Cutters Consumption Updates'!A:A, "&gt;" &amp; TODAY()-182)</f>
        <v>0</v>
      </c>
      <c r="O63" s="810">
        <f ca="1">SUMIFS('Cutters Consumption Updates'!E:E,
        'Cutters Consumption Updates'!B:B, B63,
        'Cutters Consumption Updates'!A:A, "&gt;" &amp; TODAY()-91)</f>
        <v>0</v>
      </c>
      <c r="P63" s="810">
        <f t="shared" ca="1" si="1"/>
        <v>0</v>
      </c>
      <c r="Q63" s="703">
        <f t="shared" ca="1" si="2"/>
        <v>0</v>
      </c>
      <c r="R63" s="703" t="s">
        <v>29</v>
      </c>
      <c r="S63" s="24">
        <f>IFERROR(INDEX(Table5[],MATCH($B63,Table5[Component],0),2),0)</f>
        <v>0</v>
      </c>
      <c r="T63" s="813">
        <f>SUMIFS(Table7[Balance],Table7[Cutter Mat'#],$B63)</f>
        <v>0</v>
      </c>
      <c r="U63" s="24">
        <f t="shared" si="3"/>
        <v>0</v>
      </c>
      <c r="V63" s="119"/>
      <c r="W63" s="2"/>
      <c r="Y63" s="4">
        <f>IFERROR(INDEX(Table5[],MATCH($B63,Table5[Component],0),2),0)</f>
        <v>0</v>
      </c>
      <c r="Z63" s="4">
        <f>IFERROR(INDEX(Table5[],MATCH($B63,Table5[Component],0),1),0)</f>
        <v>0</v>
      </c>
      <c r="AA63" s="4" t="str">
        <f>IF(Y63&lt;&gt;0,B63,"")</f>
        <v/>
      </c>
      <c r="AB63" s="4" t="str">
        <f t="shared" si="4"/>
        <v/>
      </c>
      <c r="AD63" s="4">
        <f t="shared" si="5"/>
        <v>0</v>
      </c>
      <c r="AE63" s="9"/>
      <c r="AI63" s="248" t="str">
        <f>IFERROR(INDEX($B$1:$AK$243,MATCH(W63,$B$1:$B$243,0),13),"")</f>
        <v/>
      </c>
      <c r="AJ63" s="248" t="str">
        <f>IFERROR(INDEX($B$1:$AK$243,MATCH(W63,$B$1:$B$243,0),15),"")</f>
        <v/>
      </c>
      <c r="AK63">
        <f>SUMIF($W$2:$W$243,B63,$S$2:$S$243)</f>
        <v>0</v>
      </c>
      <c r="AP63">
        <f t="shared" si="6"/>
        <v>0</v>
      </c>
      <c r="AR63">
        <v>744015</v>
      </c>
      <c r="AS63">
        <f>SUMIF($B:$B,AR63,$AP:$AP)</f>
        <v>0</v>
      </c>
    </row>
    <row r="64" spans="1:45" ht="15.65" customHeight="1" x14ac:dyDescent="0.35">
      <c r="A64" s="2">
        <v>63</v>
      </c>
      <c r="B64" s="2">
        <v>745338</v>
      </c>
      <c r="C64" s="2" t="s">
        <v>4302</v>
      </c>
      <c r="D64" s="2" t="s">
        <v>53</v>
      </c>
      <c r="E64" s="2">
        <v>1613</v>
      </c>
      <c r="F64" s="2" t="s">
        <v>253</v>
      </c>
      <c r="G64" s="2" t="s">
        <v>47</v>
      </c>
      <c r="H64" s="10">
        <f>SUMIFS('Cutters Consumption Updates'!$F:$F,'Cutters Consumption Updates'!$D:$D,H$1,'Cutters Consumption Updates'!$B:$B,$B64)-SUMIFS('Cutters Consumption Updates'!$E:$E,'Cutters Consumption Updates'!$D:$D,H$1,'Cutters Consumption Updates'!$B:$B,$B64)+ SUMIF('Cutters Consumption Updates'!$AS:$AS,$B64,'Cutters Consumption Updates'!AT:AT)</f>
        <v>0</v>
      </c>
      <c r="I64" s="10">
        <f>SUMIFS('Cutters Consumption Updates'!$F:$F,'Cutters Consumption Updates'!$D:$D,I$1,'Cutters Consumption Updates'!$B:$B,$B64)-SUMIFS('Cutters Consumption Updates'!$E:$E,'Cutters Consumption Updates'!$D:$D,I$1,'Cutters Consumption Updates'!$B:$B,$B64)+ SUMIF('Cutters Consumption Updates'!$AS:$AS,$B64,'Cutters Consumption Updates'!AU:AU)</f>
        <v>0</v>
      </c>
      <c r="J64" s="116">
        <f>SUMIFS('Cutters Consumption Updates'!$F:$F,'Cutters Consumption Updates'!$D:$D,J$1,'Cutters Consumption Updates'!$B:$B,$B64)-SUMIFS('Cutters Consumption Updates'!$E:$E,'Cutters Consumption Updates'!$D:$D,J$1,'Cutters Consumption Updates'!$B:$B,$B64)+ SUMIF('Cutters Consumption Updates'!$AS:$AS,$B64,'Cutters Consumption Updates'!AV:AV)</f>
        <v>0</v>
      </c>
      <c r="K64" s="738">
        <f>SUMIFS('Cutters Consumption Updates'!$F:$F,'Cutters Consumption Updates'!$D:$D,K$1,'Cutters Consumption Updates'!$B:$B,$B64)-SUMIFS('Cutters Consumption Updates'!$E:$E,'Cutters Consumption Updates'!$D:$D,K$1,'Cutters Consumption Updates'!$B:$B,$B64)+ SUMIF('Cutters Consumption Updates'!$AS:$AS,$B64,'Cutters Consumption Updates'!AW:AW)</f>
        <v>4</v>
      </c>
      <c r="L64" s="116">
        <f>SUMIFS('Cutters Consumption Updates'!$F:$F,'Cutters Consumption Updates'!$D:$D,L$1,'Cutters Consumption Updates'!$B:$B,$B64)-SUMIFS('Cutters Consumption Updates'!$E:$E,'Cutters Consumption Updates'!$D:$D,$L$1,'Cutters Consumption Updates'!$B:$B,$B64)+SUMIFS('Cutters Consumption Updates'!$F:$F,'Cutters Consumption Updates'!$D:$D,"Retrofit",'Cutters Consumption Updates'!$B:$B,$B64)-SUMIFS('Cutters Consumption Updates'!$E:$E,'Cutters Consumption Updates'!$D:$D,"Retrofit",'Cutters Consumption Updates'!$B:$B,$B64)+ SUMIF('Cutters Consumption Updates'!$AS:$AS,$B64,'Cutters Consumption Updates'!AX:AX)</f>
        <v>0</v>
      </c>
      <c r="M64" s="810">
        <f t="shared" si="0"/>
        <v>0</v>
      </c>
      <c r="N64" s="810">
        <f ca="1">SUMIFS('Cutters Consumption Updates'!E:E,
        'Cutters Consumption Updates'!B:B, B64,
        'Cutters Consumption Updates'!A:A, "&gt;" &amp; TODAY()-182)</f>
        <v>0</v>
      </c>
      <c r="O64" s="810">
        <f ca="1">SUMIFS('Cutters Consumption Updates'!E:E,
        'Cutters Consumption Updates'!B:B, B64,
        'Cutters Consumption Updates'!A:A, "&gt;" &amp; TODAY()-91)</f>
        <v>0</v>
      </c>
      <c r="P64" s="810">
        <f t="shared" ca="1" si="1"/>
        <v>0</v>
      </c>
      <c r="Q64" s="703">
        <f t="shared" ca="1" si="2"/>
        <v>0</v>
      </c>
      <c r="R64" s="703" t="s">
        <v>29</v>
      </c>
      <c r="S64" s="24">
        <f>IFERROR(INDEX(Table5[],MATCH($B64,Table5[Component],0),2),0)</f>
        <v>0</v>
      </c>
      <c r="T64" s="813">
        <f>SUMIFS(Table7[Balance],Table7[Cutter Mat'#],$B64)</f>
        <v>0</v>
      </c>
      <c r="U64" s="24">
        <f t="shared" si="3"/>
        <v>0</v>
      </c>
      <c r="V64" s="119"/>
      <c r="W64" s="2"/>
      <c r="Y64" s="4">
        <f>IFERROR(INDEX(Table5[],MATCH($B64,Table5[Component],0),2),0)</f>
        <v>0</v>
      </c>
      <c r="Z64" s="4">
        <f>IFERROR(INDEX(Table5[],MATCH($B64,Table5[Component],0),1),0)</f>
        <v>0</v>
      </c>
      <c r="AA64" s="4" t="str">
        <f>IF(Y64&lt;&gt;0,B64,"")</f>
        <v/>
      </c>
      <c r="AB64" s="4" t="str">
        <f t="shared" si="4"/>
        <v/>
      </c>
      <c r="AD64" s="4">
        <f t="shared" si="5"/>
        <v>0</v>
      </c>
      <c r="AE64" s="9"/>
      <c r="AI64" s="248" t="str">
        <f>IFERROR(INDEX($B$1:$AK$243,MATCH(W64,$B$1:$B$243,0),13),"")</f>
        <v/>
      </c>
      <c r="AJ64" s="248" t="str">
        <f>IFERROR(INDEX($B$1:$AK$243,MATCH(W64,$B$1:$B$243,0),15),"")</f>
        <v/>
      </c>
      <c r="AK64">
        <f>SUMIF($W$2:$W$243,B64,$S$2:$S$243)</f>
        <v>0</v>
      </c>
      <c r="AP64">
        <f t="shared" si="6"/>
        <v>0</v>
      </c>
      <c r="AR64">
        <v>745171</v>
      </c>
      <c r="AS64">
        <f>SUMIF($B:$B,AR64,$AP:$AP)</f>
        <v>0</v>
      </c>
    </row>
    <row r="65" spans="1:45" ht="15.65" customHeight="1" x14ac:dyDescent="0.35">
      <c r="A65" s="2">
        <v>64</v>
      </c>
      <c r="B65" s="2">
        <v>642299</v>
      </c>
      <c r="C65" s="2" t="s">
        <v>4452</v>
      </c>
      <c r="D65" s="2" t="s">
        <v>66</v>
      </c>
      <c r="E65" s="2">
        <v>1308</v>
      </c>
      <c r="F65" s="2" t="s">
        <v>253</v>
      </c>
      <c r="G65" s="2" t="s">
        <v>28</v>
      </c>
      <c r="H65" s="10">
        <f>SUMIFS('Cutters Consumption Updates'!$F:$F,'Cutters Consumption Updates'!$D:$D,H$1,'Cutters Consumption Updates'!$B:$B,$B65)-SUMIFS('Cutters Consumption Updates'!$E:$E,'Cutters Consumption Updates'!$D:$D,H$1,'Cutters Consumption Updates'!$B:$B,$B65)+ SUMIF('Cutters Consumption Updates'!$AS:$AS,$B65,'Cutters Consumption Updates'!AT:AT)</f>
        <v>0</v>
      </c>
      <c r="I65" s="10">
        <f>SUMIFS('Cutters Consumption Updates'!$F:$F,'Cutters Consumption Updates'!$D:$D,I$1,'Cutters Consumption Updates'!$B:$B,$B65)-SUMIFS('Cutters Consumption Updates'!$E:$E,'Cutters Consumption Updates'!$D:$D,I$1,'Cutters Consumption Updates'!$B:$B,$B65)+ SUMIF('Cutters Consumption Updates'!$AS:$AS,$B65,'Cutters Consumption Updates'!AU:AU)</f>
        <v>0</v>
      </c>
      <c r="J65" s="116">
        <f>SUMIFS('Cutters Consumption Updates'!$F:$F,'Cutters Consumption Updates'!$D:$D,J$1,'Cutters Consumption Updates'!$B:$B,$B65)-SUMIFS('Cutters Consumption Updates'!$E:$E,'Cutters Consumption Updates'!$D:$D,J$1,'Cutters Consumption Updates'!$B:$B,$B65)+ SUMIF('Cutters Consumption Updates'!$AS:$AS,$B65,'Cutters Consumption Updates'!AV:AV)</f>
        <v>0</v>
      </c>
      <c r="K65" s="738">
        <f>SUMIFS('Cutters Consumption Updates'!$F:$F,'Cutters Consumption Updates'!$D:$D,K$1,'Cutters Consumption Updates'!$B:$B,$B65)-SUMIFS('Cutters Consumption Updates'!$E:$E,'Cutters Consumption Updates'!$D:$D,K$1,'Cutters Consumption Updates'!$B:$B,$B65)+ SUMIF('Cutters Consumption Updates'!$AS:$AS,$B65,'Cutters Consumption Updates'!AW:AW)</f>
        <v>0</v>
      </c>
      <c r="L65" s="116">
        <f>SUMIFS('Cutters Consumption Updates'!$F:$F,'Cutters Consumption Updates'!$D:$D,L$1,'Cutters Consumption Updates'!$B:$B,$B65)-SUMIFS('Cutters Consumption Updates'!$E:$E,'Cutters Consumption Updates'!$D:$D,$L$1,'Cutters Consumption Updates'!$B:$B,$B65)+SUMIFS('Cutters Consumption Updates'!$F:$F,'Cutters Consumption Updates'!$D:$D,"Retrofit",'Cutters Consumption Updates'!$B:$B,$B65)-SUMIFS('Cutters Consumption Updates'!$E:$E,'Cutters Consumption Updates'!$D:$D,"Retrofit",'Cutters Consumption Updates'!$B:$B,$B65)+ SUMIF('Cutters Consumption Updates'!$AS:$AS,$B65,'Cutters Consumption Updates'!AX:AX)</f>
        <v>0</v>
      </c>
      <c r="M65" s="810">
        <f t="shared" si="0"/>
        <v>0</v>
      </c>
      <c r="N65" s="810">
        <f ca="1">SUMIFS('Cutters Consumption Updates'!E:E,
        'Cutters Consumption Updates'!B:B, B65,
        'Cutters Consumption Updates'!A:A, "&gt;" &amp; TODAY()-182)</f>
        <v>0</v>
      </c>
      <c r="O65" s="810">
        <f ca="1">SUMIFS('Cutters Consumption Updates'!E:E,
        'Cutters Consumption Updates'!B:B, B65,
        'Cutters Consumption Updates'!A:A, "&gt;" &amp; TODAY()-91)</f>
        <v>0</v>
      </c>
      <c r="P65" s="810">
        <f t="shared" ca="1" si="1"/>
        <v>0</v>
      </c>
      <c r="Q65" s="703">
        <f t="shared" ca="1" si="2"/>
        <v>0</v>
      </c>
      <c r="R65" s="703" t="s">
        <v>29</v>
      </c>
      <c r="S65" s="24">
        <f>IFERROR(INDEX(Table5[],MATCH($B65,Table5[Component],0),2),0)</f>
        <v>0</v>
      </c>
      <c r="T65" s="813">
        <f>SUMIFS(Table7[Balance],Table7[Cutter Mat'#],$B65)</f>
        <v>0</v>
      </c>
      <c r="U65" s="24">
        <f t="shared" si="3"/>
        <v>0</v>
      </c>
      <c r="V65" s="119"/>
      <c r="W65" s="2"/>
      <c r="Y65" s="4">
        <f>IFERROR(INDEX(Table5[],MATCH($B65,Table5[Component],0),2),0)</f>
        <v>0</v>
      </c>
      <c r="Z65" s="4">
        <f>IFERROR(INDEX(Table5[],MATCH($B65,Table5[Component],0),1),0)</f>
        <v>0</v>
      </c>
      <c r="AA65" s="4" t="str">
        <f>IF(Y65&lt;&gt;0,B65,"")</f>
        <v/>
      </c>
      <c r="AB65" s="4" t="str">
        <f t="shared" si="4"/>
        <v/>
      </c>
      <c r="AD65" s="4">
        <f t="shared" si="5"/>
        <v>0</v>
      </c>
      <c r="AE65" s="9"/>
      <c r="AI65" s="248" t="str">
        <f>IFERROR(INDEX($B$1:$AK$243,MATCH(W65,$B$1:$B$243,0),13),"")</f>
        <v/>
      </c>
      <c r="AJ65" s="248" t="str">
        <f>IFERROR(INDEX($B$1:$AK$243,MATCH(W65,$B$1:$B$243,0),15),"")</f>
        <v/>
      </c>
      <c r="AK65">
        <f>SUMIF($W$2:$W$243,B65,$S$2:$S$243)</f>
        <v>0</v>
      </c>
      <c r="AP65">
        <f t="shared" si="6"/>
        <v>0</v>
      </c>
      <c r="AR65">
        <v>745338</v>
      </c>
      <c r="AS65">
        <f>SUMIF($B:$B,AR65,$AP:$AP)</f>
        <v>0</v>
      </c>
    </row>
    <row r="66" spans="1:45" ht="15.65" customHeight="1" x14ac:dyDescent="0.35">
      <c r="A66" s="2">
        <v>65</v>
      </c>
      <c r="B66" s="2">
        <v>661065</v>
      </c>
      <c r="C66" s="2" t="s">
        <v>4303</v>
      </c>
      <c r="D66" s="2" t="s">
        <v>4241</v>
      </c>
      <c r="E66" s="2">
        <v>1313</v>
      </c>
      <c r="F66" s="2" t="s">
        <v>253</v>
      </c>
      <c r="G66" s="2" t="s">
        <v>4275</v>
      </c>
      <c r="H66" s="10">
        <f>SUMIFS('Cutters Consumption Updates'!$F:$F,'Cutters Consumption Updates'!$D:$D,H$1,'Cutters Consumption Updates'!$B:$B,$B66)-SUMIFS('Cutters Consumption Updates'!$E:$E,'Cutters Consumption Updates'!$D:$D,H$1,'Cutters Consumption Updates'!$B:$B,$B66)+ SUMIF('Cutters Consumption Updates'!$AS:$AS,$B66,'Cutters Consumption Updates'!AT:AT)</f>
        <v>0</v>
      </c>
      <c r="I66" s="10">
        <f>SUMIFS('Cutters Consumption Updates'!$F:$F,'Cutters Consumption Updates'!$D:$D,I$1,'Cutters Consumption Updates'!$B:$B,$B66)-SUMIFS('Cutters Consumption Updates'!$E:$E,'Cutters Consumption Updates'!$D:$D,I$1,'Cutters Consumption Updates'!$B:$B,$B66)+ SUMIF('Cutters Consumption Updates'!$AS:$AS,$B66,'Cutters Consumption Updates'!AU:AU)</f>
        <v>0</v>
      </c>
      <c r="J66" s="116">
        <f>SUMIFS('Cutters Consumption Updates'!$F:$F,'Cutters Consumption Updates'!$D:$D,J$1,'Cutters Consumption Updates'!$B:$B,$B66)-SUMIFS('Cutters Consumption Updates'!$E:$E,'Cutters Consumption Updates'!$D:$D,J$1,'Cutters Consumption Updates'!$B:$B,$B66)+ SUMIF('Cutters Consumption Updates'!$AS:$AS,$B66,'Cutters Consumption Updates'!AV:AV)</f>
        <v>0</v>
      </c>
      <c r="K66" s="738">
        <f>SUMIFS('Cutters Consumption Updates'!$F:$F,'Cutters Consumption Updates'!$D:$D,K$1,'Cutters Consumption Updates'!$B:$B,$B66)-SUMIFS('Cutters Consumption Updates'!$E:$E,'Cutters Consumption Updates'!$D:$D,K$1,'Cutters Consumption Updates'!$B:$B,$B66)+ SUMIF('Cutters Consumption Updates'!$AS:$AS,$B66,'Cutters Consumption Updates'!AW:AW)</f>
        <v>0</v>
      </c>
      <c r="L66" s="116">
        <f>SUMIFS('Cutters Consumption Updates'!$F:$F,'Cutters Consumption Updates'!$D:$D,L$1,'Cutters Consumption Updates'!$B:$B,$B66)-SUMIFS('Cutters Consumption Updates'!$E:$E,'Cutters Consumption Updates'!$D:$D,$L$1,'Cutters Consumption Updates'!$B:$B,$B66)+SUMIFS('Cutters Consumption Updates'!$F:$F,'Cutters Consumption Updates'!$D:$D,"Retrofit",'Cutters Consumption Updates'!$B:$B,$B66)-SUMIFS('Cutters Consumption Updates'!$E:$E,'Cutters Consumption Updates'!$D:$D,"Retrofit",'Cutters Consumption Updates'!$B:$B,$B66)+ SUMIF('Cutters Consumption Updates'!$AS:$AS,$B66,'Cutters Consumption Updates'!AX:AX)</f>
        <v>11</v>
      </c>
      <c r="M66" s="810">
        <f t="shared" ref="M66:M129" si="7">L66+H66</f>
        <v>11</v>
      </c>
      <c r="N66" s="810">
        <f ca="1">SUMIFS('Cutters Consumption Updates'!E:E,
        'Cutters Consumption Updates'!B:B, B66,
        'Cutters Consumption Updates'!A:A, "&gt;" &amp; TODAY()-182)</f>
        <v>0</v>
      </c>
      <c r="O66" s="810">
        <f ca="1">SUMIFS('Cutters Consumption Updates'!E:E,
        'Cutters Consumption Updates'!B:B, B66,
        'Cutters Consumption Updates'!A:A, "&gt;" &amp; TODAY()-91)</f>
        <v>0</v>
      </c>
      <c r="P66" s="810">
        <f t="shared" ref="P66:P129" ca="1" si="8">IF(N66&lt;&gt;0,_xlfn.CEILING.MATH(N66/3),0)</f>
        <v>0</v>
      </c>
      <c r="Q66" s="703">
        <f t="shared" ref="Q66:Q129" ca="1" si="9">IF(P66&lt;=1, 0,
 CEILING(
  IF(P66&gt;=300, P66+10,
  IF(P66&gt;=200, P66+5,
  IF(P66&gt;=100, P66+5,
  IF(P66&gt;=50, P66+2,
  IF(P66&gt;=20, P66+2,
  IF(P66&gt;=10, P66+2,
  IF(P66&gt;=5,  P66+2,
  P66+1))))))), 5))</f>
        <v>0</v>
      </c>
      <c r="R66" s="703" t="s">
        <v>29</v>
      </c>
      <c r="S66" s="24">
        <f>IFERROR(INDEX(Table5[],MATCH($B66,Table5[Component],0),2),0)</f>
        <v>0</v>
      </c>
      <c r="T66" s="813">
        <f>SUMIFS(Table7[Balance],Table7[Cutter Mat'#],$B66)</f>
        <v>0</v>
      </c>
      <c r="U66" s="24">
        <f t="shared" ref="U66:U129" si="10">M66+T66-S66</f>
        <v>11</v>
      </c>
      <c r="V66" s="119"/>
      <c r="W66" s="2"/>
      <c r="Y66" s="4">
        <f>IFERROR(INDEX(Table5[],MATCH($B66,Table5[Component],0),2),0)</f>
        <v>0</v>
      </c>
      <c r="Z66" s="4">
        <f>IFERROR(INDEX(Table5[],MATCH($B66,Table5[Component],0),1),0)</f>
        <v>0</v>
      </c>
      <c r="AA66" s="4" t="str">
        <f>IF(Y66&lt;&gt;0,B66,"")</f>
        <v/>
      </c>
      <c r="AB66" s="4" t="str">
        <f t="shared" ref="AB66:AB129" si="11">IF(S66&lt;&gt;Y66,1,"")</f>
        <v/>
      </c>
      <c r="AD66" s="4">
        <f t="shared" ref="AD66:AD129" si="12">H66+I66+J66+L66</f>
        <v>11</v>
      </c>
      <c r="AE66" s="9"/>
      <c r="AI66" s="248" t="str">
        <f>IFERROR(INDEX($B$1:$AK$243,MATCH(W66,$B$1:$B$243,0),13),"")</f>
        <v/>
      </c>
      <c r="AJ66" s="248" t="str">
        <f>IFERROR(INDEX($B$1:$AK$243,MATCH(W66,$B$1:$B$243,0),15),"")</f>
        <v/>
      </c>
      <c r="AK66">
        <f>SUMIF($W$2:$W$243,B66,$S$2:$S$243)</f>
        <v>0</v>
      </c>
      <c r="AP66">
        <f t="shared" si="6"/>
        <v>0</v>
      </c>
      <c r="AR66">
        <v>745573</v>
      </c>
      <c r="AS66">
        <f>SUMIF($B:$B,AR66,$AP:$AP)</f>
        <v>0</v>
      </c>
    </row>
    <row r="67" spans="1:45" ht="15.65" customHeight="1" x14ac:dyDescent="0.35">
      <c r="A67" s="2">
        <v>66</v>
      </c>
      <c r="B67" s="2">
        <v>738227</v>
      </c>
      <c r="C67" s="2" t="s">
        <v>4453</v>
      </c>
      <c r="D67" s="2" t="s">
        <v>82</v>
      </c>
      <c r="E67" s="2">
        <v>1308</v>
      </c>
      <c r="F67" s="2" t="s">
        <v>253</v>
      </c>
      <c r="G67" s="806" t="e">
        <v>#N/A</v>
      </c>
      <c r="H67" s="10">
        <f>SUMIFS('Cutters Consumption Updates'!$F:$F,'Cutters Consumption Updates'!$D:$D,H$1,'Cutters Consumption Updates'!$B:$B,$B67)-SUMIFS('Cutters Consumption Updates'!$E:$E,'Cutters Consumption Updates'!$D:$D,H$1,'Cutters Consumption Updates'!$B:$B,$B67)+ SUMIF('Cutters Consumption Updates'!$AS:$AS,$B67,'Cutters Consumption Updates'!AT:AT)</f>
        <v>0</v>
      </c>
      <c r="I67" s="10">
        <f>SUMIFS('Cutters Consumption Updates'!$F:$F,'Cutters Consumption Updates'!$D:$D,I$1,'Cutters Consumption Updates'!$B:$B,$B67)-SUMIFS('Cutters Consumption Updates'!$E:$E,'Cutters Consumption Updates'!$D:$D,I$1,'Cutters Consumption Updates'!$B:$B,$B67)+ SUMIF('Cutters Consumption Updates'!$AS:$AS,$B67,'Cutters Consumption Updates'!AU:AU)</f>
        <v>0</v>
      </c>
      <c r="J67" s="116">
        <f>SUMIFS('Cutters Consumption Updates'!$F:$F,'Cutters Consumption Updates'!$D:$D,J$1,'Cutters Consumption Updates'!$B:$B,$B67)-SUMIFS('Cutters Consumption Updates'!$E:$E,'Cutters Consumption Updates'!$D:$D,J$1,'Cutters Consumption Updates'!$B:$B,$B67)+ SUMIF('Cutters Consumption Updates'!$AS:$AS,$B67,'Cutters Consumption Updates'!AV:AV)</f>
        <v>0</v>
      </c>
      <c r="K67" s="738">
        <f>SUMIFS('Cutters Consumption Updates'!$F:$F,'Cutters Consumption Updates'!$D:$D,K$1,'Cutters Consumption Updates'!$B:$B,$B67)-SUMIFS('Cutters Consumption Updates'!$E:$E,'Cutters Consumption Updates'!$D:$D,K$1,'Cutters Consumption Updates'!$B:$B,$B67)+ SUMIF('Cutters Consumption Updates'!$AS:$AS,$B67,'Cutters Consumption Updates'!AW:AW)</f>
        <v>0</v>
      </c>
      <c r="L67" s="116">
        <f>SUMIFS('Cutters Consumption Updates'!$F:$F,'Cutters Consumption Updates'!$D:$D,L$1,'Cutters Consumption Updates'!$B:$B,$B67)-SUMIFS('Cutters Consumption Updates'!$E:$E,'Cutters Consumption Updates'!$D:$D,$L$1,'Cutters Consumption Updates'!$B:$B,$B67)+SUMIFS('Cutters Consumption Updates'!$F:$F,'Cutters Consumption Updates'!$D:$D,"Retrofit",'Cutters Consumption Updates'!$B:$B,$B67)-SUMIFS('Cutters Consumption Updates'!$E:$E,'Cutters Consumption Updates'!$D:$D,"Retrofit",'Cutters Consumption Updates'!$B:$B,$B67)+ SUMIF('Cutters Consumption Updates'!$AS:$AS,$B67,'Cutters Consumption Updates'!AX:AX)</f>
        <v>0</v>
      </c>
      <c r="M67" s="810">
        <f t="shared" si="7"/>
        <v>0</v>
      </c>
      <c r="N67" s="810">
        <f ca="1">SUMIFS('Cutters Consumption Updates'!E:E,
        'Cutters Consumption Updates'!B:B, B67,
        'Cutters Consumption Updates'!A:A, "&gt;" &amp; TODAY()-182)</f>
        <v>0</v>
      </c>
      <c r="O67" s="810">
        <f ca="1">SUMIFS('Cutters Consumption Updates'!E:E,
        'Cutters Consumption Updates'!B:B, B67,
        'Cutters Consumption Updates'!A:A, "&gt;" &amp; TODAY()-91)</f>
        <v>0</v>
      </c>
      <c r="P67" s="810">
        <f t="shared" ca="1" si="8"/>
        <v>0</v>
      </c>
      <c r="Q67" s="703">
        <f t="shared" ca="1" si="9"/>
        <v>0</v>
      </c>
      <c r="R67" s="703" t="s">
        <v>29</v>
      </c>
      <c r="S67" s="24">
        <f>IFERROR(INDEX(Table5[],MATCH($B67,Table5[Component],0),2),0)</f>
        <v>0</v>
      </c>
      <c r="T67" s="813">
        <f>SUMIFS(Table7[Balance],Table7[Cutter Mat'#],$B67)</f>
        <v>0</v>
      </c>
      <c r="U67" s="24">
        <f t="shared" si="10"/>
        <v>0</v>
      </c>
      <c r="V67" s="119"/>
      <c r="W67" s="2"/>
      <c r="Y67" s="4">
        <f>IFERROR(INDEX(Table5[],MATCH($B67,Table5[Component],0),2),0)</f>
        <v>0</v>
      </c>
      <c r="Z67" s="4">
        <f>IFERROR(INDEX(Table5[],MATCH($B67,Table5[Component],0),1),0)</f>
        <v>0</v>
      </c>
      <c r="AA67" s="4" t="str">
        <f>IF(Y67&lt;&gt;0,B67,"")</f>
        <v/>
      </c>
      <c r="AB67" s="4" t="str">
        <f t="shared" si="11"/>
        <v/>
      </c>
      <c r="AD67" s="4">
        <f t="shared" si="12"/>
        <v>0</v>
      </c>
      <c r="AE67" s="9"/>
      <c r="AI67" s="248" t="str">
        <f>IFERROR(INDEX($B$1:$AK$243,MATCH(W67,$B$1:$B$243,0),13),"")</f>
        <v/>
      </c>
      <c r="AJ67" s="248" t="str">
        <f>IFERROR(INDEX($B$1:$AK$243,MATCH(W67,$B$1:$B$243,0),15),"")</f>
        <v/>
      </c>
      <c r="AK67">
        <f>SUMIF($W$2:$W$243,B67,$S$2:$S$243)</f>
        <v>0</v>
      </c>
      <c r="AP67">
        <f t="shared" ref="AP67:AP130" si="13">T67</f>
        <v>0</v>
      </c>
      <c r="AR67">
        <v>745576</v>
      </c>
      <c r="AS67">
        <f>SUMIF($B:$B,AR67,$AP:$AP)</f>
        <v>0</v>
      </c>
    </row>
    <row r="68" spans="1:45" ht="15.65" customHeight="1" x14ac:dyDescent="0.35">
      <c r="A68" s="2">
        <v>67</v>
      </c>
      <c r="B68" s="2">
        <v>886466</v>
      </c>
      <c r="C68" s="2" t="s">
        <v>4454</v>
      </c>
      <c r="D68" s="2" t="s">
        <v>74</v>
      </c>
      <c r="E68" s="2">
        <v>1308</v>
      </c>
      <c r="F68" s="2" t="s">
        <v>253</v>
      </c>
      <c r="G68" s="2" t="s">
        <v>4275</v>
      </c>
      <c r="H68" s="10">
        <f>SUMIFS('Cutters Consumption Updates'!$F:$F,'Cutters Consumption Updates'!$D:$D,H$1,'Cutters Consumption Updates'!$B:$B,$B68)-SUMIFS('Cutters Consumption Updates'!$E:$E,'Cutters Consumption Updates'!$D:$D,H$1,'Cutters Consumption Updates'!$B:$B,$B68)+ SUMIF('Cutters Consumption Updates'!$AS:$AS,$B68,'Cutters Consumption Updates'!AT:AT)</f>
        <v>0</v>
      </c>
      <c r="I68" s="10">
        <f>SUMIFS('Cutters Consumption Updates'!$F:$F,'Cutters Consumption Updates'!$D:$D,I$1,'Cutters Consumption Updates'!$B:$B,$B68)-SUMIFS('Cutters Consumption Updates'!$E:$E,'Cutters Consumption Updates'!$D:$D,I$1,'Cutters Consumption Updates'!$B:$B,$B68)+ SUMIF('Cutters Consumption Updates'!$AS:$AS,$B68,'Cutters Consumption Updates'!AU:AU)</f>
        <v>0</v>
      </c>
      <c r="J68" s="116">
        <f>SUMIFS('Cutters Consumption Updates'!$F:$F,'Cutters Consumption Updates'!$D:$D,J$1,'Cutters Consumption Updates'!$B:$B,$B68)-SUMIFS('Cutters Consumption Updates'!$E:$E,'Cutters Consumption Updates'!$D:$D,J$1,'Cutters Consumption Updates'!$B:$B,$B68)+ SUMIF('Cutters Consumption Updates'!$AS:$AS,$B68,'Cutters Consumption Updates'!AV:AV)</f>
        <v>0</v>
      </c>
      <c r="K68" s="738">
        <f>SUMIFS('Cutters Consumption Updates'!$F:$F,'Cutters Consumption Updates'!$D:$D,K$1,'Cutters Consumption Updates'!$B:$B,$B68)-SUMIFS('Cutters Consumption Updates'!$E:$E,'Cutters Consumption Updates'!$D:$D,K$1,'Cutters Consumption Updates'!$B:$B,$B68)+ SUMIF('Cutters Consumption Updates'!$AS:$AS,$B68,'Cutters Consumption Updates'!AW:AW)</f>
        <v>0</v>
      </c>
      <c r="L68" s="116">
        <f>SUMIFS('Cutters Consumption Updates'!$F:$F,'Cutters Consumption Updates'!$D:$D,L$1,'Cutters Consumption Updates'!$B:$B,$B68)-SUMIFS('Cutters Consumption Updates'!$E:$E,'Cutters Consumption Updates'!$D:$D,$L$1,'Cutters Consumption Updates'!$B:$B,$B68)+SUMIFS('Cutters Consumption Updates'!$F:$F,'Cutters Consumption Updates'!$D:$D,"Retrofit",'Cutters Consumption Updates'!$B:$B,$B68)-SUMIFS('Cutters Consumption Updates'!$E:$E,'Cutters Consumption Updates'!$D:$D,"Retrofit",'Cutters Consumption Updates'!$B:$B,$B68)+ SUMIF('Cutters Consumption Updates'!$AS:$AS,$B68,'Cutters Consumption Updates'!AX:AX)</f>
        <v>0</v>
      </c>
      <c r="M68" s="810">
        <f t="shared" si="7"/>
        <v>0</v>
      </c>
      <c r="N68" s="810">
        <f ca="1">SUMIFS('Cutters Consumption Updates'!E:E,
        'Cutters Consumption Updates'!B:B, B68,
        'Cutters Consumption Updates'!A:A, "&gt;" &amp; TODAY()-182)</f>
        <v>0</v>
      </c>
      <c r="O68" s="810">
        <f ca="1">SUMIFS('Cutters Consumption Updates'!E:E,
        'Cutters Consumption Updates'!B:B, B68,
        'Cutters Consumption Updates'!A:A, "&gt;" &amp; TODAY()-91)</f>
        <v>0</v>
      </c>
      <c r="P68" s="810">
        <f t="shared" ca="1" si="8"/>
        <v>0</v>
      </c>
      <c r="Q68" s="703">
        <f t="shared" ca="1" si="9"/>
        <v>0</v>
      </c>
      <c r="R68" s="703" t="s">
        <v>29</v>
      </c>
      <c r="S68" s="24">
        <f>IFERROR(INDEX(Table5[],MATCH($B68,Table5[Component],0),2),0)</f>
        <v>0</v>
      </c>
      <c r="T68" s="813">
        <f>SUMIFS(Table7[Balance],Table7[Cutter Mat'#],$B68)</f>
        <v>0</v>
      </c>
      <c r="U68" s="24">
        <f t="shared" si="10"/>
        <v>0</v>
      </c>
      <c r="V68" s="119"/>
      <c r="W68" s="2"/>
      <c r="Y68" s="4">
        <f>IFERROR(INDEX(Table5[],MATCH($B68,Table5[Component],0),2),0)</f>
        <v>0</v>
      </c>
      <c r="Z68" s="4">
        <f>IFERROR(INDEX(Table5[],MATCH($B68,Table5[Component],0),1),0)</f>
        <v>0</v>
      </c>
      <c r="AA68" s="4" t="str">
        <f>IF(Y68&lt;&gt;0,B68,"")</f>
        <v/>
      </c>
      <c r="AB68" s="4" t="str">
        <f t="shared" si="11"/>
        <v/>
      </c>
      <c r="AD68" s="4">
        <f t="shared" si="12"/>
        <v>0</v>
      </c>
      <c r="AE68" s="9"/>
      <c r="AI68" s="248" t="str">
        <f>IFERROR(INDEX($B$1:$AK$243,MATCH(W68,$B$1:$B$243,0),13),"")</f>
        <v/>
      </c>
      <c r="AJ68" s="248" t="str">
        <f>IFERROR(INDEX($B$1:$AK$243,MATCH(W68,$B$1:$B$243,0),15),"")</f>
        <v/>
      </c>
      <c r="AK68">
        <f>SUMIF($W$2:$W$243,B68,$S$2:$S$243)</f>
        <v>0</v>
      </c>
      <c r="AP68">
        <f t="shared" si="13"/>
        <v>0</v>
      </c>
      <c r="AR68">
        <v>752294</v>
      </c>
      <c r="AS68">
        <f>SUMIF($B:$B,AR68,$AP:$AP)</f>
        <v>0</v>
      </c>
    </row>
    <row r="69" spans="1:45" ht="15.65" customHeight="1" x14ac:dyDescent="0.35">
      <c r="A69" s="2">
        <v>68</v>
      </c>
      <c r="B69" s="2">
        <v>887028</v>
      </c>
      <c r="C69" s="2" t="s">
        <v>4304</v>
      </c>
      <c r="D69" s="2" t="s">
        <v>74</v>
      </c>
      <c r="E69" s="2">
        <v>1313</v>
      </c>
      <c r="F69" s="2" t="s">
        <v>253</v>
      </c>
      <c r="G69" s="2" t="s">
        <v>4275</v>
      </c>
      <c r="H69" s="10">
        <f>SUMIFS('Cutters Consumption Updates'!$F:$F,'Cutters Consumption Updates'!$D:$D,H$1,'Cutters Consumption Updates'!$B:$B,$B69)-SUMIFS('Cutters Consumption Updates'!$E:$E,'Cutters Consumption Updates'!$D:$D,H$1,'Cutters Consumption Updates'!$B:$B,$B69)+ SUMIF('Cutters Consumption Updates'!$AS:$AS,$B69,'Cutters Consumption Updates'!AT:AT)</f>
        <v>0</v>
      </c>
      <c r="I69" s="10">
        <f>SUMIFS('Cutters Consumption Updates'!$F:$F,'Cutters Consumption Updates'!$D:$D,I$1,'Cutters Consumption Updates'!$B:$B,$B69)-SUMIFS('Cutters Consumption Updates'!$E:$E,'Cutters Consumption Updates'!$D:$D,I$1,'Cutters Consumption Updates'!$B:$B,$B69)+ SUMIF('Cutters Consumption Updates'!$AS:$AS,$B69,'Cutters Consumption Updates'!AU:AU)</f>
        <v>0</v>
      </c>
      <c r="J69" s="116">
        <f>SUMIFS('Cutters Consumption Updates'!$F:$F,'Cutters Consumption Updates'!$D:$D,J$1,'Cutters Consumption Updates'!$B:$B,$B69)-SUMIFS('Cutters Consumption Updates'!$E:$E,'Cutters Consumption Updates'!$D:$D,J$1,'Cutters Consumption Updates'!$B:$B,$B69)+ SUMIF('Cutters Consumption Updates'!$AS:$AS,$B69,'Cutters Consumption Updates'!AV:AV)</f>
        <v>12</v>
      </c>
      <c r="K69" s="738">
        <f>SUMIFS('Cutters Consumption Updates'!$F:$F,'Cutters Consumption Updates'!$D:$D,K$1,'Cutters Consumption Updates'!$B:$B,$B69)-SUMIFS('Cutters Consumption Updates'!$E:$E,'Cutters Consumption Updates'!$D:$D,K$1,'Cutters Consumption Updates'!$B:$B,$B69)+ SUMIF('Cutters Consumption Updates'!$AS:$AS,$B69,'Cutters Consumption Updates'!AW:AW)</f>
        <v>0</v>
      </c>
      <c r="L69" s="116">
        <f>SUMIFS('Cutters Consumption Updates'!$F:$F,'Cutters Consumption Updates'!$D:$D,L$1,'Cutters Consumption Updates'!$B:$B,$B69)-SUMIFS('Cutters Consumption Updates'!$E:$E,'Cutters Consumption Updates'!$D:$D,$L$1,'Cutters Consumption Updates'!$B:$B,$B69)+SUMIFS('Cutters Consumption Updates'!$F:$F,'Cutters Consumption Updates'!$D:$D,"Retrofit",'Cutters Consumption Updates'!$B:$B,$B69)-SUMIFS('Cutters Consumption Updates'!$E:$E,'Cutters Consumption Updates'!$D:$D,"Retrofit",'Cutters Consumption Updates'!$B:$B,$B69)+ SUMIF('Cutters Consumption Updates'!$AS:$AS,$B69,'Cutters Consumption Updates'!AX:AX)</f>
        <v>0</v>
      </c>
      <c r="M69" s="810">
        <f t="shared" si="7"/>
        <v>0</v>
      </c>
      <c r="N69" s="810">
        <f ca="1">SUMIFS('Cutters Consumption Updates'!E:E,
        'Cutters Consumption Updates'!B:B, B69,
        'Cutters Consumption Updates'!A:A, "&gt;" &amp; TODAY()-182)</f>
        <v>0</v>
      </c>
      <c r="O69" s="810">
        <f ca="1">SUMIFS('Cutters Consumption Updates'!E:E,
        'Cutters Consumption Updates'!B:B, B69,
        'Cutters Consumption Updates'!A:A, "&gt;" &amp; TODAY()-91)</f>
        <v>0</v>
      </c>
      <c r="P69" s="810">
        <f t="shared" ca="1" si="8"/>
        <v>0</v>
      </c>
      <c r="Q69" s="703">
        <f t="shared" ca="1" si="9"/>
        <v>0</v>
      </c>
      <c r="R69" s="703" t="s">
        <v>29</v>
      </c>
      <c r="S69" s="24">
        <f>IFERROR(INDEX(Table5[],MATCH($B69,Table5[Component],0),2),0)</f>
        <v>0</v>
      </c>
      <c r="T69" s="813">
        <f>SUMIFS(Table7[Balance],Table7[Cutter Mat'#],$B69)</f>
        <v>0</v>
      </c>
      <c r="U69" s="24">
        <f t="shared" si="10"/>
        <v>0</v>
      </c>
      <c r="V69" s="119"/>
      <c r="W69" s="2"/>
      <c r="Y69" s="4">
        <f>IFERROR(INDEX(Table5[],MATCH($B69,Table5[Component],0),2),0)</f>
        <v>0</v>
      </c>
      <c r="Z69" s="4">
        <f>IFERROR(INDEX(Table5[],MATCH($B69,Table5[Component],0),1),0)</f>
        <v>0</v>
      </c>
      <c r="AA69" s="4" t="str">
        <f>IF(Y69&lt;&gt;0,B69,"")</f>
        <v/>
      </c>
      <c r="AB69" s="4" t="str">
        <f t="shared" si="11"/>
        <v/>
      </c>
      <c r="AD69" s="4">
        <f t="shared" si="12"/>
        <v>12</v>
      </c>
      <c r="AE69" s="9"/>
      <c r="AI69" s="248" t="str">
        <f>IFERROR(INDEX($B$1:$AK$243,MATCH(W69,$B$1:$B$243,0),13),"")</f>
        <v/>
      </c>
      <c r="AJ69" s="248" t="str">
        <f>IFERROR(INDEX($B$1:$AK$243,MATCH(W69,$B$1:$B$243,0),15),"")</f>
        <v/>
      </c>
      <c r="AK69">
        <f>SUMIF($W$2:$W$243,B69,$S$2:$S$243)</f>
        <v>0</v>
      </c>
      <c r="AP69">
        <f t="shared" si="13"/>
        <v>0</v>
      </c>
      <c r="AR69">
        <v>752555</v>
      </c>
      <c r="AS69">
        <f>SUMIF($B:$B,AR69,$AP:$AP)</f>
        <v>0</v>
      </c>
    </row>
    <row r="70" spans="1:45" ht="15.65" customHeight="1" x14ac:dyDescent="0.35">
      <c r="A70" s="2">
        <v>69</v>
      </c>
      <c r="B70" s="2">
        <v>773384</v>
      </c>
      <c r="C70" s="2" t="s">
        <v>4129</v>
      </c>
      <c r="D70" s="2" t="s">
        <v>51</v>
      </c>
      <c r="E70" s="2">
        <v>1005</v>
      </c>
      <c r="F70" s="2" t="s">
        <v>253</v>
      </c>
      <c r="G70" s="2" t="s">
        <v>47</v>
      </c>
      <c r="H70" s="10">
        <f>SUMIFS('Cutters Consumption Updates'!$F:$F,'Cutters Consumption Updates'!$D:$D,H$1,'Cutters Consumption Updates'!$B:$B,$B70)-SUMIFS('Cutters Consumption Updates'!$E:$E,'Cutters Consumption Updates'!$D:$D,H$1,'Cutters Consumption Updates'!$B:$B,$B70)+ SUMIF('Cutters Consumption Updates'!$AS:$AS,$B70,'Cutters Consumption Updates'!AT:AT)</f>
        <v>0</v>
      </c>
      <c r="I70" s="10">
        <f>SUMIFS('Cutters Consumption Updates'!$F:$F,'Cutters Consumption Updates'!$D:$D,I$1,'Cutters Consumption Updates'!$B:$B,$B70)-SUMIFS('Cutters Consumption Updates'!$E:$E,'Cutters Consumption Updates'!$D:$D,I$1,'Cutters Consumption Updates'!$B:$B,$B70)+ SUMIF('Cutters Consumption Updates'!$AS:$AS,$B70,'Cutters Consumption Updates'!AU:AU)</f>
        <v>0</v>
      </c>
      <c r="J70" s="116">
        <f>SUMIFS('Cutters Consumption Updates'!$F:$F,'Cutters Consumption Updates'!$D:$D,J$1,'Cutters Consumption Updates'!$B:$B,$B70)-SUMIFS('Cutters Consumption Updates'!$E:$E,'Cutters Consumption Updates'!$D:$D,J$1,'Cutters Consumption Updates'!$B:$B,$B70)+ SUMIF('Cutters Consumption Updates'!$AS:$AS,$B70,'Cutters Consumption Updates'!AV:AV)</f>
        <v>0</v>
      </c>
      <c r="K70" s="738">
        <f>SUMIFS('Cutters Consumption Updates'!$F:$F,'Cutters Consumption Updates'!$D:$D,K$1,'Cutters Consumption Updates'!$B:$B,$B70)-SUMIFS('Cutters Consumption Updates'!$E:$E,'Cutters Consumption Updates'!$D:$D,K$1,'Cutters Consumption Updates'!$B:$B,$B70)+ SUMIF('Cutters Consumption Updates'!$AS:$AS,$B70,'Cutters Consumption Updates'!AW:AW)</f>
        <v>0</v>
      </c>
      <c r="L70" s="116">
        <f>SUMIFS('Cutters Consumption Updates'!$F:$F,'Cutters Consumption Updates'!$D:$D,L$1,'Cutters Consumption Updates'!$B:$B,$B70)-SUMIFS('Cutters Consumption Updates'!$E:$E,'Cutters Consumption Updates'!$D:$D,$L$1,'Cutters Consumption Updates'!$B:$B,$B70)+SUMIFS('Cutters Consumption Updates'!$F:$F,'Cutters Consumption Updates'!$D:$D,"Retrofit",'Cutters Consumption Updates'!$B:$B,$B70)-SUMIFS('Cutters Consumption Updates'!$E:$E,'Cutters Consumption Updates'!$D:$D,"Retrofit",'Cutters Consumption Updates'!$B:$B,$B70)+ SUMIF('Cutters Consumption Updates'!$AS:$AS,$B70,'Cutters Consumption Updates'!AX:AX)</f>
        <v>34</v>
      </c>
      <c r="M70" s="810">
        <f t="shared" si="7"/>
        <v>34</v>
      </c>
      <c r="N70" s="810">
        <f ca="1">SUMIFS('Cutters Consumption Updates'!E:E,
        'Cutters Consumption Updates'!B:B, B70,
        'Cutters Consumption Updates'!A:A, "&gt;" &amp; TODAY()-182)</f>
        <v>54</v>
      </c>
      <c r="O70" s="810">
        <f ca="1">SUMIFS('Cutters Consumption Updates'!E:E,
        'Cutters Consumption Updates'!B:B, B70,
        'Cutters Consumption Updates'!A:A, "&gt;" &amp; TODAY()-91)</f>
        <v>54</v>
      </c>
      <c r="P70" s="810">
        <f t="shared" ca="1" si="8"/>
        <v>18</v>
      </c>
      <c r="Q70" s="703">
        <f t="shared" ca="1" si="9"/>
        <v>20</v>
      </c>
      <c r="R70" s="703" t="s">
        <v>84</v>
      </c>
      <c r="S70" s="24">
        <f>IFERROR(INDEX(Table5[],MATCH($B70,Table5[Component],0),2),0)</f>
        <v>100</v>
      </c>
      <c r="T70" s="813">
        <f>SUMIFS(Table7[Balance],Table7[Cutter Mat'#],$B70)</f>
        <v>0</v>
      </c>
      <c r="U70" s="24">
        <f t="shared" si="10"/>
        <v>-66</v>
      </c>
      <c r="V70" s="119"/>
      <c r="W70" s="2"/>
      <c r="Y70" s="4">
        <f>IFERROR(INDEX(Table5[],MATCH($B70,Table5[Component],0),2),0)</f>
        <v>100</v>
      </c>
      <c r="Z70" s="4">
        <f>IFERROR(INDEX(Table5[],MATCH($B70,Table5[Component],0),1),0)</f>
        <v>773384</v>
      </c>
      <c r="AA70" s="4">
        <f>IF(Y70&lt;&gt;0,B70,"")</f>
        <v>773384</v>
      </c>
      <c r="AB70" s="4" t="str">
        <f t="shared" si="11"/>
        <v/>
      </c>
      <c r="AD70" s="4">
        <f t="shared" si="12"/>
        <v>34</v>
      </c>
      <c r="AE70" s="9"/>
      <c r="AI70" s="248" t="str">
        <f>IFERROR(INDEX($B$1:$AK$243,MATCH(W70,$B$1:$B$243,0),13),"")</f>
        <v/>
      </c>
      <c r="AJ70" s="248" t="str">
        <f>IFERROR(INDEX($B$1:$AK$243,MATCH(W70,$B$1:$B$243,0),15),"")</f>
        <v/>
      </c>
      <c r="AK70">
        <f>SUMIF($W$2:$W$243,B70,$S$2:$S$243)</f>
        <v>0</v>
      </c>
      <c r="AP70">
        <f t="shared" si="13"/>
        <v>0</v>
      </c>
      <c r="AR70">
        <v>752563</v>
      </c>
      <c r="AS70">
        <f>SUMIF($B:$B,AR70,$AP:$AP)</f>
        <v>0</v>
      </c>
    </row>
    <row r="71" spans="1:45" ht="15.65" customHeight="1" x14ac:dyDescent="0.35">
      <c r="A71" s="2">
        <v>70</v>
      </c>
      <c r="B71" s="2">
        <v>971055</v>
      </c>
      <c r="C71" s="2" t="s">
        <v>4305</v>
      </c>
      <c r="D71" s="2" t="s">
        <v>86</v>
      </c>
      <c r="E71" s="2" t="s">
        <v>4250</v>
      </c>
      <c r="F71" s="2" t="s">
        <v>253</v>
      </c>
      <c r="G71" s="2" t="s">
        <v>47</v>
      </c>
      <c r="H71" s="10">
        <f>SUMIFS('Cutters Consumption Updates'!$F:$F,'Cutters Consumption Updates'!$D:$D,H$1,'Cutters Consumption Updates'!$B:$B,$B71)-SUMIFS('Cutters Consumption Updates'!$E:$E,'Cutters Consumption Updates'!$D:$D,H$1,'Cutters Consumption Updates'!$B:$B,$B71)+ SUMIF('Cutters Consumption Updates'!$AS:$AS,$B71,'Cutters Consumption Updates'!AT:AT)</f>
        <v>0</v>
      </c>
      <c r="I71" s="10">
        <f>SUMIFS('Cutters Consumption Updates'!$F:$F,'Cutters Consumption Updates'!$D:$D,I$1,'Cutters Consumption Updates'!$B:$B,$B71)-SUMIFS('Cutters Consumption Updates'!$E:$E,'Cutters Consumption Updates'!$D:$D,I$1,'Cutters Consumption Updates'!$B:$B,$B71)+ SUMIF('Cutters Consumption Updates'!$AS:$AS,$B71,'Cutters Consumption Updates'!AU:AU)</f>
        <v>0</v>
      </c>
      <c r="J71" s="116">
        <f>SUMIFS('Cutters Consumption Updates'!$F:$F,'Cutters Consumption Updates'!$D:$D,J$1,'Cutters Consumption Updates'!$B:$B,$B71)-SUMIFS('Cutters Consumption Updates'!$E:$E,'Cutters Consumption Updates'!$D:$D,J$1,'Cutters Consumption Updates'!$B:$B,$B71)+ SUMIF('Cutters Consumption Updates'!$AS:$AS,$B71,'Cutters Consumption Updates'!AV:AV)</f>
        <v>0</v>
      </c>
      <c r="K71" s="738">
        <f>SUMIFS('Cutters Consumption Updates'!$F:$F,'Cutters Consumption Updates'!$D:$D,K$1,'Cutters Consumption Updates'!$B:$B,$B71)-SUMIFS('Cutters Consumption Updates'!$E:$E,'Cutters Consumption Updates'!$D:$D,K$1,'Cutters Consumption Updates'!$B:$B,$B71)+ SUMIF('Cutters Consumption Updates'!$AS:$AS,$B71,'Cutters Consumption Updates'!AW:AW)</f>
        <v>21</v>
      </c>
      <c r="L71" s="116">
        <f>SUMIFS('Cutters Consumption Updates'!$F:$F,'Cutters Consumption Updates'!$D:$D,L$1,'Cutters Consumption Updates'!$B:$B,$B71)-SUMIFS('Cutters Consumption Updates'!$E:$E,'Cutters Consumption Updates'!$D:$D,$L$1,'Cutters Consumption Updates'!$B:$B,$B71)+SUMIFS('Cutters Consumption Updates'!$F:$F,'Cutters Consumption Updates'!$D:$D,"Retrofit",'Cutters Consumption Updates'!$B:$B,$B71)-SUMIFS('Cutters Consumption Updates'!$E:$E,'Cutters Consumption Updates'!$D:$D,"Retrofit",'Cutters Consumption Updates'!$B:$B,$B71)+ SUMIF('Cutters Consumption Updates'!$AS:$AS,$B71,'Cutters Consumption Updates'!AX:AX)</f>
        <v>30</v>
      </c>
      <c r="M71" s="810">
        <f t="shared" si="7"/>
        <v>30</v>
      </c>
      <c r="N71" s="810">
        <f ca="1">SUMIFS('Cutters Consumption Updates'!E:E,
        'Cutters Consumption Updates'!B:B, B71,
        'Cutters Consumption Updates'!A:A, "&gt;" &amp; TODAY()-182)</f>
        <v>0</v>
      </c>
      <c r="O71" s="810">
        <f ca="1">SUMIFS('Cutters Consumption Updates'!E:E,
        'Cutters Consumption Updates'!B:B, B71,
        'Cutters Consumption Updates'!A:A, "&gt;" &amp; TODAY()-91)</f>
        <v>0</v>
      </c>
      <c r="P71" s="810">
        <f t="shared" ca="1" si="8"/>
        <v>0</v>
      </c>
      <c r="Q71" s="703">
        <f t="shared" ca="1" si="9"/>
        <v>0</v>
      </c>
      <c r="R71" s="703" t="s">
        <v>29</v>
      </c>
      <c r="S71" s="24">
        <f>IFERROR(INDEX(Table5[],MATCH($B71,Table5[Component],0),2),0)</f>
        <v>0</v>
      </c>
      <c r="T71" s="813">
        <f>SUMIFS(Table7[Balance],Table7[Cutter Mat'#],$B71)</f>
        <v>0</v>
      </c>
      <c r="U71" s="24">
        <f t="shared" si="10"/>
        <v>30</v>
      </c>
      <c r="V71" s="119"/>
      <c r="W71" s="2"/>
      <c r="Y71" s="4">
        <f>IFERROR(INDEX(Table5[],MATCH($B71,Table5[Component],0),2),0)</f>
        <v>0</v>
      </c>
      <c r="Z71" s="4">
        <f>IFERROR(INDEX(Table5[],MATCH($B71,Table5[Component],0),1),0)</f>
        <v>971055</v>
      </c>
      <c r="AA71" s="4" t="str">
        <f>IF(Y71&lt;&gt;0,B71,"")</f>
        <v/>
      </c>
      <c r="AB71" s="4" t="str">
        <f t="shared" si="11"/>
        <v/>
      </c>
      <c r="AD71" s="4">
        <f t="shared" si="12"/>
        <v>30</v>
      </c>
      <c r="AE71" s="9"/>
      <c r="AI71" s="248" t="str">
        <f>IFERROR(INDEX($B$1:$AK$243,MATCH(W71,$B$1:$B$243,0),13),"")</f>
        <v/>
      </c>
      <c r="AJ71" s="248" t="str">
        <f>IFERROR(INDEX($B$1:$AK$243,MATCH(W71,$B$1:$B$243,0),15),"")</f>
        <v/>
      </c>
      <c r="AK71">
        <f>SUMIF($W$2:$W$243,B71,$S$2:$S$243)</f>
        <v>0</v>
      </c>
      <c r="AP71">
        <f t="shared" si="13"/>
        <v>0</v>
      </c>
      <c r="AR71">
        <v>752583</v>
      </c>
      <c r="AS71">
        <f>SUMIF($B:$B,AR71,$AP:$AP)</f>
        <v>0</v>
      </c>
    </row>
    <row r="72" spans="1:45" ht="15.65" customHeight="1" x14ac:dyDescent="0.35">
      <c r="A72" s="2">
        <v>71</v>
      </c>
      <c r="B72" s="2">
        <v>1039036</v>
      </c>
      <c r="C72" s="2" t="s">
        <v>4306</v>
      </c>
      <c r="D72" s="2" t="s">
        <v>88</v>
      </c>
      <c r="E72" s="2">
        <v>1313</v>
      </c>
      <c r="F72" s="2" t="s">
        <v>253</v>
      </c>
      <c r="G72" s="2" t="s">
        <v>4275</v>
      </c>
      <c r="H72" s="10">
        <f>SUMIFS('Cutters Consumption Updates'!$F:$F,'Cutters Consumption Updates'!$D:$D,H$1,'Cutters Consumption Updates'!$B:$B,$B72)-SUMIFS('Cutters Consumption Updates'!$E:$E,'Cutters Consumption Updates'!$D:$D,H$1,'Cutters Consumption Updates'!$B:$B,$B72)+ SUMIF('Cutters Consumption Updates'!$AS:$AS,$B72,'Cutters Consumption Updates'!AT:AT)</f>
        <v>0</v>
      </c>
      <c r="I72" s="10">
        <f>SUMIFS('Cutters Consumption Updates'!$F:$F,'Cutters Consumption Updates'!$D:$D,I$1,'Cutters Consumption Updates'!$B:$B,$B72)-SUMIFS('Cutters Consumption Updates'!$E:$E,'Cutters Consumption Updates'!$D:$D,I$1,'Cutters Consumption Updates'!$B:$B,$B72)+ SUMIF('Cutters Consumption Updates'!$AS:$AS,$B72,'Cutters Consumption Updates'!AU:AU)</f>
        <v>0</v>
      </c>
      <c r="J72" s="116">
        <f>SUMIFS('Cutters Consumption Updates'!$F:$F,'Cutters Consumption Updates'!$D:$D,J$1,'Cutters Consumption Updates'!$B:$B,$B72)-SUMIFS('Cutters Consumption Updates'!$E:$E,'Cutters Consumption Updates'!$D:$D,J$1,'Cutters Consumption Updates'!$B:$B,$B72)+ SUMIF('Cutters Consumption Updates'!$AS:$AS,$B72,'Cutters Consumption Updates'!AV:AV)</f>
        <v>6</v>
      </c>
      <c r="K72" s="738">
        <f>SUMIFS('Cutters Consumption Updates'!$F:$F,'Cutters Consumption Updates'!$D:$D,K$1,'Cutters Consumption Updates'!$B:$B,$B72)-SUMIFS('Cutters Consumption Updates'!$E:$E,'Cutters Consumption Updates'!$D:$D,K$1,'Cutters Consumption Updates'!$B:$B,$B72)+ SUMIF('Cutters Consumption Updates'!$AS:$AS,$B72,'Cutters Consumption Updates'!AW:AW)</f>
        <v>0</v>
      </c>
      <c r="L72" s="116">
        <f>SUMIFS('Cutters Consumption Updates'!$F:$F,'Cutters Consumption Updates'!$D:$D,L$1,'Cutters Consumption Updates'!$B:$B,$B72)-SUMIFS('Cutters Consumption Updates'!$E:$E,'Cutters Consumption Updates'!$D:$D,$L$1,'Cutters Consumption Updates'!$B:$B,$B72)+SUMIFS('Cutters Consumption Updates'!$F:$F,'Cutters Consumption Updates'!$D:$D,"Retrofit",'Cutters Consumption Updates'!$B:$B,$B72)-SUMIFS('Cutters Consumption Updates'!$E:$E,'Cutters Consumption Updates'!$D:$D,"Retrofit",'Cutters Consumption Updates'!$B:$B,$B72)+ SUMIF('Cutters Consumption Updates'!$AS:$AS,$B72,'Cutters Consumption Updates'!AX:AX)</f>
        <v>4</v>
      </c>
      <c r="M72" s="810">
        <f t="shared" si="7"/>
        <v>4</v>
      </c>
      <c r="N72" s="810">
        <f ca="1">SUMIFS('Cutters Consumption Updates'!E:E,
        'Cutters Consumption Updates'!B:B, B72,
        'Cutters Consumption Updates'!A:A, "&gt;" &amp; TODAY()-182)</f>
        <v>2</v>
      </c>
      <c r="O72" s="810">
        <f ca="1">SUMIFS('Cutters Consumption Updates'!E:E,
        'Cutters Consumption Updates'!B:B, B72,
        'Cutters Consumption Updates'!A:A, "&gt;" &amp; TODAY()-91)</f>
        <v>2</v>
      </c>
      <c r="P72" s="810">
        <f t="shared" ca="1" si="8"/>
        <v>1</v>
      </c>
      <c r="Q72" s="703">
        <f t="shared" ca="1" si="9"/>
        <v>0</v>
      </c>
      <c r="R72" s="703" t="s">
        <v>89</v>
      </c>
      <c r="S72" s="24">
        <f>IFERROR(INDEX(Table5[],MATCH($B72,Table5[Component],0),2),0)</f>
        <v>0</v>
      </c>
      <c r="T72" s="813">
        <f>SUMIFS(Table7[Balance],Table7[Cutter Mat'#],$B72)</f>
        <v>0</v>
      </c>
      <c r="U72" s="24">
        <f t="shared" si="10"/>
        <v>4</v>
      </c>
      <c r="V72" s="119"/>
      <c r="W72" s="2"/>
      <c r="Y72" s="4">
        <f>IFERROR(INDEX(Table5[],MATCH($B72,Table5[Component],0),2),0)</f>
        <v>0</v>
      </c>
      <c r="Z72" s="4">
        <f>IFERROR(INDEX(Table5[],MATCH($B72,Table5[Component],0),1),0)</f>
        <v>1039036</v>
      </c>
      <c r="AA72" s="4" t="str">
        <f>IF(Y72&lt;&gt;0,B72,"")</f>
        <v/>
      </c>
      <c r="AB72" s="4" t="str">
        <f t="shared" si="11"/>
        <v/>
      </c>
      <c r="AD72" s="4">
        <f t="shared" si="12"/>
        <v>10</v>
      </c>
      <c r="AE72" s="9"/>
      <c r="AI72" s="248" t="str">
        <f>IFERROR(INDEX($B$1:$AK$243,MATCH(W72,$B$1:$B$243,0),13),"")</f>
        <v/>
      </c>
      <c r="AJ72" s="248" t="str">
        <f>IFERROR(INDEX($B$1:$AK$243,MATCH(W72,$B$1:$B$243,0),15),"")</f>
        <v/>
      </c>
      <c r="AK72">
        <f>SUMIF($W$2:$W$243,B72,$S$2:$S$243)</f>
        <v>0</v>
      </c>
      <c r="AP72">
        <f t="shared" si="13"/>
        <v>0</v>
      </c>
      <c r="AR72">
        <v>755889</v>
      </c>
      <c r="AS72">
        <f>SUMIF($B:$B,AR72,$AP:$AP)</f>
        <v>0</v>
      </c>
    </row>
    <row r="73" spans="1:45" ht="15.65" customHeight="1" x14ac:dyDescent="0.35">
      <c r="A73" s="2">
        <v>72</v>
      </c>
      <c r="B73" s="2">
        <v>1039034</v>
      </c>
      <c r="C73" s="2" t="s">
        <v>4455</v>
      </c>
      <c r="D73" s="2" t="s">
        <v>88</v>
      </c>
      <c r="E73" s="2">
        <v>1308</v>
      </c>
      <c r="F73" s="2" t="s">
        <v>253</v>
      </c>
      <c r="G73" s="2" t="s">
        <v>4275</v>
      </c>
      <c r="H73" s="10">
        <f>SUMIFS('Cutters Consumption Updates'!$F:$F,'Cutters Consumption Updates'!$D:$D,H$1,'Cutters Consumption Updates'!$B:$B,$B73)-SUMIFS('Cutters Consumption Updates'!$E:$E,'Cutters Consumption Updates'!$D:$D,H$1,'Cutters Consumption Updates'!$B:$B,$B73)+ SUMIF('Cutters Consumption Updates'!$AS:$AS,$B73,'Cutters Consumption Updates'!AT:AT)</f>
        <v>-22</v>
      </c>
      <c r="I73" s="10">
        <f>SUMIFS('Cutters Consumption Updates'!$F:$F,'Cutters Consumption Updates'!$D:$D,I$1,'Cutters Consumption Updates'!$B:$B,$B73)-SUMIFS('Cutters Consumption Updates'!$E:$E,'Cutters Consumption Updates'!$D:$D,I$1,'Cutters Consumption Updates'!$B:$B,$B73)+ SUMIF('Cutters Consumption Updates'!$AS:$AS,$B73,'Cutters Consumption Updates'!AU:AU)</f>
        <v>0</v>
      </c>
      <c r="J73" s="116">
        <f>SUMIFS('Cutters Consumption Updates'!$F:$F,'Cutters Consumption Updates'!$D:$D,J$1,'Cutters Consumption Updates'!$B:$B,$B73)-SUMIFS('Cutters Consumption Updates'!$E:$E,'Cutters Consumption Updates'!$D:$D,J$1,'Cutters Consumption Updates'!$B:$B,$B73)+ SUMIF('Cutters Consumption Updates'!$AS:$AS,$B73,'Cutters Consumption Updates'!AV:AV)</f>
        <v>0</v>
      </c>
      <c r="K73" s="738">
        <f>SUMIFS('Cutters Consumption Updates'!$F:$F,'Cutters Consumption Updates'!$D:$D,K$1,'Cutters Consumption Updates'!$B:$B,$B73)-SUMIFS('Cutters Consumption Updates'!$E:$E,'Cutters Consumption Updates'!$D:$D,K$1,'Cutters Consumption Updates'!$B:$B,$B73)+ SUMIF('Cutters Consumption Updates'!$AS:$AS,$B73,'Cutters Consumption Updates'!AW:AW)</f>
        <v>0</v>
      </c>
      <c r="L73" s="116">
        <f>SUMIFS('Cutters Consumption Updates'!$F:$F,'Cutters Consumption Updates'!$D:$D,L$1,'Cutters Consumption Updates'!$B:$B,$B73)-SUMIFS('Cutters Consumption Updates'!$E:$E,'Cutters Consumption Updates'!$D:$D,$L$1,'Cutters Consumption Updates'!$B:$B,$B73)+SUMIFS('Cutters Consumption Updates'!$F:$F,'Cutters Consumption Updates'!$D:$D,"Retrofit",'Cutters Consumption Updates'!$B:$B,$B73)-SUMIFS('Cutters Consumption Updates'!$E:$E,'Cutters Consumption Updates'!$D:$D,"Retrofit",'Cutters Consumption Updates'!$B:$B,$B73)+ SUMIF('Cutters Consumption Updates'!$AS:$AS,$B73,'Cutters Consumption Updates'!AX:AX)</f>
        <v>0</v>
      </c>
      <c r="M73" s="810">
        <f t="shared" si="7"/>
        <v>-22</v>
      </c>
      <c r="N73" s="810">
        <f ca="1">SUMIFS('Cutters Consumption Updates'!E:E,
        'Cutters Consumption Updates'!B:B, B73,
        'Cutters Consumption Updates'!A:A, "&gt;" &amp; TODAY()-182)</f>
        <v>22</v>
      </c>
      <c r="O73" s="810">
        <f ca="1">SUMIFS('Cutters Consumption Updates'!E:E,
        'Cutters Consumption Updates'!B:B, B73,
        'Cutters Consumption Updates'!A:A, "&gt;" &amp; TODAY()-91)</f>
        <v>22</v>
      </c>
      <c r="P73" s="810">
        <f t="shared" ca="1" si="8"/>
        <v>8</v>
      </c>
      <c r="Q73" s="703">
        <f t="shared" ca="1" si="9"/>
        <v>10</v>
      </c>
      <c r="R73" s="703" t="s">
        <v>29</v>
      </c>
      <c r="S73" s="24">
        <f>IFERROR(INDEX(Table5[],MATCH($B73,Table5[Component],0),2),0)</f>
        <v>0</v>
      </c>
      <c r="T73" s="813">
        <f>SUMIFS(Table7[Balance],Table7[Cutter Mat'#],$B73)</f>
        <v>0</v>
      </c>
      <c r="U73" s="24">
        <f t="shared" si="10"/>
        <v>-22</v>
      </c>
      <c r="V73" s="119"/>
      <c r="W73" s="2"/>
      <c r="Y73" s="4">
        <f>IFERROR(INDEX(Table5[],MATCH($B73,Table5[Component],0),2),0)</f>
        <v>0</v>
      </c>
      <c r="Z73" s="4">
        <f>IFERROR(INDEX(Table5[],MATCH($B73,Table5[Component],0),1),0)</f>
        <v>1039034</v>
      </c>
      <c r="AA73" s="4" t="str">
        <f>IF(Y73&lt;&gt;0,B73,"")</f>
        <v/>
      </c>
      <c r="AB73" s="4" t="str">
        <f t="shared" si="11"/>
        <v/>
      </c>
      <c r="AD73" s="4">
        <f t="shared" si="12"/>
        <v>-22</v>
      </c>
      <c r="AE73" s="9"/>
      <c r="AI73" s="248" t="str">
        <f>IFERROR(INDEX($B$1:$AK$243,MATCH(W73,$B$1:$B$243,0),13),"")</f>
        <v/>
      </c>
      <c r="AJ73" s="248" t="str">
        <f>IFERROR(INDEX($B$1:$AK$243,MATCH(W73,$B$1:$B$243,0),15),"")</f>
        <v/>
      </c>
      <c r="AK73">
        <f>SUMIF($W$2:$W$243,B73,$S$2:$S$243)</f>
        <v>0</v>
      </c>
      <c r="AP73">
        <f t="shared" si="13"/>
        <v>0</v>
      </c>
      <c r="AR73">
        <v>755975</v>
      </c>
      <c r="AS73">
        <f>SUMIF($B:$B,AR73,$AP:$AP)</f>
        <v>0</v>
      </c>
    </row>
    <row r="74" spans="1:45" ht="15.65" customHeight="1" x14ac:dyDescent="0.35">
      <c r="A74" s="2">
        <v>73</v>
      </c>
      <c r="B74" s="2">
        <v>1017002</v>
      </c>
      <c r="C74" s="607" t="s">
        <v>4307</v>
      </c>
      <c r="D74" s="607" t="s">
        <v>103</v>
      </c>
      <c r="E74" s="2">
        <v>1313</v>
      </c>
      <c r="F74" s="2" t="s">
        <v>103</v>
      </c>
      <c r="G74" s="2" t="s">
        <v>36</v>
      </c>
      <c r="H74" s="10">
        <f>SUMIFS('Cutters Consumption Updates'!$F:$F,'Cutters Consumption Updates'!$D:$D,H$1,'Cutters Consumption Updates'!$B:$B,$B74)-SUMIFS('Cutters Consumption Updates'!$E:$E,'Cutters Consumption Updates'!$D:$D,H$1,'Cutters Consumption Updates'!$B:$B,$B74)+ SUMIF('Cutters Consumption Updates'!$AS:$AS,$B74,'Cutters Consumption Updates'!AT:AT)</f>
        <v>0</v>
      </c>
      <c r="I74" s="10">
        <f>SUMIFS('Cutters Consumption Updates'!$F:$F,'Cutters Consumption Updates'!$D:$D,I$1,'Cutters Consumption Updates'!$B:$B,$B74)-SUMIFS('Cutters Consumption Updates'!$E:$E,'Cutters Consumption Updates'!$D:$D,I$1,'Cutters Consumption Updates'!$B:$B,$B74)+ SUMIF('Cutters Consumption Updates'!$AS:$AS,$B74,'Cutters Consumption Updates'!AU:AU)</f>
        <v>0</v>
      </c>
      <c r="J74" s="116">
        <f>SUMIFS('Cutters Consumption Updates'!$F:$F,'Cutters Consumption Updates'!$D:$D,J$1,'Cutters Consumption Updates'!$B:$B,$B74)-SUMIFS('Cutters Consumption Updates'!$E:$E,'Cutters Consumption Updates'!$D:$D,J$1,'Cutters Consumption Updates'!$B:$B,$B74)+ SUMIF('Cutters Consumption Updates'!$AS:$AS,$B74,'Cutters Consumption Updates'!AV:AV)</f>
        <v>0</v>
      </c>
      <c r="K74" s="738">
        <f>SUMIFS('Cutters Consumption Updates'!$F:$F,'Cutters Consumption Updates'!$D:$D,K$1,'Cutters Consumption Updates'!$B:$B,$B74)-SUMIFS('Cutters Consumption Updates'!$E:$E,'Cutters Consumption Updates'!$D:$D,K$1,'Cutters Consumption Updates'!$B:$B,$B74)+ SUMIF('Cutters Consumption Updates'!$AS:$AS,$B74,'Cutters Consumption Updates'!AW:AW)</f>
        <v>0</v>
      </c>
      <c r="L74" s="116">
        <f>SUMIFS('Cutters Consumption Updates'!$F:$F,'Cutters Consumption Updates'!$D:$D,L$1,'Cutters Consumption Updates'!$B:$B,$B74)-SUMIFS('Cutters Consumption Updates'!$E:$E,'Cutters Consumption Updates'!$D:$D,$L$1,'Cutters Consumption Updates'!$B:$B,$B74)+SUMIFS('Cutters Consumption Updates'!$F:$F,'Cutters Consumption Updates'!$D:$D,"Retrofit",'Cutters Consumption Updates'!$B:$B,$B74)-SUMIFS('Cutters Consumption Updates'!$E:$E,'Cutters Consumption Updates'!$D:$D,"Retrofit",'Cutters Consumption Updates'!$B:$B,$B74)+ SUMIF('Cutters Consumption Updates'!$AS:$AS,$B74,'Cutters Consumption Updates'!AX:AX)</f>
        <v>3</v>
      </c>
      <c r="M74" s="810">
        <f t="shared" si="7"/>
        <v>3</v>
      </c>
      <c r="N74" s="810">
        <f ca="1">SUMIFS('Cutters Consumption Updates'!E:E,
        'Cutters Consumption Updates'!B:B, B74,
        'Cutters Consumption Updates'!A:A, "&gt;" &amp; TODAY()-182)</f>
        <v>0</v>
      </c>
      <c r="O74" s="810">
        <f ca="1">SUMIFS('Cutters Consumption Updates'!E:E,
        'Cutters Consumption Updates'!B:B, B74,
        'Cutters Consumption Updates'!A:A, "&gt;" &amp; TODAY()-91)</f>
        <v>0</v>
      </c>
      <c r="P74" s="810">
        <f t="shared" ca="1" si="8"/>
        <v>0</v>
      </c>
      <c r="Q74" s="703">
        <f t="shared" ca="1" si="9"/>
        <v>0</v>
      </c>
      <c r="R74" s="703" t="s">
        <v>29</v>
      </c>
      <c r="S74" s="24">
        <f>IFERROR(INDEX(Table5[],MATCH($B74,Table5[Component],0),2),0)</f>
        <v>0</v>
      </c>
      <c r="T74" s="813">
        <f>SUMIFS(Table7[Balance],Table7[Cutter Mat'#],$B74)</f>
        <v>0</v>
      </c>
      <c r="U74" s="24">
        <f t="shared" si="10"/>
        <v>3</v>
      </c>
      <c r="V74" s="119"/>
      <c r="W74" s="2"/>
      <c r="Y74" s="4">
        <f>IFERROR(INDEX(Table5[],MATCH($B74,Table5[Component],0),2),0)</f>
        <v>0</v>
      </c>
      <c r="Z74" s="4">
        <f>IFERROR(INDEX(Table5[],MATCH($B74,Table5[Component],0),1),0)</f>
        <v>0</v>
      </c>
      <c r="AA74" s="4" t="str">
        <f>IF(Y74&lt;&gt;0,B74,"")</f>
        <v/>
      </c>
      <c r="AB74" s="4" t="str">
        <f t="shared" si="11"/>
        <v/>
      </c>
      <c r="AD74" s="4">
        <f t="shared" si="12"/>
        <v>3</v>
      </c>
      <c r="AE74" s="9"/>
      <c r="AI74" s="248" t="str">
        <f>IFERROR(INDEX($B$1:$AK$243,MATCH(W74,$B$1:$B$243,0),13),"")</f>
        <v/>
      </c>
      <c r="AJ74" s="248" t="str">
        <f>IFERROR(INDEX($B$1:$AK$243,MATCH(W74,$B$1:$B$243,0),15),"")</f>
        <v/>
      </c>
      <c r="AK74">
        <f>SUMIF($W$2:$W$243,B74,$S$2:$S$243)</f>
        <v>0</v>
      </c>
      <c r="AP74">
        <f t="shared" si="13"/>
        <v>0</v>
      </c>
      <c r="AR74">
        <v>761246</v>
      </c>
      <c r="AS74">
        <f>SUMIF($B:$B,AR74,$AP:$AP)</f>
        <v>0</v>
      </c>
    </row>
    <row r="75" spans="1:45" ht="15.65" customHeight="1" x14ac:dyDescent="0.35">
      <c r="A75" s="2">
        <v>74</v>
      </c>
      <c r="B75" s="2">
        <v>1039060</v>
      </c>
      <c r="C75" s="2" t="s">
        <v>4308</v>
      </c>
      <c r="D75" s="2" t="s">
        <v>88</v>
      </c>
      <c r="E75" s="2">
        <v>1613</v>
      </c>
      <c r="F75" s="2" t="s">
        <v>253</v>
      </c>
      <c r="G75" s="2" t="s">
        <v>4275</v>
      </c>
      <c r="H75" s="10">
        <f>SUMIFS('Cutters Consumption Updates'!$F:$F,'Cutters Consumption Updates'!$D:$D,H$1,'Cutters Consumption Updates'!$B:$B,$B75)-SUMIFS('Cutters Consumption Updates'!$E:$E,'Cutters Consumption Updates'!$D:$D,H$1,'Cutters Consumption Updates'!$B:$B,$B75)+ SUMIF('Cutters Consumption Updates'!$AS:$AS,$B75,'Cutters Consumption Updates'!AT:AT)</f>
        <v>0</v>
      </c>
      <c r="I75" s="10">
        <f>SUMIFS('Cutters Consumption Updates'!$F:$F,'Cutters Consumption Updates'!$D:$D,I$1,'Cutters Consumption Updates'!$B:$B,$B75)-SUMIFS('Cutters Consumption Updates'!$E:$E,'Cutters Consumption Updates'!$D:$D,I$1,'Cutters Consumption Updates'!$B:$B,$B75)+ SUMIF('Cutters Consumption Updates'!$AS:$AS,$B75,'Cutters Consumption Updates'!AU:AU)</f>
        <v>0</v>
      </c>
      <c r="J75" s="116">
        <f>SUMIFS('Cutters Consumption Updates'!$F:$F,'Cutters Consumption Updates'!$D:$D,J$1,'Cutters Consumption Updates'!$B:$B,$B75)-SUMIFS('Cutters Consumption Updates'!$E:$E,'Cutters Consumption Updates'!$D:$D,J$1,'Cutters Consumption Updates'!$B:$B,$B75)+ SUMIF('Cutters Consumption Updates'!$AS:$AS,$B75,'Cutters Consumption Updates'!AV:AV)</f>
        <v>0</v>
      </c>
      <c r="K75" s="738">
        <f>SUMIFS('Cutters Consumption Updates'!$F:$F,'Cutters Consumption Updates'!$D:$D,K$1,'Cutters Consumption Updates'!$B:$B,$B75)-SUMIFS('Cutters Consumption Updates'!$E:$E,'Cutters Consumption Updates'!$D:$D,K$1,'Cutters Consumption Updates'!$B:$B,$B75)+ SUMIF('Cutters Consumption Updates'!$AS:$AS,$B75,'Cutters Consumption Updates'!AW:AW)</f>
        <v>7</v>
      </c>
      <c r="L75" s="116">
        <f>SUMIFS('Cutters Consumption Updates'!$F:$F,'Cutters Consumption Updates'!$D:$D,L$1,'Cutters Consumption Updates'!$B:$B,$B75)-SUMIFS('Cutters Consumption Updates'!$E:$E,'Cutters Consumption Updates'!$D:$D,$L$1,'Cutters Consumption Updates'!$B:$B,$B75)+SUMIFS('Cutters Consumption Updates'!$F:$F,'Cutters Consumption Updates'!$D:$D,"Retrofit",'Cutters Consumption Updates'!$B:$B,$B75)-SUMIFS('Cutters Consumption Updates'!$E:$E,'Cutters Consumption Updates'!$D:$D,"Retrofit",'Cutters Consumption Updates'!$B:$B,$B75)+ SUMIF('Cutters Consumption Updates'!$AS:$AS,$B75,'Cutters Consumption Updates'!AX:AX)</f>
        <v>0</v>
      </c>
      <c r="M75" s="810">
        <f t="shared" si="7"/>
        <v>0</v>
      </c>
      <c r="N75" s="810">
        <f ca="1">SUMIFS('Cutters Consumption Updates'!E:E,
        'Cutters Consumption Updates'!B:B, B75,
        'Cutters Consumption Updates'!A:A, "&gt;" &amp; TODAY()-182)</f>
        <v>0</v>
      </c>
      <c r="O75" s="810">
        <f ca="1">SUMIFS('Cutters Consumption Updates'!E:E,
        'Cutters Consumption Updates'!B:B, B75,
        'Cutters Consumption Updates'!A:A, "&gt;" &amp; TODAY()-91)</f>
        <v>0</v>
      </c>
      <c r="P75" s="810">
        <f t="shared" ca="1" si="8"/>
        <v>0</v>
      </c>
      <c r="Q75" s="703">
        <f t="shared" ca="1" si="9"/>
        <v>0</v>
      </c>
      <c r="R75" s="703" t="s">
        <v>29</v>
      </c>
      <c r="S75" s="24">
        <f>IFERROR(INDEX(Table5[],MATCH($B75,Table5[Component],0),2),0)</f>
        <v>0</v>
      </c>
      <c r="T75" s="813">
        <f>SUMIFS(Table7[Balance],Table7[Cutter Mat'#],$B75)</f>
        <v>0</v>
      </c>
      <c r="U75" s="24">
        <f t="shared" si="10"/>
        <v>0</v>
      </c>
      <c r="V75" s="119"/>
      <c r="W75" s="2"/>
      <c r="Y75" s="4">
        <f>IFERROR(INDEX(Table5[],MATCH($B75,Table5[Component],0),2),0)</f>
        <v>0</v>
      </c>
      <c r="Z75" s="4">
        <f>IFERROR(INDEX(Table5[],MATCH($B75,Table5[Component],0),1),0)</f>
        <v>0</v>
      </c>
      <c r="AA75" s="4" t="str">
        <f>IF(Y75&lt;&gt;0,B75,"")</f>
        <v/>
      </c>
      <c r="AB75" s="4" t="str">
        <f t="shared" si="11"/>
        <v/>
      </c>
      <c r="AD75" s="4">
        <f t="shared" si="12"/>
        <v>0</v>
      </c>
      <c r="AE75" s="9"/>
      <c r="AI75" s="248" t="str">
        <f>IFERROR(INDEX($B$1:$AK$243,MATCH(W75,$B$1:$B$243,0),13),"")</f>
        <v/>
      </c>
      <c r="AJ75" s="248" t="str">
        <f>IFERROR(INDEX($B$1:$AK$243,MATCH(W75,$B$1:$B$243,0),15),"")</f>
        <v/>
      </c>
      <c r="AK75">
        <f>SUMIF($W$2:$W$243,B75,$S$2:$S$243)</f>
        <v>0</v>
      </c>
      <c r="AP75">
        <f t="shared" si="13"/>
        <v>0</v>
      </c>
      <c r="AR75">
        <v>761304</v>
      </c>
      <c r="AS75">
        <f>SUMIF($B:$B,AR75,$AP:$AP)</f>
        <v>0</v>
      </c>
    </row>
    <row r="76" spans="1:45" ht="15.65" customHeight="1" x14ac:dyDescent="0.35">
      <c r="A76" s="2">
        <v>75</v>
      </c>
      <c r="B76" s="2">
        <v>1039058</v>
      </c>
      <c r="C76" s="2" t="s">
        <v>4309</v>
      </c>
      <c r="D76" s="2" t="s">
        <v>88</v>
      </c>
      <c r="E76" s="2">
        <v>1608</v>
      </c>
      <c r="F76" s="2" t="s">
        <v>253</v>
      </c>
      <c r="G76" s="2" t="s">
        <v>4275</v>
      </c>
      <c r="H76" s="10">
        <f>SUMIFS('Cutters Consumption Updates'!$F:$F,'Cutters Consumption Updates'!$D:$D,H$1,'Cutters Consumption Updates'!$B:$B,$B76)-SUMIFS('Cutters Consumption Updates'!$E:$E,'Cutters Consumption Updates'!$D:$D,H$1,'Cutters Consumption Updates'!$B:$B,$B76)+ SUMIF('Cutters Consumption Updates'!$AS:$AS,$B76,'Cutters Consumption Updates'!AT:AT)</f>
        <v>0</v>
      </c>
      <c r="I76" s="10">
        <f>SUMIFS('Cutters Consumption Updates'!$F:$F,'Cutters Consumption Updates'!$D:$D,I$1,'Cutters Consumption Updates'!$B:$B,$B76)-SUMIFS('Cutters Consumption Updates'!$E:$E,'Cutters Consumption Updates'!$D:$D,I$1,'Cutters Consumption Updates'!$B:$B,$B76)+ SUMIF('Cutters Consumption Updates'!$AS:$AS,$B76,'Cutters Consumption Updates'!AU:AU)</f>
        <v>0</v>
      </c>
      <c r="J76" s="116">
        <f>SUMIFS('Cutters Consumption Updates'!$F:$F,'Cutters Consumption Updates'!$D:$D,J$1,'Cutters Consumption Updates'!$B:$B,$B76)-SUMIFS('Cutters Consumption Updates'!$E:$E,'Cutters Consumption Updates'!$D:$D,J$1,'Cutters Consumption Updates'!$B:$B,$B76)+ SUMIF('Cutters Consumption Updates'!$AS:$AS,$B76,'Cutters Consumption Updates'!AV:AV)</f>
        <v>0</v>
      </c>
      <c r="K76" s="738">
        <f>SUMIFS('Cutters Consumption Updates'!$F:$F,'Cutters Consumption Updates'!$D:$D,K$1,'Cutters Consumption Updates'!$B:$B,$B76)-SUMIFS('Cutters Consumption Updates'!$E:$E,'Cutters Consumption Updates'!$D:$D,K$1,'Cutters Consumption Updates'!$B:$B,$B76)+ SUMIF('Cutters Consumption Updates'!$AS:$AS,$B76,'Cutters Consumption Updates'!AW:AW)</f>
        <v>0</v>
      </c>
      <c r="L76" s="116">
        <f>SUMIFS('Cutters Consumption Updates'!$F:$F,'Cutters Consumption Updates'!$D:$D,L$1,'Cutters Consumption Updates'!$B:$B,$B76)-SUMIFS('Cutters Consumption Updates'!$E:$E,'Cutters Consumption Updates'!$D:$D,$L$1,'Cutters Consumption Updates'!$B:$B,$B76)+SUMIFS('Cutters Consumption Updates'!$F:$F,'Cutters Consumption Updates'!$D:$D,"Retrofit",'Cutters Consumption Updates'!$B:$B,$B76)-SUMIFS('Cutters Consumption Updates'!$E:$E,'Cutters Consumption Updates'!$D:$D,"Retrofit",'Cutters Consumption Updates'!$B:$B,$B76)+ SUMIF('Cutters Consumption Updates'!$AS:$AS,$B76,'Cutters Consumption Updates'!AX:AX)</f>
        <v>7</v>
      </c>
      <c r="M76" s="810">
        <f t="shared" si="7"/>
        <v>7</v>
      </c>
      <c r="N76" s="810">
        <f ca="1">SUMIFS('Cutters Consumption Updates'!E:E,
        'Cutters Consumption Updates'!B:B, B76,
        'Cutters Consumption Updates'!A:A, "&gt;" &amp; TODAY()-182)</f>
        <v>15</v>
      </c>
      <c r="O76" s="810">
        <f ca="1">SUMIFS('Cutters Consumption Updates'!E:E,
        'Cutters Consumption Updates'!B:B, B76,
        'Cutters Consumption Updates'!A:A, "&gt;" &amp; TODAY()-91)</f>
        <v>15</v>
      </c>
      <c r="P76" s="810">
        <f t="shared" ca="1" si="8"/>
        <v>5</v>
      </c>
      <c r="Q76" s="703">
        <f t="shared" ca="1" si="9"/>
        <v>10</v>
      </c>
      <c r="R76" s="703" t="s">
        <v>29</v>
      </c>
      <c r="S76" s="24">
        <f>IFERROR(INDEX(Table5[],MATCH($B76,Table5[Component],0),2),0)</f>
        <v>0</v>
      </c>
      <c r="T76" s="813">
        <f>SUMIFS(Table7[Balance],Table7[Cutter Mat'#],$B76)</f>
        <v>0</v>
      </c>
      <c r="U76" s="24">
        <f t="shared" si="10"/>
        <v>7</v>
      </c>
      <c r="V76" s="119"/>
      <c r="W76" s="2"/>
      <c r="Y76" s="4">
        <f>IFERROR(INDEX(Table5[],MATCH($B76,Table5[Component],0),2),0)</f>
        <v>0</v>
      </c>
      <c r="Z76" s="4">
        <f>IFERROR(INDEX(Table5[],MATCH($B76,Table5[Component],0),1),0)</f>
        <v>1039058</v>
      </c>
      <c r="AA76" s="4" t="str">
        <f>IF(Y76&lt;&gt;0,B76,"")</f>
        <v/>
      </c>
      <c r="AB76" s="4" t="str">
        <f t="shared" si="11"/>
        <v/>
      </c>
      <c r="AD76" s="4">
        <f t="shared" si="12"/>
        <v>7</v>
      </c>
      <c r="AE76" s="9"/>
      <c r="AI76" s="248" t="str">
        <f>IFERROR(INDEX($B$1:$AK$243,MATCH(W76,$B$1:$B$243,0),13),"")</f>
        <v/>
      </c>
      <c r="AJ76" s="248" t="str">
        <f>IFERROR(INDEX($B$1:$AK$243,MATCH(W76,$B$1:$B$243,0),15),"")</f>
        <v/>
      </c>
      <c r="AK76">
        <f>SUMIF($W$2:$W$243,B76,$S$2:$S$243)</f>
        <v>0</v>
      </c>
      <c r="AP76">
        <f t="shared" si="13"/>
        <v>0</v>
      </c>
      <c r="AR76">
        <v>768848</v>
      </c>
      <c r="AS76">
        <f>SUMIF($B:$B,AR76,$AP:$AP)</f>
        <v>0</v>
      </c>
    </row>
    <row r="77" spans="1:45" ht="15.65" customHeight="1" x14ac:dyDescent="0.35">
      <c r="A77" s="2">
        <v>76</v>
      </c>
      <c r="B77" s="2">
        <v>1014885</v>
      </c>
      <c r="C77" s="2" t="s">
        <v>4456</v>
      </c>
      <c r="D77" s="2" t="s">
        <v>91</v>
      </c>
      <c r="E77" s="2">
        <v>1308</v>
      </c>
      <c r="F77" s="2" t="s">
        <v>253</v>
      </c>
      <c r="G77" s="2" t="s">
        <v>4275</v>
      </c>
      <c r="H77" s="10">
        <f>SUMIFS('Cutters Consumption Updates'!$F:$F,'Cutters Consumption Updates'!$D:$D,H$1,'Cutters Consumption Updates'!$B:$B,$B77)-SUMIFS('Cutters Consumption Updates'!$E:$E,'Cutters Consumption Updates'!$D:$D,H$1,'Cutters Consumption Updates'!$B:$B,$B77)+ SUMIF('Cutters Consumption Updates'!$AS:$AS,$B77,'Cutters Consumption Updates'!AT:AT)</f>
        <v>0</v>
      </c>
      <c r="I77" s="10">
        <f>SUMIFS('Cutters Consumption Updates'!$F:$F,'Cutters Consumption Updates'!$D:$D,I$1,'Cutters Consumption Updates'!$B:$B,$B77)-SUMIFS('Cutters Consumption Updates'!$E:$E,'Cutters Consumption Updates'!$D:$D,I$1,'Cutters Consumption Updates'!$B:$B,$B77)+ SUMIF('Cutters Consumption Updates'!$AS:$AS,$B77,'Cutters Consumption Updates'!AU:AU)</f>
        <v>0</v>
      </c>
      <c r="J77" s="116">
        <f>SUMIFS('Cutters Consumption Updates'!$F:$F,'Cutters Consumption Updates'!$D:$D,J$1,'Cutters Consumption Updates'!$B:$B,$B77)-SUMIFS('Cutters Consumption Updates'!$E:$E,'Cutters Consumption Updates'!$D:$D,J$1,'Cutters Consumption Updates'!$B:$B,$B77)+ SUMIF('Cutters Consumption Updates'!$AS:$AS,$B77,'Cutters Consumption Updates'!AV:AV)</f>
        <v>0</v>
      </c>
      <c r="K77" s="738">
        <f>SUMIFS('Cutters Consumption Updates'!$F:$F,'Cutters Consumption Updates'!$D:$D,K$1,'Cutters Consumption Updates'!$B:$B,$B77)-SUMIFS('Cutters Consumption Updates'!$E:$E,'Cutters Consumption Updates'!$D:$D,K$1,'Cutters Consumption Updates'!$B:$B,$B77)+ SUMIF('Cutters Consumption Updates'!$AS:$AS,$B77,'Cutters Consumption Updates'!AW:AW)</f>
        <v>0</v>
      </c>
      <c r="L77" s="116">
        <f>SUMIFS('Cutters Consumption Updates'!$F:$F,'Cutters Consumption Updates'!$D:$D,L$1,'Cutters Consumption Updates'!$B:$B,$B77)-SUMIFS('Cutters Consumption Updates'!$E:$E,'Cutters Consumption Updates'!$D:$D,$L$1,'Cutters Consumption Updates'!$B:$B,$B77)+SUMIFS('Cutters Consumption Updates'!$F:$F,'Cutters Consumption Updates'!$D:$D,"Retrofit",'Cutters Consumption Updates'!$B:$B,$B77)-SUMIFS('Cutters Consumption Updates'!$E:$E,'Cutters Consumption Updates'!$D:$D,"Retrofit",'Cutters Consumption Updates'!$B:$B,$B77)+ SUMIF('Cutters Consumption Updates'!$AS:$AS,$B77,'Cutters Consumption Updates'!AX:AX)</f>
        <v>0</v>
      </c>
      <c r="M77" s="810">
        <f t="shared" si="7"/>
        <v>0</v>
      </c>
      <c r="N77" s="810">
        <f ca="1">SUMIFS('Cutters Consumption Updates'!E:E,
        'Cutters Consumption Updates'!B:B, B77,
        'Cutters Consumption Updates'!A:A, "&gt;" &amp; TODAY()-182)</f>
        <v>0</v>
      </c>
      <c r="O77" s="810">
        <f ca="1">SUMIFS('Cutters Consumption Updates'!E:E,
        'Cutters Consumption Updates'!B:B, B77,
        'Cutters Consumption Updates'!A:A, "&gt;" &amp; TODAY()-91)</f>
        <v>0</v>
      </c>
      <c r="P77" s="810">
        <f t="shared" ca="1" si="8"/>
        <v>0</v>
      </c>
      <c r="Q77" s="703">
        <f t="shared" ca="1" si="9"/>
        <v>0</v>
      </c>
      <c r="R77" s="703" t="s">
        <v>29</v>
      </c>
      <c r="S77" s="24">
        <f>IFERROR(INDEX(Table5[],MATCH($B77,Table5[Component],0),2),0)</f>
        <v>0</v>
      </c>
      <c r="T77" s="813">
        <f>SUMIFS(Table7[Balance],Table7[Cutter Mat'#],$B77)</f>
        <v>0</v>
      </c>
      <c r="U77" s="24">
        <f t="shared" si="10"/>
        <v>0</v>
      </c>
      <c r="V77" s="119"/>
      <c r="W77" s="2"/>
      <c r="Y77" s="4">
        <f>IFERROR(INDEX(Table5[],MATCH($B77,Table5[Component],0),2),0)</f>
        <v>0</v>
      </c>
      <c r="Z77" s="4">
        <f>IFERROR(INDEX(Table5[],MATCH($B77,Table5[Component],0),1),0)</f>
        <v>0</v>
      </c>
      <c r="AA77" s="4" t="str">
        <f>IF(Y77&lt;&gt;0,B77,"")</f>
        <v/>
      </c>
      <c r="AB77" s="4" t="str">
        <f t="shared" si="11"/>
        <v/>
      </c>
      <c r="AD77" s="4">
        <f t="shared" si="12"/>
        <v>0</v>
      </c>
      <c r="AE77" s="9"/>
      <c r="AI77" s="248" t="str">
        <f>IFERROR(INDEX($B$1:$AK$243,MATCH(W77,$B$1:$B$243,0),13),"")</f>
        <v/>
      </c>
      <c r="AJ77" s="248" t="str">
        <f>IFERROR(INDEX($B$1:$AK$243,MATCH(W77,$B$1:$B$243,0),15),"")</f>
        <v/>
      </c>
      <c r="AK77">
        <f>SUMIF($W$2:$W$243,B77,$S$2:$S$243)</f>
        <v>0</v>
      </c>
      <c r="AP77">
        <f t="shared" si="13"/>
        <v>0</v>
      </c>
      <c r="AR77">
        <v>770450</v>
      </c>
      <c r="AS77">
        <f>SUMIF($B:$B,AR77,$AP:$AP)</f>
        <v>0</v>
      </c>
    </row>
    <row r="78" spans="1:45" ht="15.65" customHeight="1" x14ac:dyDescent="0.35">
      <c r="A78" s="2">
        <v>77</v>
      </c>
      <c r="B78" s="2">
        <v>1014939</v>
      </c>
      <c r="C78" s="2" t="s">
        <v>4310</v>
      </c>
      <c r="D78" s="2" t="s">
        <v>91</v>
      </c>
      <c r="E78" s="2">
        <v>1608</v>
      </c>
      <c r="F78" s="2" t="s">
        <v>253</v>
      </c>
      <c r="G78" s="2" t="s">
        <v>4275</v>
      </c>
      <c r="H78" s="10">
        <f>SUMIFS('Cutters Consumption Updates'!$F:$F,'Cutters Consumption Updates'!$D:$D,H$1,'Cutters Consumption Updates'!$B:$B,$B78)-SUMIFS('Cutters Consumption Updates'!$E:$E,'Cutters Consumption Updates'!$D:$D,H$1,'Cutters Consumption Updates'!$B:$B,$B78)+ SUMIF('Cutters Consumption Updates'!$AS:$AS,$B78,'Cutters Consumption Updates'!AT:AT)</f>
        <v>0</v>
      </c>
      <c r="I78" s="10">
        <f>SUMIFS('Cutters Consumption Updates'!$F:$F,'Cutters Consumption Updates'!$D:$D,I$1,'Cutters Consumption Updates'!$B:$B,$B78)-SUMIFS('Cutters Consumption Updates'!$E:$E,'Cutters Consumption Updates'!$D:$D,I$1,'Cutters Consumption Updates'!$B:$B,$B78)+ SUMIF('Cutters Consumption Updates'!$AS:$AS,$B78,'Cutters Consumption Updates'!AU:AU)</f>
        <v>0</v>
      </c>
      <c r="J78" s="116">
        <f>SUMIFS('Cutters Consumption Updates'!$F:$F,'Cutters Consumption Updates'!$D:$D,J$1,'Cutters Consumption Updates'!$B:$B,$B78)-SUMIFS('Cutters Consumption Updates'!$E:$E,'Cutters Consumption Updates'!$D:$D,J$1,'Cutters Consumption Updates'!$B:$B,$B78)+ SUMIF('Cutters Consumption Updates'!$AS:$AS,$B78,'Cutters Consumption Updates'!AV:AV)</f>
        <v>0</v>
      </c>
      <c r="K78" s="738">
        <f>SUMIFS('Cutters Consumption Updates'!$F:$F,'Cutters Consumption Updates'!$D:$D,K$1,'Cutters Consumption Updates'!$B:$B,$B78)-SUMIFS('Cutters Consumption Updates'!$E:$E,'Cutters Consumption Updates'!$D:$D,K$1,'Cutters Consumption Updates'!$B:$B,$B78)+ SUMIF('Cutters Consumption Updates'!$AS:$AS,$B78,'Cutters Consumption Updates'!AW:AW)</f>
        <v>16</v>
      </c>
      <c r="L78" s="116">
        <f>SUMIFS('Cutters Consumption Updates'!$F:$F,'Cutters Consumption Updates'!$D:$D,L$1,'Cutters Consumption Updates'!$B:$B,$B78)-SUMIFS('Cutters Consumption Updates'!$E:$E,'Cutters Consumption Updates'!$D:$D,$L$1,'Cutters Consumption Updates'!$B:$B,$B78)+SUMIFS('Cutters Consumption Updates'!$F:$F,'Cutters Consumption Updates'!$D:$D,"Retrofit",'Cutters Consumption Updates'!$B:$B,$B78)-SUMIFS('Cutters Consumption Updates'!$E:$E,'Cutters Consumption Updates'!$D:$D,"Retrofit",'Cutters Consumption Updates'!$B:$B,$B78)+ SUMIF('Cutters Consumption Updates'!$AS:$AS,$B78,'Cutters Consumption Updates'!AX:AX)</f>
        <v>0</v>
      </c>
      <c r="M78" s="810">
        <f t="shared" si="7"/>
        <v>0</v>
      </c>
      <c r="N78" s="810">
        <f ca="1">SUMIFS('Cutters Consumption Updates'!E:E,
        'Cutters Consumption Updates'!B:B, B78,
        'Cutters Consumption Updates'!A:A, "&gt;" &amp; TODAY()-182)</f>
        <v>0</v>
      </c>
      <c r="O78" s="810">
        <f ca="1">SUMIFS('Cutters Consumption Updates'!E:E,
        'Cutters Consumption Updates'!B:B, B78,
        'Cutters Consumption Updates'!A:A, "&gt;" &amp; TODAY()-91)</f>
        <v>0</v>
      </c>
      <c r="P78" s="810">
        <f t="shared" ca="1" si="8"/>
        <v>0</v>
      </c>
      <c r="Q78" s="703">
        <f t="shared" ca="1" si="9"/>
        <v>0</v>
      </c>
      <c r="R78" s="703" t="s">
        <v>29</v>
      </c>
      <c r="S78" s="24">
        <f>IFERROR(INDEX(Table5[],MATCH($B78,Table5[Component],0),2),0)</f>
        <v>0</v>
      </c>
      <c r="T78" s="813">
        <f>SUMIFS(Table7[Balance],Table7[Cutter Mat'#],$B78)</f>
        <v>0</v>
      </c>
      <c r="U78" s="24">
        <f t="shared" si="10"/>
        <v>0</v>
      </c>
      <c r="V78" s="119"/>
      <c r="W78" s="2"/>
      <c r="Y78" s="4">
        <f>IFERROR(INDEX(Table5[],MATCH($B78,Table5[Component],0),2),0)</f>
        <v>0</v>
      </c>
      <c r="Z78" s="4">
        <f>IFERROR(INDEX(Table5[],MATCH($B78,Table5[Component],0),1),0)</f>
        <v>0</v>
      </c>
      <c r="AA78" s="4" t="str">
        <f>IF(Y78&lt;&gt;0,B78,"")</f>
        <v/>
      </c>
      <c r="AB78" s="4" t="str">
        <f t="shared" si="11"/>
        <v/>
      </c>
      <c r="AD78" s="4">
        <f t="shared" si="12"/>
        <v>0</v>
      </c>
      <c r="AE78" s="9"/>
      <c r="AI78" s="248" t="str">
        <f>IFERROR(INDEX($B$1:$AK$243,MATCH(W78,$B$1:$B$243,0),13),"")</f>
        <v/>
      </c>
      <c r="AJ78" s="248" t="str">
        <f>IFERROR(INDEX($B$1:$AK$243,MATCH(W78,$B$1:$B$243,0),15),"")</f>
        <v/>
      </c>
      <c r="AK78">
        <f>SUMIF($W$2:$W$243,B78,$S$2:$S$243)</f>
        <v>0</v>
      </c>
      <c r="AP78">
        <f t="shared" si="13"/>
        <v>0</v>
      </c>
      <c r="AR78">
        <v>770451</v>
      </c>
      <c r="AS78">
        <f>SUMIF($B:$B,AR78,$AP:$AP)</f>
        <v>0</v>
      </c>
    </row>
    <row r="79" spans="1:45" ht="15.65" customHeight="1" x14ac:dyDescent="0.35">
      <c r="A79" s="2">
        <v>78</v>
      </c>
      <c r="B79" s="2">
        <v>646941</v>
      </c>
      <c r="C79" s="2" t="s">
        <v>4457</v>
      </c>
      <c r="D79" s="2" t="s">
        <v>66</v>
      </c>
      <c r="E79" s="2">
        <v>1613</v>
      </c>
      <c r="F79" s="2" t="s">
        <v>248</v>
      </c>
      <c r="G79" s="2" t="s">
        <v>28</v>
      </c>
      <c r="H79" s="10">
        <f>SUMIFS('Cutters Consumption Updates'!$F:$F,'Cutters Consumption Updates'!$D:$D,H$1,'Cutters Consumption Updates'!$B:$B,$B79)-SUMIFS('Cutters Consumption Updates'!$E:$E,'Cutters Consumption Updates'!$D:$D,H$1,'Cutters Consumption Updates'!$B:$B,$B79)+ SUMIF('Cutters Consumption Updates'!$AS:$AS,$B79,'Cutters Consumption Updates'!AT:AT)</f>
        <v>0</v>
      </c>
      <c r="I79" s="10">
        <f>SUMIFS('Cutters Consumption Updates'!$F:$F,'Cutters Consumption Updates'!$D:$D,I$1,'Cutters Consumption Updates'!$B:$B,$B79)-SUMIFS('Cutters Consumption Updates'!$E:$E,'Cutters Consumption Updates'!$D:$D,I$1,'Cutters Consumption Updates'!$B:$B,$B79)+ SUMIF('Cutters Consumption Updates'!$AS:$AS,$B79,'Cutters Consumption Updates'!AU:AU)</f>
        <v>0</v>
      </c>
      <c r="J79" s="116">
        <f>SUMIFS('Cutters Consumption Updates'!$F:$F,'Cutters Consumption Updates'!$D:$D,J$1,'Cutters Consumption Updates'!$B:$B,$B79)-SUMIFS('Cutters Consumption Updates'!$E:$E,'Cutters Consumption Updates'!$D:$D,J$1,'Cutters Consumption Updates'!$B:$B,$B79)+ SUMIF('Cutters Consumption Updates'!$AS:$AS,$B79,'Cutters Consumption Updates'!AV:AV)</f>
        <v>0</v>
      </c>
      <c r="K79" s="738">
        <f>SUMIFS('Cutters Consumption Updates'!$F:$F,'Cutters Consumption Updates'!$D:$D,K$1,'Cutters Consumption Updates'!$B:$B,$B79)-SUMIFS('Cutters Consumption Updates'!$E:$E,'Cutters Consumption Updates'!$D:$D,K$1,'Cutters Consumption Updates'!$B:$B,$B79)+ SUMIF('Cutters Consumption Updates'!$AS:$AS,$B79,'Cutters Consumption Updates'!AW:AW)</f>
        <v>0</v>
      </c>
      <c r="L79" s="116">
        <f>SUMIFS('Cutters Consumption Updates'!$F:$F,'Cutters Consumption Updates'!$D:$D,L$1,'Cutters Consumption Updates'!$B:$B,$B79)-SUMIFS('Cutters Consumption Updates'!$E:$E,'Cutters Consumption Updates'!$D:$D,$L$1,'Cutters Consumption Updates'!$B:$B,$B79)+SUMIFS('Cutters Consumption Updates'!$F:$F,'Cutters Consumption Updates'!$D:$D,"Retrofit",'Cutters Consumption Updates'!$B:$B,$B79)-SUMIFS('Cutters Consumption Updates'!$E:$E,'Cutters Consumption Updates'!$D:$D,"Retrofit",'Cutters Consumption Updates'!$B:$B,$B79)+ SUMIF('Cutters Consumption Updates'!$AS:$AS,$B79,'Cutters Consumption Updates'!AX:AX)</f>
        <v>0</v>
      </c>
      <c r="M79" s="810">
        <f t="shared" si="7"/>
        <v>0</v>
      </c>
      <c r="N79" s="810">
        <f ca="1">SUMIFS('Cutters Consumption Updates'!E:E,
        'Cutters Consumption Updates'!B:B, B79,
        'Cutters Consumption Updates'!A:A, "&gt;" &amp; TODAY()-182)</f>
        <v>0</v>
      </c>
      <c r="O79" s="810">
        <f ca="1">SUMIFS('Cutters Consumption Updates'!E:E,
        'Cutters Consumption Updates'!B:B, B79,
        'Cutters Consumption Updates'!A:A, "&gt;" &amp; TODAY()-91)</f>
        <v>0</v>
      </c>
      <c r="P79" s="810">
        <f t="shared" ca="1" si="8"/>
        <v>0</v>
      </c>
      <c r="Q79" s="703">
        <f t="shared" ca="1" si="9"/>
        <v>0</v>
      </c>
      <c r="R79" s="703" t="s">
        <v>29</v>
      </c>
      <c r="S79" s="24">
        <f>IFERROR(INDEX(Table5[],MATCH($B79,Table5[Component],0),2),0)</f>
        <v>0</v>
      </c>
      <c r="T79" s="813">
        <f>SUMIFS(Table7[Balance],Table7[Cutter Mat'#],$B79)</f>
        <v>0</v>
      </c>
      <c r="U79" s="24">
        <f t="shared" si="10"/>
        <v>0</v>
      </c>
      <c r="V79" s="119"/>
      <c r="W79" s="2"/>
      <c r="Y79" s="4">
        <f>IFERROR(INDEX(Table5[],MATCH($B79,Table5[Component],0),2),0)</f>
        <v>0</v>
      </c>
      <c r="Z79" s="4">
        <f>IFERROR(INDEX(Table5[],MATCH($B79,Table5[Component],0),1),0)</f>
        <v>0</v>
      </c>
      <c r="AA79" s="4" t="str">
        <f>IF(Y79&lt;&gt;0,B79,"")</f>
        <v/>
      </c>
      <c r="AB79" s="4" t="str">
        <f t="shared" si="11"/>
        <v/>
      </c>
      <c r="AD79" s="4">
        <f t="shared" si="12"/>
        <v>0</v>
      </c>
      <c r="AE79" s="9"/>
      <c r="AI79" s="248" t="str">
        <f>IFERROR(INDEX($B$1:$AK$243,MATCH(W79,$B$1:$B$243,0),13),"")</f>
        <v/>
      </c>
      <c r="AJ79" s="248" t="str">
        <f>IFERROR(INDEX($B$1:$AK$243,MATCH(W79,$B$1:$B$243,0),15),"")</f>
        <v/>
      </c>
      <c r="AK79">
        <f>SUMIF($W$2:$W$243,B79,$S$2:$S$243)</f>
        <v>0</v>
      </c>
      <c r="AP79">
        <f t="shared" si="13"/>
        <v>0</v>
      </c>
      <c r="AR79">
        <v>773383</v>
      </c>
      <c r="AS79">
        <f>SUMIF($B:$B,AR79,$AP:$AP)</f>
        <v>0</v>
      </c>
    </row>
    <row r="80" spans="1:45" ht="15.65" customHeight="1" x14ac:dyDescent="0.35">
      <c r="A80" s="2">
        <v>79</v>
      </c>
      <c r="B80" s="2">
        <v>647464</v>
      </c>
      <c r="C80" s="2" t="s">
        <v>4311</v>
      </c>
      <c r="D80" s="2" t="s">
        <v>66</v>
      </c>
      <c r="E80" s="2" t="s">
        <v>4248</v>
      </c>
      <c r="F80" s="2" t="s">
        <v>253</v>
      </c>
      <c r="G80" s="2" t="s">
        <v>28</v>
      </c>
      <c r="H80" s="10">
        <f>SUMIFS('Cutters Consumption Updates'!$F:$F,'Cutters Consumption Updates'!$D:$D,H$1,'Cutters Consumption Updates'!$B:$B,$B80)-SUMIFS('Cutters Consumption Updates'!$E:$E,'Cutters Consumption Updates'!$D:$D,H$1,'Cutters Consumption Updates'!$B:$B,$B80)+ SUMIF('Cutters Consumption Updates'!$AS:$AS,$B80,'Cutters Consumption Updates'!AT:AT)</f>
        <v>0</v>
      </c>
      <c r="I80" s="10">
        <f>SUMIFS('Cutters Consumption Updates'!$F:$F,'Cutters Consumption Updates'!$D:$D,I$1,'Cutters Consumption Updates'!$B:$B,$B80)-SUMIFS('Cutters Consumption Updates'!$E:$E,'Cutters Consumption Updates'!$D:$D,I$1,'Cutters Consumption Updates'!$B:$B,$B80)+ SUMIF('Cutters Consumption Updates'!$AS:$AS,$B80,'Cutters Consumption Updates'!AU:AU)</f>
        <v>0</v>
      </c>
      <c r="J80" s="116">
        <f>SUMIFS('Cutters Consumption Updates'!$F:$F,'Cutters Consumption Updates'!$D:$D,J$1,'Cutters Consumption Updates'!$B:$B,$B80)-SUMIFS('Cutters Consumption Updates'!$E:$E,'Cutters Consumption Updates'!$D:$D,J$1,'Cutters Consumption Updates'!$B:$B,$B80)+ SUMIF('Cutters Consumption Updates'!$AS:$AS,$B80,'Cutters Consumption Updates'!AV:AV)</f>
        <v>0</v>
      </c>
      <c r="K80" s="738">
        <f>SUMIFS('Cutters Consumption Updates'!$F:$F,'Cutters Consumption Updates'!$D:$D,K$1,'Cutters Consumption Updates'!$B:$B,$B80)-SUMIFS('Cutters Consumption Updates'!$E:$E,'Cutters Consumption Updates'!$D:$D,K$1,'Cutters Consumption Updates'!$B:$B,$B80)+ SUMIF('Cutters Consumption Updates'!$AS:$AS,$B80,'Cutters Consumption Updates'!AW:AW)</f>
        <v>6</v>
      </c>
      <c r="L80" s="116">
        <f>SUMIFS('Cutters Consumption Updates'!$F:$F,'Cutters Consumption Updates'!$D:$D,L$1,'Cutters Consumption Updates'!$B:$B,$B80)-SUMIFS('Cutters Consumption Updates'!$E:$E,'Cutters Consumption Updates'!$D:$D,$L$1,'Cutters Consumption Updates'!$B:$B,$B80)+SUMIFS('Cutters Consumption Updates'!$F:$F,'Cutters Consumption Updates'!$D:$D,"Retrofit",'Cutters Consumption Updates'!$B:$B,$B80)-SUMIFS('Cutters Consumption Updates'!$E:$E,'Cutters Consumption Updates'!$D:$D,"Retrofit",'Cutters Consumption Updates'!$B:$B,$B80)+ SUMIF('Cutters Consumption Updates'!$AS:$AS,$B80,'Cutters Consumption Updates'!AX:AX)</f>
        <v>0</v>
      </c>
      <c r="M80" s="810">
        <f t="shared" si="7"/>
        <v>0</v>
      </c>
      <c r="N80" s="810">
        <f ca="1">SUMIFS('Cutters Consumption Updates'!E:E,
        'Cutters Consumption Updates'!B:B, B80,
        'Cutters Consumption Updates'!A:A, "&gt;" &amp; TODAY()-182)</f>
        <v>0</v>
      </c>
      <c r="O80" s="810">
        <f ca="1">SUMIFS('Cutters Consumption Updates'!E:E,
        'Cutters Consumption Updates'!B:B, B80,
        'Cutters Consumption Updates'!A:A, "&gt;" &amp; TODAY()-91)</f>
        <v>0</v>
      </c>
      <c r="P80" s="810">
        <f t="shared" ca="1" si="8"/>
        <v>0</v>
      </c>
      <c r="Q80" s="703">
        <f t="shared" ca="1" si="9"/>
        <v>0</v>
      </c>
      <c r="R80" s="703" t="s">
        <v>29</v>
      </c>
      <c r="S80" s="24">
        <f>IFERROR(INDEX(Table5[],MATCH($B80,Table5[Component],0),2),0)</f>
        <v>0</v>
      </c>
      <c r="T80" s="813">
        <f>SUMIFS(Table7[Balance],Table7[Cutter Mat'#],$B80)</f>
        <v>0</v>
      </c>
      <c r="U80" s="24">
        <f t="shared" si="10"/>
        <v>0</v>
      </c>
      <c r="V80" s="119"/>
      <c r="W80" s="2"/>
      <c r="Y80" s="4">
        <f>IFERROR(INDEX(Table5[],MATCH($B80,Table5[Component],0),2),0)</f>
        <v>0</v>
      </c>
      <c r="Z80" s="4">
        <f>IFERROR(INDEX(Table5[],MATCH($B80,Table5[Component],0),1),0)</f>
        <v>0</v>
      </c>
      <c r="AA80" s="4" t="str">
        <f>IF(Y80&lt;&gt;0,B80,"")</f>
        <v/>
      </c>
      <c r="AB80" s="4" t="str">
        <f t="shared" si="11"/>
        <v/>
      </c>
      <c r="AD80" s="4">
        <f t="shared" si="12"/>
        <v>0</v>
      </c>
      <c r="AE80" s="9"/>
      <c r="AI80" s="248" t="str">
        <f>IFERROR(INDEX($B$1:$AK$243,MATCH(W80,$B$1:$B$243,0),13),"")</f>
        <v/>
      </c>
      <c r="AJ80" s="248" t="str">
        <f>IFERROR(INDEX($B$1:$AK$243,MATCH(W80,$B$1:$B$243,0),15),"")</f>
        <v/>
      </c>
      <c r="AK80">
        <f>SUMIF($W$2:$W$243,B80,$S$2:$S$243)</f>
        <v>0</v>
      </c>
      <c r="AP80">
        <f t="shared" si="13"/>
        <v>0</v>
      </c>
      <c r="AR80">
        <v>773384</v>
      </c>
      <c r="AS80">
        <f>SUMIF($B:$B,AR80,$AP:$AP)</f>
        <v>0</v>
      </c>
    </row>
    <row r="81" spans="1:45" ht="15.65" customHeight="1" x14ac:dyDescent="0.35">
      <c r="A81" s="2">
        <v>80</v>
      </c>
      <c r="B81" s="2">
        <v>647467</v>
      </c>
      <c r="C81" s="2" t="s">
        <v>4312</v>
      </c>
      <c r="D81" s="2" t="s">
        <v>66</v>
      </c>
      <c r="E81" s="2" t="s">
        <v>4249</v>
      </c>
      <c r="F81" s="2" t="s">
        <v>253</v>
      </c>
      <c r="G81" s="2" t="s">
        <v>28</v>
      </c>
      <c r="H81" s="10">
        <f>SUMIFS('Cutters Consumption Updates'!$F:$F,'Cutters Consumption Updates'!$D:$D,H$1,'Cutters Consumption Updates'!$B:$B,$B81)-SUMIFS('Cutters Consumption Updates'!$E:$E,'Cutters Consumption Updates'!$D:$D,H$1,'Cutters Consumption Updates'!$B:$B,$B81)+ SUMIF('Cutters Consumption Updates'!$AS:$AS,$B81,'Cutters Consumption Updates'!AT:AT)</f>
        <v>0</v>
      </c>
      <c r="I81" s="10">
        <f>SUMIFS('Cutters Consumption Updates'!$F:$F,'Cutters Consumption Updates'!$D:$D,I$1,'Cutters Consumption Updates'!$B:$B,$B81)-SUMIFS('Cutters Consumption Updates'!$E:$E,'Cutters Consumption Updates'!$D:$D,I$1,'Cutters Consumption Updates'!$B:$B,$B81)+ SUMIF('Cutters Consumption Updates'!$AS:$AS,$B81,'Cutters Consumption Updates'!AU:AU)</f>
        <v>0</v>
      </c>
      <c r="J81" s="116">
        <f>SUMIFS('Cutters Consumption Updates'!$F:$F,'Cutters Consumption Updates'!$D:$D,J$1,'Cutters Consumption Updates'!$B:$B,$B81)-SUMIFS('Cutters Consumption Updates'!$E:$E,'Cutters Consumption Updates'!$D:$D,J$1,'Cutters Consumption Updates'!$B:$B,$B81)+ SUMIF('Cutters Consumption Updates'!$AS:$AS,$B81,'Cutters Consumption Updates'!AV:AV)</f>
        <v>0</v>
      </c>
      <c r="K81" s="738">
        <f>SUMIFS('Cutters Consumption Updates'!$F:$F,'Cutters Consumption Updates'!$D:$D,K$1,'Cutters Consumption Updates'!$B:$B,$B81)-SUMIFS('Cutters Consumption Updates'!$E:$E,'Cutters Consumption Updates'!$D:$D,K$1,'Cutters Consumption Updates'!$B:$B,$B81)+ SUMIF('Cutters Consumption Updates'!$AS:$AS,$B81,'Cutters Consumption Updates'!AW:AW)</f>
        <v>4</v>
      </c>
      <c r="L81" s="116">
        <f>SUMIFS('Cutters Consumption Updates'!$F:$F,'Cutters Consumption Updates'!$D:$D,L$1,'Cutters Consumption Updates'!$B:$B,$B81)-SUMIFS('Cutters Consumption Updates'!$E:$E,'Cutters Consumption Updates'!$D:$D,$L$1,'Cutters Consumption Updates'!$B:$B,$B81)+SUMIFS('Cutters Consumption Updates'!$F:$F,'Cutters Consumption Updates'!$D:$D,"Retrofit",'Cutters Consumption Updates'!$B:$B,$B81)-SUMIFS('Cutters Consumption Updates'!$E:$E,'Cutters Consumption Updates'!$D:$D,"Retrofit",'Cutters Consumption Updates'!$B:$B,$B81)+ SUMIF('Cutters Consumption Updates'!$AS:$AS,$B81,'Cutters Consumption Updates'!AX:AX)</f>
        <v>0</v>
      </c>
      <c r="M81" s="810">
        <f t="shared" si="7"/>
        <v>0</v>
      </c>
      <c r="N81" s="810">
        <f ca="1">SUMIFS('Cutters Consumption Updates'!E:E,
        'Cutters Consumption Updates'!B:B, B81,
        'Cutters Consumption Updates'!A:A, "&gt;" &amp; TODAY()-182)</f>
        <v>0</v>
      </c>
      <c r="O81" s="810">
        <f ca="1">SUMIFS('Cutters Consumption Updates'!E:E,
        'Cutters Consumption Updates'!B:B, B81,
        'Cutters Consumption Updates'!A:A, "&gt;" &amp; TODAY()-91)</f>
        <v>0</v>
      </c>
      <c r="P81" s="810">
        <f t="shared" ca="1" si="8"/>
        <v>0</v>
      </c>
      <c r="Q81" s="703">
        <f t="shared" ca="1" si="9"/>
        <v>0</v>
      </c>
      <c r="R81" s="703" t="s">
        <v>29</v>
      </c>
      <c r="S81" s="24">
        <f>IFERROR(INDEX(Table5[],MATCH($B81,Table5[Component],0),2),0)</f>
        <v>0</v>
      </c>
      <c r="T81" s="813">
        <f>SUMIFS(Table7[Balance],Table7[Cutter Mat'#],$B81)</f>
        <v>0</v>
      </c>
      <c r="U81" s="24">
        <f t="shared" si="10"/>
        <v>0</v>
      </c>
      <c r="V81" s="119"/>
      <c r="W81" s="2"/>
      <c r="Y81" s="4">
        <f>IFERROR(INDEX(Table5[],MATCH($B81,Table5[Component],0),2),0)</f>
        <v>0</v>
      </c>
      <c r="Z81" s="4">
        <f>IFERROR(INDEX(Table5[],MATCH($B81,Table5[Component],0),1),0)</f>
        <v>0</v>
      </c>
      <c r="AA81" s="4" t="str">
        <f>IF(Y81&lt;&gt;0,B81,"")</f>
        <v/>
      </c>
      <c r="AB81" s="4" t="str">
        <f t="shared" si="11"/>
        <v/>
      </c>
      <c r="AD81" s="4">
        <f t="shared" si="12"/>
        <v>0</v>
      </c>
      <c r="AE81" s="9"/>
      <c r="AI81" s="248" t="str">
        <f>IFERROR(INDEX($B$1:$AK$243,MATCH(W81,$B$1:$B$243,0),13),"")</f>
        <v/>
      </c>
      <c r="AJ81" s="248" t="str">
        <f>IFERROR(INDEX($B$1:$AK$243,MATCH(W81,$B$1:$B$243,0),15),"")</f>
        <v/>
      </c>
      <c r="AK81">
        <f>SUMIF($W$2:$W$243,B81,$S$2:$S$243)</f>
        <v>0</v>
      </c>
      <c r="AP81">
        <f t="shared" si="13"/>
        <v>0</v>
      </c>
      <c r="AR81">
        <v>774371</v>
      </c>
      <c r="AS81">
        <f>SUMIF($B:$B,AR81,$AP:$AP)</f>
        <v>0</v>
      </c>
    </row>
    <row r="82" spans="1:45" ht="15.65" customHeight="1" x14ac:dyDescent="0.35">
      <c r="A82" s="2">
        <v>81</v>
      </c>
      <c r="B82" s="2">
        <v>907609</v>
      </c>
      <c r="C82" s="2" t="s">
        <v>4313</v>
      </c>
      <c r="D82" s="2" t="s">
        <v>92</v>
      </c>
      <c r="E82" s="2">
        <v>1313</v>
      </c>
      <c r="F82" s="2" t="s">
        <v>248</v>
      </c>
      <c r="G82" s="2" t="s">
        <v>4314</v>
      </c>
      <c r="H82" s="10">
        <f>SUMIFS('Cutters Consumption Updates'!$F:$F,'Cutters Consumption Updates'!$D:$D,H$1,'Cutters Consumption Updates'!$B:$B,$B82)-SUMIFS('Cutters Consumption Updates'!$E:$E,'Cutters Consumption Updates'!$D:$D,H$1,'Cutters Consumption Updates'!$B:$B,$B82)+ SUMIF('Cutters Consumption Updates'!$AS:$AS,$B82,'Cutters Consumption Updates'!AT:AT)</f>
        <v>0</v>
      </c>
      <c r="I82" s="10">
        <f>SUMIFS('Cutters Consumption Updates'!$F:$F,'Cutters Consumption Updates'!$D:$D,I$1,'Cutters Consumption Updates'!$B:$B,$B82)-SUMIFS('Cutters Consumption Updates'!$E:$E,'Cutters Consumption Updates'!$D:$D,I$1,'Cutters Consumption Updates'!$B:$B,$B82)+ SUMIF('Cutters Consumption Updates'!$AS:$AS,$B82,'Cutters Consumption Updates'!AU:AU)</f>
        <v>0</v>
      </c>
      <c r="J82" s="116">
        <f>SUMIFS('Cutters Consumption Updates'!$F:$F,'Cutters Consumption Updates'!$D:$D,J$1,'Cutters Consumption Updates'!$B:$B,$B82)-SUMIFS('Cutters Consumption Updates'!$E:$E,'Cutters Consumption Updates'!$D:$D,J$1,'Cutters Consumption Updates'!$B:$B,$B82)+ SUMIF('Cutters Consumption Updates'!$AS:$AS,$B82,'Cutters Consumption Updates'!AV:AV)</f>
        <v>0</v>
      </c>
      <c r="K82" s="738">
        <f>SUMIFS('Cutters Consumption Updates'!$F:$F,'Cutters Consumption Updates'!$D:$D,K$1,'Cutters Consumption Updates'!$B:$B,$B82)-SUMIFS('Cutters Consumption Updates'!$E:$E,'Cutters Consumption Updates'!$D:$D,K$1,'Cutters Consumption Updates'!$B:$B,$B82)+ SUMIF('Cutters Consumption Updates'!$AS:$AS,$B82,'Cutters Consumption Updates'!AW:AW)</f>
        <v>8</v>
      </c>
      <c r="L82" s="116">
        <f>SUMIFS('Cutters Consumption Updates'!$F:$F,'Cutters Consumption Updates'!$D:$D,L$1,'Cutters Consumption Updates'!$B:$B,$B82)-SUMIFS('Cutters Consumption Updates'!$E:$E,'Cutters Consumption Updates'!$D:$D,$L$1,'Cutters Consumption Updates'!$B:$B,$B82)+SUMIFS('Cutters Consumption Updates'!$F:$F,'Cutters Consumption Updates'!$D:$D,"Retrofit",'Cutters Consumption Updates'!$B:$B,$B82)-SUMIFS('Cutters Consumption Updates'!$E:$E,'Cutters Consumption Updates'!$D:$D,"Retrofit",'Cutters Consumption Updates'!$B:$B,$B82)+ SUMIF('Cutters Consumption Updates'!$AS:$AS,$B82,'Cutters Consumption Updates'!AX:AX)</f>
        <v>0</v>
      </c>
      <c r="M82" s="810">
        <f t="shared" si="7"/>
        <v>0</v>
      </c>
      <c r="N82" s="810">
        <f ca="1">SUMIFS('Cutters Consumption Updates'!E:E,
        'Cutters Consumption Updates'!B:B, B82,
        'Cutters Consumption Updates'!A:A, "&gt;" &amp; TODAY()-182)</f>
        <v>0</v>
      </c>
      <c r="O82" s="810">
        <f ca="1">SUMIFS('Cutters Consumption Updates'!E:E,
        'Cutters Consumption Updates'!B:B, B82,
        'Cutters Consumption Updates'!A:A, "&gt;" &amp; TODAY()-91)</f>
        <v>0</v>
      </c>
      <c r="P82" s="810">
        <f t="shared" ca="1" si="8"/>
        <v>0</v>
      </c>
      <c r="Q82" s="703">
        <f t="shared" ca="1" si="9"/>
        <v>0</v>
      </c>
      <c r="R82" s="703" t="s">
        <v>29</v>
      </c>
      <c r="S82" s="24">
        <f>IFERROR(INDEX(Table5[],MATCH($B82,Table5[Component],0),2),0)</f>
        <v>0</v>
      </c>
      <c r="T82" s="813">
        <f>SUMIFS(Table7[Balance],Table7[Cutter Mat'#],$B82)</f>
        <v>0</v>
      </c>
      <c r="U82" s="24">
        <f t="shared" si="10"/>
        <v>0</v>
      </c>
      <c r="V82" s="119"/>
      <c r="W82" s="2"/>
      <c r="Y82" s="4">
        <f>IFERROR(INDEX(Table5[],MATCH($B82,Table5[Component],0),2),0)</f>
        <v>0</v>
      </c>
      <c r="Z82" s="4">
        <f>IFERROR(INDEX(Table5[],MATCH($B82,Table5[Component],0),1),0)</f>
        <v>0</v>
      </c>
      <c r="AA82" s="4" t="str">
        <f>IF(Y82&lt;&gt;0,B82,"")</f>
        <v/>
      </c>
      <c r="AB82" s="4" t="str">
        <f t="shared" si="11"/>
        <v/>
      </c>
      <c r="AD82" s="4">
        <f t="shared" si="12"/>
        <v>0</v>
      </c>
      <c r="AE82" s="9"/>
      <c r="AI82" s="248" t="str">
        <f>IFERROR(INDEX($B$1:$AK$243,MATCH(W82,$B$1:$B$243,0),13),"")</f>
        <v/>
      </c>
      <c r="AJ82" s="248" t="str">
        <f>IFERROR(INDEX($B$1:$AK$243,MATCH(W82,$B$1:$B$243,0),15),"")</f>
        <v/>
      </c>
      <c r="AK82">
        <f>SUMIF($W$2:$W$243,B82,$S$2:$S$243)</f>
        <v>0</v>
      </c>
      <c r="AP82">
        <f t="shared" si="13"/>
        <v>0</v>
      </c>
      <c r="AR82">
        <v>780654</v>
      </c>
      <c r="AS82">
        <f>SUMIF($B:$B,AR82,$AP:$AP)</f>
        <v>0</v>
      </c>
    </row>
    <row r="83" spans="1:45" ht="15.65" customHeight="1" x14ac:dyDescent="0.35">
      <c r="A83" s="2">
        <v>82</v>
      </c>
      <c r="B83" s="2">
        <v>638559</v>
      </c>
      <c r="C83" s="2" t="s">
        <v>4315</v>
      </c>
      <c r="D83" s="2" t="s">
        <v>61</v>
      </c>
      <c r="E83" s="2">
        <v>1308</v>
      </c>
      <c r="F83" s="2" t="s">
        <v>253</v>
      </c>
      <c r="G83" s="2" t="s">
        <v>4275</v>
      </c>
      <c r="H83" s="10">
        <f>SUMIFS('Cutters Consumption Updates'!$F:$F,'Cutters Consumption Updates'!$D:$D,H$1,'Cutters Consumption Updates'!$B:$B,$B83)-SUMIFS('Cutters Consumption Updates'!$E:$E,'Cutters Consumption Updates'!$D:$D,H$1,'Cutters Consumption Updates'!$B:$B,$B83)+ SUMIF('Cutters Consumption Updates'!$AS:$AS,$B83,'Cutters Consumption Updates'!AT:AT)</f>
        <v>0</v>
      </c>
      <c r="I83" s="10">
        <f>SUMIFS('Cutters Consumption Updates'!$F:$F,'Cutters Consumption Updates'!$D:$D,I$1,'Cutters Consumption Updates'!$B:$B,$B83)-SUMIFS('Cutters Consumption Updates'!$E:$E,'Cutters Consumption Updates'!$D:$D,I$1,'Cutters Consumption Updates'!$B:$B,$B83)+ SUMIF('Cutters Consumption Updates'!$AS:$AS,$B83,'Cutters Consumption Updates'!AU:AU)</f>
        <v>6</v>
      </c>
      <c r="J83" s="116">
        <f>SUMIFS('Cutters Consumption Updates'!$F:$F,'Cutters Consumption Updates'!$D:$D,J$1,'Cutters Consumption Updates'!$B:$B,$B83)-SUMIFS('Cutters Consumption Updates'!$E:$E,'Cutters Consumption Updates'!$D:$D,J$1,'Cutters Consumption Updates'!$B:$B,$B83)+ SUMIF('Cutters Consumption Updates'!$AS:$AS,$B83,'Cutters Consumption Updates'!AV:AV)</f>
        <v>0</v>
      </c>
      <c r="K83" s="738">
        <f>SUMIFS('Cutters Consumption Updates'!$F:$F,'Cutters Consumption Updates'!$D:$D,K$1,'Cutters Consumption Updates'!$B:$B,$B83)-SUMIFS('Cutters Consumption Updates'!$E:$E,'Cutters Consumption Updates'!$D:$D,K$1,'Cutters Consumption Updates'!$B:$B,$B83)+ SUMIF('Cutters Consumption Updates'!$AS:$AS,$B83,'Cutters Consumption Updates'!AW:AW)</f>
        <v>0</v>
      </c>
      <c r="L83" s="116">
        <f>SUMIFS('Cutters Consumption Updates'!$F:$F,'Cutters Consumption Updates'!$D:$D,L$1,'Cutters Consumption Updates'!$B:$B,$B83)-SUMIFS('Cutters Consumption Updates'!$E:$E,'Cutters Consumption Updates'!$D:$D,$L$1,'Cutters Consumption Updates'!$B:$B,$B83)+SUMIFS('Cutters Consumption Updates'!$F:$F,'Cutters Consumption Updates'!$D:$D,"Retrofit",'Cutters Consumption Updates'!$B:$B,$B83)-SUMIFS('Cutters Consumption Updates'!$E:$E,'Cutters Consumption Updates'!$D:$D,"Retrofit",'Cutters Consumption Updates'!$B:$B,$B83)+ SUMIF('Cutters Consumption Updates'!$AS:$AS,$B83,'Cutters Consumption Updates'!AX:AX)</f>
        <v>0</v>
      </c>
      <c r="M83" s="810">
        <f t="shared" si="7"/>
        <v>0</v>
      </c>
      <c r="N83" s="810">
        <f ca="1">SUMIFS('Cutters Consumption Updates'!E:E,
        'Cutters Consumption Updates'!B:B, B83,
        'Cutters Consumption Updates'!A:A, "&gt;" &amp; TODAY()-182)</f>
        <v>0</v>
      </c>
      <c r="O83" s="810">
        <f ca="1">SUMIFS('Cutters Consumption Updates'!E:E,
        'Cutters Consumption Updates'!B:B, B83,
        'Cutters Consumption Updates'!A:A, "&gt;" &amp; TODAY()-91)</f>
        <v>0</v>
      </c>
      <c r="P83" s="810">
        <f t="shared" ca="1" si="8"/>
        <v>0</v>
      </c>
      <c r="Q83" s="703">
        <f t="shared" ca="1" si="9"/>
        <v>0</v>
      </c>
      <c r="R83" s="703" t="s">
        <v>29</v>
      </c>
      <c r="S83" s="24">
        <f>IFERROR(INDEX(Table5[],MATCH($B83,Table5[Component],0),2),0)</f>
        <v>0</v>
      </c>
      <c r="T83" s="813">
        <f>SUMIFS(Table7[Balance],Table7[Cutter Mat'#],$B83)</f>
        <v>0</v>
      </c>
      <c r="U83" s="24">
        <f t="shared" si="10"/>
        <v>0</v>
      </c>
      <c r="V83" s="119"/>
      <c r="W83" s="2"/>
      <c r="Y83" s="4">
        <f>IFERROR(INDEX(Table5[],MATCH($B83,Table5[Component],0),2),0)</f>
        <v>0</v>
      </c>
      <c r="Z83" s="4">
        <f>IFERROR(INDEX(Table5[],MATCH($B83,Table5[Component],0),1),0)</f>
        <v>0</v>
      </c>
      <c r="AA83" s="4" t="str">
        <f>IF(Y83&lt;&gt;0,B83,"")</f>
        <v/>
      </c>
      <c r="AB83" s="4" t="str">
        <f t="shared" si="11"/>
        <v/>
      </c>
      <c r="AD83" s="4">
        <f t="shared" si="12"/>
        <v>6</v>
      </c>
      <c r="AE83" s="9"/>
      <c r="AI83" s="248" t="str">
        <f>IFERROR(INDEX($B$1:$AK$243,MATCH(W83,$B$1:$B$243,0),13),"")</f>
        <v/>
      </c>
      <c r="AJ83" s="248" t="str">
        <f>IFERROR(INDEX($B$1:$AK$243,MATCH(W83,$B$1:$B$243,0),15),"")</f>
        <v/>
      </c>
      <c r="AK83">
        <f>SUMIF($W$2:$W$243,B83,$S$2:$S$243)</f>
        <v>0</v>
      </c>
      <c r="AP83">
        <f t="shared" si="13"/>
        <v>0</v>
      </c>
      <c r="AR83">
        <v>781580</v>
      </c>
      <c r="AS83">
        <f>SUMIF($B:$B,AR83,$AP:$AP)</f>
        <v>0</v>
      </c>
    </row>
    <row r="84" spans="1:45" ht="15.65" customHeight="1" x14ac:dyDescent="0.35">
      <c r="A84" s="2">
        <v>83</v>
      </c>
      <c r="B84" s="2">
        <v>773383</v>
      </c>
      <c r="C84" s="2" t="s">
        <v>4316</v>
      </c>
      <c r="D84" s="2" t="s">
        <v>51</v>
      </c>
      <c r="E84" s="2">
        <v>1005</v>
      </c>
      <c r="F84" s="2" t="s">
        <v>248</v>
      </c>
      <c r="G84" s="2" t="s">
        <v>47</v>
      </c>
      <c r="H84" s="10">
        <f>SUMIFS('Cutters Consumption Updates'!$F:$F,'Cutters Consumption Updates'!$D:$D,H$1,'Cutters Consumption Updates'!$B:$B,$B84)-SUMIFS('Cutters Consumption Updates'!$E:$E,'Cutters Consumption Updates'!$D:$D,H$1,'Cutters Consumption Updates'!$B:$B,$B84)+ SUMIF('Cutters Consumption Updates'!$AS:$AS,$B84,'Cutters Consumption Updates'!AT:AT)</f>
        <v>0</v>
      </c>
      <c r="I84" s="10">
        <f>SUMIFS('Cutters Consumption Updates'!$F:$F,'Cutters Consumption Updates'!$D:$D,I$1,'Cutters Consumption Updates'!$B:$B,$B84)-SUMIFS('Cutters Consumption Updates'!$E:$E,'Cutters Consumption Updates'!$D:$D,I$1,'Cutters Consumption Updates'!$B:$B,$B84)+ SUMIF('Cutters Consumption Updates'!$AS:$AS,$B84,'Cutters Consumption Updates'!AU:AU)</f>
        <v>0</v>
      </c>
      <c r="J84" s="116">
        <f>SUMIFS('Cutters Consumption Updates'!$F:$F,'Cutters Consumption Updates'!$D:$D,J$1,'Cutters Consumption Updates'!$B:$B,$B84)-SUMIFS('Cutters Consumption Updates'!$E:$E,'Cutters Consumption Updates'!$D:$D,J$1,'Cutters Consumption Updates'!$B:$B,$B84)+ SUMIF('Cutters Consumption Updates'!$AS:$AS,$B84,'Cutters Consumption Updates'!AV:AV)</f>
        <v>0</v>
      </c>
      <c r="K84" s="738">
        <f>SUMIFS('Cutters Consumption Updates'!$F:$F,'Cutters Consumption Updates'!$D:$D,K$1,'Cutters Consumption Updates'!$B:$B,$B84)-SUMIFS('Cutters Consumption Updates'!$E:$E,'Cutters Consumption Updates'!$D:$D,K$1,'Cutters Consumption Updates'!$B:$B,$B84)+ SUMIF('Cutters Consumption Updates'!$AS:$AS,$B84,'Cutters Consumption Updates'!AW:AW)</f>
        <v>0</v>
      </c>
      <c r="L84" s="116">
        <f>SUMIFS('Cutters Consumption Updates'!$F:$F,'Cutters Consumption Updates'!$D:$D,L$1,'Cutters Consumption Updates'!$B:$B,$B84)-SUMIFS('Cutters Consumption Updates'!$E:$E,'Cutters Consumption Updates'!$D:$D,$L$1,'Cutters Consumption Updates'!$B:$B,$B84)+SUMIFS('Cutters Consumption Updates'!$F:$F,'Cutters Consumption Updates'!$D:$D,"Retrofit",'Cutters Consumption Updates'!$B:$B,$B84)-SUMIFS('Cutters Consumption Updates'!$E:$E,'Cutters Consumption Updates'!$D:$D,"Retrofit",'Cutters Consumption Updates'!$B:$B,$B84)+ SUMIF('Cutters Consumption Updates'!$AS:$AS,$B84,'Cutters Consumption Updates'!AX:AX)</f>
        <v>56</v>
      </c>
      <c r="M84" s="810">
        <f t="shared" si="7"/>
        <v>56</v>
      </c>
      <c r="N84" s="810">
        <f ca="1">SUMIFS('Cutters Consumption Updates'!E:E,
        'Cutters Consumption Updates'!B:B, B84,
        'Cutters Consumption Updates'!A:A, "&gt;" &amp; TODAY()-182)</f>
        <v>0</v>
      </c>
      <c r="O84" s="810">
        <f ca="1">SUMIFS('Cutters Consumption Updates'!E:E,
        'Cutters Consumption Updates'!B:B, B84,
        'Cutters Consumption Updates'!A:A, "&gt;" &amp; TODAY()-91)</f>
        <v>0</v>
      </c>
      <c r="P84" s="810">
        <f t="shared" ca="1" si="8"/>
        <v>0</v>
      </c>
      <c r="Q84" s="703">
        <f t="shared" ca="1" si="9"/>
        <v>0</v>
      </c>
      <c r="R84" s="703" t="s">
        <v>84</v>
      </c>
      <c r="S84" s="24">
        <f>IFERROR(INDEX(Table5[],MATCH($B84,Table5[Component],0),2),0)</f>
        <v>56</v>
      </c>
      <c r="T84" s="813">
        <f>SUMIFS(Table7[Balance],Table7[Cutter Mat'#],$B84)</f>
        <v>0</v>
      </c>
      <c r="U84" s="24">
        <f t="shared" si="10"/>
        <v>0</v>
      </c>
      <c r="V84" s="119"/>
      <c r="W84" s="2"/>
      <c r="Y84" s="4">
        <f>IFERROR(INDEX(Table5[],MATCH($B84,Table5[Component],0),2),0)</f>
        <v>56</v>
      </c>
      <c r="Z84" s="4">
        <f>IFERROR(INDEX(Table5[],MATCH($B84,Table5[Component],0),1),0)</f>
        <v>773383</v>
      </c>
      <c r="AA84" s="4">
        <f>IF(Y84&lt;&gt;0,B84,"")</f>
        <v>773383</v>
      </c>
      <c r="AB84" s="4" t="str">
        <f t="shared" si="11"/>
        <v/>
      </c>
      <c r="AD84" s="4">
        <f t="shared" si="12"/>
        <v>56</v>
      </c>
      <c r="AE84" s="9"/>
      <c r="AI84" s="248" t="str">
        <f>IFERROR(INDEX($B$1:$AK$243,MATCH(W84,$B$1:$B$243,0),13),"")</f>
        <v/>
      </c>
      <c r="AJ84" s="248" t="str">
        <f>IFERROR(INDEX($B$1:$AK$243,MATCH(W84,$B$1:$B$243,0),15),"")</f>
        <v/>
      </c>
      <c r="AK84">
        <f>SUMIF($W$2:$W$243,B84,$S$2:$S$243)</f>
        <v>0</v>
      </c>
      <c r="AP84">
        <f t="shared" si="13"/>
        <v>0</v>
      </c>
      <c r="AR84">
        <v>785001</v>
      </c>
      <c r="AS84">
        <f>SUMIF($B:$B,AR84,$AP:$AP)</f>
        <v>0</v>
      </c>
    </row>
    <row r="85" spans="1:45" ht="15.65" customHeight="1" x14ac:dyDescent="0.35">
      <c r="A85" s="2">
        <v>84</v>
      </c>
      <c r="B85" s="2">
        <v>1027339</v>
      </c>
      <c r="C85" s="24" t="s">
        <v>4317</v>
      </c>
      <c r="D85" s="24" t="s">
        <v>95</v>
      </c>
      <c r="E85" s="2">
        <v>1608</v>
      </c>
      <c r="F85" s="2" t="s">
        <v>248</v>
      </c>
      <c r="G85" s="2" t="s">
        <v>4318</v>
      </c>
      <c r="H85" s="10">
        <f>SUMIFS('Cutters Consumption Updates'!$F:$F,'Cutters Consumption Updates'!$D:$D,H$1,'Cutters Consumption Updates'!$B:$B,$B85)-SUMIFS('Cutters Consumption Updates'!$E:$E,'Cutters Consumption Updates'!$D:$D,H$1,'Cutters Consumption Updates'!$B:$B,$B85)+ SUMIF('Cutters Consumption Updates'!$AS:$AS,$B85,'Cutters Consumption Updates'!AT:AT)</f>
        <v>0</v>
      </c>
      <c r="I85" s="10">
        <f>SUMIFS('Cutters Consumption Updates'!$F:$F,'Cutters Consumption Updates'!$D:$D,I$1,'Cutters Consumption Updates'!$B:$B,$B85)-SUMIFS('Cutters Consumption Updates'!$E:$E,'Cutters Consumption Updates'!$D:$D,I$1,'Cutters Consumption Updates'!$B:$B,$B85)+ SUMIF('Cutters Consumption Updates'!$AS:$AS,$B85,'Cutters Consumption Updates'!AU:AU)</f>
        <v>0</v>
      </c>
      <c r="J85" s="116">
        <f>SUMIFS('Cutters Consumption Updates'!$F:$F,'Cutters Consumption Updates'!$D:$D,J$1,'Cutters Consumption Updates'!$B:$B,$B85)-SUMIFS('Cutters Consumption Updates'!$E:$E,'Cutters Consumption Updates'!$D:$D,J$1,'Cutters Consumption Updates'!$B:$B,$B85)+ SUMIF('Cutters Consumption Updates'!$AS:$AS,$B85,'Cutters Consumption Updates'!AV:AV)</f>
        <v>0</v>
      </c>
      <c r="K85" s="738">
        <f>SUMIFS('Cutters Consumption Updates'!$F:$F,'Cutters Consumption Updates'!$D:$D,K$1,'Cutters Consumption Updates'!$B:$B,$B85)-SUMIFS('Cutters Consumption Updates'!$E:$E,'Cutters Consumption Updates'!$D:$D,K$1,'Cutters Consumption Updates'!$B:$B,$B85)+ SUMIF('Cutters Consumption Updates'!$AS:$AS,$B85,'Cutters Consumption Updates'!AW:AW)</f>
        <v>0</v>
      </c>
      <c r="L85" s="116">
        <f>SUMIFS('Cutters Consumption Updates'!$F:$F,'Cutters Consumption Updates'!$D:$D,L$1,'Cutters Consumption Updates'!$B:$B,$B85)-SUMIFS('Cutters Consumption Updates'!$E:$E,'Cutters Consumption Updates'!$D:$D,$L$1,'Cutters Consumption Updates'!$B:$B,$B85)+SUMIFS('Cutters Consumption Updates'!$F:$F,'Cutters Consumption Updates'!$D:$D,"Retrofit",'Cutters Consumption Updates'!$B:$B,$B85)-SUMIFS('Cutters Consumption Updates'!$E:$E,'Cutters Consumption Updates'!$D:$D,"Retrofit",'Cutters Consumption Updates'!$B:$B,$B85)+ SUMIF('Cutters Consumption Updates'!$AS:$AS,$B85,'Cutters Consumption Updates'!AX:AX)</f>
        <v>16</v>
      </c>
      <c r="M85" s="810">
        <f t="shared" si="7"/>
        <v>16</v>
      </c>
      <c r="N85" s="810">
        <f ca="1">SUMIFS('Cutters Consumption Updates'!E:E,
        'Cutters Consumption Updates'!B:B, B85,
        'Cutters Consumption Updates'!A:A, "&gt;" &amp; TODAY()-182)</f>
        <v>0</v>
      </c>
      <c r="O85" s="810">
        <f ca="1">SUMIFS('Cutters Consumption Updates'!E:E,
        'Cutters Consumption Updates'!B:B, B85,
        'Cutters Consumption Updates'!A:A, "&gt;" &amp; TODAY()-91)</f>
        <v>0</v>
      </c>
      <c r="P85" s="810">
        <f t="shared" ca="1" si="8"/>
        <v>0</v>
      </c>
      <c r="Q85" s="703">
        <f t="shared" ca="1" si="9"/>
        <v>0</v>
      </c>
      <c r="R85" s="703" t="s">
        <v>29</v>
      </c>
      <c r="S85" s="24">
        <f>IFERROR(INDEX(Table5[],MATCH($B85,Table5[Component],0),2),0)</f>
        <v>0</v>
      </c>
      <c r="T85" s="813">
        <f>SUMIFS(Table7[Balance],Table7[Cutter Mat'#],$B85)</f>
        <v>0</v>
      </c>
      <c r="U85" s="24">
        <f t="shared" si="10"/>
        <v>16</v>
      </c>
      <c r="V85" s="119"/>
      <c r="W85" s="2"/>
      <c r="Y85" s="4">
        <f>IFERROR(INDEX(Table5[],MATCH($B85,Table5[Component],0),2),0)</f>
        <v>0</v>
      </c>
      <c r="Z85" s="4">
        <f>IFERROR(INDEX(Table5[],MATCH($B85,Table5[Component],0),1),0)</f>
        <v>0</v>
      </c>
      <c r="AA85" s="4" t="str">
        <f>IF(Y85&lt;&gt;0,B85,"")</f>
        <v/>
      </c>
      <c r="AB85" s="4" t="str">
        <f t="shared" si="11"/>
        <v/>
      </c>
      <c r="AD85" s="4">
        <f t="shared" si="12"/>
        <v>16</v>
      </c>
      <c r="AE85" s="9"/>
      <c r="AI85" s="248" t="str">
        <f>IFERROR(INDEX($B$1:$AK$243,MATCH(W85,$B$1:$B$243,0),13),"")</f>
        <v/>
      </c>
      <c r="AJ85" s="248" t="str">
        <f>IFERROR(INDEX($B$1:$AK$243,MATCH(W85,$B$1:$B$243,0),15),"")</f>
        <v/>
      </c>
      <c r="AK85">
        <f>SUMIF($W$2:$W$243,B85,$S$2:$S$243)</f>
        <v>0</v>
      </c>
      <c r="AP85">
        <f t="shared" si="13"/>
        <v>0</v>
      </c>
      <c r="AR85">
        <v>794672</v>
      </c>
      <c r="AS85">
        <f>SUMIF($B:$B,AR85,$AP:$AP)</f>
        <v>0</v>
      </c>
    </row>
    <row r="86" spans="1:45" ht="15.65" customHeight="1" x14ac:dyDescent="0.35">
      <c r="A86" s="2">
        <v>85</v>
      </c>
      <c r="B86" s="2">
        <v>853552</v>
      </c>
      <c r="C86" s="2" t="s">
        <v>4319</v>
      </c>
      <c r="D86" s="2" t="s">
        <v>92</v>
      </c>
      <c r="E86" s="2">
        <v>1913</v>
      </c>
      <c r="F86" s="2" t="s">
        <v>253</v>
      </c>
      <c r="G86" s="2" t="s">
        <v>4314</v>
      </c>
      <c r="H86" s="10">
        <f>SUMIFS('Cutters Consumption Updates'!$F:$F,'Cutters Consumption Updates'!$D:$D,H$1,'Cutters Consumption Updates'!$B:$B,$B86)-SUMIFS('Cutters Consumption Updates'!$E:$E,'Cutters Consumption Updates'!$D:$D,H$1,'Cutters Consumption Updates'!$B:$B,$B86)+ SUMIF('Cutters Consumption Updates'!$AS:$AS,$B86,'Cutters Consumption Updates'!AT:AT)</f>
        <v>0</v>
      </c>
      <c r="I86" s="10">
        <f>SUMIFS('Cutters Consumption Updates'!$F:$F,'Cutters Consumption Updates'!$D:$D,I$1,'Cutters Consumption Updates'!$B:$B,$B86)-SUMIFS('Cutters Consumption Updates'!$E:$E,'Cutters Consumption Updates'!$D:$D,I$1,'Cutters Consumption Updates'!$B:$B,$B86)+ SUMIF('Cutters Consumption Updates'!$AS:$AS,$B86,'Cutters Consumption Updates'!AU:AU)</f>
        <v>0</v>
      </c>
      <c r="J86" s="116">
        <f>SUMIFS('Cutters Consumption Updates'!$F:$F,'Cutters Consumption Updates'!$D:$D,J$1,'Cutters Consumption Updates'!$B:$B,$B86)-SUMIFS('Cutters Consumption Updates'!$E:$E,'Cutters Consumption Updates'!$D:$D,J$1,'Cutters Consumption Updates'!$B:$B,$B86)+ SUMIF('Cutters Consumption Updates'!$AS:$AS,$B86,'Cutters Consumption Updates'!AV:AV)</f>
        <v>13</v>
      </c>
      <c r="K86" s="738">
        <f>SUMIFS('Cutters Consumption Updates'!$F:$F,'Cutters Consumption Updates'!$D:$D,K$1,'Cutters Consumption Updates'!$B:$B,$B86)-SUMIFS('Cutters Consumption Updates'!$E:$E,'Cutters Consumption Updates'!$D:$D,K$1,'Cutters Consumption Updates'!$B:$B,$B86)+ SUMIF('Cutters Consumption Updates'!$AS:$AS,$B86,'Cutters Consumption Updates'!AW:AW)</f>
        <v>0</v>
      </c>
      <c r="L86" s="116">
        <f>SUMIFS('Cutters Consumption Updates'!$F:$F,'Cutters Consumption Updates'!$D:$D,L$1,'Cutters Consumption Updates'!$B:$B,$B86)-SUMIFS('Cutters Consumption Updates'!$E:$E,'Cutters Consumption Updates'!$D:$D,$L$1,'Cutters Consumption Updates'!$B:$B,$B86)+SUMIFS('Cutters Consumption Updates'!$F:$F,'Cutters Consumption Updates'!$D:$D,"Retrofit",'Cutters Consumption Updates'!$B:$B,$B86)-SUMIFS('Cutters Consumption Updates'!$E:$E,'Cutters Consumption Updates'!$D:$D,"Retrofit",'Cutters Consumption Updates'!$B:$B,$B86)+ SUMIF('Cutters Consumption Updates'!$AS:$AS,$B86,'Cutters Consumption Updates'!AX:AX)</f>
        <v>47</v>
      </c>
      <c r="M86" s="810">
        <f t="shared" si="7"/>
        <v>47</v>
      </c>
      <c r="N86" s="810">
        <f ca="1">SUMIFS('Cutters Consumption Updates'!E:E,
        'Cutters Consumption Updates'!B:B, B86,
        'Cutters Consumption Updates'!A:A, "&gt;" &amp; TODAY()-182)</f>
        <v>0</v>
      </c>
      <c r="O86" s="810">
        <f ca="1">SUMIFS('Cutters Consumption Updates'!E:E,
        'Cutters Consumption Updates'!B:B, B86,
        'Cutters Consumption Updates'!A:A, "&gt;" &amp; TODAY()-91)</f>
        <v>0</v>
      </c>
      <c r="P86" s="810">
        <f t="shared" ca="1" si="8"/>
        <v>0</v>
      </c>
      <c r="Q86" s="703">
        <f t="shared" ca="1" si="9"/>
        <v>0</v>
      </c>
      <c r="R86" s="703" t="s">
        <v>29</v>
      </c>
      <c r="S86" s="24">
        <f>IFERROR(INDEX(Table5[],MATCH($B86,Table5[Component],0),2),0)</f>
        <v>0</v>
      </c>
      <c r="T86" s="813">
        <f>SUMIFS(Table7[Balance],Table7[Cutter Mat'#],$B86)</f>
        <v>0</v>
      </c>
      <c r="U86" s="24">
        <f t="shared" si="10"/>
        <v>47</v>
      </c>
      <c r="V86" s="119"/>
      <c r="W86" s="2"/>
      <c r="Y86" s="4">
        <f>IFERROR(INDEX(Table5[],MATCH($B86,Table5[Component],0),2),0)</f>
        <v>0</v>
      </c>
      <c r="Z86" s="4">
        <f>IFERROR(INDEX(Table5[],MATCH($B86,Table5[Component],0),1),0)</f>
        <v>0</v>
      </c>
      <c r="AA86" s="4" t="str">
        <f>IF(Y86&lt;&gt;0,B86,"")</f>
        <v/>
      </c>
      <c r="AB86" s="4" t="str">
        <f t="shared" si="11"/>
        <v/>
      </c>
      <c r="AD86" s="4">
        <f t="shared" si="12"/>
        <v>60</v>
      </c>
      <c r="AE86" s="9"/>
      <c r="AI86" s="248" t="str">
        <f>IFERROR(INDEX($B$1:$AK$243,MATCH(W86,$B$1:$B$243,0),13),"")</f>
        <v/>
      </c>
      <c r="AJ86" s="248" t="str">
        <f>IFERROR(INDEX($B$1:$AK$243,MATCH(W86,$B$1:$B$243,0),15),"")</f>
        <v/>
      </c>
      <c r="AK86">
        <f>SUMIF($W$2:$W$243,B86,$S$2:$S$243)</f>
        <v>0</v>
      </c>
      <c r="AP86">
        <f t="shared" si="13"/>
        <v>0</v>
      </c>
      <c r="AR86">
        <v>802063</v>
      </c>
      <c r="AS86">
        <f>SUMIF($B:$B,AR86,$AP:$AP)</f>
        <v>0</v>
      </c>
    </row>
    <row r="87" spans="1:45" ht="15.65" customHeight="1" x14ac:dyDescent="0.35">
      <c r="A87" s="2">
        <v>86</v>
      </c>
      <c r="B87" s="2">
        <v>1039064</v>
      </c>
      <c r="C87" s="2" t="s">
        <v>4320</v>
      </c>
      <c r="D87" s="2" t="s">
        <v>88</v>
      </c>
      <c r="E87" s="2">
        <v>1913</v>
      </c>
      <c r="F87" s="2" t="s">
        <v>253</v>
      </c>
      <c r="G87" s="2" t="s">
        <v>4275</v>
      </c>
      <c r="H87" s="10">
        <f>SUMIFS('Cutters Consumption Updates'!$F:$F,'Cutters Consumption Updates'!$D:$D,H$1,'Cutters Consumption Updates'!$B:$B,$B87)-SUMIFS('Cutters Consumption Updates'!$E:$E,'Cutters Consumption Updates'!$D:$D,H$1,'Cutters Consumption Updates'!$B:$B,$B87)+ SUMIF('Cutters Consumption Updates'!$AS:$AS,$B87,'Cutters Consumption Updates'!AT:AT)</f>
        <v>-39</v>
      </c>
      <c r="I87" s="10">
        <f>SUMIFS('Cutters Consumption Updates'!$F:$F,'Cutters Consumption Updates'!$D:$D,I$1,'Cutters Consumption Updates'!$B:$B,$B87)-SUMIFS('Cutters Consumption Updates'!$E:$E,'Cutters Consumption Updates'!$D:$D,I$1,'Cutters Consumption Updates'!$B:$B,$B87)+ SUMIF('Cutters Consumption Updates'!$AS:$AS,$B87,'Cutters Consumption Updates'!AU:AU)</f>
        <v>0</v>
      </c>
      <c r="J87" s="116">
        <f>SUMIFS('Cutters Consumption Updates'!$F:$F,'Cutters Consumption Updates'!$D:$D,J$1,'Cutters Consumption Updates'!$B:$B,$B87)-SUMIFS('Cutters Consumption Updates'!$E:$E,'Cutters Consumption Updates'!$D:$D,J$1,'Cutters Consumption Updates'!$B:$B,$B87)+ SUMIF('Cutters Consumption Updates'!$AS:$AS,$B87,'Cutters Consumption Updates'!AV:AV)</f>
        <v>0</v>
      </c>
      <c r="K87" s="738">
        <f>SUMIFS('Cutters Consumption Updates'!$F:$F,'Cutters Consumption Updates'!$D:$D,K$1,'Cutters Consumption Updates'!$B:$B,$B87)-SUMIFS('Cutters Consumption Updates'!$E:$E,'Cutters Consumption Updates'!$D:$D,K$1,'Cutters Consumption Updates'!$B:$B,$B87)+ SUMIF('Cutters Consumption Updates'!$AS:$AS,$B87,'Cutters Consumption Updates'!AW:AW)</f>
        <v>0</v>
      </c>
      <c r="L87" s="116">
        <f>SUMIFS('Cutters Consumption Updates'!$F:$F,'Cutters Consumption Updates'!$D:$D,L$1,'Cutters Consumption Updates'!$B:$B,$B87)-SUMIFS('Cutters Consumption Updates'!$E:$E,'Cutters Consumption Updates'!$D:$D,$L$1,'Cutters Consumption Updates'!$B:$B,$B87)+SUMIFS('Cutters Consumption Updates'!$F:$F,'Cutters Consumption Updates'!$D:$D,"Retrofit",'Cutters Consumption Updates'!$B:$B,$B87)-SUMIFS('Cutters Consumption Updates'!$E:$E,'Cutters Consumption Updates'!$D:$D,"Retrofit",'Cutters Consumption Updates'!$B:$B,$B87)+ SUMIF('Cutters Consumption Updates'!$AS:$AS,$B87,'Cutters Consumption Updates'!AX:AX)</f>
        <v>7</v>
      </c>
      <c r="M87" s="810">
        <f t="shared" si="7"/>
        <v>-32</v>
      </c>
      <c r="N87" s="810">
        <f ca="1">SUMIFS('Cutters Consumption Updates'!E:E,
        'Cutters Consumption Updates'!B:B, B87,
        'Cutters Consumption Updates'!A:A, "&gt;" &amp; TODAY()-182)</f>
        <v>39</v>
      </c>
      <c r="O87" s="810">
        <f ca="1">SUMIFS('Cutters Consumption Updates'!E:E,
        'Cutters Consumption Updates'!B:B, B87,
        'Cutters Consumption Updates'!A:A, "&gt;" &amp; TODAY()-91)</f>
        <v>39</v>
      </c>
      <c r="P87" s="810">
        <f t="shared" ca="1" si="8"/>
        <v>13</v>
      </c>
      <c r="Q87" s="703">
        <f t="shared" ca="1" si="9"/>
        <v>15</v>
      </c>
      <c r="R87" s="703" t="s">
        <v>29</v>
      </c>
      <c r="S87" s="24">
        <f>IFERROR(INDEX(Table5[],MATCH($B87,Table5[Component],0),2),0)</f>
        <v>0</v>
      </c>
      <c r="T87" s="813">
        <f>SUMIFS(Table7[Balance],Table7[Cutter Mat'#],$B87)</f>
        <v>0</v>
      </c>
      <c r="U87" s="24">
        <f t="shared" si="10"/>
        <v>-32</v>
      </c>
      <c r="V87" s="119"/>
      <c r="W87" s="2"/>
      <c r="Y87" s="4">
        <f>IFERROR(INDEX(Table5[],MATCH($B87,Table5[Component],0),2),0)</f>
        <v>0</v>
      </c>
      <c r="Z87" s="4">
        <f>IFERROR(INDEX(Table5[],MATCH($B87,Table5[Component],0),1),0)</f>
        <v>0</v>
      </c>
      <c r="AA87" s="4" t="str">
        <f>IF(Y87&lt;&gt;0,B87,"")</f>
        <v/>
      </c>
      <c r="AB87" s="4" t="str">
        <f t="shared" si="11"/>
        <v/>
      </c>
      <c r="AD87" s="4">
        <f t="shared" si="12"/>
        <v>-32</v>
      </c>
      <c r="AE87" s="9"/>
      <c r="AI87" s="248" t="str">
        <f>IFERROR(INDEX($B$1:$AK$243,MATCH(W87,$B$1:$B$243,0),13),"")</f>
        <v/>
      </c>
      <c r="AJ87" s="248" t="str">
        <f>IFERROR(INDEX($B$1:$AK$243,MATCH(W87,$B$1:$B$243,0),15),"")</f>
        <v/>
      </c>
      <c r="AK87">
        <f>SUMIF($W$2:$W$243,B87,$S$2:$S$243)</f>
        <v>0</v>
      </c>
      <c r="AP87">
        <f t="shared" si="13"/>
        <v>0</v>
      </c>
      <c r="AR87">
        <v>802064</v>
      </c>
      <c r="AS87">
        <f>SUMIF($B:$B,AR87,$AP:$AP)</f>
        <v>0</v>
      </c>
    </row>
    <row r="88" spans="1:45" ht="15.65" customHeight="1" x14ac:dyDescent="0.35">
      <c r="A88" s="2">
        <v>87</v>
      </c>
      <c r="B88" s="2">
        <v>983150</v>
      </c>
      <c r="C88" s="2" t="s">
        <v>4321</v>
      </c>
      <c r="D88" s="2" t="s">
        <v>79</v>
      </c>
      <c r="E88" s="2">
        <v>1613</v>
      </c>
      <c r="F88" s="2" t="s">
        <v>253</v>
      </c>
      <c r="G88" s="2" t="s">
        <v>4275</v>
      </c>
      <c r="H88" s="10">
        <f>SUMIFS('Cutters Consumption Updates'!$F:$F,'Cutters Consumption Updates'!$D:$D,H$1,'Cutters Consumption Updates'!$B:$B,$B88)-SUMIFS('Cutters Consumption Updates'!$E:$E,'Cutters Consumption Updates'!$D:$D,H$1,'Cutters Consumption Updates'!$B:$B,$B88)+ SUMIF('Cutters Consumption Updates'!$AS:$AS,$B88,'Cutters Consumption Updates'!AT:AT)</f>
        <v>5</v>
      </c>
      <c r="I88" s="10">
        <f>SUMIFS('Cutters Consumption Updates'!$F:$F,'Cutters Consumption Updates'!$D:$D,I$1,'Cutters Consumption Updates'!$B:$B,$B88)-SUMIFS('Cutters Consumption Updates'!$E:$E,'Cutters Consumption Updates'!$D:$D,I$1,'Cutters Consumption Updates'!$B:$B,$B88)+ SUMIF('Cutters Consumption Updates'!$AS:$AS,$B88,'Cutters Consumption Updates'!AU:AU)</f>
        <v>0</v>
      </c>
      <c r="J88" s="116">
        <f>SUMIFS('Cutters Consumption Updates'!$F:$F,'Cutters Consumption Updates'!$D:$D,J$1,'Cutters Consumption Updates'!$B:$B,$B88)-SUMIFS('Cutters Consumption Updates'!$E:$E,'Cutters Consumption Updates'!$D:$D,J$1,'Cutters Consumption Updates'!$B:$B,$B88)+ SUMIF('Cutters Consumption Updates'!$AS:$AS,$B88,'Cutters Consumption Updates'!AV:AV)</f>
        <v>0</v>
      </c>
      <c r="K88" s="738">
        <f>SUMIFS('Cutters Consumption Updates'!$F:$F,'Cutters Consumption Updates'!$D:$D,K$1,'Cutters Consumption Updates'!$B:$B,$B88)-SUMIFS('Cutters Consumption Updates'!$E:$E,'Cutters Consumption Updates'!$D:$D,K$1,'Cutters Consumption Updates'!$B:$B,$B88)+ SUMIF('Cutters Consumption Updates'!$AS:$AS,$B88,'Cutters Consumption Updates'!AW:AW)</f>
        <v>0</v>
      </c>
      <c r="L88" s="116">
        <f>SUMIFS('Cutters Consumption Updates'!$F:$F,'Cutters Consumption Updates'!$D:$D,L$1,'Cutters Consumption Updates'!$B:$B,$B88)-SUMIFS('Cutters Consumption Updates'!$E:$E,'Cutters Consumption Updates'!$D:$D,$L$1,'Cutters Consumption Updates'!$B:$B,$B88)+SUMIFS('Cutters Consumption Updates'!$F:$F,'Cutters Consumption Updates'!$D:$D,"Retrofit",'Cutters Consumption Updates'!$B:$B,$B88)-SUMIFS('Cutters Consumption Updates'!$E:$E,'Cutters Consumption Updates'!$D:$D,"Retrofit",'Cutters Consumption Updates'!$B:$B,$B88)+ SUMIF('Cutters Consumption Updates'!$AS:$AS,$B88,'Cutters Consumption Updates'!AX:AX)</f>
        <v>0</v>
      </c>
      <c r="M88" s="810">
        <f t="shared" si="7"/>
        <v>5</v>
      </c>
      <c r="N88" s="810">
        <f ca="1">SUMIFS('Cutters Consumption Updates'!E:E,
        'Cutters Consumption Updates'!B:B, B88,
        'Cutters Consumption Updates'!A:A, "&gt;" &amp; TODAY()-182)</f>
        <v>61</v>
      </c>
      <c r="O88" s="810">
        <f ca="1">SUMIFS('Cutters Consumption Updates'!E:E,
        'Cutters Consumption Updates'!B:B, B88,
        'Cutters Consumption Updates'!A:A, "&gt;" &amp; TODAY()-91)</f>
        <v>0</v>
      </c>
      <c r="P88" s="810">
        <f t="shared" ca="1" si="8"/>
        <v>21</v>
      </c>
      <c r="Q88" s="703">
        <f t="shared" ca="1" si="9"/>
        <v>25</v>
      </c>
      <c r="R88" s="703" t="s">
        <v>64</v>
      </c>
      <c r="S88" s="24">
        <f>IFERROR(INDEX(Table5[],MATCH($B88,Table5[Component],0),2),0)</f>
        <v>0</v>
      </c>
      <c r="T88" s="813">
        <f>SUMIFS(Table7[Balance],Table7[Cutter Mat'#],$B88)</f>
        <v>0</v>
      </c>
      <c r="U88" s="24">
        <f t="shared" si="10"/>
        <v>5</v>
      </c>
      <c r="V88" s="119"/>
      <c r="W88" s="2"/>
      <c r="Y88" s="4">
        <f>IFERROR(INDEX(Table5[],MATCH($B88,Table5[Component],0),2),0)</f>
        <v>0</v>
      </c>
      <c r="Z88" s="4">
        <f>IFERROR(INDEX(Table5[],MATCH($B88,Table5[Component],0),1),0)</f>
        <v>0</v>
      </c>
      <c r="AA88" s="4" t="str">
        <f>IF(Y88&lt;&gt;0,B88,"")</f>
        <v/>
      </c>
      <c r="AB88" s="4" t="str">
        <f t="shared" si="11"/>
        <v/>
      </c>
      <c r="AD88" s="4">
        <f t="shared" si="12"/>
        <v>5</v>
      </c>
      <c r="AE88" s="9"/>
      <c r="AI88" s="248" t="str">
        <f>IFERROR(INDEX($B$1:$AK$243,MATCH(W88,$B$1:$B$243,0),13),"")</f>
        <v/>
      </c>
      <c r="AJ88" s="248" t="str">
        <f>IFERROR(INDEX($B$1:$AK$243,MATCH(W88,$B$1:$B$243,0),15),"")</f>
        <v/>
      </c>
      <c r="AK88">
        <f>SUMIF($W$2:$W$243,B88,$S$2:$S$243)</f>
        <v>0</v>
      </c>
      <c r="AP88">
        <f t="shared" si="13"/>
        <v>0</v>
      </c>
      <c r="AR88">
        <v>802065</v>
      </c>
      <c r="AS88">
        <f>SUMIF($B:$B,AR88,$AP:$AP)</f>
        <v>0</v>
      </c>
    </row>
    <row r="89" spans="1:45" ht="15.65" customHeight="1" x14ac:dyDescent="0.35">
      <c r="A89" s="2">
        <v>88</v>
      </c>
      <c r="B89" s="2">
        <v>983096</v>
      </c>
      <c r="C89" s="2" t="s">
        <v>4322</v>
      </c>
      <c r="D89" s="2" t="s">
        <v>79</v>
      </c>
      <c r="E89" s="2">
        <v>1313</v>
      </c>
      <c r="F89" s="2" t="s">
        <v>253</v>
      </c>
      <c r="G89" s="2" t="s">
        <v>4275</v>
      </c>
      <c r="H89" s="10">
        <f>SUMIFS('Cutters Consumption Updates'!$F:$F,'Cutters Consumption Updates'!$D:$D,H$1,'Cutters Consumption Updates'!$B:$B,$B89)-SUMIFS('Cutters Consumption Updates'!$E:$E,'Cutters Consumption Updates'!$D:$D,H$1,'Cutters Consumption Updates'!$B:$B,$B89)+ SUMIF('Cutters Consumption Updates'!$AS:$AS,$B89,'Cutters Consumption Updates'!AT:AT)</f>
        <v>0</v>
      </c>
      <c r="I89" s="10">
        <f>SUMIFS('Cutters Consumption Updates'!$F:$F,'Cutters Consumption Updates'!$D:$D,I$1,'Cutters Consumption Updates'!$B:$B,$B89)-SUMIFS('Cutters Consumption Updates'!$E:$E,'Cutters Consumption Updates'!$D:$D,I$1,'Cutters Consumption Updates'!$B:$B,$B89)+ SUMIF('Cutters Consumption Updates'!$AS:$AS,$B89,'Cutters Consumption Updates'!AU:AU)</f>
        <v>0</v>
      </c>
      <c r="J89" s="116">
        <f>SUMIFS('Cutters Consumption Updates'!$F:$F,'Cutters Consumption Updates'!$D:$D,J$1,'Cutters Consumption Updates'!$B:$B,$B89)-SUMIFS('Cutters Consumption Updates'!$E:$E,'Cutters Consumption Updates'!$D:$D,J$1,'Cutters Consumption Updates'!$B:$B,$B89)+ SUMIF('Cutters Consumption Updates'!$AS:$AS,$B89,'Cutters Consumption Updates'!AV:AV)</f>
        <v>0</v>
      </c>
      <c r="K89" s="738">
        <f>SUMIFS('Cutters Consumption Updates'!$F:$F,'Cutters Consumption Updates'!$D:$D,K$1,'Cutters Consumption Updates'!$B:$B,$B89)-SUMIFS('Cutters Consumption Updates'!$E:$E,'Cutters Consumption Updates'!$D:$D,K$1,'Cutters Consumption Updates'!$B:$B,$B89)+ SUMIF('Cutters Consumption Updates'!$AS:$AS,$B89,'Cutters Consumption Updates'!AW:AW)</f>
        <v>0</v>
      </c>
      <c r="L89" s="116">
        <f>SUMIFS('Cutters Consumption Updates'!$F:$F,'Cutters Consumption Updates'!$D:$D,L$1,'Cutters Consumption Updates'!$B:$B,$B89)-SUMIFS('Cutters Consumption Updates'!$E:$E,'Cutters Consumption Updates'!$D:$D,$L$1,'Cutters Consumption Updates'!$B:$B,$B89)+SUMIFS('Cutters Consumption Updates'!$F:$F,'Cutters Consumption Updates'!$D:$D,"Retrofit",'Cutters Consumption Updates'!$B:$B,$B89)-SUMIFS('Cutters Consumption Updates'!$E:$E,'Cutters Consumption Updates'!$D:$D,"Retrofit",'Cutters Consumption Updates'!$B:$B,$B89)+ SUMIF('Cutters Consumption Updates'!$AS:$AS,$B89,'Cutters Consumption Updates'!AX:AX)</f>
        <v>0</v>
      </c>
      <c r="M89" s="810">
        <f t="shared" si="7"/>
        <v>0</v>
      </c>
      <c r="N89" s="810">
        <f ca="1">SUMIFS('Cutters Consumption Updates'!E:E,
        'Cutters Consumption Updates'!B:B, B89,
        'Cutters Consumption Updates'!A:A, "&gt;" &amp; TODAY()-182)</f>
        <v>2</v>
      </c>
      <c r="O89" s="810">
        <f ca="1">SUMIFS('Cutters Consumption Updates'!E:E,
        'Cutters Consumption Updates'!B:B, B89,
        'Cutters Consumption Updates'!A:A, "&gt;" &amp; TODAY()-91)</f>
        <v>2</v>
      </c>
      <c r="P89" s="810">
        <f t="shared" ca="1" si="8"/>
        <v>1</v>
      </c>
      <c r="Q89" s="703">
        <f t="shared" ca="1" si="9"/>
        <v>0</v>
      </c>
      <c r="R89" s="703" t="s">
        <v>29</v>
      </c>
      <c r="S89" s="24">
        <f>IFERROR(INDEX(Table5[],MATCH($B89,Table5[Component],0),2),0)</f>
        <v>0</v>
      </c>
      <c r="T89" s="813">
        <f>SUMIFS(Table7[Balance],Table7[Cutter Mat'#],$B89)</f>
        <v>0</v>
      </c>
      <c r="U89" s="24">
        <f t="shared" si="10"/>
        <v>0</v>
      </c>
      <c r="V89" s="119"/>
      <c r="W89" s="2"/>
      <c r="Y89" s="4">
        <f>IFERROR(INDEX(Table5[],MATCH($B89,Table5[Component],0),2),0)</f>
        <v>0</v>
      </c>
      <c r="Z89" s="4">
        <f>IFERROR(INDEX(Table5[],MATCH($B89,Table5[Component],0),1),0)</f>
        <v>0</v>
      </c>
      <c r="AA89" s="4" t="str">
        <f>IF(Y89&lt;&gt;0,B89,"")</f>
        <v/>
      </c>
      <c r="AB89" s="4" t="str">
        <f t="shared" si="11"/>
        <v/>
      </c>
      <c r="AD89" s="4">
        <f t="shared" si="12"/>
        <v>0</v>
      </c>
      <c r="AE89" s="9"/>
      <c r="AI89" s="248" t="str">
        <f>IFERROR(INDEX($B$1:$AK$243,MATCH(W89,$B$1:$B$243,0),13),"")</f>
        <v/>
      </c>
      <c r="AJ89" s="248" t="str">
        <f>IFERROR(INDEX($B$1:$AK$243,MATCH(W89,$B$1:$B$243,0),15),"")</f>
        <v/>
      </c>
      <c r="AK89">
        <f>SUMIF($W$2:$W$243,B89,$S$2:$S$243)</f>
        <v>0</v>
      </c>
      <c r="AP89">
        <f t="shared" si="13"/>
        <v>0</v>
      </c>
      <c r="AR89">
        <v>853550</v>
      </c>
      <c r="AS89">
        <f>SUMIF($B:$B,AR89,$AP:$AP)</f>
        <v>0</v>
      </c>
    </row>
    <row r="90" spans="1:45" ht="15.65" customHeight="1" x14ac:dyDescent="0.35">
      <c r="A90" s="2">
        <v>89</v>
      </c>
      <c r="B90" s="2">
        <v>983152</v>
      </c>
      <c r="C90" s="2" t="s">
        <v>4323</v>
      </c>
      <c r="D90" s="2" t="s">
        <v>79</v>
      </c>
      <c r="E90" s="2">
        <v>1913</v>
      </c>
      <c r="F90" s="2" t="s">
        <v>253</v>
      </c>
      <c r="G90" s="2" t="s">
        <v>4275</v>
      </c>
      <c r="H90" s="10">
        <f>SUMIFS('Cutters Consumption Updates'!$F:$F,'Cutters Consumption Updates'!$D:$D,H$1,'Cutters Consumption Updates'!$B:$B,$B90)-SUMIFS('Cutters Consumption Updates'!$E:$E,'Cutters Consumption Updates'!$D:$D,H$1,'Cutters Consumption Updates'!$B:$B,$B90)+ SUMIF('Cutters Consumption Updates'!$AS:$AS,$B90,'Cutters Consumption Updates'!AT:AT)</f>
        <v>0</v>
      </c>
      <c r="I90" s="10">
        <f>SUMIFS('Cutters Consumption Updates'!$F:$F,'Cutters Consumption Updates'!$D:$D,I$1,'Cutters Consumption Updates'!$B:$B,$B90)-SUMIFS('Cutters Consumption Updates'!$E:$E,'Cutters Consumption Updates'!$D:$D,I$1,'Cutters Consumption Updates'!$B:$B,$B90)+ SUMIF('Cutters Consumption Updates'!$AS:$AS,$B90,'Cutters Consumption Updates'!AU:AU)</f>
        <v>0</v>
      </c>
      <c r="J90" s="116">
        <f>SUMIFS('Cutters Consumption Updates'!$F:$F,'Cutters Consumption Updates'!$D:$D,J$1,'Cutters Consumption Updates'!$B:$B,$B90)-SUMIFS('Cutters Consumption Updates'!$E:$E,'Cutters Consumption Updates'!$D:$D,J$1,'Cutters Consumption Updates'!$B:$B,$B90)+ SUMIF('Cutters Consumption Updates'!$AS:$AS,$B90,'Cutters Consumption Updates'!AV:AV)</f>
        <v>0</v>
      </c>
      <c r="K90" s="738">
        <f>SUMIFS('Cutters Consumption Updates'!$F:$F,'Cutters Consumption Updates'!$D:$D,K$1,'Cutters Consumption Updates'!$B:$B,$B90)-SUMIFS('Cutters Consumption Updates'!$E:$E,'Cutters Consumption Updates'!$D:$D,K$1,'Cutters Consumption Updates'!$B:$B,$B90)+ SUMIF('Cutters Consumption Updates'!$AS:$AS,$B90,'Cutters Consumption Updates'!AW:AW)</f>
        <v>0</v>
      </c>
      <c r="L90" s="116">
        <f>SUMIFS('Cutters Consumption Updates'!$F:$F,'Cutters Consumption Updates'!$D:$D,L$1,'Cutters Consumption Updates'!$B:$B,$B90)-SUMIFS('Cutters Consumption Updates'!$E:$E,'Cutters Consumption Updates'!$D:$D,$L$1,'Cutters Consumption Updates'!$B:$B,$B90)+SUMIFS('Cutters Consumption Updates'!$F:$F,'Cutters Consumption Updates'!$D:$D,"Retrofit",'Cutters Consumption Updates'!$B:$B,$B90)-SUMIFS('Cutters Consumption Updates'!$E:$E,'Cutters Consumption Updates'!$D:$D,"Retrofit",'Cutters Consumption Updates'!$B:$B,$B90)+ SUMIF('Cutters Consumption Updates'!$AS:$AS,$B90,'Cutters Consumption Updates'!AX:AX)</f>
        <v>22</v>
      </c>
      <c r="M90" s="810">
        <f t="shared" si="7"/>
        <v>22</v>
      </c>
      <c r="N90" s="810">
        <f ca="1">SUMIFS('Cutters Consumption Updates'!E:E,
        'Cutters Consumption Updates'!B:B, B90,
        'Cutters Consumption Updates'!A:A, "&gt;" &amp; TODAY()-182)</f>
        <v>0</v>
      </c>
      <c r="O90" s="810">
        <f ca="1">SUMIFS('Cutters Consumption Updates'!E:E,
        'Cutters Consumption Updates'!B:B, B90,
        'Cutters Consumption Updates'!A:A, "&gt;" &amp; TODAY()-91)</f>
        <v>0</v>
      </c>
      <c r="P90" s="810">
        <f t="shared" ca="1" si="8"/>
        <v>0</v>
      </c>
      <c r="Q90" s="703">
        <f t="shared" ca="1" si="9"/>
        <v>0</v>
      </c>
      <c r="R90" s="703" t="s">
        <v>63</v>
      </c>
      <c r="S90" s="24">
        <f>IFERROR(INDEX(Table5[],MATCH($B90,Table5[Component],0),2),0)</f>
        <v>0</v>
      </c>
      <c r="T90" s="813">
        <f>SUMIFS(Table7[Balance],Table7[Cutter Mat'#],$B90)</f>
        <v>0</v>
      </c>
      <c r="U90" s="24">
        <f t="shared" si="10"/>
        <v>22</v>
      </c>
      <c r="V90" s="119"/>
      <c r="W90" s="2"/>
      <c r="Y90" s="4">
        <f>IFERROR(INDEX(Table5[],MATCH($B90,Table5[Component],0),2),0)</f>
        <v>0</v>
      </c>
      <c r="Z90" s="4">
        <f>IFERROR(INDEX(Table5[],MATCH($B90,Table5[Component],0),1),0)</f>
        <v>0</v>
      </c>
      <c r="AA90" s="4" t="str">
        <f>IF(Y90&lt;&gt;0,B90,"")</f>
        <v/>
      </c>
      <c r="AB90" s="4" t="str">
        <f t="shared" si="11"/>
        <v/>
      </c>
      <c r="AD90" s="4">
        <f t="shared" si="12"/>
        <v>22</v>
      </c>
      <c r="AE90" s="9"/>
      <c r="AI90" s="248" t="str">
        <f>IFERROR(INDEX($B$1:$AK$243,MATCH(W90,$B$1:$B$243,0),13),"")</f>
        <v/>
      </c>
      <c r="AJ90" s="248" t="str">
        <f>IFERROR(INDEX($B$1:$AK$243,MATCH(W90,$B$1:$B$243,0),15),"")</f>
        <v/>
      </c>
      <c r="AK90">
        <f>SUMIF($W$2:$W$243,B90,$S$2:$S$243)</f>
        <v>0</v>
      </c>
      <c r="AP90">
        <f t="shared" si="13"/>
        <v>0</v>
      </c>
      <c r="AR90">
        <v>853551</v>
      </c>
      <c r="AS90">
        <f>SUMIF($B:$B,AR90,$AP:$AP)</f>
        <v>0</v>
      </c>
    </row>
    <row r="91" spans="1:45" ht="15.65" customHeight="1" x14ac:dyDescent="0.35">
      <c r="A91" s="2">
        <v>90</v>
      </c>
      <c r="B91" s="2">
        <v>853551</v>
      </c>
      <c r="C91" s="2" t="s">
        <v>4324</v>
      </c>
      <c r="D91" s="2" t="s">
        <v>92</v>
      </c>
      <c r="E91" s="2">
        <v>1613</v>
      </c>
      <c r="F91" s="2" t="s">
        <v>253</v>
      </c>
      <c r="G91" s="2" t="s">
        <v>4314</v>
      </c>
      <c r="H91" s="10">
        <f>SUMIFS('Cutters Consumption Updates'!$F:$F,'Cutters Consumption Updates'!$D:$D,H$1,'Cutters Consumption Updates'!$B:$B,$B91)-SUMIFS('Cutters Consumption Updates'!$E:$E,'Cutters Consumption Updates'!$D:$D,H$1,'Cutters Consumption Updates'!$B:$B,$B91)+ SUMIF('Cutters Consumption Updates'!$AS:$AS,$B91,'Cutters Consumption Updates'!AT:AT)</f>
        <v>0</v>
      </c>
      <c r="I91" s="10">
        <f>SUMIFS('Cutters Consumption Updates'!$F:$F,'Cutters Consumption Updates'!$D:$D,I$1,'Cutters Consumption Updates'!$B:$B,$B91)-SUMIFS('Cutters Consumption Updates'!$E:$E,'Cutters Consumption Updates'!$D:$D,I$1,'Cutters Consumption Updates'!$B:$B,$B91)+ SUMIF('Cutters Consumption Updates'!$AS:$AS,$B91,'Cutters Consumption Updates'!AU:AU)</f>
        <v>0</v>
      </c>
      <c r="J91" s="116">
        <f>SUMIFS('Cutters Consumption Updates'!$F:$F,'Cutters Consumption Updates'!$D:$D,J$1,'Cutters Consumption Updates'!$B:$B,$B91)-SUMIFS('Cutters Consumption Updates'!$E:$E,'Cutters Consumption Updates'!$D:$D,J$1,'Cutters Consumption Updates'!$B:$B,$B91)+ SUMIF('Cutters Consumption Updates'!$AS:$AS,$B91,'Cutters Consumption Updates'!AV:AV)</f>
        <v>20</v>
      </c>
      <c r="K91" s="738">
        <f>SUMIFS('Cutters Consumption Updates'!$F:$F,'Cutters Consumption Updates'!$D:$D,K$1,'Cutters Consumption Updates'!$B:$B,$B91)-SUMIFS('Cutters Consumption Updates'!$E:$E,'Cutters Consumption Updates'!$D:$D,K$1,'Cutters Consumption Updates'!$B:$B,$B91)+ SUMIF('Cutters Consumption Updates'!$AS:$AS,$B91,'Cutters Consumption Updates'!AW:AW)</f>
        <v>0</v>
      </c>
      <c r="L91" s="116">
        <f>SUMIFS('Cutters Consumption Updates'!$F:$F,'Cutters Consumption Updates'!$D:$D,L$1,'Cutters Consumption Updates'!$B:$B,$B91)-SUMIFS('Cutters Consumption Updates'!$E:$E,'Cutters Consumption Updates'!$D:$D,$L$1,'Cutters Consumption Updates'!$B:$B,$B91)+SUMIFS('Cutters Consumption Updates'!$F:$F,'Cutters Consumption Updates'!$D:$D,"Retrofit",'Cutters Consumption Updates'!$B:$B,$B91)-SUMIFS('Cutters Consumption Updates'!$E:$E,'Cutters Consumption Updates'!$D:$D,"Retrofit",'Cutters Consumption Updates'!$B:$B,$B91)+ SUMIF('Cutters Consumption Updates'!$AS:$AS,$B91,'Cutters Consumption Updates'!AX:AX)</f>
        <v>0</v>
      </c>
      <c r="M91" s="810">
        <f t="shared" si="7"/>
        <v>0</v>
      </c>
      <c r="N91" s="810">
        <f ca="1">SUMIFS('Cutters Consumption Updates'!E:E,
        'Cutters Consumption Updates'!B:B, B91,
        'Cutters Consumption Updates'!A:A, "&gt;" &amp; TODAY()-182)</f>
        <v>0</v>
      </c>
      <c r="O91" s="810">
        <f ca="1">SUMIFS('Cutters Consumption Updates'!E:E,
        'Cutters Consumption Updates'!B:B, B91,
        'Cutters Consumption Updates'!A:A, "&gt;" &amp; TODAY()-91)</f>
        <v>0</v>
      </c>
      <c r="P91" s="810">
        <f t="shared" ca="1" si="8"/>
        <v>0</v>
      </c>
      <c r="Q91" s="703">
        <f t="shared" ca="1" si="9"/>
        <v>0</v>
      </c>
      <c r="R91" s="703" t="s">
        <v>64</v>
      </c>
      <c r="S91" s="24">
        <f>IFERROR(INDEX(Table5[],MATCH($B91,Table5[Component],0),2),0)</f>
        <v>0</v>
      </c>
      <c r="T91" s="813">
        <f>SUMIFS(Table7[Balance],Table7[Cutter Mat'#],$B91)</f>
        <v>0</v>
      </c>
      <c r="U91" s="24">
        <f t="shared" si="10"/>
        <v>0</v>
      </c>
      <c r="V91" s="119"/>
      <c r="W91" s="2"/>
      <c r="Y91" s="4">
        <f>IFERROR(INDEX(Table5[],MATCH($B91,Table5[Component],0),2),0)</f>
        <v>0</v>
      </c>
      <c r="Z91" s="4">
        <f>IFERROR(INDEX(Table5[],MATCH($B91,Table5[Component],0),1),0)</f>
        <v>0</v>
      </c>
      <c r="AA91" s="4" t="str">
        <f>IF(Y91&lt;&gt;0,B91,"")</f>
        <v/>
      </c>
      <c r="AB91" s="4" t="str">
        <f t="shared" si="11"/>
        <v/>
      </c>
      <c r="AD91" s="4">
        <f t="shared" si="12"/>
        <v>20</v>
      </c>
      <c r="AE91" s="9"/>
      <c r="AI91" s="248" t="str">
        <f>IFERROR(INDEX($B$1:$AK$243,MATCH(W91,$B$1:$B$243,0),13),"")</f>
        <v/>
      </c>
      <c r="AJ91" s="248" t="str">
        <f>IFERROR(INDEX($B$1:$AK$243,MATCH(W91,$B$1:$B$243,0),15),"")</f>
        <v/>
      </c>
      <c r="AK91">
        <f>SUMIF($W$2:$W$243,B91,$S$2:$S$243)</f>
        <v>0</v>
      </c>
      <c r="AP91">
        <f t="shared" si="13"/>
        <v>0</v>
      </c>
      <c r="AR91">
        <v>853552</v>
      </c>
      <c r="AS91">
        <f>SUMIF($B:$B,AR91,$AP:$AP)</f>
        <v>0</v>
      </c>
    </row>
    <row r="92" spans="1:45" ht="15.65" customHeight="1" x14ac:dyDescent="0.35">
      <c r="A92" s="2">
        <v>91</v>
      </c>
      <c r="B92" s="2">
        <v>717747</v>
      </c>
      <c r="C92" s="2" t="s">
        <v>4458</v>
      </c>
      <c r="D92" s="2" t="s">
        <v>51</v>
      </c>
      <c r="E92" s="2">
        <v>1010</v>
      </c>
      <c r="F92" s="2" t="s">
        <v>248</v>
      </c>
      <c r="G92" s="2" t="s">
        <v>47</v>
      </c>
      <c r="H92" s="10">
        <f>SUMIFS('Cutters Consumption Updates'!$F:$F,'Cutters Consumption Updates'!$D:$D,H$1,'Cutters Consumption Updates'!$B:$B,$B92)-SUMIFS('Cutters Consumption Updates'!$E:$E,'Cutters Consumption Updates'!$D:$D,H$1,'Cutters Consumption Updates'!$B:$B,$B92)+ SUMIF('Cutters Consumption Updates'!$AS:$AS,$B92,'Cutters Consumption Updates'!AT:AT)</f>
        <v>0</v>
      </c>
      <c r="I92" s="10">
        <f>SUMIFS('Cutters Consumption Updates'!$F:$F,'Cutters Consumption Updates'!$D:$D,I$1,'Cutters Consumption Updates'!$B:$B,$B92)-SUMIFS('Cutters Consumption Updates'!$E:$E,'Cutters Consumption Updates'!$D:$D,I$1,'Cutters Consumption Updates'!$B:$B,$B92)+ SUMIF('Cutters Consumption Updates'!$AS:$AS,$B92,'Cutters Consumption Updates'!AU:AU)</f>
        <v>0</v>
      </c>
      <c r="J92" s="116">
        <f>SUMIFS('Cutters Consumption Updates'!$F:$F,'Cutters Consumption Updates'!$D:$D,J$1,'Cutters Consumption Updates'!$B:$B,$B92)-SUMIFS('Cutters Consumption Updates'!$E:$E,'Cutters Consumption Updates'!$D:$D,J$1,'Cutters Consumption Updates'!$B:$B,$B92)+ SUMIF('Cutters Consumption Updates'!$AS:$AS,$B92,'Cutters Consumption Updates'!AV:AV)</f>
        <v>0</v>
      </c>
      <c r="K92" s="738">
        <f>SUMIFS('Cutters Consumption Updates'!$F:$F,'Cutters Consumption Updates'!$D:$D,K$1,'Cutters Consumption Updates'!$B:$B,$B92)-SUMIFS('Cutters Consumption Updates'!$E:$E,'Cutters Consumption Updates'!$D:$D,K$1,'Cutters Consumption Updates'!$B:$B,$B92)+ SUMIF('Cutters Consumption Updates'!$AS:$AS,$B92,'Cutters Consumption Updates'!AW:AW)</f>
        <v>0</v>
      </c>
      <c r="L92" s="116">
        <f>SUMIFS('Cutters Consumption Updates'!$F:$F,'Cutters Consumption Updates'!$D:$D,L$1,'Cutters Consumption Updates'!$B:$B,$B92)-SUMIFS('Cutters Consumption Updates'!$E:$E,'Cutters Consumption Updates'!$D:$D,$L$1,'Cutters Consumption Updates'!$B:$B,$B92)+SUMIFS('Cutters Consumption Updates'!$F:$F,'Cutters Consumption Updates'!$D:$D,"Retrofit",'Cutters Consumption Updates'!$B:$B,$B92)-SUMIFS('Cutters Consumption Updates'!$E:$E,'Cutters Consumption Updates'!$D:$D,"Retrofit",'Cutters Consumption Updates'!$B:$B,$B92)+ SUMIF('Cutters Consumption Updates'!$AS:$AS,$B92,'Cutters Consumption Updates'!AX:AX)</f>
        <v>0</v>
      </c>
      <c r="M92" s="810">
        <f t="shared" si="7"/>
        <v>0</v>
      </c>
      <c r="N92" s="810">
        <f ca="1">SUMIFS('Cutters Consumption Updates'!E:E,
        'Cutters Consumption Updates'!B:B, B92,
        'Cutters Consumption Updates'!A:A, "&gt;" &amp; TODAY()-182)</f>
        <v>0</v>
      </c>
      <c r="O92" s="810">
        <f ca="1">SUMIFS('Cutters Consumption Updates'!E:E,
        'Cutters Consumption Updates'!B:B, B92,
        'Cutters Consumption Updates'!A:A, "&gt;" &amp; TODAY()-91)</f>
        <v>0</v>
      </c>
      <c r="P92" s="810">
        <f t="shared" ca="1" si="8"/>
        <v>0</v>
      </c>
      <c r="Q92" s="703">
        <f t="shared" ca="1" si="9"/>
        <v>0</v>
      </c>
      <c r="R92" s="703" t="s">
        <v>29</v>
      </c>
      <c r="S92" s="24">
        <f>IFERROR(INDEX(Table5[],MATCH($B92,Table5[Component],0),2),0)</f>
        <v>0</v>
      </c>
      <c r="T92" s="813">
        <f>SUMIFS(Table7[Balance],Table7[Cutter Mat'#],$B92)</f>
        <v>0</v>
      </c>
      <c r="U92" s="24">
        <f t="shared" si="10"/>
        <v>0</v>
      </c>
      <c r="V92" s="119"/>
      <c r="W92" s="2"/>
      <c r="Y92" s="4">
        <f>IFERROR(INDEX(Table5[],MATCH($B92,Table5[Component],0),2),0)</f>
        <v>0</v>
      </c>
      <c r="Z92" s="4">
        <f>IFERROR(INDEX(Table5[],MATCH($B92,Table5[Component],0),1),0)</f>
        <v>0</v>
      </c>
      <c r="AA92" s="4" t="str">
        <f>IF(Y92&lt;&gt;0,B92,"")</f>
        <v/>
      </c>
      <c r="AB92" s="4" t="str">
        <f t="shared" si="11"/>
        <v/>
      </c>
      <c r="AD92" s="4">
        <f t="shared" si="12"/>
        <v>0</v>
      </c>
      <c r="AE92" s="9"/>
      <c r="AI92" s="248" t="str">
        <f>IFERROR(INDEX($B$1:$AK$243,MATCH(W92,$B$1:$B$243,0),13),"")</f>
        <v/>
      </c>
      <c r="AJ92" s="248" t="str">
        <f>IFERROR(INDEX($B$1:$AK$243,MATCH(W92,$B$1:$B$243,0),15),"")</f>
        <v/>
      </c>
      <c r="AK92">
        <f>SUMIF($W$2:$W$243,B92,$S$2:$S$243)</f>
        <v>0</v>
      </c>
      <c r="AP92">
        <f t="shared" si="13"/>
        <v>0</v>
      </c>
      <c r="AR92">
        <v>871781</v>
      </c>
      <c r="AS92">
        <f>SUMIF($B:$B,AR92,$AP:$AP)</f>
        <v>300</v>
      </c>
    </row>
    <row r="93" spans="1:45" ht="15.65" customHeight="1" x14ac:dyDescent="0.35">
      <c r="A93" s="2">
        <v>92</v>
      </c>
      <c r="B93" s="2">
        <v>768848</v>
      </c>
      <c r="C93" s="2" t="s">
        <v>4325</v>
      </c>
      <c r="D93" s="2" t="s">
        <v>62</v>
      </c>
      <c r="E93" s="2" t="s">
        <v>73</v>
      </c>
      <c r="F93" s="2" t="s">
        <v>248</v>
      </c>
      <c r="G93" s="2" t="s">
        <v>4275</v>
      </c>
      <c r="H93" s="10">
        <f>SUMIFS('Cutters Consumption Updates'!$F:$F,'Cutters Consumption Updates'!$D:$D,H$1,'Cutters Consumption Updates'!$B:$B,$B93)-SUMIFS('Cutters Consumption Updates'!$E:$E,'Cutters Consumption Updates'!$D:$D,H$1,'Cutters Consumption Updates'!$B:$B,$B93)+ SUMIF('Cutters Consumption Updates'!$AS:$AS,$B93,'Cutters Consumption Updates'!AT:AT)</f>
        <v>0</v>
      </c>
      <c r="I93" s="10">
        <f>SUMIFS('Cutters Consumption Updates'!$F:$F,'Cutters Consumption Updates'!$D:$D,I$1,'Cutters Consumption Updates'!$B:$B,$B93)-SUMIFS('Cutters Consumption Updates'!$E:$E,'Cutters Consumption Updates'!$D:$D,I$1,'Cutters Consumption Updates'!$B:$B,$B93)+ SUMIF('Cutters Consumption Updates'!$AS:$AS,$B93,'Cutters Consumption Updates'!AU:AU)</f>
        <v>0</v>
      </c>
      <c r="J93" s="116">
        <f>SUMIFS('Cutters Consumption Updates'!$F:$F,'Cutters Consumption Updates'!$D:$D,J$1,'Cutters Consumption Updates'!$B:$B,$B93)-SUMIFS('Cutters Consumption Updates'!$E:$E,'Cutters Consumption Updates'!$D:$D,J$1,'Cutters Consumption Updates'!$B:$B,$B93)+ SUMIF('Cutters Consumption Updates'!$AS:$AS,$B93,'Cutters Consumption Updates'!AV:AV)</f>
        <v>0</v>
      </c>
      <c r="K93" s="738">
        <f>SUMIFS('Cutters Consumption Updates'!$F:$F,'Cutters Consumption Updates'!$D:$D,K$1,'Cutters Consumption Updates'!$B:$B,$B93)-SUMIFS('Cutters Consumption Updates'!$E:$E,'Cutters Consumption Updates'!$D:$D,K$1,'Cutters Consumption Updates'!$B:$B,$B93)+ SUMIF('Cutters Consumption Updates'!$AS:$AS,$B93,'Cutters Consumption Updates'!AW:AW)</f>
        <v>0</v>
      </c>
      <c r="L93" s="116">
        <f>SUMIFS('Cutters Consumption Updates'!$F:$F,'Cutters Consumption Updates'!$D:$D,L$1,'Cutters Consumption Updates'!$B:$B,$B93)-SUMIFS('Cutters Consumption Updates'!$E:$E,'Cutters Consumption Updates'!$D:$D,$L$1,'Cutters Consumption Updates'!$B:$B,$B93)+SUMIFS('Cutters Consumption Updates'!$F:$F,'Cutters Consumption Updates'!$D:$D,"Retrofit",'Cutters Consumption Updates'!$B:$B,$B93)-SUMIFS('Cutters Consumption Updates'!$E:$E,'Cutters Consumption Updates'!$D:$D,"Retrofit",'Cutters Consumption Updates'!$B:$B,$B93)+ SUMIF('Cutters Consumption Updates'!$AS:$AS,$B93,'Cutters Consumption Updates'!AX:AX)</f>
        <v>7</v>
      </c>
      <c r="M93" s="810">
        <f t="shared" si="7"/>
        <v>7</v>
      </c>
      <c r="N93" s="810">
        <f ca="1">SUMIFS('Cutters Consumption Updates'!E:E,
        'Cutters Consumption Updates'!B:B, B93,
        'Cutters Consumption Updates'!A:A, "&gt;" &amp; TODAY()-182)</f>
        <v>0</v>
      </c>
      <c r="O93" s="810">
        <f ca="1">SUMIFS('Cutters Consumption Updates'!E:E,
        'Cutters Consumption Updates'!B:B, B93,
        'Cutters Consumption Updates'!A:A, "&gt;" &amp; TODAY()-91)</f>
        <v>0</v>
      </c>
      <c r="P93" s="810">
        <f t="shared" ca="1" si="8"/>
        <v>0</v>
      </c>
      <c r="Q93" s="703">
        <f t="shared" ca="1" si="9"/>
        <v>0</v>
      </c>
      <c r="R93" s="703" t="s">
        <v>29</v>
      </c>
      <c r="S93" s="24">
        <f>IFERROR(INDEX(Table5[],MATCH($B93,Table5[Component],0),2),0)</f>
        <v>0</v>
      </c>
      <c r="T93" s="813">
        <f>SUMIFS(Table7[Balance],Table7[Cutter Mat'#],$B93)</f>
        <v>0</v>
      </c>
      <c r="U93" s="24">
        <f t="shared" si="10"/>
        <v>7</v>
      </c>
      <c r="V93" s="119"/>
      <c r="W93" s="2"/>
      <c r="Y93" s="4">
        <f>IFERROR(INDEX(Table5[],MATCH($B93,Table5[Component],0),2),0)</f>
        <v>0</v>
      </c>
      <c r="Z93" s="4">
        <f>IFERROR(INDEX(Table5[],MATCH($B93,Table5[Component],0),1),0)</f>
        <v>0</v>
      </c>
      <c r="AA93" s="4" t="str">
        <f>IF(Y93&lt;&gt;0,B93,"")</f>
        <v/>
      </c>
      <c r="AB93" s="4" t="str">
        <f t="shared" si="11"/>
        <v/>
      </c>
      <c r="AD93" s="4">
        <f t="shared" si="12"/>
        <v>7</v>
      </c>
      <c r="AE93" s="9"/>
      <c r="AI93" s="248" t="str">
        <f>IFERROR(INDEX($B$1:$AK$243,MATCH(W93,$B$1:$B$243,0),13),"")</f>
        <v/>
      </c>
      <c r="AJ93" s="248" t="str">
        <f>IFERROR(INDEX($B$1:$AK$243,MATCH(W93,$B$1:$B$243,0),15),"")</f>
        <v/>
      </c>
      <c r="AK93">
        <f>SUMIF($W$2:$W$243,B93,$S$2:$S$243)</f>
        <v>0</v>
      </c>
      <c r="AP93">
        <f t="shared" si="13"/>
        <v>0</v>
      </c>
      <c r="AR93">
        <v>874583</v>
      </c>
      <c r="AS93">
        <f>SUMIF($B:$B,AR93,$AP:$AP)</f>
        <v>0</v>
      </c>
    </row>
    <row r="94" spans="1:45" ht="15.65" customHeight="1" x14ac:dyDescent="0.35">
      <c r="A94" s="2">
        <v>93</v>
      </c>
      <c r="B94" s="2">
        <v>785001</v>
      </c>
      <c r="C94" s="2" t="s">
        <v>4326</v>
      </c>
      <c r="D94" s="2" t="s">
        <v>27</v>
      </c>
      <c r="E94" s="2">
        <v>1313</v>
      </c>
      <c r="F94" s="2" t="s">
        <v>253</v>
      </c>
      <c r="G94" s="2" t="s">
        <v>28</v>
      </c>
      <c r="H94" s="10">
        <f>SUMIFS('Cutters Consumption Updates'!$F:$F,'Cutters Consumption Updates'!$D:$D,H$1,'Cutters Consumption Updates'!$B:$B,$B94)-SUMIFS('Cutters Consumption Updates'!$E:$E,'Cutters Consumption Updates'!$D:$D,H$1,'Cutters Consumption Updates'!$B:$B,$B94)+ SUMIF('Cutters Consumption Updates'!$AS:$AS,$B94,'Cutters Consumption Updates'!AT:AT)</f>
        <v>0</v>
      </c>
      <c r="I94" s="10">
        <f>SUMIFS('Cutters Consumption Updates'!$F:$F,'Cutters Consumption Updates'!$D:$D,I$1,'Cutters Consumption Updates'!$B:$B,$B94)-SUMIFS('Cutters Consumption Updates'!$E:$E,'Cutters Consumption Updates'!$D:$D,I$1,'Cutters Consumption Updates'!$B:$B,$B94)+ SUMIF('Cutters Consumption Updates'!$AS:$AS,$B94,'Cutters Consumption Updates'!AU:AU)</f>
        <v>0</v>
      </c>
      <c r="J94" s="116">
        <f>SUMIFS('Cutters Consumption Updates'!$F:$F,'Cutters Consumption Updates'!$D:$D,J$1,'Cutters Consumption Updates'!$B:$B,$B94)-SUMIFS('Cutters Consumption Updates'!$E:$E,'Cutters Consumption Updates'!$D:$D,J$1,'Cutters Consumption Updates'!$B:$B,$B94)+ SUMIF('Cutters Consumption Updates'!$AS:$AS,$B94,'Cutters Consumption Updates'!AV:AV)</f>
        <v>0</v>
      </c>
      <c r="K94" s="738">
        <f>SUMIFS('Cutters Consumption Updates'!$F:$F,'Cutters Consumption Updates'!$D:$D,K$1,'Cutters Consumption Updates'!$B:$B,$B94)-SUMIFS('Cutters Consumption Updates'!$E:$E,'Cutters Consumption Updates'!$D:$D,K$1,'Cutters Consumption Updates'!$B:$B,$B94)+ SUMIF('Cutters Consumption Updates'!$AS:$AS,$B94,'Cutters Consumption Updates'!AW:AW)</f>
        <v>0</v>
      </c>
      <c r="L94" s="116">
        <f>SUMIFS('Cutters Consumption Updates'!$F:$F,'Cutters Consumption Updates'!$D:$D,L$1,'Cutters Consumption Updates'!$B:$B,$B94)-SUMIFS('Cutters Consumption Updates'!$E:$E,'Cutters Consumption Updates'!$D:$D,$L$1,'Cutters Consumption Updates'!$B:$B,$B94)+SUMIFS('Cutters Consumption Updates'!$F:$F,'Cutters Consumption Updates'!$D:$D,"Retrofit",'Cutters Consumption Updates'!$B:$B,$B94)-SUMIFS('Cutters Consumption Updates'!$E:$E,'Cutters Consumption Updates'!$D:$D,"Retrofit",'Cutters Consumption Updates'!$B:$B,$B94)+ SUMIF('Cutters Consumption Updates'!$AS:$AS,$B94,'Cutters Consumption Updates'!AX:AX)</f>
        <v>0</v>
      </c>
      <c r="M94" s="810">
        <f t="shared" si="7"/>
        <v>0</v>
      </c>
      <c r="N94" s="810">
        <f ca="1">SUMIFS('Cutters Consumption Updates'!E:E,
        'Cutters Consumption Updates'!B:B, B94,
        'Cutters Consumption Updates'!A:A, "&gt;" &amp; TODAY()-182)</f>
        <v>3</v>
      </c>
      <c r="O94" s="810">
        <f ca="1">SUMIFS('Cutters Consumption Updates'!E:E,
        'Cutters Consumption Updates'!B:B, B94,
        'Cutters Consumption Updates'!A:A, "&gt;" &amp; TODAY()-91)</f>
        <v>3</v>
      </c>
      <c r="P94" s="810">
        <f t="shared" ca="1" si="8"/>
        <v>1</v>
      </c>
      <c r="Q94" s="703">
        <f t="shared" ca="1" si="9"/>
        <v>0</v>
      </c>
      <c r="R94" s="703" t="s">
        <v>29</v>
      </c>
      <c r="S94" s="24">
        <f>IFERROR(INDEX(Table5[],MATCH($B94,Table5[Component],0),2),0)</f>
        <v>0</v>
      </c>
      <c r="T94" s="813">
        <f>SUMIFS(Table7[Balance],Table7[Cutter Mat'#],$B94)</f>
        <v>0</v>
      </c>
      <c r="U94" s="24">
        <f t="shared" si="10"/>
        <v>0</v>
      </c>
      <c r="V94" s="119"/>
      <c r="W94" s="2"/>
      <c r="Y94" s="4">
        <f>IFERROR(INDEX(Table5[],MATCH($B94,Table5[Component],0),2),0)</f>
        <v>0</v>
      </c>
      <c r="Z94" s="4">
        <f>IFERROR(INDEX(Table5[],MATCH($B94,Table5[Component],0),1),0)</f>
        <v>0</v>
      </c>
      <c r="AA94" s="4" t="str">
        <f>IF(Y94&lt;&gt;0,B94,"")</f>
        <v/>
      </c>
      <c r="AB94" s="4" t="str">
        <f t="shared" si="11"/>
        <v/>
      </c>
      <c r="AD94" s="4">
        <f t="shared" si="12"/>
        <v>0</v>
      </c>
      <c r="AE94" s="9"/>
      <c r="AI94" s="248" t="str">
        <f>IFERROR(INDEX($B$1:$AK$243,MATCH(W94,$B$1:$B$243,0),13),"")</f>
        <v/>
      </c>
      <c r="AJ94" s="248" t="str">
        <f>IFERROR(INDEX($B$1:$AK$243,MATCH(W94,$B$1:$B$243,0),15),"")</f>
        <v/>
      </c>
      <c r="AK94">
        <f>SUMIF($W$2:$W$243,B94,$S$2:$S$243)</f>
        <v>0</v>
      </c>
      <c r="AP94">
        <f t="shared" si="13"/>
        <v>0</v>
      </c>
      <c r="AR94">
        <v>882800</v>
      </c>
      <c r="AS94">
        <f>SUMIF($B:$B,AR94,$AP:$AP)</f>
        <v>0</v>
      </c>
    </row>
    <row r="95" spans="1:45" ht="15.65" customHeight="1" x14ac:dyDescent="0.35">
      <c r="A95" s="2">
        <v>94</v>
      </c>
      <c r="B95" s="2">
        <v>932807</v>
      </c>
      <c r="C95" s="807" t="s">
        <v>4459</v>
      </c>
      <c r="D95" s="807" t="s">
        <v>98</v>
      </c>
      <c r="E95" s="807">
        <v>1313</v>
      </c>
      <c r="F95" s="807" t="s">
        <v>248</v>
      </c>
      <c r="G95" s="807" t="s">
        <v>47</v>
      </c>
      <c r="H95" s="10">
        <f>SUMIFS('Cutters Consumption Updates'!$F:$F,'Cutters Consumption Updates'!$D:$D,H$1,'Cutters Consumption Updates'!$B:$B,$B95)-SUMIFS('Cutters Consumption Updates'!$E:$E,'Cutters Consumption Updates'!$D:$D,H$1,'Cutters Consumption Updates'!$B:$B,$B95)+ SUMIF('Cutters Consumption Updates'!$AS:$AS,$B95,'Cutters Consumption Updates'!AT:AT)</f>
        <v>0</v>
      </c>
      <c r="I95" s="10">
        <f>SUMIFS('Cutters Consumption Updates'!$F:$F,'Cutters Consumption Updates'!$D:$D,I$1,'Cutters Consumption Updates'!$B:$B,$B95)-SUMIFS('Cutters Consumption Updates'!$E:$E,'Cutters Consumption Updates'!$D:$D,I$1,'Cutters Consumption Updates'!$B:$B,$B95)+ SUMIF('Cutters Consumption Updates'!$AS:$AS,$B95,'Cutters Consumption Updates'!AU:AU)</f>
        <v>0</v>
      </c>
      <c r="J95" s="116">
        <f>SUMIFS('Cutters Consumption Updates'!$F:$F,'Cutters Consumption Updates'!$D:$D,J$1,'Cutters Consumption Updates'!$B:$B,$B95)-SUMIFS('Cutters Consumption Updates'!$E:$E,'Cutters Consumption Updates'!$D:$D,J$1,'Cutters Consumption Updates'!$B:$B,$B95)+ SUMIF('Cutters Consumption Updates'!$AS:$AS,$B95,'Cutters Consumption Updates'!AV:AV)</f>
        <v>0</v>
      </c>
      <c r="K95" s="738">
        <f>SUMIFS('Cutters Consumption Updates'!$F:$F,'Cutters Consumption Updates'!$D:$D,K$1,'Cutters Consumption Updates'!$B:$B,$B95)-SUMIFS('Cutters Consumption Updates'!$E:$E,'Cutters Consumption Updates'!$D:$D,K$1,'Cutters Consumption Updates'!$B:$B,$B95)+ SUMIF('Cutters Consumption Updates'!$AS:$AS,$B95,'Cutters Consumption Updates'!AW:AW)</f>
        <v>0</v>
      </c>
      <c r="L95" s="116">
        <f>SUMIFS('Cutters Consumption Updates'!$F:$F,'Cutters Consumption Updates'!$D:$D,L$1,'Cutters Consumption Updates'!$B:$B,$B95)-SUMIFS('Cutters Consumption Updates'!$E:$E,'Cutters Consumption Updates'!$D:$D,$L$1,'Cutters Consumption Updates'!$B:$B,$B95)+SUMIFS('Cutters Consumption Updates'!$F:$F,'Cutters Consumption Updates'!$D:$D,"Retrofit",'Cutters Consumption Updates'!$B:$B,$B95)-SUMIFS('Cutters Consumption Updates'!$E:$E,'Cutters Consumption Updates'!$D:$D,"Retrofit",'Cutters Consumption Updates'!$B:$B,$B95)+ SUMIF('Cutters Consumption Updates'!$AS:$AS,$B95,'Cutters Consumption Updates'!AX:AX)</f>
        <v>0</v>
      </c>
      <c r="M95" s="810">
        <f t="shared" si="7"/>
        <v>0</v>
      </c>
      <c r="N95" s="810">
        <f ca="1">SUMIFS('Cutters Consumption Updates'!E:E,
        'Cutters Consumption Updates'!B:B, B95,
        'Cutters Consumption Updates'!A:A, "&gt;" &amp; TODAY()-182)</f>
        <v>0</v>
      </c>
      <c r="O95" s="810">
        <f ca="1">SUMIFS('Cutters Consumption Updates'!E:E,
        'Cutters Consumption Updates'!B:B, B95,
        'Cutters Consumption Updates'!A:A, "&gt;" &amp; TODAY()-91)</f>
        <v>0</v>
      </c>
      <c r="P95" s="810">
        <f t="shared" ca="1" si="8"/>
        <v>0</v>
      </c>
      <c r="Q95" s="703">
        <f t="shared" ca="1" si="9"/>
        <v>0</v>
      </c>
      <c r="R95" s="703" t="s">
        <v>29</v>
      </c>
      <c r="S95" s="24">
        <f>IFERROR(INDEX(Table5[],MATCH($B95,Table5[Component],0),2),0)</f>
        <v>0</v>
      </c>
      <c r="T95" s="813">
        <f>SUMIFS(Table7[Balance],Table7[Cutter Mat'#],$B95)</f>
        <v>0</v>
      </c>
      <c r="U95" s="24">
        <f t="shared" si="10"/>
        <v>0</v>
      </c>
      <c r="V95" s="119"/>
      <c r="W95" s="2"/>
      <c r="Y95" s="4">
        <f>IFERROR(INDEX(Table5[],MATCH($B95,Table5[Component],0),2),0)</f>
        <v>0</v>
      </c>
      <c r="Z95" s="4">
        <f>IFERROR(INDEX(Table5[],MATCH($B95,Table5[Component],0),1),0)</f>
        <v>0</v>
      </c>
      <c r="AA95" s="4" t="str">
        <f>IF(Y95&lt;&gt;0,B95,"")</f>
        <v/>
      </c>
      <c r="AB95" s="4" t="str">
        <f t="shared" si="11"/>
        <v/>
      </c>
      <c r="AD95" s="4">
        <f t="shared" si="12"/>
        <v>0</v>
      </c>
      <c r="AE95" s="9"/>
      <c r="AI95" s="248" t="str">
        <f>IFERROR(INDEX($B$1:$AK$243,MATCH(W95,$B$1:$B$243,0),13),"")</f>
        <v/>
      </c>
      <c r="AJ95" s="248" t="str">
        <f>IFERROR(INDEX($B$1:$AK$243,MATCH(W95,$B$1:$B$243,0),15),"")</f>
        <v/>
      </c>
      <c r="AK95">
        <f>SUMIF($W$2:$W$243,B95,$S$2:$S$243)</f>
        <v>0</v>
      </c>
      <c r="AP95">
        <f t="shared" si="13"/>
        <v>0</v>
      </c>
      <c r="AR95">
        <v>886466</v>
      </c>
      <c r="AS95">
        <f>SUMIF($B:$B,AR95,$AP:$AP)</f>
        <v>0</v>
      </c>
    </row>
    <row r="96" spans="1:45" ht="15.65" customHeight="1" x14ac:dyDescent="0.35">
      <c r="A96" s="2">
        <v>95</v>
      </c>
      <c r="B96" s="2">
        <v>703671</v>
      </c>
      <c r="C96" s="2" t="s">
        <v>4327</v>
      </c>
      <c r="D96" s="2" t="s">
        <v>51</v>
      </c>
      <c r="E96" s="2">
        <v>1613</v>
      </c>
      <c r="F96" s="2" t="s">
        <v>248</v>
      </c>
      <c r="G96" s="2" t="s">
        <v>47</v>
      </c>
      <c r="H96" s="10">
        <f>SUMIFS('Cutters Consumption Updates'!$F:$F,'Cutters Consumption Updates'!$D:$D,H$1,'Cutters Consumption Updates'!$B:$B,$B96)-SUMIFS('Cutters Consumption Updates'!$E:$E,'Cutters Consumption Updates'!$D:$D,H$1,'Cutters Consumption Updates'!$B:$B,$B96)+ SUMIF('Cutters Consumption Updates'!$AS:$AS,$B96,'Cutters Consumption Updates'!AT:AT)</f>
        <v>0</v>
      </c>
      <c r="I96" s="10">
        <f>SUMIFS('Cutters Consumption Updates'!$F:$F,'Cutters Consumption Updates'!$D:$D,I$1,'Cutters Consumption Updates'!$B:$B,$B96)-SUMIFS('Cutters Consumption Updates'!$E:$E,'Cutters Consumption Updates'!$D:$D,I$1,'Cutters Consumption Updates'!$B:$B,$B96)+ SUMIF('Cutters Consumption Updates'!$AS:$AS,$B96,'Cutters Consumption Updates'!AU:AU)</f>
        <v>6</v>
      </c>
      <c r="J96" s="116">
        <f>SUMIFS('Cutters Consumption Updates'!$F:$F,'Cutters Consumption Updates'!$D:$D,J$1,'Cutters Consumption Updates'!$B:$B,$B96)-SUMIFS('Cutters Consumption Updates'!$E:$E,'Cutters Consumption Updates'!$D:$D,J$1,'Cutters Consumption Updates'!$B:$B,$B96)+ SUMIF('Cutters Consumption Updates'!$AS:$AS,$B96,'Cutters Consumption Updates'!AV:AV)</f>
        <v>0</v>
      </c>
      <c r="K96" s="738">
        <f>SUMIFS('Cutters Consumption Updates'!$F:$F,'Cutters Consumption Updates'!$D:$D,K$1,'Cutters Consumption Updates'!$B:$B,$B96)-SUMIFS('Cutters Consumption Updates'!$E:$E,'Cutters Consumption Updates'!$D:$D,K$1,'Cutters Consumption Updates'!$B:$B,$B96)+ SUMIF('Cutters Consumption Updates'!$AS:$AS,$B96,'Cutters Consumption Updates'!AW:AW)</f>
        <v>0</v>
      </c>
      <c r="L96" s="116">
        <f>SUMIFS('Cutters Consumption Updates'!$F:$F,'Cutters Consumption Updates'!$D:$D,L$1,'Cutters Consumption Updates'!$B:$B,$B96)-SUMIFS('Cutters Consumption Updates'!$E:$E,'Cutters Consumption Updates'!$D:$D,$L$1,'Cutters Consumption Updates'!$B:$B,$B96)+SUMIFS('Cutters Consumption Updates'!$F:$F,'Cutters Consumption Updates'!$D:$D,"Retrofit",'Cutters Consumption Updates'!$B:$B,$B96)-SUMIFS('Cutters Consumption Updates'!$E:$E,'Cutters Consumption Updates'!$D:$D,"Retrofit",'Cutters Consumption Updates'!$B:$B,$B96)+ SUMIF('Cutters Consumption Updates'!$AS:$AS,$B96,'Cutters Consumption Updates'!AX:AX)</f>
        <v>2</v>
      </c>
      <c r="M96" s="810">
        <f t="shared" si="7"/>
        <v>2</v>
      </c>
      <c r="N96" s="810">
        <f ca="1">SUMIFS('Cutters Consumption Updates'!E:E,
        'Cutters Consumption Updates'!B:B, B96,
        'Cutters Consumption Updates'!A:A, "&gt;" &amp; TODAY()-182)</f>
        <v>0</v>
      </c>
      <c r="O96" s="810">
        <f ca="1">SUMIFS('Cutters Consumption Updates'!E:E,
        'Cutters Consumption Updates'!B:B, B96,
        'Cutters Consumption Updates'!A:A, "&gt;" &amp; TODAY()-91)</f>
        <v>0</v>
      </c>
      <c r="P96" s="810">
        <f t="shared" ca="1" si="8"/>
        <v>0</v>
      </c>
      <c r="Q96" s="703">
        <f t="shared" ca="1" si="9"/>
        <v>0</v>
      </c>
      <c r="R96" s="703" t="s">
        <v>29</v>
      </c>
      <c r="S96" s="24">
        <f>IFERROR(INDEX(Table5[],MATCH($B96,Table5[Component],0),2),0)</f>
        <v>0</v>
      </c>
      <c r="T96" s="813">
        <f>SUMIFS(Table7[Balance],Table7[Cutter Mat'#],$B96)</f>
        <v>0</v>
      </c>
      <c r="U96" s="24">
        <f t="shared" si="10"/>
        <v>2</v>
      </c>
      <c r="V96" s="119"/>
      <c r="W96" s="2"/>
      <c r="Y96" s="4">
        <f>IFERROR(INDEX(Table5[],MATCH($B96,Table5[Component],0),2),0)</f>
        <v>0</v>
      </c>
      <c r="Z96" s="4">
        <f>IFERROR(INDEX(Table5[],MATCH($B96,Table5[Component],0),1),0)</f>
        <v>0</v>
      </c>
      <c r="AA96" s="4" t="str">
        <f>IF(Y96&lt;&gt;0,B96,"")</f>
        <v/>
      </c>
      <c r="AB96" s="4" t="str">
        <f t="shared" si="11"/>
        <v/>
      </c>
      <c r="AD96" s="4">
        <f t="shared" si="12"/>
        <v>8</v>
      </c>
      <c r="AE96" s="9"/>
      <c r="AI96" s="248" t="str">
        <f>IFERROR(INDEX($B$1:$AK$243,MATCH(W96,$B$1:$B$243,0),13),"")</f>
        <v/>
      </c>
      <c r="AJ96" s="248" t="str">
        <f>IFERROR(INDEX($B$1:$AK$243,MATCH(W96,$B$1:$B$243,0),15),"")</f>
        <v/>
      </c>
      <c r="AK96">
        <f>SUMIF($W$2:$W$243,B96,$S$2:$S$243)</f>
        <v>0</v>
      </c>
      <c r="AP96">
        <f t="shared" si="13"/>
        <v>0</v>
      </c>
      <c r="AR96">
        <v>887028</v>
      </c>
      <c r="AS96">
        <f>SUMIF($B:$B,AR96,$AP:$AP)</f>
        <v>0</v>
      </c>
    </row>
    <row r="97" spans="1:45" ht="15.65" customHeight="1" x14ac:dyDescent="0.35">
      <c r="A97" s="2">
        <v>96</v>
      </c>
      <c r="B97" s="2">
        <v>932811</v>
      </c>
      <c r="C97" s="807" t="s">
        <v>4460</v>
      </c>
      <c r="D97" s="807" t="s">
        <v>98</v>
      </c>
      <c r="E97" s="807">
        <v>1613</v>
      </c>
      <c r="F97" s="807" t="s">
        <v>248</v>
      </c>
      <c r="G97" s="807" t="s">
        <v>47</v>
      </c>
      <c r="H97" s="10">
        <f>SUMIFS('Cutters Consumption Updates'!$F:$F,'Cutters Consumption Updates'!$D:$D,H$1,'Cutters Consumption Updates'!$B:$B,$B97)-SUMIFS('Cutters Consumption Updates'!$E:$E,'Cutters Consumption Updates'!$D:$D,H$1,'Cutters Consumption Updates'!$B:$B,$B97)+ SUMIF('Cutters Consumption Updates'!$AS:$AS,$B97,'Cutters Consumption Updates'!AT:AT)</f>
        <v>0</v>
      </c>
      <c r="I97" s="10">
        <f>SUMIFS('Cutters Consumption Updates'!$F:$F,'Cutters Consumption Updates'!$D:$D,I$1,'Cutters Consumption Updates'!$B:$B,$B97)-SUMIFS('Cutters Consumption Updates'!$E:$E,'Cutters Consumption Updates'!$D:$D,I$1,'Cutters Consumption Updates'!$B:$B,$B97)+ SUMIF('Cutters Consumption Updates'!$AS:$AS,$B97,'Cutters Consumption Updates'!AU:AU)</f>
        <v>0</v>
      </c>
      <c r="J97" s="116">
        <f>SUMIFS('Cutters Consumption Updates'!$F:$F,'Cutters Consumption Updates'!$D:$D,J$1,'Cutters Consumption Updates'!$B:$B,$B97)-SUMIFS('Cutters Consumption Updates'!$E:$E,'Cutters Consumption Updates'!$D:$D,J$1,'Cutters Consumption Updates'!$B:$B,$B97)+ SUMIF('Cutters Consumption Updates'!$AS:$AS,$B97,'Cutters Consumption Updates'!AV:AV)</f>
        <v>0</v>
      </c>
      <c r="K97" s="738">
        <f>SUMIFS('Cutters Consumption Updates'!$F:$F,'Cutters Consumption Updates'!$D:$D,K$1,'Cutters Consumption Updates'!$B:$B,$B97)-SUMIFS('Cutters Consumption Updates'!$E:$E,'Cutters Consumption Updates'!$D:$D,K$1,'Cutters Consumption Updates'!$B:$B,$B97)+ SUMIF('Cutters Consumption Updates'!$AS:$AS,$B97,'Cutters Consumption Updates'!AW:AW)</f>
        <v>0</v>
      </c>
      <c r="L97" s="116">
        <f>SUMIFS('Cutters Consumption Updates'!$F:$F,'Cutters Consumption Updates'!$D:$D,L$1,'Cutters Consumption Updates'!$B:$B,$B97)-SUMIFS('Cutters Consumption Updates'!$E:$E,'Cutters Consumption Updates'!$D:$D,$L$1,'Cutters Consumption Updates'!$B:$B,$B97)+SUMIFS('Cutters Consumption Updates'!$F:$F,'Cutters Consumption Updates'!$D:$D,"Retrofit",'Cutters Consumption Updates'!$B:$B,$B97)-SUMIFS('Cutters Consumption Updates'!$E:$E,'Cutters Consumption Updates'!$D:$D,"Retrofit",'Cutters Consumption Updates'!$B:$B,$B97)+ SUMIF('Cutters Consumption Updates'!$AS:$AS,$B97,'Cutters Consumption Updates'!AX:AX)</f>
        <v>0</v>
      </c>
      <c r="M97" s="810">
        <f t="shared" si="7"/>
        <v>0</v>
      </c>
      <c r="N97" s="810">
        <f ca="1">SUMIFS('Cutters Consumption Updates'!E:E,
        'Cutters Consumption Updates'!B:B, B97,
        'Cutters Consumption Updates'!A:A, "&gt;" &amp; TODAY()-182)</f>
        <v>0</v>
      </c>
      <c r="O97" s="810">
        <f ca="1">SUMIFS('Cutters Consumption Updates'!E:E,
        'Cutters Consumption Updates'!B:B, B97,
        'Cutters Consumption Updates'!A:A, "&gt;" &amp; TODAY()-91)</f>
        <v>0</v>
      </c>
      <c r="P97" s="810">
        <f t="shared" ca="1" si="8"/>
        <v>0</v>
      </c>
      <c r="Q97" s="703">
        <f t="shared" ca="1" si="9"/>
        <v>0</v>
      </c>
      <c r="R97" s="703" t="s">
        <v>29</v>
      </c>
      <c r="S97" s="24">
        <f>IFERROR(INDEX(Table5[],MATCH($B97,Table5[Component],0),2),0)</f>
        <v>0</v>
      </c>
      <c r="T97" s="813">
        <f>SUMIFS(Table7[Balance],Table7[Cutter Mat'#],$B97)</f>
        <v>0</v>
      </c>
      <c r="U97" s="24">
        <f t="shared" si="10"/>
        <v>0</v>
      </c>
      <c r="V97" s="119"/>
      <c r="W97" s="2"/>
      <c r="Y97" s="4">
        <f>IFERROR(INDEX(Table5[],MATCH($B97,Table5[Component],0),2),0)</f>
        <v>0</v>
      </c>
      <c r="Z97" s="4">
        <f>IFERROR(INDEX(Table5[],MATCH($B97,Table5[Component],0),1),0)</f>
        <v>0</v>
      </c>
      <c r="AA97" s="4" t="str">
        <f>IF(Y97&lt;&gt;0,B97,"")</f>
        <v/>
      </c>
      <c r="AB97" s="4" t="str">
        <f t="shared" si="11"/>
        <v/>
      </c>
      <c r="AD97" s="4">
        <f t="shared" si="12"/>
        <v>0</v>
      </c>
      <c r="AE97" s="9"/>
      <c r="AI97" s="248" t="str">
        <f>IFERROR(INDEX($B$1:$AK$243,MATCH(W97,$B$1:$B$243,0),13),"")</f>
        <v/>
      </c>
      <c r="AJ97" s="248" t="str">
        <f>IFERROR(INDEX($B$1:$AK$243,MATCH(W97,$B$1:$B$243,0),15),"")</f>
        <v/>
      </c>
      <c r="AK97">
        <f>SUMIF($W$2:$W$243,B97,$S$2:$S$243)</f>
        <v>0</v>
      </c>
      <c r="AP97">
        <f t="shared" si="13"/>
        <v>0</v>
      </c>
      <c r="AR97">
        <v>907609</v>
      </c>
      <c r="AS97">
        <f>SUMIF($B:$B,AR97,$AP:$AP)</f>
        <v>0</v>
      </c>
    </row>
    <row r="98" spans="1:45" ht="15.65" customHeight="1" x14ac:dyDescent="0.35">
      <c r="A98" s="2">
        <v>97</v>
      </c>
      <c r="B98" s="2">
        <v>410851</v>
      </c>
      <c r="C98" s="2" t="s">
        <v>4328</v>
      </c>
      <c r="D98" s="2" t="s">
        <v>71</v>
      </c>
      <c r="E98" s="2">
        <v>1308</v>
      </c>
      <c r="F98" s="2" t="s">
        <v>103</v>
      </c>
      <c r="G98" s="2" t="s">
        <v>47</v>
      </c>
      <c r="H98" s="10">
        <f>SUMIFS('Cutters Consumption Updates'!$F:$F,'Cutters Consumption Updates'!$D:$D,H$1,'Cutters Consumption Updates'!$B:$B,$B98)-SUMIFS('Cutters Consumption Updates'!$E:$E,'Cutters Consumption Updates'!$D:$D,H$1,'Cutters Consumption Updates'!$B:$B,$B98)+ SUMIF('Cutters Consumption Updates'!$AS:$AS,$B98,'Cutters Consumption Updates'!AT:AT)</f>
        <v>0</v>
      </c>
      <c r="I98" s="10">
        <f>SUMIFS('Cutters Consumption Updates'!$F:$F,'Cutters Consumption Updates'!$D:$D,I$1,'Cutters Consumption Updates'!$B:$B,$B98)-SUMIFS('Cutters Consumption Updates'!$E:$E,'Cutters Consumption Updates'!$D:$D,I$1,'Cutters Consumption Updates'!$B:$B,$B98)+ SUMIF('Cutters Consumption Updates'!$AS:$AS,$B98,'Cutters Consumption Updates'!AU:AU)</f>
        <v>0</v>
      </c>
      <c r="J98" s="116">
        <f>SUMIFS('Cutters Consumption Updates'!$F:$F,'Cutters Consumption Updates'!$D:$D,J$1,'Cutters Consumption Updates'!$B:$B,$B98)-SUMIFS('Cutters Consumption Updates'!$E:$E,'Cutters Consumption Updates'!$D:$D,J$1,'Cutters Consumption Updates'!$B:$B,$B98)+ SUMIF('Cutters Consumption Updates'!$AS:$AS,$B98,'Cutters Consumption Updates'!AV:AV)</f>
        <v>0</v>
      </c>
      <c r="K98" s="738">
        <f>SUMIFS('Cutters Consumption Updates'!$F:$F,'Cutters Consumption Updates'!$D:$D,K$1,'Cutters Consumption Updates'!$B:$B,$B98)-SUMIFS('Cutters Consumption Updates'!$E:$E,'Cutters Consumption Updates'!$D:$D,K$1,'Cutters Consumption Updates'!$B:$B,$B98)+ SUMIF('Cutters Consumption Updates'!$AS:$AS,$B98,'Cutters Consumption Updates'!AW:AW)</f>
        <v>0</v>
      </c>
      <c r="L98" s="116">
        <f>SUMIFS('Cutters Consumption Updates'!$F:$F,'Cutters Consumption Updates'!$D:$D,L$1,'Cutters Consumption Updates'!$B:$B,$B98)-SUMIFS('Cutters Consumption Updates'!$E:$E,'Cutters Consumption Updates'!$D:$D,$L$1,'Cutters Consumption Updates'!$B:$B,$B98)+SUMIFS('Cutters Consumption Updates'!$F:$F,'Cutters Consumption Updates'!$D:$D,"Retrofit",'Cutters Consumption Updates'!$B:$B,$B98)-SUMIFS('Cutters Consumption Updates'!$E:$E,'Cutters Consumption Updates'!$D:$D,"Retrofit",'Cutters Consumption Updates'!$B:$B,$B98)+ SUMIF('Cutters Consumption Updates'!$AS:$AS,$B98,'Cutters Consumption Updates'!AX:AX)</f>
        <v>558</v>
      </c>
      <c r="M98" s="810">
        <f t="shared" si="7"/>
        <v>558</v>
      </c>
      <c r="N98" s="810">
        <f ca="1">SUMIFS('Cutters Consumption Updates'!E:E,
        'Cutters Consumption Updates'!B:B, B98,
        'Cutters Consumption Updates'!A:A, "&gt;" &amp; TODAY()-182)</f>
        <v>93</v>
      </c>
      <c r="O98" s="810">
        <f ca="1">SUMIFS('Cutters Consumption Updates'!E:E,
        'Cutters Consumption Updates'!B:B, B98,
        'Cutters Consumption Updates'!A:A, "&gt;" &amp; TODAY()-91)</f>
        <v>40</v>
      </c>
      <c r="P98" s="810">
        <f t="shared" ca="1" si="8"/>
        <v>31</v>
      </c>
      <c r="Q98" s="703">
        <f t="shared" ca="1" si="9"/>
        <v>35</v>
      </c>
      <c r="R98" s="703" t="s">
        <v>29</v>
      </c>
      <c r="S98" s="24">
        <f>IFERROR(INDEX(Table5[],MATCH($B98,Table5[Component],0),2),0)</f>
        <v>570</v>
      </c>
      <c r="T98" s="813">
        <f>SUMIFS(Table7[Balance],Table7[Cutter Mat'#],$B98)</f>
        <v>0</v>
      </c>
      <c r="U98" s="24">
        <f t="shared" si="10"/>
        <v>-12</v>
      </c>
      <c r="V98" s="119"/>
      <c r="W98" s="2"/>
      <c r="Y98" s="4">
        <f>IFERROR(INDEX(Table5[],MATCH($B98,Table5[Component],0),2),0)</f>
        <v>570</v>
      </c>
      <c r="Z98" s="4">
        <f>IFERROR(INDEX(Table5[],MATCH($B98,Table5[Component],0),1),0)</f>
        <v>410851</v>
      </c>
      <c r="AA98" s="4">
        <f>IF(Y98&lt;&gt;0,B98,"")</f>
        <v>410851</v>
      </c>
      <c r="AB98" s="4" t="str">
        <f t="shared" si="11"/>
        <v/>
      </c>
      <c r="AD98" s="4">
        <f t="shared" si="12"/>
        <v>558</v>
      </c>
      <c r="AE98" s="9"/>
      <c r="AI98" s="248" t="str">
        <f>IFERROR(INDEX($B$1:$AK$243,MATCH(W98,$B$1:$B$243,0),13),"")</f>
        <v/>
      </c>
      <c r="AJ98" s="248" t="str">
        <f>IFERROR(INDEX($B$1:$AK$243,MATCH(W98,$B$1:$B$243,0),15),"")</f>
        <v/>
      </c>
      <c r="AK98">
        <f>SUMIF($W$2:$W$243,B98,$S$2:$S$243)</f>
        <v>0</v>
      </c>
      <c r="AP98">
        <f t="shared" si="13"/>
        <v>0</v>
      </c>
      <c r="AR98">
        <v>930925</v>
      </c>
      <c r="AS98">
        <f>SUMIF($B:$B,AR98,$AP:$AP)</f>
        <v>0</v>
      </c>
    </row>
    <row r="99" spans="1:45" ht="15.65" customHeight="1" x14ac:dyDescent="0.35">
      <c r="A99" s="2">
        <v>98</v>
      </c>
      <c r="B99" s="2">
        <v>802063</v>
      </c>
      <c r="C99" s="2" t="s">
        <v>4461</v>
      </c>
      <c r="D99" s="2" t="s">
        <v>27</v>
      </c>
      <c r="E99" s="2">
        <v>1613</v>
      </c>
      <c r="F99" s="2" t="s">
        <v>248</v>
      </c>
      <c r="G99" s="2" t="s">
        <v>28</v>
      </c>
      <c r="H99" s="10">
        <f>SUMIFS('Cutters Consumption Updates'!$F:$F,'Cutters Consumption Updates'!$D:$D,H$1,'Cutters Consumption Updates'!$B:$B,$B99)-SUMIFS('Cutters Consumption Updates'!$E:$E,'Cutters Consumption Updates'!$D:$D,H$1,'Cutters Consumption Updates'!$B:$B,$B99)+ SUMIF('Cutters Consumption Updates'!$AS:$AS,$B99,'Cutters Consumption Updates'!AT:AT)</f>
        <v>0</v>
      </c>
      <c r="I99" s="10">
        <f>SUMIFS('Cutters Consumption Updates'!$F:$F,'Cutters Consumption Updates'!$D:$D,I$1,'Cutters Consumption Updates'!$B:$B,$B99)-SUMIFS('Cutters Consumption Updates'!$E:$E,'Cutters Consumption Updates'!$D:$D,I$1,'Cutters Consumption Updates'!$B:$B,$B99)+ SUMIF('Cutters Consumption Updates'!$AS:$AS,$B99,'Cutters Consumption Updates'!AU:AU)</f>
        <v>0</v>
      </c>
      <c r="J99" s="116">
        <f>SUMIFS('Cutters Consumption Updates'!$F:$F,'Cutters Consumption Updates'!$D:$D,J$1,'Cutters Consumption Updates'!$B:$B,$B99)-SUMIFS('Cutters Consumption Updates'!$E:$E,'Cutters Consumption Updates'!$D:$D,J$1,'Cutters Consumption Updates'!$B:$B,$B99)+ SUMIF('Cutters Consumption Updates'!$AS:$AS,$B99,'Cutters Consumption Updates'!AV:AV)</f>
        <v>0</v>
      </c>
      <c r="K99" s="738">
        <f>SUMIFS('Cutters Consumption Updates'!$F:$F,'Cutters Consumption Updates'!$D:$D,K$1,'Cutters Consumption Updates'!$B:$B,$B99)-SUMIFS('Cutters Consumption Updates'!$E:$E,'Cutters Consumption Updates'!$D:$D,K$1,'Cutters Consumption Updates'!$B:$B,$B99)+ SUMIF('Cutters Consumption Updates'!$AS:$AS,$B99,'Cutters Consumption Updates'!AW:AW)</f>
        <v>0</v>
      </c>
      <c r="L99" s="116">
        <f>SUMIFS('Cutters Consumption Updates'!$F:$F,'Cutters Consumption Updates'!$D:$D,L$1,'Cutters Consumption Updates'!$B:$B,$B99)-SUMIFS('Cutters Consumption Updates'!$E:$E,'Cutters Consumption Updates'!$D:$D,$L$1,'Cutters Consumption Updates'!$B:$B,$B99)+SUMIFS('Cutters Consumption Updates'!$F:$F,'Cutters Consumption Updates'!$D:$D,"Retrofit",'Cutters Consumption Updates'!$B:$B,$B99)-SUMIFS('Cutters Consumption Updates'!$E:$E,'Cutters Consumption Updates'!$D:$D,"Retrofit",'Cutters Consumption Updates'!$B:$B,$B99)+ SUMIF('Cutters Consumption Updates'!$AS:$AS,$B99,'Cutters Consumption Updates'!AX:AX)</f>
        <v>0</v>
      </c>
      <c r="M99" s="810">
        <f t="shared" si="7"/>
        <v>0</v>
      </c>
      <c r="N99" s="810">
        <f ca="1">SUMIFS('Cutters Consumption Updates'!E:E,
        'Cutters Consumption Updates'!B:B, B99,
        'Cutters Consumption Updates'!A:A, "&gt;" &amp; TODAY()-182)</f>
        <v>0</v>
      </c>
      <c r="O99" s="810">
        <f ca="1">SUMIFS('Cutters Consumption Updates'!E:E,
        'Cutters Consumption Updates'!B:B, B99,
        'Cutters Consumption Updates'!A:A, "&gt;" &amp; TODAY()-91)</f>
        <v>0</v>
      </c>
      <c r="P99" s="810">
        <f t="shared" ca="1" si="8"/>
        <v>0</v>
      </c>
      <c r="Q99" s="703">
        <f t="shared" ca="1" si="9"/>
        <v>0</v>
      </c>
      <c r="R99" s="703" t="s">
        <v>64</v>
      </c>
      <c r="S99" s="24">
        <f>IFERROR(INDEX(Table5[],MATCH($B99,Table5[Component],0),2),0)</f>
        <v>0</v>
      </c>
      <c r="T99" s="813">
        <f>SUMIFS(Table7[Balance],Table7[Cutter Mat'#],$B99)</f>
        <v>0</v>
      </c>
      <c r="U99" s="24">
        <f t="shared" si="10"/>
        <v>0</v>
      </c>
      <c r="V99" s="119"/>
      <c r="W99" s="2"/>
      <c r="Y99" s="4">
        <f>IFERROR(INDEX(Table5[],MATCH($B99,Table5[Component],0),2),0)</f>
        <v>0</v>
      </c>
      <c r="Z99" s="4">
        <f>IFERROR(INDEX(Table5[],MATCH($B99,Table5[Component],0),1),0)</f>
        <v>0</v>
      </c>
      <c r="AA99" s="4" t="str">
        <f>IF(Y99&lt;&gt;0,B99,"")</f>
        <v/>
      </c>
      <c r="AB99" s="4" t="str">
        <f t="shared" si="11"/>
        <v/>
      </c>
      <c r="AD99" s="4">
        <f t="shared" si="12"/>
        <v>0</v>
      </c>
      <c r="AE99" s="9"/>
      <c r="AI99" s="248" t="str">
        <f>IFERROR(INDEX($B$1:$AK$243,MATCH(W99,$B$1:$B$243,0),13),"")</f>
        <v/>
      </c>
      <c r="AJ99" s="248" t="str">
        <f>IFERROR(INDEX($B$1:$AK$243,MATCH(W99,$B$1:$B$243,0),15),"")</f>
        <v/>
      </c>
      <c r="AK99">
        <f>SUMIF($W$2:$W$243,B99,$S$2:$S$243)</f>
        <v>0</v>
      </c>
      <c r="AP99">
        <f t="shared" si="13"/>
        <v>0</v>
      </c>
      <c r="AR99">
        <v>932725</v>
      </c>
      <c r="AS99">
        <f>SUMIF($B:$B,AR99,$AP:$AP)</f>
        <v>0</v>
      </c>
    </row>
    <row r="100" spans="1:45" ht="15.65" customHeight="1" x14ac:dyDescent="0.35">
      <c r="A100" s="2">
        <v>99</v>
      </c>
      <c r="B100" s="2">
        <v>794672</v>
      </c>
      <c r="C100" s="2" t="s">
        <v>4329</v>
      </c>
      <c r="D100" s="2" t="s">
        <v>27</v>
      </c>
      <c r="E100" s="2">
        <v>1913</v>
      </c>
      <c r="F100" s="2" t="s">
        <v>253</v>
      </c>
      <c r="G100" s="2" t="s">
        <v>28</v>
      </c>
      <c r="H100" s="10">
        <f>SUMIFS('Cutters Consumption Updates'!$F:$F,'Cutters Consumption Updates'!$D:$D,H$1,'Cutters Consumption Updates'!$B:$B,$B100)-SUMIFS('Cutters Consumption Updates'!$E:$E,'Cutters Consumption Updates'!$D:$D,H$1,'Cutters Consumption Updates'!$B:$B,$B100)+ SUMIF('Cutters Consumption Updates'!$AS:$AS,$B100,'Cutters Consumption Updates'!AT:AT)</f>
        <v>0</v>
      </c>
      <c r="I100" s="10">
        <f>SUMIFS('Cutters Consumption Updates'!$F:$F,'Cutters Consumption Updates'!$D:$D,I$1,'Cutters Consumption Updates'!$B:$B,$B100)-SUMIFS('Cutters Consumption Updates'!$E:$E,'Cutters Consumption Updates'!$D:$D,I$1,'Cutters Consumption Updates'!$B:$B,$B100)+ SUMIF('Cutters Consumption Updates'!$AS:$AS,$B100,'Cutters Consumption Updates'!AU:AU)</f>
        <v>0</v>
      </c>
      <c r="J100" s="116">
        <f>SUMIFS('Cutters Consumption Updates'!$F:$F,'Cutters Consumption Updates'!$D:$D,J$1,'Cutters Consumption Updates'!$B:$B,$B100)-SUMIFS('Cutters Consumption Updates'!$E:$E,'Cutters Consumption Updates'!$D:$D,J$1,'Cutters Consumption Updates'!$B:$B,$B100)+ SUMIF('Cutters Consumption Updates'!$AS:$AS,$B100,'Cutters Consumption Updates'!AV:AV)</f>
        <v>0</v>
      </c>
      <c r="K100" s="738">
        <f>SUMIFS('Cutters Consumption Updates'!$F:$F,'Cutters Consumption Updates'!$D:$D,K$1,'Cutters Consumption Updates'!$B:$B,$B100)-SUMIFS('Cutters Consumption Updates'!$E:$E,'Cutters Consumption Updates'!$D:$D,K$1,'Cutters Consumption Updates'!$B:$B,$B100)+ SUMIF('Cutters Consumption Updates'!$AS:$AS,$B100,'Cutters Consumption Updates'!AW:AW)</f>
        <v>0</v>
      </c>
      <c r="L100" s="116">
        <f>SUMIFS('Cutters Consumption Updates'!$F:$F,'Cutters Consumption Updates'!$D:$D,L$1,'Cutters Consumption Updates'!$B:$B,$B100)-SUMIFS('Cutters Consumption Updates'!$E:$E,'Cutters Consumption Updates'!$D:$D,$L$1,'Cutters Consumption Updates'!$B:$B,$B100)+SUMIFS('Cutters Consumption Updates'!$F:$F,'Cutters Consumption Updates'!$D:$D,"Retrofit",'Cutters Consumption Updates'!$B:$B,$B100)-SUMIFS('Cutters Consumption Updates'!$E:$E,'Cutters Consumption Updates'!$D:$D,"Retrofit",'Cutters Consumption Updates'!$B:$B,$B100)+ SUMIF('Cutters Consumption Updates'!$AS:$AS,$B100,'Cutters Consumption Updates'!AX:AX)</f>
        <v>3</v>
      </c>
      <c r="M100" s="810">
        <f t="shared" si="7"/>
        <v>3</v>
      </c>
      <c r="N100" s="810">
        <f ca="1">SUMIFS('Cutters Consumption Updates'!E:E,
        'Cutters Consumption Updates'!B:B, B100,
        'Cutters Consumption Updates'!A:A, "&gt;" &amp; TODAY()-182)</f>
        <v>0</v>
      </c>
      <c r="O100" s="810">
        <f ca="1">SUMIFS('Cutters Consumption Updates'!E:E,
        'Cutters Consumption Updates'!B:B, B100,
        'Cutters Consumption Updates'!A:A, "&gt;" &amp; TODAY()-91)</f>
        <v>0</v>
      </c>
      <c r="P100" s="810">
        <f t="shared" ca="1" si="8"/>
        <v>0</v>
      </c>
      <c r="Q100" s="703">
        <f t="shared" ca="1" si="9"/>
        <v>0</v>
      </c>
      <c r="R100" s="703" t="s">
        <v>29</v>
      </c>
      <c r="S100" s="24">
        <f>IFERROR(INDEX(Table5[],MATCH($B100,Table5[Component],0),2),0)</f>
        <v>0</v>
      </c>
      <c r="T100" s="813">
        <f>SUMIFS(Table7[Balance],Table7[Cutter Mat'#],$B100)</f>
        <v>0</v>
      </c>
      <c r="U100" s="24">
        <f t="shared" si="10"/>
        <v>3</v>
      </c>
      <c r="V100" s="119"/>
      <c r="W100" s="2"/>
      <c r="Y100" s="4">
        <f>IFERROR(INDEX(Table5[],MATCH($B100,Table5[Component],0),2),0)</f>
        <v>0</v>
      </c>
      <c r="Z100" s="4">
        <f>IFERROR(INDEX(Table5[],MATCH($B100,Table5[Component],0),1),0)</f>
        <v>0</v>
      </c>
      <c r="AA100" s="4" t="str">
        <f>IF(Y100&lt;&gt;0,B100,"")</f>
        <v/>
      </c>
      <c r="AB100" s="4" t="str">
        <f t="shared" si="11"/>
        <v/>
      </c>
      <c r="AD100" s="4">
        <f t="shared" si="12"/>
        <v>3</v>
      </c>
      <c r="AE100" s="9"/>
      <c r="AI100" s="248" t="str">
        <f>IFERROR(INDEX($B$1:$AK$243,MATCH(W100,$B$1:$B$243,0),13),"")</f>
        <v/>
      </c>
      <c r="AJ100" s="248" t="str">
        <f>IFERROR(INDEX($B$1:$AK$243,MATCH(W100,$B$1:$B$243,0),15),"")</f>
        <v/>
      </c>
      <c r="AK100">
        <f>SUMIF($W$2:$W$243,B100,$S$2:$S$243)</f>
        <v>0</v>
      </c>
      <c r="AP100">
        <f t="shared" si="13"/>
        <v>0</v>
      </c>
      <c r="AR100">
        <v>932807</v>
      </c>
      <c r="AS100">
        <f>SUMIF($B:$B,AR100,$AP:$AP)</f>
        <v>0</v>
      </c>
    </row>
    <row r="101" spans="1:45" ht="15.65" customHeight="1" x14ac:dyDescent="0.35">
      <c r="A101" s="2">
        <v>100</v>
      </c>
      <c r="B101" s="2">
        <v>755889</v>
      </c>
      <c r="C101" s="2" t="s">
        <v>4330</v>
      </c>
      <c r="D101" s="2" t="s">
        <v>53</v>
      </c>
      <c r="E101" s="2" t="s">
        <v>4249</v>
      </c>
      <c r="F101" s="2" t="s">
        <v>248</v>
      </c>
      <c r="G101" s="2" t="s">
        <v>47</v>
      </c>
      <c r="H101" s="10">
        <f>SUMIFS('Cutters Consumption Updates'!$F:$F,'Cutters Consumption Updates'!$D:$D,H$1,'Cutters Consumption Updates'!$B:$B,$B101)-SUMIFS('Cutters Consumption Updates'!$E:$E,'Cutters Consumption Updates'!$D:$D,H$1,'Cutters Consumption Updates'!$B:$B,$B101)+ SUMIF('Cutters Consumption Updates'!$AS:$AS,$B101,'Cutters Consumption Updates'!AT:AT)</f>
        <v>0</v>
      </c>
      <c r="I101" s="10">
        <f>SUMIFS('Cutters Consumption Updates'!$F:$F,'Cutters Consumption Updates'!$D:$D,I$1,'Cutters Consumption Updates'!$B:$B,$B101)-SUMIFS('Cutters Consumption Updates'!$E:$E,'Cutters Consumption Updates'!$D:$D,I$1,'Cutters Consumption Updates'!$B:$B,$B101)+ SUMIF('Cutters Consumption Updates'!$AS:$AS,$B101,'Cutters Consumption Updates'!AU:AU)</f>
        <v>0</v>
      </c>
      <c r="J101" s="116">
        <f>SUMIFS('Cutters Consumption Updates'!$F:$F,'Cutters Consumption Updates'!$D:$D,J$1,'Cutters Consumption Updates'!$B:$B,$B101)-SUMIFS('Cutters Consumption Updates'!$E:$E,'Cutters Consumption Updates'!$D:$D,J$1,'Cutters Consumption Updates'!$B:$B,$B101)+ SUMIF('Cutters Consumption Updates'!$AS:$AS,$B101,'Cutters Consumption Updates'!AV:AV)</f>
        <v>0</v>
      </c>
      <c r="K101" s="738">
        <f>SUMIFS('Cutters Consumption Updates'!$F:$F,'Cutters Consumption Updates'!$D:$D,K$1,'Cutters Consumption Updates'!$B:$B,$B101)-SUMIFS('Cutters Consumption Updates'!$E:$E,'Cutters Consumption Updates'!$D:$D,K$1,'Cutters Consumption Updates'!$B:$B,$B101)+ SUMIF('Cutters Consumption Updates'!$AS:$AS,$B101,'Cutters Consumption Updates'!AW:AW)</f>
        <v>0</v>
      </c>
      <c r="L101" s="116">
        <f>SUMIFS('Cutters Consumption Updates'!$F:$F,'Cutters Consumption Updates'!$D:$D,L$1,'Cutters Consumption Updates'!$B:$B,$B101)-SUMIFS('Cutters Consumption Updates'!$E:$E,'Cutters Consumption Updates'!$D:$D,$L$1,'Cutters Consumption Updates'!$B:$B,$B101)+SUMIFS('Cutters Consumption Updates'!$F:$F,'Cutters Consumption Updates'!$D:$D,"Retrofit",'Cutters Consumption Updates'!$B:$B,$B101)-SUMIFS('Cutters Consumption Updates'!$E:$E,'Cutters Consumption Updates'!$D:$D,"Retrofit",'Cutters Consumption Updates'!$B:$B,$B101)+ SUMIF('Cutters Consumption Updates'!$AS:$AS,$B101,'Cutters Consumption Updates'!AX:AX)</f>
        <v>15</v>
      </c>
      <c r="M101" s="810">
        <f t="shared" si="7"/>
        <v>15</v>
      </c>
      <c r="N101" s="810">
        <f ca="1">SUMIFS('Cutters Consumption Updates'!E:E,
        'Cutters Consumption Updates'!B:B, B101,
        'Cutters Consumption Updates'!A:A, "&gt;" &amp; TODAY()-182)</f>
        <v>0</v>
      </c>
      <c r="O101" s="810">
        <f ca="1">SUMIFS('Cutters Consumption Updates'!E:E,
        'Cutters Consumption Updates'!B:B, B101,
        'Cutters Consumption Updates'!A:A, "&gt;" &amp; TODAY()-91)</f>
        <v>0</v>
      </c>
      <c r="P101" s="810">
        <f t="shared" ca="1" si="8"/>
        <v>0</v>
      </c>
      <c r="Q101" s="703">
        <f t="shared" ca="1" si="9"/>
        <v>0</v>
      </c>
      <c r="R101" s="703" t="s">
        <v>29</v>
      </c>
      <c r="S101" s="24">
        <f>IFERROR(INDEX(Table5[],MATCH($B101,Table5[Component],0),2),0)</f>
        <v>0</v>
      </c>
      <c r="T101" s="813">
        <f>SUMIFS(Table7[Balance],Table7[Cutter Mat'#],$B101)</f>
        <v>0</v>
      </c>
      <c r="U101" s="24">
        <f t="shared" si="10"/>
        <v>15</v>
      </c>
      <c r="V101" s="119"/>
      <c r="W101" s="2"/>
      <c r="Y101" s="4">
        <f>IFERROR(INDEX(Table5[],MATCH($B101,Table5[Component],0),2),0)</f>
        <v>0</v>
      </c>
      <c r="Z101" s="4">
        <f>IFERROR(INDEX(Table5[],MATCH($B101,Table5[Component],0),1),0)</f>
        <v>0</v>
      </c>
      <c r="AA101" s="4" t="str">
        <f>IF(Y101&lt;&gt;0,B101,"")</f>
        <v/>
      </c>
      <c r="AB101" s="4" t="str">
        <f t="shared" si="11"/>
        <v/>
      </c>
      <c r="AD101" s="4">
        <f t="shared" si="12"/>
        <v>15</v>
      </c>
      <c r="AE101" s="9"/>
      <c r="AI101" s="248" t="str">
        <f>IFERROR(INDEX($B$1:$AK$243,MATCH(W101,$B$1:$B$243,0),13),"")</f>
        <v/>
      </c>
      <c r="AJ101" s="248" t="str">
        <f>IFERROR(INDEX($B$1:$AK$243,MATCH(W101,$B$1:$B$243,0),15),"")</f>
        <v/>
      </c>
      <c r="AK101">
        <f>SUMIF($W$2:$W$243,B101,$S$2:$S$243)</f>
        <v>0</v>
      </c>
      <c r="AP101">
        <f t="shared" si="13"/>
        <v>0</v>
      </c>
      <c r="AR101">
        <v>932811</v>
      </c>
      <c r="AS101">
        <f>SUMIF($B:$B,AR101,$AP:$AP)</f>
        <v>0</v>
      </c>
    </row>
    <row r="102" spans="1:45" ht="15.65" customHeight="1" x14ac:dyDescent="0.35">
      <c r="A102" s="2">
        <v>101</v>
      </c>
      <c r="B102" s="2">
        <v>853550</v>
      </c>
      <c r="C102" s="2" t="s">
        <v>4331</v>
      </c>
      <c r="D102" s="2" t="s">
        <v>92</v>
      </c>
      <c r="E102" s="2">
        <v>1313</v>
      </c>
      <c r="F102" s="2" t="s">
        <v>253</v>
      </c>
      <c r="G102" s="2" t="s">
        <v>4314</v>
      </c>
      <c r="H102" s="10">
        <f>SUMIFS('Cutters Consumption Updates'!$F:$F,'Cutters Consumption Updates'!$D:$D,H$1,'Cutters Consumption Updates'!$B:$B,$B102)-SUMIFS('Cutters Consumption Updates'!$E:$E,'Cutters Consumption Updates'!$D:$D,H$1,'Cutters Consumption Updates'!$B:$B,$B102)+ SUMIF('Cutters Consumption Updates'!$AS:$AS,$B102,'Cutters Consumption Updates'!AT:AT)</f>
        <v>0</v>
      </c>
      <c r="I102" s="10">
        <f>SUMIFS('Cutters Consumption Updates'!$F:$F,'Cutters Consumption Updates'!$D:$D,I$1,'Cutters Consumption Updates'!$B:$B,$B102)-SUMIFS('Cutters Consumption Updates'!$E:$E,'Cutters Consumption Updates'!$D:$D,I$1,'Cutters Consumption Updates'!$B:$B,$B102)+ SUMIF('Cutters Consumption Updates'!$AS:$AS,$B102,'Cutters Consumption Updates'!AU:AU)</f>
        <v>0</v>
      </c>
      <c r="J102" s="116">
        <f>SUMIFS('Cutters Consumption Updates'!$F:$F,'Cutters Consumption Updates'!$D:$D,J$1,'Cutters Consumption Updates'!$B:$B,$B102)-SUMIFS('Cutters Consumption Updates'!$E:$E,'Cutters Consumption Updates'!$D:$D,J$1,'Cutters Consumption Updates'!$B:$B,$B102)+ SUMIF('Cutters Consumption Updates'!$AS:$AS,$B102,'Cutters Consumption Updates'!AV:AV)</f>
        <v>0</v>
      </c>
      <c r="K102" s="738">
        <f>SUMIFS('Cutters Consumption Updates'!$F:$F,'Cutters Consumption Updates'!$D:$D,K$1,'Cutters Consumption Updates'!$B:$B,$B102)-SUMIFS('Cutters Consumption Updates'!$E:$E,'Cutters Consumption Updates'!$D:$D,K$1,'Cutters Consumption Updates'!$B:$B,$B102)+ SUMIF('Cutters Consumption Updates'!$AS:$AS,$B102,'Cutters Consumption Updates'!AW:AW)</f>
        <v>6</v>
      </c>
      <c r="L102" s="116">
        <f>SUMIFS('Cutters Consumption Updates'!$F:$F,'Cutters Consumption Updates'!$D:$D,L$1,'Cutters Consumption Updates'!$B:$B,$B102)-SUMIFS('Cutters Consumption Updates'!$E:$E,'Cutters Consumption Updates'!$D:$D,$L$1,'Cutters Consumption Updates'!$B:$B,$B102)+SUMIFS('Cutters Consumption Updates'!$F:$F,'Cutters Consumption Updates'!$D:$D,"Retrofit",'Cutters Consumption Updates'!$B:$B,$B102)-SUMIFS('Cutters Consumption Updates'!$E:$E,'Cutters Consumption Updates'!$D:$D,"Retrofit",'Cutters Consumption Updates'!$B:$B,$B102)+ SUMIF('Cutters Consumption Updates'!$AS:$AS,$B102,'Cutters Consumption Updates'!AX:AX)</f>
        <v>0</v>
      </c>
      <c r="M102" s="810">
        <f t="shared" si="7"/>
        <v>0</v>
      </c>
      <c r="N102" s="810">
        <f ca="1">SUMIFS('Cutters Consumption Updates'!E:E,
        'Cutters Consumption Updates'!B:B, B102,
        'Cutters Consumption Updates'!A:A, "&gt;" &amp; TODAY()-182)</f>
        <v>6</v>
      </c>
      <c r="O102" s="810">
        <f ca="1">SUMIFS('Cutters Consumption Updates'!E:E,
        'Cutters Consumption Updates'!B:B, B102,
        'Cutters Consumption Updates'!A:A, "&gt;" &amp; TODAY()-91)</f>
        <v>6</v>
      </c>
      <c r="P102" s="810">
        <f t="shared" ca="1" si="8"/>
        <v>2</v>
      </c>
      <c r="Q102" s="703">
        <f t="shared" ca="1" si="9"/>
        <v>5</v>
      </c>
      <c r="R102" s="703" t="s">
        <v>29</v>
      </c>
      <c r="S102" s="24">
        <f>IFERROR(INDEX(Table5[],MATCH($B102,Table5[Component],0),2),0)</f>
        <v>0</v>
      </c>
      <c r="T102" s="813">
        <f>SUMIFS(Table7[Balance],Table7[Cutter Mat'#],$B102)</f>
        <v>0</v>
      </c>
      <c r="U102" s="24">
        <f t="shared" si="10"/>
        <v>0</v>
      </c>
      <c r="V102" s="119"/>
      <c r="W102" s="2"/>
      <c r="Y102" s="4">
        <f>IFERROR(INDEX(Table5[],MATCH($B102,Table5[Component],0),2),0)</f>
        <v>0</v>
      </c>
      <c r="Z102" s="4">
        <f>IFERROR(INDEX(Table5[],MATCH($B102,Table5[Component],0),1),0)</f>
        <v>0</v>
      </c>
      <c r="AA102" s="4" t="str">
        <f>IF(Y102&lt;&gt;0,B102,"")</f>
        <v/>
      </c>
      <c r="AB102" s="4" t="str">
        <f t="shared" si="11"/>
        <v/>
      </c>
      <c r="AD102" s="4">
        <f t="shared" si="12"/>
        <v>0</v>
      </c>
      <c r="AE102" s="9"/>
      <c r="AI102" s="248" t="str">
        <f>IFERROR(INDEX($B$1:$AK$243,MATCH(W102,$B$1:$B$243,0),13),"")</f>
        <v/>
      </c>
      <c r="AJ102" s="248" t="str">
        <f>IFERROR(INDEX($B$1:$AK$243,MATCH(W102,$B$1:$B$243,0),15),"")</f>
        <v/>
      </c>
      <c r="AK102">
        <f>SUMIF($W$2:$W$243,B102,$S$2:$S$243)</f>
        <v>0</v>
      </c>
      <c r="AP102">
        <f t="shared" si="13"/>
        <v>0</v>
      </c>
      <c r="AR102">
        <v>933120</v>
      </c>
      <c r="AS102">
        <f>SUMIF($B:$B,AR102,$AP:$AP)</f>
        <v>0</v>
      </c>
    </row>
    <row r="103" spans="1:45" ht="15.65" customHeight="1" x14ac:dyDescent="0.35">
      <c r="A103" s="2">
        <v>102</v>
      </c>
      <c r="B103" s="2">
        <v>933120</v>
      </c>
      <c r="C103" s="807" t="s">
        <v>4462</v>
      </c>
      <c r="D103" s="807" t="s">
        <v>78</v>
      </c>
      <c r="E103" s="807">
        <v>1613</v>
      </c>
      <c r="F103" s="807" t="s">
        <v>253</v>
      </c>
      <c r="G103" s="807" t="s">
        <v>47</v>
      </c>
      <c r="H103" s="10">
        <f>SUMIFS('Cutters Consumption Updates'!$F:$F,'Cutters Consumption Updates'!$D:$D,H$1,'Cutters Consumption Updates'!$B:$B,$B103)-SUMIFS('Cutters Consumption Updates'!$E:$E,'Cutters Consumption Updates'!$D:$D,H$1,'Cutters Consumption Updates'!$B:$B,$B103)+ SUMIF('Cutters Consumption Updates'!$AS:$AS,$B103,'Cutters Consumption Updates'!AT:AT)</f>
        <v>0</v>
      </c>
      <c r="I103" s="10">
        <f>SUMIFS('Cutters Consumption Updates'!$F:$F,'Cutters Consumption Updates'!$D:$D,I$1,'Cutters Consumption Updates'!$B:$B,$B103)-SUMIFS('Cutters Consumption Updates'!$E:$E,'Cutters Consumption Updates'!$D:$D,I$1,'Cutters Consumption Updates'!$B:$B,$B103)+ SUMIF('Cutters Consumption Updates'!$AS:$AS,$B103,'Cutters Consumption Updates'!AU:AU)</f>
        <v>0</v>
      </c>
      <c r="J103" s="116">
        <f>SUMIFS('Cutters Consumption Updates'!$F:$F,'Cutters Consumption Updates'!$D:$D,J$1,'Cutters Consumption Updates'!$B:$B,$B103)-SUMIFS('Cutters Consumption Updates'!$E:$E,'Cutters Consumption Updates'!$D:$D,J$1,'Cutters Consumption Updates'!$B:$B,$B103)+ SUMIF('Cutters Consumption Updates'!$AS:$AS,$B103,'Cutters Consumption Updates'!AV:AV)</f>
        <v>0</v>
      </c>
      <c r="K103" s="738">
        <f>SUMIFS('Cutters Consumption Updates'!$F:$F,'Cutters Consumption Updates'!$D:$D,K$1,'Cutters Consumption Updates'!$B:$B,$B103)-SUMIFS('Cutters Consumption Updates'!$E:$E,'Cutters Consumption Updates'!$D:$D,K$1,'Cutters Consumption Updates'!$B:$B,$B103)+ SUMIF('Cutters Consumption Updates'!$AS:$AS,$B103,'Cutters Consumption Updates'!AW:AW)</f>
        <v>0</v>
      </c>
      <c r="L103" s="116">
        <f>SUMIFS('Cutters Consumption Updates'!$F:$F,'Cutters Consumption Updates'!$D:$D,L$1,'Cutters Consumption Updates'!$B:$B,$B103)-SUMIFS('Cutters Consumption Updates'!$E:$E,'Cutters Consumption Updates'!$D:$D,$L$1,'Cutters Consumption Updates'!$B:$B,$B103)+SUMIFS('Cutters Consumption Updates'!$F:$F,'Cutters Consumption Updates'!$D:$D,"Retrofit",'Cutters Consumption Updates'!$B:$B,$B103)-SUMIFS('Cutters Consumption Updates'!$E:$E,'Cutters Consumption Updates'!$D:$D,"Retrofit",'Cutters Consumption Updates'!$B:$B,$B103)+ SUMIF('Cutters Consumption Updates'!$AS:$AS,$B103,'Cutters Consumption Updates'!AX:AX)</f>
        <v>0</v>
      </c>
      <c r="M103" s="810">
        <f t="shared" si="7"/>
        <v>0</v>
      </c>
      <c r="N103" s="810">
        <f ca="1">SUMIFS('Cutters Consumption Updates'!E:E,
        'Cutters Consumption Updates'!B:B, B103,
        'Cutters Consumption Updates'!A:A, "&gt;" &amp; TODAY()-182)</f>
        <v>0</v>
      </c>
      <c r="O103" s="810">
        <f ca="1">SUMIFS('Cutters Consumption Updates'!E:E,
        'Cutters Consumption Updates'!B:B, B103,
        'Cutters Consumption Updates'!A:A, "&gt;" &amp; TODAY()-91)</f>
        <v>0</v>
      </c>
      <c r="P103" s="810">
        <f t="shared" ca="1" si="8"/>
        <v>0</v>
      </c>
      <c r="Q103" s="703">
        <f t="shared" ca="1" si="9"/>
        <v>0</v>
      </c>
      <c r="R103" s="703" t="s">
        <v>29</v>
      </c>
      <c r="S103" s="24">
        <f>IFERROR(INDEX(Table5[],MATCH($B103,Table5[Component],0),2),0)</f>
        <v>0</v>
      </c>
      <c r="T103" s="813">
        <f>SUMIFS(Table7[Balance],Table7[Cutter Mat'#],$B103)</f>
        <v>0</v>
      </c>
      <c r="U103" s="24">
        <f t="shared" si="10"/>
        <v>0</v>
      </c>
      <c r="V103" s="119"/>
      <c r="W103" s="2"/>
      <c r="Y103" s="4">
        <f>IFERROR(INDEX(Table5[],MATCH($B103,Table5[Component],0),2),0)</f>
        <v>0</v>
      </c>
      <c r="Z103" s="4">
        <f>IFERROR(INDEX(Table5[],MATCH($B103,Table5[Component],0),1),0)</f>
        <v>0</v>
      </c>
      <c r="AA103" s="4" t="str">
        <f>IF(Y103&lt;&gt;0,B103,"")</f>
        <v/>
      </c>
      <c r="AB103" s="4" t="str">
        <f t="shared" si="11"/>
        <v/>
      </c>
      <c r="AD103" s="4">
        <f t="shared" si="12"/>
        <v>0</v>
      </c>
      <c r="AE103" s="9"/>
      <c r="AI103" s="248" t="str">
        <f>IFERROR(INDEX($B$1:$AK$243,MATCH(W103,$B$1:$B$243,0),13),"")</f>
        <v/>
      </c>
      <c r="AJ103" s="248" t="str">
        <f>IFERROR(INDEX($B$1:$AK$243,MATCH(W103,$B$1:$B$243,0),15),"")</f>
        <v/>
      </c>
      <c r="AK103">
        <f>SUMIF($W$2:$W$243,B103,$S$2:$S$243)</f>
        <v>0</v>
      </c>
      <c r="AP103">
        <f t="shared" si="13"/>
        <v>0</v>
      </c>
      <c r="AR103">
        <v>971055</v>
      </c>
      <c r="AS103">
        <f>SUMIF($B:$B,AR103,$AP:$AP)</f>
        <v>0</v>
      </c>
    </row>
    <row r="104" spans="1:45" ht="15.65" customHeight="1" x14ac:dyDescent="0.35">
      <c r="A104" s="2">
        <v>103</v>
      </c>
      <c r="B104" s="2">
        <v>971093</v>
      </c>
      <c r="C104" s="2" t="s">
        <v>4332</v>
      </c>
      <c r="D104" s="2" t="s">
        <v>86</v>
      </c>
      <c r="E104" s="2" t="s">
        <v>4249</v>
      </c>
      <c r="F104" s="2" t="s">
        <v>253</v>
      </c>
      <c r="G104" s="2" t="s">
        <v>47</v>
      </c>
      <c r="H104" s="10">
        <f>SUMIFS('Cutters Consumption Updates'!$F:$F,'Cutters Consumption Updates'!$D:$D,H$1,'Cutters Consumption Updates'!$B:$B,$B104)-SUMIFS('Cutters Consumption Updates'!$E:$E,'Cutters Consumption Updates'!$D:$D,H$1,'Cutters Consumption Updates'!$B:$B,$B104)+ SUMIF('Cutters Consumption Updates'!$AS:$AS,$B104,'Cutters Consumption Updates'!AT:AT)</f>
        <v>0</v>
      </c>
      <c r="I104" s="10">
        <f>SUMIFS('Cutters Consumption Updates'!$F:$F,'Cutters Consumption Updates'!$D:$D,I$1,'Cutters Consumption Updates'!$B:$B,$B104)-SUMIFS('Cutters Consumption Updates'!$E:$E,'Cutters Consumption Updates'!$D:$D,I$1,'Cutters Consumption Updates'!$B:$B,$B104)+ SUMIF('Cutters Consumption Updates'!$AS:$AS,$B104,'Cutters Consumption Updates'!AU:AU)</f>
        <v>0</v>
      </c>
      <c r="J104" s="116">
        <f>SUMIFS('Cutters Consumption Updates'!$F:$F,'Cutters Consumption Updates'!$D:$D,J$1,'Cutters Consumption Updates'!$B:$B,$B104)-SUMIFS('Cutters Consumption Updates'!$E:$E,'Cutters Consumption Updates'!$D:$D,J$1,'Cutters Consumption Updates'!$B:$B,$B104)+ SUMIF('Cutters Consumption Updates'!$AS:$AS,$B104,'Cutters Consumption Updates'!AV:AV)</f>
        <v>0</v>
      </c>
      <c r="K104" s="738">
        <f>SUMIFS('Cutters Consumption Updates'!$F:$F,'Cutters Consumption Updates'!$D:$D,K$1,'Cutters Consumption Updates'!$B:$B,$B104)-SUMIFS('Cutters Consumption Updates'!$E:$E,'Cutters Consumption Updates'!$D:$D,K$1,'Cutters Consumption Updates'!$B:$B,$B104)+ SUMIF('Cutters Consumption Updates'!$AS:$AS,$B104,'Cutters Consumption Updates'!AW:AW)</f>
        <v>0</v>
      </c>
      <c r="L104" s="116">
        <f>SUMIFS('Cutters Consumption Updates'!$F:$F,'Cutters Consumption Updates'!$D:$D,L$1,'Cutters Consumption Updates'!$B:$B,$B104)-SUMIFS('Cutters Consumption Updates'!$E:$E,'Cutters Consumption Updates'!$D:$D,$L$1,'Cutters Consumption Updates'!$B:$B,$B104)+SUMIFS('Cutters Consumption Updates'!$F:$F,'Cutters Consumption Updates'!$D:$D,"Retrofit",'Cutters Consumption Updates'!$B:$B,$B104)-SUMIFS('Cutters Consumption Updates'!$E:$E,'Cutters Consumption Updates'!$D:$D,"Retrofit",'Cutters Consumption Updates'!$B:$B,$B104)+ SUMIF('Cutters Consumption Updates'!$AS:$AS,$B104,'Cutters Consumption Updates'!AX:AX)</f>
        <v>2</v>
      </c>
      <c r="M104" s="810">
        <f t="shared" si="7"/>
        <v>2</v>
      </c>
      <c r="N104" s="810">
        <f ca="1">SUMIFS('Cutters Consumption Updates'!E:E,
        'Cutters Consumption Updates'!B:B, B104,
        'Cutters Consumption Updates'!A:A, "&gt;" &amp; TODAY()-182)</f>
        <v>0</v>
      </c>
      <c r="O104" s="810">
        <f ca="1">SUMIFS('Cutters Consumption Updates'!E:E,
        'Cutters Consumption Updates'!B:B, B104,
        'Cutters Consumption Updates'!A:A, "&gt;" &amp; TODAY()-91)</f>
        <v>0</v>
      </c>
      <c r="P104" s="810">
        <f t="shared" ca="1" si="8"/>
        <v>0</v>
      </c>
      <c r="Q104" s="703">
        <f t="shared" ca="1" si="9"/>
        <v>0</v>
      </c>
      <c r="R104" s="703" t="s">
        <v>29</v>
      </c>
      <c r="S104" s="24">
        <f>IFERROR(INDEX(Table5[],MATCH($B104,Table5[Component],0),2),0)</f>
        <v>0</v>
      </c>
      <c r="T104" s="813">
        <f>SUMIFS(Table7[Balance],Table7[Cutter Mat'#],$B104)</f>
        <v>0</v>
      </c>
      <c r="U104" s="24">
        <f t="shared" si="10"/>
        <v>2</v>
      </c>
      <c r="V104" s="119"/>
      <c r="W104" s="2"/>
      <c r="Y104" s="4">
        <f>IFERROR(INDEX(Table5[],MATCH($B104,Table5[Component],0),2),0)</f>
        <v>0</v>
      </c>
      <c r="Z104" s="4">
        <f>IFERROR(INDEX(Table5[],MATCH($B104,Table5[Component],0),1),0)</f>
        <v>0</v>
      </c>
      <c r="AA104" s="4" t="str">
        <f>IF(Y104&lt;&gt;0,B104,"")</f>
        <v/>
      </c>
      <c r="AB104" s="4" t="str">
        <f t="shared" si="11"/>
        <v/>
      </c>
      <c r="AD104" s="4">
        <f t="shared" si="12"/>
        <v>2</v>
      </c>
      <c r="AE104" s="9"/>
      <c r="AI104" s="248" t="str">
        <f>IFERROR(INDEX($B$1:$AK$243,MATCH(W104,$B$1:$B$243,0),13),"")</f>
        <v/>
      </c>
      <c r="AJ104" s="248" t="str">
        <f>IFERROR(INDEX($B$1:$AK$243,MATCH(W104,$B$1:$B$243,0),15),"")</f>
        <v/>
      </c>
      <c r="AK104">
        <f>SUMIF($W$2:$W$243,B104,$S$2:$S$243)</f>
        <v>0</v>
      </c>
      <c r="AP104">
        <f t="shared" si="13"/>
        <v>0</v>
      </c>
      <c r="AR104">
        <v>971088</v>
      </c>
      <c r="AS104">
        <f>SUMIF($B:$B,AR104,$AP:$AP)</f>
        <v>0</v>
      </c>
    </row>
    <row r="105" spans="1:45" ht="15.65" customHeight="1" x14ac:dyDescent="0.35">
      <c r="A105" s="2">
        <v>104</v>
      </c>
      <c r="B105" s="2">
        <v>1086351</v>
      </c>
      <c r="C105" s="2" t="s">
        <v>4333</v>
      </c>
      <c r="D105" s="2" t="s">
        <v>100</v>
      </c>
      <c r="E105" s="2">
        <v>1316</v>
      </c>
      <c r="F105" s="2" t="s">
        <v>103</v>
      </c>
      <c r="G105" s="2" t="s">
        <v>36</v>
      </c>
      <c r="H105" s="10">
        <f>SUMIFS('Cutters Consumption Updates'!$F:$F,'Cutters Consumption Updates'!$D:$D,H$1,'Cutters Consumption Updates'!$B:$B,$B105)-SUMIFS('Cutters Consumption Updates'!$E:$E,'Cutters Consumption Updates'!$D:$D,H$1,'Cutters Consumption Updates'!$B:$B,$B105)+ SUMIF('Cutters Consumption Updates'!$AS:$AS,$B105,'Cutters Consumption Updates'!AT:AT)</f>
        <v>0</v>
      </c>
      <c r="I105" s="10">
        <f>SUMIFS('Cutters Consumption Updates'!$F:$F,'Cutters Consumption Updates'!$D:$D,I$1,'Cutters Consumption Updates'!$B:$B,$B105)-SUMIFS('Cutters Consumption Updates'!$E:$E,'Cutters Consumption Updates'!$D:$D,I$1,'Cutters Consumption Updates'!$B:$B,$B105)+ SUMIF('Cutters Consumption Updates'!$AS:$AS,$B105,'Cutters Consumption Updates'!AU:AU)</f>
        <v>0</v>
      </c>
      <c r="J105" s="116">
        <f>SUMIFS('Cutters Consumption Updates'!$F:$F,'Cutters Consumption Updates'!$D:$D,J$1,'Cutters Consumption Updates'!$B:$B,$B105)-SUMIFS('Cutters Consumption Updates'!$E:$E,'Cutters Consumption Updates'!$D:$D,J$1,'Cutters Consumption Updates'!$B:$B,$B105)+ SUMIF('Cutters Consumption Updates'!$AS:$AS,$B105,'Cutters Consumption Updates'!AV:AV)</f>
        <v>0</v>
      </c>
      <c r="K105" s="738">
        <f>SUMIFS('Cutters Consumption Updates'!$F:$F,'Cutters Consumption Updates'!$D:$D,K$1,'Cutters Consumption Updates'!$B:$B,$B105)-SUMIFS('Cutters Consumption Updates'!$E:$E,'Cutters Consumption Updates'!$D:$D,K$1,'Cutters Consumption Updates'!$B:$B,$B105)+ SUMIF('Cutters Consumption Updates'!$AS:$AS,$B105,'Cutters Consumption Updates'!AW:AW)</f>
        <v>3</v>
      </c>
      <c r="L105" s="116">
        <f>SUMIFS('Cutters Consumption Updates'!$F:$F,'Cutters Consumption Updates'!$D:$D,L$1,'Cutters Consumption Updates'!$B:$B,$B105)-SUMIFS('Cutters Consumption Updates'!$E:$E,'Cutters Consumption Updates'!$D:$D,$L$1,'Cutters Consumption Updates'!$B:$B,$B105)+SUMIFS('Cutters Consumption Updates'!$F:$F,'Cutters Consumption Updates'!$D:$D,"Retrofit",'Cutters Consumption Updates'!$B:$B,$B105)-SUMIFS('Cutters Consumption Updates'!$E:$E,'Cutters Consumption Updates'!$D:$D,"Retrofit",'Cutters Consumption Updates'!$B:$B,$B105)+ SUMIF('Cutters Consumption Updates'!$AS:$AS,$B105,'Cutters Consumption Updates'!AX:AX)</f>
        <v>1</v>
      </c>
      <c r="M105" s="810">
        <f t="shared" si="7"/>
        <v>1</v>
      </c>
      <c r="N105" s="810">
        <f ca="1">SUMIFS('Cutters Consumption Updates'!E:E,
        'Cutters Consumption Updates'!B:B, B105,
        'Cutters Consumption Updates'!A:A, "&gt;" &amp; TODAY()-182)</f>
        <v>0</v>
      </c>
      <c r="O105" s="810">
        <f ca="1">SUMIFS('Cutters Consumption Updates'!E:E,
        'Cutters Consumption Updates'!B:B, B105,
        'Cutters Consumption Updates'!A:A, "&gt;" &amp; TODAY()-91)</f>
        <v>0</v>
      </c>
      <c r="P105" s="810">
        <f t="shared" ca="1" si="8"/>
        <v>0</v>
      </c>
      <c r="Q105" s="703">
        <f t="shared" ca="1" si="9"/>
        <v>0</v>
      </c>
      <c r="R105" s="703" t="s">
        <v>29</v>
      </c>
      <c r="S105" s="24">
        <f>IFERROR(INDEX(Table5[],MATCH($B105,Table5[Component],0),2),0)</f>
        <v>0</v>
      </c>
      <c r="T105" s="813">
        <f>SUMIFS(Table7[Balance],Table7[Cutter Mat'#],$B105)</f>
        <v>0</v>
      </c>
      <c r="U105" s="24">
        <f t="shared" si="10"/>
        <v>1</v>
      </c>
      <c r="V105" s="119"/>
      <c r="W105" s="2"/>
      <c r="Y105" s="4">
        <f>IFERROR(INDEX(Table5[],MATCH($B105,Table5[Component],0),2),0)</f>
        <v>0</v>
      </c>
      <c r="Z105" s="4">
        <f>IFERROR(INDEX(Table5[],MATCH($B105,Table5[Component],0),1),0)</f>
        <v>0</v>
      </c>
      <c r="AA105" s="4" t="str">
        <f>IF(Y105&lt;&gt;0,B105,"")</f>
        <v/>
      </c>
      <c r="AB105" s="4" t="str">
        <f t="shared" si="11"/>
        <v/>
      </c>
      <c r="AD105" s="4">
        <f t="shared" si="12"/>
        <v>1</v>
      </c>
      <c r="AE105" s="9"/>
      <c r="AI105" s="248" t="str">
        <f>IFERROR(INDEX($B$1:$AK$243,MATCH(W105,$B$1:$B$243,0),13),"")</f>
        <v/>
      </c>
      <c r="AJ105" s="248" t="str">
        <f>IFERROR(INDEX($B$1:$AK$243,MATCH(W105,$B$1:$B$243,0),15),"")</f>
        <v/>
      </c>
      <c r="AK105">
        <f>SUMIF($W$2:$W$243,B105,$S$2:$S$243)</f>
        <v>0</v>
      </c>
      <c r="AP105">
        <f t="shared" si="13"/>
        <v>0</v>
      </c>
      <c r="AR105">
        <v>971093</v>
      </c>
      <c r="AS105">
        <f>SUMIF($B:$B,AR105,$AP:$AP)</f>
        <v>0</v>
      </c>
    </row>
    <row r="106" spans="1:45" ht="15.65" customHeight="1" x14ac:dyDescent="0.35">
      <c r="A106" s="2">
        <v>105</v>
      </c>
      <c r="B106" s="2">
        <v>632948</v>
      </c>
      <c r="C106" s="2">
        <v>1313</v>
      </c>
      <c r="D106" s="2" t="e">
        <v>#N/A</v>
      </c>
      <c r="E106" s="2" t="e">
        <v>#N/A</v>
      </c>
      <c r="F106" s="2" t="e">
        <v>#N/A</v>
      </c>
      <c r="G106" s="806" t="e">
        <v>#N/A</v>
      </c>
      <c r="H106" s="10">
        <f>SUMIFS('Cutters Consumption Updates'!$F:$F,'Cutters Consumption Updates'!$D:$D,H$1,'Cutters Consumption Updates'!$B:$B,$B106)-SUMIFS('Cutters Consumption Updates'!$E:$E,'Cutters Consumption Updates'!$D:$D,H$1,'Cutters Consumption Updates'!$B:$B,$B106)+ SUMIF('Cutters Consumption Updates'!$AS:$AS,$B106,'Cutters Consumption Updates'!AT:AT)</f>
        <v>0</v>
      </c>
      <c r="I106" s="10">
        <f>SUMIFS('Cutters Consumption Updates'!$F:$F,'Cutters Consumption Updates'!$D:$D,I$1,'Cutters Consumption Updates'!$B:$B,$B106)-SUMIFS('Cutters Consumption Updates'!$E:$E,'Cutters Consumption Updates'!$D:$D,I$1,'Cutters Consumption Updates'!$B:$B,$B106)+ SUMIF('Cutters Consumption Updates'!$AS:$AS,$B106,'Cutters Consumption Updates'!AU:AU)</f>
        <v>0</v>
      </c>
      <c r="J106" s="116">
        <f>SUMIFS('Cutters Consumption Updates'!$F:$F,'Cutters Consumption Updates'!$D:$D,J$1,'Cutters Consumption Updates'!$B:$B,$B106)-SUMIFS('Cutters Consumption Updates'!$E:$E,'Cutters Consumption Updates'!$D:$D,J$1,'Cutters Consumption Updates'!$B:$B,$B106)+ SUMIF('Cutters Consumption Updates'!$AS:$AS,$B106,'Cutters Consumption Updates'!AV:AV)</f>
        <v>0</v>
      </c>
      <c r="K106" s="738">
        <f>SUMIFS('Cutters Consumption Updates'!$F:$F,'Cutters Consumption Updates'!$D:$D,K$1,'Cutters Consumption Updates'!$B:$B,$B106)-SUMIFS('Cutters Consumption Updates'!$E:$E,'Cutters Consumption Updates'!$D:$D,K$1,'Cutters Consumption Updates'!$B:$B,$B106)+ SUMIF('Cutters Consumption Updates'!$AS:$AS,$B106,'Cutters Consumption Updates'!AW:AW)</f>
        <v>0</v>
      </c>
      <c r="L106" s="116">
        <f>SUMIFS('Cutters Consumption Updates'!$F:$F,'Cutters Consumption Updates'!$D:$D,L$1,'Cutters Consumption Updates'!$B:$B,$B106)-SUMIFS('Cutters Consumption Updates'!$E:$E,'Cutters Consumption Updates'!$D:$D,$L$1,'Cutters Consumption Updates'!$B:$B,$B106)+SUMIFS('Cutters Consumption Updates'!$F:$F,'Cutters Consumption Updates'!$D:$D,"Retrofit",'Cutters Consumption Updates'!$B:$B,$B106)-SUMIFS('Cutters Consumption Updates'!$E:$E,'Cutters Consumption Updates'!$D:$D,"Retrofit",'Cutters Consumption Updates'!$B:$B,$B106)+ SUMIF('Cutters Consumption Updates'!$AS:$AS,$B106,'Cutters Consumption Updates'!AX:AX)</f>
        <v>0</v>
      </c>
      <c r="M106" s="810">
        <f t="shared" si="7"/>
        <v>0</v>
      </c>
      <c r="N106" s="810">
        <f ca="1">SUMIFS('Cutters Consumption Updates'!E:E,
        'Cutters Consumption Updates'!B:B, B106,
        'Cutters Consumption Updates'!A:A, "&gt;" &amp; TODAY()-182)</f>
        <v>0</v>
      </c>
      <c r="O106" s="810">
        <f ca="1">SUMIFS('Cutters Consumption Updates'!E:E,
        'Cutters Consumption Updates'!B:B, B106,
        'Cutters Consumption Updates'!A:A, "&gt;" &amp; TODAY()-91)</f>
        <v>0</v>
      </c>
      <c r="P106" s="810">
        <f t="shared" ca="1" si="8"/>
        <v>0</v>
      </c>
      <c r="Q106" s="703">
        <f t="shared" ca="1" si="9"/>
        <v>0</v>
      </c>
      <c r="R106" s="703" t="s">
        <v>29</v>
      </c>
      <c r="S106" s="24">
        <f>IFERROR(INDEX(Table5[],MATCH($B106,Table5[Component],0),2),0)</f>
        <v>0</v>
      </c>
      <c r="T106" s="813">
        <f>SUMIFS(Table7[Balance],Table7[Cutter Mat'#],$B106)</f>
        <v>0</v>
      </c>
      <c r="U106" s="24">
        <f t="shared" si="10"/>
        <v>0</v>
      </c>
      <c r="V106" s="119"/>
      <c r="W106" s="2"/>
      <c r="Y106" s="4">
        <f>IFERROR(INDEX(Table5[],MATCH($B106,Table5[Component],0),2),0)</f>
        <v>0</v>
      </c>
      <c r="Z106" s="4">
        <f>IFERROR(INDEX(Table5[],MATCH($B106,Table5[Component],0),1),0)</f>
        <v>0</v>
      </c>
      <c r="AA106" s="4" t="str">
        <f>IF(Y106&lt;&gt;0,B106,"")</f>
        <v/>
      </c>
      <c r="AB106" s="4" t="str">
        <f t="shared" si="11"/>
        <v/>
      </c>
      <c r="AD106" s="4">
        <f t="shared" si="12"/>
        <v>0</v>
      </c>
      <c r="AE106" s="9"/>
      <c r="AI106" s="248" t="str">
        <f>IFERROR(INDEX($B$1:$AK$243,MATCH(W106,$B$1:$B$243,0),13),"")</f>
        <v/>
      </c>
      <c r="AJ106" s="248" t="str">
        <f>IFERROR(INDEX($B$1:$AK$243,MATCH(W106,$B$1:$B$243,0),15),"")</f>
        <v/>
      </c>
      <c r="AK106">
        <f>SUMIF($W$2:$W$243,B106,$S$2:$S$243)</f>
        <v>0</v>
      </c>
      <c r="AP106">
        <f t="shared" si="13"/>
        <v>0</v>
      </c>
      <c r="AR106">
        <v>976348</v>
      </c>
      <c r="AS106">
        <f>SUMIF($B:$B,AR106,$AP:$AP)</f>
        <v>0</v>
      </c>
    </row>
    <row r="107" spans="1:45" ht="15.65" customHeight="1" x14ac:dyDescent="0.35">
      <c r="A107" s="2">
        <v>106</v>
      </c>
      <c r="B107" s="2">
        <v>647435</v>
      </c>
      <c r="C107" s="2" t="s">
        <v>4137</v>
      </c>
      <c r="D107" s="2" t="s">
        <v>51</v>
      </c>
      <c r="E107" s="2">
        <v>1608</v>
      </c>
      <c r="F107" s="2" t="s">
        <v>253</v>
      </c>
      <c r="G107" s="2" t="s">
        <v>47</v>
      </c>
      <c r="H107" s="10">
        <f>SUMIFS('Cutters Consumption Updates'!$F:$F,'Cutters Consumption Updates'!$D:$D,H$1,'Cutters Consumption Updates'!$B:$B,$B107)-SUMIFS('Cutters Consumption Updates'!$E:$E,'Cutters Consumption Updates'!$D:$D,H$1,'Cutters Consumption Updates'!$B:$B,$B107)+ SUMIF('Cutters Consumption Updates'!$AS:$AS,$B107,'Cutters Consumption Updates'!AT:AT)</f>
        <v>9</v>
      </c>
      <c r="I107" s="10">
        <f>SUMIFS('Cutters Consumption Updates'!$F:$F,'Cutters Consumption Updates'!$D:$D,I$1,'Cutters Consumption Updates'!$B:$B,$B107)-SUMIFS('Cutters Consumption Updates'!$E:$E,'Cutters Consumption Updates'!$D:$D,I$1,'Cutters Consumption Updates'!$B:$B,$B107)+ SUMIF('Cutters Consumption Updates'!$AS:$AS,$B107,'Cutters Consumption Updates'!AU:AU)</f>
        <v>0</v>
      </c>
      <c r="J107" s="116">
        <f>SUMIFS('Cutters Consumption Updates'!$F:$F,'Cutters Consumption Updates'!$D:$D,J$1,'Cutters Consumption Updates'!$B:$B,$B107)-SUMIFS('Cutters Consumption Updates'!$E:$E,'Cutters Consumption Updates'!$D:$D,J$1,'Cutters Consumption Updates'!$B:$B,$B107)+ SUMIF('Cutters Consumption Updates'!$AS:$AS,$B107,'Cutters Consumption Updates'!AV:AV)</f>
        <v>0</v>
      </c>
      <c r="K107" s="738">
        <f>SUMIFS('Cutters Consumption Updates'!$F:$F,'Cutters Consumption Updates'!$D:$D,K$1,'Cutters Consumption Updates'!$B:$B,$B107)-SUMIFS('Cutters Consumption Updates'!$E:$E,'Cutters Consumption Updates'!$D:$D,K$1,'Cutters Consumption Updates'!$B:$B,$B107)+ SUMIF('Cutters Consumption Updates'!$AS:$AS,$B107,'Cutters Consumption Updates'!AW:AW)</f>
        <v>0</v>
      </c>
      <c r="L107" s="116">
        <f>SUMIFS('Cutters Consumption Updates'!$F:$F,'Cutters Consumption Updates'!$D:$D,L$1,'Cutters Consumption Updates'!$B:$B,$B107)-SUMIFS('Cutters Consumption Updates'!$E:$E,'Cutters Consumption Updates'!$D:$D,$L$1,'Cutters Consumption Updates'!$B:$B,$B107)+SUMIFS('Cutters Consumption Updates'!$F:$F,'Cutters Consumption Updates'!$D:$D,"Retrofit",'Cutters Consumption Updates'!$B:$B,$B107)-SUMIFS('Cutters Consumption Updates'!$E:$E,'Cutters Consumption Updates'!$D:$D,"Retrofit",'Cutters Consumption Updates'!$B:$B,$B107)+ SUMIF('Cutters Consumption Updates'!$AS:$AS,$B107,'Cutters Consumption Updates'!AX:AX)</f>
        <v>193</v>
      </c>
      <c r="M107" s="810">
        <f t="shared" si="7"/>
        <v>202</v>
      </c>
      <c r="N107" s="810">
        <f ca="1">SUMIFS('Cutters Consumption Updates'!E:E,
        'Cutters Consumption Updates'!B:B, B107,
        'Cutters Consumption Updates'!A:A, "&gt;" &amp; TODAY()-182)</f>
        <v>284</v>
      </c>
      <c r="O107" s="810">
        <f ca="1">SUMIFS('Cutters Consumption Updates'!E:E,
        'Cutters Consumption Updates'!B:B, B107,
        'Cutters Consumption Updates'!A:A, "&gt;" &amp; TODAY()-91)</f>
        <v>149</v>
      </c>
      <c r="P107" s="810">
        <f t="shared" ca="1" si="8"/>
        <v>95</v>
      </c>
      <c r="Q107" s="703">
        <f t="shared" ca="1" si="9"/>
        <v>100</v>
      </c>
      <c r="R107" s="703" t="s">
        <v>104</v>
      </c>
      <c r="S107" s="24">
        <f>IFERROR(INDEX(Table5[],MATCH($B107,Table5[Component],0),2),0)</f>
        <v>287</v>
      </c>
      <c r="T107" s="813">
        <f>SUMIFS(Table7[Balance],Table7[Cutter Mat'#],$B107)</f>
        <v>0</v>
      </c>
      <c r="U107" s="24">
        <f t="shared" si="10"/>
        <v>-85</v>
      </c>
      <c r="V107" s="119"/>
      <c r="W107" s="2"/>
      <c r="Y107" s="4">
        <f>IFERROR(INDEX(Table5[],MATCH($B107,Table5[Component],0),2),0)</f>
        <v>287</v>
      </c>
      <c r="Z107" s="4">
        <f>IFERROR(INDEX(Table5[],MATCH($B107,Table5[Component],0),1),0)</f>
        <v>647435</v>
      </c>
      <c r="AA107" s="4">
        <f>IF(Y107&lt;&gt;0,B107,"")</f>
        <v>647435</v>
      </c>
      <c r="AB107" s="4" t="str">
        <f t="shared" si="11"/>
        <v/>
      </c>
      <c r="AD107" s="4">
        <f t="shared" si="12"/>
        <v>202</v>
      </c>
      <c r="AE107" s="9"/>
      <c r="AI107" s="248" t="str">
        <f>IFERROR(INDEX($B$1:$AK$243,MATCH(W107,$B$1:$B$243,0),13),"")</f>
        <v/>
      </c>
      <c r="AJ107" s="248" t="str">
        <f>IFERROR(INDEX($B$1:$AK$243,MATCH(W107,$B$1:$B$243,0),15),"")</f>
        <v/>
      </c>
      <c r="AK107">
        <f>SUMIF($W$2:$W$243,B107,$S$2:$S$243)</f>
        <v>0</v>
      </c>
      <c r="AP107">
        <f t="shared" si="13"/>
        <v>0</v>
      </c>
      <c r="AR107">
        <v>976360</v>
      </c>
      <c r="AS107">
        <f>SUMIF($B:$B,AR107,$AP:$AP)</f>
        <v>0</v>
      </c>
    </row>
    <row r="108" spans="1:45" ht="15.65" customHeight="1" x14ac:dyDescent="0.35">
      <c r="A108" s="2">
        <v>107</v>
      </c>
      <c r="B108" s="2">
        <v>983148</v>
      </c>
      <c r="C108" s="2" t="s">
        <v>4463</v>
      </c>
      <c r="D108" s="2" t="s">
        <v>79</v>
      </c>
      <c r="E108" s="2">
        <v>1608</v>
      </c>
      <c r="F108" s="2" t="s">
        <v>253</v>
      </c>
      <c r="G108" s="2" t="s">
        <v>4275</v>
      </c>
      <c r="H108" s="10">
        <f>SUMIFS('Cutters Consumption Updates'!$F:$F,'Cutters Consumption Updates'!$D:$D,H$1,'Cutters Consumption Updates'!$B:$B,$B108)-SUMIFS('Cutters Consumption Updates'!$E:$E,'Cutters Consumption Updates'!$D:$D,H$1,'Cutters Consumption Updates'!$B:$B,$B108)+ SUMIF('Cutters Consumption Updates'!$AS:$AS,$B108,'Cutters Consumption Updates'!AT:AT)</f>
        <v>0</v>
      </c>
      <c r="I108" s="10">
        <f>SUMIFS('Cutters Consumption Updates'!$F:$F,'Cutters Consumption Updates'!$D:$D,I$1,'Cutters Consumption Updates'!$B:$B,$B108)-SUMIFS('Cutters Consumption Updates'!$E:$E,'Cutters Consumption Updates'!$D:$D,I$1,'Cutters Consumption Updates'!$B:$B,$B108)+ SUMIF('Cutters Consumption Updates'!$AS:$AS,$B108,'Cutters Consumption Updates'!AU:AU)</f>
        <v>0</v>
      </c>
      <c r="J108" s="116">
        <f>SUMIFS('Cutters Consumption Updates'!$F:$F,'Cutters Consumption Updates'!$D:$D,J$1,'Cutters Consumption Updates'!$B:$B,$B108)-SUMIFS('Cutters Consumption Updates'!$E:$E,'Cutters Consumption Updates'!$D:$D,J$1,'Cutters Consumption Updates'!$B:$B,$B108)+ SUMIF('Cutters Consumption Updates'!$AS:$AS,$B108,'Cutters Consumption Updates'!AV:AV)</f>
        <v>0</v>
      </c>
      <c r="K108" s="738">
        <f>SUMIFS('Cutters Consumption Updates'!$F:$F,'Cutters Consumption Updates'!$D:$D,K$1,'Cutters Consumption Updates'!$B:$B,$B108)-SUMIFS('Cutters Consumption Updates'!$E:$E,'Cutters Consumption Updates'!$D:$D,K$1,'Cutters Consumption Updates'!$B:$B,$B108)+ SUMIF('Cutters Consumption Updates'!$AS:$AS,$B108,'Cutters Consumption Updates'!AW:AW)</f>
        <v>0</v>
      </c>
      <c r="L108" s="116">
        <f>SUMIFS('Cutters Consumption Updates'!$F:$F,'Cutters Consumption Updates'!$D:$D,L$1,'Cutters Consumption Updates'!$B:$B,$B108)-SUMIFS('Cutters Consumption Updates'!$E:$E,'Cutters Consumption Updates'!$D:$D,$L$1,'Cutters Consumption Updates'!$B:$B,$B108)+SUMIFS('Cutters Consumption Updates'!$F:$F,'Cutters Consumption Updates'!$D:$D,"Retrofit",'Cutters Consumption Updates'!$B:$B,$B108)-SUMIFS('Cutters Consumption Updates'!$E:$E,'Cutters Consumption Updates'!$D:$D,"Retrofit",'Cutters Consumption Updates'!$B:$B,$B108)+ SUMIF('Cutters Consumption Updates'!$AS:$AS,$B108,'Cutters Consumption Updates'!AX:AX)</f>
        <v>0</v>
      </c>
      <c r="M108" s="810">
        <f t="shared" si="7"/>
        <v>0</v>
      </c>
      <c r="N108" s="810">
        <f ca="1">SUMIFS('Cutters Consumption Updates'!E:E,
        'Cutters Consumption Updates'!B:B, B108,
        'Cutters Consumption Updates'!A:A, "&gt;" &amp; TODAY()-182)</f>
        <v>0</v>
      </c>
      <c r="O108" s="810">
        <f ca="1">SUMIFS('Cutters Consumption Updates'!E:E,
        'Cutters Consumption Updates'!B:B, B108,
        'Cutters Consumption Updates'!A:A, "&gt;" &amp; TODAY()-91)</f>
        <v>0</v>
      </c>
      <c r="P108" s="810">
        <f t="shared" ca="1" si="8"/>
        <v>0</v>
      </c>
      <c r="Q108" s="703">
        <f t="shared" ca="1" si="9"/>
        <v>0</v>
      </c>
      <c r="R108" s="703" t="s">
        <v>29</v>
      </c>
      <c r="S108" s="24">
        <f>IFERROR(INDEX(Table5[],MATCH($B108,Table5[Component],0),2),0)</f>
        <v>0</v>
      </c>
      <c r="T108" s="813">
        <f>SUMIFS(Table7[Balance],Table7[Cutter Mat'#],$B108)</f>
        <v>0</v>
      </c>
      <c r="U108" s="24">
        <f t="shared" si="10"/>
        <v>0</v>
      </c>
      <c r="V108" s="119"/>
      <c r="W108" s="2"/>
      <c r="Y108" s="4">
        <f>IFERROR(INDEX(Table5[],MATCH($B108,Table5[Component],0),2),0)</f>
        <v>0</v>
      </c>
      <c r="Z108" s="4">
        <f>IFERROR(INDEX(Table5[],MATCH($B108,Table5[Component],0),1),0)</f>
        <v>0</v>
      </c>
      <c r="AA108" s="4" t="str">
        <f>IF(Y108&lt;&gt;0,B108,"")</f>
        <v/>
      </c>
      <c r="AB108" s="4" t="str">
        <f t="shared" si="11"/>
        <v/>
      </c>
      <c r="AD108" s="4">
        <f t="shared" si="12"/>
        <v>0</v>
      </c>
      <c r="AE108" s="9"/>
      <c r="AI108" s="248" t="str">
        <f>IFERROR(INDEX($B$1:$AK$243,MATCH(W108,$B$1:$B$243,0),13),"")</f>
        <v/>
      </c>
      <c r="AJ108" s="248" t="str">
        <f>IFERROR(INDEX($B$1:$AK$243,MATCH(W108,$B$1:$B$243,0),15),"")</f>
        <v/>
      </c>
      <c r="AK108">
        <f>SUMIF($W$2:$W$243,B108,$S$2:$S$243)</f>
        <v>0</v>
      </c>
      <c r="AP108">
        <f t="shared" si="13"/>
        <v>0</v>
      </c>
      <c r="AR108">
        <v>983094</v>
      </c>
      <c r="AS108">
        <f>SUMIF($B:$B,AR108,$AP:$AP)</f>
        <v>0</v>
      </c>
    </row>
    <row r="109" spans="1:45" ht="15.65" customHeight="1" x14ac:dyDescent="0.35">
      <c r="A109" s="2">
        <v>108</v>
      </c>
      <c r="B109" s="2">
        <v>738228</v>
      </c>
      <c r="C109" s="2" t="s">
        <v>4334</v>
      </c>
      <c r="D109" s="2" t="s">
        <v>4241</v>
      </c>
      <c r="E109" s="2">
        <v>1608</v>
      </c>
      <c r="F109" s="2" t="s">
        <v>253</v>
      </c>
      <c r="G109" s="2" t="s">
        <v>4275</v>
      </c>
      <c r="H109" s="10">
        <f>SUMIFS('Cutters Consumption Updates'!$F:$F,'Cutters Consumption Updates'!$D:$D,H$1,'Cutters Consumption Updates'!$B:$B,$B109)-SUMIFS('Cutters Consumption Updates'!$E:$E,'Cutters Consumption Updates'!$D:$D,H$1,'Cutters Consumption Updates'!$B:$B,$B109)+ SUMIF('Cutters Consumption Updates'!$AS:$AS,$B109,'Cutters Consumption Updates'!AT:AT)</f>
        <v>0</v>
      </c>
      <c r="I109" s="10">
        <f>SUMIFS('Cutters Consumption Updates'!$F:$F,'Cutters Consumption Updates'!$D:$D,I$1,'Cutters Consumption Updates'!$B:$B,$B109)-SUMIFS('Cutters Consumption Updates'!$E:$E,'Cutters Consumption Updates'!$D:$D,I$1,'Cutters Consumption Updates'!$B:$B,$B109)+ SUMIF('Cutters Consumption Updates'!$AS:$AS,$B109,'Cutters Consumption Updates'!AU:AU)</f>
        <v>0</v>
      </c>
      <c r="J109" s="116">
        <f>SUMIFS('Cutters Consumption Updates'!$F:$F,'Cutters Consumption Updates'!$D:$D,J$1,'Cutters Consumption Updates'!$B:$B,$B109)-SUMIFS('Cutters Consumption Updates'!$E:$E,'Cutters Consumption Updates'!$D:$D,J$1,'Cutters Consumption Updates'!$B:$B,$B109)+ SUMIF('Cutters Consumption Updates'!$AS:$AS,$B109,'Cutters Consumption Updates'!AV:AV)</f>
        <v>0</v>
      </c>
      <c r="K109" s="738">
        <f>SUMIFS('Cutters Consumption Updates'!$F:$F,'Cutters Consumption Updates'!$D:$D,K$1,'Cutters Consumption Updates'!$B:$B,$B109)-SUMIFS('Cutters Consumption Updates'!$E:$E,'Cutters Consumption Updates'!$D:$D,K$1,'Cutters Consumption Updates'!$B:$B,$B109)+ SUMIF('Cutters Consumption Updates'!$AS:$AS,$B109,'Cutters Consumption Updates'!AW:AW)</f>
        <v>0</v>
      </c>
      <c r="L109" s="116">
        <f>SUMIFS('Cutters Consumption Updates'!$F:$F,'Cutters Consumption Updates'!$D:$D,L$1,'Cutters Consumption Updates'!$B:$B,$B109)-SUMIFS('Cutters Consumption Updates'!$E:$E,'Cutters Consumption Updates'!$D:$D,$L$1,'Cutters Consumption Updates'!$B:$B,$B109)+SUMIFS('Cutters Consumption Updates'!$F:$F,'Cutters Consumption Updates'!$D:$D,"Retrofit",'Cutters Consumption Updates'!$B:$B,$B109)-SUMIFS('Cutters Consumption Updates'!$E:$E,'Cutters Consumption Updates'!$D:$D,"Retrofit",'Cutters Consumption Updates'!$B:$B,$B109)+ SUMIF('Cutters Consumption Updates'!$AS:$AS,$B109,'Cutters Consumption Updates'!AX:AX)</f>
        <v>41</v>
      </c>
      <c r="M109" s="810">
        <f t="shared" si="7"/>
        <v>41</v>
      </c>
      <c r="N109" s="810">
        <f ca="1">SUMIFS('Cutters Consumption Updates'!E:E,
        'Cutters Consumption Updates'!B:B, B109,
        'Cutters Consumption Updates'!A:A, "&gt;" &amp; TODAY()-182)</f>
        <v>29</v>
      </c>
      <c r="O109" s="810">
        <f ca="1">SUMIFS('Cutters Consumption Updates'!E:E,
        'Cutters Consumption Updates'!B:B, B109,
        'Cutters Consumption Updates'!A:A, "&gt;" &amp; TODAY()-91)</f>
        <v>23</v>
      </c>
      <c r="P109" s="810">
        <f t="shared" ca="1" si="8"/>
        <v>10</v>
      </c>
      <c r="Q109" s="703">
        <f t="shared" ca="1" si="9"/>
        <v>15</v>
      </c>
      <c r="R109" s="703" t="s">
        <v>29</v>
      </c>
      <c r="S109" s="24">
        <f>IFERROR(INDEX(Table5[],MATCH($B109,Table5[Component],0),2),0)</f>
        <v>0</v>
      </c>
      <c r="T109" s="813">
        <f>SUMIFS(Table7[Balance],Table7[Cutter Mat'#],$B109)</f>
        <v>0</v>
      </c>
      <c r="U109" s="24">
        <f t="shared" si="10"/>
        <v>41</v>
      </c>
      <c r="V109" s="119"/>
      <c r="W109" s="2"/>
      <c r="Y109" s="4">
        <f>IFERROR(INDEX(Table5[],MATCH($B109,Table5[Component],0),2),0)</f>
        <v>0</v>
      </c>
      <c r="Z109" s="4">
        <f>IFERROR(INDEX(Table5[],MATCH($B109,Table5[Component],0),1),0)</f>
        <v>0</v>
      </c>
      <c r="AA109" s="4" t="str">
        <f>IF(Y109&lt;&gt;0,B109,"")</f>
        <v/>
      </c>
      <c r="AB109" s="4" t="str">
        <f t="shared" si="11"/>
        <v/>
      </c>
      <c r="AD109" s="4">
        <f t="shared" si="12"/>
        <v>41</v>
      </c>
      <c r="AE109" s="9"/>
      <c r="AI109" s="248" t="str">
        <f>IFERROR(INDEX($B$1:$AK$243,MATCH(W109,$B$1:$B$243,0),13),"")</f>
        <v/>
      </c>
      <c r="AJ109" s="248" t="str">
        <f>IFERROR(INDEX($B$1:$AK$243,MATCH(W109,$B$1:$B$243,0),15),"")</f>
        <v/>
      </c>
      <c r="AK109">
        <f>SUMIF($W$2:$W$243,B109,$S$2:$S$243)</f>
        <v>0</v>
      </c>
      <c r="AP109">
        <f t="shared" si="13"/>
        <v>0</v>
      </c>
      <c r="AR109">
        <v>983096</v>
      </c>
      <c r="AS109">
        <f>SUMIF($B:$B,AR109,$AP:$AP)</f>
        <v>0</v>
      </c>
    </row>
    <row r="110" spans="1:45" ht="15.65" customHeight="1" x14ac:dyDescent="0.35">
      <c r="A110" s="2">
        <v>109</v>
      </c>
      <c r="B110" s="2">
        <v>661066</v>
      </c>
      <c r="C110" s="2" t="s">
        <v>4335</v>
      </c>
      <c r="D110" s="2" t="s">
        <v>145</v>
      </c>
      <c r="E110" s="2">
        <v>1613</v>
      </c>
      <c r="F110" s="2" t="s">
        <v>253</v>
      </c>
      <c r="G110" s="2" t="s">
        <v>4336</v>
      </c>
      <c r="H110" s="10">
        <f>SUMIFS('Cutters Consumption Updates'!$F:$F,'Cutters Consumption Updates'!$D:$D,H$1,'Cutters Consumption Updates'!$B:$B,$B110)-SUMIFS('Cutters Consumption Updates'!$E:$E,'Cutters Consumption Updates'!$D:$D,H$1,'Cutters Consumption Updates'!$B:$B,$B110)+ SUMIF('Cutters Consumption Updates'!$AS:$AS,$B110,'Cutters Consumption Updates'!AT:AT)</f>
        <v>0</v>
      </c>
      <c r="I110" s="10">
        <f>SUMIFS('Cutters Consumption Updates'!$F:$F,'Cutters Consumption Updates'!$D:$D,I$1,'Cutters Consumption Updates'!$B:$B,$B110)-SUMIFS('Cutters Consumption Updates'!$E:$E,'Cutters Consumption Updates'!$D:$D,I$1,'Cutters Consumption Updates'!$B:$B,$B110)+ SUMIF('Cutters Consumption Updates'!$AS:$AS,$B110,'Cutters Consumption Updates'!AU:AU)</f>
        <v>0</v>
      </c>
      <c r="J110" s="116">
        <f>SUMIFS('Cutters Consumption Updates'!$F:$F,'Cutters Consumption Updates'!$D:$D,J$1,'Cutters Consumption Updates'!$B:$B,$B110)-SUMIFS('Cutters Consumption Updates'!$E:$E,'Cutters Consumption Updates'!$D:$D,J$1,'Cutters Consumption Updates'!$B:$B,$B110)+ SUMIF('Cutters Consumption Updates'!$AS:$AS,$B110,'Cutters Consumption Updates'!AV:AV)</f>
        <v>0</v>
      </c>
      <c r="K110" s="738">
        <f>SUMIFS('Cutters Consumption Updates'!$F:$F,'Cutters Consumption Updates'!$D:$D,K$1,'Cutters Consumption Updates'!$B:$B,$B110)-SUMIFS('Cutters Consumption Updates'!$E:$E,'Cutters Consumption Updates'!$D:$D,K$1,'Cutters Consumption Updates'!$B:$B,$B110)+ SUMIF('Cutters Consumption Updates'!$AS:$AS,$B110,'Cutters Consumption Updates'!AW:AW)</f>
        <v>0</v>
      </c>
      <c r="L110" s="116">
        <f>SUMIFS('Cutters Consumption Updates'!$F:$F,'Cutters Consumption Updates'!$D:$D,L$1,'Cutters Consumption Updates'!$B:$B,$B110)-SUMIFS('Cutters Consumption Updates'!$E:$E,'Cutters Consumption Updates'!$D:$D,$L$1,'Cutters Consumption Updates'!$B:$B,$B110)+SUMIFS('Cutters Consumption Updates'!$F:$F,'Cutters Consumption Updates'!$D:$D,"Retrofit",'Cutters Consumption Updates'!$B:$B,$B110)-SUMIFS('Cutters Consumption Updates'!$E:$E,'Cutters Consumption Updates'!$D:$D,"Retrofit",'Cutters Consumption Updates'!$B:$B,$B110)+ SUMIF('Cutters Consumption Updates'!$AS:$AS,$B110,'Cutters Consumption Updates'!AX:AX)</f>
        <v>19</v>
      </c>
      <c r="M110" s="810">
        <f t="shared" si="7"/>
        <v>19</v>
      </c>
      <c r="N110" s="810">
        <f ca="1">SUMIFS('Cutters Consumption Updates'!E:E,
        'Cutters Consumption Updates'!B:B, B110,
        'Cutters Consumption Updates'!A:A, "&gt;" &amp; TODAY()-182)</f>
        <v>0</v>
      </c>
      <c r="O110" s="810">
        <f ca="1">SUMIFS('Cutters Consumption Updates'!E:E,
        'Cutters Consumption Updates'!B:B, B110,
        'Cutters Consumption Updates'!A:A, "&gt;" &amp; TODAY()-91)</f>
        <v>0</v>
      </c>
      <c r="P110" s="810">
        <f t="shared" ca="1" si="8"/>
        <v>0</v>
      </c>
      <c r="Q110" s="703">
        <f t="shared" ca="1" si="9"/>
        <v>0</v>
      </c>
      <c r="R110" s="703" t="s">
        <v>29</v>
      </c>
      <c r="S110" s="24">
        <f>IFERROR(INDEX(Table5[],MATCH($B110,Table5[Component],0),2),0)</f>
        <v>0</v>
      </c>
      <c r="T110" s="813">
        <f>SUMIFS(Table7[Balance],Table7[Cutter Mat'#],$B110)</f>
        <v>0</v>
      </c>
      <c r="U110" s="24">
        <f t="shared" si="10"/>
        <v>19</v>
      </c>
      <c r="V110" s="119"/>
      <c r="W110" s="2"/>
      <c r="Y110" s="4">
        <f>IFERROR(INDEX(Table5[],MATCH($B110,Table5[Component],0),2),0)</f>
        <v>0</v>
      </c>
      <c r="Z110" s="4">
        <f>IFERROR(INDEX(Table5[],MATCH($B110,Table5[Component],0),1),0)</f>
        <v>0</v>
      </c>
      <c r="AA110" s="4" t="str">
        <f>IF(Y110&lt;&gt;0,B110,"")</f>
        <v/>
      </c>
      <c r="AB110" s="4" t="str">
        <f t="shared" si="11"/>
        <v/>
      </c>
      <c r="AD110" s="4">
        <f t="shared" si="12"/>
        <v>19</v>
      </c>
      <c r="AE110" s="9"/>
      <c r="AI110" s="248" t="str">
        <f>IFERROR(INDEX($B$1:$AK$243,MATCH(W110,$B$1:$B$243,0),13),"")</f>
        <v/>
      </c>
      <c r="AJ110" s="248" t="str">
        <f>IFERROR(INDEX($B$1:$AK$243,MATCH(W110,$B$1:$B$243,0),15),"")</f>
        <v/>
      </c>
      <c r="AK110">
        <f>SUMIF($W$2:$W$243,B110,$S$2:$S$243)</f>
        <v>0</v>
      </c>
      <c r="AP110">
        <f t="shared" si="13"/>
        <v>0</v>
      </c>
      <c r="AR110">
        <v>983148</v>
      </c>
      <c r="AS110">
        <f>SUMIF($B:$B,AR110,$AP:$AP)</f>
        <v>0</v>
      </c>
    </row>
    <row r="111" spans="1:45" ht="15.65" customHeight="1" x14ac:dyDescent="0.35">
      <c r="A111" s="2">
        <v>110</v>
      </c>
      <c r="B111" s="2">
        <v>1104743</v>
      </c>
      <c r="C111" s="2" t="s">
        <v>4488</v>
      </c>
      <c r="D111" s="2" t="s">
        <v>145</v>
      </c>
      <c r="E111" s="2">
        <v>1308</v>
      </c>
      <c r="F111" s="2" t="s">
        <v>109</v>
      </c>
      <c r="G111" s="2" t="s">
        <v>4336</v>
      </c>
      <c r="H111" s="10">
        <f>SUMIFS('Cutters Consumption Updates'!$F:$F,'Cutters Consumption Updates'!$D:$D,H$1,'Cutters Consumption Updates'!$B:$B,$B111)-SUMIFS('Cutters Consumption Updates'!$E:$E,'Cutters Consumption Updates'!$D:$D,H$1,'Cutters Consumption Updates'!$B:$B,$B111)+ SUMIF('Cutters Consumption Updates'!$AS:$AS,$B111,'Cutters Consumption Updates'!AT:AT)</f>
        <v>0</v>
      </c>
      <c r="I111" s="10">
        <f>SUMIFS('Cutters Consumption Updates'!$F:$F,'Cutters Consumption Updates'!$D:$D,I$1,'Cutters Consumption Updates'!$B:$B,$B111)-SUMIFS('Cutters Consumption Updates'!$E:$E,'Cutters Consumption Updates'!$D:$D,I$1,'Cutters Consumption Updates'!$B:$B,$B111)+ SUMIF('Cutters Consumption Updates'!$AS:$AS,$B111,'Cutters Consumption Updates'!AU:AU)</f>
        <v>0</v>
      </c>
      <c r="J111" s="116">
        <f>SUMIFS('Cutters Consumption Updates'!$F:$F,'Cutters Consumption Updates'!$D:$D,J$1,'Cutters Consumption Updates'!$B:$B,$B111)-SUMIFS('Cutters Consumption Updates'!$E:$E,'Cutters Consumption Updates'!$D:$D,J$1,'Cutters Consumption Updates'!$B:$B,$B111)+ SUMIF('Cutters Consumption Updates'!$AS:$AS,$B111,'Cutters Consumption Updates'!AV:AV)</f>
        <v>0</v>
      </c>
      <c r="K111" s="738">
        <f>SUMIFS('Cutters Consumption Updates'!$F:$F,'Cutters Consumption Updates'!$D:$D,K$1,'Cutters Consumption Updates'!$B:$B,$B111)-SUMIFS('Cutters Consumption Updates'!$E:$E,'Cutters Consumption Updates'!$D:$D,K$1,'Cutters Consumption Updates'!$B:$B,$B111)+ SUMIF('Cutters Consumption Updates'!$AS:$AS,$B111,'Cutters Consumption Updates'!AW:AW)</f>
        <v>0</v>
      </c>
      <c r="L111" s="116">
        <f>SUMIFS('Cutters Consumption Updates'!$F:$F,'Cutters Consumption Updates'!$D:$D,L$1,'Cutters Consumption Updates'!$B:$B,$B111)-SUMIFS('Cutters Consumption Updates'!$E:$E,'Cutters Consumption Updates'!$D:$D,$L$1,'Cutters Consumption Updates'!$B:$B,$B111)+SUMIFS('Cutters Consumption Updates'!$F:$F,'Cutters Consumption Updates'!$D:$D,"Retrofit",'Cutters Consumption Updates'!$B:$B,$B111)-SUMIFS('Cutters Consumption Updates'!$E:$E,'Cutters Consumption Updates'!$D:$D,"Retrofit",'Cutters Consumption Updates'!$B:$B,$B111)+ SUMIF('Cutters Consumption Updates'!$AS:$AS,$B111,'Cutters Consumption Updates'!AX:AX)</f>
        <v>0</v>
      </c>
      <c r="M111" s="810">
        <f t="shared" si="7"/>
        <v>0</v>
      </c>
      <c r="N111" s="810">
        <f ca="1">SUMIFS('Cutters Consumption Updates'!E:E,
        'Cutters Consumption Updates'!B:B, B111,
        'Cutters Consumption Updates'!A:A, "&gt;" &amp; TODAY()-182)</f>
        <v>0</v>
      </c>
      <c r="O111" s="810">
        <f ca="1">SUMIFS('Cutters Consumption Updates'!E:E,
        'Cutters Consumption Updates'!B:B, B111,
        'Cutters Consumption Updates'!A:A, "&gt;" &amp; TODAY()-91)</f>
        <v>0</v>
      </c>
      <c r="P111" s="810">
        <f t="shared" ca="1" si="8"/>
        <v>0</v>
      </c>
      <c r="Q111" s="703">
        <f t="shared" ca="1" si="9"/>
        <v>0</v>
      </c>
      <c r="R111" s="703" t="s">
        <v>29</v>
      </c>
      <c r="S111" s="24">
        <f>IFERROR(INDEX(Table5[],MATCH($B111,Table5[Component],0),2),0)</f>
        <v>0</v>
      </c>
      <c r="T111" s="813">
        <f>SUMIFS(Table7[Balance],Table7[Cutter Mat'#],$B111)</f>
        <v>0</v>
      </c>
      <c r="U111" s="24">
        <f t="shared" si="10"/>
        <v>0</v>
      </c>
      <c r="V111" s="119"/>
      <c r="W111" s="2"/>
      <c r="Y111" s="4">
        <f>IFERROR(INDEX(Table5[],MATCH($B111,Table5[Component],0),2),0)</f>
        <v>0</v>
      </c>
      <c r="Z111" s="4">
        <f>IFERROR(INDEX(Table5[],MATCH($B111,Table5[Component],0),1),0)</f>
        <v>0</v>
      </c>
      <c r="AA111" s="4" t="str">
        <f>IF(Y111&lt;&gt;0,B111,"")</f>
        <v/>
      </c>
      <c r="AB111" s="4" t="str">
        <f t="shared" si="11"/>
        <v/>
      </c>
      <c r="AD111" s="4">
        <f t="shared" si="12"/>
        <v>0</v>
      </c>
      <c r="AE111" s="9"/>
      <c r="AI111" s="248" t="str">
        <f>IFERROR(INDEX($B$1:$AK$243,MATCH(W111,$B$1:$B$243,0),13),"")</f>
        <v/>
      </c>
      <c r="AJ111" s="248" t="str">
        <f>IFERROR(INDEX($B$1:$AK$243,MATCH(W111,$B$1:$B$243,0),15),"")</f>
        <v/>
      </c>
      <c r="AK111">
        <f>SUMIF($W$2:$W$243,B111,$S$2:$S$243)</f>
        <v>0</v>
      </c>
      <c r="AP111">
        <f t="shared" si="13"/>
        <v>0</v>
      </c>
      <c r="AR111">
        <v>983150</v>
      </c>
      <c r="AS111">
        <f>SUMIF($B:$B,AR111,$AP:$AP)</f>
        <v>0</v>
      </c>
    </row>
    <row r="112" spans="1:45" ht="15.65" customHeight="1" x14ac:dyDescent="0.35">
      <c r="A112" s="2">
        <v>111</v>
      </c>
      <c r="B112" s="2">
        <v>1100696</v>
      </c>
      <c r="C112" s="2" t="s">
        <v>4337</v>
      </c>
      <c r="D112" s="2" t="s">
        <v>111</v>
      </c>
      <c r="E112" s="2">
        <v>1313</v>
      </c>
      <c r="F112" s="2" t="s">
        <v>248</v>
      </c>
      <c r="G112" s="2" t="s">
        <v>4314</v>
      </c>
      <c r="H112" s="10">
        <f>SUMIFS('Cutters Consumption Updates'!$F:$F,'Cutters Consumption Updates'!$D:$D,H$1,'Cutters Consumption Updates'!$B:$B,$B112)-SUMIFS('Cutters Consumption Updates'!$E:$E,'Cutters Consumption Updates'!$D:$D,H$1,'Cutters Consumption Updates'!$B:$B,$B112)+ SUMIF('Cutters Consumption Updates'!$AS:$AS,$B112,'Cutters Consumption Updates'!AT:AT)</f>
        <v>0</v>
      </c>
      <c r="I112" s="10">
        <f>SUMIFS('Cutters Consumption Updates'!$F:$F,'Cutters Consumption Updates'!$D:$D,I$1,'Cutters Consumption Updates'!$B:$B,$B112)-SUMIFS('Cutters Consumption Updates'!$E:$E,'Cutters Consumption Updates'!$D:$D,I$1,'Cutters Consumption Updates'!$B:$B,$B112)+ SUMIF('Cutters Consumption Updates'!$AS:$AS,$B112,'Cutters Consumption Updates'!AU:AU)</f>
        <v>0</v>
      </c>
      <c r="J112" s="116">
        <f>SUMIFS('Cutters Consumption Updates'!$F:$F,'Cutters Consumption Updates'!$D:$D,J$1,'Cutters Consumption Updates'!$B:$B,$B112)-SUMIFS('Cutters Consumption Updates'!$E:$E,'Cutters Consumption Updates'!$D:$D,J$1,'Cutters Consumption Updates'!$B:$B,$B112)+ SUMIF('Cutters Consumption Updates'!$AS:$AS,$B112,'Cutters Consumption Updates'!AV:AV)</f>
        <v>1</v>
      </c>
      <c r="K112" s="738">
        <f>SUMIFS('Cutters Consumption Updates'!$F:$F,'Cutters Consumption Updates'!$D:$D,K$1,'Cutters Consumption Updates'!$B:$B,$B112)-SUMIFS('Cutters Consumption Updates'!$E:$E,'Cutters Consumption Updates'!$D:$D,K$1,'Cutters Consumption Updates'!$B:$B,$B112)+ SUMIF('Cutters Consumption Updates'!$AS:$AS,$B112,'Cutters Consumption Updates'!AW:AW)</f>
        <v>-1</v>
      </c>
      <c r="L112" s="116">
        <f>SUMIFS('Cutters Consumption Updates'!$F:$F,'Cutters Consumption Updates'!$D:$D,L$1,'Cutters Consumption Updates'!$B:$B,$B112)-SUMIFS('Cutters Consumption Updates'!$E:$E,'Cutters Consumption Updates'!$D:$D,$L$1,'Cutters Consumption Updates'!$B:$B,$B112)+SUMIFS('Cutters Consumption Updates'!$F:$F,'Cutters Consumption Updates'!$D:$D,"Retrofit",'Cutters Consumption Updates'!$B:$B,$B112)-SUMIFS('Cutters Consumption Updates'!$E:$E,'Cutters Consumption Updates'!$D:$D,"Retrofit",'Cutters Consumption Updates'!$B:$B,$B112)+ SUMIF('Cutters Consumption Updates'!$AS:$AS,$B112,'Cutters Consumption Updates'!AX:AX)</f>
        <v>0</v>
      </c>
      <c r="M112" s="810">
        <f t="shared" si="7"/>
        <v>0</v>
      </c>
      <c r="N112" s="810">
        <f ca="1">SUMIFS('Cutters Consumption Updates'!E:E,
        'Cutters Consumption Updates'!B:B, B112,
        'Cutters Consumption Updates'!A:A, "&gt;" &amp; TODAY()-182)</f>
        <v>19</v>
      </c>
      <c r="O112" s="810">
        <f ca="1">SUMIFS('Cutters Consumption Updates'!E:E,
        'Cutters Consumption Updates'!B:B, B112,
        'Cutters Consumption Updates'!A:A, "&gt;" &amp; TODAY()-91)</f>
        <v>13</v>
      </c>
      <c r="P112" s="810">
        <f t="shared" ca="1" si="8"/>
        <v>7</v>
      </c>
      <c r="Q112" s="703">
        <f t="shared" ca="1" si="9"/>
        <v>10</v>
      </c>
      <c r="R112" s="703" t="s">
        <v>112</v>
      </c>
      <c r="S112" s="24">
        <f>IFERROR(INDEX(Table5[],MATCH($B112,Table5[Component],0),2),0)</f>
        <v>136</v>
      </c>
      <c r="T112" s="813">
        <f>SUMIFS(Table7[Balance],Table7[Cutter Mat'#],$B112)</f>
        <v>0</v>
      </c>
      <c r="U112" s="24">
        <f t="shared" si="10"/>
        <v>-136</v>
      </c>
      <c r="V112" s="119"/>
      <c r="W112" s="2"/>
      <c r="Y112" s="4">
        <f>IFERROR(INDEX(Table5[],MATCH($B112,Table5[Component],0),2),0)</f>
        <v>136</v>
      </c>
      <c r="Z112" s="4">
        <f>IFERROR(INDEX(Table5[],MATCH($B112,Table5[Component],0),1),0)</f>
        <v>1100696</v>
      </c>
      <c r="AA112" s="4">
        <f>IF(Y112&lt;&gt;0,B112,"")</f>
        <v>1100696</v>
      </c>
      <c r="AB112" s="4" t="str">
        <f t="shared" si="11"/>
        <v/>
      </c>
      <c r="AD112" s="4">
        <f t="shared" si="12"/>
        <v>1</v>
      </c>
      <c r="AE112" s="9"/>
      <c r="AI112" s="248" t="str">
        <f>IFERROR(INDEX($B$1:$AK$243,MATCH(W112,$B$1:$B$243,0),13),"")</f>
        <v/>
      </c>
      <c r="AJ112" s="248" t="str">
        <f>IFERROR(INDEX($B$1:$AK$243,MATCH(W112,$B$1:$B$243,0),15),"")</f>
        <v/>
      </c>
      <c r="AK112">
        <f>SUMIF($W$2:$W$243,B112,$S$2:$S$243)</f>
        <v>0</v>
      </c>
      <c r="AP112">
        <f t="shared" si="13"/>
        <v>0</v>
      </c>
      <c r="AR112">
        <v>983152</v>
      </c>
      <c r="AS112">
        <f>SUMIF($B:$B,AR112,$AP:$AP)</f>
        <v>0</v>
      </c>
    </row>
    <row r="113" spans="1:45" ht="15.65" customHeight="1" x14ac:dyDescent="0.35">
      <c r="A113" s="2">
        <v>112</v>
      </c>
      <c r="B113" s="2">
        <v>1100745</v>
      </c>
      <c r="C113" s="2" t="s">
        <v>4464</v>
      </c>
      <c r="D113" s="2" t="s">
        <v>111</v>
      </c>
      <c r="E113" s="2">
        <v>1913</v>
      </c>
      <c r="F113" s="2" t="s">
        <v>253</v>
      </c>
      <c r="G113" s="2" t="s">
        <v>4314</v>
      </c>
      <c r="H113" s="10">
        <f>SUMIFS('Cutters Consumption Updates'!$F:$F,'Cutters Consumption Updates'!$D:$D,H$1,'Cutters Consumption Updates'!$B:$B,$B113)-SUMIFS('Cutters Consumption Updates'!$E:$E,'Cutters Consumption Updates'!$D:$D,H$1,'Cutters Consumption Updates'!$B:$B,$B113)+ SUMIF('Cutters Consumption Updates'!$AS:$AS,$B113,'Cutters Consumption Updates'!AT:AT)</f>
        <v>0</v>
      </c>
      <c r="I113" s="10">
        <f>SUMIFS('Cutters Consumption Updates'!$F:$F,'Cutters Consumption Updates'!$D:$D,I$1,'Cutters Consumption Updates'!$B:$B,$B113)-SUMIFS('Cutters Consumption Updates'!$E:$E,'Cutters Consumption Updates'!$D:$D,I$1,'Cutters Consumption Updates'!$B:$B,$B113)+ SUMIF('Cutters Consumption Updates'!$AS:$AS,$B113,'Cutters Consumption Updates'!AU:AU)</f>
        <v>0</v>
      </c>
      <c r="J113" s="116">
        <f>SUMIFS('Cutters Consumption Updates'!$F:$F,'Cutters Consumption Updates'!$D:$D,J$1,'Cutters Consumption Updates'!$B:$B,$B113)-SUMIFS('Cutters Consumption Updates'!$E:$E,'Cutters Consumption Updates'!$D:$D,J$1,'Cutters Consumption Updates'!$B:$B,$B113)+ SUMIF('Cutters Consumption Updates'!$AS:$AS,$B113,'Cutters Consumption Updates'!AV:AV)</f>
        <v>0</v>
      </c>
      <c r="K113" s="738">
        <f>SUMIFS('Cutters Consumption Updates'!$F:$F,'Cutters Consumption Updates'!$D:$D,K$1,'Cutters Consumption Updates'!$B:$B,$B113)-SUMIFS('Cutters Consumption Updates'!$E:$E,'Cutters Consumption Updates'!$D:$D,K$1,'Cutters Consumption Updates'!$B:$B,$B113)+ SUMIF('Cutters Consumption Updates'!$AS:$AS,$B113,'Cutters Consumption Updates'!AW:AW)</f>
        <v>0</v>
      </c>
      <c r="L113" s="116">
        <f>SUMIFS('Cutters Consumption Updates'!$F:$F,'Cutters Consumption Updates'!$D:$D,L$1,'Cutters Consumption Updates'!$B:$B,$B113)-SUMIFS('Cutters Consumption Updates'!$E:$E,'Cutters Consumption Updates'!$D:$D,$L$1,'Cutters Consumption Updates'!$B:$B,$B113)+SUMIFS('Cutters Consumption Updates'!$F:$F,'Cutters Consumption Updates'!$D:$D,"Retrofit",'Cutters Consumption Updates'!$B:$B,$B113)-SUMIFS('Cutters Consumption Updates'!$E:$E,'Cutters Consumption Updates'!$D:$D,"Retrofit",'Cutters Consumption Updates'!$B:$B,$B113)+ SUMIF('Cutters Consumption Updates'!$AS:$AS,$B113,'Cutters Consumption Updates'!AX:AX)</f>
        <v>0</v>
      </c>
      <c r="M113" s="810">
        <f t="shared" si="7"/>
        <v>0</v>
      </c>
      <c r="N113" s="810">
        <f ca="1">SUMIFS('Cutters Consumption Updates'!E:E,
        'Cutters Consumption Updates'!B:B, B113,
        'Cutters Consumption Updates'!A:A, "&gt;" &amp; TODAY()-182)</f>
        <v>0</v>
      </c>
      <c r="O113" s="810">
        <f ca="1">SUMIFS('Cutters Consumption Updates'!E:E,
        'Cutters Consumption Updates'!B:B, B113,
        'Cutters Consumption Updates'!A:A, "&gt;" &amp; TODAY()-91)</f>
        <v>0</v>
      </c>
      <c r="P113" s="810">
        <f t="shared" ca="1" si="8"/>
        <v>0</v>
      </c>
      <c r="Q113" s="703">
        <f t="shared" ca="1" si="9"/>
        <v>0</v>
      </c>
      <c r="R113" s="703" t="s">
        <v>113</v>
      </c>
      <c r="S113" s="24">
        <f>IFERROR(INDEX(Table5[],MATCH($B113,Table5[Component],0),2),0)</f>
        <v>0</v>
      </c>
      <c r="T113" s="813">
        <f>SUMIFS(Table7[Balance],Table7[Cutter Mat'#],$B113)</f>
        <v>0</v>
      </c>
      <c r="U113" s="24">
        <f t="shared" si="10"/>
        <v>0</v>
      </c>
      <c r="V113" s="119"/>
      <c r="W113" s="2"/>
      <c r="Y113" s="4">
        <f>IFERROR(INDEX(Table5[],MATCH($B113,Table5[Component],0),2),0)</f>
        <v>0</v>
      </c>
      <c r="Z113" s="4">
        <f>IFERROR(INDEX(Table5[],MATCH($B113,Table5[Component],0),1),0)</f>
        <v>0</v>
      </c>
      <c r="AA113" s="4" t="str">
        <f>IF(Y113&lt;&gt;0,B113,"")</f>
        <v/>
      </c>
      <c r="AB113" s="4" t="str">
        <f t="shared" si="11"/>
        <v/>
      </c>
      <c r="AD113" s="4">
        <f t="shared" si="12"/>
        <v>0</v>
      </c>
      <c r="AE113" s="9"/>
      <c r="AI113" s="248" t="str">
        <f>IFERROR(INDEX($B$1:$AK$243,MATCH(W113,$B$1:$B$243,0),13),"")</f>
        <v/>
      </c>
      <c r="AJ113" s="248" t="str">
        <f>IFERROR(INDEX($B$1:$AK$243,MATCH(W113,$B$1:$B$243,0),15),"")</f>
        <v/>
      </c>
      <c r="AK113">
        <f>SUMIF($W$2:$W$243,B113,$S$2:$S$243)</f>
        <v>0</v>
      </c>
      <c r="AP113">
        <f t="shared" si="13"/>
        <v>0</v>
      </c>
      <c r="AR113">
        <v>1010264</v>
      </c>
      <c r="AS113">
        <f>SUMIF($B:$B,AR113,$AP:$AP)</f>
        <v>0</v>
      </c>
    </row>
    <row r="114" spans="1:45" ht="15.65" customHeight="1" x14ac:dyDescent="0.35">
      <c r="A114" s="2">
        <v>113</v>
      </c>
      <c r="B114" s="2">
        <v>1130198</v>
      </c>
      <c r="C114" s="2" t="s">
        <v>4338</v>
      </c>
      <c r="D114" s="2" t="s">
        <v>114</v>
      </c>
      <c r="E114" s="2">
        <v>1613</v>
      </c>
      <c r="F114" s="2" t="s">
        <v>253</v>
      </c>
      <c r="G114" s="2" t="s">
        <v>4275</v>
      </c>
      <c r="H114" s="10">
        <f>SUMIFS('Cutters Consumption Updates'!$F:$F,'Cutters Consumption Updates'!$D:$D,H$1,'Cutters Consumption Updates'!$B:$B,$B114)-SUMIFS('Cutters Consumption Updates'!$E:$E,'Cutters Consumption Updates'!$D:$D,H$1,'Cutters Consumption Updates'!$B:$B,$B114)+ SUMIF('Cutters Consumption Updates'!$AS:$AS,$B114,'Cutters Consumption Updates'!AT:AT)</f>
        <v>-78</v>
      </c>
      <c r="I114" s="10">
        <f>SUMIFS('Cutters Consumption Updates'!$F:$F,'Cutters Consumption Updates'!$D:$D,I$1,'Cutters Consumption Updates'!$B:$B,$B114)-SUMIFS('Cutters Consumption Updates'!$E:$E,'Cutters Consumption Updates'!$D:$D,I$1,'Cutters Consumption Updates'!$B:$B,$B114)+ SUMIF('Cutters Consumption Updates'!$AS:$AS,$B114,'Cutters Consumption Updates'!AU:AU)</f>
        <v>21</v>
      </c>
      <c r="J114" s="116">
        <f>SUMIFS('Cutters Consumption Updates'!$F:$F,'Cutters Consumption Updates'!$D:$D,J$1,'Cutters Consumption Updates'!$B:$B,$B114)-SUMIFS('Cutters Consumption Updates'!$E:$E,'Cutters Consumption Updates'!$D:$D,J$1,'Cutters Consumption Updates'!$B:$B,$B114)+ SUMIF('Cutters Consumption Updates'!$AS:$AS,$B114,'Cutters Consumption Updates'!AV:AV)</f>
        <v>118</v>
      </c>
      <c r="K114" s="738">
        <f>SUMIFS('Cutters Consumption Updates'!$F:$F,'Cutters Consumption Updates'!$D:$D,K$1,'Cutters Consumption Updates'!$B:$B,$B114)-SUMIFS('Cutters Consumption Updates'!$E:$E,'Cutters Consumption Updates'!$D:$D,K$1,'Cutters Consumption Updates'!$B:$B,$B114)+ SUMIF('Cutters Consumption Updates'!$AS:$AS,$B114,'Cutters Consumption Updates'!AW:AW)</f>
        <v>30</v>
      </c>
      <c r="L114" s="116">
        <f>SUMIFS('Cutters Consumption Updates'!$F:$F,'Cutters Consumption Updates'!$D:$D,L$1,'Cutters Consumption Updates'!$B:$B,$B114)-SUMIFS('Cutters Consumption Updates'!$E:$E,'Cutters Consumption Updates'!$D:$D,$L$1,'Cutters Consumption Updates'!$B:$B,$B114)+SUMIFS('Cutters Consumption Updates'!$F:$F,'Cutters Consumption Updates'!$D:$D,"Retrofit",'Cutters Consumption Updates'!$B:$B,$B114)-SUMIFS('Cutters Consumption Updates'!$E:$E,'Cutters Consumption Updates'!$D:$D,"Retrofit",'Cutters Consumption Updates'!$B:$B,$B114)+ SUMIF('Cutters Consumption Updates'!$AS:$AS,$B114,'Cutters Consumption Updates'!AX:AX)</f>
        <v>17</v>
      </c>
      <c r="M114" s="810">
        <f t="shared" si="7"/>
        <v>-61</v>
      </c>
      <c r="N114" s="810">
        <f ca="1">SUMIFS('Cutters Consumption Updates'!E:E,
        'Cutters Consumption Updates'!B:B, B114,
        'Cutters Consumption Updates'!A:A, "&gt;" &amp; TODAY()-182)</f>
        <v>632</v>
      </c>
      <c r="O114" s="810">
        <f ca="1">SUMIFS('Cutters Consumption Updates'!E:E,
        'Cutters Consumption Updates'!B:B, B114,
        'Cutters Consumption Updates'!A:A, "&gt;" &amp; TODAY()-91)</f>
        <v>190</v>
      </c>
      <c r="P114" s="810">
        <f t="shared" ca="1" si="8"/>
        <v>211</v>
      </c>
      <c r="Q114" s="703">
        <f t="shared" ca="1" si="9"/>
        <v>220</v>
      </c>
      <c r="R114" s="703" t="s">
        <v>64</v>
      </c>
      <c r="S114" s="24">
        <f>IFERROR(INDEX(Table5[],MATCH($B114,Table5[Component],0),2),0)</f>
        <v>0</v>
      </c>
      <c r="T114" s="813">
        <f>SUMIFS(Table7[Balance],Table7[Cutter Mat'#],$B114)</f>
        <v>0</v>
      </c>
      <c r="U114" s="24">
        <f t="shared" si="10"/>
        <v>-61</v>
      </c>
      <c r="V114" s="119"/>
      <c r="W114" s="2"/>
      <c r="Y114" s="4">
        <f>IFERROR(INDEX(Table5[],MATCH($B114,Table5[Component],0),2),0)</f>
        <v>0</v>
      </c>
      <c r="Z114" s="4">
        <f>IFERROR(INDEX(Table5[],MATCH($B114,Table5[Component],0),1),0)</f>
        <v>0</v>
      </c>
      <c r="AA114" s="4" t="str">
        <f>IF(Y114&lt;&gt;0,B114,"")</f>
        <v/>
      </c>
      <c r="AB114" s="4" t="str">
        <f t="shared" si="11"/>
        <v/>
      </c>
      <c r="AD114" s="4">
        <f t="shared" si="12"/>
        <v>78</v>
      </c>
      <c r="AE114" s="9"/>
      <c r="AI114" s="248" t="str">
        <f>IFERROR(INDEX($B$1:$AK$243,MATCH(W114,$B$1:$B$243,0),13),"")</f>
        <v/>
      </c>
      <c r="AJ114" s="248" t="str">
        <f>IFERROR(INDEX($B$1:$AK$243,MATCH(W114,$B$1:$B$243,0),15),"")</f>
        <v/>
      </c>
      <c r="AK114">
        <f>SUMIF($W$2:$W$243,B114,$S$2:$S$243)</f>
        <v>0</v>
      </c>
      <c r="AP114">
        <f t="shared" si="13"/>
        <v>0</v>
      </c>
      <c r="AR114">
        <v>1014885</v>
      </c>
      <c r="AS114">
        <f>SUMIF($B:$B,AR114,$AP:$AP)</f>
        <v>0</v>
      </c>
    </row>
    <row r="115" spans="1:45" ht="15.65" customHeight="1" x14ac:dyDescent="0.35">
      <c r="A115" s="2">
        <v>114</v>
      </c>
      <c r="B115" s="2">
        <v>1130196</v>
      </c>
      <c r="C115" s="2" t="s">
        <v>4465</v>
      </c>
      <c r="D115" s="2" t="s">
        <v>114</v>
      </c>
      <c r="E115" s="2">
        <v>1313</v>
      </c>
      <c r="F115" s="2" t="s">
        <v>253</v>
      </c>
      <c r="G115" s="2" t="s">
        <v>4275</v>
      </c>
      <c r="H115" s="10">
        <f>SUMIFS('Cutters Consumption Updates'!$F:$F,'Cutters Consumption Updates'!$D:$D,H$1,'Cutters Consumption Updates'!$B:$B,$B115)-SUMIFS('Cutters Consumption Updates'!$E:$E,'Cutters Consumption Updates'!$D:$D,H$1,'Cutters Consumption Updates'!$B:$B,$B115)+ SUMIF('Cutters Consumption Updates'!$AS:$AS,$B115,'Cutters Consumption Updates'!AT:AT)</f>
        <v>0</v>
      </c>
      <c r="I115" s="10">
        <f>SUMIFS('Cutters Consumption Updates'!$F:$F,'Cutters Consumption Updates'!$D:$D,I$1,'Cutters Consumption Updates'!$B:$B,$B115)-SUMIFS('Cutters Consumption Updates'!$E:$E,'Cutters Consumption Updates'!$D:$D,I$1,'Cutters Consumption Updates'!$B:$B,$B115)+ SUMIF('Cutters Consumption Updates'!$AS:$AS,$B115,'Cutters Consumption Updates'!AU:AU)</f>
        <v>0</v>
      </c>
      <c r="J115" s="116">
        <f>SUMIFS('Cutters Consumption Updates'!$F:$F,'Cutters Consumption Updates'!$D:$D,J$1,'Cutters Consumption Updates'!$B:$B,$B115)-SUMIFS('Cutters Consumption Updates'!$E:$E,'Cutters Consumption Updates'!$D:$D,J$1,'Cutters Consumption Updates'!$B:$B,$B115)+ SUMIF('Cutters Consumption Updates'!$AS:$AS,$B115,'Cutters Consumption Updates'!AV:AV)</f>
        <v>0</v>
      </c>
      <c r="K115" s="738">
        <f>SUMIFS('Cutters Consumption Updates'!$F:$F,'Cutters Consumption Updates'!$D:$D,K$1,'Cutters Consumption Updates'!$B:$B,$B115)-SUMIFS('Cutters Consumption Updates'!$E:$E,'Cutters Consumption Updates'!$D:$D,K$1,'Cutters Consumption Updates'!$B:$B,$B115)+ SUMIF('Cutters Consumption Updates'!$AS:$AS,$B115,'Cutters Consumption Updates'!AW:AW)</f>
        <v>0</v>
      </c>
      <c r="L115" s="116">
        <f>SUMIFS('Cutters Consumption Updates'!$F:$F,'Cutters Consumption Updates'!$D:$D,L$1,'Cutters Consumption Updates'!$B:$B,$B115)-SUMIFS('Cutters Consumption Updates'!$E:$E,'Cutters Consumption Updates'!$D:$D,$L$1,'Cutters Consumption Updates'!$B:$B,$B115)+SUMIFS('Cutters Consumption Updates'!$F:$F,'Cutters Consumption Updates'!$D:$D,"Retrofit",'Cutters Consumption Updates'!$B:$B,$B115)-SUMIFS('Cutters Consumption Updates'!$E:$E,'Cutters Consumption Updates'!$D:$D,"Retrofit",'Cutters Consumption Updates'!$B:$B,$B115)+ SUMIF('Cutters Consumption Updates'!$AS:$AS,$B115,'Cutters Consumption Updates'!AX:AX)</f>
        <v>0</v>
      </c>
      <c r="M115" s="810">
        <f t="shared" si="7"/>
        <v>0</v>
      </c>
      <c r="N115" s="810">
        <f ca="1">SUMIFS('Cutters Consumption Updates'!E:E,
        'Cutters Consumption Updates'!B:B, B115,
        'Cutters Consumption Updates'!A:A, "&gt;" &amp; TODAY()-182)</f>
        <v>6</v>
      </c>
      <c r="O115" s="810">
        <f ca="1">SUMIFS('Cutters Consumption Updates'!E:E,
        'Cutters Consumption Updates'!B:B, B115,
        'Cutters Consumption Updates'!A:A, "&gt;" &amp; TODAY()-91)</f>
        <v>6</v>
      </c>
      <c r="P115" s="810">
        <f t="shared" ca="1" si="8"/>
        <v>2</v>
      </c>
      <c r="Q115" s="703">
        <f t="shared" ca="1" si="9"/>
        <v>5</v>
      </c>
      <c r="R115" s="703" t="s">
        <v>89</v>
      </c>
      <c r="S115" s="24">
        <f>IFERROR(INDEX(Table5[],MATCH($B115,Table5[Component],0),2),0)</f>
        <v>77</v>
      </c>
      <c r="T115" s="813">
        <f>SUMIFS(Table7[Balance],Table7[Cutter Mat'#],$B115)</f>
        <v>0</v>
      </c>
      <c r="U115" s="24">
        <f t="shared" si="10"/>
        <v>-77</v>
      </c>
      <c r="V115" s="119"/>
      <c r="W115" s="2">
        <v>1100751</v>
      </c>
      <c r="Y115" s="4">
        <f>IFERROR(INDEX(Table5[],MATCH($B115,Table5[Component],0),2),0)</f>
        <v>77</v>
      </c>
      <c r="Z115" s="4">
        <f>IFERROR(INDEX(Table5[],MATCH($B115,Table5[Component],0),1),0)</f>
        <v>1130196</v>
      </c>
      <c r="AA115" s="4">
        <f>IF(Y115&lt;&gt;0,B115,"")</f>
        <v>1130196</v>
      </c>
      <c r="AB115" s="4" t="str">
        <f t="shared" si="11"/>
        <v/>
      </c>
      <c r="AD115" s="4">
        <f t="shared" si="12"/>
        <v>0</v>
      </c>
      <c r="AE115" s="9"/>
      <c r="AI115" s="248">
        <f ca="1">IFERROR(INDEX($B$1:$AK$243,MATCH(W115,$B$1:$B$243,0),13),"")</f>
        <v>30</v>
      </c>
      <c r="AJ115" s="248">
        <f ca="1">IFERROR(INDEX($B$1:$AK$243,MATCH(W115,$B$1:$B$243,0),15),"")</f>
        <v>10</v>
      </c>
      <c r="AK115">
        <f>SUMIF($W$2:$W$243,B115,$S$2:$S$243)</f>
        <v>0</v>
      </c>
      <c r="AP115">
        <f t="shared" si="13"/>
        <v>0</v>
      </c>
      <c r="AR115">
        <v>1014939</v>
      </c>
      <c r="AS115">
        <f>SUMIF($B:$B,AR115,$AP:$AP)</f>
        <v>0</v>
      </c>
    </row>
    <row r="116" spans="1:45" ht="15.65" customHeight="1" x14ac:dyDescent="0.35">
      <c r="A116" s="2">
        <v>115</v>
      </c>
      <c r="B116" s="2">
        <v>752583</v>
      </c>
      <c r="C116" s="2" t="s">
        <v>4339</v>
      </c>
      <c r="D116" s="2" t="s">
        <v>76</v>
      </c>
      <c r="E116" s="2">
        <v>1913</v>
      </c>
      <c r="F116" s="2" t="s">
        <v>253</v>
      </c>
      <c r="G116" s="2" t="s">
        <v>28</v>
      </c>
      <c r="H116" s="10">
        <f>SUMIFS('Cutters Consumption Updates'!$F:$F,'Cutters Consumption Updates'!$D:$D,H$1,'Cutters Consumption Updates'!$B:$B,$B116)-SUMIFS('Cutters Consumption Updates'!$E:$E,'Cutters Consumption Updates'!$D:$D,H$1,'Cutters Consumption Updates'!$B:$B,$B116)+ SUMIF('Cutters Consumption Updates'!$AS:$AS,$B116,'Cutters Consumption Updates'!AT:AT)</f>
        <v>0</v>
      </c>
      <c r="I116" s="10">
        <f>SUMIFS('Cutters Consumption Updates'!$F:$F,'Cutters Consumption Updates'!$D:$D,I$1,'Cutters Consumption Updates'!$B:$B,$B116)-SUMIFS('Cutters Consumption Updates'!$E:$E,'Cutters Consumption Updates'!$D:$D,I$1,'Cutters Consumption Updates'!$B:$B,$B116)+ SUMIF('Cutters Consumption Updates'!$AS:$AS,$B116,'Cutters Consumption Updates'!AU:AU)</f>
        <v>0</v>
      </c>
      <c r="J116" s="116">
        <f>SUMIFS('Cutters Consumption Updates'!$F:$F,'Cutters Consumption Updates'!$D:$D,J$1,'Cutters Consumption Updates'!$B:$B,$B116)-SUMIFS('Cutters Consumption Updates'!$E:$E,'Cutters Consumption Updates'!$D:$D,J$1,'Cutters Consumption Updates'!$B:$B,$B116)+ SUMIF('Cutters Consumption Updates'!$AS:$AS,$B116,'Cutters Consumption Updates'!AV:AV)</f>
        <v>0</v>
      </c>
      <c r="K116" s="738">
        <f>SUMIFS('Cutters Consumption Updates'!$F:$F,'Cutters Consumption Updates'!$D:$D,K$1,'Cutters Consumption Updates'!$B:$B,$B116)-SUMIFS('Cutters Consumption Updates'!$E:$E,'Cutters Consumption Updates'!$D:$D,K$1,'Cutters Consumption Updates'!$B:$B,$B116)+ SUMIF('Cutters Consumption Updates'!$AS:$AS,$B116,'Cutters Consumption Updates'!AW:AW)</f>
        <v>3</v>
      </c>
      <c r="L116" s="116">
        <f>SUMIFS('Cutters Consumption Updates'!$F:$F,'Cutters Consumption Updates'!$D:$D,L$1,'Cutters Consumption Updates'!$B:$B,$B116)-SUMIFS('Cutters Consumption Updates'!$E:$E,'Cutters Consumption Updates'!$D:$D,$L$1,'Cutters Consumption Updates'!$B:$B,$B116)+SUMIFS('Cutters Consumption Updates'!$F:$F,'Cutters Consumption Updates'!$D:$D,"Retrofit",'Cutters Consumption Updates'!$B:$B,$B116)-SUMIFS('Cutters Consumption Updates'!$E:$E,'Cutters Consumption Updates'!$D:$D,"Retrofit",'Cutters Consumption Updates'!$B:$B,$B116)+ SUMIF('Cutters Consumption Updates'!$AS:$AS,$B116,'Cutters Consumption Updates'!AX:AX)</f>
        <v>0</v>
      </c>
      <c r="M116" s="810">
        <f t="shared" si="7"/>
        <v>0</v>
      </c>
      <c r="N116" s="810">
        <f ca="1">SUMIFS('Cutters Consumption Updates'!E:E,
        'Cutters Consumption Updates'!B:B, B116,
        'Cutters Consumption Updates'!A:A, "&gt;" &amp; TODAY()-182)</f>
        <v>0</v>
      </c>
      <c r="O116" s="810">
        <f ca="1">SUMIFS('Cutters Consumption Updates'!E:E,
        'Cutters Consumption Updates'!B:B, B116,
        'Cutters Consumption Updates'!A:A, "&gt;" &amp; TODAY()-91)</f>
        <v>0</v>
      </c>
      <c r="P116" s="810">
        <f t="shared" ca="1" si="8"/>
        <v>0</v>
      </c>
      <c r="Q116" s="703">
        <f t="shared" ca="1" si="9"/>
        <v>0</v>
      </c>
      <c r="R116" s="703" t="s">
        <v>29</v>
      </c>
      <c r="S116" s="24">
        <f>IFERROR(INDEX(Table5[],MATCH($B116,Table5[Component],0),2),0)</f>
        <v>0</v>
      </c>
      <c r="T116" s="813">
        <f>SUMIFS(Table7[Balance],Table7[Cutter Mat'#],$B116)</f>
        <v>0</v>
      </c>
      <c r="U116" s="24">
        <f t="shared" si="10"/>
        <v>0</v>
      </c>
      <c r="V116" s="119"/>
      <c r="W116" s="2"/>
      <c r="Y116" s="4">
        <f>IFERROR(INDEX(Table5[],MATCH($B116,Table5[Component],0),2),0)</f>
        <v>0</v>
      </c>
      <c r="Z116" s="4">
        <f>IFERROR(INDEX(Table5[],MATCH($B116,Table5[Component],0),1),0)</f>
        <v>0</v>
      </c>
      <c r="AA116" s="4" t="str">
        <f>IF(Y116&lt;&gt;0,B116,"")</f>
        <v/>
      </c>
      <c r="AB116" s="4" t="str">
        <f t="shared" si="11"/>
        <v/>
      </c>
      <c r="AD116" s="4">
        <f t="shared" si="12"/>
        <v>0</v>
      </c>
      <c r="AE116" s="9"/>
      <c r="AI116" s="248" t="str">
        <f>IFERROR(INDEX($B$1:$AK$243,MATCH(W116,$B$1:$B$243,0),13),"")</f>
        <v/>
      </c>
      <c r="AJ116" s="248" t="str">
        <f>IFERROR(INDEX($B$1:$AK$243,MATCH(W116,$B$1:$B$243,0),15),"")</f>
        <v/>
      </c>
      <c r="AK116">
        <f>SUMIF($W$2:$W$243,B116,$S$2:$S$243)</f>
        <v>0</v>
      </c>
      <c r="AP116">
        <f t="shared" si="13"/>
        <v>0</v>
      </c>
      <c r="AR116">
        <v>1014941</v>
      </c>
      <c r="AS116">
        <f>SUMIF($B:$B,AR116,$AP:$AP)</f>
        <v>0</v>
      </c>
    </row>
    <row r="117" spans="1:45" ht="15.65" customHeight="1" x14ac:dyDescent="0.35">
      <c r="A117" s="2">
        <v>116</v>
      </c>
      <c r="B117" s="2">
        <v>1100741</v>
      </c>
      <c r="C117" s="2" t="s">
        <v>4340</v>
      </c>
      <c r="D117" s="2" t="s">
        <v>111</v>
      </c>
      <c r="E117" s="2">
        <v>1613</v>
      </c>
      <c r="F117" s="2" t="s">
        <v>253</v>
      </c>
      <c r="G117" s="2" t="s">
        <v>4314</v>
      </c>
      <c r="H117" s="10">
        <f>SUMIFS('Cutters Consumption Updates'!$F:$F,'Cutters Consumption Updates'!$D:$D,H$1,'Cutters Consumption Updates'!$B:$B,$B117)-SUMIFS('Cutters Consumption Updates'!$E:$E,'Cutters Consumption Updates'!$D:$D,H$1,'Cutters Consumption Updates'!$B:$B,$B117)+ SUMIF('Cutters Consumption Updates'!$AS:$AS,$B117,'Cutters Consumption Updates'!AT:AT)</f>
        <v>0</v>
      </c>
      <c r="I117" s="10">
        <f>SUMIFS('Cutters Consumption Updates'!$F:$F,'Cutters Consumption Updates'!$D:$D,I$1,'Cutters Consumption Updates'!$B:$B,$B117)-SUMIFS('Cutters Consumption Updates'!$E:$E,'Cutters Consumption Updates'!$D:$D,I$1,'Cutters Consumption Updates'!$B:$B,$B117)+ SUMIF('Cutters Consumption Updates'!$AS:$AS,$B117,'Cutters Consumption Updates'!AU:AU)</f>
        <v>0</v>
      </c>
      <c r="J117" s="116">
        <f>SUMIFS('Cutters Consumption Updates'!$F:$F,'Cutters Consumption Updates'!$D:$D,J$1,'Cutters Consumption Updates'!$B:$B,$B117)-SUMIFS('Cutters Consumption Updates'!$E:$E,'Cutters Consumption Updates'!$D:$D,J$1,'Cutters Consumption Updates'!$B:$B,$B117)+ SUMIF('Cutters Consumption Updates'!$AS:$AS,$B117,'Cutters Consumption Updates'!AV:AV)</f>
        <v>5</v>
      </c>
      <c r="K117" s="738">
        <f>SUMIFS('Cutters Consumption Updates'!$F:$F,'Cutters Consumption Updates'!$D:$D,K$1,'Cutters Consumption Updates'!$B:$B,$B117)-SUMIFS('Cutters Consumption Updates'!$E:$E,'Cutters Consumption Updates'!$D:$D,K$1,'Cutters Consumption Updates'!$B:$B,$B117)+ SUMIF('Cutters Consumption Updates'!$AS:$AS,$B117,'Cutters Consumption Updates'!AW:AW)</f>
        <v>0</v>
      </c>
      <c r="L117" s="116">
        <f>SUMIFS('Cutters Consumption Updates'!$F:$F,'Cutters Consumption Updates'!$D:$D,L$1,'Cutters Consumption Updates'!$B:$B,$B117)-SUMIFS('Cutters Consumption Updates'!$E:$E,'Cutters Consumption Updates'!$D:$D,$L$1,'Cutters Consumption Updates'!$B:$B,$B117)+SUMIFS('Cutters Consumption Updates'!$F:$F,'Cutters Consumption Updates'!$D:$D,"Retrofit",'Cutters Consumption Updates'!$B:$B,$B117)-SUMIFS('Cutters Consumption Updates'!$E:$E,'Cutters Consumption Updates'!$D:$D,"Retrofit",'Cutters Consumption Updates'!$B:$B,$B117)+ SUMIF('Cutters Consumption Updates'!$AS:$AS,$B117,'Cutters Consumption Updates'!AX:AX)</f>
        <v>26</v>
      </c>
      <c r="M117" s="810">
        <f t="shared" si="7"/>
        <v>26</v>
      </c>
      <c r="N117" s="810">
        <f ca="1">SUMIFS('Cutters Consumption Updates'!E:E,
        'Cutters Consumption Updates'!B:B, B117,
        'Cutters Consumption Updates'!A:A, "&gt;" &amp; TODAY()-182)</f>
        <v>0</v>
      </c>
      <c r="O117" s="810">
        <f ca="1">SUMIFS('Cutters Consumption Updates'!E:E,
        'Cutters Consumption Updates'!B:B, B117,
        'Cutters Consumption Updates'!A:A, "&gt;" &amp; TODAY()-91)</f>
        <v>0</v>
      </c>
      <c r="P117" s="810">
        <f t="shared" ca="1" si="8"/>
        <v>0</v>
      </c>
      <c r="Q117" s="703">
        <f t="shared" ca="1" si="9"/>
        <v>0</v>
      </c>
      <c r="R117" s="703" t="s">
        <v>115</v>
      </c>
      <c r="S117" s="24">
        <f>IFERROR(INDEX(Table5[],MATCH($B117,Table5[Component],0),2),0)</f>
        <v>0</v>
      </c>
      <c r="T117" s="813">
        <f>SUMIFS(Table7[Balance],Table7[Cutter Mat'#],$B117)</f>
        <v>0</v>
      </c>
      <c r="U117" s="24">
        <f t="shared" si="10"/>
        <v>26</v>
      </c>
      <c r="V117" s="119"/>
      <c r="W117" s="2"/>
      <c r="Y117" s="4">
        <f>IFERROR(INDEX(Table5[],MATCH($B117,Table5[Component],0),2),0)</f>
        <v>0</v>
      </c>
      <c r="Z117" s="4">
        <f>IFERROR(INDEX(Table5[],MATCH($B117,Table5[Component],0),1),0)</f>
        <v>0</v>
      </c>
      <c r="AA117" s="4" t="str">
        <f>IF(Y117&lt;&gt;0,B117,"")</f>
        <v/>
      </c>
      <c r="AB117" s="4" t="str">
        <f t="shared" si="11"/>
        <v/>
      </c>
      <c r="AD117" s="4">
        <f t="shared" si="12"/>
        <v>31</v>
      </c>
      <c r="AE117" s="9"/>
      <c r="AI117" s="248" t="str">
        <f>IFERROR(INDEX($B$1:$AK$243,MATCH(W117,$B$1:$B$243,0),13),"")</f>
        <v/>
      </c>
      <c r="AJ117" s="248" t="str">
        <f>IFERROR(INDEX($B$1:$AK$243,MATCH(W117,$B$1:$B$243,0),15),"")</f>
        <v/>
      </c>
      <c r="AK117">
        <f>SUMIF($W$2:$W$243,B117,$S$2:$S$243)</f>
        <v>0</v>
      </c>
      <c r="AP117">
        <f t="shared" si="13"/>
        <v>0</v>
      </c>
      <c r="AR117">
        <v>1014950</v>
      </c>
      <c r="AS117">
        <f>SUMIF($B:$B,AR117,$AP:$AP)</f>
        <v>0</v>
      </c>
    </row>
    <row r="118" spans="1:45" ht="15.65" customHeight="1" x14ac:dyDescent="0.35">
      <c r="A118" s="2">
        <v>117</v>
      </c>
      <c r="B118" s="2">
        <v>1014941</v>
      </c>
      <c r="C118" s="2" t="s">
        <v>4341</v>
      </c>
      <c r="D118" s="2" t="s">
        <v>91</v>
      </c>
      <c r="E118" s="2">
        <v>1613</v>
      </c>
      <c r="F118" s="2" t="s">
        <v>253</v>
      </c>
      <c r="G118" s="2" t="s">
        <v>4275</v>
      </c>
      <c r="H118" s="10">
        <f>SUMIFS('Cutters Consumption Updates'!$F:$F,'Cutters Consumption Updates'!$D:$D,H$1,'Cutters Consumption Updates'!$B:$B,$B118)-SUMIFS('Cutters Consumption Updates'!$E:$E,'Cutters Consumption Updates'!$D:$D,H$1,'Cutters Consumption Updates'!$B:$B,$B118)+ SUMIF('Cutters Consumption Updates'!$AS:$AS,$B118,'Cutters Consumption Updates'!AT:AT)</f>
        <v>0</v>
      </c>
      <c r="I118" s="10">
        <f>SUMIFS('Cutters Consumption Updates'!$F:$F,'Cutters Consumption Updates'!$D:$D,I$1,'Cutters Consumption Updates'!$B:$B,$B118)-SUMIFS('Cutters Consumption Updates'!$E:$E,'Cutters Consumption Updates'!$D:$D,I$1,'Cutters Consumption Updates'!$B:$B,$B118)+ SUMIF('Cutters Consumption Updates'!$AS:$AS,$B118,'Cutters Consumption Updates'!AU:AU)</f>
        <v>0</v>
      </c>
      <c r="J118" s="116">
        <f>SUMIFS('Cutters Consumption Updates'!$F:$F,'Cutters Consumption Updates'!$D:$D,J$1,'Cutters Consumption Updates'!$B:$B,$B118)-SUMIFS('Cutters Consumption Updates'!$E:$E,'Cutters Consumption Updates'!$D:$D,J$1,'Cutters Consumption Updates'!$B:$B,$B118)+ SUMIF('Cutters Consumption Updates'!$AS:$AS,$B118,'Cutters Consumption Updates'!AV:AV)</f>
        <v>0</v>
      </c>
      <c r="K118" s="738">
        <f>SUMIFS('Cutters Consumption Updates'!$F:$F,'Cutters Consumption Updates'!$D:$D,K$1,'Cutters Consumption Updates'!$B:$B,$B118)-SUMIFS('Cutters Consumption Updates'!$E:$E,'Cutters Consumption Updates'!$D:$D,K$1,'Cutters Consumption Updates'!$B:$B,$B118)+ SUMIF('Cutters Consumption Updates'!$AS:$AS,$B118,'Cutters Consumption Updates'!AW:AW)</f>
        <v>6</v>
      </c>
      <c r="L118" s="116">
        <f>SUMIFS('Cutters Consumption Updates'!$F:$F,'Cutters Consumption Updates'!$D:$D,L$1,'Cutters Consumption Updates'!$B:$B,$B118)-SUMIFS('Cutters Consumption Updates'!$E:$E,'Cutters Consumption Updates'!$D:$D,$L$1,'Cutters Consumption Updates'!$B:$B,$B118)+SUMIFS('Cutters Consumption Updates'!$F:$F,'Cutters Consumption Updates'!$D:$D,"Retrofit",'Cutters Consumption Updates'!$B:$B,$B118)-SUMIFS('Cutters Consumption Updates'!$E:$E,'Cutters Consumption Updates'!$D:$D,"Retrofit",'Cutters Consumption Updates'!$B:$B,$B118)+ SUMIF('Cutters Consumption Updates'!$AS:$AS,$B118,'Cutters Consumption Updates'!AX:AX)</f>
        <v>1</v>
      </c>
      <c r="M118" s="810">
        <f t="shared" si="7"/>
        <v>1</v>
      </c>
      <c r="N118" s="810">
        <f ca="1">SUMIFS('Cutters Consumption Updates'!E:E,
        'Cutters Consumption Updates'!B:B, B118,
        'Cutters Consumption Updates'!A:A, "&gt;" &amp; TODAY()-182)</f>
        <v>0</v>
      </c>
      <c r="O118" s="810">
        <f ca="1">SUMIFS('Cutters Consumption Updates'!E:E,
        'Cutters Consumption Updates'!B:B, B118,
        'Cutters Consumption Updates'!A:A, "&gt;" &amp; TODAY()-91)</f>
        <v>0</v>
      </c>
      <c r="P118" s="810">
        <f t="shared" ca="1" si="8"/>
        <v>0</v>
      </c>
      <c r="Q118" s="703">
        <f t="shared" ca="1" si="9"/>
        <v>0</v>
      </c>
      <c r="R118" s="703" t="s">
        <v>29</v>
      </c>
      <c r="S118" s="24">
        <f>IFERROR(INDEX(Table5[],MATCH($B118,Table5[Component],0),2),0)</f>
        <v>0</v>
      </c>
      <c r="T118" s="813">
        <f>SUMIFS(Table7[Balance],Table7[Cutter Mat'#],$B118)</f>
        <v>0</v>
      </c>
      <c r="U118" s="24">
        <f t="shared" si="10"/>
        <v>1</v>
      </c>
      <c r="V118" s="119"/>
      <c r="W118" s="2"/>
      <c r="Y118" s="4">
        <f>IFERROR(INDEX(Table5[],MATCH($B118,Table5[Component],0),2),0)</f>
        <v>0</v>
      </c>
      <c r="Z118" s="4">
        <f>IFERROR(INDEX(Table5[],MATCH($B118,Table5[Component],0),1),0)</f>
        <v>0</v>
      </c>
      <c r="AA118" s="4" t="str">
        <f>IF(Y118&lt;&gt;0,B118,"")</f>
        <v/>
      </c>
      <c r="AB118" s="4" t="str">
        <f t="shared" si="11"/>
        <v/>
      </c>
      <c r="AD118" s="4">
        <f t="shared" si="12"/>
        <v>1</v>
      </c>
      <c r="AE118" s="9"/>
      <c r="AI118" s="248" t="str">
        <f>IFERROR(INDEX($B$1:$AK$243,MATCH(W118,$B$1:$B$243,0),13),"")</f>
        <v/>
      </c>
      <c r="AJ118" s="248" t="str">
        <f>IFERROR(INDEX($B$1:$AK$243,MATCH(W118,$B$1:$B$243,0),15),"")</f>
        <v/>
      </c>
      <c r="AK118">
        <f>SUMIF($W$2:$W$243,B118,$S$2:$S$243)</f>
        <v>0</v>
      </c>
      <c r="AP118">
        <f t="shared" si="13"/>
        <v>0</v>
      </c>
      <c r="AR118">
        <v>1017002</v>
      </c>
      <c r="AS118">
        <f>SUMIF($B:$B,AR118,$AP:$AP)</f>
        <v>0</v>
      </c>
    </row>
    <row r="119" spans="1:45" ht="15.65" customHeight="1" x14ac:dyDescent="0.35">
      <c r="A119" s="2">
        <v>118</v>
      </c>
      <c r="B119" s="2">
        <v>1130200</v>
      </c>
      <c r="C119" s="2" t="s">
        <v>4342</v>
      </c>
      <c r="D119" s="2" t="s">
        <v>114</v>
      </c>
      <c r="E119" s="2">
        <v>1913</v>
      </c>
      <c r="F119" s="2" t="s">
        <v>253</v>
      </c>
      <c r="G119" s="2" t="s">
        <v>4275</v>
      </c>
      <c r="H119" s="10">
        <f>SUMIFS('Cutters Consumption Updates'!$F:$F,'Cutters Consumption Updates'!$D:$D,H$1,'Cutters Consumption Updates'!$B:$B,$B119)-SUMIFS('Cutters Consumption Updates'!$E:$E,'Cutters Consumption Updates'!$D:$D,H$1,'Cutters Consumption Updates'!$B:$B,$B119)+ SUMIF('Cutters Consumption Updates'!$AS:$AS,$B119,'Cutters Consumption Updates'!AT:AT)</f>
        <v>5</v>
      </c>
      <c r="I119" s="10">
        <f>SUMIFS('Cutters Consumption Updates'!$F:$F,'Cutters Consumption Updates'!$D:$D,I$1,'Cutters Consumption Updates'!$B:$B,$B119)-SUMIFS('Cutters Consumption Updates'!$E:$E,'Cutters Consumption Updates'!$D:$D,I$1,'Cutters Consumption Updates'!$B:$B,$B119)+ SUMIF('Cutters Consumption Updates'!$AS:$AS,$B119,'Cutters Consumption Updates'!AU:AU)</f>
        <v>0</v>
      </c>
      <c r="J119" s="116">
        <f>SUMIFS('Cutters Consumption Updates'!$F:$F,'Cutters Consumption Updates'!$D:$D,J$1,'Cutters Consumption Updates'!$B:$B,$B119)-SUMIFS('Cutters Consumption Updates'!$E:$E,'Cutters Consumption Updates'!$D:$D,J$1,'Cutters Consumption Updates'!$B:$B,$B119)+ SUMIF('Cutters Consumption Updates'!$AS:$AS,$B119,'Cutters Consumption Updates'!AV:AV)</f>
        <v>10</v>
      </c>
      <c r="K119" s="738">
        <f>SUMIFS('Cutters Consumption Updates'!$F:$F,'Cutters Consumption Updates'!$D:$D,K$1,'Cutters Consumption Updates'!$B:$B,$B119)-SUMIFS('Cutters Consumption Updates'!$E:$E,'Cutters Consumption Updates'!$D:$D,K$1,'Cutters Consumption Updates'!$B:$B,$B119)+ SUMIF('Cutters Consumption Updates'!$AS:$AS,$B119,'Cutters Consumption Updates'!AW:AW)</f>
        <v>0</v>
      </c>
      <c r="L119" s="116">
        <f>SUMIFS('Cutters Consumption Updates'!$F:$F,'Cutters Consumption Updates'!$D:$D,L$1,'Cutters Consumption Updates'!$B:$B,$B119)-SUMIFS('Cutters Consumption Updates'!$E:$E,'Cutters Consumption Updates'!$D:$D,$L$1,'Cutters Consumption Updates'!$B:$B,$B119)+SUMIFS('Cutters Consumption Updates'!$F:$F,'Cutters Consumption Updates'!$D:$D,"Retrofit",'Cutters Consumption Updates'!$B:$B,$B119)-SUMIFS('Cutters Consumption Updates'!$E:$E,'Cutters Consumption Updates'!$D:$D,"Retrofit",'Cutters Consumption Updates'!$B:$B,$B119)+ SUMIF('Cutters Consumption Updates'!$AS:$AS,$B119,'Cutters Consumption Updates'!AX:AX)</f>
        <v>1</v>
      </c>
      <c r="M119" s="810">
        <f t="shared" si="7"/>
        <v>6</v>
      </c>
      <c r="N119" s="810">
        <f ca="1">SUMIFS('Cutters Consumption Updates'!E:E,
        'Cutters Consumption Updates'!B:B, B119,
        'Cutters Consumption Updates'!A:A, "&gt;" &amp; TODAY()-182)</f>
        <v>108</v>
      </c>
      <c r="O119" s="810">
        <f ca="1">SUMIFS('Cutters Consumption Updates'!E:E,
        'Cutters Consumption Updates'!B:B, B119,
        'Cutters Consumption Updates'!A:A, "&gt;" &amp; TODAY()-91)</f>
        <v>108</v>
      </c>
      <c r="P119" s="810">
        <f t="shared" ca="1" si="8"/>
        <v>36</v>
      </c>
      <c r="Q119" s="703">
        <f t="shared" ca="1" si="9"/>
        <v>40</v>
      </c>
      <c r="R119" s="703" t="s">
        <v>63</v>
      </c>
      <c r="S119" s="24">
        <f>IFERROR(INDEX(Table5[],MATCH($B119,Table5[Component],0),2),0)</f>
        <v>0</v>
      </c>
      <c r="T119" s="813">
        <f>SUMIFS(Table7[Balance],Table7[Cutter Mat'#],$B119)</f>
        <v>0</v>
      </c>
      <c r="U119" s="24">
        <f t="shared" si="10"/>
        <v>6</v>
      </c>
      <c r="V119" s="123"/>
      <c r="W119" s="2"/>
      <c r="X119"/>
      <c r="Y119" s="4">
        <f>IFERROR(INDEX(Table5[],MATCH($B119,Table5[Component],0),2),0)</f>
        <v>0</v>
      </c>
      <c r="Z119" s="4">
        <f>IFERROR(INDEX(Table5[],MATCH($B119,Table5[Component],0),1),0)</f>
        <v>0</v>
      </c>
      <c r="AA119" s="4" t="str">
        <f>IF(Y119&lt;&gt;0,B119,"")</f>
        <v/>
      </c>
      <c r="AB119" s="4" t="str">
        <f t="shared" si="11"/>
        <v/>
      </c>
      <c r="AD119" s="4">
        <f t="shared" si="12"/>
        <v>16</v>
      </c>
      <c r="AE119" s="9"/>
      <c r="AI119" s="248" t="str">
        <f>IFERROR(INDEX($B$1:$AK$243,MATCH(W119,$B$1:$B$243,0),13),"")</f>
        <v/>
      </c>
      <c r="AJ119" s="248" t="str">
        <f>IFERROR(INDEX($B$1:$AK$243,MATCH(W119,$B$1:$B$243,0),15),"")</f>
        <v/>
      </c>
      <c r="AK119">
        <f>SUMIF($W$2:$W$243,B119,$S$2:$S$243)</f>
        <v>0</v>
      </c>
      <c r="AP119">
        <f t="shared" si="13"/>
        <v>0</v>
      </c>
      <c r="AR119">
        <v>1022971</v>
      </c>
      <c r="AS119">
        <f>SUMIF($B:$B,AR119,$AP:$AP)</f>
        <v>0</v>
      </c>
    </row>
    <row r="120" spans="1:45" ht="15.65" customHeight="1" x14ac:dyDescent="0.35">
      <c r="A120" s="2">
        <v>119</v>
      </c>
      <c r="B120" s="2">
        <v>1144821</v>
      </c>
      <c r="C120" s="2" t="s">
        <v>4343</v>
      </c>
      <c r="D120" s="2" t="s">
        <v>4240</v>
      </c>
      <c r="E120" s="2">
        <v>1613</v>
      </c>
      <c r="F120" s="2" t="s">
        <v>253</v>
      </c>
      <c r="G120" s="2" t="s">
        <v>4275</v>
      </c>
      <c r="H120" s="10">
        <f>SUMIFS('Cutters Consumption Updates'!$F:$F,'Cutters Consumption Updates'!$D:$D,H$1,'Cutters Consumption Updates'!$B:$B,$B120)-SUMIFS('Cutters Consumption Updates'!$E:$E,'Cutters Consumption Updates'!$D:$D,H$1,'Cutters Consumption Updates'!$B:$B,$B120)+ SUMIF('Cutters Consumption Updates'!$AS:$AS,$B120,'Cutters Consumption Updates'!AT:AT)</f>
        <v>0</v>
      </c>
      <c r="I120" s="10">
        <f>SUMIFS('Cutters Consumption Updates'!$F:$F,'Cutters Consumption Updates'!$D:$D,I$1,'Cutters Consumption Updates'!$B:$B,$B120)-SUMIFS('Cutters Consumption Updates'!$E:$E,'Cutters Consumption Updates'!$D:$D,I$1,'Cutters Consumption Updates'!$B:$B,$B120)+ SUMIF('Cutters Consumption Updates'!$AS:$AS,$B120,'Cutters Consumption Updates'!AU:AU)</f>
        <v>0</v>
      </c>
      <c r="J120" s="116">
        <f>SUMIFS('Cutters Consumption Updates'!$F:$F,'Cutters Consumption Updates'!$D:$D,J$1,'Cutters Consumption Updates'!$B:$B,$B120)-SUMIFS('Cutters Consumption Updates'!$E:$E,'Cutters Consumption Updates'!$D:$D,J$1,'Cutters Consumption Updates'!$B:$B,$B120)+ SUMIF('Cutters Consumption Updates'!$AS:$AS,$B120,'Cutters Consumption Updates'!AV:AV)</f>
        <v>0</v>
      </c>
      <c r="K120" s="738">
        <f>SUMIFS('Cutters Consumption Updates'!$F:$F,'Cutters Consumption Updates'!$D:$D,K$1,'Cutters Consumption Updates'!$B:$B,$B120)-SUMIFS('Cutters Consumption Updates'!$E:$E,'Cutters Consumption Updates'!$D:$D,K$1,'Cutters Consumption Updates'!$B:$B,$B120)+ SUMIF('Cutters Consumption Updates'!$AS:$AS,$B120,'Cutters Consumption Updates'!AW:AW)</f>
        <v>0</v>
      </c>
      <c r="L120" s="116">
        <f>SUMIFS('Cutters Consumption Updates'!$F:$F,'Cutters Consumption Updates'!$D:$D,L$1,'Cutters Consumption Updates'!$B:$B,$B120)-SUMIFS('Cutters Consumption Updates'!$E:$E,'Cutters Consumption Updates'!$D:$D,$L$1,'Cutters Consumption Updates'!$B:$B,$B120)+SUMIFS('Cutters Consumption Updates'!$F:$F,'Cutters Consumption Updates'!$D:$D,"Retrofit",'Cutters Consumption Updates'!$B:$B,$B120)-SUMIFS('Cutters Consumption Updates'!$E:$E,'Cutters Consumption Updates'!$D:$D,"Retrofit",'Cutters Consumption Updates'!$B:$B,$B120)+ SUMIF('Cutters Consumption Updates'!$AS:$AS,$B120,'Cutters Consumption Updates'!AX:AX)</f>
        <v>107</v>
      </c>
      <c r="M120" s="810">
        <f t="shared" si="7"/>
        <v>107</v>
      </c>
      <c r="N120" s="810">
        <f ca="1">SUMIFS('Cutters Consumption Updates'!E:E,
        'Cutters Consumption Updates'!B:B, B120,
        'Cutters Consumption Updates'!A:A, "&gt;" &amp; TODAY()-182)</f>
        <v>0</v>
      </c>
      <c r="O120" s="810">
        <f ca="1">SUMIFS('Cutters Consumption Updates'!E:E,
        'Cutters Consumption Updates'!B:B, B120,
        'Cutters Consumption Updates'!A:A, "&gt;" &amp; TODAY()-91)</f>
        <v>0</v>
      </c>
      <c r="P120" s="810">
        <f t="shared" ca="1" si="8"/>
        <v>0</v>
      </c>
      <c r="Q120" s="703">
        <f t="shared" ca="1" si="9"/>
        <v>0</v>
      </c>
      <c r="R120" s="703" t="s">
        <v>29</v>
      </c>
      <c r="S120" s="24">
        <f>IFERROR(INDEX(Table5[],MATCH($B120,Table5[Component],0),2),0)</f>
        <v>0</v>
      </c>
      <c r="T120" s="813">
        <f>SUMIFS(Table7[Balance],Table7[Cutter Mat'#],$B120)</f>
        <v>0</v>
      </c>
      <c r="U120" s="24">
        <f t="shared" si="10"/>
        <v>107</v>
      </c>
      <c r="V120" s="119"/>
      <c r="W120" s="2"/>
      <c r="Y120" s="4">
        <f>IFERROR(INDEX(Table5[],MATCH($B120,Table5[Component],0),2),0)</f>
        <v>0</v>
      </c>
      <c r="Z120" s="4">
        <f>IFERROR(INDEX(Table5[],MATCH($B120,Table5[Component],0),1),0)</f>
        <v>0</v>
      </c>
      <c r="AA120" s="4" t="str">
        <f>IF(Y120&lt;&gt;0,B120,"")</f>
        <v/>
      </c>
      <c r="AB120" s="4" t="str">
        <f t="shared" si="11"/>
        <v/>
      </c>
      <c r="AD120" s="4">
        <f t="shared" si="12"/>
        <v>107</v>
      </c>
      <c r="AE120" s="9"/>
      <c r="AI120" s="248" t="str">
        <f>IFERROR(INDEX($B$1:$AK$243,MATCH(W120,$B$1:$B$243,0),13),"")</f>
        <v/>
      </c>
      <c r="AJ120" s="248" t="str">
        <f>IFERROR(INDEX($B$1:$AK$243,MATCH(W120,$B$1:$B$243,0),15),"")</f>
        <v/>
      </c>
      <c r="AK120">
        <f>SUMIF($W$2:$W$243,B120,$S$2:$S$243)</f>
        <v>0</v>
      </c>
      <c r="AP120">
        <f t="shared" si="13"/>
        <v>0</v>
      </c>
      <c r="AR120">
        <v>1027339</v>
      </c>
      <c r="AS120">
        <f>SUMIF($B:$B,AR120,$AP:$AP)</f>
        <v>0</v>
      </c>
    </row>
    <row r="121" spans="1:45" ht="15.65" customHeight="1" x14ac:dyDescent="0.35">
      <c r="A121" s="2">
        <v>120</v>
      </c>
      <c r="B121" s="2">
        <v>1134752</v>
      </c>
      <c r="C121" s="2" t="s">
        <v>4344</v>
      </c>
      <c r="D121" s="2" t="s">
        <v>114</v>
      </c>
      <c r="E121" s="2">
        <v>1308</v>
      </c>
      <c r="F121" s="2" t="s">
        <v>253</v>
      </c>
      <c r="G121" s="2" t="s">
        <v>4275</v>
      </c>
      <c r="H121" s="10">
        <f>SUMIFS('Cutters Consumption Updates'!$F:$F,'Cutters Consumption Updates'!$D:$D,H$1,'Cutters Consumption Updates'!$B:$B,$B121)-SUMIFS('Cutters Consumption Updates'!$E:$E,'Cutters Consumption Updates'!$D:$D,H$1,'Cutters Consumption Updates'!$B:$B,$B121)+ SUMIF('Cutters Consumption Updates'!$AS:$AS,$B121,'Cutters Consumption Updates'!AT:AT)</f>
        <v>1</v>
      </c>
      <c r="I121" s="10">
        <f>SUMIFS('Cutters Consumption Updates'!$F:$F,'Cutters Consumption Updates'!$D:$D,I$1,'Cutters Consumption Updates'!$B:$B,$B121)-SUMIFS('Cutters Consumption Updates'!$E:$E,'Cutters Consumption Updates'!$D:$D,I$1,'Cutters Consumption Updates'!$B:$B,$B121)+ SUMIF('Cutters Consumption Updates'!$AS:$AS,$B121,'Cutters Consumption Updates'!AU:AU)</f>
        <v>2</v>
      </c>
      <c r="J121" s="116">
        <f>SUMIFS('Cutters Consumption Updates'!$F:$F,'Cutters Consumption Updates'!$D:$D,J$1,'Cutters Consumption Updates'!$B:$B,$B121)-SUMIFS('Cutters Consumption Updates'!$E:$E,'Cutters Consumption Updates'!$D:$D,J$1,'Cutters Consumption Updates'!$B:$B,$B121)+ SUMIF('Cutters Consumption Updates'!$AS:$AS,$B121,'Cutters Consumption Updates'!AV:AV)</f>
        <v>0</v>
      </c>
      <c r="K121" s="738">
        <f>SUMIFS('Cutters Consumption Updates'!$F:$F,'Cutters Consumption Updates'!$D:$D,K$1,'Cutters Consumption Updates'!$B:$B,$B121)-SUMIFS('Cutters Consumption Updates'!$E:$E,'Cutters Consumption Updates'!$D:$D,K$1,'Cutters Consumption Updates'!$B:$B,$B121)+ SUMIF('Cutters Consumption Updates'!$AS:$AS,$B121,'Cutters Consumption Updates'!AW:AW)</f>
        <v>0</v>
      </c>
      <c r="L121" s="116">
        <f>SUMIFS('Cutters Consumption Updates'!$F:$F,'Cutters Consumption Updates'!$D:$D,L$1,'Cutters Consumption Updates'!$B:$B,$B121)-SUMIFS('Cutters Consumption Updates'!$E:$E,'Cutters Consumption Updates'!$D:$D,$L$1,'Cutters Consumption Updates'!$B:$B,$B121)+SUMIFS('Cutters Consumption Updates'!$F:$F,'Cutters Consumption Updates'!$D:$D,"Retrofit",'Cutters Consumption Updates'!$B:$B,$B121)-SUMIFS('Cutters Consumption Updates'!$E:$E,'Cutters Consumption Updates'!$D:$D,"Retrofit",'Cutters Consumption Updates'!$B:$B,$B121)+ SUMIF('Cutters Consumption Updates'!$AS:$AS,$B121,'Cutters Consumption Updates'!AX:AX)</f>
        <v>0</v>
      </c>
      <c r="M121" s="810">
        <f t="shared" si="7"/>
        <v>1</v>
      </c>
      <c r="N121" s="810">
        <f ca="1">SUMIFS('Cutters Consumption Updates'!E:E,
        'Cutters Consumption Updates'!B:B, B121,
        'Cutters Consumption Updates'!A:A, "&gt;" &amp; TODAY()-182)</f>
        <v>38</v>
      </c>
      <c r="O121" s="810">
        <f ca="1">SUMIFS('Cutters Consumption Updates'!E:E,
        'Cutters Consumption Updates'!B:B, B121,
        'Cutters Consumption Updates'!A:A, "&gt;" &amp; TODAY()-91)</f>
        <v>11</v>
      </c>
      <c r="P121" s="810">
        <f t="shared" ca="1" si="8"/>
        <v>13</v>
      </c>
      <c r="Q121" s="703">
        <f t="shared" ca="1" si="9"/>
        <v>15</v>
      </c>
      <c r="R121" s="703" t="s">
        <v>118</v>
      </c>
      <c r="S121" s="24">
        <f>IFERROR(INDEX(Table5[],MATCH($B121,Table5[Component],0),2),0)</f>
        <v>102</v>
      </c>
      <c r="T121" s="813">
        <f>SUMIFS(Table7[Balance],Table7[Cutter Mat'#],$B121)</f>
        <v>0</v>
      </c>
      <c r="U121" s="24">
        <f t="shared" si="10"/>
        <v>-101</v>
      </c>
      <c r="V121" s="119"/>
      <c r="W121" s="2"/>
      <c r="Y121" s="4">
        <f>IFERROR(INDEX(Table5[],MATCH($B121,Table5[Component],0),2),0)</f>
        <v>102</v>
      </c>
      <c r="Z121" s="4">
        <f>IFERROR(INDEX(Table5[],MATCH($B121,Table5[Component],0),1),0)</f>
        <v>1134752</v>
      </c>
      <c r="AA121" s="4">
        <f>IF(Y121&lt;&gt;0,B121,"")</f>
        <v>1134752</v>
      </c>
      <c r="AB121" s="4" t="str">
        <f t="shared" si="11"/>
        <v/>
      </c>
      <c r="AD121" s="4">
        <f t="shared" si="12"/>
        <v>3</v>
      </c>
      <c r="AE121" s="9"/>
      <c r="AI121" s="248" t="str">
        <f>IFERROR(INDEX($B$1:$AK$243,MATCH(W121,$B$1:$B$243,0),13),"")</f>
        <v/>
      </c>
      <c r="AJ121" s="248" t="str">
        <f>IFERROR(INDEX($B$1:$AK$243,MATCH(W121,$B$1:$B$243,0),15),"")</f>
        <v/>
      </c>
      <c r="AK121">
        <f>SUMIF($W$2:$W$243,B121,$S$2:$S$243)</f>
        <v>0</v>
      </c>
      <c r="AP121">
        <f t="shared" si="13"/>
        <v>0</v>
      </c>
      <c r="AR121">
        <v>1039029</v>
      </c>
      <c r="AS121">
        <f>SUMIF($B:$B,AR121,$AP:$AP)</f>
        <v>0</v>
      </c>
    </row>
    <row r="122" spans="1:45" ht="15.65" customHeight="1" x14ac:dyDescent="0.35">
      <c r="A122" s="2">
        <v>121</v>
      </c>
      <c r="B122" s="2">
        <v>1130197</v>
      </c>
      <c r="C122" s="2" t="s">
        <v>4466</v>
      </c>
      <c r="D122" s="2" t="s">
        <v>114</v>
      </c>
      <c r="E122" s="2">
        <v>1608</v>
      </c>
      <c r="F122" s="2" t="s">
        <v>253</v>
      </c>
      <c r="G122" s="2" t="s">
        <v>4275</v>
      </c>
      <c r="H122" s="10">
        <f>SUMIFS('Cutters Consumption Updates'!$F:$F,'Cutters Consumption Updates'!$D:$D,H$1,'Cutters Consumption Updates'!$B:$B,$B122)-SUMIFS('Cutters Consumption Updates'!$E:$E,'Cutters Consumption Updates'!$D:$D,H$1,'Cutters Consumption Updates'!$B:$B,$B122)+ SUMIF('Cutters Consumption Updates'!$AS:$AS,$B122,'Cutters Consumption Updates'!AT:AT)</f>
        <v>0</v>
      </c>
      <c r="I122" s="10">
        <f>SUMIFS('Cutters Consumption Updates'!$F:$F,'Cutters Consumption Updates'!$D:$D,I$1,'Cutters Consumption Updates'!$B:$B,$B122)-SUMIFS('Cutters Consumption Updates'!$E:$E,'Cutters Consumption Updates'!$D:$D,I$1,'Cutters Consumption Updates'!$B:$B,$B122)+ SUMIF('Cutters Consumption Updates'!$AS:$AS,$B122,'Cutters Consumption Updates'!AU:AU)</f>
        <v>0</v>
      </c>
      <c r="J122" s="116">
        <f>SUMIFS('Cutters Consumption Updates'!$F:$F,'Cutters Consumption Updates'!$D:$D,J$1,'Cutters Consumption Updates'!$B:$B,$B122)-SUMIFS('Cutters Consumption Updates'!$E:$E,'Cutters Consumption Updates'!$D:$D,J$1,'Cutters Consumption Updates'!$B:$B,$B122)+ SUMIF('Cutters Consumption Updates'!$AS:$AS,$B122,'Cutters Consumption Updates'!AV:AV)</f>
        <v>0</v>
      </c>
      <c r="K122" s="738">
        <f>SUMIFS('Cutters Consumption Updates'!$F:$F,'Cutters Consumption Updates'!$D:$D,K$1,'Cutters Consumption Updates'!$B:$B,$B122)-SUMIFS('Cutters Consumption Updates'!$E:$E,'Cutters Consumption Updates'!$D:$D,K$1,'Cutters Consumption Updates'!$B:$B,$B122)+ SUMIF('Cutters Consumption Updates'!$AS:$AS,$B122,'Cutters Consumption Updates'!AW:AW)</f>
        <v>0</v>
      </c>
      <c r="L122" s="116">
        <f>SUMIFS('Cutters Consumption Updates'!$F:$F,'Cutters Consumption Updates'!$D:$D,L$1,'Cutters Consumption Updates'!$B:$B,$B122)-SUMIFS('Cutters Consumption Updates'!$E:$E,'Cutters Consumption Updates'!$D:$D,$L$1,'Cutters Consumption Updates'!$B:$B,$B122)+SUMIFS('Cutters Consumption Updates'!$F:$F,'Cutters Consumption Updates'!$D:$D,"Retrofit",'Cutters Consumption Updates'!$B:$B,$B122)-SUMIFS('Cutters Consumption Updates'!$E:$E,'Cutters Consumption Updates'!$D:$D,"Retrofit",'Cutters Consumption Updates'!$B:$B,$B122)+ SUMIF('Cutters Consumption Updates'!$AS:$AS,$B122,'Cutters Consumption Updates'!AX:AX)</f>
        <v>0</v>
      </c>
      <c r="M122" s="810">
        <f t="shared" si="7"/>
        <v>0</v>
      </c>
      <c r="N122" s="810">
        <f ca="1">SUMIFS('Cutters Consumption Updates'!E:E,
        'Cutters Consumption Updates'!B:B, B122,
        'Cutters Consumption Updates'!A:A, "&gt;" &amp; TODAY()-182)</f>
        <v>39</v>
      </c>
      <c r="O122" s="810">
        <f ca="1">SUMIFS('Cutters Consumption Updates'!E:E,
        'Cutters Consumption Updates'!B:B, B122,
        'Cutters Consumption Updates'!A:A, "&gt;" &amp; TODAY()-91)</f>
        <v>1</v>
      </c>
      <c r="P122" s="810">
        <f t="shared" ca="1" si="8"/>
        <v>13</v>
      </c>
      <c r="Q122" s="703">
        <f t="shared" ca="1" si="9"/>
        <v>15</v>
      </c>
      <c r="R122" s="703" t="s">
        <v>119</v>
      </c>
      <c r="S122" s="24">
        <f>IFERROR(INDEX(Table5[],MATCH($B122,Table5[Component],0),2),0)</f>
        <v>80</v>
      </c>
      <c r="T122" s="813">
        <f>SUMIFS(Table7[Balance],Table7[Cutter Mat'#],$B122)</f>
        <v>0</v>
      </c>
      <c r="U122" s="24">
        <f t="shared" si="10"/>
        <v>-80</v>
      </c>
      <c r="V122" s="119"/>
      <c r="W122" s="2"/>
      <c r="Y122" s="4">
        <f>IFERROR(INDEX(Table5[],MATCH($B122,Table5[Component],0),2),0)</f>
        <v>80</v>
      </c>
      <c r="Z122" s="4">
        <f>IFERROR(INDEX(Table5[],MATCH($B122,Table5[Component],0),1),0)</f>
        <v>1130197</v>
      </c>
      <c r="AA122" s="4">
        <f>IF(Y122&lt;&gt;0,B122,"")</f>
        <v>1130197</v>
      </c>
      <c r="AB122" s="4" t="str">
        <f t="shared" si="11"/>
        <v/>
      </c>
      <c r="AD122" s="4">
        <f t="shared" si="12"/>
        <v>0</v>
      </c>
      <c r="AE122" s="9"/>
      <c r="AI122" s="248" t="str">
        <f>IFERROR(INDEX($B$1:$AK$243,MATCH(W122,$B$1:$B$243,0),13),"")</f>
        <v/>
      </c>
      <c r="AJ122" s="248" t="str">
        <f>IFERROR(INDEX($B$1:$AK$243,MATCH(W122,$B$1:$B$243,0),15),"")</f>
        <v/>
      </c>
      <c r="AK122">
        <f>SUMIF($W$2:$W$243,B122,$S$2:$S$243)</f>
        <v>0</v>
      </c>
      <c r="AP122">
        <f t="shared" si="13"/>
        <v>0</v>
      </c>
      <c r="AR122">
        <v>1039033</v>
      </c>
      <c r="AS122">
        <f>SUMIF($B:$B,AR122,$AP:$AP)</f>
        <v>0</v>
      </c>
    </row>
    <row r="123" spans="1:45" ht="15.65" customHeight="1" x14ac:dyDescent="0.35">
      <c r="A123" s="2">
        <v>122</v>
      </c>
      <c r="B123" s="2">
        <v>1130204</v>
      </c>
      <c r="C123" s="2" t="s">
        <v>4345</v>
      </c>
      <c r="D123" s="2" t="s">
        <v>114</v>
      </c>
      <c r="E123" s="2" t="s">
        <v>4248</v>
      </c>
      <c r="F123" s="2" t="s">
        <v>253</v>
      </c>
      <c r="G123" s="2" t="s">
        <v>4275</v>
      </c>
      <c r="H123" s="10">
        <f>SUMIFS('Cutters Consumption Updates'!$F:$F,'Cutters Consumption Updates'!$D:$D,H$1,'Cutters Consumption Updates'!$B:$B,$B123)-SUMIFS('Cutters Consumption Updates'!$E:$E,'Cutters Consumption Updates'!$D:$D,H$1,'Cutters Consumption Updates'!$B:$B,$B123)+ SUMIF('Cutters Consumption Updates'!$AS:$AS,$B123,'Cutters Consumption Updates'!AT:AT)</f>
        <v>0</v>
      </c>
      <c r="I123" s="10">
        <f>SUMIFS('Cutters Consumption Updates'!$F:$F,'Cutters Consumption Updates'!$D:$D,I$1,'Cutters Consumption Updates'!$B:$B,$B123)-SUMIFS('Cutters Consumption Updates'!$E:$E,'Cutters Consumption Updates'!$D:$D,I$1,'Cutters Consumption Updates'!$B:$B,$B123)+ SUMIF('Cutters Consumption Updates'!$AS:$AS,$B123,'Cutters Consumption Updates'!AU:AU)</f>
        <v>0</v>
      </c>
      <c r="J123" s="116">
        <f>SUMIFS('Cutters Consumption Updates'!$F:$F,'Cutters Consumption Updates'!$D:$D,J$1,'Cutters Consumption Updates'!$B:$B,$B123)-SUMIFS('Cutters Consumption Updates'!$E:$E,'Cutters Consumption Updates'!$D:$D,J$1,'Cutters Consumption Updates'!$B:$B,$B123)+ SUMIF('Cutters Consumption Updates'!$AS:$AS,$B123,'Cutters Consumption Updates'!AV:AV)</f>
        <v>0</v>
      </c>
      <c r="K123" s="738">
        <f>SUMIFS('Cutters Consumption Updates'!$F:$F,'Cutters Consumption Updates'!$D:$D,K$1,'Cutters Consumption Updates'!$B:$B,$B123)-SUMIFS('Cutters Consumption Updates'!$E:$E,'Cutters Consumption Updates'!$D:$D,K$1,'Cutters Consumption Updates'!$B:$B,$B123)+ SUMIF('Cutters Consumption Updates'!$AS:$AS,$B123,'Cutters Consumption Updates'!AW:AW)</f>
        <v>0</v>
      </c>
      <c r="L123" s="116">
        <f>SUMIFS('Cutters Consumption Updates'!$F:$F,'Cutters Consumption Updates'!$D:$D,L$1,'Cutters Consumption Updates'!$B:$B,$B123)-SUMIFS('Cutters Consumption Updates'!$E:$E,'Cutters Consumption Updates'!$D:$D,$L$1,'Cutters Consumption Updates'!$B:$B,$B123)+SUMIFS('Cutters Consumption Updates'!$F:$F,'Cutters Consumption Updates'!$D:$D,"Retrofit",'Cutters Consumption Updates'!$B:$B,$B123)-SUMIFS('Cutters Consumption Updates'!$E:$E,'Cutters Consumption Updates'!$D:$D,"Retrofit",'Cutters Consumption Updates'!$B:$B,$B123)+ SUMIF('Cutters Consumption Updates'!$AS:$AS,$B123,'Cutters Consumption Updates'!AX:AX)</f>
        <v>87</v>
      </c>
      <c r="M123" s="810">
        <f t="shared" si="7"/>
        <v>87</v>
      </c>
      <c r="N123" s="810">
        <f ca="1">SUMIFS('Cutters Consumption Updates'!E:E,
        'Cutters Consumption Updates'!B:B, B123,
        'Cutters Consumption Updates'!A:A, "&gt;" &amp; TODAY()-182)</f>
        <v>2</v>
      </c>
      <c r="O123" s="810">
        <f ca="1">SUMIFS('Cutters Consumption Updates'!E:E,
        'Cutters Consumption Updates'!B:B, B123,
        'Cutters Consumption Updates'!A:A, "&gt;" &amp; TODAY()-91)</f>
        <v>0</v>
      </c>
      <c r="P123" s="810">
        <f t="shared" ca="1" si="8"/>
        <v>1</v>
      </c>
      <c r="Q123" s="703">
        <f t="shared" ca="1" si="9"/>
        <v>0</v>
      </c>
      <c r="R123" s="703" t="s">
        <v>29</v>
      </c>
      <c r="S123" s="24">
        <f>IFERROR(INDEX(Table5[],MATCH($B123,Table5[Component],0),2),0)</f>
        <v>0</v>
      </c>
      <c r="T123" s="813">
        <f>SUMIFS(Table7[Balance],Table7[Cutter Mat'#],$B123)</f>
        <v>0</v>
      </c>
      <c r="U123" s="24">
        <f t="shared" si="10"/>
        <v>87</v>
      </c>
      <c r="V123" s="119"/>
      <c r="W123" s="2"/>
      <c r="Y123" s="4">
        <f>IFERROR(INDEX(Table5[],MATCH($B123,Table5[Component],0),2),0)</f>
        <v>0</v>
      </c>
      <c r="Z123" s="4">
        <f>IFERROR(INDEX(Table5[],MATCH($B123,Table5[Component],0),1),0)</f>
        <v>0</v>
      </c>
      <c r="AA123" s="4" t="str">
        <f>IF(Y123&lt;&gt;0,B123,"")</f>
        <v/>
      </c>
      <c r="AB123" s="4" t="str">
        <f t="shared" si="11"/>
        <v/>
      </c>
      <c r="AD123" s="4">
        <f t="shared" si="12"/>
        <v>87</v>
      </c>
      <c r="AE123" s="9"/>
      <c r="AI123" s="248" t="str">
        <f>IFERROR(INDEX($B$1:$AK$243,MATCH(W123,$B$1:$B$243,0),13),"")</f>
        <v/>
      </c>
      <c r="AJ123" s="248" t="str">
        <f>IFERROR(INDEX($B$1:$AK$243,MATCH(W123,$B$1:$B$243,0),15),"")</f>
        <v/>
      </c>
      <c r="AK123">
        <f>SUMIF($W$2:$W$243,B123,$S$2:$S$243)</f>
        <v>0</v>
      </c>
      <c r="AP123">
        <f t="shared" si="13"/>
        <v>0</v>
      </c>
      <c r="AR123">
        <v>1039034</v>
      </c>
      <c r="AS123">
        <f>SUMIF($B:$B,AR123,$AP:$AP)</f>
        <v>0</v>
      </c>
    </row>
    <row r="124" spans="1:45" ht="15.65" customHeight="1" x14ac:dyDescent="0.35">
      <c r="A124" s="2">
        <v>123</v>
      </c>
      <c r="B124" s="2">
        <v>971088</v>
      </c>
      <c r="C124" s="2" t="s">
        <v>4346</v>
      </c>
      <c r="D124" s="2" t="s">
        <v>86</v>
      </c>
      <c r="E124" s="2" t="s">
        <v>911</v>
      </c>
      <c r="F124" s="2" t="s">
        <v>253</v>
      </c>
      <c r="G124" s="2" t="s">
        <v>47</v>
      </c>
      <c r="H124" s="10">
        <f>SUMIFS('Cutters Consumption Updates'!$F:$F,'Cutters Consumption Updates'!$D:$D,H$1,'Cutters Consumption Updates'!$B:$B,$B124)-SUMIFS('Cutters Consumption Updates'!$E:$E,'Cutters Consumption Updates'!$D:$D,H$1,'Cutters Consumption Updates'!$B:$B,$B124)+ SUMIF('Cutters Consumption Updates'!$AS:$AS,$B124,'Cutters Consumption Updates'!AT:AT)</f>
        <v>0</v>
      </c>
      <c r="I124" s="10">
        <f>SUMIFS('Cutters Consumption Updates'!$F:$F,'Cutters Consumption Updates'!$D:$D,I$1,'Cutters Consumption Updates'!$B:$B,$B124)-SUMIFS('Cutters Consumption Updates'!$E:$E,'Cutters Consumption Updates'!$D:$D,I$1,'Cutters Consumption Updates'!$B:$B,$B124)+ SUMIF('Cutters Consumption Updates'!$AS:$AS,$B124,'Cutters Consumption Updates'!AU:AU)</f>
        <v>0</v>
      </c>
      <c r="J124" s="116">
        <f>SUMIFS('Cutters Consumption Updates'!$F:$F,'Cutters Consumption Updates'!$D:$D,J$1,'Cutters Consumption Updates'!$B:$B,$B124)-SUMIFS('Cutters Consumption Updates'!$E:$E,'Cutters Consumption Updates'!$D:$D,J$1,'Cutters Consumption Updates'!$B:$B,$B124)+ SUMIF('Cutters Consumption Updates'!$AS:$AS,$B124,'Cutters Consumption Updates'!AV:AV)</f>
        <v>0</v>
      </c>
      <c r="K124" s="738">
        <f>SUMIFS('Cutters Consumption Updates'!$F:$F,'Cutters Consumption Updates'!$D:$D,K$1,'Cutters Consumption Updates'!$B:$B,$B124)-SUMIFS('Cutters Consumption Updates'!$E:$E,'Cutters Consumption Updates'!$D:$D,K$1,'Cutters Consumption Updates'!$B:$B,$B124)+ SUMIF('Cutters Consumption Updates'!$AS:$AS,$B124,'Cutters Consumption Updates'!AW:AW)</f>
        <v>0</v>
      </c>
      <c r="L124" s="116">
        <f>SUMIFS('Cutters Consumption Updates'!$F:$F,'Cutters Consumption Updates'!$D:$D,L$1,'Cutters Consumption Updates'!$B:$B,$B124)-SUMIFS('Cutters Consumption Updates'!$E:$E,'Cutters Consumption Updates'!$D:$D,$L$1,'Cutters Consumption Updates'!$B:$B,$B124)+SUMIFS('Cutters Consumption Updates'!$F:$F,'Cutters Consumption Updates'!$D:$D,"Retrofit",'Cutters Consumption Updates'!$B:$B,$B124)-SUMIFS('Cutters Consumption Updates'!$E:$E,'Cutters Consumption Updates'!$D:$D,"Retrofit",'Cutters Consumption Updates'!$B:$B,$B124)+ SUMIF('Cutters Consumption Updates'!$AS:$AS,$B124,'Cutters Consumption Updates'!AX:AX)</f>
        <v>116</v>
      </c>
      <c r="M124" s="810">
        <f t="shared" si="7"/>
        <v>116</v>
      </c>
      <c r="N124" s="810">
        <f ca="1">SUMIFS('Cutters Consumption Updates'!E:E,
        'Cutters Consumption Updates'!B:B, B124,
        'Cutters Consumption Updates'!A:A, "&gt;" &amp; TODAY()-182)</f>
        <v>1</v>
      </c>
      <c r="O124" s="810">
        <f ca="1">SUMIFS('Cutters Consumption Updates'!E:E,
        'Cutters Consumption Updates'!B:B, B124,
        'Cutters Consumption Updates'!A:A, "&gt;" &amp; TODAY()-91)</f>
        <v>0</v>
      </c>
      <c r="P124" s="810">
        <f t="shared" ca="1" si="8"/>
        <v>1</v>
      </c>
      <c r="Q124" s="703">
        <f t="shared" ca="1" si="9"/>
        <v>0</v>
      </c>
      <c r="R124" s="703" t="s">
        <v>29</v>
      </c>
      <c r="S124" s="24">
        <f>IFERROR(INDEX(Table5[],MATCH($B124,Table5[Component],0),2),0)</f>
        <v>0</v>
      </c>
      <c r="T124" s="813">
        <f>SUMIFS(Table7[Balance],Table7[Cutter Mat'#],$B124)</f>
        <v>0</v>
      </c>
      <c r="U124" s="24">
        <f t="shared" si="10"/>
        <v>116</v>
      </c>
      <c r="V124" s="119"/>
      <c r="W124" s="2"/>
      <c r="Y124" s="4">
        <f>IFERROR(INDEX(Table5[],MATCH($B124,Table5[Component],0),2),0)</f>
        <v>0</v>
      </c>
      <c r="Z124" s="4">
        <f>IFERROR(INDEX(Table5[],MATCH($B124,Table5[Component],0),1),0)</f>
        <v>0</v>
      </c>
      <c r="AA124" s="4" t="str">
        <f>IF(Y124&lt;&gt;0,B124,"")</f>
        <v/>
      </c>
      <c r="AB124" s="4" t="str">
        <f t="shared" si="11"/>
        <v/>
      </c>
      <c r="AD124" s="4">
        <f t="shared" si="12"/>
        <v>116</v>
      </c>
      <c r="AE124" s="9"/>
      <c r="AI124" s="248" t="str">
        <f>IFERROR(INDEX($B$1:$AK$243,MATCH(W124,$B$1:$B$243,0),13),"")</f>
        <v/>
      </c>
      <c r="AJ124" s="248" t="str">
        <f>IFERROR(INDEX($B$1:$AK$243,MATCH(W124,$B$1:$B$243,0),15),"")</f>
        <v/>
      </c>
      <c r="AK124">
        <f>SUMIF($W$2:$W$243,B124,$S$2:$S$243)</f>
        <v>0</v>
      </c>
      <c r="AP124">
        <f t="shared" si="13"/>
        <v>0</v>
      </c>
      <c r="AR124">
        <v>1039035</v>
      </c>
      <c r="AS124">
        <f>SUMIF($B:$B,AR124,$AP:$AP)</f>
        <v>0</v>
      </c>
    </row>
    <row r="125" spans="1:45" ht="15.65" customHeight="1" x14ac:dyDescent="0.35">
      <c r="A125" s="2">
        <v>124</v>
      </c>
      <c r="B125" s="2">
        <v>1039033</v>
      </c>
      <c r="C125" s="2" t="s">
        <v>4467</v>
      </c>
      <c r="D125" s="2" t="s">
        <v>88</v>
      </c>
      <c r="E125" s="2">
        <v>1308</v>
      </c>
      <c r="F125" s="2" t="s">
        <v>248</v>
      </c>
      <c r="G125" s="2" t="s">
        <v>4275</v>
      </c>
      <c r="H125" s="10">
        <f>SUMIFS('Cutters Consumption Updates'!$F:$F,'Cutters Consumption Updates'!$D:$D,H$1,'Cutters Consumption Updates'!$B:$B,$B125)-SUMIFS('Cutters Consumption Updates'!$E:$E,'Cutters Consumption Updates'!$D:$D,H$1,'Cutters Consumption Updates'!$B:$B,$B125)+ SUMIF('Cutters Consumption Updates'!$AS:$AS,$B125,'Cutters Consumption Updates'!AT:AT)</f>
        <v>0</v>
      </c>
      <c r="I125" s="10">
        <f>SUMIFS('Cutters Consumption Updates'!$F:$F,'Cutters Consumption Updates'!$D:$D,I$1,'Cutters Consumption Updates'!$B:$B,$B125)-SUMIFS('Cutters Consumption Updates'!$E:$E,'Cutters Consumption Updates'!$D:$D,I$1,'Cutters Consumption Updates'!$B:$B,$B125)+ SUMIF('Cutters Consumption Updates'!$AS:$AS,$B125,'Cutters Consumption Updates'!AU:AU)</f>
        <v>0</v>
      </c>
      <c r="J125" s="116">
        <f>SUMIFS('Cutters Consumption Updates'!$F:$F,'Cutters Consumption Updates'!$D:$D,J$1,'Cutters Consumption Updates'!$B:$B,$B125)-SUMIFS('Cutters Consumption Updates'!$E:$E,'Cutters Consumption Updates'!$D:$D,J$1,'Cutters Consumption Updates'!$B:$B,$B125)+ SUMIF('Cutters Consumption Updates'!$AS:$AS,$B125,'Cutters Consumption Updates'!AV:AV)</f>
        <v>0</v>
      </c>
      <c r="K125" s="738">
        <f>SUMIFS('Cutters Consumption Updates'!$F:$F,'Cutters Consumption Updates'!$D:$D,K$1,'Cutters Consumption Updates'!$B:$B,$B125)-SUMIFS('Cutters Consumption Updates'!$E:$E,'Cutters Consumption Updates'!$D:$D,K$1,'Cutters Consumption Updates'!$B:$B,$B125)+ SUMIF('Cutters Consumption Updates'!$AS:$AS,$B125,'Cutters Consumption Updates'!AW:AW)</f>
        <v>0</v>
      </c>
      <c r="L125" s="116">
        <f>SUMIFS('Cutters Consumption Updates'!$F:$F,'Cutters Consumption Updates'!$D:$D,L$1,'Cutters Consumption Updates'!$B:$B,$B125)-SUMIFS('Cutters Consumption Updates'!$E:$E,'Cutters Consumption Updates'!$D:$D,$L$1,'Cutters Consumption Updates'!$B:$B,$B125)+SUMIFS('Cutters Consumption Updates'!$F:$F,'Cutters Consumption Updates'!$D:$D,"Retrofit",'Cutters Consumption Updates'!$B:$B,$B125)-SUMIFS('Cutters Consumption Updates'!$E:$E,'Cutters Consumption Updates'!$D:$D,"Retrofit",'Cutters Consumption Updates'!$B:$B,$B125)+ SUMIF('Cutters Consumption Updates'!$AS:$AS,$B125,'Cutters Consumption Updates'!AX:AX)</f>
        <v>0</v>
      </c>
      <c r="M125" s="810">
        <f t="shared" si="7"/>
        <v>0</v>
      </c>
      <c r="N125" s="810">
        <f ca="1">SUMIFS('Cutters Consumption Updates'!E:E,
        'Cutters Consumption Updates'!B:B, B125,
        'Cutters Consumption Updates'!A:A, "&gt;" &amp; TODAY()-182)</f>
        <v>0</v>
      </c>
      <c r="O125" s="810">
        <f ca="1">SUMIFS('Cutters Consumption Updates'!E:E,
        'Cutters Consumption Updates'!B:B, B125,
        'Cutters Consumption Updates'!A:A, "&gt;" &amp; TODAY()-91)</f>
        <v>0</v>
      </c>
      <c r="P125" s="810">
        <f t="shared" ca="1" si="8"/>
        <v>0</v>
      </c>
      <c r="Q125" s="703">
        <f t="shared" ca="1" si="9"/>
        <v>0</v>
      </c>
      <c r="R125" s="703" t="s">
        <v>29</v>
      </c>
      <c r="S125" s="24">
        <f>IFERROR(INDEX(Table5[],MATCH($B125,Table5[Component],0),2),0)</f>
        <v>0</v>
      </c>
      <c r="T125" s="813">
        <f>SUMIFS(Table7[Balance],Table7[Cutter Mat'#],$B125)</f>
        <v>0</v>
      </c>
      <c r="U125" s="24">
        <f t="shared" si="10"/>
        <v>0</v>
      </c>
      <c r="V125" s="119"/>
      <c r="W125" s="2"/>
      <c r="Y125" s="4">
        <f>IFERROR(INDEX(Table5[],MATCH($B125,Table5[Component],0),2),0)</f>
        <v>0</v>
      </c>
      <c r="Z125" s="4">
        <f>IFERROR(INDEX(Table5[],MATCH($B125,Table5[Component],0),1),0)</f>
        <v>1039033</v>
      </c>
      <c r="AA125" s="4" t="str">
        <f>IF(Y125&lt;&gt;0,B125,"")</f>
        <v/>
      </c>
      <c r="AB125" s="4" t="str">
        <f t="shared" si="11"/>
        <v/>
      </c>
      <c r="AD125" s="4">
        <f t="shared" si="12"/>
        <v>0</v>
      </c>
      <c r="AE125" s="9"/>
      <c r="AI125" s="248" t="str">
        <f>IFERROR(INDEX($B$1:$AK$243,MATCH(W125,$B$1:$B$243,0),13),"")</f>
        <v/>
      </c>
      <c r="AJ125" s="248" t="str">
        <f>IFERROR(INDEX($B$1:$AK$243,MATCH(W125,$B$1:$B$243,0),15),"")</f>
        <v/>
      </c>
      <c r="AK125">
        <f>SUMIF($W$2:$W$243,B125,$S$2:$S$243)</f>
        <v>0</v>
      </c>
      <c r="AP125">
        <f t="shared" si="13"/>
        <v>0</v>
      </c>
      <c r="AR125">
        <v>1039036</v>
      </c>
      <c r="AS125">
        <f>SUMIF($B:$B,AR125,$AP:$AP)</f>
        <v>0</v>
      </c>
    </row>
    <row r="126" spans="1:45" ht="15.65" customHeight="1" x14ac:dyDescent="0.35">
      <c r="A126" s="2">
        <v>125</v>
      </c>
      <c r="B126" s="2">
        <v>1144818</v>
      </c>
      <c r="C126" s="2" t="s">
        <v>4347</v>
      </c>
      <c r="D126" s="2" t="s">
        <v>4240</v>
      </c>
      <c r="E126" s="2">
        <v>1308</v>
      </c>
      <c r="F126" s="2" t="s">
        <v>253</v>
      </c>
      <c r="G126" s="2" t="s">
        <v>4275</v>
      </c>
      <c r="H126" s="10">
        <f>SUMIFS('Cutters Consumption Updates'!$F:$F,'Cutters Consumption Updates'!$D:$D,H$1,'Cutters Consumption Updates'!$B:$B,$B126)-SUMIFS('Cutters Consumption Updates'!$E:$E,'Cutters Consumption Updates'!$D:$D,H$1,'Cutters Consumption Updates'!$B:$B,$B126)+ SUMIF('Cutters Consumption Updates'!$AS:$AS,$B126,'Cutters Consumption Updates'!AT:AT)</f>
        <v>0</v>
      </c>
      <c r="I126" s="10">
        <f>SUMIFS('Cutters Consumption Updates'!$F:$F,'Cutters Consumption Updates'!$D:$D,I$1,'Cutters Consumption Updates'!$B:$B,$B126)-SUMIFS('Cutters Consumption Updates'!$E:$E,'Cutters Consumption Updates'!$D:$D,I$1,'Cutters Consumption Updates'!$B:$B,$B126)+ SUMIF('Cutters Consumption Updates'!$AS:$AS,$B126,'Cutters Consumption Updates'!AU:AU)</f>
        <v>0</v>
      </c>
      <c r="J126" s="116">
        <f>SUMIFS('Cutters Consumption Updates'!$F:$F,'Cutters Consumption Updates'!$D:$D,J$1,'Cutters Consumption Updates'!$B:$B,$B126)-SUMIFS('Cutters Consumption Updates'!$E:$E,'Cutters Consumption Updates'!$D:$D,J$1,'Cutters Consumption Updates'!$B:$B,$B126)+ SUMIF('Cutters Consumption Updates'!$AS:$AS,$B126,'Cutters Consumption Updates'!AV:AV)</f>
        <v>0</v>
      </c>
      <c r="K126" s="738">
        <f>SUMIFS('Cutters Consumption Updates'!$F:$F,'Cutters Consumption Updates'!$D:$D,K$1,'Cutters Consumption Updates'!$B:$B,$B126)-SUMIFS('Cutters Consumption Updates'!$E:$E,'Cutters Consumption Updates'!$D:$D,K$1,'Cutters Consumption Updates'!$B:$B,$B126)+ SUMIF('Cutters Consumption Updates'!$AS:$AS,$B126,'Cutters Consumption Updates'!AW:AW)</f>
        <v>0</v>
      </c>
      <c r="L126" s="116">
        <f>SUMIFS('Cutters Consumption Updates'!$F:$F,'Cutters Consumption Updates'!$D:$D,L$1,'Cutters Consumption Updates'!$B:$B,$B126)-SUMIFS('Cutters Consumption Updates'!$E:$E,'Cutters Consumption Updates'!$D:$D,$L$1,'Cutters Consumption Updates'!$B:$B,$B126)+SUMIFS('Cutters Consumption Updates'!$F:$F,'Cutters Consumption Updates'!$D:$D,"Retrofit",'Cutters Consumption Updates'!$B:$B,$B126)-SUMIFS('Cutters Consumption Updates'!$E:$E,'Cutters Consumption Updates'!$D:$D,"Retrofit",'Cutters Consumption Updates'!$B:$B,$B126)+ SUMIF('Cutters Consumption Updates'!$AS:$AS,$B126,'Cutters Consumption Updates'!AX:AX)</f>
        <v>0</v>
      </c>
      <c r="M126" s="810">
        <f t="shared" si="7"/>
        <v>0</v>
      </c>
      <c r="N126" s="810">
        <f ca="1">SUMIFS('Cutters Consumption Updates'!E:E,
        'Cutters Consumption Updates'!B:B, B126,
        'Cutters Consumption Updates'!A:A, "&gt;" &amp; TODAY()-182)</f>
        <v>1</v>
      </c>
      <c r="O126" s="810">
        <f ca="1">SUMIFS('Cutters Consumption Updates'!E:E,
        'Cutters Consumption Updates'!B:B, B126,
        'Cutters Consumption Updates'!A:A, "&gt;" &amp; TODAY()-91)</f>
        <v>1</v>
      </c>
      <c r="P126" s="810">
        <f t="shared" ca="1" si="8"/>
        <v>1</v>
      </c>
      <c r="Q126" s="703">
        <f t="shared" ca="1" si="9"/>
        <v>0</v>
      </c>
      <c r="R126" s="703" t="s">
        <v>121</v>
      </c>
      <c r="S126" s="24">
        <f>IFERROR(INDEX(Table5[],MATCH($B126,Table5[Component],0),2),0)</f>
        <v>0</v>
      </c>
      <c r="T126" s="813">
        <f>SUMIFS(Table7[Balance],Table7[Cutter Mat'#],$B126)</f>
        <v>0</v>
      </c>
      <c r="U126" s="24">
        <f t="shared" si="10"/>
        <v>0</v>
      </c>
      <c r="V126" s="119"/>
      <c r="W126" s="2"/>
      <c r="Y126" s="4">
        <f>IFERROR(INDEX(Table5[],MATCH($B126,Table5[Component],0),2),0)</f>
        <v>0</v>
      </c>
      <c r="Z126" s="4">
        <f>IFERROR(INDEX(Table5[],MATCH($B126,Table5[Component],0),1),0)</f>
        <v>0</v>
      </c>
      <c r="AA126" s="4" t="str">
        <f>IF(Y126&lt;&gt;0,B126,"")</f>
        <v/>
      </c>
      <c r="AB126" s="4" t="str">
        <f t="shared" si="11"/>
        <v/>
      </c>
      <c r="AD126" s="4">
        <f t="shared" si="12"/>
        <v>0</v>
      </c>
      <c r="AI126" s="248" t="str">
        <f>IFERROR(INDEX($B$1:$AK$243,MATCH(W126,$B$1:$B$243,0),13),"")</f>
        <v/>
      </c>
      <c r="AJ126" s="248" t="str">
        <f>IFERROR(INDEX($B$1:$AK$243,MATCH(W126,$B$1:$B$243,0),15),"")</f>
        <v/>
      </c>
      <c r="AK126">
        <f>SUMIF($W$2:$W$243,B126,$S$2:$S$243)</f>
        <v>0</v>
      </c>
      <c r="AP126">
        <f t="shared" si="13"/>
        <v>0</v>
      </c>
      <c r="AR126">
        <v>1039057</v>
      </c>
      <c r="AS126">
        <f>SUMIF($B:$B,AR126,$AP:$AP)</f>
        <v>0</v>
      </c>
    </row>
    <row r="127" spans="1:45" ht="15.65" customHeight="1" x14ac:dyDescent="0.35">
      <c r="A127" s="2">
        <v>126</v>
      </c>
      <c r="B127" s="2">
        <v>1144820</v>
      </c>
      <c r="C127" s="2" t="s">
        <v>4348</v>
      </c>
      <c r="D127" s="2" t="s">
        <v>4240</v>
      </c>
      <c r="E127" s="2">
        <v>1608</v>
      </c>
      <c r="F127" s="2" t="s">
        <v>253</v>
      </c>
      <c r="G127" s="2" t="s">
        <v>4275</v>
      </c>
      <c r="H127" s="10">
        <f>SUMIFS('Cutters Consumption Updates'!$F:$F,'Cutters Consumption Updates'!$D:$D,H$1,'Cutters Consumption Updates'!$B:$B,$B127)-SUMIFS('Cutters Consumption Updates'!$E:$E,'Cutters Consumption Updates'!$D:$D,H$1,'Cutters Consumption Updates'!$B:$B,$B127)+ SUMIF('Cutters Consumption Updates'!$AS:$AS,$B127,'Cutters Consumption Updates'!AT:AT)</f>
        <v>0</v>
      </c>
      <c r="I127" s="10">
        <f>SUMIFS('Cutters Consumption Updates'!$F:$F,'Cutters Consumption Updates'!$D:$D,I$1,'Cutters Consumption Updates'!$B:$B,$B127)-SUMIFS('Cutters Consumption Updates'!$E:$E,'Cutters Consumption Updates'!$D:$D,I$1,'Cutters Consumption Updates'!$B:$B,$B127)+ SUMIF('Cutters Consumption Updates'!$AS:$AS,$B127,'Cutters Consumption Updates'!AU:AU)</f>
        <v>0</v>
      </c>
      <c r="J127" s="116">
        <f>SUMIFS('Cutters Consumption Updates'!$F:$F,'Cutters Consumption Updates'!$D:$D,J$1,'Cutters Consumption Updates'!$B:$B,$B127)-SUMIFS('Cutters Consumption Updates'!$E:$E,'Cutters Consumption Updates'!$D:$D,J$1,'Cutters Consumption Updates'!$B:$B,$B127)+ SUMIF('Cutters Consumption Updates'!$AS:$AS,$B127,'Cutters Consumption Updates'!AV:AV)</f>
        <v>0</v>
      </c>
      <c r="K127" s="738">
        <f>SUMIFS('Cutters Consumption Updates'!$F:$F,'Cutters Consumption Updates'!$D:$D,K$1,'Cutters Consumption Updates'!$B:$B,$B127)-SUMIFS('Cutters Consumption Updates'!$E:$E,'Cutters Consumption Updates'!$D:$D,K$1,'Cutters Consumption Updates'!$B:$B,$B127)+ SUMIF('Cutters Consumption Updates'!$AS:$AS,$B127,'Cutters Consumption Updates'!AW:AW)</f>
        <v>0</v>
      </c>
      <c r="L127" s="116">
        <f>SUMIFS('Cutters Consumption Updates'!$F:$F,'Cutters Consumption Updates'!$D:$D,L$1,'Cutters Consumption Updates'!$B:$B,$B127)-SUMIFS('Cutters Consumption Updates'!$E:$E,'Cutters Consumption Updates'!$D:$D,$L$1,'Cutters Consumption Updates'!$B:$B,$B127)+SUMIFS('Cutters Consumption Updates'!$F:$F,'Cutters Consumption Updates'!$D:$D,"Retrofit",'Cutters Consumption Updates'!$B:$B,$B127)-SUMIFS('Cutters Consumption Updates'!$E:$E,'Cutters Consumption Updates'!$D:$D,"Retrofit",'Cutters Consumption Updates'!$B:$B,$B127)+ SUMIF('Cutters Consumption Updates'!$AS:$AS,$B127,'Cutters Consumption Updates'!AX:AX)</f>
        <v>6</v>
      </c>
      <c r="M127" s="810">
        <f t="shared" si="7"/>
        <v>6</v>
      </c>
      <c r="N127" s="810">
        <f ca="1">SUMIFS('Cutters Consumption Updates'!E:E,
        'Cutters Consumption Updates'!B:B, B127,
        'Cutters Consumption Updates'!A:A, "&gt;" &amp; TODAY()-182)</f>
        <v>0</v>
      </c>
      <c r="O127" s="810">
        <f ca="1">SUMIFS('Cutters Consumption Updates'!E:E,
        'Cutters Consumption Updates'!B:B, B127,
        'Cutters Consumption Updates'!A:A, "&gt;" &amp; TODAY()-91)</f>
        <v>0</v>
      </c>
      <c r="P127" s="810">
        <f t="shared" ca="1" si="8"/>
        <v>0</v>
      </c>
      <c r="Q127" s="703">
        <f t="shared" ca="1" si="9"/>
        <v>0</v>
      </c>
      <c r="R127" s="703" t="s">
        <v>29</v>
      </c>
      <c r="S127" s="24">
        <f>IFERROR(INDEX(Table5[],MATCH($B127,Table5[Component],0),2),0)</f>
        <v>0</v>
      </c>
      <c r="T127" s="813">
        <f>SUMIFS(Table7[Balance],Table7[Cutter Mat'#],$B127)</f>
        <v>0</v>
      </c>
      <c r="U127" s="24">
        <f t="shared" si="10"/>
        <v>6</v>
      </c>
      <c r="V127" s="119"/>
      <c r="W127" s="2"/>
      <c r="Y127" s="4">
        <f>IFERROR(INDEX(Table5[],MATCH($B127,Table5[Component],0),2),0)</f>
        <v>0</v>
      </c>
      <c r="Z127" s="4">
        <f>IFERROR(INDEX(Table5[],MATCH($B127,Table5[Component],0),1),0)</f>
        <v>0</v>
      </c>
      <c r="AA127" s="4" t="str">
        <f>IF(Y127&lt;&gt;0,B127,"")</f>
        <v/>
      </c>
      <c r="AB127" s="4" t="str">
        <f t="shared" si="11"/>
        <v/>
      </c>
      <c r="AD127" s="4">
        <f t="shared" si="12"/>
        <v>6</v>
      </c>
      <c r="AI127" s="248" t="str">
        <f>IFERROR(INDEX($B$1:$AK$243,MATCH(W127,$B$1:$B$243,0),13),"")</f>
        <v/>
      </c>
      <c r="AJ127" s="248" t="str">
        <f>IFERROR(INDEX($B$1:$AK$243,MATCH(W127,$B$1:$B$243,0),15),"")</f>
        <v/>
      </c>
      <c r="AK127">
        <f>SUMIF($W$2:$W$243,B127,$S$2:$S$243)</f>
        <v>0</v>
      </c>
      <c r="AP127">
        <f t="shared" si="13"/>
        <v>0</v>
      </c>
      <c r="AR127">
        <v>1039058</v>
      </c>
      <c r="AS127">
        <f>SUMIF($B:$B,AR127,$AP:$AP)</f>
        <v>0</v>
      </c>
    </row>
    <row r="128" spans="1:45" ht="15.65" customHeight="1" x14ac:dyDescent="0.35">
      <c r="A128" s="2">
        <v>127</v>
      </c>
      <c r="B128" s="2">
        <v>1144689</v>
      </c>
      <c r="C128" s="2" t="s">
        <v>4468</v>
      </c>
      <c r="D128" s="2" t="s">
        <v>4240</v>
      </c>
      <c r="E128" s="2">
        <v>1308</v>
      </c>
      <c r="F128" s="2" t="s">
        <v>248</v>
      </c>
      <c r="G128" s="2" t="s">
        <v>4275</v>
      </c>
      <c r="H128" s="10">
        <f>SUMIFS('Cutters Consumption Updates'!$F:$F,'Cutters Consumption Updates'!$D:$D,H$1,'Cutters Consumption Updates'!$B:$B,$B128)-SUMIFS('Cutters Consumption Updates'!$E:$E,'Cutters Consumption Updates'!$D:$D,H$1,'Cutters Consumption Updates'!$B:$B,$B128)+ SUMIF('Cutters Consumption Updates'!$AS:$AS,$B128,'Cutters Consumption Updates'!AT:AT)</f>
        <v>0</v>
      </c>
      <c r="I128" s="10">
        <f>SUMIFS('Cutters Consumption Updates'!$F:$F,'Cutters Consumption Updates'!$D:$D,I$1,'Cutters Consumption Updates'!$B:$B,$B128)-SUMIFS('Cutters Consumption Updates'!$E:$E,'Cutters Consumption Updates'!$D:$D,I$1,'Cutters Consumption Updates'!$B:$B,$B128)+ SUMIF('Cutters Consumption Updates'!$AS:$AS,$B128,'Cutters Consumption Updates'!AU:AU)</f>
        <v>0</v>
      </c>
      <c r="J128" s="116">
        <f>SUMIFS('Cutters Consumption Updates'!$F:$F,'Cutters Consumption Updates'!$D:$D,J$1,'Cutters Consumption Updates'!$B:$B,$B128)-SUMIFS('Cutters Consumption Updates'!$E:$E,'Cutters Consumption Updates'!$D:$D,J$1,'Cutters Consumption Updates'!$B:$B,$B128)+ SUMIF('Cutters Consumption Updates'!$AS:$AS,$B128,'Cutters Consumption Updates'!AV:AV)</f>
        <v>0</v>
      </c>
      <c r="K128" s="738">
        <f>SUMIFS('Cutters Consumption Updates'!$F:$F,'Cutters Consumption Updates'!$D:$D,K$1,'Cutters Consumption Updates'!$B:$B,$B128)-SUMIFS('Cutters Consumption Updates'!$E:$E,'Cutters Consumption Updates'!$D:$D,K$1,'Cutters Consumption Updates'!$B:$B,$B128)+ SUMIF('Cutters Consumption Updates'!$AS:$AS,$B128,'Cutters Consumption Updates'!AW:AW)</f>
        <v>0</v>
      </c>
      <c r="L128" s="116">
        <f>SUMIFS('Cutters Consumption Updates'!$F:$F,'Cutters Consumption Updates'!$D:$D,L$1,'Cutters Consumption Updates'!$B:$B,$B128)-SUMIFS('Cutters Consumption Updates'!$E:$E,'Cutters Consumption Updates'!$D:$D,$L$1,'Cutters Consumption Updates'!$B:$B,$B128)+SUMIFS('Cutters Consumption Updates'!$F:$F,'Cutters Consumption Updates'!$D:$D,"Retrofit",'Cutters Consumption Updates'!$B:$B,$B128)-SUMIFS('Cutters Consumption Updates'!$E:$E,'Cutters Consumption Updates'!$D:$D,"Retrofit",'Cutters Consumption Updates'!$B:$B,$B128)+ SUMIF('Cutters Consumption Updates'!$AS:$AS,$B128,'Cutters Consumption Updates'!AX:AX)</f>
        <v>0</v>
      </c>
      <c r="M128" s="810">
        <f t="shared" si="7"/>
        <v>0</v>
      </c>
      <c r="N128" s="810">
        <f ca="1">SUMIFS('Cutters Consumption Updates'!E:E,
        'Cutters Consumption Updates'!B:B, B128,
        'Cutters Consumption Updates'!A:A, "&gt;" &amp; TODAY()-182)</f>
        <v>0</v>
      </c>
      <c r="O128" s="810">
        <f ca="1">SUMIFS('Cutters Consumption Updates'!E:E,
        'Cutters Consumption Updates'!B:B, B128,
        'Cutters Consumption Updates'!A:A, "&gt;" &amp; TODAY()-91)</f>
        <v>0</v>
      </c>
      <c r="P128" s="810">
        <f t="shared" ca="1" si="8"/>
        <v>0</v>
      </c>
      <c r="Q128" s="703">
        <f t="shared" ca="1" si="9"/>
        <v>0</v>
      </c>
      <c r="R128" s="703" t="s">
        <v>29</v>
      </c>
      <c r="S128" s="24">
        <f>IFERROR(INDEX(Table5[],MATCH($B128,Table5[Component],0),2),0)</f>
        <v>0</v>
      </c>
      <c r="T128" s="813">
        <f>SUMIFS(Table7[Balance],Table7[Cutter Mat'#],$B128)</f>
        <v>0</v>
      </c>
      <c r="U128" s="24">
        <f t="shared" si="10"/>
        <v>0</v>
      </c>
      <c r="V128" s="119"/>
      <c r="W128" s="2"/>
      <c r="Y128" s="4">
        <f>IFERROR(INDEX(Table5[],MATCH($B128,Table5[Component],0),2),0)</f>
        <v>0</v>
      </c>
      <c r="Z128" s="4">
        <f>IFERROR(INDEX(Table5[],MATCH($B128,Table5[Component],0),1),0)</f>
        <v>0</v>
      </c>
      <c r="AA128" s="4" t="str">
        <f>IF(Y128&lt;&gt;0,B128,"")</f>
        <v/>
      </c>
      <c r="AB128" s="4" t="str">
        <f t="shared" si="11"/>
        <v/>
      </c>
      <c r="AD128" s="4">
        <f t="shared" si="12"/>
        <v>0</v>
      </c>
      <c r="AI128" s="248" t="str">
        <f>IFERROR(INDEX($B$1:$AK$243,MATCH(W128,$B$1:$B$243,0),13),"")</f>
        <v/>
      </c>
      <c r="AJ128" s="248" t="str">
        <f>IFERROR(INDEX($B$1:$AK$243,MATCH(W128,$B$1:$B$243,0),15),"")</f>
        <v/>
      </c>
      <c r="AK128">
        <f>SUMIF($W$2:$W$243,B128,$S$2:$S$243)</f>
        <v>0</v>
      </c>
      <c r="AP128">
        <f t="shared" si="13"/>
        <v>0</v>
      </c>
      <c r="AR128">
        <v>1039060</v>
      </c>
      <c r="AS128">
        <f>SUMIF($B:$B,AR128,$AP:$AP)</f>
        <v>0</v>
      </c>
    </row>
    <row r="129" spans="1:45" ht="15.65" customHeight="1" x14ac:dyDescent="0.35">
      <c r="A129" s="2">
        <v>128</v>
      </c>
      <c r="B129" s="2">
        <v>1039035</v>
      </c>
      <c r="C129" s="2" t="s">
        <v>4349</v>
      </c>
      <c r="D129" s="2" t="s">
        <v>88</v>
      </c>
      <c r="E129" s="2">
        <v>1313</v>
      </c>
      <c r="F129" s="2" t="s">
        <v>248</v>
      </c>
      <c r="G129" s="2" t="s">
        <v>4275</v>
      </c>
      <c r="H129" s="10">
        <f>SUMIFS('Cutters Consumption Updates'!$F:$F,'Cutters Consumption Updates'!$D:$D,H$1,'Cutters Consumption Updates'!$B:$B,$B129)-SUMIFS('Cutters Consumption Updates'!$E:$E,'Cutters Consumption Updates'!$D:$D,H$1,'Cutters Consumption Updates'!$B:$B,$B129)+ SUMIF('Cutters Consumption Updates'!$AS:$AS,$B129,'Cutters Consumption Updates'!AT:AT)</f>
        <v>0</v>
      </c>
      <c r="I129" s="10">
        <f>SUMIFS('Cutters Consumption Updates'!$F:$F,'Cutters Consumption Updates'!$D:$D,I$1,'Cutters Consumption Updates'!$B:$B,$B129)-SUMIFS('Cutters Consumption Updates'!$E:$E,'Cutters Consumption Updates'!$D:$D,I$1,'Cutters Consumption Updates'!$B:$B,$B129)+ SUMIF('Cutters Consumption Updates'!$AS:$AS,$B129,'Cutters Consumption Updates'!AU:AU)</f>
        <v>0</v>
      </c>
      <c r="J129" s="116">
        <f>SUMIFS('Cutters Consumption Updates'!$F:$F,'Cutters Consumption Updates'!$D:$D,J$1,'Cutters Consumption Updates'!$B:$B,$B129)-SUMIFS('Cutters Consumption Updates'!$E:$E,'Cutters Consumption Updates'!$D:$D,J$1,'Cutters Consumption Updates'!$B:$B,$B129)+ SUMIF('Cutters Consumption Updates'!$AS:$AS,$B129,'Cutters Consumption Updates'!AV:AV)</f>
        <v>0</v>
      </c>
      <c r="K129" s="738">
        <f>SUMIFS('Cutters Consumption Updates'!$F:$F,'Cutters Consumption Updates'!$D:$D,K$1,'Cutters Consumption Updates'!$B:$B,$B129)-SUMIFS('Cutters Consumption Updates'!$E:$E,'Cutters Consumption Updates'!$D:$D,K$1,'Cutters Consumption Updates'!$B:$B,$B129)+ SUMIF('Cutters Consumption Updates'!$AS:$AS,$B129,'Cutters Consumption Updates'!AW:AW)</f>
        <v>0</v>
      </c>
      <c r="L129" s="116">
        <f>SUMIFS('Cutters Consumption Updates'!$F:$F,'Cutters Consumption Updates'!$D:$D,L$1,'Cutters Consumption Updates'!$B:$B,$B129)-SUMIFS('Cutters Consumption Updates'!$E:$E,'Cutters Consumption Updates'!$D:$D,$L$1,'Cutters Consumption Updates'!$B:$B,$B129)+SUMIFS('Cutters Consumption Updates'!$F:$F,'Cutters Consumption Updates'!$D:$D,"Retrofit",'Cutters Consumption Updates'!$B:$B,$B129)-SUMIFS('Cutters Consumption Updates'!$E:$E,'Cutters Consumption Updates'!$D:$D,"Retrofit",'Cutters Consumption Updates'!$B:$B,$B129)+ SUMIF('Cutters Consumption Updates'!$AS:$AS,$B129,'Cutters Consumption Updates'!AX:AX)</f>
        <v>0</v>
      </c>
      <c r="M129" s="810">
        <f t="shared" si="7"/>
        <v>0</v>
      </c>
      <c r="N129" s="810">
        <f ca="1">SUMIFS('Cutters Consumption Updates'!E:E,
        'Cutters Consumption Updates'!B:B, B129,
        'Cutters Consumption Updates'!A:A, "&gt;" &amp; TODAY()-182)</f>
        <v>8</v>
      </c>
      <c r="O129" s="810">
        <f ca="1">SUMIFS('Cutters Consumption Updates'!E:E,
        'Cutters Consumption Updates'!B:B, B129,
        'Cutters Consumption Updates'!A:A, "&gt;" &amp; TODAY()-91)</f>
        <v>8</v>
      </c>
      <c r="P129" s="810">
        <f t="shared" ca="1" si="8"/>
        <v>3</v>
      </c>
      <c r="Q129" s="703">
        <f t="shared" ca="1" si="9"/>
        <v>5</v>
      </c>
      <c r="R129" s="703" t="s">
        <v>29</v>
      </c>
      <c r="S129" s="24">
        <f>IFERROR(INDEX(Table5[],MATCH($B129,Table5[Component],0),2),0)</f>
        <v>0</v>
      </c>
      <c r="T129" s="813">
        <f>SUMIFS(Table7[Balance],Table7[Cutter Mat'#],$B129)</f>
        <v>0</v>
      </c>
      <c r="U129" s="24">
        <f t="shared" si="10"/>
        <v>0</v>
      </c>
      <c r="V129" s="119"/>
      <c r="W129" s="2"/>
      <c r="Y129" s="4">
        <f>IFERROR(INDEX(Table5[],MATCH($B129,Table5[Component],0),2),0)</f>
        <v>0</v>
      </c>
      <c r="Z129" s="4">
        <f>IFERROR(INDEX(Table5[],MATCH($B129,Table5[Component],0),1),0)</f>
        <v>0</v>
      </c>
      <c r="AA129" s="4" t="str">
        <f>IF(Y129&lt;&gt;0,B129,"")</f>
        <v/>
      </c>
      <c r="AB129" s="4" t="str">
        <f t="shared" si="11"/>
        <v/>
      </c>
      <c r="AD129" s="4">
        <f t="shared" si="12"/>
        <v>0</v>
      </c>
      <c r="AI129" s="248" t="str">
        <f>IFERROR(INDEX($B$1:$AK$243,MATCH(W129,$B$1:$B$243,0),13),"")</f>
        <v/>
      </c>
      <c r="AJ129" s="248" t="str">
        <f>IFERROR(INDEX($B$1:$AK$243,MATCH(W129,$B$1:$B$243,0),15),"")</f>
        <v/>
      </c>
      <c r="AK129">
        <f>SUMIF($W$2:$W$243,B129,$S$2:$S$243)</f>
        <v>0</v>
      </c>
      <c r="AP129">
        <f t="shared" si="13"/>
        <v>0</v>
      </c>
      <c r="AR129">
        <v>1039064</v>
      </c>
      <c r="AS129">
        <f>SUMIF($B:$B,AR129,$AP:$AP)</f>
        <v>0</v>
      </c>
    </row>
    <row r="130" spans="1:45" ht="15.65" customHeight="1" x14ac:dyDescent="0.35">
      <c r="A130" s="2">
        <v>129</v>
      </c>
      <c r="B130" s="2">
        <v>1104083</v>
      </c>
      <c r="C130" s="24" t="s">
        <v>4469</v>
      </c>
      <c r="D130" s="24" t="s">
        <v>123</v>
      </c>
      <c r="E130" s="24">
        <v>1313</v>
      </c>
      <c r="F130" s="24" t="s">
        <v>248</v>
      </c>
      <c r="G130" s="2" t="s">
        <v>4360</v>
      </c>
      <c r="H130" s="10">
        <f>SUMIFS('Cutters Consumption Updates'!$F:$F,'Cutters Consumption Updates'!$D:$D,H$1,'Cutters Consumption Updates'!$B:$B,$B130)-SUMIFS('Cutters Consumption Updates'!$E:$E,'Cutters Consumption Updates'!$D:$D,H$1,'Cutters Consumption Updates'!$B:$B,$B130)+ SUMIF('Cutters Consumption Updates'!$AS:$AS,$B130,'Cutters Consumption Updates'!AT:AT)</f>
        <v>0</v>
      </c>
      <c r="I130" s="10">
        <f>SUMIFS('Cutters Consumption Updates'!$F:$F,'Cutters Consumption Updates'!$D:$D,I$1,'Cutters Consumption Updates'!$B:$B,$B130)-SUMIFS('Cutters Consumption Updates'!$E:$E,'Cutters Consumption Updates'!$D:$D,I$1,'Cutters Consumption Updates'!$B:$B,$B130)+ SUMIF('Cutters Consumption Updates'!$AS:$AS,$B130,'Cutters Consumption Updates'!AU:AU)</f>
        <v>0</v>
      </c>
      <c r="J130" s="116">
        <f>SUMIFS('Cutters Consumption Updates'!$F:$F,'Cutters Consumption Updates'!$D:$D,J$1,'Cutters Consumption Updates'!$B:$B,$B130)-SUMIFS('Cutters Consumption Updates'!$E:$E,'Cutters Consumption Updates'!$D:$D,J$1,'Cutters Consumption Updates'!$B:$B,$B130)+ SUMIF('Cutters Consumption Updates'!$AS:$AS,$B130,'Cutters Consumption Updates'!AV:AV)</f>
        <v>0</v>
      </c>
      <c r="K130" s="738">
        <f>SUMIFS('Cutters Consumption Updates'!$F:$F,'Cutters Consumption Updates'!$D:$D,K$1,'Cutters Consumption Updates'!$B:$B,$B130)-SUMIFS('Cutters Consumption Updates'!$E:$E,'Cutters Consumption Updates'!$D:$D,K$1,'Cutters Consumption Updates'!$B:$B,$B130)+ SUMIF('Cutters Consumption Updates'!$AS:$AS,$B130,'Cutters Consumption Updates'!AW:AW)</f>
        <v>0</v>
      </c>
      <c r="L130" s="116">
        <f>SUMIFS('Cutters Consumption Updates'!$F:$F,'Cutters Consumption Updates'!$D:$D,L$1,'Cutters Consumption Updates'!$B:$B,$B130)-SUMIFS('Cutters Consumption Updates'!$E:$E,'Cutters Consumption Updates'!$D:$D,$L$1,'Cutters Consumption Updates'!$B:$B,$B130)+SUMIFS('Cutters Consumption Updates'!$F:$F,'Cutters Consumption Updates'!$D:$D,"Retrofit",'Cutters Consumption Updates'!$B:$B,$B130)-SUMIFS('Cutters Consumption Updates'!$E:$E,'Cutters Consumption Updates'!$D:$D,"Retrofit",'Cutters Consumption Updates'!$B:$B,$B130)+ SUMIF('Cutters Consumption Updates'!$AS:$AS,$B130,'Cutters Consumption Updates'!AX:AX)</f>
        <v>0</v>
      </c>
      <c r="M130" s="810">
        <f t="shared" ref="M130:M193" si="14">L130+H130</f>
        <v>0</v>
      </c>
      <c r="N130" s="810">
        <f ca="1">SUMIFS('Cutters Consumption Updates'!E:E,
        'Cutters Consumption Updates'!B:B, B130,
        'Cutters Consumption Updates'!A:A, "&gt;" &amp; TODAY()-182)</f>
        <v>2</v>
      </c>
      <c r="O130" s="810">
        <f ca="1">SUMIFS('Cutters Consumption Updates'!E:E,
        'Cutters Consumption Updates'!B:B, B130,
        'Cutters Consumption Updates'!A:A, "&gt;" &amp; TODAY()-91)</f>
        <v>0</v>
      </c>
      <c r="P130" s="810">
        <f t="shared" ref="P130:P193" ca="1" si="15">IF(N130&lt;&gt;0,_xlfn.CEILING.MATH(N130/3),0)</f>
        <v>1</v>
      </c>
      <c r="Q130" s="703">
        <f t="shared" ref="Q130:Q193" ca="1" si="16">IF(P130&lt;=1, 0,
 CEILING(
  IF(P130&gt;=300, P130+10,
  IF(P130&gt;=200, P130+5,
  IF(P130&gt;=100, P130+5,
  IF(P130&gt;=50, P130+2,
  IF(P130&gt;=20, P130+2,
  IF(P130&gt;=10, P130+2,
  IF(P130&gt;=5,  P130+2,
  P130+1))))))), 5))</f>
        <v>0</v>
      </c>
      <c r="R130" s="703" t="s">
        <v>29</v>
      </c>
      <c r="S130" s="24">
        <f>IFERROR(INDEX(Table5[],MATCH($B130,Table5[Component],0),2),0)</f>
        <v>6</v>
      </c>
      <c r="T130" s="813">
        <f>SUMIFS(Table7[Balance],Table7[Cutter Mat'#],$B130)</f>
        <v>0</v>
      </c>
      <c r="U130" s="24">
        <f t="shared" ref="U130:U193" si="17">M130+T130-S130</f>
        <v>-6</v>
      </c>
      <c r="V130" s="119"/>
      <c r="W130" s="2"/>
      <c r="Y130" s="4">
        <f>IFERROR(INDEX(Table5[],MATCH($B130,Table5[Component],0),2),0)</f>
        <v>6</v>
      </c>
      <c r="Z130" s="4">
        <f>IFERROR(INDEX(Table5[],MATCH($B130,Table5[Component],0),1),0)</f>
        <v>1104083</v>
      </c>
      <c r="AA130" s="4">
        <f>IF(Y130&lt;&gt;0,B130,"")</f>
        <v>1104083</v>
      </c>
      <c r="AB130" s="4" t="str">
        <f t="shared" ref="AB130:AB193" si="18">IF(S130&lt;&gt;Y130,1,"")</f>
        <v/>
      </c>
      <c r="AD130" s="4">
        <f t="shared" ref="AD130:AD193" si="19">H130+I130+J130+L130</f>
        <v>0</v>
      </c>
      <c r="AI130" s="248" t="str">
        <f>IFERROR(INDEX($B$1:$AK$243,MATCH(W130,$B$1:$B$243,0),13),"")</f>
        <v/>
      </c>
      <c r="AJ130" s="248" t="str">
        <f>IFERROR(INDEX($B$1:$AK$243,MATCH(W130,$B$1:$B$243,0),15),"")</f>
        <v/>
      </c>
      <c r="AK130">
        <f>SUMIF($W$2:$W$243,B130,$S$2:$S$243)</f>
        <v>0</v>
      </c>
      <c r="AP130">
        <f t="shared" si="13"/>
        <v>0</v>
      </c>
      <c r="AR130">
        <v>1050703</v>
      </c>
      <c r="AS130">
        <f>SUMIF($B:$B,AR130,$AP:$AP)</f>
        <v>0</v>
      </c>
    </row>
    <row r="131" spans="1:45" ht="15.65" customHeight="1" x14ac:dyDescent="0.35">
      <c r="A131" s="2">
        <v>130</v>
      </c>
      <c r="B131" s="2">
        <v>1136984</v>
      </c>
      <c r="C131" s="2" t="s">
        <v>4350</v>
      </c>
      <c r="D131" s="2" t="s">
        <v>125</v>
      </c>
      <c r="E131" s="2">
        <v>1313</v>
      </c>
      <c r="F131" s="2" t="s">
        <v>248</v>
      </c>
      <c r="G131" s="2" t="s">
        <v>4318</v>
      </c>
      <c r="H131" s="10">
        <f>SUMIFS('Cutters Consumption Updates'!$F:$F,'Cutters Consumption Updates'!$D:$D,H$1,'Cutters Consumption Updates'!$B:$B,$B131)-SUMIFS('Cutters Consumption Updates'!$E:$E,'Cutters Consumption Updates'!$D:$D,H$1,'Cutters Consumption Updates'!$B:$B,$B131)+ SUMIF('Cutters Consumption Updates'!$AS:$AS,$B131,'Cutters Consumption Updates'!AT:AT)</f>
        <v>0</v>
      </c>
      <c r="I131" s="10">
        <f>SUMIFS('Cutters Consumption Updates'!$F:$F,'Cutters Consumption Updates'!$D:$D,I$1,'Cutters Consumption Updates'!$B:$B,$B131)-SUMIFS('Cutters Consumption Updates'!$E:$E,'Cutters Consumption Updates'!$D:$D,I$1,'Cutters Consumption Updates'!$B:$B,$B131)+ SUMIF('Cutters Consumption Updates'!$AS:$AS,$B131,'Cutters Consumption Updates'!AU:AU)</f>
        <v>0</v>
      </c>
      <c r="J131" s="116">
        <f>SUMIFS('Cutters Consumption Updates'!$F:$F,'Cutters Consumption Updates'!$D:$D,J$1,'Cutters Consumption Updates'!$B:$B,$B131)-SUMIFS('Cutters Consumption Updates'!$E:$E,'Cutters Consumption Updates'!$D:$D,J$1,'Cutters Consumption Updates'!$B:$B,$B131)+ SUMIF('Cutters Consumption Updates'!$AS:$AS,$B131,'Cutters Consumption Updates'!AV:AV)</f>
        <v>0</v>
      </c>
      <c r="K131" s="738">
        <f>SUMIFS('Cutters Consumption Updates'!$F:$F,'Cutters Consumption Updates'!$D:$D,K$1,'Cutters Consumption Updates'!$B:$B,$B131)-SUMIFS('Cutters Consumption Updates'!$E:$E,'Cutters Consumption Updates'!$D:$D,K$1,'Cutters Consumption Updates'!$B:$B,$B131)+ SUMIF('Cutters Consumption Updates'!$AS:$AS,$B131,'Cutters Consumption Updates'!AW:AW)</f>
        <v>0</v>
      </c>
      <c r="L131" s="116">
        <f>SUMIFS('Cutters Consumption Updates'!$F:$F,'Cutters Consumption Updates'!$D:$D,L$1,'Cutters Consumption Updates'!$B:$B,$B131)-SUMIFS('Cutters Consumption Updates'!$E:$E,'Cutters Consumption Updates'!$D:$D,$L$1,'Cutters Consumption Updates'!$B:$B,$B131)+SUMIFS('Cutters Consumption Updates'!$F:$F,'Cutters Consumption Updates'!$D:$D,"Retrofit",'Cutters Consumption Updates'!$B:$B,$B131)-SUMIFS('Cutters Consumption Updates'!$E:$E,'Cutters Consumption Updates'!$D:$D,"Retrofit",'Cutters Consumption Updates'!$B:$B,$B131)+ SUMIF('Cutters Consumption Updates'!$AS:$AS,$B131,'Cutters Consumption Updates'!AX:AX)</f>
        <v>3</v>
      </c>
      <c r="M131" s="810">
        <f t="shared" si="14"/>
        <v>3</v>
      </c>
      <c r="N131" s="810">
        <f ca="1">SUMIFS('Cutters Consumption Updates'!E:E,
        'Cutters Consumption Updates'!B:B, B131,
        'Cutters Consumption Updates'!A:A, "&gt;" &amp; TODAY()-182)</f>
        <v>92</v>
      </c>
      <c r="O131" s="810">
        <f ca="1">SUMIFS('Cutters Consumption Updates'!E:E,
        'Cutters Consumption Updates'!B:B, B131,
        'Cutters Consumption Updates'!A:A, "&gt;" &amp; TODAY()-91)</f>
        <v>53</v>
      </c>
      <c r="P131" s="810">
        <f t="shared" ca="1" si="15"/>
        <v>31</v>
      </c>
      <c r="Q131" s="703">
        <f t="shared" ca="1" si="16"/>
        <v>35</v>
      </c>
      <c r="R131" s="703" t="s">
        <v>126</v>
      </c>
      <c r="S131" s="24">
        <f>IFERROR(INDEX(Table5[],MATCH($B131,Table5[Component],0),2),0)</f>
        <v>78</v>
      </c>
      <c r="T131" s="813">
        <f>SUMIFS(Table7[Balance],Table7[Cutter Mat'#],$B131)</f>
        <v>0</v>
      </c>
      <c r="U131" s="24">
        <f t="shared" si="17"/>
        <v>-75</v>
      </c>
      <c r="V131" s="119"/>
      <c r="W131" s="2"/>
      <c r="Y131" s="4">
        <f>IFERROR(INDEX(Table5[],MATCH($B131,Table5[Component],0),2),0)</f>
        <v>78</v>
      </c>
      <c r="Z131" s="4">
        <f>IFERROR(INDEX(Table5[],MATCH($B131,Table5[Component],0),1),0)</f>
        <v>1136984</v>
      </c>
      <c r="AA131" s="4">
        <f>IF(Y131&lt;&gt;0,B131,"")</f>
        <v>1136984</v>
      </c>
      <c r="AB131" s="4" t="str">
        <f t="shared" si="18"/>
        <v/>
      </c>
      <c r="AD131" s="4">
        <f t="shared" si="19"/>
        <v>3</v>
      </c>
      <c r="AI131" s="248" t="str">
        <f>IFERROR(INDEX($B$1:$AK$243,MATCH(W131,$B$1:$B$243,0),13),"")</f>
        <v/>
      </c>
      <c r="AJ131" s="248" t="str">
        <f>IFERROR(INDEX($B$1:$AK$243,MATCH(W131,$B$1:$B$243,0),15),"")</f>
        <v/>
      </c>
      <c r="AK131">
        <f>SUMIF($W$2:$W$243,B131,$S$2:$S$243)</f>
        <v>0</v>
      </c>
      <c r="AP131">
        <f t="shared" ref="AP131:AP194" si="20">T131</f>
        <v>0</v>
      </c>
      <c r="AR131">
        <v>1050785</v>
      </c>
      <c r="AS131">
        <f>SUMIF($B:$B,AR131,$AP:$AP)</f>
        <v>0</v>
      </c>
    </row>
    <row r="132" spans="1:45" ht="15.65" customHeight="1" x14ac:dyDescent="0.35">
      <c r="A132" s="2">
        <v>131</v>
      </c>
      <c r="B132" s="2">
        <v>1039029</v>
      </c>
      <c r="C132" s="2" t="s">
        <v>4470</v>
      </c>
      <c r="D132" s="2" t="s">
        <v>88</v>
      </c>
      <c r="E132" s="2">
        <v>1010</v>
      </c>
      <c r="F132" s="2" t="s">
        <v>248</v>
      </c>
      <c r="G132" s="2" t="s">
        <v>4275</v>
      </c>
      <c r="H132" s="10">
        <f>SUMIFS('Cutters Consumption Updates'!$F:$F,'Cutters Consumption Updates'!$D:$D,H$1,'Cutters Consumption Updates'!$B:$B,$B132)-SUMIFS('Cutters Consumption Updates'!$E:$E,'Cutters Consumption Updates'!$D:$D,H$1,'Cutters Consumption Updates'!$B:$B,$B132)+ SUMIF('Cutters Consumption Updates'!$AS:$AS,$B132,'Cutters Consumption Updates'!AT:AT)</f>
        <v>0</v>
      </c>
      <c r="I132" s="10">
        <f>SUMIFS('Cutters Consumption Updates'!$F:$F,'Cutters Consumption Updates'!$D:$D,I$1,'Cutters Consumption Updates'!$B:$B,$B132)-SUMIFS('Cutters Consumption Updates'!$E:$E,'Cutters Consumption Updates'!$D:$D,I$1,'Cutters Consumption Updates'!$B:$B,$B132)+ SUMIF('Cutters Consumption Updates'!$AS:$AS,$B132,'Cutters Consumption Updates'!AU:AU)</f>
        <v>0</v>
      </c>
      <c r="J132" s="116">
        <f>SUMIFS('Cutters Consumption Updates'!$F:$F,'Cutters Consumption Updates'!$D:$D,J$1,'Cutters Consumption Updates'!$B:$B,$B132)-SUMIFS('Cutters Consumption Updates'!$E:$E,'Cutters Consumption Updates'!$D:$D,J$1,'Cutters Consumption Updates'!$B:$B,$B132)+ SUMIF('Cutters Consumption Updates'!$AS:$AS,$B132,'Cutters Consumption Updates'!AV:AV)</f>
        <v>0</v>
      </c>
      <c r="K132" s="738">
        <f>SUMIFS('Cutters Consumption Updates'!$F:$F,'Cutters Consumption Updates'!$D:$D,K$1,'Cutters Consumption Updates'!$B:$B,$B132)-SUMIFS('Cutters Consumption Updates'!$E:$E,'Cutters Consumption Updates'!$D:$D,K$1,'Cutters Consumption Updates'!$B:$B,$B132)+ SUMIF('Cutters Consumption Updates'!$AS:$AS,$B132,'Cutters Consumption Updates'!AW:AW)</f>
        <v>0</v>
      </c>
      <c r="L132" s="116">
        <f>SUMIFS('Cutters Consumption Updates'!$F:$F,'Cutters Consumption Updates'!$D:$D,L$1,'Cutters Consumption Updates'!$B:$B,$B132)-SUMIFS('Cutters Consumption Updates'!$E:$E,'Cutters Consumption Updates'!$D:$D,$L$1,'Cutters Consumption Updates'!$B:$B,$B132)+SUMIFS('Cutters Consumption Updates'!$F:$F,'Cutters Consumption Updates'!$D:$D,"Retrofit",'Cutters Consumption Updates'!$B:$B,$B132)-SUMIFS('Cutters Consumption Updates'!$E:$E,'Cutters Consumption Updates'!$D:$D,"Retrofit",'Cutters Consumption Updates'!$B:$B,$B132)+ SUMIF('Cutters Consumption Updates'!$AS:$AS,$B132,'Cutters Consumption Updates'!AX:AX)</f>
        <v>0</v>
      </c>
      <c r="M132" s="810">
        <f t="shared" si="14"/>
        <v>0</v>
      </c>
      <c r="N132" s="810">
        <f ca="1">SUMIFS('Cutters Consumption Updates'!E:E,
        'Cutters Consumption Updates'!B:B, B132,
        'Cutters Consumption Updates'!A:A, "&gt;" &amp; TODAY()-182)</f>
        <v>0</v>
      </c>
      <c r="O132" s="810">
        <f ca="1">SUMIFS('Cutters Consumption Updates'!E:E,
        'Cutters Consumption Updates'!B:B, B132,
        'Cutters Consumption Updates'!A:A, "&gt;" &amp; TODAY()-91)</f>
        <v>0</v>
      </c>
      <c r="P132" s="810">
        <f t="shared" ca="1" si="15"/>
        <v>0</v>
      </c>
      <c r="Q132" s="703">
        <f t="shared" ca="1" si="16"/>
        <v>0</v>
      </c>
      <c r="R132" s="703" t="s">
        <v>29</v>
      </c>
      <c r="S132" s="24">
        <f>IFERROR(INDEX(Table5[],MATCH($B132,Table5[Component],0),2),0)</f>
        <v>0</v>
      </c>
      <c r="T132" s="813">
        <f>SUMIFS(Table7[Balance],Table7[Cutter Mat'#],$B132)</f>
        <v>0</v>
      </c>
      <c r="U132" s="24">
        <f t="shared" si="17"/>
        <v>0</v>
      </c>
      <c r="V132" s="119"/>
      <c r="W132" s="2"/>
      <c r="Y132" s="4">
        <f>IFERROR(INDEX(Table5[],MATCH($B132,Table5[Component],0),2),0)</f>
        <v>0</v>
      </c>
      <c r="Z132" s="4">
        <f>IFERROR(INDEX(Table5[],MATCH($B132,Table5[Component],0),1),0)</f>
        <v>1039029</v>
      </c>
      <c r="AA132" s="4" t="str">
        <f>IF(Y132&lt;&gt;0,B132,"")</f>
        <v/>
      </c>
      <c r="AB132" s="4" t="str">
        <f t="shared" si="18"/>
        <v/>
      </c>
      <c r="AD132" s="4">
        <f t="shared" si="19"/>
        <v>0</v>
      </c>
      <c r="AI132" s="248" t="str">
        <f>IFERROR(INDEX($B$1:$AK$243,MATCH(W132,$B$1:$B$243,0),13),"")</f>
        <v/>
      </c>
      <c r="AJ132" s="248" t="str">
        <f>IFERROR(INDEX($B$1:$AK$243,MATCH(W132,$B$1:$B$243,0),15),"")</f>
        <v/>
      </c>
      <c r="AK132">
        <f>SUMIF($W$2:$W$243,B132,$S$2:$S$243)</f>
        <v>0</v>
      </c>
      <c r="AP132">
        <f t="shared" si="20"/>
        <v>0</v>
      </c>
      <c r="AR132">
        <v>1078348</v>
      </c>
      <c r="AS132">
        <f>SUMIF($B:$B,AR132,$AP:$AP)</f>
        <v>0</v>
      </c>
    </row>
    <row r="133" spans="1:45" ht="15.65" customHeight="1" x14ac:dyDescent="0.35">
      <c r="A133" s="2">
        <v>132</v>
      </c>
      <c r="B133" s="2">
        <v>976348</v>
      </c>
      <c r="C133" s="2" t="s">
        <v>4351</v>
      </c>
      <c r="D133" s="2" t="s">
        <v>4241</v>
      </c>
      <c r="E133" s="2">
        <v>1308</v>
      </c>
      <c r="F133" s="2" t="s">
        <v>248</v>
      </c>
      <c r="G133" s="2" t="s">
        <v>4275</v>
      </c>
      <c r="H133" s="10">
        <f>SUMIFS('Cutters Consumption Updates'!$F:$F,'Cutters Consumption Updates'!$D:$D,H$1,'Cutters Consumption Updates'!$B:$B,$B133)-SUMIFS('Cutters Consumption Updates'!$E:$E,'Cutters Consumption Updates'!$D:$D,H$1,'Cutters Consumption Updates'!$B:$B,$B133)+ SUMIF('Cutters Consumption Updates'!$AS:$AS,$B133,'Cutters Consumption Updates'!AT:AT)</f>
        <v>0</v>
      </c>
      <c r="I133" s="10">
        <f>SUMIFS('Cutters Consumption Updates'!$F:$F,'Cutters Consumption Updates'!$D:$D,I$1,'Cutters Consumption Updates'!$B:$B,$B133)-SUMIFS('Cutters Consumption Updates'!$E:$E,'Cutters Consumption Updates'!$D:$D,I$1,'Cutters Consumption Updates'!$B:$B,$B133)+ SUMIF('Cutters Consumption Updates'!$AS:$AS,$B133,'Cutters Consumption Updates'!AU:AU)</f>
        <v>0</v>
      </c>
      <c r="J133" s="116">
        <f>SUMIFS('Cutters Consumption Updates'!$F:$F,'Cutters Consumption Updates'!$D:$D,J$1,'Cutters Consumption Updates'!$B:$B,$B133)-SUMIFS('Cutters Consumption Updates'!$E:$E,'Cutters Consumption Updates'!$D:$D,J$1,'Cutters Consumption Updates'!$B:$B,$B133)+ SUMIF('Cutters Consumption Updates'!$AS:$AS,$B133,'Cutters Consumption Updates'!AV:AV)</f>
        <v>19</v>
      </c>
      <c r="K133" s="738">
        <f>SUMIFS('Cutters Consumption Updates'!$F:$F,'Cutters Consumption Updates'!$D:$D,K$1,'Cutters Consumption Updates'!$B:$B,$B133)-SUMIFS('Cutters Consumption Updates'!$E:$E,'Cutters Consumption Updates'!$D:$D,K$1,'Cutters Consumption Updates'!$B:$B,$B133)+ SUMIF('Cutters Consumption Updates'!$AS:$AS,$B133,'Cutters Consumption Updates'!AW:AW)</f>
        <v>0</v>
      </c>
      <c r="L133" s="116">
        <f>SUMIFS('Cutters Consumption Updates'!$F:$F,'Cutters Consumption Updates'!$D:$D,L$1,'Cutters Consumption Updates'!$B:$B,$B133)-SUMIFS('Cutters Consumption Updates'!$E:$E,'Cutters Consumption Updates'!$D:$D,$L$1,'Cutters Consumption Updates'!$B:$B,$B133)+SUMIFS('Cutters Consumption Updates'!$F:$F,'Cutters Consumption Updates'!$D:$D,"Retrofit",'Cutters Consumption Updates'!$B:$B,$B133)-SUMIFS('Cutters Consumption Updates'!$E:$E,'Cutters Consumption Updates'!$D:$D,"Retrofit",'Cutters Consumption Updates'!$B:$B,$B133)+ SUMIF('Cutters Consumption Updates'!$AS:$AS,$B133,'Cutters Consumption Updates'!AX:AX)</f>
        <v>0</v>
      </c>
      <c r="M133" s="810">
        <f t="shared" si="14"/>
        <v>0</v>
      </c>
      <c r="N133" s="810">
        <f ca="1">SUMIFS('Cutters Consumption Updates'!E:E,
        'Cutters Consumption Updates'!B:B, B133,
        'Cutters Consumption Updates'!A:A, "&gt;" &amp; TODAY()-182)</f>
        <v>0</v>
      </c>
      <c r="O133" s="810">
        <f ca="1">SUMIFS('Cutters Consumption Updates'!E:E,
        'Cutters Consumption Updates'!B:B, B133,
        'Cutters Consumption Updates'!A:A, "&gt;" &amp; TODAY()-91)</f>
        <v>0</v>
      </c>
      <c r="P133" s="810">
        <f t="shared" ca="1" si="15"/>
        <v>0</v>
      </c>
      <c r="Q133" s="703">
        <f t="shared" ca="1" si="16"/>
        <v>0</v>
      </c>
      <c r="R133" s="703" t="s">
        <v>121</v>
      </c>
      <c r="S133" s="24">
        <f>IFERROR(INDEX(Table5[],MATCH($B133,Table5[Component],0),2),0)</f>
        <v>0</v>
      </c>
      <c r="T133" s="813">
        <f>SUMIFS(Table7[Balance],Table7[Cutter Mat'#],$B133)</f>
        <v>0</v>
      </c>
      <c r="U133" s="24">
        <f t="shared" si="17"/>
        <v>0</v>
      </c>
      <c r="V133" s="119"/>
      <c r="W133" s="2"/>
      <c r="Y133" s="4">
        <f>IFERROR(INDEX(Table5[],MATCH($B133,Table5[Component],0),2),0)</f>
        <v>0</v>
      </c>
      <c r="Z133" s="4">
        <f>IFERROR(INDEX(Table5[],MATCH($B133,Table5[Component],0),1),0)</f>
        <v>0</v>
      </c>
      <c r="AA133" s="4" t="str">
        <f>IF(Y133&lt;&gt;0,B133,"")</f>
        <v/>
      </c>
      <c r="AB133" s="4" t="str">
        <f t="shared" si="18"/>
        <v/>
      </c>
      <c r="AD133" s="4">
        <f t="shared" si="19"/>
        <v>19</v>
      </c>
      <c r="AI133" s="248" t="str">
        <f>IFERROR(INDEX($B$1:$AK$243,MATCH(W133,$B$1:$B$243,0),13),"")</f>
        <v/>
      </c>
      <c r="AJ133" s="248" t="str">
        <f>IFERROR(INDEX($B$1:$AK$243,MATCH(W133,$B$1:$B$243,0),15),"")</f>
        <v/>
      </c>
      <c r="AK133">
        <f>SUMIF($W$2:$W$243,B133,$S$2:$S$243)</f>
        <v>0</v>
      </c>
      <c r="AP133">
        <f t="shared" si="20"/>
        <v>0</v>
      </c>
      <c r="AR133">
        <v>1078371</v>
      </c>
      <c r="AS133">
        <f>SUMIF($B:$B,AR133,$AP:$AP)</f>
        <v>0</v>
      </c>
    </row>
    <row r="134" spans="1:45" ht="15.65" customHeight="1" x14ac:dyDescent="0.35">
      <c r="A134" s="2">
        <v>133</v>
      </c>
      <c r="B134" s="2">
        <v>409593</v>
      </c>
      <c r="C134" s="2" t="s">
        <v>4352</v>
      </c>
      <c r="D134" s="2" t="s">
        <v>44</v>
      </c>
      <c r="E134" s="2">
        <v>1608</v>
      </c>
      <c r="F134" s="2" t="s">
        <v>248</v>
      </c>
      <c r="G134" s="2" t="s">
        <v>28</v>
      </c>
      <c r="H134" s="10">
        <f>SUMIFS('Cutters Consumption Updates'!$F:$F,'Cutters Consumption Updates'!$D:$D,H$1,'Cutters Consumption Updates'!$B:$B,$B134)-SUMIFS('Cutters Consumption Updates'!$E:$E,'Cutters Consumption Updates'!$D:$D,H$1,'Cutters Consumption Updates'!$B:$B,$B134)+ SUMIF('Cutters Consumption Updates'!$AS:$AS,$B134,'Cutters Consumption Updates'!AT:AT)</f>
        <v>1</v>
      </c>
      <c r="I134" s="10">
        <f>SUMIFS('Cutters Consumption Updates'!$F:$F,'Cutters Consumption Updates'!$D:$D,I$1,'Cutters Consumption Updates'!$B:$B,$B134)-SUMIFS('Cutters Consumption Updates'!$E:$E,'Cutters Consumption Updates'!$D:$D,I$1,'Cutters Consumption Updates'!$B:$B,$B134)+ SUMIF('Cutters Consumption Updates'!$AS:$AS,$B134,'Cutters Consumption Updates'!AU:AU)</f>
        <v>2</v>
      </c>
      <c r="J134" s="116">
        <f>SUMIFS('Cutters Consumption Updates'!$F:$F,'Cutters Consumption Updates'!$D:$D,J$1,'Cutters Consumption Updates'!$B:$B,$B134)-SUMIFS('Cutters Consumption Updates'!$E:$E,'Cutters Consumption Updates'!$D:$D,J$1,'Cutters Consumption Updates'!$B:$B,$B134)+ SUMIF('Cutters Consumption Updates'!$AS:$AS,$B134,'Cutters Consumption Updates'!AV:AV)</f>
        <v>0</v>
      </c>
      <c r="K134" s="738">
        <f>SUMIFS('Cutters Consumption Updates'!$F:$F,'Cutters Consumption Updates'!$D:$D,K$1,'Cutters Consumption Updates'!$B:$B,$B134)-SUMIFS('Cutters Consumption Updates'!$E:$E,'Cutters Consumption Updates'!$D:$D,K$1,'Cutters Consumption Updates'!$B:$B,$B134)+ SUMIF('Cutters Consumption Updates'!$AS:$AS,$B134,'Cutters Consumption Updates'!AW:AW)</f>
        <v>0</v>
      </c>
      <c r="L134" s="116">
        <f>SUMIFS('Cutters Consumption Updates'!$F:$F,'Cutters Consumption Updates'!$D:$D,L$1,'Cutters Consumption Updates'!$B:$B,$B134)-SUMIFS('Cutters Consumption Updates'!$E:$E,'Cutters Consumption Updates'!$D:$D,$L$1,'Cutters Consumption Updates'!$B:$B,$B134)+SUMIFS('Cutters Consumption Updates'!$F:$F,'Cutters Consumption Updates'!$D:$D,"Retrofit",'Cutters Consumption Updates'!$B:$B,$B134)-SUMIFS('Cutters Consumption Updates'!$E:$E,'Cutters Consumption Updates'!$D:$D,"Retrofit",'Cutters Consumption Updates'!$B:$B,$B134)+ SUMIF('Cutters Consumption Updates'!$AS:$AS,$B134,'Cutters Consumption Updates'!AX:AX)</f>
        <v>0</v>
      </c>
      <c r="M134" s="810">
        <f t="shared" si="14"/>
        <v>1</v>
      </c>
      <c r="N134" s="810">
        <f ca="1">SUMIFS('Cutters Consumption Updates'!E:E,
        'Cutters Consumption Updates'!B:B, B134,
        'Cutters Consumption Updates'!A:A, "&gt;" &amp; TODAY()-182)</f>
        <v>0</v>
      </c>
      <c r="O134" s="810">
        <f ca="1">SUMIFS('Cutters Consumption Updates'!E:E,
        'Cutters Consumption Updates'!B:B, B134,
        'Cutters Consumption Updates'!A:A, "&gt;" &amp; TODAY()-91)</f>
        <v>0</v>
      </c>
      <c r="P134" s="810">
        <f t="shared" ca="1" si="15"/>
        <v>0</v>
      </c>
      <c r="Q134" s="703">
        <f t="shared" ca="1" si="16"/>
        <v>0</v>
      </c>
      <c r="R134" s="703" t="s">
        <v>29</v>
      </c>
      <c r="S134" s="24">
        <f>IFERROR(INDEX(Table5[],MATCH($B134,Table5[Component],0),2),0)</f>
        <v>0</v>
      </c>
      <c r="T134" s="813">
        <f>SUMIFS(Table7[Balance],Table7[Cutter Mat'#],$B134)</f>
        <v>0</v>
      </c>
      <c r="U134" s="24">
        <f t="shared" si="17"/>
        <v>1</v>
      </c>
      <c r="V134" s="119"/>
      <c r="W134" s="2"/>
      <c r="Y134" s="4">
        <f>IFERROR(INDEX(Table5[],MATCH($B134,Table5[Component],0),2),0)</f>
        <v>0</v>
      </c>
      <c r="Z134" s="4">
        <f>IFERROR(INDEX(Table5[],MATCH($B134,Table5[Component],0),1),0)</f>
        <v>0</v>
      </c>
      <c r="AA134" s="4" t="str">
        <f>IF(Y134&lt;&gt;0,B134,"")</f>
        <v/>
      </c>
      <c r="AB134" s="4" t="str">
        <f t="shared" si="18"/>
        <v/>
      </c>
      <c r="AD134" s="4">
        <f t="shared" si="19"/>
        <v>3</v>
      </c>
      <c r="AI134" s="248" t="str">
        <f>IFERROR(INDEX($B$1:$AK$243,MATCH(W134,$B$1:$B$243,0),13),"")</f>
        <v/>
      </c>
      <c r="AJ134" s="248" t="str">
        <f>IFERROR(INDEX($B$1:$AK$243,MATCH(W134,$B$1:$B$243,0),15),"")</f>
        <v/>
      </c>
      <c r="AK134">
        <f>SUMIF($W$2:$W$243,B134,$S$2:$S$243)</f>
        <v>0</v>
      </c>
      <c r="AP134">
        <f t="shared" si="20"/>
        <v>0</v>
      </c>
      <c r="AR134">
        <v>1078377</v>
      </c>
      <c r="AS134">
        <f>SUMIF($B:$B,AR134,$AP:$AP)</f>
        <v>100</v>
      </c>
    </row>
    <row r="135" spans="1:45" ht="15.65" customHeight="1" x14ac:dyDescent="0.35">
      <c r="A135" s="2">
        <v>134</v>
      </c>
      <c r="B135" s="2">
        <v>397470</v>
      </c>
      <c r="C135" s="2" t="s">
        <v>4353</v>
      </c>
      <c r="D135" s="2" t="s">
        <v>4242</v>
      </c>
      <c r="E135" s="2">
        <v>1608</v>
      </c>
      <c r="F135" s="2" t="s">
        <v>248</v>
      </c>
      <c r="G135" s="2" t="s">
        <v>47</v>
      </c>
      <c r="H135" s="10">
        <f>SUMIFS('Cutters Consumption Updates'!$F:$F,'Cutters Consumption Updates'!$D:$D,H$1,'Cutters Consumption Updates'!$B:$B,$B135)-SUMIFS('Cutters Consumption Updates'!$E:$E,'Cutters Consumption Updates'!$D:$D,H$1,'Cutters Consumption Updates'!$B:$B,$B135)+ SUMIF('Cutters Consumption Updates'!$AS:$AS,$B135,'Cutters Consumption Updates'!AT:AT)</f>
        <v>0</v>
      </c>
      <c r="I135" s="10">
        <f>SUMIFS('Cutters Consumption Updates'!$F:$F,'Cutters Consumption Updates'!$D:$D,I$1,'Cutters Consumption Updates'!$B:$B,$B135)-SUMIFS('Cutters Consumption Updates'!$E:$E,'Cutters Consumption Updates'!$D:$D,I$1,'Cutters Consumption Updates'!$B:$B,$B135)+ SUMIF('Cutters Consumption Updates'!$AS:$AS,$B135,'Cutters Consumption Updates'!AU:AU)</f>
        <v>18</v>
      </c>
      <c r="J135" s="116">
        <f>SUMIFS('Cutters Consumption Updates'!$F:$F,'Cutters Consumption Updates'!$D:$D,J$1,'Cutters Consumption Updates'!$B:$B,$B135)-SUMIFS('Cutters Consumption Updates'!$E:$E,'Cutters Consumption Updates'!$D:$D,J$1,'Cutters Consumption Updates'!$B:$B,$B135)+ SUMIF('Cutters Consumption Updates'!$AS:$AS,$B135,'Cutters Consumption Updates'!AV:AV)</f>
        <v>0</v>
      </c>
      <c r="K135" s="738">
        <f>SUMIFS('Cutters Consumption Updates'!$F:$F,'Cutters Consumption Updates'!$D:$D,K$1,'Cutters Consumption Updates'!$B:$B,$B135)-SUMIFS('Cutters Consumption Updates'!$E:$E,'Cutters Consumption Updates'!$D:$D,K$1,'Cutters Consumption Updates'!$B:$B,$B135)+ SUMIF('Cutters Consumption Updates'!$AS:$AS,$B135,'Cutters Consumption Updates'!AW:AW)</f>
        <v>0</v>
      </c>
      <c r="L135" s="116">
        <f>SUMIFS('Cutters Consumption Updates'!$F:$F,'Cutters Consumption Updates'!$D:$D,L$1,'Cutters Consumption Updates'!$B:$B,$B135)-SUMIFS('Cutters Consumption Updates'!$E:$E,'Cutters Consumption Updates'!$D:$D,$L$1,'Cutters Consumption Updates'!$B:$B,$B135)+SUMIFS('Cutters Consumption Updates'!$F:$F,'Cutters Consumption Updates'!$D:$D,"Retrofit",'Cutters Consumption Updates'!$B:$B,$B135)-SUMIFS('Cutters Consumption Updates'!$E:$E,'Cutters Consumption Updates'!$D:$D,"Retrofit",'Cutters Consumption Updates'!$B:$B,$B135)+ SUMIF('Cutters Consumption Updates'!$AS:$AS,$B135,'Cutters Consumption Updates'!AX:AX)</f>
        <v>0</v>
      </c>
      <c r="M135" s="810">
        <f t="shared" si="14"/>
        <v>0</v>
      </c>
      <c r="N135" s="810">
        <f ca="1">SUMIFS('Cutters Consumption Updates'!E:E,
        'Cutters Consumption Updates'!B:B, B135,
        'Cutters Consumption Updates'!A:A, "&gt;" &amp; TODAY()-182)</f>
        <v>0</v>
      </c>
      <c r="O135" s="810">
        <f ca="1">SUMIFS('Cutters Consumption Updates'!E:E,
        'Cutters Consumption Updates'!B:B, B135,
        'Cutters Consumption Updates'!A:A, "&gt;" &amp; TODAY()-91)</f>
        <v>0</v>
      </c>
      <c r="P135" s="810">
        <f t="shared" ca="1" si="15"/>
        <v>0</v>
      </c>
      <c r="Q135" s="703">
        <f t="shared" ca="1" si="16"/>
        <v>0</v>
      </c>
      <c r="R135" s="703" t="s">
        <v>29</v>
      </c>
      <c r="S135" s="24">
        <f>IFERROR(INDEX(Table5[],MATCH($B135,Table5[Component],0),2),0)</f>
        <v>0</v>
      </c>
      <c r="T135" s="813">
        <f>SUMIFS(Table7[Balance],Table7[Cutter Mat'#],$B135)</f>
        <v>0</v>
      </c>
      <c r="U135" s="24">
        <f t="shared" si="17"/>
        <v>0</v>
      </c>
      <c r="V135" s="119"/>
      <c r="W135" s="2"/>
      <c r="Y135" s="4">
        <f>IFERROR(INDEX(Table5[],MATCH($B135,Table5[Component],0),2),0)</f>
        <v>0</v>
      </c>
      <c r="Z135" s="4">
        <f>IFERROR(INDEX(Table5[],MATCH($B135,Table5[Component],0),1),0)</f>
        <v>0</v>
      </c>
      <c r="AA135" s="4" t="str">
        <f>IF(Y135&lt;&gt;0,B135,"")</f>
        <v/>
      </c>
      <c r="AB135" s="4" t="str">
        <f t="shared" si="18"/>
        <v/>
      </c>
      <c r="AD135" s="4">
        <f t="shared" si="19"/>
        <v>18</v>
      </c>
      <c r="AI135" s="248" t="str">
        <f>IFERROR(INDEX($B$1:$AK$243,MATCH(W135,$B$1:$B$243,0),13),"")</f>
        <v/>
      </c>
      <c r="AJ135" s="248" t="str">
        <f>IFERROR(INDEX($B$1:$AK$243,MATCH(W135,$B$1:$B$243,0),15),"")</f>
        <v/>
      </c>
      <c r="AK135">
        <f>SUMIF($W$2:$W$243,B135,$S$2:$S$243)</f>
        <v>0</v>
      </c>
      <c r="AP135">
        <f t="shared" si="20"/>
        <v>0</v>
      </c>
      <c r="AR135">
        <v>1086351</v>
      </c>
      <c r="AS135">
        <f>SUMIF($B:$B,AR135,$AP:$AP)</f>
        <v>0</v>
      </c>
    </row>
    <row r="136" spans="1:45" ht="15.65" customHeight="1" x14ac:dyDescent="0.35">
      <c r="A136" s="2">
        <v>135</v>
      </c>
      <c r="B136" s="2">
        <v>1145493</v>
      </c>
      <c r="C136" s="2" t="s">
        <v>4354</v>
      </c>
      <c r="D136" s="2" t="s">
        <v>130</v>
      </c>
      <c r="E136" s="2">
        <v>1313</v>
      </c>
      <c r="F136" s="2" t="s">
        <v>248</v>
      </c>
      <c r="G136" s="2" t="s">
        <v>4314</v>
      </c>
      <c r="H136" s="10">
        <f>SUMIFS('Cutters Consumption Updates'!$F:$F,'Cutters Consumption Updates'!$D:$D,H$1,'Cutters Consumption Updates'!$B:$B,$B136)-SUMIFS('Cutters Consumption Updates'!$E:$E,'Cutters Consumption Updates'!$D:$D,H$1,'Cutters Consumption Updates'!$B:$B,$B136)+ SUMIF('Cutters Consumption Updates'!$AS:$AS,$B136,'Cutters Consumption Updates'!AT:AT)</f>
        <v>0</v>
      </c>
      <c r="I136" s="10">
        <f>SUMIFS('Cutters Consumption Updates'!$F:$F,'Cutters Consumption Updates'!$D:$D,I$1,'Cutters Consumption Updates'!$B:$B,$B136)-SUMIFS('Cutters Consumption Updates'!$E:$E,'Cutters Consumption Updates'!$D:$D,I$1,'Cutters Consumption Updates'!$B:$B,$B136)+ SUMIF('Cutters Consumption Updates'!$AS:$AS,$B136,'Cutters Consumption Updates'!AU:AU)</f>
        <v>0</v>
      </c>
      <c r="J136" s="116">
        <f>SUMIFS('Cutters Consumption Updates'!$F:$F,'Cutters Consumption Updates'!$D:$D,J$1,'Cutters Consumption Updates'!$B:$B,$B136)-SUMIFS('Cutters Consumption Updates'!$E:$E,'Cutters Consumption Updates'!$D:$D,J$1,'Cutters Consumption Updates'!$B:$B,$B136)+ SUMIF('Cutters Consumption Updates'!$AS:$AS,$B136,'Cutters Consumption Updates'!AV:AV)</f>
        <v>0</v>
      </c>
      <c r="K136" s="738">
        <f>SUMIFS('Cutters Consumption Updates'!$F:$F,'Cutters Consumption Updates'!$D:$D,K$1,'Cutters Consumption Updates'!$B:$B,$B136)-SUMIFS('Cutters Consumption Updates'!$E:$E,'Cutters Consumption Updates'!$D:$D,K$1,'Cutters Consumption Updates'!$B:$B,$B136)+ SUMIF('Cutters Consumption Updates'!$AS:$AS,$B136,'Cutters Consumption Updates'!AW:AW)</f>
        <v>7</v>
      </c>
      <c r="L136" s="116">
        <f>SUMIFS('Cutters Consumption Updates'!$F:$F,'Cutters Consumption Updates'!$D:$D,L$1,'Cutters Consumption Updates'!$B:$B,$B136)-SUMIFS('Cutters Consumption Updates'!$E:$E,'Cutters Consumption Updates'!$D:$D,$L$1,'Cutters Consumption Updates'!$B:$B,$B136)+SUMIFS('Cutters Consumption Updates'!$F:$F,'Cutters Consumption Updates'!$D:$D,"Retrofit",'Cutters Consumption Updates'!$B:$B,$B136)-SUMIFS('Cutters Consumption Updates'!$E:$E,'Cutters Consumption Updates'!$D:$D,"Retrofit",'Cutters Consumption Updates'!$B:$B,$B136)+ SUMIF('Cutters Consumption Updates'!$AS:$AS,$B136,'Cutters Consumption Updates'!AX:AX)</f>
        <v>0</v>
      </c>
      <c r="M136" s="810">
        <f t="shared" si="14"/>
        <v>0</v>
      </c>
      <c r="N136" s="810">
        <f ca="1">SUMIFS('Cutters Consumption Updates'!E:E,
        'Cutters Consumption Updates'!B:B, B136,
        'Cutters Consumption Updates'!A:A, "&gt;" &amp; TODAY()-182)</f>
        <v>17</v>
      </c>
      <c r="O136" s="810">
        <f ca="1">SUMIFS('Cutters Consumption Updates'!E:E,
        'Cutters Consumption Updates'!B:B, B136,
        'Cutters Consumption Updates'!A:A, "&gt;" &amp; TODAY()-91)</f>
        <v>5</v>
      </c>
      <c r="P136" s="810">
        <f t="shared" ca="1" si="15"/>
        <v>6</v>
      </c>
      <c r="Q136" s="703">
        <f t="shared" ca="1" si="16"/>
        <v>10</v>
      </c>
      <c r="R136" s="703" t="s">
        <v>29</v>
      </c>
      <c r="S136" s="24">
        <f>IFERROR(INDEX(Table5[],MATCH($B136,Table5[Component],0),2),0)</f>
        <v>0</v>
      </c>
      <c r="T136" s="813">
        <f>SUMIFS(Table7[Balance],Table7[Cutter Mat'#],$B136)</f>
        <v>0</v>
      </c>
      <c r="U136" s="24">
        <f t="shared" si="17"/>
        <v>0</v>
      </c>
      <c r="V136" s="119"/>
      <c r="W136" s="2"/>
      <c r="Y136" s="4">
        <f>IFERROR(INDEX(Table5[],MATCH($B136,Table5[Component],0),2),0)</f>
        <v>0</v>
      </c>
      <c r="Z136" s="4">
        <f>IFERROR(INDEX(Table5[],MATCH($B136,Table5[Component],0),1),0)</f>
        <v>0</v>
      </c>
      <c r="AA136" s="4" t="str">
        <f>IF(Y136&lt;&gt;0,B136,"")</f>
        <v/>
      </c>
      <c r="AB136" s="4" t="str">
        <f t="shared" si="18"/>
        <v/>
      </c>
      <c r="AD136" s="4">
        <f t="shared" si="19"/>
        <v>0</v>
      </c>
      <c r="AI136" s="248" t="str">
        <f>IFERROR(INDEX($B$1:$AK$243,MATCH(W136,$B$1:$B$243,0),13),"")</f>
        <v/>
      </c>
      <c r="AJ136" s="248" t="str">
        <f>IFERROR(INDEX($B$1:$AK$243,MATCH(W136,$B$1:$B$243,0),15),"")</f>
        <v/>
      </c>
      <c r="AK136">
        <f>SUMIF($W$2:$W$243,B136,$S$2:$S$243)</f>
        <v>0</v>
      </c>
      <c r="AP136">
        <f t="shared" si="20"/>
        <v>0</v>
      </c>
      <c r="AR136">
        <v>1100694</v>
      </c>
      <c r="AS136">
        <f>SUMIF($B:$B,AR136,$AP:$AP)</f>
        <v>0</v>
      </c>
    </row>
    <row r="137" spans="1:45" ht="15.65" customHeight="1" x14ac:dyDescent="0.35">
      <c r="A137" s="2">
        <v>136</v>
      </c>
      <c r="B137" s="2">
        <v>1050785</v>
      </c>
      <c r="C137" s="2" t="s">
        <v>4355</v>
      </c>
      <c r="D137" s="2" t="s">
        <v>88</v>
      </c>
      <c r="E137" s="2">
        <v>1005</v>
      </c>
      <c r="F137" s="2" t="s">
        <v>248</v>
      </c>
      <c r="G137" s="2" t="s">
        <v>4275</v>
      </c>
      <c r="H137" s="10">
        <f>SUMIFS('Cutters Consumption Updates'!$F:$F,'Cutters Consumption Updates'!$D:$D,H$1,'Cutters Consumption Updates'!$B:$B,$B137)-SUMIFS('Cutters Consumption Updates'!$E:$E,'Cutters Consumption Updates'!$D:$D,H$1,'Cutters Consumption Updates'!$B:$B,$B137)+ SUMIF('Cutters Consumption Updates'!$AS:$AS,$B137,'Cutters Consumption Updates'!AT:AT)</f>
        <v>0</v>
      </c>
      <c r="I137" s="10">
        <f>SUMIFS('Cutters Consumption Updates'!$F:$F,'Cutters Consumption Updates'!$D:$D,I$1,'Cutters Consumption Updates'!$B:$B,$B137)-SUMIFS('Cutters Consumption Updates'!$E:$E,'Cutters Consumption Updates'!$D:$D,I$1,'Cutters Consumption Updates'!$B:$B,$B137)+ SUMIF('Cutters Consumption Updates'!$AS:$AS,$B137,'Cutters Consumption Updates'!AU:AU)</f>
        <v>0</v>
      </c>
      <c r="J137" s="116">
        <f>SUMIFS('Cutters Consumption Updates'!$F:$F,'Cutters Consumption Updates'!$D:$D,J$1,'Cutters Consumption Updates'!$B:$B,$B137)-SUMIFS('Cutters Consumption Updates'!$E:$E,'Cutters Consumption Updates'!$D:$D,J$1,'Cutters Consumption Updates'!$B:$B,$B137)+ SUMIF('Cutters Consumption Updates'!$AS:$AS,$B137,'Cutters Consumption Updates'!AV:AV)</f>
        <v>0</v>
      </c>
      <c r="K137" s="738">
        <f>SUMIFS('Cutters Consumption Updates'!$F:$F,'Cutters Consumption Updates'!$D:$D,K$1,'Cutters Consumption Updates'!$B:$B,$B137)-SUMIFS('Cutters Consumption Updates'!$E:$E,'Cutters Consumption Updates'!$D:$D,K$1,'Cutters Consumption Updates'!$B:$B,$B137)+ SUMIF('Cutters Consumption Updates'!$AS:$AS,$B137,'Cutters Consumption Updates'!AW:AW)</f>
        <v>0</v>
      </c>
      <c r="L137" s="116">
        <f>SUMIFS('Cutters Consumption Updates'!$F:$F,'Cutters Consumption Updates'!$D:$D,L$1,'Cutters Consumption Updates'!$B:$B,$B137)-SUMIFS('Cutters Consumption Updates'!$E:$E,'Cutters Consumption Updates'!$D:$D,$L$1,'Cutters Consumption Updates'!$B:$B,$B137)+SUMIFS('Cutters Consumption Updates'!$F:$F,'Cutters Consumption Updates'!$D:$D,"Retrofit",'Cutters Consumption Updates'!$B:$B,$B137)-SUMIFS('Cutters Consumption Updates'!$E:$E,'Cutters Consumption Updates'!$D:$D,"Retrofit",'Cutters Consumption Updates'!$B:$B,$B137)+ SUMIF('Cutters Consumption Updates'!$AS:$AS,$B137,'Cutters Consumption Updates'!AX:AX)</f>
        <v>5</v>
      </c>
      <c r="M137" s="810">
        <f t="shared" si="14"/>
        <v>5</v>
      </c>
      <c r="N137" s="810">
        <f ca="1">SUMIFS('Cutters Consumption Updates'!E:E,
        'Cutters Consumption Updates'!B:B, B137,
        'Cutters Consumption Updates'!A:A, "&gt;" &amp; TODAY()-182)</f>
        <v>0</v>
      </c>
      <c r="O137" s="810">
        <f ca="1">SUMIFS('Cutters Consumption Updates'!E:E,
        'Cutters Consumption Updates'!B:B, B137,
        'Cutters Consumption Updates'!A:A, "&gt;" &amp; TODAY()-91)</f>
        <v>0</v>
      </c>
      <c r="P137" s="810">
        <f t="shared" ca="1" si="15"/>
        <v>0</v>
      </c>
      <c r="Q137" s="703">
        <f t="shared" ca="1" si="16"/>
        <v>0</v>
      </c>
      <c r="R137" s="703" t="s">
        <v>29</v>
      </c>
      <c r="S137" s="24">
        <f>IFERROR(INDEX(Table5[],MATCH($B137,Table5[Component],0),2),0)</f>
        <v>0</v>
      </c>
      <c r="T137" s="813">
        <f>SUMIFS(Table7[Balance],Table7[Cutter Mat'#],$B137)</f>
        <v>0</v>
      </c>
      <c r="U137" s="24">
        <f t="shared" si="17"/>
        <v>5</v>
      </c>
      <c r="V137" s="119"/>
      <c r="W137" s="2"/>
      <c r="Y137" s="4">
        <f>IFERROR(INDEX(Table5[],MATCH($B137,Table5[Component],0),2),0)</f>
        <v>0</v>
      </c>
      <c r="Z137" s="4">
        <f>IFERROR(INDEX(Table5[],MATCH($B137,Table5[Component],0),1),0)</f>
        <v>1050785</v>
      </c>
      <c r="AA137" s="4" t="str">
        <f>IF(Y137&lt;&gt;0,B137,"")</f>
        <v/>
      </c>
      <c r="AB137" s="4" t="str">
        <f t="shared" si="18"/>
        <v/>
      </c>
      <c r="AD137" s="4">
        <f t="shared" si="19"/>
        <v>5</v>
      </c>
      <c r="AI137" s="248" t="str">
        <f>IFERROR(INDEX($B$1:$AK$243,MATCH(W137,$B$1:$B$243,0),13),"")</f>
        <v/>
      </c>
      <c r="AJ137" s="248" t="str">
        <f>IFERROR(INDEX($B$1:$AK$243,MATCH(W137,$B$1:$B$243,0),15),"")</f>
        <v/>
      </c>
      <c r="AK137">
        <f>SUMIF($W$2:$W$243,B137,$S$2:$S$243)</f>
        <v>0</v>
      </c>
      <c r="AP137">
        <f t="shared" si="20"/>
        <v>0</v>
      </c>
      <c r="AR137">
        <v>1100696</v>
      </c>
      <c r="AS137">
        <f>SUMIF($B:$B,AR137,$AP:$AP)</f>
        <v>0</v>
      </c>
    </row>
    <row r="138" spans="1:45" ht="15.65" customHeight="1" x14ac:dyDescent="0.35">
      <c r="A138" s="2">
        <v>137</v>
      </c>
      <c r="B138" s="2">
        <v>874583</v>
      </c>
      <c r="C138" s="2" t="s">
        <v>4356</v>
      </c>
      <c r="D138" s="2" t="s">
        <v>76</v>
      </c>
      <c r="E138" s="2">
        <v>1313</v>
      </c>
      <c r="F138" s="2" t="s">
        <v>248</v>
      </c>
      <c r="G138" s="2" t="s">
        <v>28</v>
      </c>
      <c r="H138" s="10">
        <f>SUMIFS('Cutters Consumption Updates'!$F:$F,'Cutters Consumption Updates'!$D:$D,H$1,'Cutters Consumption Updates'!$B:$B,$B138)-SUMIFS('Cutters Consumption Updates'!$E:$E,'Cutters Consumption Updates'!$D:$D,H$1,'Cutters Consumption Updates'!$B:$B,$B138)+ SUMIF('Cutters Consumption Updates'!$AS:$AS,$B138,'Cutters Consumption Updates'!AT:AT)</f>
        <v>0</v>
      </c>
      <c r="I138" s="10">
        <f>SUMIFS('Cutters Consumption Updates'!$F:$F,'Cutters Consumption Updates'!$D:$D,I$1,'Cutters Consumption Updates'!$B:$B,$B138)-SUMIFS('Cutters Consumption Updates'!$E:$E,'Cutters Consumption Updates'!$D:$D,I$1,'Cutters Consumption Updates'!$B:$B,$B138)+ SUMIF('Cutters Consumption Updates'!$AS:$AS,$B138,'Cutters Consumption Updates'!AU:AU)</f>
        <v>0</v>
      </c>
      <c r="J138" s="116">
        <f>SUMIFS('Cutters Consumption Updates'!$F:$F,'Cutters Consumption Updates'!$D:$D,J$1,'Cutters Consumption Updates'!$B:$B,$B138)-SUMIFS('Cutters Consumption Updates'!$E:$E,'Cutters Consumption Updates'!$D:$D,J$1,'Cutters Consumption Updates'!$B:$B,$B138)+ SUMIF('Cutters Consumption Updates'!$AS:$AS,$B138,'Cutters Consumption Updates'!AV:AV)</f>
        <v>0</v>
      </c>
      <c r="K138" s="738">
        <f>SUMIFS('Cutters Consumption Updates'!$F:$F,'Cutters Consumption Updates'!$D:$D,K$1,'Cutters Consumption Updates'!$B:$B,$B138)-SUMIFS('Cutters Consumption Updates'!$E:$E,'Cutters Consumption Updates'!$D:$D,K$1,'Cutters Consumption Updates'!$B:$B,$B138)+ SUMIF('Cutters Consumption Updates'!$AS:$AS,$B138,'Cutters Consumption Updates'!AW:AW)</f>
        <v>0</v>
      </c>
      <c r="L138" s="116">
        <f>SUMIFS('Cutters Consumption Updates'!$F:$F,'Cutters Consumption Updates'!$D:$D,L$1,'Cutters Consumption Updates'!$B:$B,$B138)-SUMIFS('Cutters Consumption Updates'!$E:$E,'Cutters Consumption Updates'!$D:$D,$L$1,'Cutters Consumption Updates'!$B:$B,$B138)+SUMIFS('Cutters Consumption Updates'!$F:$F,'Cutters Consumption Updates'!$D:$D,"Retrofit",'Cutters Consumption Updates'!$B:$B,$B138)-SUMIFS('Cutters Consumption Updates'!$E:$E,'Cutters Consumption Updates'!$D:$D,"Retrofit",'Cutters Consumption Updates'!$B:$B,$B138)+ SUMIF('Cutters Consumption Updates'!$AS:$AS,$B138,'Cutters Consumption Updates'!AX:AX)</f>
        <v>0</v>
      </c>
      <c r="M138" s="810">
        <f t="shared" si="14"/>
        <v>0</v>
      </c>
      <c r="N138" s="810">
        <f ca="1">SUMIFS('Cutters Consumption Updates'!E:E,
        'Cutters Consumption Updates'!B:B, B138,
        'Cutters Consumption Updates'!A:A, "&gt;" &amp; TODAY()-182)</f>
        <v>4</v>
      </c>
      <c r="O138" s="810">
        <f ca="1">SUMIFS('Cutters Consumption Updates'!E:E,
        'Cutters Consumption Updates'!B:B, B138,
        'Cutters Consumption Updates'!A:A, "&gt;" &amp; TODAY()-91)</f>
        <v>4</v>
      </c>
      <c r="P138" s="810">
        <f t="shared" ca="1" si="15"/>
        <v>2</v>
      </c>
      <c r="Q138" s="703">
        <f t="shared" ca="1" si="16"/>
        <v>5</v>
      </c>
      <c r="R138" s="703" t="s">
        <v>29</v>
      </c>
      <c r="S138" s="24">
        <f>IFERROR(INDEX(Table5[],MATCH($B138,Table5[Component],0),2),0)</f>
        <v>0</v>
      </c>
      <c r="T138" s="813">
        <f>SUMIFS(Table7[Balance],Table7[Cutter Mat'#],$B138)</f>
        <v>0</v>
      </c>
      <c r="U138" s="24">
        <f t="shared" si="17"/>
        <v>0</v>
      </c>
      <c r="V138" s="119"/>
      <c r="W138" s="2"/>
      <c r="Y138" s="4">
        <f>IFERROR(INDEX(Table5[],MATCH($B138,Table5[Component],0),2),0)</f>
        <v>0</v>
      </c>
      <c r="Z138" s="4">
        <f>IFERROR(INDEX(Table5[],MATCH($B138,Table5[Component],0),1),0)</f>
        <v>0</v>
      </c>
      <c r="AA138" s="4" t="str">
        <f>IF(Y138&lt;&gt;0,B138,"")</f>
        <v/>
      </c>
      <c r="AB138" s="4" t="str">
        <f t="shared" si="18"/>
        <v/>
      </c>
      <c r="AD138" s="4">
        <f t="shared" si="19"/>
        <v>0</v>
      </c>
      <c r="AI138" s="248" t="str">
        <f>IFERROR(INDEX($B$1:$AK$243,MATCH(W138,$B$1:$B$243,0),13),"")</f>
        <v/>
      </c>
      <c r="AJ138" s="248" t="str">
        <f>IFERROR(INDEX($B$1:$AK$243,MATCH(W138,$B$1:$B$243,0),15),"")</f>
        <v/>
      </c>
      <c r="AK138">
        <f>SUMIF($W$2:$W$243,B138,$S$2:$S$243)</f>
        <v>0</v>
      </c>
      <c r="AP138">
        <f t="shared" si="20"/>
        <v>0</v>
      </c>
      <c r="AR138">
        <v>1100739</v>
      </c>
      <c r="AS138">
        <f>SUMIF($B:$B,AR138,$AP:$AP)</f>
        <v>0</v>
      </c>
    </row>
    <row r="139" spans="1:45" ht="15.65" customHeight="1" x14ac:dyDescent="0.35">
      <c r="A139" s="2">
        <v>138</v>
      </c>
      <c r="B139" s="2">
        <v>1014950</v>
      </c>
      <c r="C139" s="2" t="s">
        <v>4471</v>
      </c>
      <c r="D139" s="2" t="s">
        <v>91</v>
      </c>
      <c r="E139" s="2">
        <v>1313</v>
      </c>
      <c r="F139" s="2" t="s">
        <v>248</v>
      </c>
      <c r="G139" s="2" t="s">
        <v>4275</v>
      </c>
      <c r="H139" s="10">
        <f>SUMIFS('Cutters Consumption Updates'!$F:$F,'Cutters Consumption Updates'!$D:$D,H$1,'Cutters Consumption Updates'!$B:$B,$B139)-SUMIFS('Cutters Consumption Updates'!$E:$E,'Cutters Consumption Updates'!$D:$D,H$1,'Cutters Consumption Updates'!$B:$B,$B139)+ SUMIF('Cutters Consumption Updates'!$AS:$AS,$B139,'Cutters Consumption Updates'!AT:AT)</f>
        <v>0</v>
      </c>
      <c r="I139" s="10">
        <f>SUMIFS('Cutters Consumption Updates'!$F:$F,'Cutters Consumption Updates'!$D:$D,I$1,'Cutters Consumption Updates'!$B:$B,$B139)-SUMIFS('Cutters Consumption Updates'!$E:$E,'Cutters Consumption Updates'!$D:$D,I$1,'Cutters Consumption Updates'!$B:$B,$B139)+ SUMIF('Cutters Consumption Updates'!$AS:$AS,$B139,'Cutters Consumption Updates'!AU:AU)</f>
        <v>0</v>
      </c>
      <c r="J139" s="116">
        <f>SUMIFS('Cutters Consumption Updates'!$F:$F,'Cutters Consumption Updates'!$D:$D,J$1,'Cutters Consumption Updates'!$B:$B,$B139)-SUMIFS('Cutters Consumption Updates'!$E:$E,'Cutters Consumption Updates'!$D:$D,J$1,'Cutters Consumption Updates'!$B:$B,$B139)+ SUMIF('Cutters Consumption Updates'!$AS:$AS,$B139,'Cutters Consumption Updates'!AV:AV)</f>
        <v>0</v>
      </c>
      <c r="K139" s="738">
        <f>SUMIFS('Cutters Consumption Updates'!$F:$F,'Cutters Consumption Updates'!$D:$D,K$1,'Cutters Consumption Updates'!$B:$B,$B139)-SUMIFS('Cutters Consumption Updates'!$E:$E,'Cutters Consumption Updates'!$D:$D,K$1,'Cutters Consumption Updates'!$B:$B,$B139)+ SUMIF('Cutters Consumption Updates'!$AS:$AS,$B139,'Cutters Consumption Updates'!AW:AW)</f>
        <v>0</v>
      </c>
      <c r="L139" s="116">
        <f>SUMIFS('Cutters Consumption Updates'!$F:$F,'Cutters Consumption Updates'!$D:$D,L$1,'Cutters Consumption Updates'!$B:$B,$B139)-SUMIFS('Cutters Consumption Updates'!$E:$E,'Cutters Consumption Updates'!$D:$D,$L$1,'Cutters Consumption Updates'!$B:$B,$B139)+SUMIFS('Cutters Consumption Updates'!$F:$F,'Cutters Consumption Updates'!$D:$D,"Retrofit",'Cutters Consumption Updates'!$B:$B,$B139)-SUMIFS('Cutters Consumption Updates'!$E:$E,'Cutters Consumption Updates'!$D:$D,"Retrofit",'Cutters Consumption Updates'!$B:$B,$B139)+ SUMIF('Cutters Consumption Updates'!$AS:$AS,$B139,'Cutters Consumption Updates'!AX:AX)</f>
        <v>0</v>
      </c>
      <c r="M139" s="810">
        <f t="shared" si="14"/>
        <v>0</v>
      </c>
      <c r="N139" s="810">
        <f ca="1">SUMIFS('Cutters Consumption Updates'!E:E,
        'Cutters Consumption Updates'!B:B, B139,
        'Cutters Consumption Updates'!A:A, "&gt;" &amp; TODAY()-182)</f>
        <v>0</v>
      </c>
      <c r="O139" s="810">
        <f ca="1">SUMIFS('Cutters Consumption Updates'!E:E,
        'Cutters Consumption Updates'!B:B, B139,
        'Cutters Consumption Updates'!A:A, "&gt;" &amp; TODAY()-91)</f>
        <v>0</v>
      </c>
      <c r="P139" s="810">
        <f t="shared" ca="1" si="15"/>
        <v>0</v>
      </c>
      <c r="Q139" s="703">
        <f t="shared" ca="1" si="16"/>
        <v>0</v>
      </c>
      <c r="R139" s="703" t="s">
        <v>29</v>
      </c>
      <c r="S139" s="24">
        <f>IFERROR(INDEX(Table5[],MATCH($B139,Table5[Component],0),2),0)</f>
        <v>0</v>
      </c>
      <c r="T139" s="813">
        <f>SUMIFS(Table7[Balance],Table7[Cutter Mat'#],$B139)</f>
        <v>0</v>
      </c>
      <c r="U139" s="24">
        <f t="shared" si="17"/>
        <v>0</v>
      </c>
      <c r="V139" s="119"/>
      <c r="W139" s="2"/>
      <c r="Y139" s="4">
        <f>IFERROR(INDEX(Table5[],MATCH($B139,Table5[Component],0),2),0)</f>
        <v>0</v>
      </c>
      <c r="Z139" s="4">
        <f>IFERROR(INDEX(Table5[],MATCH($B139,Table5[Component],0),1),0)</f>
        <v>0</v>
      </c>
      <c r="AA139" s="4" t="str">
        <f>IF(Y139&lt;&gt;0,B139,"")</f>
        <v/>
      </c>
      <c r="AB139" s="4" t="str">
        <f t="shared" si="18"/>
        <v/>
      </c>
      <c r="AD139" s="4">
        <f t="shared" si="19"/>
        <v>0</v>
      </c>
      <c r="AI139" s="248" t="str">
        <f>IFERROR(INDEX($B$1:$AK$243,MATCH(W139,$B$1:$B$243,0),13),"")</f>
        <v/>
      </c>
      <c r="AJ139" s="248" t="str">
        <f>IFERROR(INDEX($B$1:$AK$243,MATCH(W139,$B$1:$B$243,0),15),"")</f>
        <v/>
      </c>
      <c r="AK139">
        <f>SUMIF($W$2:$W$243,B139,$S$2:$S$243)</f>
        <v>0</v>
      </c>
      <c r="AP139">
        <f t="shared" si="20"/>
        <v>0</v>
      </c>
      <c r="AR139">
        <v>1100740</v>
      </c>
      <c r="AS139">
        <f>SUMIF($B:$B,AR139,$AP:$AP)</f>
        <v>0</v>
      </c>
    </row>
    <row r="140" spans="1:45" ht="15.65" customHeight="1" x14ac:dyDescent="0.35">
      <c r="A140" s="2">
        <v>139</v>
      </c>
      <c r="B140" s="2">
        <v>1118470</v>
      </c>
      <c r="C140" s="2" t="s">
        <v>4357</v>
      </c>
      <c r="D140" s="2" t="s">
        <v>132</v>
      </c>
      <c r="E140" s="2">
        <v>1313</v>
      </c>
      <c r="F140" s="2" t="s">
        <v>248</v>
      </c>
      <c r="G140" s="2" t="s">
        <v>49</v>
      </c>
      <c r="H140" s="10">
        <f>SUMIFS('Cutters Consumption Updates'!$F:$F,'Cutters Consumption Updates'!$D:$D,H$1,'Cutters Consumption Updates'!$B:$B,$B140)-SUMIFS('Cutters Consumption Updates'!$E:$E,'Cutters Consumption Updates'!$D:$D,H$1,'Cutters Consumption Updates'!$B:$B,$B140)+ SUMIF('Cutters Consumption Updates'!$AS:$AS,$B140,'Cutters Consumption Updates'!AT:AT)</f>
        <v>0</v>
      </c>
      <c r="I140" s="10">
        <f>SUMIFS('Cutters Consumption Updates'!$F:$F,'Cutters Consumption Updates'!$D:$D,I$1,'Cutters Consumption Updates'!$B:$B,$B140)-SUMIFS('Cutters Consumption Updates'!$E:$E,'Cutters Consumption Updates'!$D:$D,I$1,'Cutters Consumption Updates'!$B:$B,$B140)+ SUMIF('Cutters Consumption Updates'!$AS:$AS,$B140,'Cutters Consumption Updates'!AU:AU)</f>
        <v>0</v>
      </c>
      <c r="J140" s="116">
        <f>SUMIFS('Cutters Consumption Updates'!$F:$F,'Cutters Consumption Updates'!$D:$D,J$1,'Cutters Consumption Updates'!$B:$B,$B140)-SUMIFS('Cutters Consumption Updates'!$E:$E,'Cutters Consumption Updates'!$D:$D,J$1,'Cutters Consumption Updates'!$B:$B,$B140)+ SUMIF('Cutters Consumption Updates'!$AS:$AS,$B140,'Cutters Consumption Updates'!AV:AV)</f>
        <v>0</v>
      </c>
      <c r="K140" s="738">
        <f>SUMIFS('Cutters Consumption Updates'!$F:$F,'Cutters Consumption Updates'!$D:$D,K$1,'Cutters Consumption Updates'!$B:$B,$B140)-SUMIFS('Cutters Consumption Updates'!$E:$E,'Cutters Consumption Updates'!$D:$D,K$1,'Cutters Consumption Updates'!$B:$B,$B140)+ SUMIF('Cutters Consumption Updates'!$AS:$AS,$B140,'Cutters Consumption Updates'!AW:AW)</f>
        <v>0</v>
      </c>
      <c r="L140" s="116">
        <f>SUMIFS('Cutters Consumption Updates'!$F:$F,'Cutters Consumption Updates'!$D:$D,L$1,'Cutters Consumption Updates'!$B:$B,$B140)-SUMIFS('Cutters Consumption Updates'!$E:$E,'Cutters Consumption Updates'!$D:$D,$L$1,'Cutters Consumption Updates'!$B:$B,$B140)+SUMIFS('Cutters Consumption Updates'!$F:$F,'Cutters Consumption Updates'!$D:$D,"Retrofit",'Cutters Consumption Updates'!$B:$B,$B140)-SUMIFS('Cutters Consumption Updates'!$E:$E,'Cutters Consumption Updates'!$D:$D,"Retrofit",'Cutters Consumption Updates'!$B:$B,$B140)+ SUMIF('Cutters Consumption Updates'!$AS:$AS,$B140,'Cutters Consumption Updates'!AX:AX)</f>
        <v>35</v>
      </c>
      <c r="M140" s="810">
        <f t="shared" si="14"/>
        <v>35</v>
      </c>
      <c r="N140" s="810">
        <f ca="1">SUMIFS('Cutters Consumption Updates'!E:E,
        'Cutters Consumption Updates'!B:B, B140,
        'Cutters Consumption Updates'!A:A, "&gt;" &amp; TODAY()-182)</f>
        <v>0</v>
      </c>
      <c r="O140" s="810">
        <f ca="1">SUMIFS('Cutters Consumption Updates'!E:E,
        'Cutters Consumption Updates'!B:B, B140,
        'Cutters Consumption Updates'!A:A, "&gt;" &amp; TODAY()-91)</f>
        <v>0</v>
      </c>
      <c r="P140" s="810">
        <f t="shared" ca="1" si="15"/>
        <v>0</v>
      </c>
      <c r="Q140" s="703">
        <f t="shared" ca="1" si="16"/>
        <v>0</v>
      </c>
      <c r="R140" s="703" t="s">
        <v>89</v>
      </c>
      <c r="S140" s="24">
        <f>IFERROR(INDEX(Table5[],MATCH($B140,Table5[Component],0),2),0)</f>
        <v>0</v>
      </c>
      <c r="T140" s="813">
        <f>SUMIFS(Table7[Balance],Table7[Cutter Mat'#],$B140)</f>
        <v>0</v>
      </c>
      <c r="U140" s="24">
        <f t="shared" si="17"/>
        <v>35</v>
      </c>
      <c r="V140" s="119"/>
      <c r="W140" s="2"/>
      <c r="Y140" s="4">
        <f>IFERROR(INDEX(Table5[],MATCH($B140,Table5[Component],0),2),0)</f>
        <v>0</v>
      </c>
      <c r="Z140" s="4">
        <f>IFERROR(INDEX(Table5[],MATCH($B140,Table5[Component],0),1),0)</f>
        <v>0</v>
      </c>
      <c r="AA140" s="4" t="str">
        <f>IF(Y140&lt;&gt;0,B140,"")</f>
        <v/>
      </c>
      <c r="AB140" s="4" t="str">
        <f t="shared" si="18"/>
        <v/>
      </c>
      <c r="AD140" s="4">
        <f t="shared" si="19"/>
        <v>35</v>
      </c>
      <c r="AI140" s="248" t="str">
        <f>IFERROR(INDEX($B$1:$AK$243,MATCH(W140,$B$1:$B$243,0),13),"")</f>
        <v/>
      </c>
      <c r="AJ140" s="248" t="str">
        <f>IFERROR(INDEX($B$1:$AK$243,MATCH(W140,$B$1:$B$243,0),15),"")</f>
        <v/>
      </c>
      <c r="AK140">
        <f>SUMIF($W$2:$W$243,B140,$S$2:$S$243)</f>
        <v>0</v>
      </c>
      <c r="AP140">
        <f t="shared" si="20"/>
        <v>0</v>
      </c>
      <c r="AR140">
        <v>1100741</v>
      </c>
      <c r="AS140">
        <f>SUMIF($B:$B,AR140,$AP:$AP)</f>
        <v>0</v>
      </c>
    </row>
    <row r="141" spans="1:45" ht="15.65" customHeight="1" x14ac:dyDescent="0.35">
      <c r="A141" s="2">
        <v>140</v>
      </c>
      <c r="B141" s="2">
        <v>1118517</v>
      </c>
      <c r="C141" s="2" t="s">
        <v>4358</v>
      </c>
      <c r="D141" s="2" t="s">
        <v>133</v>
      </c>
      <c r="E141" s="2">
        <v>1313</v>
      </c>
      <c r="F141" s="2" t="s">
        <v>248</v>
      </c>
      <c r="G141" s="2" t="s">
        <v>4275</v>
      </c>
      <c r="H141" s="10">
        <f>SUMIFS('Cutters Consumption Updates'!$F:$F,'Cutters Consumption Updates'!$D:$D,H$1,'Cutters Consumption Updates'!$B:$B,$B141)-SUMIFS('Cutters Consumption Updates'!$E:$E,'Cutters Consumption Updates'!$D:$D,H$1,'Cutters Consumption Updates'!$B:$B,$B141)+ SUMIF('Cutters Consumption Updates'!$AS:$AS,$B141,'Cutters Consumption Updates'!AT:AT)</f>
        <v>0</v>
      </c>
      <c r="I141" s="10">
        <f>SUMIFS('Cutters Consumption Updates'!$F:$F,'Cutters Consumption Updates'!$D:$D,I$1,'Cutters Consumption Updates'!$B:$B,$B141)-SUMIFS('Cutters Consumption Updates'!$E:$E,'Cutters Consumption Updates'!$D:$D,I$1,'Cutters Consumption Updates'!$B:$B,$B141)+ SUMIF('Cutters Consumption Updates'!$AS:$AS,$B141,'Cutters Consumption Updates'!AU:AU)</f>
        <v>0</v>
      </c>
      <c r="J141" s="116">
        <f>SUMIFS('Cutters Consumption Updates'!$F:$F,'Cutters Consumption Updates'!$D:$D,J$1,'Cutters Consumption Updates'!$B:$B,$B141)-SUMIFS('Cutters Consumption Updates'!$E:$E,'Cutters Consumption Updates'!$D:$D,J$1,'Cutters Consumption Updates'!$B:$B,$B141)+ SUMIF('Cutters Consumption Updates'!$AS:$AS,$B141,'Cutters Consumption Updates'!AV:AV)</f>
        <v>0</v>
      </c>
      <c r="K141" s="738">
        <f>SUMIFS('Cutters Consumption Updates'!$F:$F,'Cutters Consumption Updates'!$D:$D,K$1,'Cutters Consumption Updates'!$B:$B,$B141)-SUMIFS('Cutters Consumption Updates'!$E:$E,'Cutters Consumption Updates'!$D:$D,K$1,'Cutters Consumption Updates'!$B:$B,$B141)+ SUMIF('Cutters Consumption Updates'!$AS:$AS,$B141,'Cutters Consumption Updates'!AW:AW)</f>
        <v>0</v>
      </c>
      <c r="L141" s="116">
        <f>SUMIFS('Cutters Consumption Updates'!$F:$F,'Cutters Consumption Updates'!$D:$D,L$1,'Cutters Consumption Updates'!$B:$B,$B141)-SUMIFS('Cutters Consumption Updates'!$E:$E,'Cutters Consumption Updates'!$D:$D,$L$1,'Cutters Consumption Updates'!$B:$B,$B141)+SUMIFS('Cutters Consumption Updates'!$F:$F,'Cutters Consumption Updates'!$D:$D,"Retrofit",'Cutters Consumption Updates'!$B:$B,$B141)-SUMIFS('Cutters Consumption Updates'!$E:$E,'Cutters Consumption Updates'!$D:$D,"Retrofit",'Cutters Consumption Updates'!$B:$B,$B141)+ SUMIF('Cutters Consumption Updates'!$AS:$AS,$B141,'Cutters Consumption Updates'!AX:AX)</f>
        <v>0</v>
      </c>
      <c r="M141" s="810">
        <f t="shared" si="14"/>
        <v>0</v>
      </c>
      <c r="N141" s="810">
        <f ca="1">SUMIFS('Cutters Consumption Updates'!E:E,
        'Cutters Consumption Updates'!B:B, B141,
        'Cutters Consumption Updates'!A:A, "&gt;" &amp; TODAY()-182)</f>
        <v>1</v>
      </c>
      <c r="O141" s="810">
        <f ca="1">SUMIFS('Cutters Consumption Updates'!E:E,
        'Cutters Consumption Updates'!B:B, B141,
        'Cutters Consumption Updates'!A:A, "&gt;" &amp; TODAY()-91)</f>
        <v>1</v>
      </c>
      <c r="P141" s="810">
        <f t="shared" ca="1" si="15"/>
        <v>1</v>
      </c>
      <c r="Q141" s="703">
        <f t="shared" ca="1" si="16"/>
        <v>0</v>
      </c>
      <c r="R141" s="703" t="s">
        <v>89</v>
      </c>
      <c r="S141" s="24">
        <f>IFERROR(INDEX(Table5[],MATCH($B141,Table5[Component],0),2),0)</f>
        <v>0</v>
      </c>
      <c r="T141" s="813">
        <f>SUMIFS(Table7[Balance],Table7[Cutter Mat'#],$B141)</f>
        <v>0</v>
      </c>
      <c r="U141" s="24">
        <f t="shared" si="17"/>
        <v>0</v>
      </c>
      <c r="V141" s="119"/>
      <c r="W141" s="2"/>
      <c r="Y141" s="4">
        <f>IFERROR(INDEX(Table5[],MATCH($B141,Table5[Component],0),2),0)</f>
        <v>0</v>
      </c>
      <c r="Z141" s="4">
        <f>IFERROR(INDEX(Table5[],MATCH($B141,Table5[Component],0),1),0)</f>
        <v>0</v>
      </c>
      <c r="AA141" s="4" t="str">
        <f>IF(Y141&lt;&gt;0,B141,"")</f>
        <v/>
      </c>
      <c r="AB141" s="4" t="str">
        <f t="shared" si="18"/>
        <v/>
      </c>
      <c r="AD141" s="4">
        <f t="shared" si="19"/>
        <v>0</v>
      </c>
      <c r="AI141" s="248" t="str">
        <f>IFERROR(INDEX($B$1:$AK$243,MATCH(W141,$B$1:$B$243,0),13),"")</f>
        <v/>
      </c>
      <c r="AJ141" s="248" t="str">
        <f>IFERROR(INDEX($B$1:$AK$243,MATCH(W141,$B$1:$B$243,0),15),"")</f>
        <v/>
      </c>
      <c r="AK141">
        <f>SUMIF($W$2:$W$243,B141,$S$2:$S$243)</f>
        <v>0</v>
      </c>
      <c r="AP141">
        <f t="shared" si="20"/>
        <v>0</v>
      </c>
      <c r="AR141">
        <v>1100745</v>
      </c>
      <c r="AS141">
        <f>SUMIF($B:$B,AR141,$AP:$AP)</f>
        <v>0</v>
      </c>
    </row>
    <row r="142" spans="1:45" ht="15.65" customHeight="1" x14ac:dyDescent="0.35">
      <c r="A142" s="2">
        <v>141</v>
      </c>
      <c r="B142" s="2">
        <v>1123324</v>
      </c>
      <c r="C142" s="24" t="s">
        <v>4508</v>
      </c>
      <c r="D142" s="24" t="s">
        <v>134</v>
      </c>
      <c r="E142" s="24">
        <v>1313</v>
      </c>
      <c r="F142" s="24" t="s">
        <v>248</v>
      </c>
      <c r="G142" s="2" t="s">
        <v>4360</v>
      </c>
      <c r="H142" s="10">
        <f>SUMIFS('Cutters Consumption Updates'!$F:$F,'Cutters Consumption Updates'!$D:$D,H$1,'Cutters Consumption Updates'!$B:$B,$B142)-SUMIFS('Cutters Consumption Updates'!$E:$E,'Cutters Consumption Updates'!$D:$D,H$1,'Cutters Consumption Updates'!$B:$B,$B142)+ SUMIF('Cutters Consumption Updates'!$AS:$AS,$B142,'Cutters Consumption Updates'!AT:AT)</f>
        <v>0</v>
      </c>
      <c r="I142" s="10">
        <f>SUMIFS('Cutters Consumption Updates'!$F:$F,'Cutters Consumption Updates'!$D:$D,I$1,'Cutters Consumption Updates'!$B:$B,$B142)-SUMIFS('Cutters Consumption Updates'!$E:$E,'Cutters Consumption Updates'!$D:$D,I$1,'Cutters Consumption Updates'!$B:$B,$B142)+ SUMIF('Cutters Consumption Updates'!$AS:$AS,$B142,'Cutters Consumption Updates'!AU:AU)</f>
        <v>0</v>
      </c>
      <c r="J142" s="116">
        <f>SUMIFS('Cutters Consumption Updates'!$F:$F,'Cutters Consumption Updates'!$D:$D,J$1,'Cutters Consumption Updates'!$B:$B,$B142)-SUMIFS('Cutters Consumption Updates'!$E:$E,'Cutters Consumption Updates'!$D:$D,J$1,'Cutters Consumption Updates'!$B:$B,$B142)+ SUMIF('Cutters Consumption Updates'!$AS:$AS,$B142,'Cutters Consumption Updates'!AV:AV)</f>
        <v>0</v>
      </c>
      <c r="K142" s="738">
        <f>SUMIFS('Cutters Consumption Updates'!$F:$F,'Cutters Consumption Updates'!$D:$D,K$1,'Cutters Consumption Updates'!$B:$B,$B142)-SUMIFS('Cutters Consumption Updates'!$E:$E,'Cutters Consumption Updates'!$D:$D,K$1,'Cutters Consumption Updates'!$B:$B,$B142)+ SUMIF('Cutters Consumption Updates'!$AS:$AS,$B142,'Cutters Consumption Updates'!AW:AW)</f>
        <v>0</v>
      </c>
      <c r="L142" s="116">
        <f>SUMIFS('Cutters Consumption Updates'!$F:$F,'Cutters Consumption Updates'!$D:$D,L$1,'Cutters Consumption Updates'!$B:$B,$B142)-SUMIFS('Cutters Consumption Updates'!$E:$E,'Cutters Consumption Updates'!$D:$D,$L$1,'Cutters Consumption Updates'!$B:$B,$B142)+SUMIFS('Cutters Consumption Updates'!$F:$F,'Cutters Consumption Updates'!$D:$D,"Retrofit",'Cutters Consumption Updates'!$B:$B,$B142)-SUMIFS('Cutters Consumption Updates'!$E:$E,'Cutters Consumption Updates'!$D:$D,"Retrofit",'Cutters Consumption Updates'!$B:$B,$B142)+ SUMIF('Cutters Consumption Updates'!$AS:$AS,$B142,'Cutters Consumption Updates'!AX:AX)</f>
        <v>0</v>
      </c>
      <c r="M142" s="810">
        <f t="shared" si="14"/>
        <v>0</v>
      </c>
      <c r="N142" s="810">
        <f ca="1">SUMIFS('Cutters Consumption Updates'!E:E,
        'Cutters Consumption Updates'!B:B, B142,
        'Cutters Consumption Updates'!A:A, "&gt;" &amp; TODAY()-182)</f>
        <v>0</v>
      </c>
      <c r="O142" s="810">
        <f ca="1">SUMIFS('Cutters Consumption Updates'!E:E,
        'Cutters Consumption Updates'!B:B, B142,
        'Cutters Consumption Updates'!A:A, "&gt;" &amp; TODAY()-91)</f>
        <v>0</v>
      </c>
      <c r="P142" s="810">
        <f t="shared" ca="1" si="15"/>
        <v>0</v>
      </c>
      <c r="Q142" s="703">
        <f t="shared" ca="1" si="16"/>
        <v>0</v>
      </c>
      <c r="R142" s="703" t="s">
        <v>29</v>
      </c>
      <c r="S142" s="24">
        <f>IFERROR(INDEX(Table5[],MATCH($B142,Table5[Component],0),2),0)</f>
        <v>0</v>
      </c>
      <c r="T142" s="813">
        <f>SUMIFS(Table7[Balance],Table7[Cutter Mat'#],$B142)</f>
        <v>0</v>
      </c>
      <c r="U142" s="24">
        <f t="shared" si="17"/>
        <v>0</v>
      </c>
      <c r="V142" s="119"/>
      <c r="W142" s="2"/>
      <c r="Y142" s="4">
        <f>IFERROR(INDEX(Table5[],MATCH($B142,Table5[Component],0),2),0)</f>
        <v>0</v>
      </c>
      <c r="Z142" s="4">
        <f>IFERROR(INDEX(Table5[],MATCH($B142,Table5[Component],0),1),0)</f>
        <v>0</v>
      </c>
      <c r="AA142" s="4" t="str">
        <f>IF(Y142&lt;&gt;0,B142,"")</f>
        <v/>
      </c>
      <c r="AB142" s="4" t="str">
        <f t="shared" si="18"/>
        <v/>
      </c>
      <c r="AD142" s="4">
        <f t="shared" si="19"/>
        <v>0</v>
      </c>
      <c r="AI142" s="248" t="str">
        <f>IFERROR(INDEX($B$1:$AK$243,MATCH(W142,$B$1:$B$243,0),13),"")</f>
        <v/>
      </c>
      <c r="AJ142" s="248" t="str">
        <f>IFERROR(INDEX($B$1:$AK$243,MATCH(W142,$B$1:$B$243,0),15),"")</f>
        <v/>
      </c>
      <c r="AK142">
        <f>SUMIF($W$2:$W$243,B142,$S$2:$S$243)</f>
        <v>0</v>
      </c>
      <c r="AP142">
        <f t="shared" si="20"/>
        <v>0</v>
      </c>
      <c r="AR142">
        <v>1100749</v>
      </c>
      <c r="AS142">
        <f>SUMIF($B:$B,AR142,$AP:$AP)</f>
        <v>0</v>
      </c>
    </row>
    <row r="143" spans="1:45" ht="15.65" customHeight="1" x14ac:dyDescent="0.35">
      <c r="A143" s="2">
        <v>142</v>
      </c>
      <c r="B143" s="2">
        <v>1137793</v>
      </c>
      <c r="C143" s="24" t="s">
        <v>4509</v>
      </c>
      <c r="D143" s="24" t="s">
        <v>123</v>
      </c>
      <c r="E143" s="24">
        <v>1313</v>
      </c>
      <c r="F143" s="24" t="s">
        <v>248</v>
      </c>
      <c r="G143" s="2" t="s">
        <v>4360</v>
      </c>
      <c r="H143" s="10">
        <f>SUMIFS('Cutters Consumption Updates'!$F:$F,'Cutters Consumption Updates'!$D:$D,H$1,'Cutters Consumption Updates'!$B:$B,$B143)-SUMIFS('Cutters Consumption Updates'!$E:$E,'Cutters Consumption Updates'!$D:$D,H$1,'Cutters Consumption Updates'!$B:$B,$B143)+ SUMIF('Cutters Consumption Updates'!$AS:$AS,$B143,'Cutters Consumption Updates'!AT:AT)</f>
        <v>0</v>
      </c>
      <c r="I143" s="10">
        <f>SUMIFS('Cutters Consumption Updates'!$F:$F,'Cutters Consumption Updates'!$D:$D,I$1,'Cutters Consumption Updates'!$B:$B,$B143)-SUMIFS('Cutters Consumption Updates'!$E:$E,'Cutters Consumption Updates'!$D:$D,I$1,'Cutters Consumption Updates'!$B:$B,$B143)+ SUMIF('Cutters Consumption Updates'!$AS:$AS,$B143,'Cutters Consumption Updates'!AU:AU)</f>
        <v>0</v>
      </c>
      <c r="J143" s="116">
        <f>SUMIFS('Cutters Consumption Updates'!$F:$F,'Cutters Consumption Updates'!$D:$D,J$1,'Cutters Consumption Updates'!$B:$B,$B143)-SUMIFS('Cutters Consumption Updates'!$E:$E,'Cutters Consumption Updates'!$D:$D,J$1,'Cutters Consumption Updates'!$B:$B,$B143)+ SUMIF('Cutters Consumption Updates'!$AS:$AS,$B143,'Cutters Consumption Updates'!AV:AV)</f>
        <v>0</v>
      </c>
      <c r="K143" s="738">
        <f>SUMIFS('Cutters Consumption Updates'!$F:$F,'Cutters Consumption Updates'!$D:$D,K$1,'Cutters Consumption Updates'!$B:$B,$B143)-SUMIFS('Cutters Consumption Updates'!$E:$E,'Cutters Consumption Updates'!$D:$D,K$1,'Cutters Consumption Updates'!$B:$B,$B143)+ SUMIF('Cutters Consumption Updates'!$AS:$AS,$B143,'Cutters Consumption Updates'!AW:AW)</f>
        <v>0</v>
      </c>
      <c r="L143" s="116">
        <f>SUMIFS('Cutters Consumption Updates'!$F:$F,'Cutters Consumption Updates'!$D:$D,L$1,'Cutters Consumption Updates'!$B:$B,$B143)-SUMIFS('Cutters Consumption Updates'!$E:$E,'Cutters Consumption Updates'!$D:$D,$L$1,'Cutters Consumption Updates'!$B:$B,$B143)+SUMIFS('Cutters Consumption Updates'!$F:$F,'Cutters Consumption Updates'!$D:$D,"Retrofit",'Cutters Consumption Updates'!$B:$B,$B143)-SUMIFS('Cutters Consumption Updates'!$E:$E,'Cutters Consumption Updates'!$D:$D,"Retrofit",'Cutters Consumption Updates'!$B:$B,$B143)+ SUMIF('Cutters Consumption Updates'!$AS:$AS,$B143,'Cutters Consumption Updates'!AX:AX)</f>
        <v>0</v>
      </c>
      <c r="M143" s="810">
        <f t="shared" si="14"/>
        <v>0</v>
      </c>
      <c r="N143" s="810">
        <f ca="1">SUMIFS('Cutters Consumption Updates'!E:E,
        'Cutters Consumption Updates'!B:B, B143,
        'Cutters Consumption Updates'!A:A, "&gt;" &amp; TODAY()-182)</f>
        <v>1</v>
      </c>
      <c r="O143" s="810">
        <f ca="1">SUMIFS('Cutters Consumption Updates'!E:E,
        'Cutters Consumption Updates'!B:B, B143,
        'Cutters Consumption Updates'!A:A, "&gt;" &amp; TODAY()-91)</f>
        <v>1</v>
      </c>
      <c r="P143" s="810">
        <f t="shared" ca="1" si="15"/>
        <v>1</v>
      </c>
      <c r="Q143" s="703">
        <f t="shared" ca="1" si="16"/>
        <v>0</v>
      </c>
      <c r="R143" s="703" t="s">
        <v>29</v>
      </c>
      <c r="S143" s="24">
        <f>IFERROR(INDEX(Table5[],MATCH($B143,Table5[Component],0),2),0)</f>
        <v>0</v>
      </c>
      <c r="T143" s="813">
        <f>SUMIFS(Table7[Balance],Table7[Cutter Mat'#],$B143)</f>
        <v>0</v>
      </c>
      <c r="U143" s="24">
        <f t="shared" si="17"/>
        <v>0</v>
      </c>
      <c r="V143" s="119"/>
      <c r="W143" s="2"/>
      <c r="Y143" s="4">
        <f>IFERROR(INDEX(Table5[],MATCH($B143,Table5[Component],0),2),0)</f>
        <v>0</v>
      </c>
      <c r="Z143" s="4">
        <f>IFERROR(INDEX(Table5[],MATCH($B143,Table5[Component],0),1),0)</f>
        <v>0</v>
      </c>
      <c r="AA143" s="4" t="str">
        <f>IF(Y143&lt;&gt;0,B143,"")</f>
        <v/>
      </c>
      <c r="AB143" s="4" t="str">
        <f t="shared" si="18"/>
        <v/>
      </c>
      <c r="AD143" s="4">
        <f t="shared" si="19"/>
        <v>0</v>
      </c>
      <c r="AI143" s="248" t="str">
        <f>IFERROR(INDEX($B$1:$AK$243,MATCH(W143,$B$1:$B$243,0),13),"")</f>
        <v/>
      </c>
      <c r="AJ143" s="248" t="str">
        <f>IFERROR(INDEX($B$1:$AK$243,MATCH(W143,$B$1:$B$243,0),15),"")</f>
        <v/>
      </c>
      <c r="AK143">
        <f>SUMIF($W$2:$W$243,B143,$S$2:$S$243)</f>
        <v>0</v>
      </c>
      <c r="AP143">
        <f t="shared" si="20"/>
        <v>0</v>
      </c>
      <c r="AR143">
        <v>1100751</v>
      </c>
      <c r="AS143">
        <f>SUMIF($B:$B,AR143,$AP:$AP)</f>
        <v>0</v>
      </c>
    </row>
    <row r="144" spans="1:45" ht="15.65" customHeight="1" x14ac:dyDescent="0.35">
      <c r="A144" s="2">
        <v>143</v>
      </c>
      <c r="B144" s="2">
        <v>1104744</v>
      </c>
      <c r="C144" s="2" t="s">
        <v>4489</v>
      </c>
      <c r="D144" s="2" t="s">
        <v>145</v>
      </c>
      <c r="E144" s="2">
        <v>1608</v>
      </c>
      <c r="F144" s="2" t="s">
        <v>109</v>
      </c>
      <c r="G144" s="2" t="s">
        <v>4336</v>
      </c>
      <c r="H144" s="10">
        <f>SUMIFS('Cutters Consumption Updates'!$F:$F,'Cutters Consumption Updates'!$D:$D,H$1,'Cutters Consumption Updates'!$B:$B,$B144)-SUMIFS('Cutters Consumption Updates'!$E:$E,'Cutters Consumption Updates'!$D:$D,H$1,'Cutters Consumption Updates'!$B:$B,$B144)+ SUMIF('Cutters Consumption Updates'!$AS:$AS,$B144,'Cutters Consumption Updates'!AT:AT)</f>
        <v>0</v>
      </c>
      <c r="I144" s="10">
        <f>SUMIFS('Cutters Consumption Updates'!$F:$F,'Cutters Consumption Updates'!$D:$D,I$1,'Cutters Consumption Updates'!$B:$B,$B144)-SUMIFS('Cutters Consumption Updates'!$E:$E,'Cutters Consumption Updates'!$D:$D,I$1,'Cutters Consumption Updates'!$B:$B,$B144)+ SUMIF('Cutters Consumption Updates'!$AS:$AS,$B144,'Cutters Consumption Updates'!AU:AU)</f>
        <v>0</v>
      </c>
      <c r="J144" s="116">
        <f>SUMIFS('Cutters Consumption Updates'!$F:$F,'Cutters Consumption Updates'!$D:$D,J$1,'Cutters Consumption Updates'!$B:$B,$B144)-SUMIFS('Cutters Consumption Updates'!$E:$E,'Cutters Consumption Updates'!$D:$D,J$1,'Cutters Consumption Updates'!$B:$B,$B144)+ SUMIF('Cutters Consumption Updates'!$AS:$AS,$B144,'Cutters Consumption Updates'!AV:AV)</f>
        <v>0</v>
      </c>
      <c r="K144" s="738">
        <f>SUMIFS('Cutters Consumption Updates'!$F:$F,'Cutters Consumption Updates'!$D:$D,K$1,'Cutters Consumption Updates'!$B:$B,$B144)-SUMIFS('Cutters Consumption Updates'!$E:$E,'Cutters Consumption Updates'!$D:$D,K$1,'Cutters Consumption Updates'!$B:$B,$B144)+ SUMIF('Cutters Consumption Updates'!$AS:$AS,$B144,'Cutters Consumption Updates'!AW:AW)</f>
        <v>0</v>
      </c>
      <c r="L144" s="116">
        <f>SUMIFS('Cutters Consumption Updates'!$F:$F,'Cutters Consumption Updates'!$D:$D,L$1,'Cutters Consumption Updates'!$B:$B,$B144)-SUMIFS('Cutters Consumption Updates'!$E:$E,'Cutters Consumption Updates'!$D:$D,$L$1,'Cutters Consumption Updates'!$B:$B,$B144)+SUMIFS('Cutters Consumption Updates'!$F:$F,'Cutters Consumption Updates'!$D:$D,"Retrofit",'Cutters Consumption Updates'!$B:$B,$B144)-SUMIFS('Cutters Consumption Updates'!$E:$E,'Cutters Consumption Updates'!$D:$D,"Retrofit",'Cutters Consumption Updates'!$B:$B,$B144)+ SUMIF('Cutters Consumption Updates'!$AS:$AS,$B144,'Cutters Consumption Updates'!AX:AX)</f>
        <v>0</v>
      </c>
      <c r="M144" s="810">
        <f t="shared" si="14"/>
        <v>0</v>
      </c>
      <c r="N144" s="810">
        <f ca="1">SUMIFS('Cutters Consumption Updates'!E:E,
        'Cutters Consumption Updates'!B:B, B144,
        'Cutters Consumption Updates'!A:A, "&gt;" &amp; TODAY()-182)</f>
        <v>0</v>
      </c>
      <c r="O144" s="810">
        <f ca="1">SUMIFS('Cutters Consumption Updates'!E:E,
        'Cutters Consumption Updates'!B:B, B144,
        'Cutters Consumption Updates'!A:A, "&gt;" &amp; TODAY()-91)</f>
        <v>0</v>
      </c>
      <c r="P144" s="810">
        <f t="shared" ca="1" si="15"/>
        <v>0</v>
      </c>
      <c r="Q144" s="703">
        <f t="shared" ca="1" si="16"/>
        <v>0</v>
      </c>
      <c r="R144" s="703" t="s">
        <v>29</v>
      </c>
      <c r="S144" s="24">
        <f>IFERROR(INDEX(Table5[],MATCH($B144,Table5[Component],0),2),0)</f>
        <v>0</v>
      </c>
      <c r="T144" s="813">
        <f>SUMIFS(Table7[Balance],Table7[Cutter Mat'#],$B144)</f>
        <v>0</v>
      </c>
      <c r="U144" s="24">
        <f t="shared" si="17"/>
        <v>0</v>
      </c>
      <c r="V144" s="119"/>
      <c r="W144" s="2"/>
      <c r="Y144" s="4">
        <f>IFERROR(INDEX(Table5[],MATCH($B144,Table5[Component],0),2),0)</f>
        <v>0</v>
      </c>
      <c r="Z144" s="4">
        <f>IFERROR(INDEX(Table5[],MATCH($B144,Table5[Component],0),1),0)</f>
        <v>0</v>
      </c>
      <c r="AA144" s="4" t="str">
        <f>IF(Y144&lt;&gt;0,B144,"")</f>
        <v/>
      </c>
      <c r="AB144" s="4" t="str">
        <f t="shared" si="18"/>
        <v/>
      </c>
      <c r="AD144" s="4">
        <f t="shared" si="19"/>
        <v>0</v>
      </c>
      <c r="AI144" s="248" t="str">
        <f>IFERROR(INDEX($B$1:$AK$243,MATCH(W144,$B$1:$B$243,0),13),"")</f>
        <v/>
      </c>
      <c r="AJ144" s="248" t="str">
        <f>IFERROR(INDEX($B$1:$AK$243,MATCH(W144,$B$1:$B$243,0),15),"")</f>
        <v/>
      </c>
      <c r="AK144">
        <f>SUMIF($W$2:$W$243,B144,$S$2:$S$243)</f>
        <v>0</v>
      </c>
      <c r="AP144">
        <f t="shared" si="20"/>
        <v>0</v>
      </c>
      <c r="AR144">
        <v>1100753</v>
      </c>
      <c r="AS144">
        <f>SUMIF($B:$B,AR144,$AP:$AP)</f>
        <v>0</v>
      </c>
    </row>
    <row r="145" spans="1:45" ht="15.65" customHeight="1" x14ac:dyDescent="0.35">
      <c r="A145" s="2">
        <v>144</v>
      </c>
      <c r="B145" s="2">
        <v>643738</v>
      </c>
      <c r="C145" s="2" t="s">
        <v>4361</v>
      </c>
      <c r="D145" s="2" t="s">
        <v>61</v>
      </c>
      <c r="E145" s="2">
        <v>1608</v>
      </c>
      <c r="F145" s="2" t="s">
        <v>253</v>
      </c>
      <c r="G145" s="2" t="s">
        <v>4275</v>
      </c>
      <c r="H145" s="10">
        <f>SUMIFS('Cutters Consumption Updates'!$F:$F,'Cutters Consumption Updates'!$D:$D,H$1,'Cutters Consumption Updates'!$B:$B,$B145)-SUMIFS('Cutters Consumption Updates'!$E:$E,'Cutters Consumption Updates'!$D:$D,H$1,'Cutters Consumption Updates'!$B:$B,$B145)+ SUMIF('Cutters Consumption Updates'!$AS:$AS,$B145,'Cutters Consumption Updates'!AT:AT)</f>
        <v>2</v>
      </c>
      <c r="I145" s="10">
        <f>SUMIFS('Cutters Consumption Updates'!$F:$F,'Cutters Consumption Updates'!$D:$D,I$1,'Cutters Consumption Updates'!$B:$B,$B145)-SUMIFS('Cutters Consumption Updates'!$E:$E,'Cutters Consumption Updates'!$D:$D,I$1,'Cutters Consumption Updates'!$B:$B,$B145)+ SUMIF('Cutters Consumption Updates'!$AS:$AS,$B145,'Cutters Consumption Updates'!AU:AU)</f>
        <v>9</v>
      </c>
      <c r="J145" s="116">
        <f>SUMIFS('Cutters Consumption Updates'!$F:$F,'Cutters Consumption Updates'!$D:$D,J$1,'Cutters Consumption Updates'!$B:$B,$B145)-SUMIFS('Cutters Consumption Updates'!$E:$E,'Cutters Consumption Updates'!$D:$D,J$1,'Cutters Consumption Updates'!$B:$B,$B145)+ SUMIF('Cutters Consumption Updates'!$AS:$AS,$B145,'Cutters Consumption Updates'!AV:AV)</f>
        <v>0</v>
      </c>
      <c r="K145" s="738">
        <f>SUMIFS('Cutters Consumption Updates'!$F:$F,'Cutters Consumption Updates'!$D:$D,K$1,'Cutters Consumption Updates'!$B:$B,$B145)-SUMIFS('Cutters Consumption Updates'!$E:$E,'Cutters Consumption Updates'!$D:$D,K$1,'Cutters Consumption Updates'!$B:$B,$B145)+ SUMIF('Cutters Consumption Updates'!$AS:$AS,$B145,'Cutters Consumption Updates'!AW:AW)</f>
        <v>0</v>
      </c>
      <c r="L145" s="116">
        <f>SUMIFS('Cutters Consumption Updates'!$F:$F,'Cutters Consumption Updates'!$D:$D,L$1,'Cutters Consumption Updates'!$B:$B,$B145)-SUMIFS('Cutters Consumption Updates'!$E:$E,'Cutters Consumption Updates'!$D:$D,$L$1,'Cutters Consumption Updates'!$B:$B,$B145)+SUMIFS('Cutters Consumption Updates'!$F:$F,'Cutters Consumption Updates'!$D:$D,"Retrofit",'Cutters Consumption Updates'!$B:$B,$B145)-SUMIFS('Cutters Consumption Updates'!$E:$E,'Cutters Consumption Updates'!$D:$D,"Retrofit",'Cutters Consumption Updates'!$B:$B,$B145)+ SUMIF('Cutters Consumption Updates'!$AS:$AS,$B145,'Cutters Consumption Updates'!AX:AX)</f>
        <v>0</v>
      </c>
      <c r="M145" s="810">
        <f t="shared" si="14"/>
        <v>2</v>
      </c>
      <c r="N145" s="810">
        <f ca="1">SUMIFS('Cutters Consumption Updates'!E:E,
        'Cutters Consumption Updates'!B:B, B145,
        'Cutters Consumption Updates'!A:A, "&gt;" &amp; TODAY()-182)</f>
        <v>6</v>
      </c>
      <c r="O145" s="810">
        <f ca="1">SUMIFS('Cutters Consumption Updates'!E:E,
        'Cutters Consumption Updates'!B:B, B145,
        'Cutters Consumption Updates'!A:A, "&gt;" &amp; TODAY()-91)</f>
        <v>6</v>
      </c>
      <c r="P145" s="810">
        <f t="shared" ca="1" si="15"/>
        <v>2</v>
      </c>
      <c r="Q145" s="703">
        <f t="shared" ca="1" si="16"/>
        <v>5</v>
      </c>
      <c r="R145" s="703" t="s">
        <v>119</v>
      </c>
      <c r="S145" s="24">
        <f>IFERROR(INDEX(Table5[],MATCH($B145,Table5[Component],0),2),0)</f>
        <v>0</v>
      </c>
      <c r="T145" s="813">
        <f>SUMIFS(Table7[Balance],Table7[Cutter Mat'#],$B145)</f>
        <v>0</v>
      </c>
      <c r="U145" s="24">
        <f t="shared" si="17"/>
        <v>2</v>
      </c>
      <c r="V145" s="119"/>
      <c r="W145" s="2"/>
      <c r="Y145" s="4">
        <f>IFERROR(INDEX(Table5[],MATCH($B145,Table5[Component],0),2),0)</f>
        <v>0</v>
      </c>
      <c r="Z145" s="4">
        <f>IFERROR(INDEX(Table5[],MATCH($B145,Table5[Component],0),1),0)</f>
        <v>0</v>
      </c>
      <c r="AA145" s="4" t="str">
        <f>IF(Y145&lt;&gt;0,B145,"")</f>
        <v/>
      </c>
      <c r="AB145" s="4" t="str">
        <f t="shared" si="18"/>
        <v/>
      </c>
      <c r="AD145" s="4">
        <f t="shared" si="19"/>
        <v>11</v>
      </c>
      <c r="AI145" s="248" t="str">
        <f>IFERROR(INDEX($B$1:$AK$243,MATCH(W145,$B$1:$B$243,0),13),"")</f>
        <v/>
      </c>
      <c r="AJ145" s="248" t="str">
        <f>IFERROR(INDEX($B$1:$AK$243,MATCH(W145,$B$1:$B$243,0),15),"")</f>
        <v/>
      </c>
      <c r="AK145">
        <f>SUMIF($W$2:$W$243,B145,$S$2:$S$243)</f>
        <v>0</v>
      </c>
      <c r="AP145">
        <f t="shared" si="20"/>
        <v>0</v>
      </c>
      <c r="AR145">
        <v>1100755</v>
      </c>
      <c r="AS145">
        <f>SUMIF($B:$B,AR145,$AP:$AP)</f>
        <v>0</v>
      </c>
    </row>
    <row r="146" spans="1:45" ht="15.65" customHeight="1" x14ac:dyDescent="0.35">
      <c r="A146" s="2">
        <v>145</v>
      </c>
      <c r="B146" s="2">
        <v>1130219</v>
      </c>
      <c r="C146" s="2" t="s">
        <v>4362</v>
      </c>
      <c r="D146" s="2" t="s">
        <v>114</v>
      </c>
      <c r="E146" s="2">
        <v>1313</v>
      </c>
      <c r="F146" s="2" t="s">
        <v>248</v>
      </c>
      <c r="G146" s="2" t="s">
        <v>4275</v>
      </c>
      <c r="H146" s="10">
        <f>SUMIFS('Cutters Consumption Updates'!$F:$F,'Cutters Consumption Updates'!$D:$D,H$1,'Cutters Consumption Updates'!$B:$B,$B146)-SUMIFS('Cutters Consumption Updates'!$E:$E,'Cutters Consumption Updates'!$D:$D,H$1,'Cutters Consumption Updates'!$B:$B,$B146)+ SUMIF('Cutters Consumption Updates'!$AS:$AS,$B146,'Cutters Consumption Updates'!AT:AT)</f>
        <v>0</v>
      </c>
      <c r="I146" s="10">
        <f>SUMIFS('Cutters Consumption Updates'!$F:$F,'Cutters Consumption Updates'!$D:$D,I$1,'Cutters Consumption Updates'!$B:$B,$B146)-SUMIFS('Cutters Consumption Updates'!$E:$E,'Cutters Consumption Updates'!$D:$D,I$1,'Cutters Consumption Updates'!$B:$B,$B146)+ SUMIF('Cutters Consumption Updates'!$AS:$AS,$B146,'Cutters Consumption Updates'!AU:AU)</f>
        <v>0</v>
      </c>
      <c r="J146" s="116">
        <f>SUMIFS('Cutters Consumption Updates'!$F:$F,'Cutters Consumption Updates'!$D:$D,J$1,'Cutters Consumption Updates'!$B:$B,$B146)-SUMIFS('Cutters Consumption Updates'!$E:$E,'Cutters Consumption Updates'!$D:$D,J$1,'Cutters Consumption Updates'!$B:$B,$B146)+ SUMIF('Cutters Consumption Updates'!$AS:$AS,$B146,'Cutters Consumption Updates'!AV:AV)</f>
        <v>0</v>
      </c>
      <c r="K146" s="738">
        <f>SUMIFS('Cutters Consumption Updates'!$F:$F,'Cutters Consumption Updates'!$D:$D,K$1,'Cutters Consumption Updates'!$B:$B,$B146)-SUMIFS('Cutters Consumption Updates'!$E:$E,'Cutters Consumption Updates'!$D:$D,K$1,'Cutters Consumption Updates'!$B:$B,$B146)+ SUMIF('Cutters Consumption Updates'!$AS:$AS,$B146,'Cutters Consumption Updates'!AW:AW)</f>
        <v>0</v>
      </c>
      <c r="L146" s="116">
        <f>SUMIFS('Cutters Consumption Updates'!$F:$F,'Cutters Consumption Updates'!$D:$D,L$1,'Cutters Consumption Updates'!$B:$B,$B146)-SUMIFS('Cutters Consumption Updates'!$E:$E,'Cutters Consumption Updates'!$D:$D,$L$1,'Cutters Consumption Updates'!$B:$B,$B146)+SUMIFS('Cutters Consumption Updates'!$F:$F,'Cutters Consumption Updates'!$D:$D,"Retrofit",'Cutters Consumption Updates'!$B:$B,$B146)-SUMIFS('Cutters Consumption Updates'!$E:$E,'Cutters Consumption Updates'!$D:$D,"Retrofit",'Cutters Consumption Updates'!$B:$B,$B146)+ SUMIF('Cutters Consumption Updates'!$AS:$AS,$B146,'Cutters Consumption Updates'!AX:AX)</f>
        <v>0</v>
      </c>
      <c r="M146" s="810">
        <f t="shared" si="14"/>
        <v>0</v>
      </c>
      <c r="N146" s="810">
        <f ca="1">SUMIFS('Cutters Consumption Updates'!E:E,
        'Cutters Consumption Updates'!B:B, B146,
        'Cutters Consumption Updates'!A:A, "&gt;" &amp; TODAY()-182)</f>
        <v>42</v>
      </c>
      <c r="O146" s="810">
        <f ca="1">SUMIFS('Cutters Consumption Updates'!E:E,
        'Cutters Consumption Updates'!B:B, B146,
        'Cutters Consumption Updates'!A:A, "&gt;" &amp; TODAY()-91)</f>
        <v>20</v>
      </c>
      <c r="P146" s="810">
        <f t="shared" ca="1" si="15"/>
        <v>14</v>
      </c>
      <c r="Q146" s="703">
        <f t="shared" ca="1" si="16"/>
        <v>20</v>
      </c>
      <c r="R146" s="703" t="s">
        <v>89</v>
      </c>
      <c r="S146" s="24">
        <f>IFERROR(INDEX(Table5[],MATCH($B146,Table5[Component],0),2),0)</f>
        <v>0</v>
      </c>
      <c r="T146" s="813">
        <f>SUMIFS(Table7[Balance],Table7[Cutter Mat'#],$B146)</f>
        <v>0</v>
      </c>
      <c r="U146" s="24">
        <f t="shared" si="17"/>
        <v>0</v>
      </c>
      <c r="V146" s="119"/>
      <c r="W146" s="2"/>
      <c r="Y146" s="4">
        <f>IFERROR(INDEX(Table5[],MATCH($B146,Table5[Component],0),2),0)</f>
        <v>0</v>
      </c>
      <c r="Z146" s="4">
        <f>IFERROR(INDEX(Table5[],MATCH($B146,Table5[Component],0),1),0)</f>
        <v>1130219</v>
      </c>
      <c r="AA146" s="4" t="str">
        <f>IF(Y146&lt;&gt;0,B146,"")</f>
        <v/>
      </c>
      <c r="AB146" s="4" t="str">
        <f t="shared" si="18"/>
        <v/>
      </c>
      <c r="AD146" s="4">
        <f t="shared" si="19"/>
        <v>0</v>
      </c>
      <c r="AI146" s="248" t="str">
        <f>IFERROR(INDEX($B$1:$AK$243,MATCH(W146,$B$1:$B$243,0),13),"")</f>
        <v/>
      </c>
      <c r="AJ146" s="248" t="str">
        <f>IFERROR(INDEX($B$1:$AK$243,MATCH(W146,$B$1:$B$243,0),15),"")</f>
        <v/>
      </c>
      <c r="AK146">
        <f>SUMIF($W$2:$W$243,B146,$S$2:$S$243)</f>
        <v>0</v>
      </c>
      <c r="AP146">
        <f t="shared" si="20"/>
        <v>0</v>
      </c>
      <c r="AR146">
        <v>1100759</v>
      </c>
      <c r="AS146">
        <f>SUMIF($B:$B,AR146,$AP:$AP)</f>
        <v>0</v>
      </c>
    </row>
    <row r="147" spans="1:45" ht="15.65" customHeight="1" x14ac:dyDescent="0.35">
      <c r="A147" s="2">
        <v>146</v>
      </c>
      <c r="B147" s="2">
        <v>1101509</v>
      </c>
      <c r="C147" s="2" t="s">
        <v>4492</v>
      </c>
      <c r="D147" s="2" t="s">
        <v>35</v>
      </c>
      <c r="E147" s="2" t="s">
        <v>266</v>
      </c>
      <c r="F147" s="2" t="s">
        <v>103</v>
      </c>
      <c r="G147" s="2" t="s">
        <v>36</v>
      </c>
      <c r="H147" s="10">
        <f>SUMIFS('Cutters Consumption Updates'!$F:$F,'Cutters Consumption Updates'!$D:$D,H$1,'Cutters Consumption Updates'!$B:$B,$B147)-SUMIFS('Cutters Consumption Updates'!$E:$E,'Cutters Consumption Updates'!$D:$D,H$1,'Cutters Consumption Updates'!$B:$B,$B147)+ SUMIF('Cutters Consumption Updates'!$AS:$AS,$B147,'Cutters Consumption Updates'!AT:AT)</f>
        <v>0</v>
      </c>
      <c r="I147" s="10">
        <f>SUMIFS('Cutters Consumption Updates'!$F:$F,'Cutters Consumption Updates'!$D:$D,I$1,'Cutters Consumption Updates'!$B:$B,$B147)-SUMIFS('Cutters Consumption Updates'!$E:$E,'Cutters Consumption Updates'!$D:$D,I$1,'Cutters Consumption Updates'!$B:$B,$B147)+ SUMIF('Cutters Consumption Updates'!$AS:$AS,$B147,'Cutters Consumption Updates'!AU:AU)</f>
        <v>0</v>
      </c>
      <c r="J147" s="116">
        <f>SUMIFS('Cutters Consumption Updates'!$F:$F,'Cutters Consumption Updates'!$D:$D,J$1,'Cutters Consumption Updates'!$B:$B,$B147)-SUMIFS('Cutters Consumption Updates'!$E:$E,'Cutters Consumption Updates'!$D:$D,J$1,'Cutters Consumption Updates'!$B:$B,$B147)+ SUMIF('Cutters Consumption Updates'!$AS:$AS,$B147,'Cutters Consumption Updates'!AV:AV)</f>
        <v>0</v>
      </c>
      <c r="K147" s="738">
        <f>SUMIFS('Cutters Consumption Updates'!$F:$F,'Cutters Consumption Updates'!$D:$D,K$1,'Cutters Consumption Updates'!$B:$B,$B147)-SUMIFS('Cutters Consumption Updates'!$E:$E,'Cutters Consumption Updates'!$D:$D,K$1,'Cutters Consumption Updates'!$B:$B,$B147)+ SUMIF('Cutters Consumption Updates'!$AS:$AS,$B147,'Cutters Consumption Updates'!AW:AW)</f>
        <v>0</v>
      </c>
      <c r="L147" s="116">
        <f>SUMIFS('Cutters Consumption Updates'!$F:$F,'Cutters Consumption Updates'!$D:$D,L$1,'Cutters Consumption Updates'!$B:$B,$B147)-SUMIFS('Cutters Consumption Updates'!$E:$E,'Cutters Consumption Updates'!$D:$D,$L$1,'Cutters Consumption Updates'!$B:$B,$B147)+SUMIFS('Cutters Consumption Updates'!$F:$F,'Cutters Consumption Updates'!$D:$D,"Retrofit",'Cutters Consumption Updates'!$B:$B,$B147)-SUMIFS('Cutters Consumption Updates'!$E:$E,'Cutters Consumption Updates'!$D:$D,"Retrofit",'Cutters Consumption Updates'!$B:$B,$B147)+ SUMIF('Cutters Consumption Updates'!$AS:$AS,$B147,'Cutters Consumption Updates'!AX:AX)</f>
        <v>43</v>
      </c>
      <c r="M147" s="810">
        <f t="shared" si="14"/>
        <v>43</v>
      </c>
      <c r="N147" s="810">
        <f ca="1">SUMIFS('Cutters Consumption Updates'!E:E,
        'Cutters Consumption Updates'!B:B, B147,
        'Cutters Consumption Updates'!A:A, "&gt;" &amp; TODAY()-182)</f>
        <v>66</v>
      </c>
      <c r="O147" s="810">
        <f ca="1">SUMIFS('Cutters Consumption Updates'!E:E,
        'Cutters Consumption Updates'!B:B, B147,
        'Cutters Consumption Updates'!A:A, "&gt;" &amp; TODAY()-91)</f>
        <v>46</v>
      </c>
      <c r="P147" s="810">
        <f t="shared" ca="1" si="15"/>
        <v>22</v>
      </c>
      <c r="Q147" s="703">
        <f t="shared" ca="1" si="16"/>
        <v>25</v>
      </c>
      <c r="R147" s="703" t="s">
        <v>29</v>
      </c>
      <c r="S147" s="24">
        <f>IFERROR(INDEX(Table5[],MATCH($B147,Table5[Component],0),2),0)</f>
        <v>63</v>
      </c>
      <c r="T147" s="813">
        <f>SUMIFS(Table7[Balance],Table7[Cutter Mat'#],$B147)</f>
        <v>0</v>
      </c>
      <c r="U147" s="24">
        <f t="shared" si="17"/>
        <v>-20</v>
      </c>
      <c r="V147" s="119"/>
      <c r="W147" s="2">
        <v>649901</v>
      </c>
      <c r="Y147" s="4">
        <f>IFERROR(INDEX(Table5[],MATCH($B147,Table5[Component],0),2),0)</f>
        <v>63</v>
      </c>
      <c r="Z147" s="4">
        <f>IFERROR(INDEX(Table5[],MATCH($B147,Table5[Component],0),1),0)</f>
        <v>1101509</v>
      </c>
      <c r="AA147" s="4">
        <f>IF(Y147&lt;&gt;0,B147,"")</f>
        <v>1101509</v>
      </c>
      <c r="AB147" s="4" t="str">
        <f t="shared" si="18"/>
        <v/>
      </c>
      <c r="AD147" s="4">
        <f t="shared" si="19"/>
        <v>43</v>
      </c>
      <c r="AI147" s="248">
        <f ca="1">IFERROR(INDEX($B$1:$AK$243,MATCH(W147,$B$1:$B$243,0),13),"")</f>
        <v>0</v>
      </c>
      <c r="AJ147" s="248">
        <f ca="1">IFERROR(INDEX($B$1:$AK$243,MATCH(W147,$B$1:$B$243,0),15),"")</f>
        <v>0</v>
      </c>
      <c r="AK147">
        <f>SUMIF($W$2:$W$243,B147,$S$2:$S$243)</f>
        <v>80</v>
      </c>
      <c r="AP147">
        <f t="shared" si="20"/>
        <v>0</v>
      </c>
      <c r="AR147">
        <v>1101509</v>
      </c>
      <c r="AS147">
        <f>SUMIF($B:$B,AR147,$AP:$AP)</f>
        <v>0</v>
      </c>
    </row>
    <row r="148" spans="1:45" ht="15.65" customHeight="1" x14ac:dyDescent="0.35">
      <c r="A148" s="2">
        <v>147</v>
      </c>
      <c r="B148" s="2">
        <v>1100755</v>
      </c>
      <c r="C148" s="2" t="s">
        <v>4363</v>
      </c>
      <c r="D148" s="2" t="s">
        <v>133</v>
      </c>
      <c r="E148" s="2">
        <v>1613</v>
      </c>
      <c r="F148" s="2" t="s">
        <v>253</v>
      </c>
      <c r="G148" s="2" t="s">
        <v>4275</v>
      </c>
      <c r="H148" s="10">
        <f>SUMIFS('Cutters Consumption Updates'!$F:$F,'Cutters Consumption Updates'!$D:$D,H$1,'Cutters Consumption Updates'!$B:$B,$B148)-SUMIFS('Cutters Consumption Updates'!$E:$E,'Cutters Consumption Updates'!$D:$D,H$1,'Cutters Consumption Updates'!$B:$B,$B148)+ SUMIF('Cutters Consumption Updates'!$AS:$AS,$B148,'Cutters Consumption Updates'!AT:AT)</f>
        <v>0</v>
      </c>
      <c r="I148" s="10">
        <f>SUMIFS('Cutters Consumption Updates'!$F:$F,'Cutters Consumption Updates'!$D:$D,I$1,'Cutters Consumption Updates'!$B:$B,$B148)-SUMIFS('Cutters Consumption Updates'!$E:$E,'Cutters Consumption Updates'!$D:$D,I$1,'Cutters Consumption Updates'!$B:$B,$B148)+ SUMIF('Cutters Consumption Updates'!$AS:$AS,$B148,'Cutters Consumption Updates'!AU:AU)</f>
        <v>0</v>
      </c>
      <c r="J148" s="116">
        <f>SUMIFS('Cutters Consumption Updates'!$F:$F,'Cutters Consumption Updates'!$D:$D,J$1,'Cutters Consumption Updates'!$B:$B,$B148)-SUMIFS('Cutters Consumption Updates'!$E:$E,'Cutters Consumption Updates'!$D:$D,J$1,'Cutters Consumption Updates'!$B:$B,$B148)+ SUMIF('Cutters Consumption Updates'!$AS:$AS,$B148,'Cutters Consumption Updates'!AV:AV)</f>
        <v>0</v>
      </c>
      <c r="K148" s="738">
        <f>SUMIFS('Cutters Consumption Updates'!$F:$F,'Cutters Consumption Updates'!$D:$D,K$1,'Cutters Consumption Updates'!$B:$B,$B148)-SUMIFS('Cutters Consumption Updates'!$E:$E,'Cutters Consumption Updates'!$D:$D,K$1,'Cutters Consumption Updates'!$B:$B,$B148)+ SUMIF('Cutters Consumption Updates'!$AS:$AS,$B148,'Cutters Consumption Updates'!AW:AW)</f>
        <v>0</v>
      </c>
      <c r="L148" s="116">
        <f>SUMIFS('Cutters Consumption Updates'!$F:$F,'Cutters Consumption Updates'!$D:$D,L$1,'Cutters Consumption Updates'!$B:$B,$B148)-SUMIFS('Cutters Consumption Updates'!$E:$E,'Cutters Consumption Updates'!$D:$D,$L$1,'Cutters Consumption Updates'!$B:$B,$B148)+SUMIFS('Cutters Consumption Updates'!$F:$F,'Cutters Consumption Updates'!$D:$D,"Retrofit",'Cutters Consumption Updates'!$B:$B,$B148)-SUMIFS('Cutters Consumption Updates'!$E:$E,'Cutters Consumption Updates'!$D:$D,"Retrofit",'Cutters Consumption Updates'!$B:$B,$B148)+ SUMIF('Cutters Consumption Updates'!$AS:$AS,$B148,'Cutters Consumption Updates'!AX:AX)</f>
        <v>41</v>
      </c>
      <c r="M148" s="810">
        <f t="shared" si="14"/>
        <v>41</v>
      </c>
      <c r="N148" s="810">
        <f ca="1">SUMIFS('Cutters Consumption Updates'!E:E,
        'Cutters Consumption Updates'!B:B, B148,
        'Cutters Consumption Updates'!A:A, "&gt;" &amp; TODAY()-182)</f>
        <v>22</v>
      </c>
      <c r="O148" s="810">
        <f ca="1">SUMIFS('Cutters Consumption Updates'!E:E,
        'Cutters Consumption Updates'!B:B, B148,
        'Cutters Consumption Updates'!A:A, "&gt;" &amp; TODAY()-91)</f>
        <v>1</v>
      </c>
      <c r="P148" s="810">
        <f t="shared" ca="1" si="15"/>
        <v>8</v>
      </c>
      <c r="Q148" s="703">
        <f t="shared" ca="1" si="16"/>
        <v>10</v>
      </c>
      <c r="R148" s="703" t="s">
        <v>64</v>
      </c>
      <c r="S148" s="24">
        <f>IFERROR(INDEX(Table5[],MATCH($B148,Table5[Component],0),2),0)</f>
        <v>0</v>
      </c>
      <c r="T148" s="813">
        <f>SUMIFS(Table7[Balance],Table7[Cutter Mat'#],$B148)</f>
        <v>0</v>
      </c>
      <c r="U148" s="24">
        <f t="shared" si="17"/>
        <v>41</v>
      </c>
      <c r="V148" s="119"/>
      <c r="W148" s="2"/>
      <c r="Y148" s="4">
        <f>IFERROR(INDEX(Table5[],MATCH($B148,Table5[Component],0),2),0)</f>
        <v>0</v>
      </c>
      <c r="Z148" s="4">
        <f>IFERROR(INDEX(Table5[],MATCH($B148,Table5[Component],0),1),0)</f>
        <v>0</v>
      </c>
      <c r="AA148" s="4" t="str">
        <f>IF(Y148&lt;&gt;0,B148,"")</f>
        <v/>
      </c>
      <c r="AB148" s="4" t="str">
        <f t="shared" si="18"/>
        <v/>
      </c>
      <c r="AD148" s="4">
        <f t="shared" si="19"/>
        <v>41</v>
      </c>
      <c r="AI148" s="248" t="str">
        <f>IFERROR(INDEX($B$1:$AK$243,MATCH(W148,$B$1:$B$243,0),13),"")</f>
        <v/>
      </c>
      <c r="AJ148" s="248" t="str">
        <f>IFERROR(INDEX($B$1:$AK$243,MATCH(W148,$B$1:$B$243,0),15),"")</f>
        <v/>
      </c>
      <c r="AK148">
        <f>SUMIF($W$2:$W$243,B148,$S$2:$S$243)</f>
        <v>0</v>
      </c>
      <c r="AP148">
        <f t="shared" si="20"/>
        <v>0</v>
      </c>
      <c r="AR148">
        <v>1104083</v>
      </c>
      <c r="AS148">
        <f>SUMIF($B:$B,AR148,$AP:$AP)</f>
        <v>0</v>
      </c>
    </row>
    <row r="149" spans="1:45" ht="15.65" customHeight="1" x14ac:dyDescent="0.35">
      <c r="A149" s="2">
        <v>148</v>
      </c>
      <c r="B149" s="2">
        <v>1146740</v>
      </c>
      <c r="C149" s="2" t="s">
        <v>4473</v>
      </c>
      <c r="D149" s="2" t="s">
        <v>111</v>
      </c>
      <c r="E149" s="2">
        <v>1313</v>
      </c>
      <c r="F149" s="808">
        <v>22190</v>
      </c>
      <c r="G149" s="2" t="s">
        <v>4314</v>
      </c>
      <c r="H149" s="10">
        <f>SUMIFS('Cutters Consumption Updates'!$F:$F,'Cutters Consumption Updates'!$D:$D,H$1,'Cutters Consumption Updates'!$B:$B,$B149)-SUMIFS('Cutters Consumption Updates'!$E:$E,'Cutters Consumption Updates'!$D:$D,H$1,'Cutters Consumption Updates'!$B:$B,$B149)+ SUMIF('Cutters Consumption Updates'!$AS:$AS,$B149,'Cutters Consumption Updates'!AT:AT)</f>
        <v>0</v>
      </c>
      <c r="I149" s="10">
        <f>SUMIFS('Cutters Consumption Updates'!$F:$F,'Cutters Consumption Updates'!$D:$D,I$1,'Cutters Consumption Updates'!$B:$B,$B149)-SUMIFS('Cutters Consumption Updates'!$E:$E,'Cutters Consumption Updates'!$D:$D,I$1,'Cutters Consumption Updates'!$B:$B,$B149)+ SUMIF('Cutters Consumption Updates'!$AS:$AS,$B149,'Cutters Consumption Updates'!AU:AU)</f>
        <v>0</v>
      </c>
      <c r="J149" s="116">
        <f>SUMIFS('Cutters Consumption Updates'!$F:$F,'Cutters Consumption Updates'!$D:$D,J$1,'Cutters Consumption Updates'!$B:$B,$B149)-SUMIFS('Cutters Consumption Updates'!$E:$E,'Cutters Consumption Updates'!$D:$D,J$1,'Cutters Consumption Updates'!$B:$B,$B149)+ SUMIF('Cutters Consumption Updates'!$AS:$AS,$B149,'Cutters Consumption Updates'!AV:AV)</f>
        <v>0</v>
      </c>
      <c r="K149" s="738">
        <f>SUMIFS('Cutters Consumption Updates'!$F:$F,'Cutters Consumption Updates'!$D:$D,K$1,'Cutters Consumption Updates'!$B:$B,$B149)-SUMIFS('Cutters Consumption Updates'!$E:$E,'Cutters Consumption Updates'!$D:$D,K$1,'Cutters Consumption Updates'!$B:$B,$B149)+ SUMIF('Cutters Consumption Updates'!$AS:$AS,$B149,'Cutters Consumption Updates'!AW:AW)</f>
        <v>0</v>
      </c>
      <c r="L149" s="116">
        <f>SUMIFS('Cutters Consumption Updates'!$F:$F,'Cutters Consumption Updates'!$D:$D,L$1,'Cutters Consumption Updates'!$B:$B,$B149)-SUMIFS('Cutters Consumption Updates'!$E:$E,'Cutters Consumption Updates'!$D:$D,$L$1,'Cutters Consumption Updates'!$B:$B,$B149)+SUMIFS('Cutters Consumption Updates'!$F:$F,'Cutters Consumption Updates'!$D:$D,"Retrofit",'Cutters Consumption Updates'!$B:$B,$B149)-SUMIFS('Cutters Consumption Updates'!$E:$E,'Cutters Consumption Updates'!$D:$D,"Retrofit",'Cutters Consumption Updates'!$B:$B,$B149)+ SUMIF('Cutters Consumption Updates'!$AS:$AS,$B149,'Cutters Consumption Updates'!AX:AX)</f>
        <v>0</v>
      </c>
      <c r="M149" s="810">
        <f t="shared" si="14"/>
        <v>0</v>
      </c>
      <c r="N149" s="810">
        <f ca="1">SUMIFS('Cutters Consumption Updates'!E:E,
        'Cutters Consumption Updates'!B:B, B149,
        'Cutters Consumption Updates'!A:A, "&gt;" &amp; TODAY()-182)</f>
        <v>0</v>
      </c>
      <c r="O149" s="810">
        <f ca="1">SUMIFS('Cutters Consumption Updates'!E:E,
        'Cutters Consumption Updates'!B:B, B149,
        'Cutters Consumption Updates'!A:A, "&gt;" &amp; TODAY()-91)</f>
        <v>0</v>
      </c>
      <c r="P149" s="810">
        <f t="shared" ca="1" si="15"/>
        <v>0</v>
      </c>
      <c r="Q149" s="703">
        <f t="shared" ca="1" si="16"/>
        <v>0</v>
      </c>
      <c r="R149" s="703" t="s">
        <v>112</v>
      </c>
      <c r="S149" s="24">
        <f>IFERROR(INDEX(Table5[],MATCH($B149,Table5[Component],0),2),0)</f>
        <v>0</v>
      </c>
      <c r="T149" s="813">
        <f>SUMIFS(Table7[Balance],Table7[Cutter Mat'#],$B149)</f>
        <v>0</v>
      </c>
      <c r="U149" s="24">
        <f t="shared" si="17"/>
        <v>0</v>
      </c>
      <c r="V149" s="119"/>
      <c r="W149" s="2"/>
      <c r="Y149" s="4">
        <f>IFERROR(INDEX(Table5[],MATCH($B149,Table5[Component],0),2),0)</f>
        <v>0</v>
      </c>
      <c r="Z149" s="4">
        <f>IFERROR(INDEX(Table5[],MATCH($B149,Table5[Component],0),1),0)</f>
        <v>0</v>
      </c>
      <c r="AA149" s="4" t="str">
        <f>IF(Y149&lt;&gt;0,B149,"")</f>
        <v/>
      </c>
      <c r="AB149" s="4" t="str">
        <f t="shared" si="18"/>
        <v/>
      </c>
      <c r="AD149" s="4">
        <f t="shared" si="19"/>
        <v>0</v>
      </c>
      <c r="AI149" s="248" t="str">
        <f>IFERROR(INDEX($B$1:$AK$243,MATCH(W149,$B$1:$B$243,0),13),"")</f>
        <v/>
      </c>
      <c r="AJ149" s="248" t="str">
        <f>IFERROR(INDEX($B$1:$AK$243,MATCH(W149,$B$1:$B$243,0),15),"")</f>
        <v/>
      </c>
      <c r="AK149">
        <f>SUMIF($W$2:$W$243,B149,$S$2:$S$243)</f>
        <v>0</v>
      </c>
      <c r="AP149">
        <f t="shared" si="20"/>
        <v>0</v>
      </c>
      <c r="AR149">
        <v>1104086</v>
      </c>
      <c r="AS149">
        <f>SUMIF($B:$B,AR149,$AP:$AP)</f>
        <v>0</v>
      </c>
    </row>
    <row r="150" spans="1:45" ht="15.65" customHeight="1" x14ac:dyDescent="0.35">
      <c r="A150" s="2">
        <v>149</v>
      </c>
      <c r="B150" s="2">
        <v>1130217</v>
      </c>
      <c r="C150" s="2" t="s">
        <v>4364</v>
      </c>
      <c r="D150" s="2" t="s">
        <v>114</v>
      </c>
      <c r="E150" s="2">
        <v>1010</v>
      </c>
      <c r="F150" s="2" t="s">
        <v>248</v>
      </c>
      <c r="G150" s="2" t="s">
        <v>4275</v>
      </c>
      <c r="H150" s="10">
        <f>SUMIFS('Cutters Consumption Updates'!$F:$F,'Cutters Consumption Updates'!$D:$D,H$1,'Cutters Consumption Updates'!$B:$B,$B150)-SUMIFS('Cutters Consumption Updates'!$E:$E,'Cutters Consumption Updates'!$D:$D,H$1,'Cutters Consumption Updates'!$B:$B,$B150)+ SUMIF('Cutters Consumption Updates'!$AS:$AS,$B150,'Cutters Consumption Updates'!AT:AT)</f>
        <v>0</v>
      </c>
      <c r="I150" s="10">
        <f>SUMIFS('Cutters Consumption Updates'!$F:$F,'Cutters Consumption Updates'!$D:$D,I$1,'Cutters Consumption Updates'!$B:$B,$B150)-SUMIFS('Cutters Consumption Updates'!$E:$E,'Cutters Consumption Updates'!$D:$D,I$1,'Cutters Consumption Updates'!$B:$B,$B150)+ SUMIF('Cutters Consumption Updates'!$AS:$AS,$B150,'Cutters Consumption Updates'!AU:AU)</f>
        <v>0</v>
      </c>
      <c r="J150" s="116">
        <f>SUMIFS('Cutters Consumption Updates'!$F:$F,'Cutters Consumption Updates'!$D:$D,J$1,'Cutters Consumption Updates'!$B:$B,$B150)-SUMIFS('Cutters Consumption Updates'!$E:$E,'Cutters Consumption Updates'!$D:$D,J$1,'Cutters Consumption Updates'!$B:$B,$B150)+ SUMIF('Cutters Consumption Updates'!$AS:$AS,$B150,'Cutters Consumption Updates'!AV:AV)</f>
        <v>0</v>
      </c>
      <c r="K150" s="738">
        <f>SUMIFS('Cutters Consumption Updates'!$F:$F,'Cutters Consumption Updates'!$D:$D,K$1,'Cutters Consumption Updates'!$B:$B,$B150)-SUMIFS('Cutters Consumption Updates'!$E:$E,'Cutters Consumption Updates'!$D:$D,K$1,'Cutters Consumption Updates'!$B:$B,$B150)+ SUMIF('Cutters Consumption Updates'!$AS:$AS,$B150,'Cutters Consumption Updates'!AW:AW)</f>
        <v>0</v>
      </c>
      <c r="L150" s="116">
        <f>SUMIFS('Cutters Consumption Updates'!$F:$F,'Cutters Consumption Updates'!$D:$D,L$1,'Cutters Consumption Updates'!$B:$B,$B150)-SUMIFS('Cutters Consumption Updates'!$E:$E,'Cutters Consumption Updates'!$D:$D,$L$1,'Cutters Consumption Updates'!$B:$B,$B150)+SUMIFS('Cutters Consumption Updates'!$F:$F,'Cutters Consumption Updates'!$D:$D,"Retrofit",'Cutters Consumption Updates'!$B:$B,$B150)-SUMIFS('Cutters Consumption Updates'!$E:$E,'Cutters Consumption Updates'!$D:$D,"Retrofit",'Cutters Consumption Updates'!$B:$B,$B150)+ SUMIF('Cutters Consumption Updates'!$AS:$AS,$B150,'Cutters Consumption Updates'!AX:AX)</f>
        <v>6</v>
      </c>
      <c r="M150" s="810">
        <f t="shared" si="14"/>
        <v>6</v>
      </c>
      <c r="N150" s="810">
        <f ca="1">SUMIFS('Cutters Consumption Updates'!E:E,
        'Cutters Consumption Updates'!B:B, B150,
        'Cutters Consumption Updates'!A:A, "&gt;" &amp; TODAY()-182)</f>
        <v>0</v>
      </c>
      <c r="O150" s="810">
        <f ca="1">SUMIFS('Cutters Consumption Updates'!E:E,
        'Cutters Consumption Updates'!B:B, B150,
        'Cutters Consumption Updates'!A:A, "&gt;" &amp; TODAY()-91)</f>
        <v>0</v>
      </c>
      <c r="P150" s="810">
        <f t="shared" ca="1" si="15"/>
        <v>0</v>
      </c>
      <c r="Q150" s="703">
        <f t="shared" ca="1" si="16"/>
        <v>0</v>
      </c>
      <c r="R150" s="703" t="s">
        <v>140</v>
      </c>
      <c r="S150" s="24">
        <f>IFERROR(INDEX(Table5[],MATCH($B150,Table5[Component],0),2),0)</f>
        <v>148</v>
      </c>
      <c r="T150" s="813">
        <f>SUMIFS(Table7[Balance],Table7[Cutter Mat'#],$B150)</f>
        <v>0</v>
      </c>
      <c r="U150" s="24">
        <f t="shared" si="17"/>
        <v>-142</v>
      </c>
      <c r="V150" s="119"/>
      <c r="W150" s="2"/>
      <c r="Y150" s="4">
        <f>IFERROR(INDEX(Table5[],MATCH($B150,Table5[Component],0),2),0)</f>
        <v>148</v>
      </c>
      <c r="Z150" s="4">
        <f>IFERROR(INDEX(Table5[],MATCH($B150,Table5[Component],0),1),0)</f>
        <v>1130217</v>
      </c>
      <c r="AA150" s="4">
        <f>IF(Y150&lt;&gt;0,B150,"")</f>
        <v>1130217</v>
      </c>
      <c r="AB150" s="4" t="str">
        <f t="shared" si="18"/>
        <v/>
      </c>
      <c r="AD150" s="4">
        <f t="shared" si="19"/>
        <v>6</v>
      </c>
      <c r="AI150" s="248" t="str">
        <f>IFERROR(INDEX($B$1:$AK$243,MATCH(W150,$B$1:$B$243,0),13),"")</f>
        <v/>
      </c>
      <c r="AJ150" s="248" t="str">
        <f>IFERROR(INDEX($B$1:$AK$243,MATCH(W150,$B$1:$B$243,0),15),"")</f>
        <v/>
      </c>
      <c r="AK150">
        <f>SUMIF($W$2:$W$243,B150,$S$2:$S$243)</f>
        <v>0</v>
      </c>
      <c r="AP150">
        <f t="shared" si="20"/>
        <v>0</v>
      </c>
      <c r="AR150">
        <v>1104743</v>
      </c>
      <c r="AS150">
        <f>SUMIF($B:$B,AR150,$AP:$AP)</f>
        <v>0</v>
      </c>
    </row>
    <row r="151" spans="1:45" ht="15.65" customHeight="1" x14ac:dyDescent="0.35">
      <c r="A151" s="2">
        <v>150</v>
      </c>
      <c r="B151" s="2">
        <v>179733</v>
      </c>
      <c r="C151" s="2" t="s">
        <v>4503</v>
      </c>
      <c r="D151" s="2" t="s">
        <v>4502</v>
      </c>
      <c r="E151" s="2" t="s">
        <v>38</v>
      </c>
      <c r="F151" s="2" t="s">
        <v>103</v>
      </c>
      <c r="G151" s="2" t="s">
        <v>36</v>
      </c>
      <c r="H151" s="10">
        <f>SUMIFS('Cutters Consumption Updates'!$F:$F,'Cutters Consumption Updates'!$D:$D,H$1,'Cutters Consumption Updates'!$B:$B,$B151)-SUMIFS('Cutters Consumption Updates'!$E:$E,'Cutters Consumption Updates'!$D:$D,H$1,'Cutters Consumption Updates'!$B:$B,$B151)+ SUMIF('Cutters Consumption Updates'!$AS:$AS,$B151,'Cutters Consumption Updates'!AT:AT)</f>
        <v>0</v>
      </c>
      <c r="I151" s="10">
        <f>SUMIFS('Cutters Consumption Updates'!$F:$F,'Cutters Consumption Updates'!$D:$D,I$1,'Cutters Consumption Updates'!$B:$B,$B151)-SUMIFS('Cutters Consumption Updates'!$E:$E,'Cutters Consumption Updates'!$D:$D,I$1,'Cutters Consumption Updates'!$B:$B,$B151)+ SUMIF('Cutters Consumption Updates'!$AS:$AS,$B151,'Cutters Consumption Updates'!AU:AU)</f>
        <v>0</v>
      </c>
      <c r="J151" s="116">
        <f>SUMIFS('Cutters Consumption Updates'!$F:$F,'Cutters Consumption Updates'!$D:$D,J$1,'Cutters Consumption Updates'!$B:$B,$B151)-SUMIFS('Cutters Consumption Updates'!$E:$E,'Cutters Consumption Updates'!$D:$D,J$1,'Cutters Consumption Updates'!$B:$B,$B151)+ SUMIF('Cutters Consumption Updates'!$AS:$AS,$B151,'Cutters Consumption Updates'!AV:AV)</f>
        <v>0</v>
      </c>
      <c r="K151" s="738">
        <f>SUMIFS('Cutters Consumption Updates'!$F:$F,'Cutters Consumption Updates'!$D:$D,K$1,'Cutters Consumption Updates'!$B:$B,$B151)-SUMIFS('Cutters Consumption Updates'!$E:$E,'Cutters Consumption Updates'!$D:$D,K$1,'Cutters Consumption Updates'!$B:$B,$B151)+ SUMIF('Cutters Consumption Updates'!$AS:$AS,$B151,'Cutters Consumption Updates'!AW:AW)</f>
        <v>24</v>
      </c>
      <c r="L151" s="116">
        <f>SUMIFS('Cutters Consumption Updates'!$F:$F,'Cutters Consumption Updates'!$D:$D,L$1,'Cutters Consumption Updates'!$B:$B,$B151)-SUMIFS('Cutters Consumption Updates'!$E:$E,'Cutters Consumption Updates'!$D:$D,$L$1,'Cutters Consumption Updates'!$B:$B,$B151)+SUMIFS('Cutters Consumption Updates'!$F:$F,'Cutters Consumption Updates'!$D:$D,"Retrofit",'Cutters Consumption Updates'!$B:$B,$B151)-SUMIFS('Cutters Consumption Updates'!$E:$E,'Cutters Consumption Updates'!$D:$D,"Retrofit",'Cutters Consumption Updates'!$B:$B,$B151)+ SUMIF('Cutters Consumption Updates'!$AS:$AS,$B151,'Cutters Consumption Updates'!AX:AX)</f>
        <v>153</v>
      </c>
      <c r="M151" s="810">
        <f t="shared" si="14"/>
        <v>153</v>
      </c>
      <c r="N151" s="810">
        <f ca="1">SUMIFS('Cutters Consumption Updates'!E:E,
        'Cutters Consumption Updates'!B:B, B151,
        'Cutters Consumption Updates'!A:A, "&gt;" &amp; TODAY()-182)</f>
        <v>68</v>
      </c>
      <c r="O151" s="810">
        <f ca="1">SUMIFS('Cutters Consumption Updates'!E:E,
        'Cutters Consumption Updates'!B:B, B151,
        'Cutters Consumption Updates'!A:A, "&gt;" &amp; TODAY()-91)</f>
        <v>20</v>
      </c>
      <c r="P151" s="810">
        <f t="shared" ca="1" si="15"/>
        <v>23</v>
      </c>
      <c r="Q151" s="703">
        <f t="shared" ca="1" si="16"/>
        <v>25</v>
      </c>
      <c r="R151" s="703" t="s">
        <v>29</v>
      </c>
      <c r="S151" s="24">
        <f>IFERROR(INDEX(Table5[],MATCH($B151,Table5[Component],0),2),0)</f>
        <v>89</v>
      </c>
      <c r="T151" s="813">
        <f>SUMIFS(Table7[Balance],Table7[Cutter Mat'#],$B151)</f>
        <v>0</v>
      </c>
      <c r="U151" s="24">
        <f t="shared" si="17"/>
        <v>64</v>
      </c>
      <c r="V151" s="119"/>
      <c r="W151" s="2"/>
      <c r="Y151" s="4">
        <f>IFERROR(INDEX(Table5[],MATCH($B151,Table5[Component],0),2),0)</f>
        <v>89</v>
      </c>
      <c r="Z151" s="4">
        <f>IFERROR(INDEX(Table5[],MATCH($B151,Table5[Component],0),1),0)</f>
        <v>179733</v>
      </c>
      <c r="AA151" s="4">
        <f>IF(Y151&lt;&gt;0,B151,"")</f>
        <v>179733</v>
      </c>
      <c r="AB151" s="4" t="str">
        <f t="shared" si="18"/>
        <v/>
      </c>
      <c r="AD151" s="4">
        <f t="shared" si="19"/>
        <v>153</v>
      </c>
      <c r="AI151" s="248" t="str">
        <f>IFERROR(INDEX($B$1:$AK$243,MATCH(W151,$B$1:$B$243,0),13),"")</f>
        <v/>
      </c>
      <c r="AJ151" s="248" t="str">
        <f>IFERROR(INDEX($B$1:$AK$243,MATCH(W151,$B$1:$B$243,0),15),"")</f>
        <v/>
      </c>
      <c r="AK151">
        <f>SUMIF($W$2:$W$243,B151,$S$2:$S$243)</f>
        <v>0</v>
      </c>
      <c r="AP151">
        <f t="shared" si="20"/>
        <v>0</v>
      </c>
      <c r="AR151">
        <v>1104744</v>
      </c>
      <c r="AS151">
        <f>SUMIF($B:$B,AR151,$AP:$AP)</f>
        <v>0</v>
      </c>
    </row>
    <row r="152" spans="1:45" ht="15.65" customHeight="1" x14ac:dyDescent="0.35">
      <c r="A152" s="2">
        <v>151</v>
      </c>
      <c r="B152" s="2">
        <v>649901</v>
      </c>
      <c r="C152" s="2" t="s">
        <v>4491</v>
      </c>
      <c r="D152" s="2" t="s">
        <v>35</v>
      </c>
      <c r="E152" s="2" t="s">
        <v>266</v>
      </c>
      <c r="F152" s="2" t="s">
        <v>103</v>
      </c>
      <c r="G152" s="2" t="s">
        <v>36</v>
      </c>
      <c r="H152" s="10">
        <f>SUMIFS('Cutters Consumption Updates'!$F:$F,'Cutters Consumption Updates'!$D:$D,H$1,'Cutters Consumption Updates'!$B:$B,$B152)-SUMIFS('Cutters Consumption Updates'!$E:$E,'Cutters Consumption Updates'!$D:$D,H$1,'Cutters Consumption Updates'!$B:$B,$B152)+ SUMIF('Cutters Consumption Updates'!$AS:$AS,$B152,'Cutters Consumption Updates'!AT:AT)</f>
        <v>0</v>
      </c>
      <c r="I152" s="10">
        <f>SUMIFS('Cutters Consumption Updates'!$F:$F,'Cutters Consumption Updates'!$D:$D,I$1,'Cutters Consumption Updates'!$B:$B,$B152)-SUMIFS('Cutters Consumption Updates'!$E:$E,'Cutters Consumption Updates'!$D:$D,I$1,'Cutters Consumption Updates'!$B:$B,$B152)+ SUMIF('Cutters Consumption Updates'!$AS:$AS,$B152,'Cutters Consumption Updates'!AU:AU)</f>
        <v>0</v>
      </c>
      <c r="J152" s="116">
        <f>SUMIFS('Cutters Consumption Updates'!$F:$F,'Cutters Consumption Updates'!$D:$D,J$1,'Cutters Consumption Updates'!$B:$B,$B152)-SUMIFS('Cutters Consumption Updates'!$E:$E,'Cutters Consumption Updates'!$D:$D,J$1,'Cutters Consumption Updates'!$B:$B,$B152)+ SUMIF('Cutters Consumption Updates'!$AS:$AS,$B152,'Cutters Consumption Updates'!AV:AV)</f>
        <v>0</v>
      </c>
      <c r="K152" s="738">
        <f>SUMIFS('Cutters Consumption Updates'!$F:$F,'Cutters Consumption Updates'!$D:$D,K$1,'Cutters Consumption Updates'!$B:$B,$B152)-SUMIFS('Cutters Consumption Updates'!$E:$E,'Cutters Consumption Updates'!$D:$D,K$1,'Cutters Consumption Updates'!$B:$B,$B152)+ SUMIF('Cutters Consumption Updates'!$AS:$AS,$B152,'Cutters Consumption Updates'!AW:AW)</f>
        <v>0</v>
      </c>
      <c r="L152" s="116">
        <f>SUMIFS('Cutters Consumption Updates'!$F:$F,'Cutters Consumption Updates'!$D:$D,L$1,'Cutters Consumption Updates'!$B:$B,$B152)-SUMIFS('Cutters Consumption Updates'!$E:$E,'Cutters Consumption Updates'!$D:$D,$L$1,'Cutters Consumption Updates'!$B:$B,$B152)+SUMIFS('Cutters Consumption Updates'!$F:$F,'Cutters Consumption Updates'!$D:$D,"Retrofit",'Cutters Consumption Updates'!$B:$B,$B152)-SUMIFS('Cutters Consumption Updates'!$E:$E,'Cutters Consumption Updates'!$D:$D,"Retrofit",'Cutters Consumption Updates'!$B:$B,$B152)+ SUMIF('Cutters Consumption Updates'!$AS:$AS,$B152,'Cutters Consumption Updates'!AX:AX)</f>
        <v>50</v>
      </c>
      <c r="M152" s="810">
        <f t="shared" si="14"/>
        <v>50</v>
      </c>
      <c r="N152" s="810">
        <f ca="1">SUMIFS('Cutters Consumption Updates'!E:E,
        'Cutters Consumption Updates'!B:B, B152,
        'Cutters Consumption Updates'!A:A, "&gt;" &amp; TODAY()-182)</f>
        <v>0</v>
      </c>
      <c r="O152" s="810">
        <f ca="1">SUMIFS('Cutters Consumption Updates'!E:E,
        'Cutters Consumption Updates'!B:B, B152,
        'Cutters Consumption Updates'!A:A, "&gt;" &amp; TODAY()-91)</f>
        <v>0</v>
      </c>
      <c r="P152" s="810">
        <f t="shared" ca="1" si="15"/>
        <v>0</v>
      </c>
      <c r="Q152" s="703">
        <f t="shared" ca="1" si="16"/>
        <v>0</v>
      </c>
      <c r="R152" s="703" t="s">
        <v>29</v>
      </c>
      <c r="S152" s="24">
        <f>IFERROR(INDEX(Table5[],MATCH($B152,Table5[Component],0),2),0)</f>
        <v>80</v>
      </c>
      <c r="T152" s="813">
        <f>SUMIFS(Table7[Balance],Table7[Cutter Mat'#],$B152)</f>
        <v>0</v>
      </c>
      <c r="U152" s="24">
        <f t="shared" si="17"/>
        <v>-30</v>
      </c>
      <c r="V152" s="119"/>
      <c r="W152" s="2">
        <v>1101509</v>
      </c>
      <c r="Y152" s="4">
        <f>IFERROR(INDEX(Table5[],MATCH($B152,Table5[Component],0),2),0)</f>
        <v>80</v>
      </c>
      <c r="Z152" s="4">
        <f>IFERROR(INDEX(Table5[],MATCH($B152,Table5[Component],0),1),0)</f>
        <v>649901</v>
      </c>
      <c r="AA152" s="4">
        <f>IF(Y152&lt;&gt;0,B152,"")</f>
        <v>649901</v>
      </c>
      <c r="AB152" s="4" t="str">
        <f t="shared" si="18"/>
        <v/>
      </c>
      <c r="AD152" s="4">
        <f t="shared" si="19"/>
        <v>50</v>
      </c>
      <c r="AI152" s="248">
        <f ca="1">IFERROR(INDEX($B$1:$AK$243,MATCH(W152,$B$1:$B$243,0),13),"")</f>
        <v>66</v>
      </c>
      <c r="AJ152" s="248">
        <f ca="1">IFERROR(INDEX($B$1:$AK$243,MATCH(W152,$B$1:$B$243,0),15),"")</f>
        <v>22</v>
      </c>
      <c r="AK152">
        <f>SUMIF($W$2:$W$243,B152,$S$2:$S$243)</f>
        <v>63</v>
      </c>
      <c r="AP152">
        <f t="shared" si="20"/>
        <v>0</v>
      </c>
      <c r="AR152">
        <v>1112229</v>
      </c>
      <c r="AS152">
        <f>SUMIF($B:$B,AR152,$AP:$AP)</f>
        <v>0</v>
      </c>
    </row>
    <row r="153" spans="1:45" ht="15.65" customHeight="1" x14ac:dyDescent="0.35">
      <c r="A153" s="2">
        <v>152</v>
      </c>
      <c r="B153" s="2">
        <v>1129936</v>
      </c>
      <c r="C153" s="2" t="s">
        <v>4366</v>
      </c>
      <c r="D153" s="2" t="s">
        <v>114</v>
      </c>
      <c r="E153" s="2">
        <v>1005</v>
      </c>
      <c r="F153" s="2" t="s">
        <v>248</v>
      </c>
      <c r="G153" s="2" t="s">
        <v>4275</v>
      </c>
      <c r="H153" s="10">
        <f>SUMIFS('Cutters Consumption Updates'!$F:$F,'Cutters Consumption Updates'!$D:$D,H$1,'Cutters Consumption Updates'!$B:$B,$B153)-SUMIFS('Cutters Consumption Updates'!$E:$E,'Cutters Consumption Updates'!$D:$D,H$1,'Cutters Consumption Updates'!$B:$B,$B153)+ SUMIF('Cutters Consumption Updates'!$AS:$AS,$B153,'Cutters Consumption Updates'!AT:AT)</f>
        <v>0</v>
      </c>
      <c r="I153" s="10">
        <f>SUMIFS('Cutters Consumption Updates'!$F:$F,'Cutters Consumption Updates'!$D:$D,I$1,'Cutters Consumption Updates'!$B:$B,$B153)-SUMIFS('Cutters Consumption Updates'!$E:$E,'Cutters Consumption Updates'!$D:$D,I$1,'Cutters Consumption Updates'!$B:$B,$B153)+ SUMIF('Cutters Consumption Updates'!$AS:$AS,$B153,'Cutters Consumption Updates'!AU:AU)</f>
        <v>0</v>
      </c>
      <c r="J153" s="116">
        <f>SUMIFS('Cutters Consumption Updates'!$F:$F,'Cutters Consumption Updates'!$D:$D,J$1,'Cutters Consumption Updates'!$B:$B,$B153)-SUMIFS('Cutters Consumption Updates'!$E:$E,'Cutters Consumption Updates'!$D:$D,J$1,'Cutters Consumption Updates'!$B:$B,$B153)+ SUMIF('Cutters Consumption Updates'!$AS:$AS,$B153,'Cutters Consumption Updates'!AV:AV)</f>
        <v>0</v>
      </c>
      <c r="K153" s="738">
        <f>SUMIFS('Cutters Consumption Updates'!$F:$F,'Cutters Consumption Updates'!$D:$D,K$1,'Cutters Consumption Updates'!$B:$B,$B153)-SUMIFS('Cutters Consumption Updates'!$E:$E,'Cutters Consumption Updates'!$D:$D,K$1,'Cutters Consumption Updates'!$B:$B,$B153)+ SUMIF('Cutters Consumption Updates'!$AS:$AS,$B153,'Cutters Consumption Updates'!AW:AW)</f>
        <v>0</v>
      </c>
      <c r="L153" s="116">
        <f>SUMIFS('Cutters Consumption Updates'!$F:$F,'Cutters Consumption Updates'!$D:$D,L$1,'Cutters Consumption Updates'!$B:$B,$B153)-SUMIFS('Cutters Consumption Updates'!$E:$E,'Cutters Consumption Updates'!$D:$D,$L$1,'Cutters Consumption Updates'!$B:$B,$B153)+SUMIFS('Cutters Consumption Updates'!$F:$F,'Cutters Consumption Updates'!$D:$D,"Retrofit",'Cutters Consumption Updates'!$B:$B,$B153)-SUMIFS('Cutters Consumption Updates'!$E:$E,'Cutters Consumption Updates'!$D:$D,"Retrofit",'Cutters Consumption Updates'!$B:$B,$B153)+ SUMIF('Cutters Consumption Updates'!$AS:$AS,$B153,'Cutters Consumption Updates'!AX:AX)</f>
        <v>28</v>
      </c>
      <c r="M153" s="810">
        <f t="shared" si="14"/>
        <v>28</v>
      </c>
      <c r="N153" s="810">
        <f ca="1">SUMIFS('Cutters Consumption Updates'!E:E,
        'Cutters Consumption Updates'!B:B, B153,
        'Cutters Consumption Updates'!A:A, "&gt;" &amp; TODAY()-182)</f>
        <v>0</v>
      </c>
      <c r="O153" s="810">
        <f ca="1">SUMIFS('Cutters Consumption Updates'!E:E,
        'Cutters Consumption Updates'!B:B, B153,
        'Cutters Consumption Updates'!A:A, "&gt;" &amp; TODAY()-91)</f>
        <v>0</v>
      </c>
      <c r="P153" s="810">
        <f t="shared" ca="1" si="15"/>
        <v>0</v>
      </c>
      <c r="Q153" s="703">
        <f t="shared" ca="1" si="16"/>
        <v>0</v>
      </c>
      <c r="R153" s="703" t="s">
        <v>29</v>
      </c>
      <c r="S153" s="24">
        <f>IFERROR(INDEX(Table5[],MATCH($B153,Table5[Component],0),2),0)</f>
        <v>0</v>
      </c>
      <c r="T153" s="813">
        <f>SUMIFS(Table7[Balance],Table7[Cutter Mat'#],$B153)</f>
        <v>0</v>
      </c>
      <c r="U153" s="24">
        <f t="shared" si="17"/>
        <v>28</v>
      </c>
      <c r="V153" s="119"/>
      <c r="W153" s="2"/>
      <c r="Y153" s="4">
        <f>IFERROR(INDEX(Table5[],MATCH($B153,Table5[Component],0),2),0)</f>
        <v>0</v>
      </c>
      <c r="Z153" s="4">
        <f>IFERROR(INDEX(Table5[],MATCH($B153,Table5[Component],0),1),0)</f>
        <v>1129936</v>
      </c>
      <c r="AA153" s="4" t="str">
        <f>IF(Y153&lt;&gt;0,B153,"")</f>
        <v/>
      </c>
      <c r="AB153" s="4" t="str">
        <f t="shared" si="18"/>
        <v/>
      </c>
      <c r="AD153" s="4">
        <f t="shared" si="19"/>
        <v>28</v>
      </c>
      <c r="AI153" s="248" t="str">
        <f>IFERROR(INDEX($B$1:$AK$243,MATCH(W153,$B$1:$B$243,0),13),"")</f>
        <v/>
      </c>
      <c r="AJ153" s="248" t="str">
        <f>IFERROR(INDEX($B$1:$AK$243,MATCH(W153,$B$1:$B$243,0),15),"")</f>
        <v/>
      </c>
      <c r="AK153">
        <f>SUMIF($W$2:$W$243,B153,$S$2:$S$243)</f>
        <v>0</v>
      </c>
      <c r="AP153">
        <f t="shared" si="20"/>
        <v>0</v>
      </c>
      <c r="AR153">
        <v>1118470</v>
      </c>
      <c r="AS153">
        <f>SUMIF($B:$B,AR153,$AP:$AP)</f>
        <v>0</v>
      </c>
    </row>
    <row r="154" spans="1:45" ht="15.65" customHeight="1" x14ac:dyDescent="0.35">
      <c r="A154" s="2">
        <v>153</v>
      </c>
      <c r="B154" s="2">
        <v>774371</v>
      </c>
      <c r="C154" s="2" t="s">
        <v>4479</v>
      </c>
      <c r="D154" s="2" t="s">
        <v>53</v>
      </c>
      <c r="E154" s="2" t="s">
        <v>911</v>
      </c>
      <c r="F154" s="2" t="s">
        <v>253</v>
      </c>
      <c r="G154" s="2" t="s">
        <v>47</v>
      </c>
      <c r="H154" s="10">
        <f>SUMIFS('Cutters Consumption Updates'!$F:$F,'Cutters Consumption Updates'!$D:$D,H$1,'Cutters Consumption Updates'!$B:$B,$B154)-SUMIFS('Cutters Consumption Updates'!$E:$E,'Cutters Consumption Updates'!$D:$D,H$1,'Cutters Consumption Updates'!$B:$B,$B154)+ SUMIF('Cutters Consumption Updates'!$AS:$AS,$B154,'Cutters Consumption Updates'!AT:AT)</f>
        <v>0</v>
      </c>
      <c r="I154" s="10">
        <f>SUMIFS('Cutters Consumption Updates'!$F:$F,'Cutters Consumption Updates'!$D:$D,I$1,'Cutters Consumption Updates'!$B:$B,$B154)-SUMIFS('Cutters Consumption Updates'!$E:$E,'Cutters Consumption Updates'!$D:$D,I$1,'Cutters Consumption Updates'!$B:$B,$B154)+ SUMIF('Cutters Consumption Updates'!$AS:$AS,$B154,'Cutters Consumption Updates'!AU:AU)</f>
        <v>0</v>
      </c>
      <c r="J154" s="116">
        <f>SUMIFS('Cutters Consumption Updates'!$F:$F,'Cutters Consumption Updates'!$D:$D,J$1,'Cutters Consumption Updates'!$B:$B,$B154)-SUMIFS('Cutters Consumption Updates'!$E:$E,'Cutters Consumption Updates'!$D:$D,J$1,'Cutters Consumption Updates'!$B:$B,$B154)+ SUMIF('Cutters Consumption Updates'!$AS:$AS,$B154,'Cutters Consumption Updates'!AV:AV)</f>
        <v>0</v>
      </c>
      <c r="K154" s="738">
        <f>SUMIFS('Cutters Consumption Updates'!$F:$F,'Cutters Consumption Updates'!$D:$D,K$1,'Cutters Consumption Updates'!$B:$B,$B154)-SUMIFS('Cutters Consumption Updates'!$E:$E,'Cutters Consumption Updates'!$D:$D,K$1,'Cutters Consumption Updates'!$B:$B,$B154)+ SUMIF('Cutters Consumption Updates'!$AS:$AS,$B154,'Cutters Consumption Updates'!AW:AW)</f>
        <v>0</v>
      </c>
      <c r="L154" s="116">
        <f>SUMIFS('Cutters Consumption Updates'!$F:$F,'Cutters Consumption Updates'!$D:$D,L$1,'Cutters Consumption Updates'!$B:$B,$B154)-SUMIFS('Cutters Consumption Updates'!$E:$E,'Cutters Consumption Updates'!$D:$D,$L$1,'Cutters Consumption Updates'!$B:$B,$B154)+SUMIFS('Cutters Consumption Updates'!$F:$F,'Cutters Consumption Updates'!$D:$D,"Retrofit",'Cutters Consumption Updates'!$B:$B,$B154)-SUMIFS('Cutters Consumption Updates'!$E:$E,'Cutters Consumption Updates'!$D:$D,"Retrofit",'Cutters Consumption Updates'!$B:$B,$B154)+ SUMIF('Cutters Consumption Updates'!$AS:$AS,$B154,'Cutters Consumption Updates'!AX:AX)</f>
        <v>0</v>
      </c>
      <c r="M154" s="810">
        <f t="shared" si="14"/>
        <v>0</v>
      </c>
      <c r="N154" s="810">
        <f ca="1">SUMIFS('Cutters Consumption Updates'!E:E,
        'Cutters Consumption Updates'!B:B, B154,
        'Cutters Consumption Updates'!A:A, "&gt;" &amp; TODAY()-182)</f>
        <v>0</v>
      </c>
      <c r="O154" s="810">
        <f ca="1">SUMIFS('Cutters Consumption Updates'!E:E,
        'Cutters Consumption Updates'!B:B, B154,
        'Cutters Consumption Updates'!A:A, "&gt;" &amp; TODAY()-91)</f>
        <v>0</v>
      </c>
      <c r="P154" s="810">
        <f t="shared" ca="1" si="15"/>
        <v>0</v>
      </c>
      <c r="Q154" s="703">
        <f t="shared" ca="1" si="16"/>
        <v>0</v>
      </c>
      <c r="R154" s="703" t="s">
        <v>29</v>
      </c>
      <c r="S154" s="24">
        <f>IFERROR(INDEX(Table5[],MATCH($B154,Table5[Component],0),2),0)</f>
        <v>0</v>
      </c>
      <c r="T154" s="813">
        <f>SUMIFS(Table7[Balance],Table7[Cutter Mat'#],$B154)</f>
        <v>0</v>
      </c>
      <c r="U154" s="24">
        <f t="shared" si="17"/>
        <v>0</v>
      </c>
      <c r="V154" s="119"/>
      <c r="W154" s="2"/>
      <c r="Y154" s="4">
        <f>IFERROR(INDEX(Table5[],MATCH($B154,Table5[Component],0),2),0)</f>
        <v>0</v>
      </c>
      <c r="Z154" s="4">
        <f>IFERROR(INDEX(Table5[],MATCH($B154,Table5[Component],0),1),0)</f>
        <v>0</v>
      </c>
      <c r="AA154" s="4" t="str">
        <f>IF(Y154&lt;&gt;0,B154,"")</f>
        <v/>
      </c>
      <c r="AB154" s="4" t="str">
        <f t="shared" si="18"/>
        <v/>
      </c>
      <c r="AD154" s="4">
        <f t="shared" si="19"/>
        <v>0</v>
      </c>
      <c r="AI154" s="248" t="str">
        <f>IFERROR(INDEX($B$1:$AK$243,MATCH(W154,$B$1:$B$243,0),13),"")</f>
        <v/>
      </c>
      <c r="AJ154" s="248" t="str">
        <f>IFERROR(INDEX($B$1:$AK$243,MATCH(W154,$B$1:$B$243,0),15),"")</f>
        <v/>
      </c>
      <c r="AK154">
        <f>SUMIF($W$2:$W$243,B154,$S$2:$S$243)</f>
        <v>0</v>
      </c>
      <c r="AP154">
        <f t="shared" si="20"/>
        <v>0</v>
      </c>
      <c r="AR154">
        <v>1118517</v>
      </c>
      <c r="AS154">
        <f>SUMIF($B:$B,AR154,$AP:$AP)</f>
        <v>0</v>
      </c>
    </row>
    <row r="155" spans="1:45" ht="15.65" customHeight="1" x14ac:dyDescent="0.35">
      <c r="A155" s="2">
        <v>154</v>
      </c>
      <c r="B155" s="2">
        <v>1078371</v>
      </c>
      <c r="C155" s="2" t="s">
        <v>4367</v>
      </c>
      <c r="D155" s="2" t="s">
        <v>4501</v>
      </c>
      <c r="E155" s="2" t="s">
        <v>38</v>
      </c>
      <c r="F155" s="2" t="s">
        <v>103</v>
      </c>
      <c r="G155" s="2" t="s">
        <v>36</v>
      </c>
      <c r="H155" s="10">
        <f>SUMIFS('Cutters Consumption Updates'!$F:$F,'Cutters Consumption Updates'!$D:$D,H$1,'Cutters Consumption Updates'!$B:$B,$B155)-SUMIFS('Cutters Consumption Updates'!$E:$E,'Cutters Consumption Updates'!$D:$D,H$1,'Cutters Consumption Updates'!$B:$B,$B155)+ SUMIF('Cutters Consumption Updates'!$AS:$AS,$B155,'Cutters Consumption Updates'!AT:AT)</f>
        <v>0</v>
      </c>
      <c r="I155" s="10">
        <f>SUMIFS('Cutters Consumption Updates'!$F:$F,'Cutters Consumption Updates'!$D:$D,I$1,'Cutters Consumption Updates'!$B:$B,$B155)-SUMIFS('Cutters Consumption Updates'!$E:$E,'Cutters Consumption Updates'!$D:$D,I$1,'Cutters Consumption Updates'!$B:$B,$B155)+ SUMIF('Cutters Consumption Updates'!$AS:$AS,$B155,'Cutters Consumption Updates'!AU:AU)</f>
        <v>0</v>
      </c>
      <c r="J155" s="116">
        <f>SUMIFS('Cutters Consumption Updates'!$F:$F,'Cutters Consumption Updates'!$D:$D,J$1,'Cutters Consumption Updates'!$B:$B,$B155)-SUMIFS('Cutters Consumption Updates'!$E:$E,'Cutters Consumption Updates'!$D:$D,J$1,'Cutters Consumption Updates'!$B:$B,$B155)+ SUMIF('Cutters Consumption Updates'!$AS:$AS,$B155,'Cutters Consumption Updates'!AV:AV)</f>
        <v>0</v>
      </c>
      <c r="K155" s="738">
        <f>SUMIFS('Cutters Consumption Updates'!$F:$F,'Cutters Consumption Updates'!$D:$D,K$1,'Cutters Consumption Updates'!$B:$B,$B155)-SUMIFS('Cutters Consumption Updates'!$E:$E,'Cutters Consumption Updates'!$D:$D,K$1,'Cutters Consumption Updates'!$B:$B,$B155)+ SUMIF('Cutters Consumption Updates'!$AS:$AS,$B155,'Cutters Consumption Updates'!AW:AW)</f>
        <v>10</v>
      </c>
      <c r="L155" s="116">
        <f>SUMIFS('Cutters Consumption Updates'!$F:$F,'Cutters Consumption Updates'!$D:$D,L$1,'Cutters Consumption Updates'!$B:$B,$B155)-SUMIFS('Cutters Consumption Updates'!$E:$E,'Cutters Consumption Updates'!$D:$D,$L$1,'Cutters Consumption Updates'!$B:$B,$B155)+SUMIFS('Cutters Consumption Updates'!$F:$F,'Cutters Consumption Updates'!$D:$D,"Retrofit",'Cutters Consumption Updates'!$B:$B,$B155)-SUMIFS('Cutters Consumption Updates'!$E:$E,'Cutters Consumption Updates'!$D:$D,"Retrofit",'Cutters Consumption Updates'!$B:$B,$B155)+ SUMIF('Cutters Consumption Updates'!$AS:$AS,$B155,'Cutters Consumption Updates'!AX:AX)</f>
        <v>0</v>
      </c>
      <c r="M155" s="810">
        <f t="shared" si="14"/>
        <v>0</v>
      </c>
      <c r="N155" s="810">
        <f ca="1">SUMIFS('Cutters Consumption Updates'!E:E,
        'Cutters Consumption Updates'!B:B, B155,
        'Cutters Consumption Updates'!A:A, "&gt;" &amp; TODAY()-182)</f>
        <v>0</v>
      </c>
      <c r="O155" s="810">
        <f ca="1">SUMIFS('Cutters Consumption Updates'!E:E,
        'Cutters Consumption Updates'!B:B, B155,
        'Cutters Consumption Updates'!A:A, "&gt;" &amp; TODAY()-91)</f>
        <v>0</v>
      </c>
      <c r="P155" s="810">
        <f t="shared" ca="1" si="15"/>
        <v>0</v>
      </c>
      <c r="Q155" s="703">
        <f t="shared" ca="1" si="16"/>
        <v>0</v>
      </c>
      <c r="R155" s="703" t="s">
        <v>29</v>
      </c>
      <c r="S155" s="24">
        <f>IFERROR(INDEX(Table5[],MATCH($B155,Table5[Component],0),2),0)</f>
        <v>0</v>
      </c>
      <c r="T155" s="813">
        <f>SUMIFS(Table7[Balance],Table7[Cutter Mat'#],$B155)</f>
        <v>0</v>
      </c>
      <c r="U155" s="24">
        <f t="shared" si="17"/>
        <v>0</v>
      </c>
      <c r="V155" s="119"/>
      <c r="W155" s="2"/>
      <c r="Y155" s="4">
        <f>IFERROR(INDEX(Table5[],MATCH($B155,Table5[Component],0),2),0)</f>
        <v>0</v>
      </c>
      <c r="Z155" s="4">
        <f>IFERROR(INDEX(Table5[],MATCH($B155,Table5[Component],0),1),0)</f>
        <v>1078371</v>
      </c>
      <c r="AA155" s="4" t="str">
        <f>IF(Y155&lt;&gt;0,B155,"")</f>
        <v/>
      </c>
      <c r="AB155" s="4" t="str">
        <f t="shared" si="18"/>
        <v/>
      </c>
      <c r="AD155" s="4">
        <f t="shared" si="19"/>
        <v>0</v>
      </c>
      <c r="AI155" s="248" t="str">
        <f>IFERROR(INDEX($B$1:$AK$243,MATCH(W155,$B$1:$B$243,0),13),"")</f>
        <v/>
      </c>
      <c r="AJ155" s="248" t="str">
        <f>IFERROR(INDEX($B$1:$AK$243,MATCH(W155,$B$1:$B$243,0),15),"")</f>
        <v/>
      </c>
      <c r="AK155">
        <f>SUMIF($W$2:$W$243,B155,$S$2:$S$243)</f>
        <v>0</v>
      </c>
      <c r="AP155">
        <f t="shared" si="20"/>
        <v>0</v>
      </c>
      <c r="AR155">
        <v>1123324</v>
      </c>
      <c r="AS155">
        <f>SUMIF($B:$B,AR155,$AP:$AP)</f>
        <v>0</v>
      </c>
    </row>
    <row r="156" spans="1:45" ht="15.65" customHeight="1" x14ac:dyDescent="0.35">
      <c r="A156" s="2">
        <v>155</v>
      </c>
      <c r="B156" s="2">
        <v>1181761</v>
      </c>
      <c r="C156" s="2" t="s">
        <v>4368</v>
      </c>
      <c r="D156" s="2" t="s">
        <v>145</v>
      </c>
      <c r="E156" s="2">
        <v>1608</v>
      </c>
      <c r="F156" s="2" t="s">
        <v>253</v>
      </c>
      <c r="G156" s="2" t="s">
        <v>4336</v>
      </c>
      <c r="H156" s="10">
        <f>SUMIFS('Cutters Consumption Updates'!$F:$F,'Cutters Consumption Updates'!$D:$D,H$1,'Cutters Consumption Updates'!$B:$B,$B156)-SUMIFS('Cutters Consumption Updates'!$E:$E,'Cutters Consumption Updates'!$D:$D,H$1,'Cutters Consumption Updates'!$B:$B,$B156)+ SUMIF('Cutters Consumption Updates'!$AS:$AS,$B156,'Cutters Consumption Updates'!AT:AT)</f>
        <v>0</v>
      </c>
      <c r="I156" s="10">
        <f>SUMIFS('Cutters Consumption Updates'!$F:$F,'Cutters Consumption Updates'!$D:$D,I$1,'Cutters Consumption Updates'!$B:$B,$B156)-SUMIFS('Cutters Consumption Updates'!$E:$E,'Cutters Consumption Updates'!$D:$D,I$1,'Cutters Consumption Updates'!$B:$B,$B156)+ SUMIF('Cutters Consumption Updates'!$AS:$AS,$B156,'Cutters Consumption Updates'!AU:AU)</f>
        <v>0</v>
      </c>
      <c r="J156" s="116">
        <f>SUMIFS('Cutters Consumption Updates'!$F:$F,'Cutters Consumption Updates'!$D:$D,J$1,'Cutters Consumption Updates'!$B:$B,$B156)-SUMIFS('Cutters Consumption Updates'!$E:$E,'Cutters Consumption Updates'!$D:$D,J$1,'Cutters Consumption Updates'!$B:$B,$B156)+ SUMIF('Cutters Consumption Updates'!$AS:$AS,$B156,'Cutters Consumption Updates'!AV:AV)</f>
        <v>0</v>
      </c>
      <c r="K156" s="738">
        <f>SUMIFS('Cutters Consumption Updates'!$F:$F,'Cutters Consumption Updates'!$D:$D,K$1,'Cutters Consumption Updates'!$B:$B,$B156)-SUMIFS('Cutters Consumption Updates'!$E:$E,'Cutters Consumption Updates'!$D:$D,K$1,'Cutters Consumption Updates'!$B:$B,$B156)+ SUMIF('Cutters Consumption Updates'!$AS:$AS,$B156,'Cutters Consumption Updates'!AW:AW)</f>
        <v>0</v>
      </c>
      <c r="L156" s="116">
        <f>SUMIFS('Cutters Consumption Updates'!$F:$F,'Cutters Consumption Updates'!$D:$D,L$1,'Cutters Consumption Updates'!$B:$B,$B156)-SUMIFS('Cutters Consumption Updates'!$E:$E,'Cutters Consumption Updates'!$D:$D,$L$1,'Cutters Consumption Updates'!$B:$B,$B156)+SUMIFS('Cutters Consumption Updates'!$F:$F,'Cutters Consumption Updates'!$D:$D,"Retrofit",'Cutters Consumption Updates'!$B:$B,$B156)-SUMIFS('Cutters Consumption Updates'!$E:$E,'Cutters Consumption Updates'!$D:$D,"Retrofit",'Cutters Consumption Updates'!$B:$B,$B156)+ SUMIF('Cutters Consumption Updates'!$AS:$AS,$B156,'Cutters Consumption Updates'!AX:AX)</f>
        <v>9</v>
      </c>
      <c r="M156" s="810">
        <f t="shared" si="14"/>
        <v>9</v>
      </c>
      <c r="N156" s="810">
        <f ca="1">SUMIFS('Cutters Consumption Updates'!E:E,
        'Cutters Consumption Updates'!B:B, B156,
        'Cutters Consumption Updates'!A:A, "&gt;" &amp; TODAY()-182)</f>
        <v>0</v>
      </c>
      <c r="O156" s="810">
        <f ca="1">SUMIFS('Cutters Consumption Updates'!E:E,
        'Cutters Consumption Updates'!B:B, B156,
        'Cutters Consumption Updates'!A:A, "&gt;" &amp; TODAY()-91)</f>
        <v>0</v>
      </c>
      <c r="P156" s="810">
        <f t="shared" ca="1" si="15"/>
        <v>0</v>
      </c>
      <c r="Q156" s="703">
        <f t="shared" ca="1" si="16"/>
        <v>0</v>
      </c>
      <c r="R156" s="703" t="s">
        <v>29</v>
      </c>
      <c r="S156" s="24">
        <f>IFERROR(INDEX(Table5[],MATCH($B156,Table5[Component],0),2),0)</f>
        <v>0</v>
      </c>
      <c r="T156" s="813">
        <f>SUMIFS(Table7[Balance],Table7[Cutter Mat'#],$B156)</f>
        <v>0</v>
      </c>
      <c r="U156" s="24">
        <f t="shared" si="17"/>
        <v>9</v>
      </c>
      <c r="V156" s="119"/>
      <c r="W156" s="2"/>
      <c r="Y156" s="4">
        <f>IFERROR(INDEX(Table5[],MATCH($B156,Table5[Component],0),2),0)</f>
        <v>0</v>
      </c>
      <c r="Z156" s="4">
        <f>IFERROR(INDEX(Table5[],MATCH($B156,Table5[Component],0),1),0)</f>
        <v>1181761</v>
      </c>
      <c r="AA156" s="4" t="str">
        <f>IF(Y156&lt;&gt;0,B156,"")</f>
        <v/>
      </c>
      <c r="AB156" s="4" t="str">
        <f t="shared" si="18"/>
        <v/>
      </c>
      <c r="AD156" s="4">
        <f t="shared" si="19"/>
        <v>9</v>
      </c>
      <c r="AI156" s="248" t="str">
        <f>IFERROR(INDEX($B$1:$AK$243,MATCH(W156,$B$1:$B$243,0),13),"")</f>
        <v/>
      </c>
      <c r="AJ156" s="248" t="str">
        <f>IFERROR(INDEX($B$1:$AK$243,MATCH(W156,$B$1:$B$243,0),15),"")</f>
        <v/>
      </c>
      <c r="AK156">
        <f>SUMIF($W$2:$W$243,B156,$S$2:$S$243)</f>
        <v>0</v>
      </c>
      <c r="AP156">
        <f t="shared" si="20"/>
        <v>0</v>
      </c>
      <c r="AR156">
        <v>1126398</v>
      </c>
      <c r="AS156">
        <f>SUMIF($B:$B,AR156,$AP:$AP)</f>
        <v>0</v>
      </c>
    </row>
    <row r="157" spans="1:45" ht="15.65" customHeight="1" x14ac:dyDescent="0.35">
      <c r="A157" s="2">
        <v>156</v>
      </c>
      <c r="B157" s="2">
        <v>1176639</v>
      </c>
      <c r="C157" s="2" t="s">
        <v>4480</v>
      </c>
      <c r="D157" s="2" t="s">
        <v>145</v>
      </c>
      <c r="E157" s="2">
        <v>1308</v>
      </c>
      <c r="F157" s="2" t="s">
        <v>253</v>
      </c>
      <c r="G157" s="2" t="s">
        <v>4336</v>
      </c>
      <c r="H157" s="10">
        <f>SUMIFS('Cutters Consumption Updates'!$F:$F,'Cutters Consumption Updates'!$D:$D,H$1,'Cutters Consumption Updates'!$B:$B,$B157)-SUMIFS('Cutters Consumption Updates'!$E:$E,'Cutters Consumption Updates'!$D:$D,H$1,'Cutters Consumption Updates'!$B:$B,$B157)+ SUMIF('Cutters Consumption Updates'!$AS:$AS,$B157,'Cutters Consumption Updates'!AT:AT)</f>
        <v>0</v>
      </c>
      <c r="I157" s="10">
        <f>SUMIFS('Cutters Consumption Updates'!$F:$F,'Cutters Consumption Updates'!$D:$D,I$1,'Cutters Consumption Updates'!$B:$B,$B157)-SUMIFS('Cutters Consumption Updates'!$E:$E,'Cutters Consumption Updates'!$D:$D,I$1,'Cutters Consumption Updates'!$B:$B,$B157)+ SUMIF('Cutters Consumption Updates'!$AS:$AS,$B157,'Cutters Consumption Updates'!AU:AU)</f>
        <v>0</v>
      </c>
      <c r="J157" s="116">
        <f>SUMIFS('Cutters Consumption Updates'!$F:$F,'Cutters Consumption Updates'!$D:$D,J$1,'Cutters Consumption Updates'!$B:$B,$B157)-SUMIFS('Cutters Consumption Updates'!$E:$E,'Cutters Consumption Updates'!$D:$D,J$1,'Cutters Consumption Updates'!$B:$B,$B157)+ SUMIF('Cutters Consumption Updates'!$AS:$AS,$B157,'Cutters Consumption Updates'!AV:AV)</f>
        <v>0</v>
      </c>
      <c r="K157" s="738">
        <f>SUMIFS('Cutters Consumption Updates'!$F:$F,'Cutters Consumption Updates'!$D:$D,K$1,'Cutters Consumption Updates'!$B:$B,$B157)-SUMIFS('Cutters Consumption Updates'!$E:$E,'Cutters Consumption Updates'!$D:$D,K$1,'Cutters Consumption Updates'!$B:$B,$B157)+ SUMIF('Cutters Consumption Updates'!$AS:$AS,$B157,'Cutters Consumption Updates'!AW:AW)</f>
        <v>0</v>
      </c>
      <c r="L157" s="116">
        <f>SUMIFS('Cutters Consumption Updates'!$F:$F,'Cutters Consumption Updates'!$D:$D,L$1,'Cutters Consumption Updates'!$B:$B,$B157)-SUMIFS('Cutters Consumption Updates'!$E:$E,'Cutters Consumption Updates'!$D:$D,$L$1,'Cutters Consumption Updates'!$B:$B,$B157)+SUMIFS('Cutters Consumption Updates'!$F:$F,'Cutters Consumption Updates'!$D:$D,"Retrofit",'Cutters Consumption Updates'!$B:$B,$B157)-SUMIFS('Cutters Consumption Updates'!$E:$E,'Cutters Consumption Updates'!$D:$D,"Retrofit",'Cutters Consumption Updates'!$B:$B,$B157)+ SUMIF('Cutters Consumption Updates'!$AS:$AS,$B157,'Cutters Consumption Updates'!AX:AX)</f>
        <v>0</v>
      </c>
      <c r="M157" s="810">
        <f t="shared" si="14"/>
        <v>0</v>
      </c>
      <c r="N157" s="810">
        <f ca="1">SUMIFS('Cutters Consumption Updates'!E:E,
        'Cutters Consumption Updates'!B:B, B157,
        'Cutters Consumption Updates'!A:A, "&gt;" &amp; TODAY()-182)</f>
        <v>0</v>
      </c>
      <c r="O157" s="810">
        <f ca="1">SUMIFS('Cutters Consumption Updates'!E:E,
        'Cutters Consumption Updates'!B:B, B157,
        'Cutters Consumption Updates'!A:A, "&gt;" &amp; TODAY()-91)</f>
        <v>0</v>
      </c>
      <c r="P157" s="810">
        <f t="shared" ca="1" si="15"/>
        <v>0</v>
      </c>
      <c r="Q157" s="703">
        <f t="shared" ca="1" si="16"/>
        <v>0</v>
      </c>
      <c r="R157" s="703" t="s">
        <v>29</v>
      </c>
      <c r="S157" s="24">
        <f>IFERROR(INDEX(Table5[],MATCH($B157,Table5[Component],0),2),0)</f>
        <v>0</v>
      </c>
      <c r="T157" s="813">
        <f>SUMIFS(Table7[Balance],Table7[Cutter Mat'#],$B157)</f>
        <v>0</v>
      </c>
      <c r="U157" s="24">
        <f t="shared" si="17"/>
        <v>0</v>
      </c>
      <c r="V157" s="119"/>
      <c r="W157" s="2"/>
      <c r="Y157" s="4">
        <f>IFERROR(INDEX(Table5[],MATCH($B157,Table5[Component],0),2),0)</f>
        <v>0</v>
      </c>
      <c r="Z157" s="4">
        <f>IFERROR(INDEX(Table5[],MATCH($B157,Table5[Component],0),1),0)</f>
        <v>0</v>
      </c>
      <c r="AA157" s="4" t="str">
        <f>IF(Y157&lt;&gt;0,B157,"")</f>
        <v/>
      </c>
      <c r="AB157" s="4" t="str">
        <f t="shared" si="18"/>
        <v/>
      </c>
      <c r="AD157" s="4">
        <f t="shared" si="19"/>
        <v>0</v>
      </c>
      <c r="AI157" s="248" t="str">
        <f>IFERROR(INDEX($B$1:$AK$243,MATCH(W157,$B$1:$B$243,0),13),"")</f>
        <v/>
      </c>
      <c r="AJ157" s="248" t="str">
        <f>IFERROR(INDEX($B$1:$AK$243,MATCH(W157,$B$1:$B$243,0),15),"")</f>
        <v/>
      </c>
      <c r="AK157">
        <f>SUMIF($W$2:$W$243,B157,$S$2:$S$243)</f>
        <v>0</v>
      </c>
      <c r="AP157">
        <f t="shared" si="20"/>
        <v>0</v>
      </c>
      <c r="AR157">
        <v>1126400</v>
      </c>
      <c r="AS157">
        <f>SUMIF($B:$B,AR157,$AP:$AP)</f>
        <v>0</v>
      </c>
    </row>
    <row r="158" spans="1:45" ht="15.65" customHeight="1" x14ac:dyDescent="0.35">
      <c r="A158" s="2">
        <v>157</v>
      </c>
      <c r="B158" s="2">
        <v>1039057</v>
      </c>
      <c r="C158" s="2" t="s">
        <v>4369</v>
      </c>
      <c r="D158" s="2" t="s">
        <v>88</v>
      </c>
      <c r="E158" s="2">
        <v>1608</v>
      </c>
      <c r="F158" s="2" t="s">
        <v>248</v>
      </c>
      <c r="G158" s="2" t="s">
        <v>4275</v>
      </c>
      <c r="H158" s="10">
        <f>SUMIFS('Cutters Consumption Updates'!$F:$F,'Cutters Consumption Updates'!$D:$D,H$1,'Cutters Consumption Updates'!$B:$B,$B158)-SUMIFS('Cutters Consumption Updates'!$E:$E,'Cutters Consumption Updates'!$D:$D,H$1,'Cutters Consumption Updates'!$B:$B,$B158)+ SUMIF('Cutters Consumption Updates'!$AS:$AS,$B158,'Cutters Consumption Updates'!AT:AT)</f>
        <v>0</v>
      </c>
      <c r="I158" s="10">
        <f>SUMIFS('Cutters Consumption Updates'!$F:$F,'Cutters Consumption Updates'!$D:$D,I$1,'Cutters Consumption Updates'!$B:$B,$B158)-SUMIFS('Cutters Consumption Updates'!$E:$E,'Cutters Consumption Updates'!$D:$D,I$1,'Cutters Consumption Updates'!$B:$B,$B158)+ SUMIF('Cutters Consumption Updates'!$AS:$AS,$B158,'Cutters Consumption Updates'!AU:AU)</f>
        <v>0</v>
      </c>
      <c r="J158" s="116">
        <f>SUMIFS('Cutters Consumption Updates'!$F:$F,'Cutters Consumption Updates'!$D:$D,J$1,'Cutters Consumption Updates'!$B:$B,$B158)-SUMIFS('Cutters Consumption Updates'!$E:$E,'Cutters Consumption Updates'!$D:$D,J$1,'Cutters Consumption Updates'!$B:$B,$B158)+ SUMIF('Cutters Consumption Updates'!$AS:$AS,$B158,'Cutters Consumption Updates'!AV:AV)</f>
        <v>0</v>
      </c>
      <c r="K158" s="738">
        <f>SUMIFS('Cutters Consumption Updates'!$F:$F,'Cutters Consumption Updates'!$D:$D,K$1,'Cutters Consumption Updates'!$B:$B,$B158)-SUMIFS('Cutters Consumption Updates'!$E:$E,'Cutters Consumption Updates'!$D:$D,K$1,'Cutters Consumption Updates'!$B:$B,$B158)+ SUMIF('Cutters Consumption Updates'!$AS:$AS,$B158,'Cutters Consumption Updates'!AW:AW)</f>
        <v>0</v>
      </c>
      <c r="L158" s="116">
        <f>SUMIFS('Cutters Consumption Updates'!$F:$F,'Cutters Consumption Updates'!$D:$D,L$1,'Cutters Consumption Updates'!$B:$B,$B158)-SUMIFS('Cutters Consumption Updates'!$E:$E,'Cutters Consumption Updates'!$D:$D,$L$1,'Cutters Consumption Updates'!$B:$B,$B158)+SUMIFS('Cutters Consumption Updates'!$F:$F,'Cutters Consumption Updates'!$D:$D,"Retrofit",'Cutters Consumption Updates'!$B:$B,$B158)-SUMIFS('Cutters Consumption Updates'!$E:$E,'Cutters Consumption Updates'!$D:$D,"Retrofit",'Cutters Consumption Updates'!$B:$B,$B158)+ SUMIF('Cutters Consumption Updates'!$AS:$AS,$B158,'Cutters Consumption Updates'!AX:AX)</f>
        <v>6</v>
      </c>
      <c r="M158" s="810">
        <f t="shared" si="14"/>
        <v>6</v>
      </c>
      <c r="N158" s="810">
        <f ca="1">SUMIFS('Cutters Consumption Updates'!E:E,
        'Cutters Consumption Updates'!B:B, B158,
        'Cutters Consumption Updates'!A:A, "&gt;" &amp; TODAY()-182)</f>
        <v>6</v>
      </c>
      <c r="O158" s="810">
        <f ca="1">SUMIFS('Cutters Consumption Updates'!E:E,
        'Cutters Consumption Updates'!B:B, B158,
        'Cutters Consumption Updates'!A:A, "&gt;" &amp; TODAY()-91)</f>
        <v>6</v>
      </c>
      <c r="P158" s="810">
        <f t="shared" ca="1" si="15"/>
        <v>2</v>
      </c>
      <c r="Q158" s="703">
        <f t="shared" ca="1" si="16"/>
        <v>5</v>
      </c>
      <c r="R158" s="703" t="s">
        <v>29</v>
      </c>
      <c r="S158" s="24">
        <f>IFERROR(INDEX(Table5[],MATCH($B158,Table5[Component],0),2),0)</f>
        <v>0</v>
      </c>
      <c r="T158" s="813">
        <f>SUMIFS(Table7[Balance],Table7[Cutter Mat'#],$B158)</f>
        <v>0</v>
      </c>
      <c r="U158" s="24">
        <f t="shared" si="17"/>
        <v>6</v>
      </c>
      <c r="V158" s="119"/>
      <c r="W158" s="2"/>
      <c r="Y158" s="4">
        <f>IFERROR(INDEX(Table5[],MATCH($B158,Table5[Component],0),2),0)</f>
        <v>0</v>
      </c>
      <c r="Z158" s="4">
        <f>IFERROR(INDEX(Table5[],MATCH($B158,Table5[Component],0),1),0)</f>
        <v>1039057</v>
      </c>
      <c r="AA158" s="4" t="str">
        <f>IF(Y158&lt;&gt;0,B158,"")</f>
        <v/>
      </c>
      <c r="AB158" s="4" t="str">
        <f t="shared" si="18"/>
        <v/>
      </c>
      <c r="AD158" s="4">
        <f t="shared" si="19"/>
        <v>6</v>
      </c>
      <c r="AI158" s="248" t="str">
        <f>IFERROR(INDEX($B$1:$AK$243,MATCH(W158,$B$1:$B$243,0),13),"")</f>
        <v/>
      </c>
      <c r="AJ158" s="248" t="str">
        <f>IFERROR(INDEX($B$1:$AK$243,MATCH(W158,$B$1:$B$243,0),15),"")</f>
        <v/>
      </c>
      <c r="AK158">
        <f>SUMIF($W$2:$W$243,B158,$S$2:$S$243)</f>
        <v>0</v>
      </c>
      <c r="AP158">
        <f t="shared" si="20"/>
        <v>0</v>
      </c>
      <c r="AR158">
        <v>1126402</v>
      </c>
      <c r="AS158">
        <f>SUMIF($B:$B,AR158,$AP:$AP)</f>
        <v>0</v>
      </c>
    </row>
    <row r="159" spans="1:45" ht="15.65" customHeight="1" x14ac:dyDescent="0.35">
      <c r="A159" s="2">
        <v>158</v>
      </c>
      <c r="B159" s="2">
        <v>976360</v>
      </c>
      <c r="C159" s="2" t="s">
        <v>4370</v>
      </c>
      <c r="D159" s="2" t="s">
        <v>4244</v>
      </c>
      <c r="E159" s="2">
        <v>1608</v>
      </c>
      <c r="F159" s="2" t="s">
        <v>248</v>
      </c>
      <c r="G159" s="2" t="s">
        <v>49</v>
      </c>
      <c r="H159" s="10">
        <f>SUMIFS('Cutters Consumption Updates'!$F:$F,'Cutters Consumption Updates'!$D:$D,H$1,'Cutters Consumption Updates'!$B:$B,$B159)-SUMIFS('Cutters Consumption Updates'!$E:$E,'Cutters Consumption Updates'!$D:$D,H$1,'Cutters Consumption Updates'!$B:$B,$B159)+ SUMIF('Cutters Consumption Updates'!$AS:$AS,$B159,'Cutters Consumption Updates'!AT:AT)</f>
        <v>0</v>
      </c>
      <c r="I159" s="10">
        <f>SUMIFS('Cutters Consumption Updates'!$F:$F,'Cutters Consumption Updates'!$D:$D,I$1,'Cutters Consumption Updates'!$B:$B,$B159)-SUMIFS('Cutters Consumption Updates'!$E:$E,'Cutters Consumption Updates'!$D:$D,I$1,'Cutters Consumption Updates'!$B:$B,$B159)+ SUMIF('Cutters Consumption Updates'!$AS:$AS,$B159,'Cutters Consumption Updates'!AU:AU)</f>
        <v>0</v>
      </c>
      <c r="J159" s="116">
        <f>SUMIFS('Cutters Consumption Updates'!$F:$F,'Cutters Consumption Updates'!$D:$D,J$1,'Cutters Consumption Updates'!$B:$B,$B159)-SUMIFS('Cutters Consumption Updates'!$E:$E,'Cutters Consumption Updates'!$D:$D,J$1,'Cutters Consumption Updates'!$B:$B,$B159)+ SUMIF('Cutters Consumption Updates'!$AS:$AS,$B159,'Cutters Consumption Updates'!AV:AV)</f>
        <v>0</v>
      </c>
      <c r="K159" s="738">
        <f>SUMIFS('Cutters Consumption Updates'!$F:$F,'Cutters Consumption Updates'!$D:$D,K$1,'Cutters Consumption Updates'!$B:$B,$B159)-SUMIFS('Cutters Consumption Updates'!$E:$E,'Cutters Consumption Updates'!$D:$D,K$1,'Cutters Consumption Updates'!$B:$B,$B159)+ SUMIF('Cutters Consumption Updates'!$AS:$AS,$B159,'Cutters Consumption Updates'!AW:AW)</f>
        <v>0</v>
      </c>
      <c r="L159" s="116">
        <f>SUMIFS('Cutters Consumption Updates'!$F:$F,'Cutters Consumption Updates'!$D:$D,L$1,'Cutters Consumption Updates'!$B:$B,$B159)-SUMIFS('Cutters Consumption Updates'!$E:$E,'Cutters Consumption Updates'!$D:$D,$L$1,'Cutters Consumption Updates'!$B:$B,$B159)+SUMIFS('Cutters Consumption Updates'!$F:$F,'Cutters Consumption Updates'!$D:$D,"Retrofit",'Cutters Consumption Updates'!$B:$B,$B159)-SUMIFS('Cutters Consumption Updates'!$E:$E,'Cutters Consumption Updates'!$D:$D,"Retrofit",'Cutters Consumption Updates'!$B:$B,$B159)+ SUMIF('Cutters Consumption Updates'!$AS:$AS,$B159,'Cutters Consumption Updates'!AX:AX)</f>
        <v>11</v>
      </c>
      <c r="M159" s="810">
        <f t="shared" si="14"/>
        <v>11</v>
      </c>
      <c r="N159" s="810">
        <f ca="1">SUMIFS('Cutters Consumption Updates'!E:E,
        'Cutters Consumption Updates'!B:B, B159,
        'Cutters Consumption Updates'!A:A, "&gt;" &amp; TODAY()-182)</f>
        <v>0</v>
      </c>
      <c r="O159" s="810">
        <f ca="1">SUMIFS('Cutters Consumption Updates'!E:E,
        'Cutters Consumption Updates'!B:B, B159,
        'Cutters Consumption Updates'!A:A, "&gt;" &amp; TODAY()-91)</f>
        <v>0</v>
      </c>
      <c r="P159" s="810">
        <f t="shared" ca="1" si="15"/>
        <v>0</v>
      </c>
      <c r="Q159" s="703">
        <f t="shared" ca="1" si="16"/>
        <v>0</v>
      </c>
      <c r="R159" s="703" t="s">
        <v>29</v>
      </c>
      <c r="S159" s="24">
        <f>IFERROR(INDEX(Table5[],MATCH($B159,Table5[Component],0),2),0)</f>
        <v>0</v>
      </c>
      <c r="T159" s="813">
        <f>SUMIFS(Table7[Balance],Table7[Cutter Mat'#],$B159)</f>
        <v>0</v>
      </c>
      <c r="U159" s="24">
        <f t="shared" si="17"/>
        <v>11</v>
      </c>
      <c r="V159" s="119"/>
      <c r="W159" s="2"/>
      <c r="Y159" s="4">
        <f>IFERROR(INDEX(Table5[],MATCH($B159,Table5[Component],0),2),0)</f>
        <v>0</v>
      </c>
      <c r="Z159" s="4">
        <f>IFERROR(INDEX(Table5[],MATCH($B159,Table5[Component],0),1),0)</f>
        <v>0</v>
      </c>
      <c r="AA159" s="4" t="str">
        <f>IF(Y159&lt;&gt;0,B159,"")</f>
        <v/>
      </c>
      <c r="AB159" s="4" t="str">
        <f t="shared" si="18"/>
        <v/>
      </c>
      <c r="AD159" s="4">
        <f t="shared" si="19"/>
        <v>11</v>
      </c>
      <c r="AI159" s="248" t="str">
        <f>IFERROR(INDEX($B$1:$AK$243,MATCH(W159,$B$1:$B$243,0),13),"")</f>
        <v/>
      </c>
      <c r="AJ159" s="248" t="str">
        <f>IFERROR(INDEX($B$1:$AK$243,MATCH(W159,$B$1:$B$243,0),15),"")</f>
        <v/>
      </c>
      <c r="AK159">
        <f>SUMIF($W$2:$W$243,B159,$S$2:$S$243)</f>
        <v>0</v>
      </c>
      <c r="AP159">
        <f t="shared" si="20"/>
        <v>0</v>
      </c>
      <c r="AR159">
        <v>1126404</v>
      </c>
      <c r="AS159">
        <f>SUMIF($B:$B,AR159,$AP:$AP)</f>
        <v>0</v>
      </c>
    </row>
    <row r="160" spans="1:45" ht="15.65" customHeight="1" x14ac:dyDescent="0.35">
      <c r="A160" s="2">
        <v>159</v>
      </c>
      <c r="B160" s="3">
        <v>1130193</v>
      </c>
      <c r="C160" s="2" t="s">
        <v>4481</v>
      </c>
      <c r="D160" s="2" t="s">
        <v>114</v>
      </c>
      <c r="E160" s="2">
        <v>1005</v>
      </c>
      <c r="F160" s="2" t="s">
        <v>253</v>
      </c>
      <c r="G160" s="2" t="s">
        <v>4275</v>
      </c>
      <c r="H160" s="10">
        <f>SUMIFS('Cutters Consumption Updates'!$F:$F,'Cutters Consumption Updates'!$D:$D,H$1,'Cutters Consumption Updates'!$B:$B,$B160)-SUMIFS('Cutters Consumption Updates'!$E:$E,'Cutters Consumption Updates'!$D:$D,H$1,'Cutters Consumption Updates'!$B:$B,$B160)+ SUMIF('Cutters Consumption Updates'!$AS:$AS,$B160,'Cutters Consumption Updates'!AT:AT)</f>
        <v>0</v>
      </c>
      <c r="I160" s="10">
        <f>SUMIFS('Cutters Consumption Updates'!$F:$F,'Cutters Consumption Updates'!$D:$D,I$1,'Cutters Consumption Updates'!$B:$B,$B160)-SUMIFS('Cutters Consumption Updates'!$E:$E,'Cutters Consumption Updates'!$D:$D,I$1,'Cutters Consumption Updates'!$B:$B,$B160)+ SUMIF('Cutters Consumption Updates'!$AS:$AS,$B160,'Cutters Consumption Updates'!AU:AU)</f>
        <v>0</v>
      </c>
      <c r="J160" s="116">
        <f>SUMIFS('Cutters Consumption Updates'!$F:$F,'Cutters Consumption Updates'!$D:$D,J$1,'Cutters Consumption Updates'!$B:$B,$B160)-SUMIFS('Cutters Consumption Updates'!$E:$E,'Cutters Consumption Updates'!$D:$D,J$1,'Cutters Consumption Updates'!$B:$B,$B160)+ SUMIF('Cutters Consumption Updates'!$AS:$AS,$B160,'Cutters Consumption Updates'!AV:AV)</f>
        <v>0</v>
      </c>
      <c r="K160" s="738">
        <f>SUMIFS('Cutters Consumption Updates'!$F:$F,'Cutters Consumption Updates'!$D:$D,K$1,'Cutters Consumption Updates'!$B:$B,$B160)-SUMIFS('Cutters Consumption Updates'!$E:$E,'Cutters Consumption Updates'!$D:$D,K$1,'Cutters Consumption Updates'!$B:$B,$B160)+ SUMIF('Cutters Consumption Updates'!$AS:$AS,$B160,'Cutters Consumption Updates'!AW:AW)</f>
        <v>0</v>
      </c>
      <c r="L160" s="116">
        <f>SUMIFS('Cutters Consumption Updates'!$F:$F,'Cutters Consumption Updates'!$D:$D,L$1,'Cutters Consumption Updates'!$B:$B,$B160)-SUMIFS('Cutters Consumption Updates'!$E:$E,'Cutters Consumption Updates'!$D:$D,$L$1,'Cutters Consumption Updates'!$B:$B,$B160)+SUMIFS('Cutters Consumption Updates'!$F:$F,'Cutters Consumption Updates'!$D:$D,"Retrofit",'Cutters Consumption Updates'!$B:$B,$B160)-SUMIFS('Cutters Consumption Updates'!$E:$E,'Cutters Consumption Updates'!$D:$D,"Retrofit",'Cutters Consumption Updates'!$B:$B,$B160)+ SUMIF('Cutters Consumption Updates'!$AS:$AS,$B160,'Cutters Consumption Updates'!AX:AX)</f>
        <v>0</v>
      </c>
      <c r="M160" s="810">
        <f t="shared" si="14"/>
        <v>0</v>
      </c>
      <c r="N160" s="810">
        <f ca="1">SUMIFS('Cutters Consumption Updates'!E:E,
        'Cutters Consumption Updates'!B:B, B160,
        'Cutters Consumption Updates'!A:A, "&gt;" &amp; TODAY()-182)</f>
        <v>3</v>
      </c>
      <c r="O160" s="810">
        <f ca="1">SUMIFS('Cutters Consumption Updates'!E:E,
        'Cutters Consumption Updates'!B:B, B160,
        'Cutters Consumption Updates'!A:A, "&gt;" &amp; TODAY()-91)</f>
        <v>3</v>
      </c>
      <c r="P160" s="810">
        <f t="shared" ca="1" si="15"/>
        <v>1</v>
      </c>
      <c r="Q160" s="703">
        <f t="shared" ca="1" si="16"/>
        <v>0</v>
      </c>
      <c r="R160" s="703" t="s">
        <v>29</v>
      </c>
      <c r="S160" s="24">
        <f>IFERROR(INDEX(Table5[],MATCH($B160,Table5[Component],0),2),0)</f>
        <v>64</v>
      </c>
      <c r="T160" s="813">
        <f>SUMIFS(Table7[Balance],Table7[Cutter Mat'#],$B160)</f>
        <v>0</v>
      </c>
      <c r="U160" s="24">
        <f t="shared" si="17"/>
        <v>-64</v>
      </c>
      <c r="V160" s="119"/>
      <c r="W160" s="2"/>
      <c r="Y160" s="4">
        <f>IFERROR(INDEX(Table5[],MATCH($B160,Table5[Component],0),2),0)</f>
        <v>64</v>
      </c>
      <c r="Z160" s="4">
        <f>IFERROR(INDEX(Table5[],MATCH($B160,Table5[Component],0),1),0)</f>
        <v>1130193</v>
      </c>
      <c r="AA160" s="4">
        <f>IF(Y160&lt;&gt;0,B160,"")</f>
        <v>1130193</v>
      </c>
      <c r="AB160" s="4" t="str">
        <f t="shared" si="18"/>
        <v/>
      </c>
      <c r="AD160" s="4">
        <f t="shared" si="19"/>
        <v>0</v>
      </c>
      <c r="AI160" s="248" t="str">
        <f>IFERROR(INDEX($B$1:$AK$243,MATCH(W160,$B$1:$B$243,0),13),"")</f>
        <v/>
      </c>
      <c r="AJ160" s="248" t="str">
        <f>IFERROR(INDEX($B$1:$AK$243,MATCH(W160,$B$1:$B$243,0),15),"")</f>
        <v/>
      </c>
      <c r="AK160">
        <f>SUMIF($W$2:$W$243,B160,$S$2:$S$243)</f>
        <v>0</v>
      </c>
      <c r="AP160">
        <f t="shared" si="20"/>
        <v>0</v>
      </c>
      <c r="AR160">
        <v>1129936</v>
      </c>
      <c r="AS160">
        <f>SUMIF($B:$B,AR160,$AP:$AP)</f>
        <v>0</v>
      </c>
    </row>
    <row r="161" spans="1:45" ht="15.65" customHeight="1" x14ac:dyDescent="0.35">
      <c r="A161" s="2">
        <v>160</v>
      </c>
      <c r="B161" s="3">
        <v>1130223</v>
      </c>
      <c r="C161" s="2" t="s">
        <v>4371</v>
      </c>
      <c r="D161" s="2" t="s">
        <v>114</v>
      </c>
      <c r="E161" s="2">
        <v>1913</v>
      </c>
      <c r="F161" s="2" t="s">
        <v>248</v>
      </c>
      <c r="G161" s="2" t="s">
        <v>4275</v>
      </c>
      <c r="H161" s="10">
        <f>SUMIFS('Cutters Consumption Updates'!$F:$F,'Cutters Consumption Updates'!$D:$D,H$1,'Cutters Consumption Updates'!$B:$B,$B161)-SUMIFS('Cutters Consumption Updates'!$E:$E,'Cutters Consumption Updates'!$D:$D,H$1,'Cutters Consumption Updates'!$B:$B,$B161)+ SUMIF('Cutters Consumption Updates'!$AS:$AS,$B161,'Cutters Consumption Updates'!AT:AT)</f>
        <v>15</v>
      </c>
      <c r="I161" s="10">
        <f>SUMIFS('Cutters Consumption Updates'!$F:$F,'Cutters Consumption Updates'!$D:$D,I$1,'Cutters Consumption Updates'!$B:$B,$B161)-SUMIFS('Cutters Consumption Updates'!$E:$E,'Cutters Consumption Updates'!$D:$D,I$1,'Cutters Consumption Updates'!$B:$B,$B161)+ SUMIF('Cutters Consumption Updates'!$AS:$AS,$B161,'Cutters Consumption Updates'!AU:AU)</f>
        <v>0</v>
      </c>
      <c r="J161" s="116">
        <f>SUMIFS('Cutters Consumption Updates'!$F:$F,'Cutters Consumption Updates'!$D:$D,J$1,'Cutters Consumption Updates'!$B:$B,$B161)-SUMIFS('Cutters Consumption Updates'!$E:$E,'Cutters Consumption Updates'!$D:$D,J$1,'Cutters Consumption Updates'!$B:$B,$B161)+ SUMIF('Cutters Consumption Updates'!$AS:$AS,$B161,'Cutters Consumption Updates'!AV:AV)</f>
        <v>0</v>
      </c>
      <c r="K161" s="738">
        <f>SUMIFS('Cutters Consumption Updates'!$F:$F,'Cutters Consumption Updates'!$D:$D,K$1,'Cutters Consumption Updates'!$B:$B,$B161)-SUMIFS('Cutters Consumption Updates'!$E:$E,'Cutters Consumption Updates'!$D:$D,K$1,'Cutters Consumption Updates'!$B:$B,$B161)+ SUMIF('Cutters Consumption Updates'!$AS:$AS,$B161,'Cutters Consumption Updates'!AW:AW)</f>
        <v>0</v>
      </c>
      <c r="L161" s="116">
        <f>SUMIFS('Cutters Consumption Updates'!$F:$F,'Cutters Consumption Updates'!$D:$D,L$1,'Cutters Consumption Updates'!$B:$B,$B161)-SUMIFS('Cutters Consumption Updates'!$E:$E,'Cutters Consumption Updates'!$D:$D,$L$1,'Cutters Consumption Updates'!$B:$B,$B161)+SUMIFS('Cutters Consumption Updates'!$F:$F,'Cutters Consumption Updates'!$D:$D,"Retrofit",'Cutters Consumption Updates'!$B:$B,$B161)-SUMIFS('Cutters Consumption Updates'!$E:$E,'Cutters Consumption Updates'!$D:$D,"Retrofit",'Cutters Consumption Updates'!$B:$B,$B161)+ SUMIF('Cutters Consumption Updates'!$AS:$AS,$B161,'Cutters Consumption Updates'!AX:AX)</f>
        <v>0</v>
      </c>
      <c r="M161" s="810">
        <f t="shared" si="14"/>
        <v>15</v>
      </c>
      <c r="N161" s="810">
        <f ca="1">SUMIFS('Cutters Consumption Updates'!E:E,
        'Cutters Consumption Updates'!B:B, B161,
        'Cutters Consumption Updates'!A:A, "&gt;" &amp; TODAY()-182)</f>
        <v>0</v>
      </c>
      <c r="O161" s="810">
        <f ca="1">SUMIFS('Cutters Consumption Updates'!E:E,
        'Cutters Consumption Updates'!B:B, B161,
        'Cutters Consumption Updates'!A:A, "&gt;" &amp; TODAY()-91)</f>
        <v>0</v>
      </c>
      <c r="P161" s="810">
        <f t="shared" ca="1" si="15"/>
        <v>0</v>
      </c>
      <c r="Q161" s="703">
        <f t="shared" ca="1" si="16"/>
        <v>0</v>
      </c>
      <c r="R161" s="703" t="s">
        <v>63</v>
      </c>
      <c r="S161" s="24">
        <f>IFERROR(INDEX(Table5[],MATCH($B161,Table5[Component],0),2),0)</f>
        <v>0</v>
      </c>
      <c r="T161" s="813">
        <f>SUMIFS(Table7[Balance],Table7[Cutter Mat'#],$B161)</f>
        <v>0</v>
      </c>
      <c r="U161" s="24">
        <f t="shared" si="17"/>
        <v>15</v>
      </c>
      <c r="V161" s="119"/>
      <c r="W161" s="2"/>
      <c r="Y161" s="4">
        <f>IFERROR(INDEX(Table5[],MATCH($B161,Table5[Component],0),2),0)</f>
        <v>0</v>
      </c>
      <c r="Z161" s="4">
        <f>IFERROR(INDEX(Table5[],MATCH($B161,Table5[Component],0),1),0)</f>
        <v>0</v>
      </c>
      <c r="AA161" s="4" t="str">
        <f>IF(Y161&lt;&gt;0,B161,"")</f>
        <v/>
      </c>
      <c r="AB161" s="4" t="str">
        <f t="shared" si="18"/>
        <v/>
      </c>
      <c r="AD161" s="4">
        <f t="shared" si="19"/>
        <v>15</v>
      </c>
      <c r="AI161" s="248" t="str">
        <f>IFERROR(INDEX($B$1:$AK$243,MATCH(W161,$B$1:$B$243,0),13),"")</f>
        <v/>
      </c>
      <c r="AJ161" s="248" t="str">
        <f>IFERROR(INDEX($B$1:$AK$243,MATCH(W161,$B$1:$B$243,0),15),"")</f>
        <v/>
      </c>
      <c r="AK161">
        <f>SUMIF($W$2:$W$243,B161,$S$2:$S$243)</f>
        <v>0</v>
      </c>
      <c r="AP161">
        <f t="shared" si="20"/>
        <v>0</v>
      </c>
      <c r="AR161">
        <v>1130193</v>
      </c>
      <c r="AS161">
        <f>SUMIF($B:$B,AR161,$AP:$AP)</f>
        <v>0</v>
      </c>
    </row>
    <row r="162" spans="1:45" ht="15.65" customHeight="1" x14ac:dyDescent="0.35">
      <c r="A162" s="2">
        <v>161</v>
      </c>
      <c r="B162" s="3">
        <v>1130221</v>
      </c>
      <c r="C162" s="2" t="s">
        <v>4372</v>
      </c>
      <c r="D162" s="2" t="s">
        <v>114</v>
      </c>
      <c r="E162" s="2">
        <v>1613</v>
      </c>
      <c r="F162" s="2" t="s">
        <v>248</v>
      </c>
      <c r="G162" s="2" t="s">
        <v>4275</v>
      </c>
      <c r="H162" s="10">
        <f>SUMIFS('Cutters Consumption Updates'!$F:$F,'Cutters Consumption Updates'!$D:$D,H$1,'Cutters Consumption Updates'!$B:$B,$B162)-SUMIFS('Cutters Consumption Updates'!$E:$E,'Cutters Consumption Updates'!$D:$D,H$1,'Cutters Consumption Updates'!$B:$B,$B162)+ SUMIF('Cutters Consumption Updates'!$AS:$AS,$B162,'Cutters Consumption Updates'!AT:AT)</f>
        <v>0</v>
      </c>
      <c r="I162" s="10">
        <f>SUMIFS('Cutters Consumption Updates'!$F:$F,'Cutters Consumption Updates'!$D:$D,I$1,'Cutters Consumption Updates'!$B:$B,$B162)-SUMIFS('Cutters Consumption Updates'!$E:$E,'Cutters Consumption Updates'!$D:$D,I$1,'Cutters Consumption Updates'!$B:$B,$B162)+ SUMIF('Cutters Consumption Updates'!$AS:$AS,$B162,'Cutters Consumption Updates'!AU:AU)</f>
        <v>17</v>
      </c>
      <c r="J162" s="116">
        <f>SUMIFS('Cutters Consumption Updates'!$F:$F,'Cutters Consumption Updates'!$D:$D,J$1,'Cutters Consumption Updates'!$B:$B,$B162)-SUMIFS('Cutters Consumption Updates'!$E:$E,'Cutters Consumption Updates'!$D:$D,J$1,'Cutters Consumption Updates'!$B:$B,$B162)+ SUMIF('Cutters Consumption Updates'!$AS:$AS,$B162,'Cutters Consumption Updates'!AV:AV)</f>
        <v>0</v>
      </c>
      <c r="K162" s="738">
        <f>SUMIFS('Cutters Consumption Updates'!$F:$F,'Cutters Consumption Updates'!$D:$D,K$1,'Cutters Consumption Updates'!$B:$B,$B162)-SUMIFS('Cutters Consumption Updates'!$E:$E,'Cutters Consumption Updates'!$D:$D,K$1,'Cutters Consumption Updates'!$B:$B,$B162)+ SUMIF('Cutters Consumption Updates'!$AS:$AS,$B162,'Cutters Consumption Updates'!AW:AW)</f>
        <v>0</v>
      </c>
      <c r="L162" s="116">
        <f>SUMIFS('Cutters Consumption Updates'!$F:$F,'Cutters Consumption Updates'!$D:$D,L$1,'Cutters Consumption Updates'!$B:$B,$B162)-SUMIFS('Cutters Consumption Updates'!$E:$E,'Cutters Consumption Updates'!$D:$D,$L$1,'Cutters Consumption Updates'!$B:$B,$B162)+SUMIFS('Cutters Consumption Updates'!$F:$F,'Cutters Consumption Updates'!$D:$D,"Retrofit",'Cutters Consumption Updates'!$B:$B,$B162)-SUMIFS('Cutters Consumption Updates'!$E:$E,'Cutters Consumption Updates'!$D:$D,"Retrofit",'Cutters Consumption Updates'!$B:$B,$B162)+ SUMIF('Cutters Consumption Updates'!$AS:$AS,$B162,'Cutters Consumption Updates'!AX:AX)</f>
        <v>0</v>
      </c>
      <c r="M162" s="810">
        <f t="shared" si="14"/>
        <v>0</v>
      </c>
      <c r="N162" s="810">
        <f ca="1">SUMIFS('Cutters Consumption Updates'!E:E,
        'Cutters Consumption Updates'!B:B, B162,
        'Cutters Consumption Updates'!A:A, "&gt;" &amp; TODAY()-182)</f>
        <v>0</v>
      </c>
      <c r="O162" s="810">
        <f ca="1">SUMIFS('Cutters Consumption Updates'!E:E,
        'Cutters Consumption Updates'!B:B, B162,
        'Cutters Consumption Updates'!A:A, "&gt;" &amp; TODAY()-91)</f>
        <v>0</v>
      </c>
      <c r="P162" s="810">
        <f t="shared" ca="1" si="15"/>
        <v>0</v>
      </c>
      <c r="Q162" s="703">
        <f t="shared" ca="1" si="16"/>
        <v>0</v>
      </c>
      <c r="R162" s="703" t="s">
        <v>29</v>
      </c>
      <c r="S162" s="24">
        <f>IFERROR(INDEX(Table5[],MATCH($B162,Table5[Component],0),2),0)</f>
        <v>0</v>
      </c>
      <c r="T162" s="813">
        <f>SUMIFS(Table7[Balance],Table7[Cutter Mat'#],$B162)</f>
        <v>0</v>
      </c>
      <c r="U162" s="24">
        <f t="shared" si="17"/>
        <v>0</v>
      </c>
      <c r="V162" s="119"/>
      <c r="W162" s="2"/>
      <c r="Y162" s="4">
        <f>IFERROR(INDEX(Table5[],MATCH($B162,Table5[Component],0),2),0)</f>
        <v>0</v>
      </c>
      <c r="Z162" s="4">
        <f>IFERROR(INDEX(Table5[],MATCH($B162,Table5[Component],0),1),0)</f>
        <v>0</v>
      </c>
      <c r="AA162" s="4" t="str">
        <f>IF(Y162&lt;&gt;0,B162,"")</f>
        <v/>
      </c>
      <c r="AB162" s="4" t="str">
        <f t="shared" si="18"/>
        <v/>
      </c>
      <c r="AD162" s="4">
        <f t="shared" si="19"/>
        <v>17</v>
      </c>
      <c r="AI162" s="248" t="str">
        <f>IFERROR(INDEX($B$1:$AK$243,MATCH(W162,$B$1:$B$243,0),13),"")</f>
        <v/>
      </c>
      <c r="AJ162" s="248" t="str">
        <f>IFERROR(INDEX($B$1:$AK$243,MATCH(W162,$B$1:$B$243,0),15),"")</f>
        <v/>
      </c>
      <c r="AK162">
        <f>SUMIF($W$2:$W$243,B162,$S$2:$S$243)</f>
        <v>0</v>
      </c>
      <c r="AP162">
        <f t="shared" si="20"/>
        <v>0</v>
      </c>
      <c r="AR162">
        <v>1130194</v>
      </c>
      <c r="AS162">
        <f>SUMIF($B:$B,AR162,$AP:$AP)</f>
        <v>0</v>
      </c>
    </row>
    <row r="163" spans="1:45" ht="15.65" customHeight="1" x14ac:dyDescent="0.35">
      <c r="A163" s="2">
        <v>162</v>
      </c>
      <c r="B163" s="3">
        <v>1130206</v>
      </c>
      <c r="C163" s="2" t="s">
        <v>4373</v>
      </c>
      <c r="D163" s="2" t="s">
        <v>114</v>
      </c>
      <c r="E163" s="2" t="s">
        <v>4247</v>
      </c>
      <c r="F163" s="2" t="s">
        <v>253</v>
      </c>
      <c r="G163" s="2" t="s">
        <v>4275</v>
      </c>
      <c r="H163" s="10">
        <f>SUMIFS('Cutters Consumption Updates'!$F:$F,'Cutters Consumption Updates'!$D:$D,H$1,'Cutters Consumption Updates'!$B:$B,$B163)-SUMIFS('Cutters Consumption Updates'!$E:$E,'Cutters Consumption Updates'!$D:$D,H$1,'Cutters Consumption Updates'!$B:$B,$B163)+ SUMIF('Cutters Consumption Updates'!$AS:$AS,$B163,'Cutters Consumption Updates'!AT:AT)</f>
        <v>0</v>
      </c>
      <c r="I163" s="10">
        <f>SUMIFS('Cutters Consumption Updates'!$F:$F,'Cutters Consumption Updates'!$D:$D,I$1,'Cutters Consumption Updates'!$B:$B,$B163)-SUMIFS('Cutters Consumption Updates'!$E:$E,'Cutters Consumption Updates'!$D:$D,I$1,'Cutters Consumption Updates'!$B:$B,$B163)+ SUMIF('Cutters Consumption Updates'!$AS:$AS,$B163,'Cutters Consumption Updates'!AU:AU)</f>
        <v>0</v>
      </c>
      <c r="J163" s="116">
        <f>SUMIFS('Cutters Consumption Updates'!$F:$F,'Cutters Consumption Updates'!$D:$D,J$1,'Cutters Consumption Updates'!$B:$B,$B163)-SUMIFS('Cutters Consumption Updates'!$E:$E,'Cutters Consumption Updates'!$D:$D,J$1,'Cutters Consumption Updates'!$B:$B,$B163)+ SUMIF('Cutters Consumption Updates'!$AS:$AS,$B163,'Cutters Consumption Updates'!AV:AV)</f>
        <v>0</v>
      </c>
      <c r="K163" s="738">
        <f>SUMIFS('Cutters Consumption Updates'!$F:$F,'Cutters Consumption Updates'!$D:$D,K$1,'Cutters Consumption Updates'!$B:$B,$B163)-SUMIFS('Cutters Consumption Updates'!$E:$E,'Cutters Consumption Updates'!$D:$D,K$1,'Cutters Consumption Updates'!$B:$B,$B163)+ SUMIF('Cutters Consumption Updates'!$AS:$AS,$B163,'Cutters Consumption Updates'!AW:AW)</f>
        <v>0</v>
      </c>
      <c r="L163" s="116">
        <f>SUMIFS('Cutters Consumption Updates'!$F:$F,'Cutters Consumption Updates'!$D:$D,L$1,'Cutters Consumption Updates'!$B:$B,$B163)-SUMIFS('Cutters Consumption Updates'!$E:$E,'Cutters Consumption Updates'!$D:$D,$L$1,'Cutters Consumption Updates'!$B:$B,$B163)+SUMIFS('Cutters Consumption Updates'!$F:$F,'Cutters Consumption Updates'!$D:$D,"Retrofit",'Cutters Consumption Updates'!$B:$B,$B163)-SUMIFS('Cutters Consumption Updates'!$E:$E,'Cutters Consumption Updates'!$D:$D,"Retrofit",'Cutters Consumption Updates'!$B:$B,$B163)+ SUMIF('Cutters Consumption Updates'!$AS:$AS,$B163,'Cutters Consumption Updates'!AX:AX)</f>
        <v>13</v>
      </c>
      <c r="M163" s="810">
        <f t="shared" si="14"/>
        <v>13</v>
      </c>
      <c r="N163" s="810">
        <f ca="1">SUMIFS('Cutters Consumption Updates'!E:E,
        'Cutters Consumption Updates'!B:B, B163,
        'Cutters Consumption Updates'!A:A, "&gt;" &amp; TODAY()-182)</f>
        <v>0</v>
      </c>
      <c r="O163" s="810">
        <f ca="1">SUMIFS('Cutters Consumption Updates'!E:E,
        'Cutters Consumption Updates'!B:B, B163,
        'Cutters Consumption Updates'!A:A, "&gt;" &amp; TODAY()-91)</f>
        <v>0</v>
      </c>
      <c r="P163" s="810">
        <f t="shared" ca="1" si="15"/>
        <v>0</v>
      </c>
      <c r="Q163" s="703">
        <f t="shared" ca="1" si="16"/>
        <v>0</v>
      </c>
      <c r="R163" s="703" t="s">
        <v>29</v>
      </c>
      <c r="S163" s="24">
        <f>IFERROR(INDEX(Table5[],MATCH($B163,Table5[Component],0),2),0)</f>
        <v>0</v>
      </c>
      <c r="T163" s="813">
        <f>SUMIFS(Table7[Balance],Table7[Cutter Mat'#],$B163)</f>
        <v>0</v>
      </c>
      <c r="U163" s="24">
        <f t="shared" si="17"/>
        <v>13</v>
      </c>
      <c r="V163" s="119"/>
      <c r="W163" s="2"/>
      <c r="Y163" s="4">
        <f>IFERROR(INDEX(Table5[],MATCH($B163,Table5[Component],0),2),0)</f>
        <v>0</v>
      </c>
      <c r="Z163" s="4">
        <f>IFERROR(INDEX(Table5[],MATCH($B163,Table5[Component],0),1),0)</f>
        <v>0</v>
      </c>
      <c r="AA163" s="4" t="str">
        <f>IF(Y163&lt;&gt;0,B163,"")</f>
        <v/>
      </c>
      <c r="AB163" s="4" t="str">
        <f t="shared" si="18"/>
        <v/>
      </c>
      <c r="AD163" s="4">
        <f t="shared" si="19"/>
        <v>13</v>
      </c>
      <c r="AI163" s="248" t="str">
        <f>IFERROR(INDEX($B$1:$AK$243,MATCH(W163,$B$1:$B$243,0),13),"")</f>
        <v/>
      </c>
      <c r="AJ163" s="248" t="str">
        <f>IFERROR(INDEX($B$1:$AK$243,MATCH(W163,$B$1:$B$243,0),15),"")</f>
        <v/>
      </c>
      <c r="AK163">
        <f>SUMIF($W$2:$W$243,B163,$S$2:$S$243)</f>
        <v>0</v>
      </c>
      <c r="AP163">
        <f t="shared" si="20"/>
        <v>0</v>
      </c>
      <c r="AR163">
        <v>1130196</v>
      </c>
      <c r="AS163">
        <f>SUMIF($B:$B,AR163,$AP:$AP)</f>
        <v>0</v>
      </c>
    </row>
    <row r="164" spans="1:45" ht="15.65" customHeight="1" x14ac:dyDescent="0.35">
      <c r="A164" s="2">
        <v>163</v>
      </c>
      <c r="B164" s="3">
        <v>1104086</v>
      </c>
      <c r="C164" s="24" t="s">
        <v>4482</v>
      </c>
      <c r="D164" s="24" t="s">
        <v>123</v>
      </c>
      <c r="E164" s="24">
        <v>1613</v>
      </c>
      <c r="F164" s="24" t="s">
        <v>253</v>
      </c>
      <c r="G164" s="2" t="s">
        <v>4360</v>
      </c>
      <c r="H164" s="10">
        <f>SUMIFS('Cutters Consumption Updates'!$F:$F,'Cutters Consumption Updates'!$D:$D,H$1,'Cutters Consumption Updates'!$B:$B,$B164)-SUMIFS('Cutters Consumption Updates'!$E:$E,'Cutters Consumption Updates'!$D:$D,H$1,'Cutters Consumption Updates'!$B:$B,$B164)+ SUMIF('Cutters Consumption Updates'!$AS:$AS,$B164,'Cutters Consumption Updates'!AT:AT)</f>
        <v>0</v>
      </c>
      <c r="I164" s="10">
        <f>SUMIFS('Cutters Consumption Updates'!$F:$F,'Cutters Consumption Updates'!$D:$D,I$1,'Cutters Consumption Updates'!$B:$B,$B164)-SUMIFS('Cutters Consumption Updates'!$E:$E,'Cutters Consumption Updates'!$D:$D,I$1,'Cutters Consumption Updates'!$B:$B,$B164)+ SUMIF('Cutters Consumption Updates'!$AS:$AS,$B164,'Cutters Consumption Updates'!AU:AU)</f>
        <v>0</v>
      </c>
      <c r="J164" s="116">
        <f>SUMIFS('Cutters Consumption Updates'!$F:$F,'Cutters Consumption Updates'!$D:$D,J$1,'Cutters Consumption Updates'!$B:$B,$B164)-SUMIFS('Cutters Consumption Updates'!$E:$E,'Cutters Consumption Updates'!$D:$D,J$1,'Cutters Consumption Updates'!$B:$B,$B164)+ SUMIF('Cutters Consumption Updates'!$AS:$AS,$B164,'Cutters Consumption Updates'!AV:AV)</f>
        <v>0</v>
      </c>
      <c r="K164" s="738">
        <f>SUMIFS('Cutters Consumption Updates'!$F:$F,'Cutters Consumption Updates'!$D:$D,K$1,'Cutters Consumption Updates'!$B:$B,$B164)-SUMIFS('Cutters Consumption Updates'!$E:$E,'Cutters Consumption Updates'!$D:$D,K$1,'Cutters Consumption Updates'!$B:$B,$B164)+ SUMIF('Cutters Consumption Updates'!$AS:$AS,$B164,'Cutters Consumption Updates'!AW:AW)</f>
        <v>0</v>
      </c>
      <c r="L164" s="116">
        <f>SUMIFS('Cutters Consumption Updates'!$F:$F,'Cutters Consumption Updates'!$D:$D,L$1,'Cutters Consumption Updates'!$B:$B,$B164)-SUMIFS('Cutters Consumption Updates'!$E:$E,'Cutters Consumption Updates'!$D:$D,$L$1,'Cutters Consumption Updates'!$B:$B,$B164)+SUMIFS('Cutters Consumption Updates'!$F:$F,'Cutters Consumption Updates'!$D:$D,"Retrofit",'Cutters Consumption Updates'!$B:$B,$B164)-SUMIFS('Cutters Consumption Updates'!$E:$E,'Cutters Consumption Updates'!$D:$D,"Retrofit",'Cutters Consumption Updates'!$B:$B,$B164)+ SUMIF('Cutters Consumption Updates'!$AS:$AS,$B164,'Cutters Consumption Updates'!AX:AX)</f>
        <v>0</v>
      </c>
      <c r="M164" s="810">
        <f t="shared" si="14"/>
        <v>0</v>
      </c>
      <c r="N164" s="810">
        <f ca="1">SUMIFS('Cutters Consumption Updates'!E:E,
        'Cutters Consumption Updates'!B:B, B164,
        'Cutters Consumption Updates'!A:A, "&gt;" &amp; TODAY()-182)</f>
        <v>1</v>
      </c>
      <c r="O164" s="810">
        <f ca="1">SUMIFS('Cutters Consumption Updates'!E:E,
        'Cutters Consumption Updates'!B:B, B164,
        'Cutters Consumption Updates'!A:A, "&gt;" &amp; TODAY()-91)</f>
        <v>0</v>
      </c>
      <c r="P164" s="810">
        <f t="shared" ca="1" si="15"/>
        <v>1</v>
      </c>
      <c r="Q164" s="703">
        <f t="shared" ca="1" si="16"/>
        <v>0</v>
      </c>
      <c r="R164" s="703" t="s">
        <v>29</v>
      </c>
      <c r="S164" s="24">
        <f>IFERROR(INDEX(Table5[],MATCH($B164,Table5[Component],0),2),0)</f>
        <v>2</v>
      </c>
      <c r="T164" s="813">
        <f>SUMIFS(Table7[Balance],Table7[Cutter Mat'#],$B164)</f>
        <v>0</v>
      </c>
      <c r="U164" s="24">
        <f t="shared" si="17"/>
        <v>-2</v>
      </c>
      <c r="V164" s="119"/>
      <c r="W164" s="2"/>
      <c r="Y164" s="4">
        <f>IFERROR(INDEX(Table5[],MATCH($B164,Table5[Component],0),2),0)</f>
        <v>2</v>
      </c>
      <c r="Z164" s="4">
        <f>IFERROR(INDEX(Table5[],MATCH($B164,Table5[Component],0),1),0)</f>
        <v>1104086</v>
      </c>
      <c r="AA164" s="4">
        <f>IF(Y164&lt;&gt;0,B164,"")</f>
        <v>1104086</v>
      </c>
      <c r="AB164" s="4" t="str">
        <f t="shared" si="18"/>
        <v/>
      </c>
      <c r="AD164" s="4">
        <f t="shared" si="19"/>
        <v>0</v>
      </c>
      <c r="AI164" s="248" t="str">
        <f>IFERROR(INDEX($B$1:$AK$243,MATCH(W164,$B$1:$B$243,0),13),"")</f>
        <v/>
      </c>
      <c r="AJ164" s="248" t="str">
        <f>IFERROR(INDEX($B$1:$AK$243,MATCH(W164,$B$1:$B$243,0),15),"")</f>
        <v/>
      </c>
      <c r="AK164">
        <f>SUMIF($W$2:$W$243,B164,$S$2:$S$243)</f>
        <v>0</v>
      </c>
      <c r="AP164">
        <f t="shared" si="20"/>
        <v>0</v>
      </c>
      <c r="AR164">
        <v>1130197</v>
      </c>
      <c r="AS164">
        <f>SUMIF($B:$B,AR164,$AP:$AP)</f>
        <v>0</v>
      </c>
    </row>
    <row r="165" spans="1:45" ht="15.65" customHeight="1" x14ac:dyDescent="0.35">
      <c r="A165" s="2">
        <v>164</v>
      </c>
      <c r="B165" s="3">
        <v>1022971</v>
      </c>
      <c r="C165" s="2" t="s">
        <v>4374</v>
      </c>
      <c r="D165" s="2" t="s">
        <v>95</v>
      </c>
      <c r="E165" s="2">
        <v>1613</v>
      </c>
      <c r="F165" s="2" t="s">
        <v>248</v>
      </c>
      <c r="G165" s="2" t="s">
        <v>4318</v>
      </c>
      <c r="H165" s="10">
        <f>SUMIFS('Cutters Consumption Updates'!$F:$F,'Cutters Consumption Updates'!$D:$D,H$1,'Cutters Consumption Updates'!$B:$B,$B165)-SUMIFS('Cutters Consumption Updates'!$E:$E,'Cutters Consumption Updates'!$D:$D,H$1,'Cutters Consumption Updates'!$B:$B,$B165)+ SUMIF('Cutters Consumption Updates'!$AS:$AS,$B165,'Cutters Consumption Updates'!AT:AT)</f>
        <v>0</v>
      </c>
      <c r="I165" s="10">
        <f>SUMIFS('Cutters Consumption Updates'!$F:$F,'Cutters Consumption Updates'!$D:$D,I$1,'Cutters Consumption Updates'!$B:$B,$B165)-SUMIFS('Cutters Consumption Updates'!$E:$E,'Cutters Consumption Updates'!$D:$D,I$1,'Cutters Consumption Updates'!$B:$B,$B165)+ SUMIF('Cutters Consumption Updates'!$AS:$AS,$B165,'Cutters Consumption Updates'!AU:AU)</f>
        <v>0</v>
      </c>
      <c r="J165" s="116">
        <f>SUMIFS('Cutters Consumption Updates'!$F:$F,'Cutters Consumption Updates'!$D:$D,J$1,'Cutters Consumption Updates'!$B:$B,$B165)-SUMIFS('Cutters Consumption Updates'!$E:$E,'Cutters Consumption Updates'!$D:$D,J$1,'Cutters Consumption Updates'!$B:$B,$B165)+ SUMIF('Cutters Consumption Updates'!$AS:$AS,$B165,'Cutters Consumption Updates'!AV:AV)</f>
        <v>0</v>
      </c>
      <c r="K165" s="738">
        <f>SUMIFS('Cutters Consumption Updates'!$F:$F,'Cutters Consumption Updates'!$D:$D,K$1,'Cutters Consumption Updates'!$B:$B,$B165)-SUMIFS('Cutters Consumption Updates'!$E:$E,'Cutters Consumption Updates'!$D:$D,K$1,'Cutters Consumption Updates'!$B:$B,$B165)+ SUMIF('Cutters Consumption Updates'!$AS:$AS,$B165,'Cutters Consumption Updates'!AW:AW)</f>
        <v>29</v>
      </c>
      <c r="L165" s="116">
        <f>SUMIFS('Cutters Consumption Updates'!$F:$F,'Cutters Consumption Updates'!$D:$D,L$1,'Cutters Consumption Updates'!$B:$B,$B165)-SUMIFS('Cutters Consumption Updates'!$E:$E,'Cutters Consumption Updates'!$D:$D,$L$1,'Cutters Consumption Updates'!$B:$B,$B165)+SUMIFS('Cutters Consumption Updates'!$F:$F,'Cutters Consumption Updates'!$D:$D,"Retrofit",'Cutters Consumption Updates'!$B:$B,$B165)-SUMIFS('Cutters Consumption Updates'!$E:$E,'Cutters Consumption Updates'!$D:$D,"Retrofit",'Cutters Consumption Updates'!$B:$B,$B165)+ SUMIF('Cutters Consumption Updates'!$AS:$AS,$B165,'Cutters Consumption Updates'!AX:AX)</f>
        <v>29</v>
      </c>
      <c r="M165" s="810">
        <f t="shared" si="14"/>
        <v>29</v>
      </c>
      <c r="N165" s="810">
        <f ca="1">SUMIFS('Cutters Consumption Updates'!E:E,
        'Cutters Consumption Updates'!B:B, B165,
        'Cutters Consumption Updates'!A:A, "&gt;" &amp; TODAY()-182)</f>
        <v>0</v>
      </c>
      <c r="O165" s="810">
        <f ca="1">SUMIFS('Cutters Consumption Updates'!E:E,
        'Cutters Consumption Updates'!B:B, B165,
        'Cutters Consumption Updates'!A:A, "&gt;" &amp; TODAY()-91)</f>
        <v>0</v>
      </c>
      <c r="P165" s="810">
        <f t="shared" ca="1" si="15"/>
        <v>0</v>
      </c>
      <c r="Q165" s="703">
        <f t="shared" ca="1" si="16"/>
        <v>0</v>
      </c>
      <c r="R165" s="703" t="s">
        <v>29</v>
      </c>
      <c r="S165" s="24">
        <f>IFERROR(INDEX(Table5[],MATCH($B165,Table5[Component],0),2),0)</f>
        <v>0</v>
      </c>
      <c r="T165" s="813">
        <f>SUMIFS(Table7[Balance],Table7[Cutter Mat'#],$B165)</f>
        <v>0</v>
      </c>
      <c r="U165" s="24">
        <f t="shared" si="17"/>
        <v>29</v>
      </c>
      <c r="V165" s="119"/>
      <c r="W165" s="2"/>
      <c r="Y165" s="4">
        <f>IFERROR(INDEX(Table5[],MATCH($B165,Table5[Component],0),2),0)</f>
        <v>0</v>
      </c>
      <c r="Z165" s="4">
        <f>IFERROR(INDEX(Table5[],MATCH($B165,Table5[Component],0),1),0)</f>
        <v>1022971</v>
      </c>
      <c r="AA165" s="4" t="str">
        <f>IF(Y165&lt;&gt;0,B165,"")</f>
        <v/>
      </c>
      <c r="AB165" s="4" t="str">
        <f t="shared" si="18"/>
        <v/>
      </c>
      <c r="AD165" s="4">
        <f t="shared" si="19"/>
        <v>29</v>
      </c>
      <c r="AI165" s="248" t="str">
        <f>IFERROR(INDEX($B$1:$AK$243,MATCH(W165,$B$1:$B$243,0),13),"")</f>
        <v/>
      </c>
      <c r="AJ165" s="248" t="str">
        <f>IFERROR(INDEX($B$1:$AK$243,MATCH(W165,$B$1:$B$243,0),15),"")</f>
        <v/>
      </c>
      <c r="AK165">
        <f>SUMIF($W$2:$W$243,B165,$S$2:$S$243)</f>
        <v>0</v>
      </c>
      <c r="AP165">
        <f t="shared" si="20"/>
        <v>0</v>
      </c>
      <c r="AR165">
        <v>1130198</v>
      </c>
      <c r="AS165">
        <f>SUMIF($B:$B,AR165,$AP:$AP)</f>
        <v>0</v>
      </c>
    </row>
    <row r="166" spans="1:45" ht="15.65" customHeight="1" x14ac:dyDescent="0.35">
      <c r="A166" s="2">
        <v>165</v>
      </c>
      <c r="B166" s="3">
        <v>1134751</v>
      </c>
      <c r="C166" s="2" t="s">
        <v>4490</v>
      </c>
      <c r="D166" s="2" t="s">
        <v>114</v>
      </c>
      <c r="E166" s="2">
        <v>1308</v>
      </c>
      <c r="F166" s="2" t="s">
        <v>248</v>
      </c>
      <c r="G166" s="2" t="s">
        <v>4275</v>
      </c>
      <c r="H166" s="10">
        <f>SUMIFS('Cutters Consumption Updates'!$F:$F,'Cutters Consumption Updates'!$D:$D,H$1,'Cutters Consumption Updates'!$B:$B,$B166)-SUMIFS('Cutters Consumption Updates'!$E:$E,'Cutters Consumption Updates'!$D:$D,H$1,'Cutters Consumption Updates'!$B:$B,$B166)+ SUMIF('Cutters Consumption Updates'!$AS:$AS,$B166,'Cutters Consumption Updates'!AT:AT)</f>
        <v>0</v>
      </c>
      <c r="I166" s="10">
        <f>SUMIFS('Cutters Consumption Updates'!$F:$F,'Cutters Consumption Updates'!$D:$D,I$1,'Cutters Consumption Updates'!$B:$B,$B166)-SUMIFS('Cutters Consumption Updates'!$E:$E,'Cutters Consumption Updates'!$D:$D,I$1,'Cutters Consumption Updates'!$B:$B,$B166)+ SUMIF('Cutters Consumption Updates'!$AS:$AS,$B166,'Cutters Consumption Updates'!AU:AU)</f>
        <v>0</v>
      </c>
      <c r="J166" s="116">
        <f>SUMIFS('Cutters Consumption Updates'!$F:$F,'Cutters Consumption Updates'!$D:$D,J$1,'Cutters Consumption Updates'!$B:$B,$B166)-SUMIFS('Cutters Consumption Updates'!$E:$E,'Cutters Consumption Updates'!$D:$D,J$1,'Cutters Consumption Updates'!$B:$B,$B166)+ SUMIF('Cutters Consumption Updates'!$AS:$AS,$B166,'Cutters Consumption Updates'!AV:AV)</f>
        <v>0</v>
      </c>
      <c r="K166" s="738">
        <f>SUMIFS('Cutters Consumption Updates'!$F:$F,'Cutters Consumption Updates'!$D:$D,K$1,'Cutters Consumption Updates'!$B:$B,$B166)-SUMIFS('Cutters Consumption Updates'!$E:$E,'Cutters Consumption Updates'!$D:$D,K$1,'Cutters Consumption Updates'!$B:$B,$B166)+ SUMIF('Cutters Consumption Updates'!$AS:$AS,$B166,'Cutters Consumption Updates'!AW:AW)</f>
        <v>0</v>
      </c>
      <c r="L166" s="116">
        <f>SUMIFS('Cutters Consumption Updates'!$F:$F,'Cutters Consumption Updates'!$D:$D,L$1,'Cutters Consumption Updates'!$B:$B,$B166)-SUMIFS('Cutters Consumption Updates'!$E:$E,'Cutters Consumption Updates'!$D:$D,$L$1,'Cutters Consumption Updates'!$B:$B,$B166)+SUMIFS('Cutters Consumption Updates'!$F:$F,'Cutters Consumption Updates'!$D:$D,"Retrofit",'Cutters Consumption Updates'!$B:$B,$B166)-SUMIFS('Cutters Consumption Updates'!$E:$E,'Cutters Consumption Updates'!$D:$D,"Retrofit",'Cutters Consumption Updates'!$B:$B,$B166)+ SUMIF('Cutters Consumption Updates'!$AS:$AS,$B166,'Cutters Consumption Updates'!AX:AX)</f>
        <v>0</v>
      </c>
      <c r="M166" s="810">
        <f t="shared" si="14"/>
        <v>0</v>
      </c>
      <c r="N166" s="810">
        <f ca="1">SUMIFS('Cutters Consumption Updates'!E:E,
        'Cutters Consumption Updates'!B:B, B166,
        'Cutters Consumption Updates'!A:A, "&gt;" &amp; TODAY()-182)</f>
        <v>0</v>
      </c>
      <c r="O166" s="810">
        <f ca="1">SUMIFS('Cutters Consumption Updates'!E:E,
        'Cutters Consumption Updates'!B:B, B166,
        'Cutters Consumption Updates'!A:A, "&gt;" &amp; TODAY()-91)</f>
        <v>0</v>
      </c>
      <c r="P166" s="810">
        <f t="shared" ca="1" si="15"/>
        <v>0</v>
      </c>
      <c r="Q166" s="703">
        <f t="shared" ca="1" si="16"/>
        <v>0</v>
      </c>
      <c r="R166" s="703" t="s">
        <v>118</v>
      </c>
      <c r="S166" s="24">
        <f>IFERROR(INDEX(Table5[],MATCH($B166,Table5[Component],0),2),0)</f>
        <v>0</v>
      </c>
      <c r="T166" s="813">
        <f>SUMIFS(Table7[Balance],Table7[Cutter Mat'#],$B166)</f>
        <v>0</v>
      </c>
      <c r="U166" s="24">
        <f t="shared" si="17"/>
        <v>0</v>
      </c>
      <c r="V166" s="119"/>
      <c r="W166" s="2"/>
      <c r="Y166" s="4">
        <f>IFERROR(INDEX(Table5[],MATCH($B166,Table5[Component],0),2),0)</f>
        <v>0</v>
      </c>
      <c r="Z166" s="4">
        <f>IFERROR(INDEX(Table5[],MATCH($B166,Table5[Component],0),1),0)</f>
        <v>0</v>
      </c>
      <c r="AA166" s="4" t="str">
        <f>IF(Y166&lt;&gt;0,B166,"")</f>
        <v/>
      </c>
      <c r="AB166" s="4" t="str">
        <f t="shared" si="18"/>
        <v/>
      </c>
      <c r="AD166" s="4">
        <f t="shared" si="19"/>
        <v>0</v>
      </c>
      <c r="AI166" s="248" t="str">
        <f>IFERROR(INDEX($B$1:$AK$243,MATCH(W166,$B$1:$B$243,0),13),"")</f>
        <v/>
      </c>
      <c r="AJ166" s="248" t="str">
        <f>IFERROR(INDEX($B$1:$AK$243,MATCH(W166,$B$1:$B$243,0),15),"")</f>
        <v/>
      </c>
      <c r="AK166">
        <f>SUMIF($W$2:$W$243,B166,$S$2:$S$243)</f>
        <v>0</v>
      </c>
      <c r="AP166">
        <f t="shared" si="20"/>
        <v>0</v>
      </c>
      <c r="AR166">
        <v>1130200</v>
      </c>
      <c r="AS166">
        <f>SUMIF($B:$B,AR166,$AP:$AP)</f>
        <v>0</v>
      </c>
    </row>
    <row r="167" spans="1:45" ht="15.65" customHeight="1" x14ac:dyDescent="0.35">
      <c r="A167" s="2">
        <v>166</v>
      </c>
      <c r="B167" s="3">
        <v>1078348</v>
      </c>
      <c r="C167" s="2" t="s">
        <v>4375</v>
      </c>
      <c r="D167" s="2" t="s">
        <v>4501</v>
      </c>
      <c r="E167" s="2" t="s">
        <v>38</v>
      </c>
      <c r="F167" s="2" t="s">
        <v>103</v>
      </c>
      <c r="G167" s="2" t="s">
        <v>36</v>
      </c>
      <c r="H167" s="10">
        <f>SUMIFS('Cutters Consumption Updates'!$F:$F,'Cutters Consumption Updates'!$D:$D,H$1,'Cutters Consumption Updates'!$B:$B,$B167)-SUMIFS('Cutters Consumption Updates'!$E:$E,'Cutters Consumption Updates'!$D:$D,H$1,'Cutters Consumption Updates'!$B:$B,$B167)+ SUMIF('Cutters Consumption Updates'!$AS:$AS,$B167,'Cutters Consumption Updates'!AT:AT)</f>
        <v>0</v>
      </c>
      <c r="I167" s="10">
        <f>SUMIFS('Cutters Consumption Updates'!$F:$F,'Cutters Consumption Updates'!$D:$D,I$1,'Cutters Consumption Updates'!$B:$B,$B167)-SUMIFS('Cutters Consumption Updates'!$E:$E,'Cutters Consumption Updates'!$D:$D,I$1,'Cutters Consumption Updates'!$B:$B,$B167)+ SUMIF('Cutters Consumption Updates'!$AS:$AS,$B167,'Cutters Consumption Updates'!AU:AU)</f>
        <v>0</v>
      </c>
      <c r="J167" s="116">
        <f>SUMIFS('Cutters Consumption Updates'!$F:$F,'Cutters Consumption Updates'!$D:$D,J$1,'Cutters Consumption Updates'!$B:$B,$B167)-SUMIFS('Cutters Consumption Updates'!$E:$E,'Cutters Consumption Updates'!$D:$D,J$1,'Cutters Consumption Updates'!$B:$B,$B167)+ SUMIF('Cutters Consumption Updates'!$AS:$AS,$B167,'Cutters Consumption Updates'!AV:AV)</f>
        <v>0</v>
      </c>
      <c r="K167" s="738">
        <f>SUMIFS('Cutters Consumption Updates'!$F:$F,'Cutters Consumption Updates'!$D:$D,K$1,'Cutters Consumption Updates'!$B:$B,$B167)-SUMIFS('Cutters Consumption Updates'!$E:$E,'Cutters Consumption Updates'!$D:$D,K$1,'Cutters Consumption Updates'!$B:$B,$B167)+ SUMIF('Cutters Consumption Updates'!$AS:$AS,$B167,'Cutters Consumption Updates'!AW:AW)</f>
        <v>0</v>
      </c>
      <c r="L167" s="116">
        <f>SUMIFS('Cutters Consumption Updates'!$F:$F,'Cutters Consumption Updates'!$D:$D,L$1,'Cutters Consumption Updates'!$B:$B,$B167)-SUMIFS('Cutters Consumption Updates'!$E:$E,'Cutters Consumption Updates'!$D:$D,$L$1,'Cutters Consumption Updates'!$B:$B,$B167)+SUMIFS('Cutters Consumption Updates'!$F:$F,'Cutters Consumption Updates'!$D:$D,"Retrofit",'Cutters Consumption Updates'!$B:$B,$B167)-SUMIFS('Cutters Consumption Updates'!$E:$E,'Cutters Consumption Updates'!$D:$D,"Retrofit",'Cutters Consumption Updates'!$B:$B,$B167)+ SUMIF('Cutters Consumption Updates'!$AS:$AS,$B167,'Cutters Consumption Updates'!AX:AX)</f>
        <v>54</v>
      </c>
      <c r="M167" s="810">
        <f t="shared" si="14"/>
        <v>54</v>
      </c>
      <c r="N167" s="810">
        <f ca="1">SUMIFS('Cutters Consumption Updates'!E:E,
        'Cutters Consumption Updates'!B:B, B167,
        'Cutters Consumption Updates'!A:A, "&gt;" &amp; TODAY()-182)</f>
        <v>0</v>
      </c>
      <c r="O167" s="810">
        <f ca="1">SUMIFS('Cutters Consumption Updates'!E:E,
        'Cutters Consumption Updates'!B:B, B167,
        'Cutters Consumption Updates'!A:A, "&gt;" &amp; TODAY()-91)</f>
        <v>0</v>
      </c>
      <c r="P167" s="810">
        <f t="shared" ca="1" si="15"/>
        <v>0</v>
      </c>
      <c r="Q167" s="703">
        <f t="shared" ca="1" si="16"/>
        <v>0</v>
      </c>
      <c r="R167" s="703" t="s">
        <v>29</v>
      </c>
      <c r="S167" s="24">
        <f>IFERROR(INDEX(Table5[],MATCH($B167,Table5[Component],0),2),0)</f>
        <v>0</v>
      </c>
      <c r="T167" s="813">
        <f>SUMIFS(Table7[Balance],Table7[Cutter Mat'#],$B167)</f>
        <v>0</v>
      </c>
      <c r="U167" s="24">
        <f t="shared" si="17"/>
        <v>54</v>
      </c>
      <c r="V167" s="119"/>
      <c r="W167" s="2"/>
      <c r="Y167" s="4">
        <f>IFERROR(INDEX(Table5[],MATCH($B167,Table5[Component],0),2),0)</f>
        <v>0</v>
      </c>
      <c r="Z167" s="4">
        <f>IFERROR(INDEX(Table5[],MATCH($B167,Table5[Component],0),1),0)</f>
        <v>0</v>
      </c>
      <c r="AA167" s="4" t="str">
        <f>IF(Y167&lt;&gt;0,B167,"")</f>
        <v/>
      </c>
      <c r="AB167" s="4" t="str">
        <f t="shared" si="18"/>
        <v/>
      </c>
      <c r="AD167" s="4">
        <f t="shared" si="19"/>
        <v>54</v>
      </c>
      <c r="AI167" s="248" t="str">
        <f>IFERROR(INDEX($B$1:$AK$243,MATCH(W167,$B$1:$B$243,0),13),"")</f>
        <v/>
      </c>
      <c r="AJ167" s="248" t="str">
        <f>IFERROR(INDEX($B$1:$AK$243,MATCH(W167,$B$1:$B$243,0),15),"")</f>
        <v/>
      </c>
      <c r="AK167">
        <f>SUMIF($W$2:$W$243,B167,$S$2:$S$243)</f>
        <v>0</v>
      </c>
      <c r="AP167">
        <f t="shared" si="20"/>
        <v>0</v>
      </c>
      <c r="AR167">
        <v>1130204</v>
      </c>
      <c r="AS167">
        <f>SUMIF($B:$B,AR167,$AP:$AP)</f>
        <v>0</v>
      </c>
    </row>
    <row r="168" spans="1:45" ht="15.65" customHeight="1" x14ac:dyDescent="0.35">
      <c r="A168" s="2">
        <v>167</v>
      </c>
      <c r="B168" s="3">
        <v>562195</v>
      </c>
      <c r="C168" s="2" t="s">
        <v>4496</v>
      </c>
      <c r="D168" s="2" t="s">
        <v>4500</v>
      </c>
      <c r="E168" s="2" t="s">
        <v>38</v>
      </c>
      <c r="F168" s="2" t="s">
        <v>103</v>
      </c>
      <c r="G168" s="2" t="s">
        <v>36</v>
      </c>
      <c r="H168" s="10">
        <f>SUMIFS('Cutters Consumption Updates'!$F:$F,'Cutters Consumption Updates'!$D:$D,H$1,'Cutters Consumption Updates'!$B:$B,$B168)-SUMIFS('Cutters Consumption Updates'!$E:$E,'Cutters Consumption Updates'!$D:$D,H$1,'Cutters Consumption Updates'!$B:$B,$B168)+ SUMIF('Cutters Consumption Updates'!$AS:$AS,$B168,'Cutters Consumption Updates'!AT:AT)</f>
        <v>0</v>
      </c>
      <c r="I168" s="10">
        <f>SUMIFS('Cutters Consumption Updates'!$F:$F,'Cutters Consumption Updates'!$D:$D,I$1,'Cutters Consumption Updates'!$B:$B,$B168)-SUMIFS('Cutters Consumption Updates'!$E:$E,'Cutters Consumption Updates'!$D:$D,I$1,'Cutters Consumption Updates'!$B:$B,$B168)+ SUMIF('Cutters Consumption Updates'!$AS:$AS,$B168,'Cutters Consumption Updates'!AU:AU)</f>
        <v>0</v>
      </c>
      <c r="J168" s="116">
        <f>SUMIFS('Cutters Consumption Updates'!$F:$F,'Cutters Consumption Updates'!$D:$D,J$1,'Cutters Consumption Updates'!$B:$B,$B168)-SUMIFS('Cutters Consumption Updates'!$E:$E,'Cutters Consumption Updates'!$D:$D,J$1,'Cutters Consumption Updates'!$B:$B,$B168)+ SUMIF('Cutters Consumption Updates'!$AS:$AS,$B168,'Cutters Consumption Updates'!AV:AV)</f>
        <v>0</v>
      </c>
      <c r="K168" s="738">
        <f>SUMIFS('Cutters Consumption Updates'!$F:$F,'Cutters Consumption Updates'!$D:$D,K$1,'Cutters Consumption Updates'!$B:$B,$B168)-SUMIFS('Cutters Consumption Updates'!$E:$E,'Cutters Consumption Updates'!$D:$D,K$1,'Cutters Consumption Updates'!$B:$B,$B168)+ SUMIF('Cutters Consumption Updates'!$AS:$AS,$B168,'Cutters Consumption Updates'!AW:AW)</f>
        <v>0</v>
      </c>
      <c r="L168" s="116">
        <f>SUMIFS('Cutters Consumption Updates'!$F:$F,'Cutters Consumption Updates'!$D:$D,L$1,'Cutters Consumption Updates'!$B:$B,$B168)-SUMIFS('Cutters Consumption Updates'!$E:$E,'Cutters Consumption Updates'!$D:$D,$L$1,'Cutters Consumption Updates'!$B:$B,$B168)+SUMIFS('Cutters Consumption Updates'!$F:$F,'Cutters Consumption Updates'!$D:$D,"Retrofit",'Cutters Consumption Updates'!$B:$B,$B168)-SUMIFS('Cutters Consumption Updates'!$E:$E,'Cutters Consumption Updates'!$D:$D,"Retrofit",'Cutters Consumption Updates'!$B:$B,$B168)+ SUMIF('Cutters Consumption Updates'!$AS:$AS,$B168,'Cutters Consumption Updates'!AX:AX)</f>
        <v>0</v>
      </c>
      <c r="M168" s="810">
        <f t="shared" si="14"/>
        <v>0</v>
      </c>
      <c r="N168" s="810">
        <f ca="1">SUMIFS('Cutters Consumption Updates'!E:E,
        'Cutters Consumption Updates'!B:B, B168,
        'Cutters Consumption Updates'!A:A, "&gt;" &amp; TODAY()-182)</f>
        <v>0</v>
      </c>
      <c r="O168" s="810">
        <f ca="1">SUMIFS('Cutters Consumption Updates'!E:E,
        'Cutters Consumption Updates'!B:B, B168,
        'Cutters Consumption Updates'!A:A, "&gt;" &amp; TODAY()-91)</f>
        <v>0</v>
      </c>
      <c r="P168" s="810">
        <f t="shared" ca="1" si="15"/>
        <v>0</v>
      </c>
      <c r="Q168" s="703">
        <f t="shared" ca="1" si="16"/>
        <v>0</v>
      </c>
      <c r="R168" s="703" t="s">
        <v>29</v>
      </c>
      <c r="S168" s="24">
        <f>IFERROR(INDEX(Table5[],MATCH($B168,Table5[Component],0),2),0)</f>
        <v>0</v>
      </c>
      <c r="T168" s="813">
        <f>SUMIFS(Table7[Balance],Table7[Cutter Mat'#],$B168)</f>
        <v>0</v>
      </c>
      <c r="U168" s="24">
        <f t="shared" si="17"/>
        <v>0</v>
      </c>
      <c r="V168" s="119"/>
      <c r="W168" s="2">
        <v>1078377</v>
      </c>
      <c r="Y168" s="4">
        <f>IFERROR(INDEX(Table5[],MATCH($B168,Table5[Component],0),2),0)</f>
        <v>0</v>
      </c>
      <c r="Z168" s="4">
        <f>IFERROR(INDEX(Table5[],MATCH($B168,Table5[Component],0),1),0)</f>
        <v>562195</v>
      </c>
      <c r="AA168" s="4" t="str">
        <f>IF(Y168&lt;&gt;0,B168,"")</f>
        <v/>
      </c>
      <c r="AB168" s="4" t="str">
        <f t="shared" si="18"/>
        <v/>
      </c>
      <c r="AD168" s="4">
        <f t="shared" si="19"/>
        <v>0</v>
      </c>
      <c r="AI168" s="248">
        <f ca="1">IFERROR(INDEX($B$1:$AK$243,MATCH(W168,$B$1:$B$243,0),13),"")</f>
        <v>439</v>
      </c>
      <c r="AJ168" s="248">
        <f ca="1">IFERROR(INDEX($B$1:$AK$243,MATCH(W168,$B$1:$B$243,0),15),"")</f>
        <v>147</v>
      </c>
      <c r="AK168">
        <f>SUMIF($W$2:$W$243,B168,$S$2:$S$243)</f>
        <v>0</v>
      </c>
      <c r="AP168">
        <f t="shared" si="20"/>
        <v>0</v>
      </c>
      <c r="AR168">
        <v>1130206</v>
      </c>
      <c r="AS168">
        <f>SUMIF($B:$B,AR168,$AP:$AP)</f>
        <v>0</v>
      </c>
    </row>
    <row r="169" spans="1:45" ht="15.65" customHeight="1" x14ac:dyDescent="0.35">
      <c r="A169" s="2">
        <v>168</v>
      </c>
      <c r="B169" s="3">
        <v>1078377</v>
      </c>
      <c r="C169" s="2" t="s">
        <v>4495</v>
      </c>
      <c r="D169" s="2" t="s">
        <v>151</v>
      </c>
      <c r="E169" s="2">
        <v>1318</v>
      </c>
      <c r="F169" s="2" t="s">
        <v>103</v>
      </c>
      <c r="G169" s="2" t="s">
        <v>36</v>
      </c>
      <c r="H169" s="10">
        <f>SUMIFS('Cutters Consumption Updates'!$F:$F,'Cutters Consumption Updates'!$D:$D,H$1,'Cutters Consumption Updates'!$B:$B,$B169)-SUMIFS('Cutters Consumption Updates'!$E:$E,'Cutters Consumption Updates'!$D:$D,H$1,'Cutters Consumption Updates'!$B:$B,$B169)+ SUMIF('Cutters Consumption Updates'!$AS:$AS,$B169,'Cutters Consumption Updates'!AT:AT)</f>
        <v>0</v>
      </c>
      <c r="I169" s="10">
        <f>SUMIFS('Cutters Consumption Updates'!$F:$F,'Cutters Consumption Updates'!$D:$D,I$1,'Cutters Consumption Updates'!$B:$B,$B169)-SUMIFS('Cutters Consumption Updates'!$E:$E,'Cutters Consumption Updates'!$D:$D,I$1,'Cutters Consumption Updates'!$B:$B,$B169)+ SUMIF('Cutters Consumption Updates'!$AS:$AS,$B169,'Cutters Consumption Updates'!AU:AU)</f>
        <v>0</v>
      </c>
      <c r="J169" s="116">
        <f>SUMIFS('Cutters Consumption Updates'!$F:$F,'Cutters Consumption Updates'!$D:$D,J$1,'Cutters Consumption Updates'!$B:$B,$B169)-SUMIFS('Cutters Consumption Updates'!$E:$E,'Cutters Consumption Updates'!$D:$D,J$1,'Cutters Consumption Updates'!$B:$B,$B169)+ SUMIF('Cutters Consumption Updates'!$AS:$AS,$B169,'Cutters Consumption Updates'!AV:AV)</f>
        <v>80</v>
      </c>
      <c r="K169" s="738">
        <f>SUMIFS('Cutters Consumption Updates'!$F:$F,'Cutters Consumption Updates'!$D:$D,K$1,'Cutters Consumption Updates'!$B:$B,$B169)-SUMIFS('Cutters Consumption Updates'!$E:$E,'Cutters Consumption Updates'!$D:$D,K$1,'Cutters Consumption Updates'!$B:$B,$B169)+ SUMIF('Cutters Consumption Updates'!$AS:$AS,$B169,'Cutters Consumption Updates'!AW:AW)</f>
        <v>0</v>
      </c>
      <c r="L169" s="116">
        <f>SUMIFS('Cutters Consumption Updates'!$F:$F,'Cutters Consumption Updates'!$D:$D,L$1,'Cutters Consumption Updates'!$B:$B,$B169)-SUMIFS('Cutters Consumption Updates'!$E:$E,'Cutters Consumption Updates'!$D:$D,$L$1,'Cutters Consumption Updates'!$B:$B,$B169)+SUMIFS('Cutters Consumption Updates'!$F:$F,'Cutters Consumption Updates'!$D:$D,"Retrofit",'Cutters Consumption Updates'!$B:$B,$B169)-SUMIFS('Cutters Consumption Updates'!$E:$E,'Cutters Consumption Updates'!$D:$D,"Retrofit",'Cutters Consumption Updates'!$B:$B,$B169)+ SUMIF('Cutters Consumption Updates'!$AS:$AS,$B169,'Cutters Consumption Updates'!AX:AX)</f>
        <v>36</v>
      </c>
      <c r="M169" s="810">
        <f t="shared" si="14"/>
        <v>36</v>
      </c>
      <c r="N169" s="810">
        <f ca="1">SUMIFS('Cutters Consumption Updates'!E:E,
        'Cutters Consumption Updates'!B:B, B169,
        'Cutters Consumption Updates'!A:A, "&gt;" &amp; TODAY()-182)</f>
        <v>439</v>
      </c>
      <c r="O169" s="810">
        <f ca="1">SUMIFS('Cutters Consumption Updates'!E:E,
        'Cutters Consumption Updates'!B:B, B169,
        'Cutters Consumption Updates'!A:A, "&gt;" &amp; TODAY()-91)</f>
        <v>245</v>
      </c>
      <c r="P169" s="810">
        <f t="shared" ca="1" si="15"/>
        <v>147</v>
      </c>
      <c r="Q169" s="703">
        <f t="shared" ca="1" si="16"/>
        <v>155</v>
      </c>
      <c r="R169" s="703" t="s">
        <v>29</v>
      </c>
      <c r="S169" s="24">
        <f>IFERROR(INDEX(Table5[],MATCH($B169,Table5[Component],0),2),0)</f>
        <v>210</v>
      </c>
      <c r="T169" s="813">
        <f>SUMIFS(Table7[Balance],Table7[Cutter Mat'#],$B169)</f>
        <v>100</v>
      </c>
      <c r="U169" s="24">
        <f t="shared" si="17"/>
        <v>-74</v>
      </c>
      <c r="V169" s="119"/>
      <c r="W169" s="2"/>
      <c r="Y169" s="4">
        <f>IFERROR(INDEX(Table5[],MATCH($B169,Table5[Component],0),2),0)</f>
        <v>210</v>
      </c>
      <c r="Z169" s="4">
        <f>IFERROR(INDEX(Table5[],MATCH($B169,Table5[Component],0),1),0)</f>
        <v>1078377</v>
      </c>
      <c r="AA169" s="4">
        <f>IF(Y169&lt;&gt;0,B169,"")</f>
        <v>1078377</v>
      </c>
      <c r="AB169" s="4" t="str">
        <f t="shared" si="18"/>
        <v/>
      </c>
      <c r="AD169" s="4">
        <f t="shared" si="19"/>
        <v>116</v>
      </c>
      <c r="AI169" s="248" t="str">
        <f>IFERROR(INDEX($B$1:$AK$243,MATCH(W169,$B$1:$B$243,0),13),"")</f>
        <v/>
      </c>
      <c r="AJ169" s="248" t="str">
        <f>IFERROR(INDEX($B$1:$AK$243,MATCH(W169,$B$1:$B$243,0),15),"")</f>
        <v/>
      </c>
      <c r="AK169">
        <f>SUMIF($W$2:$W$243,B169,$S$2:$S$243)</f>
        <v>0</v>
      </c>
      <c r="AN169" s="4"/>
      <c r="AO169" s="4"/>
      <c r="AP169">
        <f t="shared" si="20"/>
        <v>100</v>
      </c>
      <c r="AQ169" s="4"/>
      <c r="AR169" s="4">
        <v>1130217</v>
      </c>
      <c r="AS169">
        <f>SUMIF($B:$B,AR169,$AP:$AP)</f>
        <v>0</v>
      </c>
    </row>
    <row r="170" spans="1:45" ht="15.65" customHeight="1" x14ac:dyDescent="0.35">
      <c r="A170" s="2">
        <v>169</v>
      </c>
      <c r="B170" s="3">
        <v>1176641</v>
      </c>
      <c r="C170" s="2" t="s">
        <v>4335</v>
      </c>
      <c r="D170" s="2" t="s">
        <v>145</v>
      </c>
      <c r="E170" s="2">
        <v>1613</v>
      </c>
      <c r="F170" s="2" t="s">
        <v>253</v>
      </c>
      <c r="G170" s="2" t="s">
        <v>4336</v>
      </c>
      <c r="H170" s="10">
        <f>SUMIFS('Cutters Consumption Updates'!$F:$F,'Cutters Consumption Updates'!$D:$D,H$1,'Cutters Consumption Updates'!$B:$B,$B170)-SUMIFS('Cutters Consumption Updates'!$E:$E,'Cutters Consumption Updates'!$D:$D,H$1,'Cutters Consumption Updates'!$B:$B,$B170)+ SUMIF('Cutters Consumption Updates'!$AS:$AS,$B170,'Cutters Consumption Updates'!AT:AT)</f>
        <v>0</v>
      </c>
      <c r="I170" s="10">
        <f>SUMIFS('Cutters Consumption Updates'!$F:$F,'Cutters Consumption Updates'!$D:$D,I$1,'Cutters Consumption Updates'!$B:$B,$B170)-SUMIFS('Cutters Consumption Updates'!$E:$E,'Cutters Consumption Updates'!$D:$D,I$1,'Cutters Consumption Updates'!$B:$B,$B170)+ SUMIF('Cutters Consumption Updates'!$AS:$AS,$B170,'Cutters Consumption Updates'!AU:AU)</f>
        <v>0</v>
      </c>
      <c r="J170" s="116">
        <f>SUMIFS('Cutters Consumption Updates'!$F:$F,'Cutters Consumption Updates'!$D:$D,J$1,'Cutters Consumption Updates'!$B:$B,$B170)-SUMIFS('Cutters Consumption Updates'!$E:$E,'Cutters Consumption Updates'!$D:$D,J$1,'Cutters Consumption Updates'!$B:$B,$B170)+ SUMIF('Cutters Consumption Updates'!$AS:$AS,$B170,'Cutters Consumption Updates'!AV:AV)</f>
        <v>0</v>
      </c>
      <c r="K170" s="738">
        <f>SUMIFS('Cutters Consumption Updates'!$F:$F,'Cutters Consumption Updates'!$D:$D,K$1,'Cutters Consumption Updates'!$B:$B,$B170)-SUMIFS('Cutters Consumption Updates'!$E:$E,'Cutters Consumption Updates'!$D:$D,K$1,'Cutters Consumption Updates'!$B:$B,$B170)+ SUMIF('Cutters Consumption Updates'!$AS:$AS,$B170,'Cutters Consumption Updates'!AW:AW)</f>
        <v>0</v>
      </c>
      <c r="L170" s="116">
        <f>SUMIFS('Cutters Consumption Updates'!$F:$F,'Cutters Consumption Updates'!$D:$D,L$1,'Cutters Consumption Updates'!$B:$B,$B170)-SUMIFS('Cutters Consumption Updates'!$E:$E,'Cutters Consumption Updates'!$D:$D,$L$1,'Cutters Consumption Updates'!$B:$B,$B170)+SUMIFS('Cutters Consumption Updates'!$F:$F,'Cutters Consumption Updates'!$D:$D,"Retrofit",'Cutters Consumption Updates'!$B:$B,$B170)-SUMIFS('Cutters Consumption Updates'!$E:$E,'Cutters Consumption Updates'!$D:$D,"Retrofit",'Cutters Consumption Updates'!$B:$B,$B170)+ SUMIF('Cutters Consumption Updates'!$AS:$AS,$B170,'Cutters Consumption Updates'!AX:AX)</f>
        <v>1</v>
      </c>
      <c r="M170" s="810">
        <f t="shared" si="14"/>
        <v>1</v>
      </c>
      <c r="N170" s="810">
        <f ca="1">SUMIFS('Cutters Consumption Updates'!E:E,
        'Cutters Consumption Updates'!B:B, B170,
        'Cutters Consumption Updates'!A:A, "&gt;" &amp; TODAY()-182)</f>
        <v>0</v>
      </c>
      <c r="O170" s="810">
        <f ca="1">SUMIFS('Cutters Consumption Updates'!E:E,
        'Cutters Consumption Updates'!B:B, B170,
        'Cutters Consumption Updates'!A:A, "&gt;" &amp; TODAY()-91)</f>
        <v>0</v>
      </c>
      <c r="P170" s="810">
        <f t="shared" ca="1" si="15"/>
        <v>0</v>
      </c>
      <c r="Q170" s="703">
        <f t="shared" ca="1" si="16"/>
        <v>0</v>
      </c>
      <c r="R170" s="703" t="s">
        <v>29</v>
      </c>
      <c r="S170" s="24">
        <f>IFERROR(INDEX(Table5[],MATCH($B170,Table5[Component],0),2),0)</f>
        <v>0</v>
      </c>
      <c r="T170" s="813">
        <f>SUMIFS(Table7[Balance],Table7[Cutter Mat'#],$B170)</f>
        <v>0</v>
      </c>
      <c r="U170" s="24">
        <f t="shared" si="17"/>
        <v>1</v>
      </c>
      <c r="V170" s="119"/>
      <c r="W170" s="2"/>
      <c r="Y170" s="4">
        <f>IFERROR(INDEX(Table5[],MATCH($B170,Table5[Component],0),2),0)</f>
        <v>0</v>
      </c>
      <c r="Z170" s="4">
        <f>IFERROR(INDEX(Table5[],MATCH($B170,Table5[Component],0),1),0)</f>
        <v>0</v>
      </c>
      <c r="AA170" s="4" t="str">
        <f>IF(Y170&lt;&gt;0,B170,"")</f>
        <v/>
      </c>
      <c r="AB170" s="4" t="str">
        <f t="shared" si="18"/>
        <v/>
      </c>
      <c r="AD170" s="4">
        <f t="shared" si="19"/>
        <v>1</v>
      </c>
      <c r="AI170" s="248" t="str">
        <f>IFERROR(INDEX($B$1:$AK$243,MATCH(W170,$B$1:$B$243,0),13),"")</f>
        <v/>
      </c>
      <c r="AJ170" s="248" t="str">
        <f>IFERROR(INDEX($B$1:$AK$243,MATCH(W170,$B$1:$B$243,0),15),"")</f>
        <v/>
      </c>
      <c r="AK170">
        <f>SUMIF($W$2:$W$243,B170,$S$2:$S$243)</f>
        <v>0</v>
      </c>
      <c r="AN170" s="4"/>
      <c r="AO170" s="4"/>
      <c r="AP170">
        <f t="shared" si="20"/>
        <v>0</v>
      </c>
      <c r="AQ170" s="4"/>
      <c r="AR170" s="4">
        <v>1130219</v>
      </c>
      <c r="AS170">
        <f>SUMIF($B:$B,AR170,$AP:$AP)</f>
        <v>0</v>
      </c>
    </row>
    <row r="171" spans="1:45" ht="15.65" customHeight="1" x14ac:dyDescent="0.35">
      <c r="A171" s="2">
        <v>170</v>
      </c>
      <c r="B171" s="3">
        <v>1162516</v>
      </c>
      <c r="C171" s="2" t="s">
        <v>4379</v>
      </c>
      <c r="D171" s="2" t="s">
        <v>153</v>
      </c>
      <c r="E171" s="2">
        <v>1308</v>
      </c>
      <c r="F171" s="2" t="s">
        <v>253</v>
      </c>
      <c r="G171" s="2" t="s">
        <v>4336</v>
      </c>
      <c r="H171" s="10">
        <f>SUMIFS('Cutters Consumption Updates'!$F:$F,'Cutters Consumption Updates'!$D:$D,H$1,'Cutters Consumption Updates'!$B:$B,$B171)-SUMIFS('Cutters Consumption Updates'!$E:$E,'Cutters Consumption Updates'!$D:$D,H$1,'Cutters Consumption Updates'!$B:$B,$B171)+ SUMIF('Cutters Consumption Updates'!$AS:$AS,$B171,'Cutters Consumption Updates'!AT:AT)</f>
        <v>0</v>
      </c>
      <c r="I171" s="10">
        <f>SUMIFS('Cutters Consumption Updates'!$F:$F,'Cutters Consumption Updates'!$D:$D,I$1,'Cutters Consumption Updates'!$B:$B,$B171)-SUMIFS('Cutters Consumption Updates'!$E:$E,'Cutters Consumption Updates'!$D:$D,I$1,'Cutters Consumption Updates'!$B:$B,$B171)+ SUMIF('Cutters Consumption Updates'!$AS:$AS,$B171,'Cutters Consumption Updates'!AU:AU)</f>
        <v>0</v>
      </c>
      <c r="J171" s="116">
        <f>SUMIFS('Cutters Consumption Updates'!$F:$F,'Cutters Consumption Updates'!$D:$D,J$1,'Cutters Consumption Updates'!$B:$B,$B171)-SUMIFS('Cutters Consumption Updates'!$E:$E,'Cutters Consumption Updates'!$D:$D,J$1,'Cutters Consumption Updates'!$B:$B,$B171)+ SUMIF('Cutters Consumption Updates'!$AS:$AS,$B171,'Cutters Consumption Updates'!AV:AV)</f>
        <v>0</v>
      </c>
      <c r="K171" s="738">
        <f>SUMIFS('Cutters Consumption Updates'!$F:$F,'Cutters Consumption Updates'!$D:$D,K$1,'Cutters Consumption Updates'!$B:$B,$B171)-SUMIFS('Cutters Consumption Updates'!$E:$E,'Cutters Consumption Updates'!$D:$D,K$1,'Cutters Consumption Updates'!$B:$B,$B171)+ SUMIF('Cutters Consumption Updates'!$AS:$AS,$B171,'Cutters Consumption Updates'!AW:AW)</f>
        <v>0</v>
      </c>
      <c r="L171" s="116">
        <f>SUMIFS('Cutters Consumption Updates'!$F:$F,'Cutters Consumption Updates'!$D:$D,L$1,'Cutters Consumption Updates'!$B:$B,$B171)-SUMIFS('Cutters Consumption Updates'!$E:$E,'Cutters Consumption Updates'!$D:$D,$L$1,'Cutters Consumption Updates'!$B:$B,$B171)+SUMIFS('Cutters Consumption Updates'!$F:$F,'Cutters Consumption Updates'!$D:$D,"Retrofit",'Cutters Consumption Updates'!$B:$B,$B171)-SUMIFS('Cutters Consumption Updates'!$E:$E,'Cutters Consumption Updates'!$D:$D,"Retrofit",'Cutters Consumption Updates'!$B:$B,$B171)+ SUMIF('Cutters Consumption Updates'!$AS:$AS,$B171,'Cutters Consumption Updates'!AX:AX)</f>
        <v>0</v>
      </c>
      <c r="M171" s="810">
        <f t="shared" si="14"/>
        <v>0</v>
      </c>
      <c r="N171" s="810">
        <f ca="1">SUMIFS('Cutters Consumption Updates'!E:E,
        'Cutters Consumption Updates'!B:B, B171,
        'Cutters Consumption Updates'!A:A, "&gt;" &amp; TODAY()-182)</f>
        <v>0</v>
      </c>
      <c r="O171" s="810">
        <f ca="1">SUMIFS('Cutters Consumption Updates'!E:E,
        'Cutters Consumption Updates'!B:B, B171,
        'Cutters Consumption Updates'!A:A, "&gt;" &amp; TODAY()-91)</f>
        <v>0</v>
      </c>
      <c r="P171" s="810">
        <f t="shared" ca="1" si="15"/>
        <v>0</v>
      </c>
      <c r="Q171" s="703">
        <f t="shared" ca="1" si="16"/>
        <v>0</v>
      </c>
      <c r="R171" s="703" t="s">
        <v>29</v>
      </c>
      <c r="S171" s="24">
        <f>IFERROR(INDEX(Table5[],MATCH($B171,Table5[Component],0),2),0)</f>
        <v>0</v>
      </c>
      <c r="T171" s="813">
        <f>SUMIFS(Table7[Balance],Table7[Cutter Mat'#],$B171)</f>
        <v>0</v>
      </c>
      <c r="U171" s="24">
        <f t="shared" si="17"/>
        <v>0</v>
      </c>
      <c r="V171" s="119"/>
      <c r="W171" s="2"/>
      <c r="Y171" s="4">
        <f>IFERROR(INDEX(Table5[],MATCH($B171,Table5[Component],0),2),0)</f>
        <v>0</v>
      </c>
      <c r="Z171" s="4">
        <f>IFERROR(INDEX(Table5[],MATCH($B171,Table5[Component],0),1),0)</f>
        <v>0</v>
      </c>
      <c r="AA171" s="4" t="str">
        <f>IF(Y171&lt;&gt;0,B171,"")</f>
        <v/>
      </c>
      <c r="AB171" s="4" t="str">
        <f t="shared" si="18"/>
        <v/>
      </c>
      <c r="AD171" s="4">
        <f t="shared" si="19"/>
        <v>0</v>
      </c>
      <c r="AI171" s="248" t="str">
        <f>IFERROR(INDEX($B$1:$AK$243,MATCH(W171,$B$1:$B$243,0),13),"")</f>
        <v/>
      </c>
      <c r="AJ171" s="248" t="str">
        <f>IFERROR(INDEX($B$1:$AK$243,MATCH(W171,$B$1:$B$243,0),15),"")</f>
        <v/>
      </c>
      <c r="AK171">
        <f>SUMIF($W$2:$W$243,B171,$S$2:$S$243)</f>
        <v>0</v>
      </c>
      <c r="AN171" s="4"/>
      <c r="AO171" s="4"/>
      <c r="AP171">
        <f t="shared" si="20"/>
        <v>0</v>
      </c>
      <c r="AQ171" s="4"/>
      <c r="AR171" s="4">
        <v>1130221</v>
      </c>
      <c r="AS171">
        <f>SUMIF($B:$B,AR171,$AP:$AP)</f>
        <v>0</v>
      </c>
    </row>
    <row r="172" spans="1:45" ht="15.65" customHeight="1" x14ac:dyDescent="0.35">
      <c r="A172" s="2">
        <v>171</v>
      </c>
      <c r="B172" s="3">
        <v>1162518</v>
      </c>
      <c r="C172" s="2" t="s">
        <v>4381</v>
      </c>
      <c r="D172" s="2" t="s">
        <v>153</v>
      </c>
      <c r="E172" s="2">
        <v>1608</v>
      </c>
      <c r="F172" s="2" t="s">
        <v>253</v>
      </c>
      <c r="G172" s="2" t="s">
        <v>4336</v>
      </c>
      <c r="H172" s="10">
        <f>SUMIFS('Cutters Consumption Updates'!$F:$F,'Cutters Consumption Updates'!$D:$D,H$1,'Cutters Consumption Updates'!$B:$B,$B172)-SUMIFS('Cutters Consumption Updates'!$E:$E,'Cutters Consumption Updates'!$D:$D,H$1,'Cutters Consumption Updates'!$B:$B,$B172)+ SUMIF('Cutters Consumption Updates'!$AS:$AS,$B172,'Cutters Consumption Updates'!AT:AT)</f>
        <v>0</v>
      </c>
      <c r="I172" s="10">
        <f>SUMIFS('Cutters Consumption Updates'!$F:$F,'Cutters Consumption Updates'!$D:$D,I$1,'Cutters Consumption Updates'!$B:$B,$B172)-SUMIFS('Cutters Consumption Updates'!$E:$E,'Cutters Consumption Updates'!$D:$D,I$1,'Cutters Consumption Updates'!$B:$B,$B172)+ SUMIF('Cutters Consumption Updates'!$AS:$AS,$B172,'Cutters Consumption Updates'!AU:AU)</f>
        <v>0</v>
      </c>
      <c r="J172" s="116">
        <f>SUMIFS('Cutters Consumption Updates'!$F:$F,'Cutters Consumption Updates'!$D:$D,J$1,'Cutters Consumption Updates'!$B:$B,$B172)-SUMIFS('Cutters Consumption Updates'!$E:$E,'Cutters Consumption Updates'!$D:$D,J$1,'Cutters Consumption Updates'!$B:$B,$B172)+ SUMIF('Cutters Consumption Updates'!$AS:$AS,$B172,'Cutters Consumption Updates'!AV:AV)</f>
        <v>0</v>
      </c>
      <c r="K172" s="738">
        <f>SUMIFS('Cutters Consumption Updates'!$F:$F,'Cutters Consumption Updates'!$D:$D,K$1,'Cutters Consumption Updates'!$B:$B,$B172)-SUMIFS('Cutters Consumption Updates'!$E:$E,'Cutters Consumption Updates'!$D:$D,K$1,'Cutters Consumption Updates'!$B:$B,$B172)+ SUMIF('Cutters Consumption Updates'!$AS:$AS,$B172,'Cutters Consumption Updates'!AW:AW)</f>
        <v>0</v>
      </c>
      <c r="L172" s="116">
        <f>SUMIFS('Cutters Consumption Updates'!$F:$F,'Cutters Consumption Updates'!$D:$D,L$1,'Cutters Consumption Updates'!$B:$B,$B172)-SUMIFS('Cutters Consumption Updates'!$E:$E,'Cutters Consumption Updates'!$D:$D,$L$1,'Cutters Consumption Updates'!$B:$B,$B172)+SUMIFS('Cutters Consumption Updates'!$F:$F,'Cutters Consumption Updates'!$D:$D,"Retrofit",'Cutters Consumption Updates'!$B:$B,$B172)-SUMIFS('Cutters Consumption Updates'!$E:$E,'Cutters Consumption Updates'!$D:$D,"Retrofit",'Cutters Consumption Updates'!$B:$B,$B172)+ SUMIF('Cutters Consumption Updates'!$AS:$AS,$B172,'Cutters Consumption Updates'!AX:AX)</f>
        <v>0</v>
      </c>
      <c r="M172" s="810">
        <f t="shared" si="14"/>
        <v>0</v>
      </c>
      <c r="N172" s="810">
        <f ca="1">SUMIFS('Cutters Consumption Updates'!E:E,
        'Cutters Consumption Updates'!B:B, B172,
        'Cutters Consumption Updates'!A:A, "&gt;" &amp; TODAY()-182)</f>
        <v>0</v>
      </c>
      <c r="O172" s="810">
        <f ca="1">SUMIFS('Cutters Consumption Updates'!E:E,
        'Cutters Consumption Updates'!B:B, B172,
        'Cutters Consumption Updates'!A:A, "&gt;" &amp; TODAY()-91)</f>
        <v>0</v>
      </c>
      <c r="P172" s="810">
        <f t="shared" ca="1" si="15"/>
        <v>0</v>
      </c>
      <c r="Q172" s="703">
        <f t="shared" ca="1" si="16"/>
        <v>0</v>
      </c>
      <c r="R172" s="703" t="s">
        <v>29</v>
      </c>
      <c r="S172" s="24">
        <f>IFERROR(INDEX(Table5[],MATCH($B172,Table5[Component],0),2),0)</f>
        <v>0</v>
      </c>
      <c r="T172" s="813">
        <f>SUMIFS(Table7[Balance],Table7[Cutter Mat'#],$B172)</f>
        <v>0</v>
      </c>
      <c r="U172" s="24">
        <f t="shared" si="17"/>
        <v>0</v>
      </c>
      <c r="V172" s="119"/>
      <c r="W172" s="2"/>
      <c r="Y172" s="4">
        <f>IFERROR(INDEX(Table5[],MATCH($B172,Table5[Component],0),2),0)</f>
        <v>0</v>
      </c>
      <c r="Z172" s="4">
        <f>IFERROR(INDEX(Table5[],MATCH($B172,Table5[Component],0),1),0)</f>
        <v>0</v>
      </c>
      <c r="AA172" s="4" t="str">
        <f>IF(Y172&lt;&gt;0,B172,"")</f>
        <v/>
      </c>
      <c r="AB172" s="4" t="str">
        <f t="shared" si="18"/>
        <v/>
      </c>
      <c r="AD172" s="4">
        <f t="shared" si="19"/>
        <v>0</v>
      </c>
      <c r="AI172" s="248" t="str">
        <f>IFERROR(INDEX($B$1:$AK$243,MATCH(W172,$B$1:$B$243,0),13),"")</f>
        <v/>
      </c>
      <c r="AJ172" s="248" t="str">
        <f>IFERROR(INDEX($B$1:$AK$243,MATCH(W172,$B$1:$B$243,0),15),"")</f>
        <v/>
      </c>
      <c r="AK172">
        <f>SUMIF($W$2:$W$243,B172,$S$2:$S$243)</f>
        <v>0</v>
      </c>
      <c r="AN172" s="4"/>
      <c r="AO172" s="4"/>
      <c r="AP172">
        <f t="shared" si="20"/>
        <v>0</v>
      </c>
      <c r="AQ172" s="4"/>
      <c r="AR172" s="4">
        <v>1130223</v>
      </c>
      <c r="AS172">
        <f>SUMIF($B:$B,AR172,$AP:$AP)</f>
        <v>0</v>
      </c>
    </row>
    <row r="173" spans="1:45" ht="15.65" customHeight="1" x14ac:dyDescent="0.35">
      <c r="A173" s="2">
        <v>172</v>
      </c>
      <c r="B173" s="3">
        <v>1100759</v>
      </c>
      <c r="C173" s="2" t="s">
        <v>4377</v>
      </c>
      <c r="D173" s="2" t="s">
        <v>133</v>
      </c>
      <c r="E173" s="2">
        <v>1913</v>
      </c>
      <c r="F173" s="2" t="s">
        <v>253</v>
      </c>
      <c r="G173" s="2" t="s">
        <v>4275</v>
      </c>
      <c r="H173" s="10">
        <f>SUMIFS('Cutters Consumption Updates'!$F:$F,'Cutters Consumption Updates'!$D:$D,H$1,'Cutters Consumption Updates'!$B:$B,$B173)-SUMIFS('Cutters Consumption Updates'!$E:$E,'Cutters Consumption Updates'!$D:$D,H$1,'Cutters Consumption Updates'!$B:$B,$B173)+ SUMIF('Cutters Consumption Updates'!$AS:$AS,$B173,'Cutters Consumption Updates'!AT:AT)</f>
        <v>0</v>
      </c>
      <c r="I173" s="10">
        <f>SUMIFS('Cutters Consumption Updates'!$F:$F,'Cutters Consumption Updates'!$D:$D,I$1,'Cutters Consumption Updates'!$B:$B,$B173)-SUMIFS('Cutters Consumption Updates'!$E:$E,'Cutters Consumption Updates'!$D:$D,I$1,'Cutters Consumption Updates'!$B:$B,$B173)+ SUMIF('Cutters Consumption Updates'!$AS:$AS,$B173,'Cutters Consumption Updates'!AU:AU)</f>
        <v>0</v>
      </c>
      <c r="J173" s="116">
        <f>SUMIFS('Cutters Consumption Updates'!$F:$F,'Cutters Consumption Updates'!$D:$D,J$1,'Cutters Consumption Updates'!$B:$B,$B173)-SUMIFS('Cutters Consumption Updates'!$E:$E,'Cutters Consumption Updates'!$D:$D,J$1,'Cutters Consumption Updates'!$B:$B,$B173)+ SUMIF('Cutters Consumption Updates'!$AS:$AS,$B173,'Cutters Consumption Updates'!AV:AV)</f>
        <v>0</v>
      </c>
      <c r="K173" s="738">
        <f>SUMIFS('Cutters Consumption Updates'!$F:$F,'Cutters Consumption Updates'!$D:$D,K$1,'Cutters Consumption Updates'!$B:$B,$B173)-SUMIFS('Cutters Consumption Updates'!$E:$E,'Cutters Consumption Updates'!$D:$D,K$1,'Cutters Consumption Updates'!$B:$B,$B173)+ SUMIF('Cutters Consumption Updates'!$AS:$AS,$B173,'Cutters Consumption Updates'!AW:AW)</f>
        <v>0</v>
      </c>
      <c r="L173" s="116">
        <f>SUMIFS('Cutters Consumption Updates'!$F:$F,'Cutters Consumption Updates'!$D:$D,L$1,'Cutters Consumption Updates'!$B:$B,$B173)-SUMIFS('Cutters Consumption Updates'!$E:$E,'Cutters Consumption Updates'!$D:$D,$L$1,'Cutters Consumption Updates'!$B:$B,$B173)+SUMIFS('Cutters Consumption Updates'!$F:$F,'Cutters Consumption Updates'!$D:$D,"Retrofit",'Cutters Consumption Updates'!$B:$B,$B173)-SUMIFS('Cutters Consumption Updates'!$E:$E,'Cutters Consumption Updates'!$D:$D,"Retrofit",'Cutters Consumption Updates'!$B:$B,$B173)+ SUMIF('Cutters Consumption Updates'!$AS:$AS,$B173,'Cutters Consumption Updates'!AX:AX)</f>
        <v>12</v>
      </c>
      <c r="M173" s="810">
        <f t="shared" si="14"/>
        <v>12</v>
      </c>
      <c r="N173" s="810">
        <f ca="1">SUMIFS('Cutters Consumption Updates'!E:E,
        'Cutters Consumption Updates'!B:B, B173,
        'Cutters Consumption Updates'!A:A, "&gt;" &amp; TODAY()-182)</f>
        <v>1</v>
      </c>
      <c r="O173" s="810">
        <f ca="1">SUMIFS('Cutters Consumption Updates'!E:E,
        'Cutters Consumption Updates'!B:B, B173,
        'Cutters Consumption Updates'!A:A, "&gt;" &amp; TODAY()-91)</f>
        <v>1</v>
      </c>
      <c r="P173" s="810">
        <f t="shared" ca="1" si="15"/>
        <v>1</v>
      </c>
      <c r="Q173" s="703">
        <f t="shared" ca="1" si="16"/>
        <v>0</v>
      </c>
      <c r="R173" s="703" t="s">
        <v>63</v>
      </c>
      <c r="S173" s="24">
        <f>IFERROR(INDEX(Table5[],MATCH($B173,Table5[Component],0),2),0)</f>
        <v>0</v>
      </c>
      <c r="T173" s="813">
        <f>SUMIFS(Table7[Balance],Table7[Cutter Mat'#],$B173)</f>
        <v>0</v>
      </c>
      <c r="U173" s="24">
        <f t="shared" si="17"/>
        <v>12</v>
      </c>
      <c r="V173" s="119"/>
      <c r="W173" s="2"/>
      <c r="Y173" s="4">
        <f>IFERROR(INDEX(Table5[],MATCH($B173,Table5[Component],0),2),0)</f>
        <v>0</v>
      </c>
      <c r="Z173" s="4">
        <f>IFERROR(INDEX(Table5[],MATCH($B173,Table5[Component],0),1),0)</f>
        <v>0</v>
      </c>
      <c r="AA173" s="4" t="str">
        <f>IF(Y173&lt;&gt;0,B173,"")</f>
        <v/>
      </c>
      <c r="AB173" s="4" t="str">
        <f t="shared" si="18"/>
        <v/>
      </c>
      <c r="AD173" s="4">
        <f t="shared" si="19"/>
        <v>12</v>
      </c>
      <c r="AI173" s="248" t="str">
        <f>IFERROR(INDEX($B$1:$AK$243,MATCH(W173,$B$1:$B$243,0),13),"")</f>
        <v/>
      </c>
      <c r="AJ173" s="248" t="str">
        <f>IFERROR(INDEX($B$1:$AK$243,MATCH(W173,$B$1:$B$243,0),15),"")</f>
        <v/>
      </c>
      <c r="AK173">
        <f>SUMIF($W$2:$W$243,B173,$S$2:$S$243)</f>
        <v>0</v>
      </c>
      <c r="AN173" s="4"/>
      <c r="AO173" s="4"/>
      <c r="AP173">
        <f t="shared" si="20"/>
        <v>0</v>
      </c>
      <c r="AQ173" s="4"/>
      <c r="AR173" s="4">
        <v>1133896</v>
      </c>
      <c r="AS173">
        <f>SUMIF($B:$B,AR173,$AP:$AP)</f>
        <v>0</v>
      </c>
    </row>
    <row r="174" spans="1:45" ht="15.65" customHeight="1" x14ac:dyDescent="0.35">
      <c r="A174" s="2">
        <v>173</v>
      </c>
      <c r="B174" s="3">
        <v>1163820</v>
      </c>
      <c r="C174" s="2" t="s">
        <v>4378</v>
      </c>
      <c r="D174" s="2" t="s">
        <v>154</v>
      </c>
      <c r="E174" s="2">
        <v>1613</v>
      </c>
      <c r="F174" s="2" t="s">
        <v>253</v>
      </c>
      <c r="G174" s="2" t="s">
        <v>49</v>
      </c>
      <c r="H174" s="10">
        <f>SUMIFS('Cutters Consumption Updates'!$F:$F,'Cutters Consumption Updates'!$D:$D,H$1,'Cutters Consumption Updates'!$B:$B,$B174)-SUMIFS('Cutters Consumption Updates'!$E:$E,'Cutters Consumption Updates'!$D:$D,H$1,'Cutters Consumption Updates'!$B:$B,$B174)+ SUMIF('Cutters Consumption Updates'!$AS:$AS,$B174,'Cutters Consumption Updates'!AT:AT)</f>
        <v>0</v>
      </c>
      <c r="I174" s="10">
        <f>SUMIFS('Cutters Consumption Updates'!$F:$F,'Cutters Consumption Updates'!$D:$D,I$1,'Cutters Consumption Updates'!$B:$B,$B174)-SUMIFS('Cutters Consumption Updates'!$E:$E,'Cutters Consumption Updates'!$D:$D,I$1,'Cutters Consumption Updates'!$B:$B,$B174)+ SUMIF('Cutters Consumption Updates'!$AS:$AS,$B174,'Cutters Consumption Updates'!AU:AU)</f>
        <v>0</v>
      </c>
      <c r="J174" s="116">
        <f>SUMIFS('Cutters Consumption Updates'!$F:$F,'Cutters Consumption Updates'!$D:$D,J$1,'Cutters Consumption Updates'!$B:$B,$B174)-SUMIFS('Cutters Consumption Updates'!$E:$E,'Cutters Consumption Updates'!$D:$D,J$1,'Cutters Consumption Updates'!$B:$B,$B174)+ SUMIF('Cutters Consumption Updates'!$AS:$AS,$B174,'Cutters Consumption Updates'!AV:AV)</f>
        <v>0</v>
      </c>
      <c r="K174" s="738">
        <f>SUMIFS('Cutters Consumption Updates'!$F:$F,'Cutters Consumption Updates'!$D:$D,K$1,'Cutters Consumption Updates'!$B:$B,$B174)-SUMIFS('Cutters Consumption Updates'!$E:$E,'Cutters Consumption Updates'!$D:$D,K$1,'Cutters Consumption Updates'!$B:$B,$B174)+ SUMIF('Cutters Consumption Updates'!$AS:$AS,$B174,'Cutters Consumption Updates'!AW:AW)</f>
        <v>0</v>
      </c>
      <c r="L174" s="116">
        <f>SUMIFS('Cutters Consumption Updates'!$F:$F,'Cutters Consumption Updates'!$D:$D,L$1,'Cutters Consumption Updates'!$B:$B,$B174)-SUMIFS('Cutters Consumption Updates'!$E:$E,'Cutters Consumption Updates'!$D:$D,$L$1,'Cutters Consumption Updates'!$B:$B,$B174)+SUMIFS('Cutters Consumption Updates'!$F:$F,'Cutters Consumption Updates'!$D:$D,"Retrofit",'Cutters Consumption Updates'!$B:$B,$B174)-SUMIFS('Cutters Consumption Updates'!$E:$E,'Cutters Consumption Updates'!$D:$D,"Retrofit",'Cutters Consumption Updates'!$B:$B,$B174)+ SUMIF('Cutters Consumption Updates'!$AS:$AS,$B174,'Cutters Consumption Updates'!AX:AX)</f>
        <v>1</v>
      </c>
      <c r="M174" s="810">
        <f t="shared" si="14"/>
        <v>1</v>
      </c>
      <c r="N174" s="810">
        <f ca="1">SUMIFS('Cutters Consumption Updates'!E:E,
        'Cutters Consumption Updates'!B:B, B174,
        'Cutters Consumption Updates'!A:A, "&gt;" &amp; TODAY()-182)</f>
        <v>0</v>
      </c>
      <c r="O174" s="810">
        <f ca="1">SUMIFS('Cutters Consumption Updates'!E:E,
        'Cutters Consumption Updates'!B:B, B174,
        'Cutters Consumption Updates'!A:A, "&gt;" &amp; TODAY()-91)</f>
        <v>0</v>
      </c>
      <c r="P174" s="810">
        <f t="shared" ca="1" si="15"/>
        <v>0</v>
      </c>
      <c r="Q174" s="703">
        <f t="shared" ca="1" si="16"/>
        <v>0</v>
      </c>
      <c r="R174" s="703" t="s">
        <v>64</v>
      </c>
      <c r="S174" s="24">
        <f>IFERROR(INDEX(Table5[],MATCH($B174,Table5[Component],0),2),0)</f>
        <v>0</v>
      </c>
      <c r="T174" s="813">
        <f>SUMIFS(Table7[Balance],Table7[Cutter Mat'#],$B174)</f>
        <v>0</v>
      </c>
      <c r="U174" s="24">
        <f t="shared" si="17"/>
        <v>1</v>
      </c>
      <c r="V174" s="119"/>
      <c r="W174" s="2"/>
      <c r="Y174" s="4">
        <f>IFERROR(INDEX(Table5[],MATCH($B174,Table5[Component],0),2),0)</f>
        <v>0</v>
      </c>
      <c r="Z174" s="4">
        <f>IFERROR(INDEX(Table5[],MATCH($B174,Table5[Component],0),1),0)</f>
        <v>0</v>
      </c>
      <c r="AA174" s="4" t="str">
        <f>IF(Y174&lt;&gt;0,B174,"")</f>
        <v/>
      </c>
      <c r="AB174" s="4" t="str">
        <f t="shared" si="18"/>
        <v/>
      </c>
      <c r="AD174" s="4">
        <f t="shared" si="19"/>
        <v>1</v>
      </c>
      <c r="AI174" s="248" t="str">
        <f>IFERROR(INDEX($B$1:$AK$243,MATCH(W174,$B$1:$B$243,0),13),"")</f>
        <v/>
      </c>
      <c r="AJ174" s="248" t="str">
        <f>IFERROR(INDEX($B$1:$AK$243,MATCH(W174,$B$1:$B$243,0),15),"")</f>
        <v/>
      </c>
      <c r="AK174">
        <f>SUMIF($W$2:$W$243,B174,$S$2:$S$243)</f>
        <v>0</v>
      </c>
      <c r="AN174" s="4"/>
      <c r="AO174" s="4"/>
      <c r="AP174">
        <f t="shared" si="20"/>
        <v>0</v>
      </c>
      <c r="AQ174" s="4"/>
      <c r="AR174" s="4">
        <v>1134751</v>
      </c>
      <c r="AS174">
        <f>SUMIF($B:$B,AR174,$AP:$AP)</f>
        <v>0</v>
      </c>
    </row>
    <row r="175" spans="1:45" ht="15.65" customHeight="1" x14ac:dyDescent="0.35">
      <c r="A175" s="2">
        <v>174</v>
      </c>
      <c r="B175" s="3">
        <v>1162508</v>
      </c>
      <c r="C175" s="2" t="s">
        <v>4379</v>
      </c>
      <c r="D175" s="2" t="s">
        <v>153</v>
      </c>
      <c r="E175" s="2">
        <v>1308</v>
      </c>
      <c r="F175" s="2" t="s">
        <v>253</v>
      </c>
      <c r="G175" s="2" t="s">
        <v>4336</v>
      </c>
      <c r="H175" s="10">
        <f>SUMIFS('Cutters Consumption Updates'!$F:$F,'Cutters Consumption Updates'!$D:$D,H$1,'Cutters Consumption Updates'!$B:$B,$B175)-SUMIFS('Cutters Consumption Updates'!$E:$E,'Cutters Consumption Updates'!$D:$D,H$1,'Cutters Consumption Updates'!$B:$B,$B175)+ SUMIF('Cutters Consumption Updates'!$AS:$AS,$B175,'Cutters Consumption Updates'!AT:AT)</f>
        <v>0</v>
      </c>
      <c r="I175" s="10">
        <f>SUMIFS('Cutters Consumption Updates'!$F:$F,'Cutters Consumption Updates'!$D:$D,I$1,'Cutters Consumption Updates'!$B:$B,$B175)-SUMIFS('Cutters Consumption Updates'!$E:$E,'Cutters Consumption Updates'!$D:$D,I$1,'Cutters Consumption Updates'!$B:$B,$B175)+ SUMIF('Cutters Consumption Updates'!$AS:$AS,$B175,'Cutters Consumption Updates'!AU:AU)</f>
        <v>0</v>
      </c>
      <c r="J175" s="116">
        <f>SUMIFS('Cutters Consumption Updates'!$F:$F,'Cutters Consumption Updates'!$D:$D,J$1,'Cutters Consumption Updates'!$B:$B,$B175)-SUMIFS('Cutters Consumption Updates'!$E:$E,'Cutters Consumption Updates'!$D:$D,J$1,'Cutters Consumption Updates'!$B:$B,$B175)+ SUMIF('Cutters Consumption Updates'!$AS:$AS,$B175,'Cutters Consumption Updates'!AV:AV)</f>
        <v>0</v>
      </c>
      <c r="K175" s="738">
        <f>SUMIFS('Cutters Consumption Updates'!$F:$F,'Cutters Consumption Updates'!$D:$D,K$1,'Cutters Consumption Updates'!$B:$B,$B175)-SUMIFS('Cutters Consumption Updates'!$E:$E,'Cutters Consumption Updates'!$D:$D,K$1,'Cutters Consumption Updates'!$B:$B,$B175)+ SUMIF('Cutters Consumption Updates'!$AS:$AS,$B175,'Cutters Consumption Updates'!AW:AW)</f>
        <v>0</v>
      </c>
      <c r="L175" s="116">
        <f>SUMIFS('Cutters Consumption Updates'!$F:$F,'Cutters Consumption Updates'!$D:$D,L$1,'Cutters Consumption Updates'!$B:$B,$B175)-SUMIFS('Cutters Consumption Updates'!$E:$E,'Cutters Consumption Updates'!$D:$D,$L$1,'Cutters Consumption Updates'!$B:$B,$B175)+SUMIFS('Cutters Consumption Updates'!$F:$F,'Cutters Consumption Updates'!$D:$D,"Retrofit",'Cutters Consumption Updates'!$B:$B,$B175)-SUMIFS('Cutters Consumption Updates'!$E:$E,'Cutters Consumption Updates'!$D:$D,"Retrofit",'Cutters Consumption Updates'!$B:$B,$B175)+ SUMIF('Cutters Consumption Updates'!$AS:$AS,$B175,'Cutters Consumption Updates'!AX:AX)</f>
        <v>2</v>
      </c>
      <c r="M175" s="810">
        <f t="shared" si="14"/>
        <v>2</v>
      </c>
      <c r="N175" s="810">
        <f ca="1">SUMIFS('Cutters Consumption Updates'!E:E,
        'Cutters Consumption Updates'!B:B, B175,
        'Cutters Consumption Updates'!A:A, "&gt;" &amp; TODAY()-182)</f>
        <v>0</v>
      </c>
      <c r="O175" s="810">
        <f ca="1">SUMIFS('Cutters Consumption Updates'!E:E,
        'Cutters Consumption Updates'!B:B, B175,
        'Cutters Consumption Updates'!A:A, "&gt;" &amp; TODAY()-91)</f>
        <v>0</v>
      </c>
      <c r="P175" s="810">
        <f t="shared" ca="1" si="15"/>
        <v>0</v>
      </c>
      <c r="Q175" s="703">
        <f t="shared" ca="1" si="16"/>
        <v>0</v>
      </c>
      <c r="R175" s="703" t="s">
        <v>29</v>
      </c>
      <c r="S175" s="24">
        <f>IFERROR(INDEX(Table5[],MATCH($B175,Table5[Component],0),2),0)</f>
        <v>0</v>
      </c>
      <c r="T175" s="813">
        <f>SUMIFS(Table7[Balance],Table7[Cutter Mat'#],$B175)</f>
        <v>0</v>
      </c>
      <c r="U175" s="24">
        <f t="shared" si="17"/>
        <v>2</v>
      </c>
      <c r="V175" s="119"/>
      <c r="W175" s="2"/>
      <c r="Y175" s="4">
        <f>IFERROR(INDEX(Table5[],MATCH($B175,Table5[Component],0),2),0)</f>
        <v>0</v>
      </c>
      <c r="Z175" s="4">
        <f>IFERROR(INDEX(Table5[],MATCH($B175,Table5[Component],0),1),0)</f>
        <v>0</v>
      </c>
      <c r="AA175" s="4" t="str">
        <f>IF(Y175&lt;&gt;0,B175,"")</f>
        <v/>
      </c>
      <c r="AB175" s="4" t="str">
        <f t="shared" si="18"/>
        <v/>
      </c>
      <c r="AD175" s="4">
        <f t="shared" si="19"/>
        <v>2</v>
      </c>
      <c r="AI175" s="248" t="str">
        <f>IFERROR(INDEX($B$1:$AK$243,MATCH(W175,$B$1:$B$243,0),13),"")</f>
        <v/>
      </c>
      <c r="AJ175" s="248" t="str">
        <f>IFERROR(INDEX($B$1:$AK$243,MATCH(W175,$B$1:$B$243,0),15),"")</f>
        <v/>
      </c>
      <c r="AK175">
        <f>SUMIF($W$2:$W$243,B175,$S$2:$S$243)</f>
        <v>0</v>
      </c>
      <c r="AN175" s="4"/>
      <c r="AO175" s="4"/>
      <c r="AP175">
        <f t="shared" si="20"/>
        <v>0</v>
      </c>
      <c r="AQ175" s="4"/>
      <c r="AR175" s="4">
        <v>1134752</v>
      </c>
      <c r="AS175">
        <f>SUMIF($B:$B,AR175,$AP:$AP)</f>
        <v>0</v>
      </c>
    </row>
    <row r="176" spans="1:45" ht="15.65" customHeight="1" x14ac:dyDescent="0.35">
      <c r="A176" s="2">
        <v>175</v>
      </c>
      <c r="B176" s="3">
        <v>1100751</v>
      </c>
      <c r="C176" s="2" t="s">
        <v>4380</v>
      </c>
      <c r="D176" s="2" t="s">
        <v>133</v>
      </c>
      <c r="E176" s="2">
        <v>1313</v>
      </c>
      <c r="F176" s="2" t="s">
        <v>253</v>
      </c>
      <c r="G176" s="2" t="s">
        <v>4275</v>
      </c>
      <c r="H176" s="10">
        <f>SUMIFS('Cutters Consumption Updates'!$F:$F,'Cutters Consumption Updates'!$D:$D,H$1,'Cutters Consumption Updates'!$B:$B,$B176)-SUMIFS('Cutters Consumption Updates'!$E:$E,'Cutters Consumption Updates'!$D:$D,H$1,'Cutters Consumption Updates'!$B:$B,$B176)+ SUMIF('Cutters Consumption Updates'!$AS:$AS,$B176,'Cutters Consumption Updates'!AT:AT)</f>
        <v>0</v>
      </c>
      <c r="I176" s="10">
        <f>SUMIFS('Cutters Consumption Updates'!$F:$F,'Cutters Consumption Updates'!$D:$D,I$1,'Cutters Consumption Updates'!$B:$B,$B176)-SUMIFS('Cutters Consumption Updates'!$E:$E,'Cutters Consumption Updates'!$D:$D,I$1,'Cutters Consumption Updates'!$B:$B,$B176)+ SUMIF('Cutters Consumption Updates'!$AS:$AS,$B176,'Cutters Consumption Updates'!AU:AU)</f>
        <v>0</v>
      </c>
      <c r="J176" s="116">
        <f>SUMIFS('Cutters Consumption Updates'!$F:$F,'Cutters Consumption Updates'!$D:$D,J$1,'Cutters Consumption Updates'!$B:$B,$B176)-SUMIFS('Cutters Consumption Updates'!$E:$E,'Cutters Consumption Updates'!$D:$D,J$1,'Cutters Consumption Updates'!$B:$B,$B176)+ SUMIF('Cutters Consumption Updates'!$AS:$AS,$B176,'Cutters Consumption Updates'!AV:AV)</f>
        <v>0</v>
      </c>
      <c r="K176" s="738">
        <f>SUMIFS('Cutters Consumption Updates'!$F:$F,'Cutters Consumption Updates'!$D:$D,K$1,'Cutters Consumption Updates'!$B:$B,$B176)-SUMIFS('Cutters Consumption Updates'!$E:$E,'Cutters Consumption Updates'!$D:$D,K$1,'Cutters Consumption Updates'!$B:$B,$B176)+ SUMIF('Cutters Consumption Updates'!$AS:$AS,$B176,'Cutters Consumption Updates'!AW:AW)</f>
        <v>0</v>
      </c>
      <c r="L176" s="116">
        <f>SUMIFS('Cutters Consumption Updates'!$F:$F,'Cutters Consumption Updates'!$D:$D,L$1,'Cutters Consumption Updates'!$B:$B,$B176)-SUMIFS('Cutters Consumption Updates'!$E:$E,'Cutters Consumption Updates'!$D:$D,$L$1,'Cutters Consumption Updates'!$B:$B,$B176)+SUMIFS('Cutters Consumption Updates'!$F:$F,'Cutters Consumption Updates'!$D:$D,"Retrofit",'Cutters Consumption Updates'!$B:$B,$B176)-SUMIFS('Cutters Consumption Updates'!$E:$E,'Cutters Consumption Updates'!$D:$D,"Retrofit",'Cutters Consumption Updates'!$B:$B,$B176)+ SUMIF('Cutters Consumption Updates'!$AS:$AS,$B176,'Cutters Consumption Updates'!AX:AX)</f>
        <v>17</v>
      </c>
      <c r="M176" s="810">
        <f t="shared" si="14"/>
        <v>17</v>
      </c>
      <c r="N176" s="810">
        <f ca="1">SUMIFS('Cutters Consumption Updates'!E:E,
        'Cutters Consumption Updates'!B:B, B176,
        'Cutters Consumption Updates'!A:A, "&gt;" &amp; TODAY()-182)</f>
        <v>30</v>
      </c>
      <c r="O176" s="810">
        <f ca="1">SUMIFS('Cutters Consumption Updates'!E:E,
        'Cutters Consumption Updates'!B:B, B176,
        'Cutters Consumption Updates'!A:A, "&gt;" &amp; TODAY()-91)</f>
        <v>0</v>
      </c>
      <c r="P176" s="810">
        <f t="shared" ca="1" si="15"/>
        <v>10</v>
      </c>
      <c r="Q176" s="703">
        <f t="shared" ca="1" si="16"/>
        <v>15</v>
      </c>
      <c r="R176" s="703" t="s">
        <v>89</v>
      </c>
      <c r="S176" s="24">
        <f>IFERROR(INDEX(Table5[],MATCH($B176,Table5[Component],0),2),0)</f>
        <v>22</v>
      </c>
      <c r="T176" s="813">
        <f>SUMIFS(Table7[Balance],Table7[Cutter Mat'#],$B176)</f>
        <v>0</v>
      </c>
      <c r="U176" s="24">
        <f t="shared" si="17"/>
        <v>-5</v>
      </c>
      <c r="V176" s="119"/>
      <c r="W176" s="2"/>
      <c r="Y176" s="4">
        <f>IFERROR(INDEX(Table5[],MATCH($B176,Table5[Component],0),2),0)</f>
        <v>22</v>
      </c>
      <c r="Z176" s="4">
        <f>IFERROR(INDEX(Table5[],MATCH($B176,Table5[Component],0),1),0)</f>
        <v>1100751</v>
      </c>
      <c r="AA176" s="4">
        <f>IF(Y176&lt;&gt;0,B176,"")</f>
        <v>1100751</v>
      </c>
      <c r="AB176" s="4" t="str">
        <f t="shared" si="18"/>
        <v/>
      </c>
      <c r="AD176" s="4">
        <f t="shared" si="19"/>
        <v>17</v>
      </c>
      <c r="AI176" s="248" t="str">
        <f>IFERROR(INDEX($B$1:$AK$243,MATCH(W176,$B$1:$B$243,0),13),"")</f>
        <v/>
      </c>
      <c r="AJ176" s="248" t="str">
        <f>IFERROR(INDEX($B$1:$AK$243,MATCH(W176,$B$1:$B$243,0),15),"")</f>
        <v/>
      </c>
      <c r="AK176">
        <f>SUMIF($W$2:$W$243,B176,$S$2:$S$243)</f>
        <v>77</v>
      </c>
      <c r="AN176" s="4"/>
      <c r="AO176" s="4"/>
      <c r="AP176">
        <f t="shared" si="20"/>
        <v>0</v>
      </c>
      <c r="AQ176" s="4"/>
      <c r="AR176" s="4">
        <v>1136983</v>
      </c>
      <c r="AS176">
        <f>SUMIF($B:$B,AR176,$AP:$AP)</f>
        <v>0</v>
      </c>
    </row>
    <row r="177" spans="1:45" ht="15.65" customHeight="1" x14ac:dyDescent="0.35">
      <c r="A177" s="2">
        <v>176</v>
      </c>
      <c r="B177" s="3">
        <v>1162510</v>
      </c>
      <c r="C177" s="2" t="s">
        <v>4381</v>
      </c>
      <c r="D177" s="2" t="s">
        <v>153</v>
      </c>
      <c r="E177" s="2">
        <v>1608</v>
      </c>
      <c r="F177" s="2" t="s">
        <v>253</v>
      </c>
      <c r="G177" s="2" t="s">
        <v>4336</v>
      </c>
      <c r="H177" s="10">
        <f>SUMIFS('Cutters Consumption Updates'!$F:$F,'Cutters Consumption Updates'!$D:$D,H$1,'Cutters Consumption Updates'!$B:$B,$B177)-SUMIFS('Cutters Consumption Updates'!$E:$E,'Cutters Consumption Updates'!$D:$D,H$1,'Cutters Consumption Updates'!$B:$B,$B177)+ SUMIF('Cutters Consumption Updates'!$AS:$AS,$B177,'Cutters Consumption Updates'!AT:AT)</f>
        <v>0</v>
      </c>
      <c r="I177" s="10">
        <f>SUMIFS('Cutters Consumption Updates'!$F:$F,'Cutters Consumption Updates'!$D:$D,I$1,'Cutters Consumption Updates'!$B:$B,$B177)-SUMIFS('Cutters Consumption Updates'!$E:$E,'Cutters Consumption Updates'!$D:$D,I$1,'Cutters Consumption Updates'!$B:$B,$B177)+ SUMIF('Cutters Consumption Updates'!$AS:$AS,$B177,'Cutters Consumption Updates'!AU:AU)</f>
        <v>0</v>
      </c>
      <c r="J177" s="116">
        <f>SUMIFS('Cutters Consumption Updates'!$F:$F,'Cutters Consumption Updates'!$D:$D,J$1,'Cutters Consumption Updates'!$B:$B,$B177)-SUMIFS('Cutters Consumption Updates'!$E:$E,'Cutters Consumption Updates'!$D:$D,J$1,'Cutters Consumption Updates'!$B:$B,$B177)+ SUMIF('Cutters Consumption Updates'!$AS:$AS,$B177,'Cutters Consumption Updates'!AV:AV)</f>
        <v>0</v>
      </c>
      <c r="K177" s="738">
        <f>SUMIFS('Cutters Consumption Updates'!$F:$F,'Cutters Consumption Updates'!$D:$D,K$1,'Cutters Consumption Updates'!$B:$B,$B177)-SUMIFS('Cutters Consumption Updates'!$E:$E,'Cutters Consumption Updates'!$D:$D,K$1,'Cutters Consumption Updates'!$B:$B,$B177)+ SUMIF('Cutters Consumption Updates'!$AS:$AS,$B177,'Cutters Consumption Updates'!AW:AW)</f>
        <v>0</v>
      </c>
      <c r="L177" s="116">
        <f>SUMIFS('Cutters Consumption Updates'!$F:$F,'Cutters Consumption Updates'!$D:$D,L$1,'Cutters Consumption Updates'!$B:$B,$B177)-SUMIFS('Cutters Consumption Updates'!$E:$E,'Cutters Consumption Updates'!$D:$D,$L$1,'Cutters Consumption Updates'!$B:$B,$B177)+SUMIFS('Cutters Consumption Updates'!$F:$F,'Cutters Consumption Updates'!$D:$D,"Retrofit",'Cutters Consumption Updates'!$B:$B,$B177)-SUMIFS('Cutters Consumption Updates'!$E:$E,'Cutters Consumption Updates'!$D:$D,"Retrofit",'Cutters Consumption Updates'!$B:$B,$B177)+ SUMIF('Cutters Consumption Updates'!$AS:$AS,$B177,'Cutters Consumption Updates'!AX:AX)</f>
        <v>5</v>
      </c>
      <c r="M177" s="810">
        <f t="shared" si="14"/>
        <v>5</v>
      </c>
      <c r="N177" s="810">
        <f ca="1">SUMIFS('Cutters Consumption Updates'!E:E,
        'Cutters Consumption Updates'!B:B, B177,
        'Cutters Consumption Updates'!A:A, "&gt;" &amp; TODAY()-182)</f>
        <v>0</v>
      </c>
      <c r="O177" s="810">
        <f ca="1">SUMIFS('Cutters Consumption Updates'!E:E,
        'Cutters Consumption Updates'!B:B, B177,
        'Cutters Consumption Updates'!A:A, "&gt;" &amp; TODAY()-91)</f>
        <v>0</v>
      </c>
      <c r="P177" s="810">
        <f t="shared" ca="1" si="15"/>
        <v>0</v>
      </c>
      <c r="Q177" s="703">
        <f t="shared" ca="1" si="16"/>
        <v>0</v>
      </c>
      <c r="R177" s="703" t="s">
        <v>29</v>
      </c>
      <c r="S177" s="24">
        <f>IFERROR(INDEX(Table5[],MATCH($B177,Table5[Component],0),2),0)</f>
        <v>0</v>
      </c>
      <c r="T177" s="813">
        <f>SUMIFS(Table7[Balance],Table7[Cutter Mat'#],$B177)</f>
        <v>0</v>
      </c>
      <c r="U177" s="24">
        <f t="shared" si="17"/>
        <v>5</v>
      </c>
      <c r="V177" s="119"/>
      <c r="W177" s="2"/>
      <c r="Y177" s="4">
        <f>IFERROR(INDEX(Table5[],MATCH($B177,Table5[Component],0),2),0)</f>
        <v>0</v>
      </c>
      <c r="Z177" s="4">
        <f>IFERROR(INDEX(Table5[],MATCH($B177,Table5[Component],0),1),0)</f>
        <v>0</v>
      </c>
      <c r="AA177" s="4" t="str">
        <f>IF(Y177&lt;&gt;0,B177,"")</f>
        <v/>
      </c>
      <c r="AB177" s="4" t="str">
        <f t="shared" si="18"/>
        <v/>
      </c>
      <c r="AD177" s="4">
        <f t="shared" si="19"/>
        <v>5</v>
      </c>
      <c r="AI177" s="248" t="str">
        <f>IFERROR(INDEX($B$1:$AK$243,MATCH(W177,$B$1:$B$243,0),13),"")</f>
        <v/>
      </c>
      <c r="AJ177" s="248" t="str">
        <f>IFERROR(INDEX($B$1:$AK$243,MATCH(W177,$B$1:$B$243,0),15),"")</f>
        <v/>
      </c>
      <c r="AK177">
        <f>SUMIF($W$2:$W$243,B177,$S$2:$S$243)</f>
        <v>0</v>
      </c>
      <c r="AN177" s="4"/>
      <c r="AO177" s="4"/>
      <c r="AP177">
        <f t="shared" si="20"/>
        <v>0</v>
      </c>
      <c r="AQ177" s="4"/>
      <c r="AR177" s="4">
        <v>1136984</v>
      </c>
      <c r="AS177">
        <f>SUMIF($B:$B,AR177,$AP:$AP)</f>
        <v>0</v>
      </c>
    </row>
    <row r="178" spans="1:45" ht="15.65" customHeight="1" x14ac:dyDescent="0.35">
      <c r="A178" s="2">
        <v>177</v>
      </c>
      <c r="B178" s="3">
        <v>1161587</v>
      </c>
      <c r="C178" s="2" t="s">
        <v>4494</v>
      </c>
      <c r="D178" s="2" t="s">
        <v>151</v>
      </c>
      <c r="E178" s="2">
        <v>1318</v>
      </c>
      <c r="F178" s="2" t="s">
        <v>103</v>
      </c>
      <c r="G178" s="2" t="s">
        <v>36</v>
      </c>
      <c r="H178" s="10">
        <f>SUMIFS('Cutters Consumption Updates'!$F:$F,'Cutters Consumption Updates'!$D:$D,H$1,'Cutters Consumption Updates'!$B:$B,$B178)-SUMIFS('Cutters Consumption Updates'!$E:$E,'Cutters Consumption Updates'!$D:$D,H$1,'Cutters Consumption Updates'!$B:$B,$B178)+ SUMIF('Cutters Consumption Updates'!$AS:$AS,$B178,'Cutters Consumption Updates'!AT:AT)</f>
        <v>0</v>
      </c>
      <c r="I178" s="10">
        <f>SUMIFS('Cutters Consumption Updates'!$F:$F,'Cutters Consumption Updates'!$D:$D,I$1,'Cutters Consumption Updates'!$B:$B,$B178)-SUMIFS('Cutters Consumption Updates'!$E:$E,'Cutters Consumption Updates'!$D:$D,I$1,'Cutters Consumption Updates'!$B:$B,$B178)+ SUMIF('Cutters Consumption Updates'!$AS:$AS,$B178,'Cutters Consumption Updates'!AU:AU)</f>
        <v>0</v>
      </c>
      <c r="J178" s="116">
        <f>SUMIFS('Cutters Consumption Updates'!$F:$F,'Cutters Consumption Updates'!$D:$D,J$1,'Cutters Consumption Updates'!$B:$B,$B178)-SUMIFS('Cutters Consumption Updates'!$E:$E,'Cutters Consumption Updates'!$D:$D,J$1,'Cutters Consumption Updates'!$B:$B,$B178)+ SUMIF('Cutters Consumption Updates'!$AS:$AS,$B178,'Cutters Consumption Updates'!AV:AV)</f>
        <v>0</v>
      </c>
      <c r="K178" s="738">
        <f>SUMIFS('Cutters Consumption Updates'!$F:$F,'Cutters Consumption Updates'!$D:$D,K$1,'Cutters Consumption Updates'!$B:$B,$B178)-SUMIFS('Cutters Consumption Updates'!$E:$E,'Cutters Consumption Updates'!$D:$D,K$1,'Cutters Consumption Updates'!$B:$B,$B178)+ SUMIF('Cutters Consumption Updates'!$AS:$AS,$B178,'Cutters Consumption Updates'!AW:AW)</f>
        <v>0</v>
      </c>
      <c r="L178" s="116">
        <f>SUMIFS('Cutters Consumption Updates'!$F:$F,'Cutters Consumption Updates'!$D:$D,L$1,'Cutters Consumption Updates'!$B:$B,$B178)-SUMIFS('Cutters Consumption Updates'!$E:$E,'Cutters Consumption Updates'!$D:$D,$L$1,'Cutters Consumption Updates'!$B:$B,$B178)+SUMIFS('Cutters Consumption Updates'!$F:$F,'Cutters Consumption Updates'!$D:$D,"Retrofit",'Cutters Consumption Updates'!$B:$B,$B178)-SUMIFS('Cutters Consumption Updates'!$E:$E,'Cutters Consumption Updates'!$D:$D,"Retrofit",'Cutters Consumption Updates'!$B:$B,$B178)+ SUMIF('Cutters Consumption Updates'!$AS:$AS,$B178,'Cutters Consumption Updates'!AX:AX)</f>
        <v>0</v>
      </c>
      <c r="M178" s="810">
        <f t="shared" si="14"/>
        <v>0</v>
      </c>
      <c r="N178" s="810">
        <f ca="1">SUMIFS('Cutters Consumption Updates'!E:E,
        'Cutters Consumption Updates'!B:B, B178,
        'Cutters Consumption Updates'!A:A, "&gt;" &amp; TODAY()-182)</f>
        <v>0</v>
      </c>
      <c r="O178" s="810">
        <f ca="1">SUMIFS('Cutters Consumption Updates'!E:E,
        'Cutters Consumption Updates'!B:B, B178,
        'Cutters Consumption Updates'!A:A, "&gt;" &amp; TODAY()-91)</f>
        <v>0</v>
      </c>
      <c r="P178" s="810">
        <f t="shared" ca="1" si="15"/>
        <v>0</v>
      </c>
      <c r="Q178" s="703">
        <f t="shared" ca="1" si="16"/>
        <v>0</v>
      </c>
      <c r="R178" s="703" t="s">
        <v>29</v>
      </c>
      <c r="S178" s="24">
        <f>IFERROR(INDEX(Table5[],MATCH($B178,Table5[Component],0),2),0)</f>
        <v>0</v>
      </c>
      <c r="T178" s="813">
        <f>SUMIFS(Table7[Balance],Table7[Cutter Mat'#],$B178)</f>
        <v>0</v>
      </c>
      <c r="U178" s="24">
        <f t="shared" si="17"/>
        <v>0</v>
      </c>
      <c r="V178" s="119"/>
      <c r="W178" s="2">
        <v>1078377</v>
      </c>
      <c r="Y178" s="4">
        <f>IFERROR(INDEX(Table5[],MATCH($B178,Table5[Component],0),2),0)</f>
        <v>0</v>
      </c>
      <c r="Z178" s="4">
        <f>IFERROR(INDEX(Table5[],MATCH($B178,Table5[Component],0),1),0)</f>
        <v>1161587</v>
      </c>
      <c r="AA178" s="4" t="str">
        <f>IF(Y178&lt;&gt;0,B178,"")</f>
        <v/>
      </c>
      <c r="AB178" s="4" t="str">
        <f t="shared" si="18"/>
        <v/>
      </c>
      <c r="AD178" s="4">
        <f t="shared" si="19"/>
        <v>0</v>
      </c>
      <c r="AI178" s="248">
        <f ca="1">IFERROR(INDEX($B$1:$AK$243,MATCH(W178,$B$1:$B$243,0),13),"")</f>
        <v>439</v>
      </c>
      <c r="AJ178" s="248">
        <f ca="1">IFERROR(INDEX($B$1:$AK$243,MATCH(W178,$B$1:$B$243,0),15),"")</f>
        <v>147</v>
      </c>
      <c r="AK178">
        <f>SUMIF($W$2:$W$243,B178,$S$2:$S$243)</f>
        <v>0</v>
      </c>
      <c r="AN178" s="4"/>
      <c r="AO178" s="4"/>
      <c r="AP178">
        <f t="shared" si="20"/>
        <v>0</v>
      </c>
      <c r="AQ178" s="4"/>
      <c r="AR178" s="4">
        <v>1137793</v>
      </c>
      <c r="AS178">
        <f>SUMIF($B:$B,AR178,$AP:$AP)</f>
        <v>0</v>
      </c>
    </row>
    <row r="179" spans="1:45" ht="15.65" customHeight="1" x14ac:dyDescent="0.35">
      <c r="A179" s="2">
        <v>178</v>
      </c>
      <c r="B179" s="3">
        <v>1209410</v>
      </c>
      <c r="C179" s="2" t="s">
        <v>4382</v>
      </c>
      <c r="D179" s="2" t="s">
        <v>157</v>
      </c>
      <c r="E179" s="2">
        <v>1613</v>
      </c>
      <c r="F179" s="2" t="s">
        <v>109</v>
      </c>
      <c r="G179" s="2" t="s">
        <v>4383</v>
      </c>
      <c r="H179" s="10">
        <f>SUMIFS('Cutters Consumption Updates'!$F:$F,'Cutters Consumption Updates'!$D:$D,H$1,'Cutters Consumption Updates'!$B:$B,$B179)-SUMIFS('Cutters Consumption Updates'!$E:$E,'Cutters Consumption Updates'!$D:$D,H$1,'Cutters Consumption Updates'!$B:$B,$B179)+ SUMIF('Cutters Consumption Updates'!$AS:$AS,$B179,'Cutters Consumption Updates'!AT:AT)</f>
        <v>0</v>
      </c>
      <c r="I179" s="10">
        <f>SUMIFS('Cutters Consumption Updates'!$F:$F,'Cutters Consumption Updates'!$D:$D,I$1,'Cutters Consumption Updates'!$B:$B,$B179)-SUMIFS('Cutters Consumption Updates'!$E:$E,'Cutters Consumption Updates'!$D:$D,I$1,'Cutters Consumption Updates'!$B:$B,$B179)+ SUMIF('Cutters Consumption Updates'!$AS:$AS,$B179,'Cutters Consumption Updates'!AU:AU)</f>
        <v>0</v>
      </c>
      <c r="J179" s="116">
        <f>SUMIFS('Cutters Consumption Updates'!$F:$F,'Cutters Consumption Updates'!$D:$D,J$1,'Cutters Consumption Updates'!$B:$B,$B179)-SUMIFS('Cutters Consumption Updates'!$E:$E,'Cutters Consumption Updates'!$D:$D,J$1,'Cutters Consumption Updates'!$B:$B,$B179)+ SUMIF('Cutters Consumption Updates'!$AS:$AS,$B179,'Cutters Consumption Updates'!AV:AV)</f>
        <v>0</v>
      </c>
      <c r="K179" s="738">
        <f>SUMIFS('Cutters Consumption Updates'!$F:$F,'Cutters Consumption Updates'!$D:$D,K$1,'Cutters Consumption Updates'!$B:$B,$B179)-SUMIFS('Cutters Consumption Updates'!$E:$E,'Cutters Consumption Updates'!$D:$D,K$1,'Cutters Consumption Updates'!$B:$B,$B179)+ SUMIF('Cutters Consumption Updates'!$AS:$AS,$B179,'Cutters Consumption Updates'!AW:AW)</f>
        <v>13</v>
      </c>
      <c r="L179" s="116">
        <f>SUMIFS('Cutters Consumption Updates'!$F:$F,'Cutters Consumption Updates'!$D:$D,L$1,'Cutters Consumption Updates'!$B:$B,$B179)-SUMIFS('Cutters Consumption Updates'!$E:$E,'Cutters Consumption Updates'!$D:$D,$L$1,'Cutters Consumption Updates'!$B:$B,$B179)+SUMIFS('Cutters Consumption Updates'!$F:$F,'Cutters Consumption Updates'!$D:$D,"Retrofit",'Cutters Consumption Updates'!$B:$B,$B179)-SUMIFS('Cutters Consumption Updates'!$E:$E,'Cutters Consumption Updates'!$D:$D,"Retrofit",'Cutters Consumption Updates'!$B:$B,$B179)+ SUMIF('Cutters Consumption Updates'!$AS:$AS,$B179,'Cutters Consumption Updates'!AX:AX)</f>
        <v>53</v>
      </c>
      <c r="M179" s="810">
        <f t="shared" si="14"/>
        <v>53</v>
      </c>
      <c r="N179" s="810">
        <f ca="1">SUMIFS('Cutters Consumption Updates'!E:E,
        'Cutters Consumption Updates'!B:B, B179,
        'Cutters Consumption Updates'!A:A, "&gt;" &amp; TODAY()-182)</f>
        <v>23</v>
      </c>
      <c r="O179" s="810">
        <f ca="1">SUMIFS('Cutters Consumption Updates'!E:E,
        'Cutters Consumption Updates'!B:B, B179,
        'Cutters Consumption Updates'!A:A, "&gt;" &amp; TODAY()-91)</f>
        <v>6</v>
      </c>
      <c r="P179" s="810">
        <f t="shared" ca="1" si="15"/>
        <v>8</v>
      </c>
      <c r="Q179" s="703">
        <f t="shared" ca="1" si="16"/>
        <v>10</v>
      </c>
      <c r="R179" s="703" t="s">
        <v>158</v>
      </c>
      <c r="S179" s="24">
        <f>IFERROR(INDEX(Table5[],MATCH($B179,Table5[Component],0),2),0)</f>
        <v>0</v>
      </c>
      <c r="T179" s="813">
        <f>SUMIFS(Table7[Balance],Table7[Cutter Mat'#],$B179)</f>
        <v>0</v>
      </c>
      <c r="U179" s="24">
        <f t="shared" si="17"/>
        <v>53</v>
      </c>
      <c r="V179" s="119"/>
      <c r="W179" s="2"/>
      <c r="Y179" s="4">
        <f>IFERROR(INDEX(Table5[],MATCH($B179,Table5[Component],0),2),0)</f>
        <v>0</v>
      </c>
      <c r="Z179" s="4">
        <f>IFERROR(INDEX(Table5[],MATCH($B179,Table5[Component],0),1),0)</f>
        <v>0</v>
      </c>
      <c r="AA179" s="4" t="str">
        <f>IF(Y179&lt;&gt;0,B179,"")</f>
        <v/>
      </c>
      <c r="AB179" s="4" t="str">
        <f t="shared" si="18"/>
        <v/>
      </c>
      <c r="AD179" s="4">
        <f t="shared" si="19"/>
        <v>53</v>
      </c>
      <c r="AI179" s="248" t="str">
        <f>IFERROR(INDEX($B$1:$AK$243,MATCH(W179,$B$1:$B$243,0),13),"")</f>
        <v/>
      </c>
      <c r="AJ179" s="248" t="str">
        <f>IFERROR(INDEX($B$1:$AK$243,MATCH(W179,$B$1:$B$243,0),15),"")</f>
        <v/>
      </c>
      <c r="AK179">
        <f>SUMIF($W$2:$W$243,B179,$S$2:$S$243)</f>
        <v>0</v>
      </c>
      <c r="AN179" s="4"/>
      <c r="AO179" s="4"/>
      <c r="AP179">
        <f t="shared" si="20"/>
        <v>0</v>
      </c>
      <c r="AQ179" s="4"/>
      <c r="AR179" s="4">
        <v>1141583</v>
      </c>
      <c r="AS179">
        <f>SUMIF($B:$B,AR179,$AP:$AP)</f>
        <v>0</v>
      </c>
    </row>
    <row r="180" spans="1:45" ht="15.65" customHeight="1" x14ac:dyDescent="0.35">
      <c r="A180" s="2">
        <v>179</v>
      </c>
      <c r="B180" s="3">
        <v>1177229</v>
      </c>
      <c r="C180" s="2" t="s">
        <v>3540</v>
      </c>
      <c r="D180" s="2" t="s">
        <v>114</v>
      </c>
      <c r="E180" s="2">
        <v>1010</v>
      </c>
      <c r="F180" s="2" t="s">
        <v>109</v>
      </c>
      <c r="G180" s="2" t="s">
        <v>4275</v>
      </c>
      <c r="H180" s="10">
        <f>SUMIFS('Cutters Consumption Updates'!$F:$F,'Cutters Consumption Updates'!$D:$D,H$1,'Cutters Consumption Updates'!$B:$B,$B180)-SUMIFS('Cutters Consumption Updates'!$E:$E,'Cutters Consumption Updates'!$D:$D,H$1,'Cutters Consumption Updates'!$B:$B,$B180)+ SUMIF('Cutters Consumption Updates'!$AS:$AS,$B180,'Cutters Consumption Updates'!AT:AT)</f>
        <v>0</v>
      </c>
      <c r="I180" s="10">
        <f>SUMIFS('Cutters Consumption Updates'!$F:$F,'Cutters Consumption Updates'!$D:$D,I$1,'Cutters Consumption Updates'!$B:$B,$B180)-SUMIFS('Cutters Consumption Updates'!$E:$E,'Cutters Consumption Updates'!$D:$D,I$1,'Cutters Consumption Updates'!$B:$B,$B180)+ SUMIF('Cutters Consumption Updates'!$AS:$AS,$B180,'Cutters Consumption Updates'!AU:AU)</f>
        <v>0</v>
      </c>
      <c r="J180" s="116">
        <f>SUMIFS('Cutters Consumption Updates'!$F:$F,'Cutters Consumption Updates'!$D:$D,J$1,'Cutters Consumption Updates'!$B:$B,$B180)-SUMIFS('Cutters Consumption Updates'!$E:$E,'Cutters Consumption Updates'!$D:$D,J$1,'Cutters Consumption Updates'!$B:$B,$B180)+ SUMIF('Cutters Consumption Updates'!$AS:$AS,$B180,'Cutters Consumption Updates'!AV:AV)</f>
        <v>0</v>
      </c>
      <c r="K180" s="738">
        <f>SUMIFS('Cutters Consumption Updates'!$F:$F,'Cutters Consumption Updates'!$D:$D,K$1,'Cutters Consumption Updates'!$B:$B,$B180)-SUMIFS('Cutters Consumption Updates'!$E:$E,'Cutters Consumption Updates'!$D:$D,K$1,'Cutters Consumption Updates'!$B:$B,$B180)+ SUMIF('Cutters Consumption Updates'!$AS:$AS,$B180,'Cutters Consumption Updates'!AW:AW)</f>
        <v>0</v>
      </c>
      <c r="L180" s="116">
        <f>SUMIFS('Cutters Consumption Updates'!$F:$F,'Cutters Consumption Updates'!$D:$D,L$1,'Cutters Consumption Updates'!$B:$B,$B180)-SUMIFS('Cutters Consumption Updates'!$E:$E,'Cutters Consumption Updates'!$D:$D,$L$1,'Cutters Consumption Updates'!$B:$B,$B180)+SUMIFS('Cutters Consumption Updates'!$F:$F,'Cutters Consumption Updates'!$D:$D,"Retrofit",'Cutters Consumption Updates'!$B:$B,$B180)-SUMIFS('Cutters Consumption Updates'!$E:$E,'Cutters Consumption Updates'!$D:$D,"Retrofit",'Cutters Consumption Updates'!$B:$B,$B180)+ SUMIF('Cutters Consumption Updates'!$AS:$AS,$B180,'Cutters Consumption Updates'!AX:AX)</f>
        <v>0</v>
      </c>
      <c r="M180" s="810">
        <f t="shared" si="14"/>
        <v>0</v>
      </c>
      <c r="N180" s="810">
        <f ca="1">SUMIFS('Cutters Consumption Updates'!E:E,
        'Cutters Consumption Updates'!B:B, B180,
        'Cutters Consumption Updates'!A:A, "&gt;" &amp; TODAY()-182)</f>
        <v>0</v>
      </c>
      <c r="O180" s="810">
        <f ca="1">SUMIFS('Cutters Consumption Updates'!E:E,
        'Cutters Consumption Updates'!B:B, B180,
        'Cutters Consumption Updates'!A:A, "&gt;" &amp; TODAY()-91)</f>
        <v>0</v>
      </c>
      <c r="P180" s="810">
        <f t="shared" ca="1" si="15"/>
        <v>0</v>
      </c>
      <c r="Q180" s="703">
        <f t="shared" ca="1" si="16"/>
        <v>0</v>
      </c>
      <c r="R180" s="703" t="s">
        <v>140</v>
      </c>
      <c r="S180" s="24">
        <f>IFERROR(INDEX(Table5[],MATCH($B180,Table5[Component],0),2),0)</f>
        <v>0</v>
      </c>
      <c r="T180" s="813">
        <f>SUMIFS(Table7[Balance],Table7[Cutter Mat'#],$B180)</f>
        <v>0</v>
      </c>
      <c r="U180" s="24">
        <f t="shared" si="17"/>
        <v>0</v>
      </c>
      <c r="V180" s="119"/>
      <c r="W180" s="2"/>
      <c r="Y180" s="4">
        <f>IFERROR(INDEX(Table5[],MATCH($B180,Table5[Component],0),2),0)</f>
        <v>0</v>
      </c>
      <c r="Z180" s="4">
        <f>IFERROR(INDEX(Table5[],MATCH($B180,Table5[Component],0),1),0)</f>
        <v>1177229</v>
      </c>
      <c r="AA180" s="4" t="str">
        <f>IF(Y180&lt;&gt;0,B180,"")</f>
        <v/>
      </c>
      <c r="AB180" s="4" t="str">
        <f t="shared" si="18"/>
        <v/>
      </c>
      <c r="AD180" s="4">
        <f t="shared" si="19"/>
        <v>0</v>
      </c>
      <c r="AI180" s="248" t="str">
        <f>IFERROR(INDEX($B$1:$AK$243,MATCH(W180,$B$1:$B$243,0),13),"")</f>
        <v/>
      </c>
      <c r="AJ180" s="248" t="str">
        <f>IFERROR(INDEX($B$1:$AK$243,MATCH(W180,$B$1:$B$243,0),15),"")</f>
        <v/>
      </c>
      <c r="AK180">
        <f>SUMIF($W$2:$W$243,B180,$S$2:$S$243)</f>
        <v>0</v>
      </c>
      <c r="AN180" s="4"/>
      <c r="AO180" s="4"/>
      <c r="AP180">
        <f t="shared" si="20"/>
        <v>0</v>
      </c>
      <c r="AQ180" s="4"/>
      <c r="AR180" s="4">
        <v>1142710</v>
      </c>
      <c r="AS180">
        <f>SUMIF($B:$B,AR180,$AP:$AP)</f>
        <v>0</v>
      </c>
    </row>
    <row r="181" spans="1:45" ht="15.65" customHeight="1" x14ac:dyDescent="0.35">
      <c r="A181" s="2">
        <v>180</v>
      </c>
      <c r="B181" s="3">
        <v>1209332</v>
      </c>
      <c r="C181" s="2" t="s">
        <v>3550</v>
      </c>
      <c r="D181" s="2" t="s">
        <v>160</v>
      </c>
      <c r="E181" s="2">
        <v>1313</v>
      </c>
      <c r="F181" s="2" t="s">
        <v>109</v>
      </c>
      <c r="G181" s="2" t="s">
        <v>4384</v>
      </c>
      <c r="H181" s="10">
        <f>SUMIFS('Cutters Consumption Updates'!$F:$F,'Cutters Consumption Updates'!$D:$D,H$1,'Cutters Consumption Updates'!$B:$B,$B181)-SUMIFS('Cutters Consumption Updates'!$E:$E,'Cutters Consumption Updates'!$D:$D,H$1,'Cutters Consumption Updates'!$B:$B,$B181)+ SUMIF('Cutters Consumption Updates'!$AS:$AS,$B181,'Cutters Consumption Updates'!AT:AT)</f>
        <v>0</v>
      </c>
      <c r="I181" s="10">
        <f>SUMIFS('Cutters Consumption Updates'!$F:$F,'Cutters Consumption Updates'!$D:$D,I$1,'Cutters Consumption Updates'!$B:$B,$B181)-SUMIFS('Cutters Consumption Updates'!$E:$E,'Cutters Consumption Updates'!$D:$D,I$1,'Cutters Consumption Updates'!$B:$B,$B181)+ SUMIF('Cutters Consumption Updates'!$AS:$AS,$B181,'Cutters Consumption Updates'!AU:AU)</f>
        <v>0</v>
      </c>
      <c r="J181" s="116">
        <f>SUMIFS('Cutters Consumption Updates'!$F:$F,'Cutters Consumption Updates'!$D:$D,J$1,'Cutters Consumption Updates'!$B:$B,$B181)-SUMIFS('Cutters Consumption Updates'!$E:$E,'Cutters Consumption Updates'!$D:$D,J$1,'Cutters Consumption Updates'!$B:$B,$B181)+ SUMIF('Cutters Consumption Updates'!$AS:$AS,$B181,'Cutters Consumption Updates'!AV:AV)</f>
        <v>0</v>
      </c>
      <c r="K181" s="738">
        <f>SUMIFS('Cutters Consumption Updates'!$F:$F,'Cutters Consumption Updates'!$D:$D,K$1,'Cutters Consumption Updates'!$B:$B,$B181)-SUMIFS('Cutters Consumption Updates'!$E:$E,'Cutters Consumption Updates'!$D:$D,K$1,'Cutters Consumption Updates'!$B:$B,$B181)+ SUMIF('Cutters Consumption Updates'!$AS:$AS,$B181,'Cutters Consumption Updates'!AW:AW)</f>
        <v>9</v>
      </c>
      <c r="L181" s="116">
        <f>SUMIFS('Cutters Consumption Updates'!$F:$F,'Cutters Consumption Updates'!$D:$D,L$1,'Cutters Consumption Updates'!$B:$B,$B181)-SUMIFS('Cutters Consumption Updates'!$E:$E,'Cutters Consumption Updates'!$D:$D,$L$1,'Cutters Consumption Updates'!$B:$B,$B181)+SUMIFS('Cutters Consumption Updates'!$F:$F,'Cutters Consumption Updates'!$D:$D,"Retrofit",'Cutters Consumption Updates'!$B:$B,$B181)-SUMIFS('Cutters Consumption Updates'!$E:$E,'Cutters Consumption Updates'!$D:$D,"Retrofit",'Cutters Consumption Updates'!$B:$B,$B181)+ SUMIF('Cutters Consumption Updates'!$AS:$AS,$B181,'Cutters Consumption Updates'!AX:AX)</f>
        <v>0</v>
      </c>
      <c r="M181" s="810">
        <f t="shared" si="14"/>
        <v>0</v>
      </c>
      <c r="N181" s="810">
        <f ca="1">SUMIFS('Cutters Consumption Updates'!E:E,
        'Cutters Consumption Updates'!B:B, B181,
        'Cutters Consumption Updates'!A:A, "&gt;" &amp; TODAY()-182)</f>
        <v>1</v>
      </c>
      <c r="O181" s="810">
        <f ca="1">SUMIFS('Cutters Consumption Updates'!E:E,
        'Cutters Consumption Updates'!B:B, B181,
        'Cutters Consumption Updates'!A:A, "&gt;" &amp; TODAY()-91)</f>
        <v>1</v>
      </c>
      <c r="P181" s="810">
        <f t="shared" ca="1" si="15"/>
        <v>1</v>
      </c>
      <c r="Q181" s="703">
        <f t="shared" ca="1" si="16"/>
        <v>0</v>
      </c>
      <c r="R181" s="703" t="s">
        <v>29</v>
      </c>
      <c r="S181" s="24">
        <f>IFERROR(INDEX(Table5[],MATCH($B181,Table5[Component],0),2),0)</f>
        <v>0</v>
      </c>
      <c r="T181" s="813">
        <f>SUMIFS(Table7[Balance],Table7[Cutter Mat'#],$B181)</f>
        <v>0</v>
      </c>
      <c r="U181" s="24">
        <f t="shared" si="17"/>
        <v>0</v>
      </c>
      <c r="V181" s="119"/>
      <c r="W181" s="2"/>
      <c r="Y181" s="4">
        <f>IFERROR(INDEX(Table5[],MATCH($B181,Table5[Component],0),2),0)</f>
        <v>0</v>
      </c>
      <c r="Z181" s="4">
        <f>IFERROR(INDEX(Table5[],MATCH($B181,Table5[Component],0),1),0)</f>
        <v>1209332</v>
      </c>
      <c r="AA181" s="4" t="str">
        <f>IF(Y181&lt;&gt;0,B181,"")</f>
        <v/>
      </c>
      <c r="AB181" s="4" t="str">
        <f t="shared" si="18"/>
        <v/>
      </c>
      <c r="AD181" s="4">
        <f t="shared" si="19"/>
        <v>0</v>
      </c>
      <c r="AI181" s="248" t="str">
        <f>IFERROR(INDEX($B$1:$AK$243,MATCH(W181,$B$1:$B$243,0),13),"")</f>
        <v/>
      </c>
      <c r="AJ181" s="248" t="str">
        <f>IFERROR(INDEX($B$1:$AK$243,MATCH(W181,$B$1:$B$243,0),15),"")</f>
        <v/>
      </c>
      <c r="AK181">
        <f>SUMIF($W$2:$W$243,B181,$S$2:$S$243)</f>
        <v>0</v>
      </c>
      <c r="AN181" s="4"/>
      <c r="AO181" s="4"/>
      <c r="AP181">
        <f t="shared" si="20"/>
        <v>0</v>
      </c>
      <c r="AQ181" s="4"/>
      <c r="AR181" s="4">
        <v>1142711</v>
      </c>
      <c r="AS181">
        <f>SUMIF($B:$B,AR181,$AP:$AP)</f>
        <v>0</v>
      </c>
    </row>
    <row r="182" spans="1:45" ht="15.65" customHeight="1" x14ac:dyDescent="0.35">
      <c r="A182" s="2">
        <v>181</v>
      </c>
      <c r="B182" s="3">
        <v>1100694</v>
      </c>
      <c r="C182" s="2" t="s">
        <v>4385</v>
      </c>
      <c r="D182" s="2" t="s">
        <v>111</v>
      </c>
      <c r="E182" s="2">
        <v>1308</v>
      </c>
      <c r="F182" s="2" t="s">
        <v>248</v>
      </c>
      <c r="G182" s="2" t="s">
        <v>4314</v>
      </c>
      <c r="H182" s="10">
        <f>SUMIFS('Cutters Consumption Updates'!$F:$F,'Cutters Consumption Updates'!$D:$D,H$1,'Cutters Consumption Updates'!$B:$B,$B182)-SUMIFS('Cutters Consumption Updates'!$E:$E,'Cutters Consumption Updates'!$D:$D,H$1,'Cutters Consumption Updates'!$B:$B,$B182)+ SUMIF('Cutters Consumption Updates'!$AS:$AS,$B182,'Cutters Consumption Updates'!AT:AT)</f>
        <v>0</v>
      </c>
      <c r="I182" s="10">
        <f>SUMIFS('Cutters Consumption Updates'!$F:$F,'Cutters Consumption Updates'!$D:$D,I$1,'Cutters Consumption Updates'!$B:$B,$B182)-SUMIFS('Cutters Consumption Updates'!$E:$E,'Cutters Consumption Updates'!$D:$D,I$1,'Cutters Consumption Updates'!$B:$B,$B182)+ SUMIF('Cutters Consumption Updates'!$AS:$AS,$B182,'Cutters Consumption Updates'!AU:AU)</f>
        <v>0</v>
      </c>
      <c r="J182" s="116">
        <f>SUMIFS('Cutters Consumption Updates'!$F:$F,'Cutters Consumption Updates'!$D:$D,J$1,'Cutters Consumption Updates'!$B:$B,$B182)-SUMIFS('Cutters Consumption Updates'!$E:$E,'Cutters Consumption Updates'!$D:$D,J$1,'Cutters Consumption Updates'!$B:$B,$B182)+ SUMIF('Cutters Consumption Updates'!$AS:$AS,$B182,'Cutters Consumption Updates'!AV:AV)</f>
        <v>0</v>
      </c>
      <c r="K182" s="738">
        <f>SUMIFS('Cutters Consumption Updates'!$F:$F,'Cutters Consumption Updates'!$D:$D,K$1,'Cutters Consumption Updates'!$B:$B,$B182)-SUMIFS('Cutters Consumption Updates'!$E:$E,'Cutters Consumption Updates'!$D:$D,K$1,'Cutters Consumption Updates'!$B:$B,$B182)+ SUMIF('Cutters Consumption Updates'!$AS:$AS,$B182,'Cutters Consumption Updates'!AW:AW)</f>
        <v>0</v>
      </c>
      <c r="L182" s="116">
        <f>SUMIFS('Cutters Consumption Updates'!$F:$F,'Cutters Consumption Updates'!$D:$D,L$1,'Cutters Consumption Updates'!$B:$B,$B182)-SUMIFS('Cutters Consumption Updates'!$E:$E,'Cutters Consumption Updates'!$D:$D,$L$1,'Cutters Consumption Updates'!$B:$B,$B182)+SUMIFS('Cutters Consumption Updates'!$F:$F,'Cutters Consumption Updates'!$D:$D,"Retrofit",'Cutters Consumption Updates'!$B:$B,$B182)-SUMIFS('Cutters Consumption Updates'!$E:$E,'Cutters Consumption Updates'!$D:$D,"Retrofit",'Cutters Consumption Updates'!$B:$B,$B182)+ SUMIF('Cutters Consumption Updates'!$AS:$AS,$B182,'Cutters Consumption Updates'!AX:AX)</f>
        <v>1</v>
      </c>
      <c r="M182" s="810">
        <f t="shared" si="14"/>
        <v>1</v>
      </c>
      <c r="N182" s="810">
        <f ca="1">SUMIFS('Cutters Consumption Updates'!E:E,
        'Cutters Consumption Updates'!B:B, B182,
        'Cutters Consumption Updates'!A:A, "&gt;" &amp; TODAY()-182)</f>
        <v>0</v>
      </c>
      <c r="O182" s="810">
        <f ca="1">SUMIFS('Cutters Consumption Updates'!E:E,
        'Cutters Consumption Updates'!B:B, B182,
        'Cutters Consumption Updates'!A:A, "&gt;" &amp; TODAY()-91)</f>
        <v>0</v>
      </c>
      <c r="P182" s="810">
        <f t="shared" ca="1" si="15"/>
        <v>0</v>
      </c>
      <c r="Q182" s="703">
        <f t="shared" ca="1" si="16"/>
        <v>0</v>
      </c>
      <c r="R182" s="703" t="s">
        <v>29</v>
      </c>
      <c r="S182" s="24">
        <f>IFERROR(INDEX(Table5[],MATCH($B182,Table5[Component],0),2),0)</f>
        <v>0</v>
      </c>
      <c r="T182" s="813">
        <f>SUMIFS(Table7[Balance],Table7[Cutter Mat'#],$B182)</f>
        <v>0</v>
      </c>
      <c r="U182" s="24">
        <f t="shared" si="17"/>
        <v>1</v>
      </c>
      <c r="V182" s="119"/>
      <c r="W182" s="2"/>
      <c r="Y182" s="4">
        <f>IFERROR(INDEX(Table5[],MATCH($B182,Table5[Component],0),2),0)</f>
        <v>0</v>
      </c>
      <c r="Z182" s="4">
        <f>IFERROR(INDEX(Table5[],MATCH($B182,Table5[Component],0),1),0)</f>
        <v>1100694</v>
      </c>
      <c r="AA182" s="4" t="str">
        <f>IF(Y182&lt;&gt;0,B182,"")</f>
        <v/>
      </c>
      <c r="AB182" s="4" t="str">
        <f t="shared" si="18"/>
        <v/>
      </c>
      <c r="AD182" s="4">
        <f t="shared" si="19"/>
        <v>1</v>
      </c>
      <c r="AI182" s="248" t="str">
        <f>IFERROR(INDEX($B$1:$AK$243,MATCH(W182,$B$1:$B$243,0),13),"")</f>
        <v/>
      </c>
      <c r="AJ182" s="248" t="str">
        <f>IFERROR(INDEX($B$1:$AK$243,MATCH(W182,$B$1:$B$243,0),15),"")</f>
        <v/>
      </c>
      <c r="AK182">
        <f>SUMIF($W$2:$W$243,B182,$S$2:$S$243)</f>
        <v>0</v>
      </c>
      <c r="AN182" s="4"/>
      <c r="AO182" s="4"/>
      <c r="AP182">
        <f t="shared" si="20"/>
        <v>0</v>
      </c>
      <c r="AQ182" s="4"/>
      <c r="AR182" s="4">
        <v>1144689</v>
      </c>
      <c r="AS182">
        <f>SUMIF($B:$B,AR182,$AP:$AP)</f>
        <v>0</v>
      </c>
    </row>
    <row r="183" spans="1:45" ht="15.65" customHeight="1" x14ac:dyDescent="0.35">
      <c r="A183" s="2">
        <v>182</v>
      </c>
      <c r="B183" s="3">
        <v>1199265</v>
      </c>
      <c r="C183" s="2" t="s">
        <v>3551</v>
      </c>
      <c r="D183" s="2" t="s">
        <v>139</v>
      </c>
      <c r="E183" s="2">
        <v>1613</v>
      </c>
      <c r="F183" s="2" t="s">
        <v>253</v>
      </c>
      <c r="G183" s="2" t="s">
        <v>4275</v>
      </c>
      <c r="H183" s="10">
        <f>SUMIFS('Cutters Consumption Updates'!$F:$F,'Cutters Consumption Updates'!$D:$D,H$1,'Cutters Consumption Updates'!$B:$B,$B183)-SUMIFS('Cutters Consumption Updates'!$E:$E,'Cutters Consumption Updates'!$D:$D,H$1,'Cutters Consumption Updates'!$B:$B,$B183)+ SUMIF('Cutters Consumption Updates'!$AS:$AS,$B183,'Cutters Consumption Updates'!AT:AT)</f>
        <v>0</v>
      </c>
      <c r="I183" s="10">
        <f>SUMIFS('Cutters Consumption Updates'!$F:$F,'Cutters Consumption Updates'!$D:$D,I$1,'Cutters Consumption Updates'!$B:$B,$B183)-SUMIFS('Cutters Consumption Updates'!$E:$E,'Cutters Consumption Updates'!$D:$D,I$1,'Cutters Consumption Updates'!$B:$B,$B183)+ SUMIF('Cutters Consumption Updates'!$AS:$AS,$B183,'Cutters Consumption Updates'!AU:AU)</f>
        <v>0</v>
      </c>
      <c r="J183" s="116">
        <f>SUMIFS('Cutters Consumption Updates'!$F:$F,'Cutters Consumption Updates'!$D:$D,J$1,'Cutters Consumption Updates'!$B:$B,$B183)-SUMIFS('Cutters Consumption Updates'!$E:$E,'Cutters Consumption Updates'!$D:$D,J$1,'Cutters Consumption Updates'!$B:$B,$B183)+ SUMIF('Cutters Consumption Updates'!$AS:$AS,$B183,'Cutters Consumption Updates'!AV:AV)</f>
        <v>0</v>
      </c>
      <c r="K183" s="738">
        <f>SUMIFS('Cutters Consumption Updates'!$F:$F,'Cutters Consumption Updates'!$D:$D,K$1,'Cutters Consumption Updates'!$B:$B,$B183)-SUMIFS('Cutters Consumption Updates'!$E:$E,'Cutters Consumption Updates'!$D:$D,K$1,'Cutters Consumption Updates'!$B:$B,$B183)+ SUMIF('Cutters Consumption Updates'!$AS:$AS,$B183,'Cutters Consumption Updates'!AW:AW)</f>
        <v>0</v>
      </c>
      <c r="L183" s="116">
        <f>SUMIFS('Cutters Consumption Updates'!$F:$F,'Cutters Consumption Updates'!$D:$D,L$1,'Cutters Consumption Updates'!$B:$B,$B183)-SUMIFS('Cutters Consumption Updates'!$E:$E,'Cutters Consumption Updates'!$D:$D,$L$1,'Cutters Consumption Updates'!$B:$B,$B183)+SUMIFS('Cutters Consumption Updates'!$F:$F,'Cutters Consumption Updates'!$D:$D,"Retrofit",'Cutters Consumption Updates'!$B:$B,$B183)-SUMIFS('Cutters Consumption Updates'!$E:$E,'Cutters Consumption Updates'!$D:$D,"Retrofit",'Cutters Consumption Updates'!$B:$B,$B183)+ SUMIF('Cutters Consumption Updates'!$AS:$AS,$B183,'Cutters Consumption Updates'!AX:AX)</f>
        <v>1</v>
      </c>
      <c r="M183" s="810">
        <f t="shared" si="14"/>
        <v>1</v>
      </c>
      <c r="N183" s="810">
        <f ca="1">SUMIFS('Cutters Consumption Updates'!E:E,
        'Cutters Consumption Updates'!B:B, B183,
        'Cutters Consumption Updates'!A:A, "&gt;" &amp; TODAY()-182)</f>
        <v>0</v>
      </c>
      <c r="O183" s="810">
        <f ca="1">SUMIFS('Cutters Consumption Updates'!E:E,
        'Cutters Consumption Updates'!B:B, B183,
        'Cutters Consumption Updates'!A:A, "&gt;" &amp; TODAY()-91)</f>
        <v>0</v>
      </c>
      <c r="P183" s="810">
        <f t="shared" ca="1" si="15"/>
        <v>0</v>
      </c>
      <c r="Q183" s="703">
        <f t="shared" ca="1" si="16"/>
        <v>0</v>
      </c>
      <c r="R183" s="703" t="s">
        <v>64</v>
      </c>
      <c r="S183" s="24">
        <f>IFERROR(INDEX(Table5[],MATCH($B183,Table5[Component],0),2),0)</f>
        <v>0</v>
      </c>
      <c r="T183" s="813">
        <f>SUMIFS(Table7[Balance],Table7[Cutter Mat'#],$B183)</f>
        <v>0</v>
      </c>
      <c r="U183" s="24">
        <f t="shared" si="17"/>
        <v>1</v>
      </c>
      <c r="V183" s="119"/>
      <c r="W183" s="2"/>
      <c r="Y183" s="4">
        <f>IFERROR(INDEX(Table5[],MATCH($B183,Table5[Component],0),2),0)</f>
        <v>0</v>
      </c>
      <c r="Z183" s="4">
        <f>IFERROR(INDEX(Table5[],MATCH($B183,Table5[Component],0),1),0)</f>
        <v>0</v>
      </c>
      <c r="AA183" s="4" t="str">
        <f>IF(Y183&lt;&gt;0,B183,"")</f>
        <v/>
      </c>
      <c r="AB183" s="4" t="str">
        <f t="shared" si="18"/>
        <v/>
      </c>
      <c r="AD183" s="4">
        <f t="shared" si="19"/>
        <v>1</v>
      </c>
      <c r="AI183" s="248" t="str">
        <f>IFERROR(INDEX($B$1:$AK$243,MATCH(W183,$B$1:$B$243,0),13),"")</f>
        <v/>
      </c>
      <c r="AJ183" s="248" t="str">
        <f>IFERROR(INDEX($B$1:$AK$243,MATCH(W183,$B$1:$B$243,0),15),"")</f>
        <v/>
      </c>
      <c r="AK183">
        <f>SUMIF($W$2:$W$243,B183,$S$2:$S$243)</f>
        <v>0</v>
      </c>
      <c r="AN183" s="4"/>
      <c r="AO183" s="4"/>
      <c r="AP183">
        <f t="shared" si="20"/>
        <v>0</v>
      </c>
      <c r="AQ183" s="4"/>
      <c r="AR183" s="4">
        <v>1144818</v>
      </c>
      <c r="AS183">
        <f>SUMIF($B:$B,AR183,$AP:$AP)</f>
        <v>0</v>
      </c>
    </row>
    <row r="184" spans="1:45" ht="15.65" customHeight="1" x14ac:dyDescent="0.35">
      <c r="A184" s="2">
        <v>183</v>
      </c>
      <c r="B184" s="3">
        <v>1199266</v>
      </c>
      <c r="C184" s="2" t="s">
        <v>4485</v>
      </c>
      <c r="D184" s="2" t="s">
        <v>139</v>
      </c>
      <c r="E184" s="2">
        <v>1913</v>
      </c>
      <c r="F184" s="2" t="s">
        <v>253</v>
      </c>
      <c r="G184" s="2" t="s">
        <v>4275</v>
      </c>
      <c r="H184" s="10">
        <f>SUMIFS('Cutters Consumption Updates'!$F:$F,'Cutters Consumption Updates'!$D:$D,H$1,'Cutters Consumption Updates'!$B:$B,$B184)-SUMIFS('Cutters Consumption Updates'!$E:$E,'Cutters Consumption Updates'!$D:$D,H$1,'Cutters Consumption Updates'!$B:$B,$B184)+ SUMIF('Cutters Consumption Updates'!$AS:$AS,$B184,'Cutters Consumption Updates'!AT:AT)</f>
        <v>0</v>
      </c>
      <c r="I184" s="10">
        <f>SUMIFS('Cutters Consumption Updates'!$F:$F,'Cutters Consumption Updates'!$D:$D,I$1,'Cutters Consumption Updates'!$B:$B,$B184)-SUMIFS('Cutters Consumption Updates'!$E:$E,'Cutters Consumption Updates'!$D:$D,I$1,'Cutters Consumption Updates'!$B:$B,$B184)+ SUMIF('Cutters Consumption Updates'!$AS:$AS,$B184,'Cutters Consumption Updates'!AU:AU)</f>
        <v>0</v>
      </c>
      <c r="J184" s="116">
        <f>SUMIFS('Cutters Consumption Updates'!$F:$F,'Cutters Consumption Updates'!$D:$D,J$1,'Cutters Consumption Updates'!$B:$B,$B184)-SUMIFS('Cutters Consumption Updates'!$E:$E,'Cutters Consumption Updates'!$D:$D,J$1,'Cutters Consumption Updates'!$B:$B,$B184)+ SUMIF('Cutters Consumption Updates'!$AS:$AS,$B184,'Cutters Consumption Updates'!AV:AV)</f>
        <v>0</v>
      </c>
      <c r="K184" s="738">
        <f>SUMIFS('Cutters Consumption Updates'!$F:$F,'Cutters Consumption Updates'!$D:$D,K$1,'Cutters Consumption Updates'!$B:$B,$B184)-SUMIFS('Cutters Consumption Updates'!$E:$E,'Cutters Consumption Updates'!$D:$D,K$1,'Cutters Consumption Updates'!$B:$B,$B184)+ SUMIF('Cutters Consumption Updates'!$AS:$AS,$B184,'Cutters Consumption Updates'!AW:AW)</f>
        <v>0</v>
      </c>
      <c r="L184" s="116">
        <f>SUMIFS('Cutters Consumption Updates'!$F:$F,'Cutters Consumption Updates'!$D:$D,L$1,'Cutters Consumption Updates'!$B:$B,$B184)-SUMIFS('Cutters Consumption Updates'!$E:$E,'Cutters Consumption Updates'!$D:$D,$L$1,'Cutters Consumption Updates'!$B:$B,$B184)+SUMIFS('Cutters Consumption Updates'!$F:$F,'Cutters Consumption Updates'!$D:$D,"Retrofit",'Cutters Consumption Updates'!$B:$B,$B184)-SUMIFS('Cutters Consumption Updates'!$E:$E,'Cutters Consumption Updates'!$D:$D,"Retrofit",'Cutters Consumption Updates'!$B:$B,$B184)+ SUMIF('Cutters Consumption Updates'!$AS:$AS,$B184,'Cutters Consumption Updates'!AX:AX)</f>
        <v>0</v>
      </c>
      <c r="M184" s="810">
        <f t="shared" si="14"/>
        <v>0</v>
      </c>
      <c r="N184" s="810">
        <f ca="1">SUMIFS('Cutters Consumption Updates'!E:E,
        'Cutters Consumption Updates'!B:B, B184,
        'Cutters Consumption Updates'!A:A, "&gt;" &amp; TODAY()-182)</f>
        <v>0</v>
      </c>
      <c r="O184" s="810">
        <f ca="1">SUMIFS('Cutters Consumption Updates'!E:E,
        'Cutters Consumption Updates'!B:B, B184,
        'Cutters Consumption Updates'!A:A, "&gt;" &amp; TODAY()-91)</f>
        <v>0</v>
      </c>
      <c r="P184" s="810">
        <f t="shared" ca="1" si="15"/>
        <v>0</v>
      </c>
      <c r="Q184" s="703">
        <f t="shared" ca="1" si="16"/>
        <v>0</v>
      </c>
      <c r="R184" s="703" t="s">
        <v>29</v>
      </c>
      <c r="S184" s="24">
        <f>IFERROR(INDEX(Table5[],MATCH($B184,Table5[Component],0),2),0)</f>
        <v>0</v>
      </c>
      <c r="T184" s="813">
        <f>SUMIFS(Table7[Balance],Table7[Cutter Mat'#],$B184)</f>
        <v>0</v>
      </c>
      <c r="U184" s="24">
        <f t="shared" si="17"/>
        <v>0</v>
      </c>
      <c r="V184" s="119"/>
      <c r="W184" s="2"/>
      <c r="Y184" s="4">
        <f>IFERROR(INDEX(Table5[],MATCH($B184,Table5[Component],0),2),0)</f>
        <v>0</v>
      </c>
      <c r="Z184" s="4">
        <f>IFERROR(INDEX(Table5[],MATCH($B184,Table5[Component],0),1),0)</f>
        <v>0</v>
      </c>
      <c r="AA184" s="4" t="str">
        <f>IF(Y184&lt;&gt;0,B184,"")</f>
        <v/>
      </c>
      <c r="AB184" s="4" t="str">
        <f t="shared" si="18"/>
        <v/>
      </c>
      <c r="AD184" s="4">
        <f t="shared" si="19"/>
        <v>0</v>
      </c>
      <c r="AI184" s="248" t="str">
        <f>IFERROR(INDEX($B$1:$AK$243,MATCH(W184,$B$1:$B$243,0),13),"")</f>
        <v/>
      </c>
      <c r="AJ184" s="248" t="str">
        <f>IFERROR(INDEX($B$1:$AK$243,MATCH(W184,$B$1:$B$243,0),15),"")</f>
        <v/>
      </c>
      <c r="AK184">
        <f>SUMIF($W$2:$W$243,B184,$S$2:$S$243)</f>
        <v>0</v>
      </c>
      <c r="AN184" s="4"/>
      <c r="AO184" s="4"/>
      <c r="AP184">
        <f t="shared" si="20"/>
        <v>0</v>
      </c>
      <c r="AQ184" s="4"/>
      <c r="AR184" s="4">
        <v>1144820</v>
      </c>
      <c r="AS184">
        <f>SUMIF($B:$B,AR184,$AP:$AP)</f>
        <v>0</v>
      </c>
    </row>
    <row r="185" spans="1:45" ht="15.65" customHeight="1" x14ac:dyDescent="0.35">
      <c r="A185" s="2">
        <v>184</v>
      </c>
      <c r="B185" s="3">
        <v>1145491</v>
      </c>
      <c r="C185" s="2" t="s">
        <v>4238</v>
      </c>
      <c r="D185" s="2" t="s">
        <v>130</v>
      </c>
      <c r="E185" s="2">
        <v>1308</v>
      </c>
      <c r="F185" s="2" t="s">
        <v>248</v>
      </c>
      <c r="G185" s="2" t="s">
        <v>4314</v>
      </c>
      <c r="H185" s="10">
        <f>SUMIFS('Cutters Consumption Updates'!$F:$F,'Cutters Consumption Updates'!$D:$D,H$1,'Cutters Consumption Updates'!$B:$B,$B185)-SUMIFS('Cutters Consumption Updates'!$E:$E,'Cutters Consumption Updates'!$D:$D,H$1,'Cutters Consumption Updates'!$B:$B,$B185)+ SUMIF('Cutters Consumption Updates'!$AS:$AS,$B185,'Cutters Consumption Updates'!AT:AT)</f>
        <v>0</v>
      </c>
      <c r="I185" s="10">
        <f>SUMIFS('Cutters Consumption Updates'!$F:$F,'Cutters Consumption Updates'!$D:$D,I$1,'Cutters Consumption Updates'!$B:$B,$B185)-SUMIFS('Cutters Consumption Updates'!$E:$E,'Cutters Consumption Updates'!$D:$D,I$1,'Cutters Consumption Updates'!$B:$B,$B185)+ SUMIF('Cutters Consumption Updates'!$AS:$AS,$B185,'Cutters Consumption Updates'!AU:AU)</f>
        <v>0</v>
      </c>
      <c r="J185" s="116">
        <f>SUMIFS('Cutters Consumption Updates'!$F:$F,'Cutters Consumption Updates'!$D:$D,J$1,'Cutters Consumption Updates'!$B:$B,$B185)-SUMIFS('Cutters Consumption Updates'!$E:$E,'Cutters Consumption Updates'!$D:$D,J$1,'Cutters Consumption Updates'!$B:$B,$B185)+ SUMIF('Cutters Consumption Updates'!$AS:$AS,$B185,'Cutters Consumption Updates'!AV:AV)</f>
        <v>0</v>
      </c>
      <c r="K185" s="738">
        <f>SUMIFS('Cutters Consumption Updates'!$F:$F,'Cutters Consumption Updates'!$D:$D,K$1,'Cutters Consumption Updates'!$B:$B,$B185)-SUMIFS('Cutters Consumption Updates'!$E:$E,'Cutters Consumption Updates'!$D:$D,K$1,'Cutters Consumption Updates'!$B:$B,$B185)+ SUMIF('Cutters Consumption Updates'!$AS:$AS,$B185,'Cutters Consumption Updates'!AW:AW)</f>
        <v>0</v>
      </c>
      <c r="L185" s="116">
        <f>SUMIFS('Cutters Consumption Updates'!$F:$F,'Cutters Consumption Updates'!$D:$D,L$1,'Cutters Consumption Updates'!$B:$B,$B185)-SUMIFS('Cutters Consumption Updates'!$E:$E,'Cutters Consumption Updates'!$D:$D,$L$1,'Cutters Consumption Updates'!$B:$B,$B185)+SUMIFS('Cutters Consumption Updates'!$F:$F,'Cutters Consumption Updates'!$D:$D,"Retrofit",'Cutters Consumption Updates'!$B:$B,$B185)-SUMIFS('Cutters Consumption Updates'!$E:$E,'Cutters Consumption Updates'!$D:$D,"Retrofit",'Cutters Consumption Updates'!$B:$B,$B185)+ SUMIF('Cutters Consumption Updates'!$AS:$AS,$B185,'Cutters Consumption Updates'!AX:AX)</f>
        <v>5</v>
      </c>
      <c r="M185" s="810">
        <f t="shared" si="14"/>
        <v>5</v>
      </c>
      <c r="N185" s="810">
        <f ca="1">SUMIFS('Cutters Consumption Updates'!E:E,
        'Cutters Consumption Updates'!B:B, B185,
        'Cutters Consumption Updates'!A:A, "&gt;" &amp; TODAY()-182)</f>
        <v>5</v>
      </c>
      <c r="O185" s="810">
        <f ca="1">SUMIFS('Cutters Consumption Updates'!E:E,
        'Cutters Consumption Updates'!B:B, B185,
        'Cutters Consumption Updates'!A:A, "&gt;" &amp; TODAY()-91)</f>
        <v>5</v>
      </c>
      <c r="P185" s="810">
        <f t="shared" ca="1" si="15"/>
        <v>2</v>
      </c>
      <c r="Q185" s="703">
        <f t="shared" ca="1" si="16"/>
        <v>5</v>
      </c>
      <c r="R185" s="703" t="s">
        <v>29</v>
      </c>
      <c r="S185" s="24">
        <f>IFERROR(INDEX(Table5[],MATCH($B185,Table5[Component],0),2),0)</f>
        <v>10</v>
      </c>
      <c r="T185" s="813">
        <f>SUMIFS(Table7[Balance],Table7[Cutter Mat'#],$B185)</f>
        <v>0</v>
      </c>
      <c r="U185" s="24">
        <f t="shared" si="17"/>
        <v>-5</v>
      </c>
      <c r="V185" s="119"/>
      <c r="W185" s="2"/>
      <c r="Y185" s="4">
        <f>IFERROR(INDEX(Table5[],MATCH($B185,Table5[Component],0),2),0)</f>
        <v>10</v>
      </c>
      <c r="Z185" s="4">
        <f>IFERROR(INDEX(Table5[],MATCH($B185,Table5[Component],0),1),0)</f>
        <v>1145491</v>
      </c>
      <c r="AA185" s="4">
        <f>IF(Y185&lt;&gt;0,B185,"")</f>
        <v>1145491</v>
      </c>
      <c r="AB185" s="4" t="str">
        <f t="shared" si="18"/>
        <v/>
      </c>
      <c r="AD185" s="4">
        <f t="shared" si="19"/>
        <v>5</v>
      </c>
      <c r="AI185" s="248" t="str">
        <f>IFERROR(INDEX($B$1:$AK$243,MATCH(W185,$B$1:$B$243,0),13),"")</f>
        <v/>
      </c>
      <c r="AJ185" s="248" t="str">
        <f>IFERROR(INDEX($B$1:$AK$243,MATCH(W185,$B$1:$B$243,0),15),"")</f>
        <v/>
      </c>
      <c r="AK185">
        <f>SUMIF($W$2:$W$243,B185,$S$2:$S$243)</f>
        <v>0</v>
      </c>
      <c r="AN185" s="4"/>
      <c r="AO185" s="4"/>
      <c r="AP185">
        <f t="shared" si="20"/>
        <v>0</v>
      </c>
      <c r="AQ185" s="4"/>
      <c r="AR185" s="4">
        <v>1144821</v>
      </c>
      <c r="AS185">
        <f>SUMIF($B:$B,AR185,$AP:$AP)</f>
        <v>0</v>
      </c>
    </row>
    <row r="186" spans="1:45" ht="15.65" customHeight="1" x14ac:dyDescent="0.35">
      <c r="A186" s="2">
        <v>185</v>
      </c>
      <c r="B186" s="3">
        <v>1100740</v>
      </c>
      <c r="C186" s="2" t="s">
        <v>4486</v>
      </c>
      <c r="D186" s="2" t="s">
        <v>111</v>
      </c>
      <c r="E186" s="2">
        <v>1613</v>
      </c>
      <c r="F186" s="2" t="s">
        <v>248</v>
      </c>
      <c r="G186" s="2" t="s">
        <v>4314</v>
      </c>
      <c r="H186" s="10">
        <f>SUMIFS('Cutters Consumption Updates'!$F:$F,'Cutters Consumption Updates'!$D:$D,H$1,'Cutters Consumption Updates'!$B:$B,$B186)-SUMIFS('Cutters Consumption Updates'!$E:$E,'Cutters Consumption Updates'!$D:$D,H$1,'Cutters Consumption Updates'!$B:$B,$B186)+ SUMIF('Cutters Consumption Updates'!$AS:$AS,$B186,'Cutters Consumption Updates'!AT:AT)</f>
        <v>0</v>
      </c>
      <c r="I186" s="10">
        <f>SUMIFS('Cutters Consumption Updates'!$F:$F,'Cutters Consumption Updates'!$D:$D,I$1,'Cutters Consumption Updates'!$B:$B,$B186)-SUMIFS('Cutters Consumption Updates'!$E:$E,'Cutters Consumption Updates'!$D:$D,I$1,'Cutters Consumption Updates'!$B:$B,$B186)+ SUMIF('Cutters Consumption Updates'!$AS:$AS,$B186,'Cutters Consumption Updates'!AU:AU)</f>
        <v>0</v>
      </c>
      <c r="J186" s="116">
        <f>SUMIFS('Cutters Consumption Updates'!$F:$F,'Cutters Consumption Updates'!$D:$D,J$1,'Cutters Consumption Updates'!$B:$B,$B186)-SUMIFS('Cutters Consumption Updates'!$E:$E,'Cutters Consumption Updates'!$D:$D,J$1,'Cutters Consumption Updates'!$B:$B,$B186)+ SUMIF('Cutters Consumption Updates'!$AS:$AS,$B186,'Cutters Consumption Updates'!AV:AV)</f>
        <v>0</v>
      </c>
      <c r="K186" s="738">
        <f>SUMIFS('Cutters Consumption Updates'!$F:$F,'Cutters Consumption Updates'!$D:$D,K$1,'Cutters Consumption Updates'!$B:$B,$B186)-SUMIFS('Cutters Consumption Updates'!$E:$E,'Cutters Consumption Updates'!$D:$D,K$1,'Cutters Consumption Updates'!$B:$B,$B186)+ SUMIF('Cutters Consumption Updates'!$AS:$AS,$B186,'Cutters Consumption Updates'!AW:AW)</f>
        <v>0</v>
      </c>
      <c r="L186" s="116">
        <f>SUMIFS('Cutters Consumption Updates'!$F:$F,'Cutters Consumption Updates'!$D:$D,L$1,'Cutters Consumption Updates'!$B:$B,$B186)-SUMIFS('Cutters Consumption Updates'!$E:$E,'Cutters Consumption Updates'!$D:$D,$L$1,'Cutters Consumption Updates'!$B:$B,$B186)+SUMIFS('Cutters Consumption Updates'!$F:$F,'Cutters Consumption Updates'!$D:$D,"Retrofit",'Cutters Consumption Updates'!$B:$B,$B186)-SUMIFS('Cutters Consumption Updates'!$E:$E,'Cutters Consumption Updates'!$D:$D,"Retrofit",'Cutters Consumption Updates'!$B:$B,$B186)+ SUMIF('Cutters Consumption Updates'!$AS:$AS,$B186,'Cutters Consumption Updates'!AX:AX)</f>
        <v>0</v>
      </c>
      <c r="M186" s="810">
        <f t="shared" si="14"/>
        <v>0</v>
      </c>
      <c r="N186" s="810">
        <f ca="1">SUMIFS('Cutters Consumption Updates'!E:E,
        'Cutters Consumption Updates'!B:B, B186,
        'Cutters Consumption Updates'!A:A, "&gt;" &amp; TODAY()-182)</f>
        <v>0</v>
      </c>
      <c r="O186" s="810">
        <f ca="1">SUMIFS('Cutters Consumption Updates'!E:E,
        'Cutters Consumption Updates'!B:B, B186,
        'Cutters Consumption Updates'!A:A, "&gt;" &amp; TODAY()-91)</f>
        <v>0</v>
      </c>
      <c r="P186" s="810">
        <f t="shared" ca="1" si="15"/>
        <v>0</v>
      </c>
      <c r="Q186" s="703">
        <f t="shared" ca="1" si="16"/>
        <v>0</v>
      </c>
      <c r="R186" s="703" t="s">
        <v>115</v>
      </c>
      <c r="S186" s="24">
        <f>IFERROR(INDEX(Table5[],MATCH($B186,Table5[Component],0),2),0)</f>
        <v>0</v>
      </c>
      <c r="T186" s="813">
        <f>SUMIFS(Table7[Balance],Table7[Cutter Mat'#],$B186)</f>
        <v>0</v>
      </c>
      <c r="U186" s="24">
        <f t="shared" si="17"/>
        <v>0</v>
      </c>
      <c r="V186" s="119"/>
      <c r="W186" s="2"/>
      <c r="Y186" s="4">
        <f>IFERROR(INDEX(Table5[],MATCH($B186,Table5[Component],0),2),0)</f>
        <v>0</v>
      </c>
      <c r="Z186" s="4">
        <f>IFERROR(INDEX(Table5[],MATCH($B186,Table5[Component],0),1),0)</f>
        <v>0</v>
      </c>
      <c r="AA186" s="4" t="str">
        <f>IF(Y186&lt;&gt;0,B186,"")</f>
        <v/>
      </c>
      <c r="AB186" s="4" t="str">
        <f t="shared" si="18"/>
        <v/>
      </c>
      <c r="AD186" s="4">
        <f t="shared" si="19"/>
        <v>0</v>
      </c>
      <c r="AI186" s="248" t="str">
        <f>IFERROR(INDEX($B$1:$AK$243,MATCH(W186,$B$1:$B$243,0),13),"")</f>
        <v/>
      </c>
      <c r="AJ186" s="248" t="str">
        <f>IFERROR(INDEX($B$1:$AK$243,MATCH(W186,$B$1:$B$243,0),15),"")</f>
        <v/>
      </c>
      <c r="AK186">
        <f>SUMIF($W$2:$W$243,B186,$S$2:$S$243)</f>
        <v>0</v>
      </c>
      <c r="AN186" s="4"/>
      <c r="AO186" s="4"/>
      <c r="AP186">
        <f t="shared" si="20"/>
        <v>0</v>
      </c>
      <c r="AQ186" s="4"/>
      <c r="AR186" s="4">
        <v>1145491</v>
      </c>
      <c r="AS186">
        <f>SUMIF($B:$B,AR186,$AP:$AP)</f>
        <v>0</v>
      </c>
    </row>
    <row r="187" spans="1:45" ht="15.65" customHeight="1" x14ac:dyDescent="0.35">
      <c r="A187" s="2">
        <v>186</v>
      </c>
      <c r="B187" s="3">
        <v>1165840</v>
      </c>
      <c r="C187" s="2" t="s">
        <v>3593</v>
      </c>
      <c r="D187" s="2" t="s">
        <v>163</v>
      </c>
      <c r="E187" s="2">
        <v>1613</v>
      </c>
      <c r="F187" s="2" t="s">
        <v>109</v>
      </c>
      <c r="G187" s="2" t="s">
        <v>4314</v>
      </c>
      <c r="H187" s="10">
        <f>SUMIFS('Cutters Consumption Updates'!$F:$F,'Cutters Consumption Updates'!$D:$D,H$1,'Cutters Consumption Updates'!$B:$B,$B187)-SUMIFS('Cutters Consumption Updates'!$E:$E,'Cutters Consumption Updates'!$D:$D,H$1,'Cutters Consumption Updates'!$B:$B,$B187)+ SUMIF('Cutters Consumption Updates'!$AS:$AS,$B187,'Cutters Consumption Updates'!AT:AT)</f>
        <v>0</v>
      </c>
      <c r="I187" s="10">
        <f>SUMIFS('Cutters Consumption Updates'!$F:$F,'Cutters Consumption Updates'!$D:$D,I$1,'Cutters Consumption Updates'!$B:$B,$B187)-SUMIFS('Cutters Consumption Updates'!$E:$E,'Cutters Consumption Updates'!$D:$D,I$1,'Cutters Consumption Updates'!$B:$B,$B187)+ SUMIF('Cutters Consumption Updates'!$AS:$AS,$B187,'Cutters Consumption Updates'!AU:AU)</f>
        <v>0</v>
      </c>
      <c r="J187" s="116">
        <f>SUMIFS('Cutters Consumption Updates'!$F:$F,'Cutters Consumption Updates'!$D:$D,J$1,'Cutters Consumption Updates'!$B:$B,$B187)-SUMIFS('Cutters Consumption Updates'!$E:$E,'Cutters Consumption Updates'!$D:$D,J$1,'Cutters Consumption Updates'!$B:$B,$B187)+ SUMIF('Cutters Consumption Updates'!$AS:$AS,$B187,'Cutters Consumption Updates'!AV:AV)</f>
        <v>0</v>
      </c>
      <c r="K187" s="738">
        <f>SUMIFS('Cutters Consumption Updates'!$F:$F,'Cutters Consumption Updates'!$D:$D,K$1,'Cutters Consumption Updates'!$B:$B,$B187)-SUMIFS('Cutters Consumption Updates'!$E:$E,'Cutters Consumption Updates'!$D:$D,K$1,'Cutters Consumption Updates'!$B:$B,$B187)+ SUMIF('Cutters Consumption Updates'!$AS:$AS,$B187,'Cutters Consumption Updates'!AW:AW)</f>
        <v>0</v>
      </c>
      <c r="L187" s="116">
        <f>SUMIFS('Cutters Consumption Updates'!$F:$F,'Cutters Consumption Updates'!$D:$D,L$1,'Cutters Consumption Updates'!$B:$B,$B187)-SUMIFS('Cutters Consumption Updates'!$E:$E,'Cutters Consumption Updates'!$D:$D,$L$1,'Cutters Consumption Updates'!$B:$B,$B187)+SUMIFS('Cutters Consumption Updates'!$F:$F,'Cutters Consumption Updates'!$D:$D,"Retrofit",'Cutters Consumption Updates'!$B:$B,$B187)-SUMIFS('Cutters Consumption Updates'!$E:$E,'Cutters Consumption Updates'!$D:$D,"Retrofit",'Cutters Consumption Updates'!$B:$B,$B187)+ SUMIF('Cutters Consumption Updates'!$AS:$AS,$B187,'Cutters Consumption Updates'!AX:AX)</f>
        <v>0</v>
      </c>
      <c r="M187" s="810">
        <f t="shared" si="14"/>
        <v>0</v>
      </c>
      <c r="N187" s="810">
        <f ca="1">SUMIFS('Cutters Consumption Updates'!E:E,
        'Cutters Consumption Updates'!B:B, B187,
        'Cutters Consumption Updates'!A:A, "&gt;" &amp; TODAY()-182)</f>
        <v>0</v>
      </c>
      <c r="O187" s="810">
        <f ca="1">SUMIFS('Cutters Consumption Updates'!E:E,
        'Cutters Consumption Updates'!B:B, B187,
        'Cutters Consumption Updates'!A:A, "&gt;" &amp; TODAY()-91)</f>
        <v>0</v>
      </c>
      <c r="P187" s="810">
        <f t="shared" ca="1" si="15"/>
        <v>0</v>
      </c>
      <c r="Q187" s="703">
        <f t="shared" ca="1" si="16"/>
        <v>0</v>
      </c>
      <c r="R187" s="703" t="s">
        <v>29</v>
      </c>
      <c r="S187" s="24">
        <f>IFERROR(INDEX(Table5[],MATCH($B187,Table5[Component],0),2),0)</f>
        <v>0</v>
      </c>
      <c r="T187" s="813">
        <f>SUMIFS(Table7[Balance],Table7[Cutter Mat'#],$B187)</f>
        <v>0</v>
      </c>
      <c r="U187" s="24">
        <f t="shared" si="17"/>
        <v>0</v>
      </c>
      <c r="V187" s="119"/>
      <c r="W187" s="2">
        <v>1133896</v>
      </c>
      <c r="Y187" s="4">
        <f>IFERROR(INDEX(Table5[],MATCH($B187,Table5[Component],0),2),0)</f>
        <v>0</v>
      </c>
      <c r="Z187" s="4">
        <f>IFERROR(INDEX(Table5[],MATCH($B187,Table5[Component],0),1),0)</f>
        <v>0</v>
      </c>
      <c r="AA187" s="4" t="str">
        <f>IF(Y187&lt;&gt;0,B187,"")</f>
        <v/>
      </c>
      <c r="AB187" s="4" t="str">
        <f t="shared" si="18"/>
        <v/>
      </c>
      <c r="AD187" s="4">
        <f t="shared" si="19"/>
        <v>0</v>
      </c>
      <c r="AI187" s="248">
        <f ca="1">IFERROR(INDEX($B$1:$AK$243,MATCH(W187,$B$1:$B$243,0),13),"")</f>
        <v>0</v>
      </c>
      <c r="AJ187" s="248">
        <f ca="1">IFERROR(INDEX($B$1:$AK$243,MATCH(W187,$B$1:$B$243,0),15),"")</f>
        <v>0</v>
      </c>
      <c r="AK187">
        <f>SUMIF($W$2:$W$243,B187,$S$2:$S$243)</f>
        <v>0</v>
      </c>
      <c r="AN187" s="4"/>
      <c r="AO187" s="4"/>
      <c r="AP187">
        <f t="shared" si="20"/>
        <v>0</v>
      </c>
      <c r="AQ187" s="4"/>
      <c r="AR187" s="4">
        <v>1145493</v>
      </c>
      <c r="AS187">
        <f>SUMIF($B:$B,AR187,$AP:$AP)</f>
        <v>0</v>
      </c>
    </row>
    <row r="188" spans="1:45" ht="15.65" customHeight="1" x14ac:dyDescent="0.35">
      <c r="A188" s="2">
        <v>187</v>
      </c>
      <c r="B188" s="3">
        <v>1133896</v>
      </c>
      <c r="C188" s="2" t="s">
        <v>3573</v>
      </c>
      <c r="D188" s="2" t="s">
        <v>111</v>
      </c>
      <c r="E188" s="2">
        <v>1613</v>
      </c>
      <c r="F188" s="2" t="s">
        <v>109</v>
      </c>
      <c r="G188" s="2" t="s">
        <v>4314</v>
      </c>
      <c r="H188" s="10">
        <f>SUMIFS('Cutters Consumption Updates'!$F:$F,'Cutters Consumption Updates'!$D:$D,H$1,'Cutters Consumption Updates'!$B:$B,$B188)-SUMIFS('Cutters Consumption Updates'!$E:$E,'Cutters Consumption Updates'!$D:$D,H$1,'Cutters Consumption Updates'!$B:$B,$B188)+ SUMIF('Cutters Consumption Updates'!$AS:$AS,$B188,'Cutters Consumption Updates'!AT:AT)</f>
        <v>0</v>
      </c>
      <c r="I188" s="10">
        <f>SUMIFS('Cutters Consumption Updates'!$F:$F,'Cutters Consumption Updates'!$D:$D,I$1,'Cutters Consumption Updates'!$B:$B,$B188)-SUMIFS('Cutters Consumption Updates'!$E:$E,'Cutters Consumption Updates'!$D:$D,I$1,'Cutters Consumption Updates'!$B:$B,$B188)+ SUMIF('Cutters Consumption Updates'!$AS:$AS,$B188,'Cutters Consumption Updates'!AU:AU)</f>
        <v>0</v>
      </c>
      <c r="J188" s="116">
        <f>SUMIFS('Cutters Consumption Updates'!$F:$F,'Cutters Consumption Updates'!$D:$D,J$1,'Cutters Consumption Updates'!$B:$B,$B188)-SUMIFS('Cutters Consumption Updates'!$E:$E,'Cutters Consumption Updates'!$D:$D,J$1,'Cutters Consumption Updates'!$B:$B,$B188)+ SUMIF('Cutters Consumption Updates'!$AS:$AS,$B188,'Cutters Consumption Updates'!AV:AV)</f>
        <v>0</v>
      </c>
      <c r="K188" s="738">
        <f>SUMIFS('Cutters Consumption Updates'!$F:$F,'Cutters Consumption Updates'!$D:$D,K$1,'Cutters Consumption Updates'!$B:$B,$B188)-SUMIFS('Cutters Consumption Updates'!$E:$E,'Cutters Consumption Updates'!$D:$D,K$1,'Cutters Consumption Updates'!$B:$B,$B188)+ SUMIF('Cutters Consumption Updates'!$AS:$AS,$B188,'Cutters Consumption Updates'!AW:AW)</f>
        <v>3</v>
      </c>
      <c r="L188" s="116">
        <f>SUMIFS('Cutters Consumption Updates'!$F:$F,'Cutters Consumption Updates'!$D:$D,L$1,'Cutters Consumption Updates'!$B:$B,$B188)-SUMIFS('Cutters Consumption Updates'!$E:$E,'Cutters Consumption Updates'!$D:$D,$L$1,'Cutters Consumption Updates'!$B:$B,$B188)+SUMIFS('Cutters Consumption Updates'!$F:$F,'Cutters Consumption Updates'!$D:$D,"Retrofit",'Cutters Consumption Updates'!$B:$B,$B188)-SUMIFS('Cutters Consumption Updates'!$E:$E,'Cutters Consumption Updates'!$D:$D,"Retrofit",'Cutters Consumption Updates'!$B:$B,$B188)+ SUMIF('Cutters Consumption Updates'!$AS:$AS,$B188,'Cutters Consumption Updates'!AX:AX)</f>
        <v>0</v>
      </c>
      <c r="M188" s="810">
        <f t="shared" si="14"/>
        <v>0</v>
      </c>
      <c r="N188" s="810">
        <f ca="1">SUMIFS('Cutters Consumption Updates'!E:E,
        'Cutters Consumption Updates'!B:B, B188,
        'Cutters Consumption Updates'!A:A, "&gt;" &amp; TODAY()-182)</f>
        <v>0</v>
      </c>
      <c r="O188" s="810">
        <f ca="1">SUMIFS('Cutters Consumption Updates'!E:E,
        'Cutters Consumption Updates'!B:B, B188,
        'Cutters Consumption Updates'!A:A, "&gt;" &amp; TODAY()-91)</f>
        <v>0</v>
      </c>
      <c r="P188" s="810">
        <f t="shared" ca="1" si="15"/>
        <v>0</v>
      </c>
      <c r="Q188" s="703">
        <f t="shared" ca="1" si="16"/>
        <v>0</v>
      </c>
      <c r="R188" s="703" t="s">
        <v>115</v>
      </c>
      <c r="S188" s="24">
        <f>IFERROR(INDEX(Table5[],MATCH($B188,Table5[Component],0),2),0)</f>
        <v>0</v>
      </c>
      <c r="T188" s="813">
        <f>SUMIFS(Table7[Balance],Table7[Cutter Mat'#],$B188)</f>
        <v>0</v>
      </c>
      <c r="U188" s="24">
        <f t="shared" si="17"/>
        <v>0</v>
      </c>
      <c r="V188" s="119"/>
      <c r="W188" s="2"/>
      <c r="Y188" s="4">
        <f>IFERROR(INDEX(Table5[],MATCH($B188,Table5[Component],0),2),0)</f>
        <v>0</v>
      </c>
      <c r="Z188" s="4">
        <f>IFERROR(INDEX(Table5[],MATCH($B188,Table5[Component],0),1),0)</f>
        <v>0</v>
      </c>
      <c r="AA188" s="4" t="str">
        <f>IF(Y188&lt;&gt;0,B188,"")</f>
        <v/>
      </c>
      <c r="AB188" s="4" t="str">
        <f t="shared" si="18"/>
        <v/>
      </c>
      <c r="AD188" s="4">
        <f t="shared" si="19"/>
        <v>0</v>
      </c>
      <c r="AI188" s="248" t="str">
        <f>IFERROR(INDEX($B$1:$AK$243,MATCH(W188,$B$1:$B$243,0),13),"")</f>
        <v/>
      </c>
      <c r="AJ188" s="248" t="str">
        <f>IFERROR(INDEX($B$1:$AK$243,MATCH(W188,$B$1:$B$243,0),15),"")</f>
        <v/>
      </c>
      <c r="AK188">
        <f>SUMIF($W$2:$W$243,B188,$S$2:$S$243)</f>
        <v>0</v>
      </c>
      <c r="AN188" s="4"/>
      <c r="AO188" s="4"/>
      <c r="AP188">
        <f t="shared" si="20"/>
        <v>0</v>
      </c>
      <c r="AQ188" s="4"/>
      <c r="AR188" s="4">
        <v>1146345</v>
      </c>
      <c r="AS188">
        <f>SUMIF($B:$B,AR188,$AP:$AP)</f>
        <v>0</v>
      </c>
    </row>
    <row r="189" spans="1:45" ht="15.65" customHeight="1" x14ac:dyDescent="0.35">
      <c r="A189" s="2">
        <v>188</v>
      </c>
      <c r="B189" s="3">
        <v>1130194</v>
      </c>
      <c r="C189" s="2" t="s">
        <v>1386</v>
      </c>
      <c r="D189" s="2" t="s">
        <v>114</v>
      </c>
      <c r="E189" s="2">
        <v>1010</v>
      </c>
      <c r="F189" s="2" t="s">
        <v>253</v>
      </c>
      <c r="G189" s="2" t="s">
        <v>4275</v>
      </c>
      <c r="H189" s="10">
        <f>SUMIFS('Cutters Consumption Updates'!$F:$F,'Cutters Consumption Updates'!$D:$D,H$1,'Cutters Consumption Updates'!$B:$B,$B189)-SUMIFS('Cutters Consumption Updates'!$E:$E,'Cutters Consumption Updates'!$D:$D,H$1,'Cutters Consumption Updates'!$B:$B,$B189)+ SUMIF('Cutters Consumption Updates'!$AS:$AS,$B189,'Cutters Consumption Updates'!AT:AT)</f>
        <v>0</v>
      </c>
      <c r="I189" s="10">
        <f>SUMIFS('Cutters Consumption Updates'!$F:$F,'Cutters Consumption Updates'!$D:$D,I$1,'Cutters Consumption Updates'!$B:$B,$B189)-SUMIFS('Cutters Consumption Updates'!$E:$E,'Cutters Consumption Updates'!$D:$D,I$1,'Cutters Consumption Updates'!$B:$B,$B189)+ SUMIF('Cutters Consumption Updates'!$AS:$AS,$B189,'Cutters Consumption Updates'!AU:AU)</f>
        <v>0</v>
      </c>
      <c r="J189" s="116">
        <f>SUMIFS('Cutters Consumption Updates'!$F:$F,'Cutters Consumption Updates'!$D:$D,J$1,'Cutters Consumption Updates'!$B:$B,$B189)-SUMIFS('Cutters Consumption Updates'!$E:$E,'Cutters Consumption Updates'!$D:$D,J$1,'Cutters Consumption Updates'!$B:$B,$B189)+ SUMIF('Cutters Consumption Updates'!$AS:$AS,$B189,'Cutters Consumption Updates'!AV:AV)</f>
        <v>12</v>
      </c>
      <c r="K189" s="738">
        <f>SUMIFS('Cutters Consumption Updates'!$F:$F,'Cutters Consumption Updates'!$D:$D,K$1,'Cutters Consumption Updates'!$B:$B,$B189)-SUMIFS('Cutters Consumption Updates'!$E:$E,'Cutters Consumption Updates'!$D:$D,K$1,'Cutters Consumption Updates'!$B:$B,$B189)+ SUMIF('Cutters Consumption Updates'!$AS:$AS,$B189,'Cutters Consumption Updates'!AW:AW)</f>
        <v>0</v>
      </c>
      <c r="L189" s="116">
        <f>SUMIFS('Cutters Consumption Updates'!$F:$F,'Cutters Consumption Updates'!$D:$D,L$1,'Cutters Consumption Updates'!$B:$B,$B189)-SUMIFS('Cutters Consumption Updates'!$E:$E,'Cutters Consumption Updates'!$D:$D,$L$1,'Cutters Consumption Updates'!$B:$B,$B189)+SUMIFS('Cutters Consumption Updates'!$F:$F,'Cutters Consumption Updates'!$D:$D,"Retrofit",'Cutters Consumption Updates'!$B:$B,$B189)-SUMIFS('Cutters Consumption Updates'!$E:$E,'Cutters Consumption Updates'!$D:$D,"Retrofit",'Cutters Consumption Updates'!$B:$B,$B189)+ SUMIF('Cutters Consumption Updates'!$AS:$AS,$B189,'Cutters Consumption Updates'!AX:AX)</f>
        <v>0</v>
      </c>
      <c r="M189" s="810">
        <f t="shared" si="14"/>
        <v>0</v>
      </c>
      <c r="N189" s="810">
        <f ca="1">SUMIFS('Cutters Consumption Updates'!E:E,
        'Cutters Consumption Updates'!B:B, B189,
        'Cutters Consumption Updates'!A:A, "&gt;" &amp; TODAY()-182)</f>
        <v>0</v>
      </c>
      <c r="O189" s="810">
        <f ca="1">SUMIFS('Cutters Consumption Updates'!E:E,
        'Cutters Consumption Updates'!B:B, B189,
        'Cutters Consumption Updates'!A:A, "&gt;" &amp; TODAY()-91)</f>
        <v>0</v>
      </c>
      <c r="P189" s="810">
        <f t="shared" ca="1" si="15"/>
        <v>0</v>
      </c>
      <c r="Q189" s="703">
        <f t="shared" ca="1" si="16"/>
        <v>0</v>
      </c>
      <c r="R189" s="703" t="s">
        <v>140</v>
      </c>
      <c r="S189" s="24">
        <f>IFERROR(INDEX(Table5[],MATCH($B189,Table5[Component],0),2),0)</f>
        <v>0</v>
      </c>
      <c r="T189" s="813">
        <f>SUMIFS(Table7[Balance],Table7[Cutter Mat'#],$B189)</f>
        <v>0</v>
      </c>
      <c r="U189" s="24">
        <f t="shared" si="17"/>
        <v>0</v>
      </c>
      <c r="V189" s="119"/>
      <c r="W189" s="2"/>
      <c r="Y189" s="4">
        <f>IFERROR(INDEX(Table5[],MATCH($B189,Table5[Component],0),2),0)</f>
        <v>0</v>
      </c>
      <c r="Z189" s="4">
        <f>IFERROR(INDEX(Table5[],MATCH($B189,Table5[Component],0),1),0)</f>
        <v>0</v>
      </c>
      <c r="AA189" s="4" t="str">
        <f>IF(Y189&lt;&gt;0,B189,"")</f>
        <v/>
      </c>
      <c r="AB189" s="4" t="str">
        <f t="shared" si="18"/>
        <v/>
      </c>
      <c r="AD189" s="4">
        <f t="shared" si="19"/>
        <v>12</v>
      </c>
      <c r="AI189" s="248" t="str">
        <f>IFERROR(INDEX($B$1:$AK$243,MATCH(W189,$B$1:$B$243,0),13),"")</f>
        <v/>
      </c>
      <c r="AJ189" s="248" t="str">
        <f>IFERROR(INDEX($B$1:$AK$243,MATCH(W189,$B$1:$B$243,0),15),"")</f>
        <v/>
      </c>
      <c r="AK189">
        <f>SUMIF($W$2:$W$243,B189,$S$2:$S$243)</f>
        <v>0</v>
      </c>
      <c r="AN189" s="4"/>
      <c r="AO189" s="4"/>
      <c r="AP189">
        <f t="shared" si="20"/>
        <v>0</v>
      </c>
      <c r="AQ189" s="4"/>
      <c r="AR189" s="4">
        <v>1146346</v>
      </c>
      <c r="AS189">
        <f>SUMIF($B:$B,AR189,$AP:$AP)</f>
        <v>225</v>
      </c>
    </row>
    <row r="190" spans="1:45" ht="15.65" customHeight="1" x14ac:dyDescent="0.35">
      <c r="A190" s="2">
        <v>189</v>
      </c>
      <c r="B190" s="3">
        <v>1217988</v>
      </c>
      <c r="C190" s="2" t="s">
        <v>3554</v>
      </c>
      <c r="D190" s="2" t="s">
        <v>165</v>
      </c>
      <c r="E190" s="2">
        <v>1313</v>
      </c>
      <c r="F190" s="2" t="s">
        <v>248</v>
      </c>
      <c r="G190" s="2" t="s">
        <v>4318</v>
      </c>
      <c r="H190" s="10">
        <f>SUMIFS('Cutters Consumption Updates'!$F:$F,'Cutters Consumption Updates'!$D:$D,H$1,'Cutters Consumption Updates'!$B:$B,$B190)-SUMIFS('Cutters Consumption Updates'!$E:$E,'Cutters Consumption Updates'!$D:$D,H$1,'Cutters Consumption Updates'!$B:$B,$B190)+ SUMIF('Cutters Consumption Updates'!$AS:$AS,$B190,'Cutters Consumption Updates'!AT:AT)</f>
        <v>0</v>
      </c>
      <c r="I190" s="10">
        <f>SUMIFS('Cutters Consumption Updates'!$F:$F,'Cutters Consumption Updates'!$D:$D,I$1,'Cutters Consumption Updates'!$B:$B,$B190)-SUMIFS('Cutters Consumption Updates'!$E:$E,'Cutters Consumption Updates'!$D:$D,I$1,'Cutters Consumption Updates'!$B:$B,$B190)+ SUMIF('Cutters Consumption Updates'!$AS:$AS,$B190,'Cutters Consumption Updates'!AU:AU)</f>
        <v>0</v>
      </c>
      <c r="J190" s="116">
        <f>SUMIFS('Cutters Consumption Updates'!$F:$F,'Cutters Consumption Updates'!$D:$D,J$1,'Cutters Consumption Updates'!$B:$B,$B190)-SUMIFS('Cutters Consumption Updates'!$E:$E,'Cutters Consumption Updates'!$D:$D,J$1,'Cutters Consumption Updates'!$B:$B,$B190)+ SUMIF('Cutters Consumption Updates'!$AS:$AS,$B190,'Cutters Consumption Updates'!AV:AV)</f>
        <v>0</v>
      </c>
      <c r="K190" s="738">
        <f>SUMIFS('Cutters Consumption Updates'!$F:$F,'Cutters Consumption Updates'!$D:$D,K$1,'Cutters Consumption Updates'!$B:$B,$B190)-SUMIFS('Cutters Consumption Updates'!$E:$E,'Cutters Consumption Updates'!$D:$D,K$1,'Cutters Consumption Updates'!$B:$B,$B190)+ SUMIF('Cutters Consumption Updates'!$AS:$AS,$B190,'Cutters Consumption Updates'!AW:AW)</f>
        <v>0</v>
      </c>
      <c r="L190" s="116">
        <f>SUMIFS('Cutters Consumption Updates'!$F:$F,'Cutters Consumption Updates'!$D:$D,L$1,'Cutters Consumption Updates'!$B:$B,$B190)-SUMIFS('Cutters Consumption Updates'!$E:$E,'Cutters Consumption Updates'!$D:$D,$L$1,'Cutters Consumption Updates'!$B:$B,$B190)+SUMIFS('Cutters Consumption Updates'!$F:$F,'Cutters Consumption Updates'!$D:$D,"Retrofit",'Cutters Consumption Updates'!$B:$B,$B190)-SUMIFS('Cutters Consumption Updates'!$E:$E,'Cutters Consumption Updates'!$D:$D,"Retrofit",'Cutters Consumption Updates'!$B:$B,$B190)+ SUMIF('Cutters Consumption Updates'!$AS:$AS,$B190,'Cutters Consumption Updates'!AX:AX)</f>
        <v>0</v>
      </c>
      <c r="M190" s="810">
        <f t="shared" si="14"/>
        <v>0</v>
      </c>
      <c r="N190" s="810">
        <f ca="1">SUMIFS('Cutters Consumption Updates'!E:E,
        'Cutters Consumption Updates'!B:B, B190,
        'Cutters Consumption Updates'!A:A, "&gt;" &amp; TODAY()-182)</f>
        <v>0</v>
      </c>
      <c r="O190" s="810">
        <f ca="1">SUMIFS('Cutters Consumption Updates'!E:E,
        'Cutters Consumption Updates'!B:B, B190,
        'Cutters Consumption Updates'!A:A, "&gt;" &amp; TODAY()-91)</f>
        <v>0</v>
      </c>
      <c r="P190" s="810">
        <f t="shared" ca="1" si="15"/>
        <v>0</v>
      </c>
      <c r="Q190" s="703">
        <f t="shared" ca="1" si="16"/>
        <v>0</v>
      </c>
      <c r="R190" s="703" t="s">
        <v>29</v>
      </c>
      <c r="S190" s="24">
        <f>IFERROR(INDEX(Table5[],MATCH($B190,Table5[Component],0),2),0)</f>
        <v>0</v>
      </c>
      <c r="T190" s="813">
        <f>SUMIFS(Table7[Balance],Table7[Cutter Mat'#],$B190)</f>
        <v>0</v>
      </c>
      <c r="U190" s="24">
        <f t="shared" si="17"/>
        <v>0</v>
      </c>
      <c r="V190" s="119"/>
      <c r="W190" s="2">
        <v>1136984</v>
      </c>
      <c r="Y190" s="4">
        <f>IFERROR(INDEX(Table5[],MATCH($B190,Table5[Component],0),2),0)</f>
        <v>0</v>
      </c>
      <c r="Z190" s="4">
        <f>IFERROR(INDEX(Table5[],MATCH($B190,Table5[Component],0),1),0)</f>
        <v>0</v>
      </c>
      <c r="AA190" s="4" t="str">
        <f>IF(Y190&lt;&gt;0,B190,"")</f>
        <v/>
      </c>
      <c r="AB190" s="4" t="str">
        <f t="shared" si="18"/>
        <v/>
      </c>
      <c r="AD190" s="4">
        <f t="shared" si="19"/>
        <v>0</v>
      </c>
      <c r="AI190" s="248">
        <f ca="1">IFERROR(INDEX($B$1:$AK$243,MATCH(W190,$B$1:$B$243,0),13),"")</f>
        <v>92</v>
      </c>
      <c r="AJ190" s="248">
        <f ca="1">IFERROR(INDEX($B$1:$AK$243,MATCH(W190,$B$1:$B$243,0),15),"")</f>
        <v>31</v>
      </c>
      <c r="AK190">
        <f>SUMIF($W$2:$W$243,B190,$S$2:$S$243)</f>
        <v>0</v>
      </c>
      <c r="AN190" s="4"/>
      <c r="AO190" s="4"/>
      <c r="AP190">
        <f t="shared" si="20"/>
        <v>0</v>
      </c>
      <c r="AQ190" s="4"/>
      <c r="AR190" s="4">
        <v>1146737</v>
      </c>
      <c r="AS190">
        <f>SUMIF($B:$B,AR190,$AP:$AP)</f>
        <v>300</v>
      </c>
    </row>
    <row r="191" spans="1:45" ht="15.65" customHeight="1" x14ac:dyDescent="0.35">
      <c r="A191" s="2">
        <v>190</v>
      </c>
      <c r="B191" s="258">
        <v>1209333</v>
      </c>
      <c r="C191" s="2" t="s">
        <v>3556</v>
      </c>
      <c r="D191" s="2" t="s">
        <v>160</v>
      </c>
      <c r="E191" s="2">
        <v>1613</v>
      </c>
      <c r="F191" s="2" t="s">
        <v>109</v>
      </c>
      <c r="G191" s="2" t="s">
        <v>4384</v>
      </c>
      <c r="H191" s="10">
        <f>SUMIFS('Cutters Consumption Updates'!$F:$F,'Cutters Consumption Updates'!$D:$D,H$1,'Cutters Consumption Updates'!$B:$B,$B191)-SUMIFS('Cutters Consumption Updates'!$E:$E,'Cutters Consumption Updates'!$D:$D,H$1,'Cutters Consumption Updates'!$B:$B,$B191)+ SUMIF('Cutters Consumption Updates'!$AS:$AS,$B191,'Cutters Consumption Updates'!AT:AT)</f>
        <v>0</v>
      </c>
      <c r="I191" s="10">
        <f>SUMIFS('Cutters Consumption Updates'!$F:$F,'Cutters Consumption Updates'!$D:$D,I$1,'Cutters Consumption Updates'!$B:$B,$B191)-SUMIFS('Cutters Consumption Updates'!$E:$E,'Cutters Consumption Updates'!$D:$D,I$1,'Cutters Consumption Updates'!$B:$B,$B191)+ SUMIF('Cutters Consumption Updates'!$AS:$AS,$B191,'Cutters Consumption Updates'!AU:AU)</f>
        <v>0</v>
      </c>
      <c r="J191" s="116">
        <f>SUMIFS('Cutters Consumption Updates'!$F:$F,'Cutters Consumption Updates'!$D:$D,J$1,'Cutters Consumption Updates'!$B:$B,$B191)-SUMIFS('Cutters Consumption Updates'!$E:$E,'Cutters Consumption Updates'!$D:$D,J$1,'Cutters Consumption Updates'!$B:$B,$B191)+ SUMIF('Cutters Consumption Updates'!$AS:$AS,$B191,'Cutters Consumption Updates'!AV:AV)</f>
        <v>0</v>
      </c>
      <c r="K191" s="738">
        <f>SUMIFS('Cutters Consumption Updates'!$F:$F,'Cutters Consumption Updates'!$D:$D,K$1,'Cutters Consumption Updates'!$B:$B,$B191)-SUMIFS('Cutters Consumption Updates'!$E:$E,'Cutters Consumption Updates'!$D:$D,K$1,'Cutters Consumption Updates'!$B:$B,$B191)+ SUMIF('Cutters Consumption Updates'!$AS:$AS,$B191,'Cutters Consumption Updates'!AW:AW)</f>
        <v>0</v>
      </c>
      <c r="L191" s="116">
        <f>SUMIFS('Cutters Consumption Updates'!$F:$F,'Cutters Consumption Updates'!$D:$D,L$1,'Cutters Consumption Updates'!$B:$B,$B191)-SUMIFS('Cutters Consumption Updates'!$E:$E,'Cutters Consumption Updates'!$D:$D,$L$1,'Cutters Consumption Updates'!$B:$B,$B191)+SUMIFS('Cutters Consumption Updates'!$F:$F,'Cutters Consumption Updates'!$D:$D,"Retrofit",'Cutters Consumption Updates'!$B:$B,$B191)-SUMIFS('Cutters Consumption Updates'!$E:$E,'Cutters Consumption Updates'!$D:$D,"Retrofit",'Cutters Consumption Updates'!$B:$B,$B191)+ SUMIF('Cutters Consumption Updates'!$AS:$AS,$B191,'Cutters Consumption Updates'!AX:AX)</f>
        <v>101</v>
      </c>
      <c r="M191" s="810">
        <f t="shared" si="14"/>
        <v>101</v>
      </c>
      <c r="N191" s="810">
        <f ca="1">SUMIFS('Cutters Consumption Updates'!E:E,
        'Cutters Consumption Updates'!B:B, B191,
        'Cutters Consumption Updates'!A:A, "&gt;" &amp; TODAY()-182)</f>
        <v>12</v>
      </c>
      <c r="O191" s="810">
        <f ca="1">SUMIFS('Cutters Consumption Updates'!E:E,
        'Cutters Consumption Updates'!B:B, B191,
        'Cutters Consumption Updates'!A:A, "&gt;" &amp; TODAY()-91)</f>
        <v>0</v>
      </c>
      <c r="P191" s="810">
        <f t="shared" ca="1" si="15"/>
        <v>4</v>
      </c>
      <c r="Q191" s="703">
        <f t="shared" ca="1" si="16"/>
        <v>5</v>
      </c>
      <c r="R191" s="703" t="s">
        <v>167</v>
      </c>
      <c r="S191" s="24">
        <f>IFERROR(INDEX(Table5[],MATCH($B191,Table5[Component],0),2),0)</f>
        <v>36</v>
      </c>
      <c r="T191" s="813">
        <f>SUMIFS(Table7[Balance],Table7[Cutter Mat'#],$B191)</f>
        <v>0</v>
      </c>
      <c r="U191" s="24">
        <f t="shared" si="17"/>
        <v>65</v>
      </c>
      <c r="V191" s="119"/>
      <c r="W191" s="2"/>
      <c r="Y191" s="4">
        <f>IFERROR(INDEX(Table5[],MATCH($B191,Table5[Component],0),2),0)</f>
        <v>36</v>
      </c>
      <c r="Z191" s="4">
        <f>IFERROR(INDEX(Table5[],MATCH($B191,Table5[Component],0),1),0)</f>
        <v>1209333</v>
      </c>
      <c r="AA191" s="4">
        <f>IF(Y191&lt;&gt;0,B191,"")</f>
        <v>1209333</v>
      </c>
      <c r="AB191" s="4" t="str">
        <f t="shared" si="18"/>
        <v/>
      </c>
      <c r="AD191" s="4">
        <f t="shared" si="19"/>
        <v>101</v>
      </c>
      <c r="AI191" s="248" t="str">
        <f>IFERROR(INDEX($B$1:$AK$243,MATCH(W191,$B$1:$B$243,0),13),"")</f>
        <v/>
      </c>
      <c r="AJ191" s="248" t="str">
        <f>IFERROR(INDEX($B$1:$AK$243,MATCH(W191,$B$1:$B$243,0),15),"")</f>
        <v/>
      </c>
      <c r="AK191">
        <f>SUMIF($W$2:$W$243,B191,$S$2:$S$243)</f>
        <v>0</v>
      </c>
      <c r="AN191" s="4"/>
      <c r="AO191" s="4"/>
      <c r="AP191">
        <f t="shared" si="20"/>
        <v>0</v>
      </c>
      <c r="AQ191" s="4"/>
      <c r="AR191" s="4">
        <v>1146738</v>
      </c>
      <c r="AS191">
        <f>SUMIF($B:$B,AR191,$AP:$AP)</f>
        <v>30</v>
      </c>
    </row>
    <row r="192" spans="1:45" ht="15.65" customHeight="1" x14ac:dyDescent="0.35">
      <c r="A192" s="45">
        <v>191</v>
      </c>
      <c r="B192" s="461">
        <v>1050703</v>
      </c>
      <c r="C192" s="2" t="s">
        <v>4493</v>
      </c>
      <c r="D192" s="2" t="s">
        <v>151</v>
      </c>
      <c r="E192" s="2">
        <v>1318</v>
      </c>
      <c r="F192" s="2" t="s">
        <v>103</v>
      </c>
      <c r="G192" s="2" t="s">
        <v>36</v>
      </c>
      <c r="H192" s="10">
        <f>SUMIFS('Cutters Consumption Updates'!$F:$F,'Cutters Consumption Updates'!$D:$D,H$1,'Cutters Consumption Updates'!$B:$B,$B192)-SUMIFS('Cutters Consumption Updates'!$E:$E,'Cutters Consumption Updates'!$D:$D,H$1,'Cutters Consumption Updates'!$B:$B,$B192)+ SUMIF('Cutters Consumption Updates'!$AS:$AS,$B192,'Cutters Consumption Updates'!AT:AT)</f>
        <v>0</v>
      </c>
      <c r="I192" s="10">
        <f>SUMIFS('Cutters Consumption Updates'!$F:$F,'Cutters Consumption Updates'!$D:$D,I$1,'Cutters Consumption Updates'!$B:$B,$B192)-SUMIFS('Cutters Consumption Updates'!$E:$E,'Cutters Consumption Updates'!$D:$D,I$1,'Cutters Consumption Updates'!$B:$B,$B192)+ SUMIF('Cutters Consumption Updates'!$AS:$AS,$B192,'Cutters Consumption Updates'!AU:AU)</f>
        <v>0</v>
      </c>
      <c r="J192" s="116">
        <f>SUMIFS('Cutters Consumption Updates'!$F:$F,'Cutters Consumption Updates'!$D:$D,J$1,'Cutters Consumption Updates'!$B:$B,$B192)-SUMIFS('Cutters Consumption Updates'!$E:$E,'Cutters Consumption Updates'!$D:$D,J$1,'Cutters Consumption Updates'!$B:$B,$B192)+ SUMIF('Cutters Consumption Updates'!$AS:$AS,$B192,'Cutters Consumption Updates'!AV:AV)</f>
        <v>0</v>
      </c>
      <c r="K192" s="738">
        <f>SUMIFS('Cutters Consumption Updates'!$F:$F,'Cutters Consumption Updates'!$D:$D,K$1,'Cutters Consumption Updates'!$B:$B,$B192)-SUMIFS('Cutters Consumption Updates'!$E:$E,'Cutters Consumption Updates'!$D:$D,K$1,'Cutters Consumption Updates'!$B:$B,$B192)+ SUMIF('Cutters Consumption Updates'!$AS:$AS,$B192,'Cutters Consumption Updates'!AW:AW)</f>
        <v>0</v>
      </c>
      <c r="L192" s="116">
        <f>SUMIFS('Cutters Consumption Updates'!$F:$F,'Cutters Consumption Updates'!$D:$D,L$1,'Cutters Consumption Updates'!$B:$B,$B192)-SUMIFS('Cutters Consumption Updates'!$E:$E,'Cutters Consumption Updates'!$D:$D,$L$1,'Cutters Consumption Updates'!$B:$B,$B192)+SUMIFS('Cutters Consumption Updates'!$F:$F,'Cutters Consumption Updates'!$D:$D,"Retrofit",'Cutters Consumption Updates'!$B:$B,$B192)-SUMIFS('Cutters Consumption Updates'!$E:$E,'Cutters Consumption Updates'!$D:$D,"Retrofit",'Cutters Consumption Updates'!$B:$B,$B192)+ SUMIF('Cutters Consumption Updates'!$AS:$AS,$B192,'Cutters Consumption Updates'!AX:AX)</f>
        <v>6</v>
      </c>
      <c r="M192" s="810">
        <f t="shared" si="14"/>
        <v>6</v>
      </c>
      <c r="N192" s="810">
        <f ca="1">SUMIFS('Cutters Consumption Updates'!E:E,
        'Cutters Consumption Updates'!B:B, B192,
        'Cutters Consumption Updates'!A:A, "&gt;" &amp; TODAY()-182)</f>
        <v>0</v>
      </c>
      <c r="O192" s="810">
        <f ca="1">SUMIFS('Cutters Consumption Updates'!E:E,
        'Cutters Consumption Updates'!B:B, B192,
        'Cutters Consumption Updates'!A:A, "&gt;" &amp; TODAY()-91)</f>
        <v>0</v>
      </c>
      <c r="P192" s="810">
        <f t="shared" ca="1" si="15"/>
        <v>0</v>
      </c>
      <c r="Q192" s="703">
        <f t="shared" ca="1" si="16"/>
        <v>0</v>
      </c>
      <c r="R192" s="703" t="s">
        <v>29</v>
      </c>
      <c r="S192" s="24">
        <f>IFERROR(INDEX(Table5[],MATCH($B192,Table5[Component],0),2),0)</f>
        <v>0</v>
      </c>
      <c r="T192" s="813">
        <f>SUMIFS(Table7[Balance],Table7[Cutter Mat'#],$B192)</f>
        <v>0</v>
      </c>
      <c r="U192" s="24">
        <f t="shared" si="17"/>
        <v>6</v>
      </c>
      <c r="V192" s="291"/>
      <c r="W192" s="2"/>
      <c r="Y192" s="4">
        <f>IFERROR(INDEX(Table5[],MATCH($B192,Table5[Component],0),2),0)</f>
        <v>0</v>
      </c>
      <c r="Z192" s="4">
        <f>IFERROR(INDEX(Table5[],MATCH($B192,Table5[Component],0),1),0)</f>
        <v>0</v>
      </c>
      <c r="AA192" s="4" t="str">
        <f>IF(Y192&lt;&gt;0,B192,"")</f>
        <v/>
      </c>
      <c r="AB192" s="4" t="str">
        <f t="shared" si="18"/>
        <v/>
      </c>
      <c r="AD192" s="4">
        <f t="shared" si="19"/>
        <v>6</v>
      </c>
      <c r="AI192" s="248" t="str">
        <f>IFERROR(INDEX($B$1:$AK$243,MATCH(W192,$B$1:$B$243,0),13),"")</f>
        <v/>
      </c>
      <c r="AJ192" s="248" t="str">
        <f>IFERROR(INDEX($B$1:$AK$243,MATCH(W192,$B$1:$B$243,0),15),"")</f>
        <v/>
      </c>
      <c r="AK192">
        <f>SUMIF($W$2:$W$243,B192,$S$2:$S$243)</f>
        <v>0</v>
      </c>
      <c r="AN192" s="4"/>
      <c r="AO192" s="4"/>
      <c r="AP192">
        <f t="shared" si="20"/>
        <v>0</v>
      </c>
      <c r="AQ192" s="4"/>
      <c r="AR192" s="4">
        <v>1146740</v>
      </c>
      <c r="AS192">
        <f>SUMIF($B:$B,AR192,$AP:$AP)</f>
        <v>0</v>
      </c>
    </row>
    <row r="193" spans="1:45" ht="15.65" customHeight="1" x14ac:dyDescent="0.35">
      <c r="A193" s="2">
        <v>192</v>
      </c>
      <c r="B193" s="258">
        <v>1233855</v>
      </c>
      <c r="C193" s="2" t="s">
        <v>3558</v>
      </c>
      <c r="D193" s="2" t="s">
        <v>168</v>
      </c>
      <c r="E193" s="2">
        <v>1613</v>
      </c>
      <c r="F193" s="2" t="s">
        <v>109</v>
      </c>
      <c r="G193" s="2" t="s">
        <v>169</v>
      </c>
      <c r="H193" s="10">
        <f>SUMIFS('Cutters Consumption Updates'!$F:$F,'Cutters Consumption Updates'!$D:$D,H$1,'Cutters Consumption Updates'!$B:$B,$B193)-SUMIFS('Cutters Consumption Updates'!$E:$E,'Cutters Consumption Updates'!$D:$D,H$1,'Cutters Consumption Updates'!$B:$B,$B193)+ SUMIF('Cutters Consumption Updates'!$AS:$AS,$B193,'Cutters Consumption Updates'!AT:AT)</f>
        <v>0</v>
      </c>
      <c r="I193" s="10">
        <f>SUMIFS('Cutters Consumption Updates'!$F:$F,'Cutters Consumption Updates'!$D:$D,I$1,'Cutters Consumption Updates'!$B:$B,$B193)-SUMIFS('Cutters Consumption Updates'!$E:$E,'Cutters Consumption Updates'!$D:$D,I$1,'Cutters Consumption Updates'!$B:$B,$B193)+ SUMIF('Cutters Consumption Updates'!$AS:$AS,$B193,'Cutters Consumption Updates'!AU:AU)</f>
        <v>0</v>
      </c>
      <c r="J193" s="116">
        <f>SUMIFS('Cutters Consumption Updates'!$F:$F,'Cutters Consumption Updates'!$D:$D,J$1,'Cutters Consumption Updates'!$B:$B,$B193)-SUMIFS('Cutters Consumption Updates'!$E:$E,'Cutters Consumption Updates'!$D:$D,J$1,'Cutters Consumption Updates'!$B:$B,$B193)+ SUMIF('Cutters Consumption Updates'!$AS:$AS,$B193,'Cutters Consumption Updates'!AV:AV)</f>
        <v>0</v>
      </c>
      <c r="K193" s="738">
        <f>SUMIFS('Cutters Consumption Updates'!$F:$F,'Cutters Consumption Updates'!$D:$D,K$1,'Cutters Consumption Updates'!$B:$B,$B193)-SUMIFS('Cutters Consumption Updates'!$E:$E,'Cutters Consumption Updates'!$D:$D,K$1,'Cutters Consumption Updates'!$B:$B,$B193)+ SUMIF('Cutters Consumption Updates'!$AS:$AS,$B193,'Cutters Consumption Updates'!AW:AW)</f>
        <v>0</v>
      </c>
      <c r="L193" s="116">
        <f>SUMIFS('Cutters Consumption Updates'!$F:$F,'Cutters Consumption Updates'!$D:$D,L$1,'Cutters Consumption Updates'!$B:$B,$B193)-SUMIFS('Cutters Consumption Updates'!$E:$E,'Cutters Consumption Updates'!$D:$D,$L$1,'Cutters Consumption Updates'!$B:$B,$B193)+SUMIFS('Cutters Consumption Updates'!$F:$F,'Cutters Consumption Updates'!$D:$D,"Retrofit",'Cutters Consumption Updates'!$B:$B,$B193)-SUMIFS('Cutters Consumption Updates'!$E:$E,'Cutters Consumption Updates'!$D:$D,"Retrofit",'Cutters Consumption Updates'!$B:$B,$B193)+ SUMIF('Cutters Consumption Updates'!$AS:$AS,$B193,'Cutters Consumption Updates'!AX:AX)</f>
        <v>0</v>
      </c>
      <c r="M193" s="810">
        <f t="shared" si="14"/>
        <v>0</v>
      </c>
      <c r="N193" s="810">
        <f ca="1">SUMIFS('Cutters Consumption Updates'!E:E,
        'Cutters Consumption Updates'!B:B, B193,
        'Cutters Consumption Updates'!A:A, "&gt;" &amp; TODAY()-182)</f>
        <v>0</v>
      </c>
      <c r="O193" s="810">
        <f ca="1">SUMIFS('Cutters Consumption Updates'!E:E,
        'Cutters Consumption Updates'!B:B, B193,
        'Cutters Consumption Updates'!A:A, "&gt;" &amp; TODAY()-91)</f>
        <v>0</v>
      </c>
      <c r="P193" s="810">
        <f t="shared" ca="1" si="15"/>
        <v>0</v>
      </c>
      <c r="Q193" s="703">
        <f t="shared" ca="1" si="16"/>
        <v>0</v>
      </c>
      <c r="R193" s="703" t="s">
        <v>29</v>
      </c>
      <c r="S193" s="24">
        <f>IFERROR(INDEX(Table5[],MATCH($B193,Table5[Component],0),2),0)</f>
        <v>0</v>
      </c>
      <c r="T193" s="813">
        <f>SUMIFS(Table7[Balance],Table7[Cutter Mat'#],$B193)</f>
        <v>0</v>
      </c>
      <c r="U193" s="24">
        <f t="shared" si="17"/>
        <v>0</v>
      </c>
      <c r="V193" s="119"/>
      <c r="W193" s="2"/>
      <c r="Y193" s="4">
        <f>IFERROR(INDEX(Table5[],MATCH($B193,Table5[Component],0),2),0)</f>
        <v>0</v>
      </c>
      <c r="Z193" s="4">
        <f>IFERROR(INDEX(Table5[],MATCH($B193,Table5[Component],0),1),0)</f>
        <v>0</v>
      </c>
      <c r="AA193" s="4" t="str">
        <f>IF(Y193&lt;&gt;0,B193,"")</f>
        <v/>
      </c>
      <c r="AB193" s="4" t="str">
        <f t="shared" si="18"/>
        <v/>
      </c>
      <c r="AD193" s="4">
        <f t="shared" si="19"/>
        <v>0</v>
      </c>
      <c r="AI193" s="248" t="str">
        <f>IFERROR(INDEX($B$1:$AK$243,MATCH(W193,$B$1:$B$243,0),13),"")</f>
        <v/>
      </c>
      <c r="AJ193" s="248" t="str">
        <f>IFERROR(INDEX($B$1:$AK$243,MATCH(W193,$B$1:$B$243,0),15),"")</f>
        <v/>
      </c>
      <c r="AK193">
        <f>SUMIF($W$2:$W$243,B193,$S$2:$S$243)</f>
        <v>0</v>
      </c>
      <c r="AN193" s="4"/>
      <c r="AO193" s="4"/>
      <c r="AP193">
        <f t="shared" si="20"/>
        <v>0</v>
      </c>
      <c r="AQ193" s="4"/>
      <c r="AR193" s="4">
        <v>1146742</v>
      </c>
      <c r="AS193">
        <f>SUMIF($B:$B,AR193,$AP:$AP)</f>
        <v>0</v>
      </c>
    </row>
    <row r="194" spans="1:45" ht="15.65" customHeight="1" x14ac:dyDescent="0.35">
      <c r="A194" s="2">
        <v>193</v>
      </c>
      <c r="B194" s="258">
        <v>1208601</v>
      </c>
      <c r="C194" s="2" t="s">
        <v>3560</v>
      </c>
      <c r="D194" s="2" t="s">
        <v>111</v>
      </c>
      <c r="E194" s="2">
        <v>1613</v>
      </c>
      <c r="F194" s="2" t="s">
        <v>170</v>
      </c>
      <c r="G194" s="2" t="s">
        <v>4314</v>
      </c>
      <c r="H194" s="10">
        <f>SUMIFS('Cutters Consumption Updates'!$F:$F,'Cutters Consumption Updates'!$D:$D,H$1,'Cutters Consumption Updates'!$B:$B,$B194)-SUMIFS('Cutters Consumption Updates'!$E:$E,'Cutters Consumption Updates'!$D:$D,H$1,'Cutters Consumption Updates'!$B:$B,$B194)+ SUMIF('Cutters Consumption Updates'!$AS:$AS,$B194,'Cutters Consumption Updates'!AT:AT)</f>
        <v>0</v>
      </c>
      <c r="I194" s="10">
        <f>SUMIFS('Cutters Consumption Updates'!$F:$F,'Cutters Consumption Updates'!$D:$D,I$1,'Cutters Consumption Updates'!$B:$B,$B194)-SUMIFS('Cutters Consumption Updates'!$E:$E,'Cutters Consumption Updates'!$D:$D,I$1,'Cutters Consumption Updates'!$B:$B,$B194)+ SUMIF('Cutters Consumption Updates'!$AS:$AS,$B194,'Cutters Consumption Updates'!AU:AU)</f>
        <v>0</v>
      </c>
      <c r="J194" s="116">
        <f>SUMIFS('Cutters Consumption Updates'!$F:$F,'Cutters Consumption Updates'!$D:$D,J$1,'Cutters Consumption Updates'!$B:$B,$B194)-SUMIFS('Cutters Consumption Updates'!$E:$E,'Cutters Consumption Updates'!$D:$D,J$1,'Cutters Consumption Updates'!$B:$B,$B194)+ SUMIF('Cutters Consumption Updates'!$AS:$AS,$B194,'Cutters Consumption Updates'!AV:AV)</f>
        <v>75</v>
      </c>
      <c r="K194" s="738">
        <f>SUMIFS('Cutters Consumption Updates'!$F:$F,'Cutters Consumption Updates'!$D:$D,K$1,'Cutters Consumption Updates'!$B:$B,$B194)-SUMIFS('Cutters Consumption Updates'!$E:$E,'Cutters Consumption Updates'!$D:$D,K$1,'Cutters Consumption Updates'!$B:$B,$B194)+ SUMIF('Cutters Consumption Updates'!$AS:$AS,$B194,'Cutters Consumption Updates'!AW:AW)</f>
        <v>0</v>
      </c>
      <c r="L194" s="116">
        <f>SUMIFS('Cutters Consumption Updates'!$F:$F,'Cutters Consumption Updates'!$D:$D,L$1,'Cutters Consumption Updates'!$B:$B,$B194)-SUMIFS('Cutters Consumption Updates'!$E:$E,'Cutters Consumption Updates'!$D:$D,$L$1,'Cutters Consumption Updates'!$B:$B,$B194)+SUMIFS('Cutters Consumption Updates'!$F:$F,'Cutters Consumption Updates'!$D:$D,"Retrofit",'Cutters Consumption Updates'!$B:$B,$B194)-SUMIFS('Cutters Consumption Updates'!$E:$E,'Cutters Consumption Updates'!$D:$D,"Retrofit",'Cutters Consumption Updates'!$B:$B,$B194)+ SUMIF('Cutters Consumption Updates'!$AS:$AS,$B194,'Cutters Consumption Updates'!AX:AX)</f>
        <v>124</v>
      </c>
      <c r="M194" s="810">
        <f t="shared" ref="M194:M257" si="21">L194+H194</f>
        <v>124</v>
      </c>
      <c r="N194" s="810">
        <f ca="1">SUMIFS('Cutters Consumption Updates'!E:E,
        'Cutters Consumption Updates'!B:B, B194,
        'Cutters Consumption Updates'!A:A, "&gt;" &amp; TODAY()-182)</f>
        <v>230</v>
      </c>
      <c r="O194" s="810">
        <f ca="1">SUMIFS('Cutters Consumption Updates'!E:E,
        'Cutters Consumption Updates'!B:B, B194,
        'Cutters Consumption Updates'!A:A, "&gt;" &amp; TODAY()-91)</f>
        <v>102</v>
      </c>
      <c r="P194" s="810">
        <f t="shared" ref="P194:P257" ca="1" si="22">IF(N194&lt;&gt;0,_xlfn.CEILING.MATH(N194/3),0)</f>
        <v>77</v>
      </c>
      <c r="Q194" s="703">
        <f t="shared" ref="Q194:Q257" ca="1" si="23">IF(P194&lt;=1, 0,
 CEILING(
  IF(P194&gt;=300, P194+10,
  IF(P194&gt;=200, P194+5,
  IF(P194&gt;=100, P194+5,
  IF(P194&gt;=50, P194+2,
  IF(P194&gt;=20, P194+2,
  IF(P194&gt;=10, P194+2,
  IF(P194&gt;=5,  P194+2,
  P194+1))))))), 5))</f>
        <v>80</v>
      </c>
      <c r="R194" s="703" t="s">
        <v>171</v>
      </c>
      <c r="S194" s="24">
        <f>IFERROR(INDEX(Table5[],MATCH($B194,Table5[Component],0),2),0)</f>
        <v>270</v>
      </c>
      <c r="T194" s="813">
        <f>SUMIFS(Table7[Balance],Table7[Cutter Mat'#],$B194)</f>
        <v>0</v>
      </c>
      <c r="U194" s="24">
        <f t="shared" ref="U194:U257" si="24">M194+T194-S194</f>
        <v>-146</v>
      </c>
      <c r="V194" s="119"/>
      <c r="W194" s="2"/>
      <c r="Y194" s="4">
        <f>IFERROR(INDEX(Table5[],MATCH($B194,Table5[Component],0),2),0)</f>
        <v>270</v>
      </c>
      <c r="Z194" s="4">
        <f>IFERROR(INDEX(Table5[],MATCH($B194,Table5[Component],0),1),0)</f>
        <v>1208601</v>
      </c>
      <c r="AA194" s="4">
        <f>IF(Y194&lt;&gt;0,B194,"")</f>
        <v>1208601</v>
      </c>
      <c r="AB194" s="4" t="str">
        <f t="shared" ref="AB194:AB257" si="25">IF(S194&lt;&gt;Y194,1,"")</f>
        <v/>
      </c>
      <c r="AD194" s="4">
        <f t="shared" ref="AD194:AD257" si="26">H194+I194+J194+L194</f>
        <v>199</v>
      </c>
      <c r="AI194" s="248" t="str">
        <f>IFERROR(INDEX($B$1:$AK$243,MATCH(W194,$B$1:$B$243,0),13),"")</f>
        <v/>
      </c>
      <c r="AJ194" s="248" t="str">
        <f>IFERROR(INDEX($B$1:$AK$243,MATCH(W194,$B$1:$B$243,0),15),"")</f>
        <v/>
      </c>
      <c r="AK194">
        <f>SUMIF($W$2:$W$243,B194,$S$2:$S$243)</f>
        <v>0</v>
      </c>
      <c r="AN194" s="4"/>
      <c r="AO194" s="4"/>
      <c r="AP194">
        <f t="shared" si="20"/>
        <v>0</v>
      </c>
      <c r="AQ194" s="4"/>
      <c r="AR194" s="4">
        <v>1152018</v>
      </c>
      <c r="AS194">
        <f>SUMIF($B:$B,AR194,$AP:$AP)</f>
        <v>0</v>
      </c>
    </row>
    <row r="195" spans="1:45" ht="15.65" customHeight="1" x14ac:dyDescent="0.35">
      <c r="A195" s="2">
        <v>194</v>
      </c>
      <c r="B195" s="258">
        <v>1235963</v>
      </c>
      <c r="C195" s="2" t="s">
        <v>3561</v>
      </c>
      <c r="D195" s="2" t="s">
        <v>173</v>
      </c>
      <c r="E195" s="2">
        <v>1613</v>
      </c>
      <c r="F195" s="2" t="s">
        <v>109</v>
      </c>
      <c r="G195" s="2" t="s">
        <v>4387</v>
      </c>
      <c r="H195" s="10">
        <f>SUMIFS('Cutters Consumption Updates'!$F:$F,'Cutters Consumption Updates'!$D:$D,H$1,'Cutters Consumption Updates'!$B:$B,$B195)-SUMIFS('Cutters Consumption Updates'!$E:$E,'Cutters Consumption Updates'!$D:$D,H$1,'Cutters Consumption Updates'!$B:$B,$B195)+ SUMIF('Cutters Consumption Updates'!$AS:$AS,$B195,'Cutters Consumption Updates'!AT:AT)</f>
        <v>0</v>
      </c>
      <c r="I195" s="10">
        <f>SUMIFS('Cutters Consumption Updates'!$F:$F,'Cutters Consumption Updates'!$D:$D,I$1,'Cutters Consumption Updates'!$B:$B,$B195)-SUMIFS('Cutters Consumption Updates'!$E:$E,'Cutters Consumption Updates'!$D:$D,I$1,'Cutters Consumption Updates'!$B:$B,$B195)+ SUMIF('Cutters Consumption Updates'!$AS:$AS,$B195,'Cutters Consumption Updates'!AU:AU)</f>
        <v>0</v>
      </c>
      <c r="J195" s="116">
        <f>SUMIFS('Cutters Consumption Updates'!$F:$F,'Cutters Consumption Updates'!$D:$D,J$1,'Cutters Consumption Updates'!$B:$B,$B195)-SUMIFS('Cutters Consumption Updates'!$E:$E,'Cutters Consumption Updates'!$D:$D,J$1,'Cutters Consumption Updates'!$B:$B,$B195)+ SUMIF('Cutters Consumption Updates'!$AS:$AS,$B195,'Cutters Consumption Updates'!AV:AV)</f>
        <v>0</v>
      </c>
      <c r="K195" s="738">
        <f>SUMIFS('Cutters Consumption Updates'!$F:$F,'Cutters Consumption Updates'!$D:$D,K$1,'Cutters Consumption Updates'!$B:$B,$B195)-SUMIFS('Cutters Consumption Updates'!$E:$E,'Cutters Consumption Updates'!$D:$D,K$1,'Cutters Consumption Updates'!$B:$B,$B195)+ SUMIF('Cutters Consumption Updates'!$AS:$AS,$B195,'Cutters Consumption Updates'!AW:AW)</f>
        <v>0</v>
      </c>
      <c r="L195" s="116">
        <f>SUMIFS('Cutters Consumption Updates'!$F:$F,'Cutters Consumption Updates'!$D:$D,L$1,'Cutters Consumption Updates'!$B:$B,$B195)-SUMIFS('Cutters Consumption Updates'!$E:$E,'Cutters Consumption Updates'!$D:$D,$L$1,'Cutters Consumption Updates'!$B:$B,$B195)+SUMIFS('Cutters Consumption Updates'!$F:$F,'Cutters Consumption Updates'!$D:$D,"Retrofit",'Cutters Consumption Updates'!$B:$B,$B195)-SUMIFS('Cutters Consumption Updates'!$E:$E,'Cutters Consumption Updates'!$D:$D,"Retrofit",'Cutters Consumption Updates'!$B:$B,$B195)+ SUMIF('Cutters Consumption Updates'!$AS:$AS,$B195,'Cutters Consumption Updates'!AX:AX)</f>
        <v>25</v>
      </c>
      <c r="M195" s="810">
        <f t="shared" si="21"/>
        <v>25</v>
      </c>
      <c r="N195" s="810">
        <f ca="1">SUMIFS('Cutters Consumption Updates'!E:E,
        'Cutters Consumption Updates'!B:B, B195,
        'Cutters Consumption Updates'!A:A, "&gt;" &amp; TODAY()-182)</f>
        <v>0</v>
      </c>
      <c r="O195" s="810">
        <f ca="1">SUMIFS('Cutters Consumption Updates'!E:E,
        'Cutters Consumption Updates'!B:B, B195,
        'Cutters Consumption Updates'!A:A, "&gt;" &amp; TODAY()-91)</f>
        <v>0</v>
      </c>
      <c r="P195" s="810">
        <f t="shared" ca="1" si="22"/>
        <v>0</v>
      </c>
      <c r="Q195" s="703">
        <f t="shared" ca="1" si="23"/>
        <v>0</v>
      </c>
      <c r="R195" s="703" t="s">
        <v>29</v>
      </c>
      <c r="S195" s="24">
        <f>IFERROR(INDEX(Table5[],MATCH($B195,Table5[Component],0),2),0)</f>
        <v>0</v>
      </c>
      <c r="T195" s="813">
        <f>SUMIFS(Table7[Balance],Table7[Cutter Mat'#],$B195)</f>
        <v>0</v>
      </c>
      <c r="U195" s="24">
        <f t="shared" si="24"/>
        <v>25</v>
      </c>
      <c r="V195" s="119"/>
      <c r="W195" s="2"/>
      <c r="Y195" s="4">
        <f>IFERROR(INDEX(Table5[],MATCH($B195,Table5[Component],0),2),0)</f>
        <v>0</v>
      </c>
      <c r="Z195" s="4">
        <f>IFERROR(INDEX(Table5[],MATCH($B195,Table5[Component],0),1),0)</f>
        <v>0</v>
      </c>
      <c r="AA195" s="4" t="str">
        <f>IF(Y195&lt;&gt;0,B195,"")</f>
        <v/>
      </c>
      <c r="AB195" s="4" t="str">
        <f t="shared" si="25"/>
        <v/>
      </c>
      <c r="AD195" s="4">
        <f t="shared" si="26"/>
        <v>25</v>
      </c>
      <c r="AI195" s="248" t="str">
        <f>IFERROR(INDEX($B$1:$AK$243,MATCH(W195,$B$1:$B$243,0),13),"")</f>
        <v/>
      </c>
      <c r="AJ195" s="248" t="str">
        <f>IFERROR(INDEX($B$1:$AK$243,MATCH(W195,$B$1:$B$243,0),15),"")</f>
        <v/>
      </c>
      <c r="AK195">
        <f>SUMIF($W$2:$W$243,B195,$S$2:$S$243)</f>
        <v>0</v>
      </c>
      <c r="AN195" s="4"/>
      <c r="AO195" s="4"/>
      <c r="AP195">
        <f t="shared" ref="AP195:AP253" si="27">T195</f>
        <v>0</v>
      </c>
      <c r="AQ195" s="4"/>
      <c r="AR195" s="4">
        <v>1161587</v>
      </c>
      <c r="AS195">
        <f>SUMIF($B:$B,AR195,$AP:$AP)</f>
        <v>0</v>
      </c>
    </row>
    <row r="196" spans="1:45" ht="15.65" customHeight="1" x14ac:dyDescent="0.35">
      <c r="A196" s="2">
        <v>195</v>
      </c>
      <c r="B196" s="258">
        <v>1152018</v>
      </c>
      <c r="C196" s="2" t="s">
        <v>4487</v>
      </c>
      <c r="D196" s="2" t="s">
        <v>111</v>
      </c>
      <c r="E196" s="2">
        <v>1313</v>
      </c>
      <c r="F196" s="2" t="s">
        <v>170</v>
      </c>
      <c r="G196" s="2" t="s">
        <v>4314</v>
      </c>
      <c r="H196" s="10">
        <f>SUMIFS('Cutters Consumption Updates'!$F:$F,'Cutters Consumption Updates'!$D:$D,H$1,'Cutters Consumption Updates'!$B:$B,$B196)-SUMIFS('Cutters Consumption Updates'!$E:$E,'Cutters Consumption Updates'!$D:$D,H$1,'Cutters Consumption Updates'!$B:$B,$B196)+ SUMIF('Cutters Consumption Updates'!$AS:$AS,$B196,'Cutters Consumption Updates'!AT:AT)</f>
        <v>0</v>
      </c>
      <c r="I196" s="10">
        <f>SUMIFS('Cutters Consumption Updates'!$F:$F,'Cutters Consumption Updates'!$D:$D,I$1,'Cutters Consumption Updates'!$B:$B,$B196)-SUMIFS('Cutters Consumption Updates'!$E:$E,'Cutters Consumption Updates'!$D:$D,I$1,'Cutters Consumption Updates'!$B:$B,$B196)+ SUMIF('Cutters Consumption Updates'!$AS:$AS,$B196,'Cutters Consumption Updates'!AU:AU)</f>
        <v>0</v>
      </c>
      <c r="J196" s="116">
        <f>SUMIFS('Cutters Consumption Updates'!$F:$F,'Cutters Consumption Updates'!$D:$D,J$1,'Cutters Consumption Updates'!$B:$B,$B196)-SUMIFS('Cutters Consumption Updates'!$E:$E,'Cutters Consumption Updates'!$D:$D,J$1,'Cutters Consumption Updates'!$B:$B,$B196)+ SUMIF('Cutters Consumption Updates'!$AS:$AS,$B196,'Cutters Consumption Updates'!AV:AV)</f>
        <v>0</v>
      </c>
      <c r="K196" s="738">
        <f>SUMIFS('Cutters Consumption Updates'!$F:$F,'Cutters Consumption Updates'!$D:$D,K$1,'Cutters Consumption Updates'!$B:$B,$B196)-SUMIFS('Cutters Consumption Updates'!$E:$E,'Cutters Consumption Updates'!$D:$D,K$1,'Cutters Consumption Updates'!$B:$B,$B196)+ SUMIF('Cutters Consumption Updates'!$AS:$AS,$B196,'Cutters Consumption Updates'!AW:AW)</f>
        <v>0</v>
      </c>
      <c r="L196" s="116">
        <f>SUMIFS('Cutters Consumption Updates'!$F:$F,'Cutters Consumption Updates'!$D:$D,L$1,'Cutters Consumption Updates'!$B:$B,$B196)-SUMIFS('Cutters Consumption Updates'!$E:$E,'Cutters Consumption Updates'!$D:$D,$L$1,'Cutters Consumption Updates'!$B:$B,$B196)+SUMIFS('Cutters Consumption Updates'!$F:$F,'Cutters Consumption Updates'!$D:$D,"Retrofit",'Cutters Consumption Updates'!$B:$B,$B196)-SUMIFS('Cutters Consumption Updates'!$E:$E,'Cutters Consumption Updates'!$D:$D,"Retrofit",'Cutters Consumption Updates'!$B:$B,$B196)+ SUMIF('Cutters Consumption Updates'!$AS:$AS,$B196,'Cutters Consumption Updates'!AX:AX)</f>
        <v>0</v>
      </c>
      <c r="M196" s="810">
        <f t="shared" si="21"/>
        <v>0</v>
      </c>
      <c r="N196" s="810">
        <f ca="1">SUMIFS('Cutters Consumption Updates'!E:E,
        'Cutters Consumption Updates'!B:B, B196,
        'Cutters Consumption Updates'!A:A, "&gt;" &amp; TODAY()-182)</f>
        <v>45</v>
      </c>
      <c r="O196" s="810">
        <f ca="1">SUMIFS('Cutters Consumption Updates'!E:E,
        'Cutters Consumption Updates'!B:B, B196,
        'Cutters Consumption Updates'!A:A, "&gt;" &amp; TODAY()-91)</f>
        <v>0</v>
      </c>
      <c r="P196" s="810">
        <f t="shared" ca="1" si="22"/>
        <v>15</v>
      </c>
      <c r="Q196" s="703">
        <f t="shared" ca="1" si="23"/>
        <v>20</v>
      </c>
      <c r="R196" s="703" t="s">
        <v>112</v>
      </c>
      <c r="S196" s="24">
        <f>IFERROR(INDEX(Table5[],MATCH($B196,Table5[Component],0),2),0)</f>
        <v>0</v>
      </c>
      <c r="T196" s="813">
        <f>SUMIFS(Table7[Balance],Table7[Cutter Mat'#],$B196)</f>
        <v>0</v>
      </c>
      <c r="U196" s="24">
        <f t="shared" si="24"/>
        <v>0</v>
      </c>
      <c r="V196" s="119"/>
      <c r="W196" s="2"/>
      <c r="Y196" s="4">
        <f>IFERROR(INDEX(Table5[],MATCH($B196,Table5[Component],0),2),0)</f>
        <v>0</v>
      </c>
      <c r="Z196" s="4">
        <f>IFERROR(INDEX(Table5[],MATCH($B196,Table5[Component],0),1),0)</f>
        <v>1152018</v>
      </c>
      <c r="AA196" s="4" t="str">
        <f>IF(Y196&lt;&gt;0,B196,"")</f>
        <v/>
      </c>
      <c r="AB196" s="4" t="str">
        <f t="shared" si="25"/>
        <v/>
      </c>
      <c r="AD196" s="4">
        <f t="shared" si="26"/>
        <v>0</v>
      </c>
      <c r="AI196" s="248" t="str">
        <f>IFERROR(INDEX($B$1:$AK$243,MATCH(W196,$B$1:$B$243,0),13),"")</f>
        <v/>
      </c>
      <c r="AJ196" s="248" t="str">
        <f>IFERROR(INDEX($B$1:$AK$243,MATCH(W196,$B$1:$B$243,0),15),"")</f>
        <v/>
      </c>
      <c r="AK196">
        <f>SUMIF($W$2:$W$243,B196,$S$2:$S$243)</f>
        <v>0</v>
      </c>
      <c r="AN196" s="4"/>
      <c r="AO196" s="4"/>
      <c r="AP196">
        <f t="shared" si="27"/>
        <v>0</v>
      </c>
      <c r="AQ196" s="4"/>
      <c r="AR196" s="4">
        <v>1162285</v>
      </c>
      <c r="AS196">
        <f>SUMIF($B:$B,AR196,$AP:$AP)</f>
        <v>0</v>
      </c>
    </row>
    <row r="197" spans="1:45" ht="15.65" customHeight="1" x14ac:dyDescent="0.35">
      <c r="A197" s="2">
        <v>196</v>
      </c>
      <c r="B197" s="258">
        <v>1219562</v>
      </c>
      <c r="C197" s="2" t="s">
        <v>3564</v>
      </c>
      <c r="D197" s="2" t="s">
        <v>174</v>
      </c>
      <c r="E197" s="2">
        <v>1613</v>
      </c>
      <c r="F197" s="2" t="s">
        <v>109</v>
      </c>
      <c r="G197" s="2" t="s">
        <v>4388</v>
      </c>
      <c r="H197" s="10">
        <f>SUMIFS('Cutters Consumption Updates'!$F:$F,'Cutters Consumption Updates'!$D:$D,H$1,'Cutters Consumption Updates'!$B:$B,$B197)-SUMIFS('Cutters Consumption Updates'!$E:$E,'Cutters Consumption Updates'!$D:$D,H$1,'Cutters Consumption Updates'!$B:$B,$B197)+ SUMIF('Cutters Consumption Updates'!$AS:$AS,$B197,'Cutters Consumption Updates'!AT:AT)</f>
        <v>0</v>
      </c>
      <c r="I197" s="10">
        <f>SUMIFS('Cutters Consumption Updates'!$F:$F,'Cutters Consumption Updates'!$D:$D,I$1,'Cutters Consumption Updates'!$B:$B,$B197)-SUMIFS('Cutters Consumption Updates'!$E:$E,'Cutters Consumption Updates'!$D:$D,I$1,'Cutters Consumption Updates'!$B:$B,$B197)+ SUMIF('Cutters Consumption Updates'!$AS:$AS,$B197,'Cutters Consumption Updates'!AU:AU)</f>
        <v>0</v>
      </c>
      <c r="J197" s="116">
        <f>SUMIFS('Cutters Consumption Updates'!$F:$F,'Cutters Consumption Updates'!$D:$D,J$1,'Cutters Consumption Updates'!$B:$B,$B197)-SUMIFS('Cutters Consumption Updates'!$E:$E,'Cutters Consumption Updates'!$D:$D,J$1,'Cutters Consumption Updates'!$B:$B,$B197)+ SUMIF('Cutters Consumption Updates'!$AS:$AS,$B197,'Cutters Consumption Updates'!AV:AV)</f>
        <v>0</v>
      </c>
      <c r="K197" s="738">
        <f>SUMIFS('Cutters Consumption Updates'!$F:$F,'Cutters Consumption Updates'!$D:$D,K$1,'Cutters Consumption Updates'!$B:$B,$B197)-SUMIFS('Cutters Consumption Updates'!$E:$E,'Cutters Consumption Updates'!$D:$D,K$1,'Cutters Consumption Updates'!$B:$B,$B197)+ SUMIF('Cutters Consumption Updates'!$AS:$AS,$B197,'Cutters Consumption Updates'!AW:AW)</f>
        <v>0</v>
      </c>
      <c r="L197" s="116">
        <f>SUMIFS('Cutters Consumption Updates'!$F:$F,'Cutters Consumption Updates'!$D:$D,L$1,'Cutters Consumption Updates'!$B:$B,$B197)-SUMIFS('Cutters Consumption Updates'!$E:$E,'Cutters Consumption Updates'!$D:$D,$L$1,'Cutters Consumption Updates'!$B:$B,$B197)+SUMIFS('Cutters Consumption Updates'!$F:$F,'Cutters Consumption Updates'!$D:$D,"Retrofit",'Cutters Consumption Updates'!$B:$B,$B197)-SUMIFS('Cutters Consumption Updates'!$E:$E,'Cutters Consumption Updates'!$D:$D,"Retrofit",'Cutters Consumption Updates'!$B:$B,$B197)+ SUMIF('Cutters Consumption Updates'!$AS:$AS,$B197,'Cutters Consumption Updates'!AX:AX)</f>
        <v>12</v>
      </c>
      <c r="M197" s="810">
        <f t="shared" si="21"/>
        <v>12</v>
      </c>
      <c r="N197" s="810">
        <f ca="1">SUMIFS('Cutters Consumption Updates'!E:E,
        'Cutters Consumption Updates'!B:B, B197,
        'Cutters Consumption Updates'!A:A, "&gt;" &amp; TODAY()-182)</f>
        <v>0</v>
      </c>
      <c r="O197" s="810">
        <f ca="1">SUMIFS('Cutters Consumption Updates'!E:E,
        'Cutters Consumption Updates'!B:B, B197,
        'Cutters Consumption Updates'!A:A, "&gt;" &amp; TODAY()-91)</f>
        <v>0</v>
      </c>
      <c r="P197" s="810">
        <f t="shared" ca="1" si="22"/>
        <v>0</v>
      </c>
      <c r="Q197" s="703">
        <f t="shared" ca="1" si="23"/>
        <v>0</v>
      </c>
      <c r="R197" s="703" t="s">
        <v>175</v>
      </c>
      <c r="S197" s="24">
        <f>IFERROR(INDEX(Table5[],MATCH($B197,Table5[Component],0),2),0)</f>
        <v>0</v>
      </c>
      <c r="T197" s="813">
        <f>SUMIFS(Table7[Balance],Table7[Cutter Mat'#],$B197)</f>
        <v>0</v>
      </c>
      <c r="U197" s="24">
        <f t="shared" si="24"/>
        <v>12</v>
      </c>
      <c r="V197" s="119"/>
      <c r="W197" s="2"/>
      <c r="Y197" s="4">
        <f>IFERROR(INDEX(Table5[],MATCH($B197,Table5[Component],0),2),0)</f>
        <v>0</v>
      </c>
      <c r="Z197" s="4">
        <f>IFERROR(INDEX(Table5[],MATCH($B197,Table5[Component],0),1),0)</f>
        <v>0</v>
      </c>
      <c r="AA197" s="4" t="str">
        <f>IF(Y197&lt;&gt;0,B197,"")</f>
        <v/>
      </c>
      <c r="AB197" s="4" t="str">
        <f t="shared" si="25"/>
        <v/>
      </c>
      <c r="AD197" s="4">
        <f t="shared" si="26"/>
        <v>12</v>
      </c>
      <c r="AI197" s="248" t="str">
        <f>IFERROR(INDEX($B$1:$AK$243,MATCH(W197,$B$1:$B$243,0),13),"")</f>
        <v/>
      </c>
      <c r="AJ197" s="248" t="str">
        <f>IFERROR(INDEX($B$1:$AK$243,MATCH(W197,$B$1:$B$243,0),15),"")</f>
        <v/>
      </c>
      <c r="AK197">
        <f>SUMIF($W$2:$W$243,B197,$S$2:$S$243)</f>
        <v>0</v>
      </c>
      <c r="AN197" s="4"/>
      <c r="AO197" s="4"/>
      <c r="AP197">
        <f t="shared" si="27"/>
        <v>0</v>
      </c>
      <c r="AQ197" s="4"/>
      <c r="AR197" s="4">
        <v>1162508</v>
      </c>
      <c r="AS197">
        <f>SUMIF($B:$B,AR197,$AP:$AP)</f>
        <v>0</v>
      </c>
    </row>
    <row r="198" spans="1:45" ht="15.65" customHeight="1" x14ac:dyDescent="0.35">
      <c r="A198" s="2">
        <v>197</v>
      </c>
      <c r="B198" s="258">
        <v>1219561</v>
      </c>
      <c r="C198" s="2" t="s">
        <v>3565</v>
      </c>
      <c r="D198" s="2" t="s">
        <v>174</v>
      </c>
      <c r="E198" s="2">
        <v>1313</v>
      </c>
      <c r="F198" s="2" t="s">
        <v>109</v>
      </c>
      <c r="G198" s="2" t="s">
        <v>4388</v>
      </c>
      <c r="H198" s="10">
        <f>SUMIFS('Cutters Consumption Updates'!$F:$F,'Cutters Consumption Updates'!$D:$D,H$1,'Cutters Consumption Updates'!$B:$B,$B198)-SUMIFS('Cutters Consumption Updates'!$E:$E,'Cutters Consumption Updates'!$D:$D,H$1,'Cutters Consumption Updates'!$B:$B,$B198)+ SUMIF('Cutters Consumption Updates'!$AS:$AS,$B198,'Cutters Consumption Updates'!AT:AT)</f>
        <v>0</v>
      </c>
      <c r="I198" s="10">
        <f>SUMIFS('Cutters Consumption Updates'!$F:$F,'Cutters Consumption Updates'!$D:$D,I$1,'Cutters Consumption Updates'!$B:$B,$B198)-SUMIFS('Cutters Consumption Updates'!$E:$E,'Cutters Consumption Updates'!$D:$D,I$1,'Cutters Consumption Updates'!$B:$B,$B198)+ SUMIF('Cutters Consumption Updates'!$AS:$AS,$B198,'Cutters Consumption Updates'!AU:AU)</f>
        <v>0</v>
      </c>
      <c r="J198" s="116">
        <f>SUMIFS('Cutters Consumption Updates'!$F:$F,'Cutters Consumption Updates'!$D:$D,J$1,'Cutters Consumption Updates'!$B:$B,$B198)-SUMIFS('Cutters Consumption Updates'!$E:$E,'Cutters Consumption Updates'!$D:$D,J$1,'Cutters Consumption Updates'!$B:$B,$B198)+ SUMIF('Cutters Consumption Updates'!$AS:$AS,$B198,'Cutters Consumption Updates'!AV:AV)</f>
        <v>0</v>
      </c>
      <c r="K198" s="738">
        <f>SUMIFS('Cutters Consumption Updates'!$F:$F,'Cutters Consumption Updates'!$D:$D,K$1,'Cutters Consumption Updates'!$B:$B,$B198)-SUMIFS('Cutters Consumption Updates'!$E:$E,'Cutters Consumption Updates'!$D:$D,K$1,'Cutters Consumption Updates'!$B:$B,$B198)+ SUMIF('Cutters Consumption Updates'!$AS:$AS,$B198,'Cutters Consumption Updates'!AW:AW)</f>
        <v>4</v>
      </c>
      <c r="L198" s="116">
        <f>SUMIFS('Cutters Consumption Updates'!$F:$F,'Cutters Consumption Updates'!$D:$D,L$1,'Cutters Consumption Updates'!$B:$B,$B198)-SUMIFS('Cutters Consumption Updates'!$E:$E,'Cutters Consumption Updates'!$D:$D,$L$1,'Cutters Consumption Updates'!$B:$B,$B198)+SUMIFS('Cutters Consumption Updates'!$F:$F,'Cutters Consumption Updates'!$D:$D,"Retrofit",'Cutters Consumption Updates'!$B:$B,$B198)-SUMIFS('Cutters Consumption Updates'!$E:$E,'Cutters Consumption Updates'!$D:$D,"Retrofit",'Cutters Consumption Updates'!$B:$B,$B198)+ SUMIF('Cutters Consumption Updates'!$AS:$AS,$B198,'Cutters Consumption Updates'!AX:AX)</f>
        <v>18</v>
      </c>
      <c r="M198" s="810">
        <f t="shared" si="21"/>
        <v>18</v>
      </c>
      <c r="N198" s="810">
        <f ca="1">SUMIFS('Cutters Consumption Updates'!E:E,
        'Cutters Consumption Updates'!B:B, B198,
        'Cutters Consumption Updates'!A:A, "&gt;" &amp; TODAY()-182)</f>
        <v>0</v>
      </c>
      <c r="O198" s="810">
        <f ca="1">SUMIFS('Cutters Consumption Updates'!E:E,
        'Cutters Consumption Updates'!B:B, B198,
        'Cutters Consumption Updates'!A:A, "&gt;" &amp; TODAY()-91)</f>
        <v>0</v>
      </c>
      <c r="P198" s="810">
        <f t="shared" ca="1" si="22"/>
        <v>0</v>
      </c>
      <c r="Q198" s="703">
        <f t="shared" ca="1" si="23"/>
        <v>0</v>
      </c>
      <c r="R198" s="703" t="s">
        <v>29</v>
      </c>
      <c r="S198" s="24">
        <f>IFERROR(INDEX(Table5[],MATCH($B198,Table5[Component],0),2),0)</f>
        <v>0</v>
      </c>
      <c r="T198" s="813">
        <f>SUMIFS(Table7[Balance],Table7[Cutter Mat'#],$B198)</f>
        <v>0</v>
      </c>
      <c r="U198" s="24">
        <f t="shared" si="24"/>
        <v>18</v>
      </c>
      <c r="V198" s="119"/>
      <c r="W198" s="2"/>
      <c r="Y198" s="4">
        <f>IFERROR(INDEX(Table5[],MATCH($B198,Table5[Component],0),2),0)</f>
        <v>0</v>
      </c>
      <c r="Z198" s="4">
        <f>IFERROR(INDEX(Table5[],MATCH($B198,Table5[Component],0),1),0)</f>
        <v>0</v>
      </c>
      <c r="AA198" s="4" t="str">
        <f>IF(Y198&lt;&gt;0,B198,"")</f>
        <v/>
      </c>
      <c r="AB198" s="4" t="str">
        <f t="shared" si="25"/>
        <v/>
      </c>
      <c r="AD198" s="4">
        <f t="shared" si="26"/>
        <v>18</v>
      </c>
      <c r="AI198" s="248" t="str">
        <f>IFERROR(INDEX($B$1:$AK$243,MATCH(W198,$B$1:$B$243,0),13),"")</f>
        <v/>
      </c>
      <c r="AJ198" s="248" t="str">
        <f>IFERROR(INDEX($B$1:$AK$243,MATCH(W198,$B$1:$B$243,0),15),"")</f>
        <v/>
      </c>
      <c r="AK198">
        <f>SUMIF($W$2:$W$243,B198,$S$2:$S$243)</f>
        <v>0</v>
      </c>
      <c r="AN198" s="4"/>
      <c r="AO198" s="4"/>
      <c r="AP198">
        <f t="shared" si="27"/>
        <v>0</v>
      </c>
      <c r="AQ198" s="4"/>
      <c r="AR198" s="4">
        <v>1162510</v>
      </c>
      <c r="AS198">
        <f>SUMIF($B:$B,AR198,$AP:$AP)</f>
        <v>0</v>
      </c>
    </row>
    <row r="199" spans="1:45" ht="15.65" customHeight="1" x14ac:dyDescent="0.35">
      <c r="A199" s="2">
        <v>198</v>
      </c>
      <c r="B199" s="3">
        <v>1223172</v>
      </c>
      <c r="C199" s="2" t="s">
        <v>4389</v>
      </c>
      <c r="D199" s="2" t="s">
        <v>174</v>
      </c>
      <c r="E199" s="2">
        <v>1913</v>
      </c>
      <c r="F199" s="2" t="s">
        <v>109</v>
      </c>
      <c r="G199" s="2" t="s">
        <v>4388</v>
      </c>
      <c r="H199" s="10">
        <f>SUMIFS('Cutters Consumption Updates'!$F:$F,'Cutters Consumption Updates'!$D:$D,H$1,'Cutters Consumption Updates'!$B:$B,$B199)-SUMIFS('Cutters Consumption Updates'!$E:$E,'Cutters Consumption Updates'!$D:$D,H$1,'Cutters Consumption Updates'!$B:$B,$B199)+ SUMIF('Cutters Consumption Updates'!$AS:$AS,$B199,'Cutters Consumption Updates'!AT:AT)</f>
        <v>0</v>
      </c>
      <c r="I199" s="10">
        <f>SUMIFS('Cutters Consumption Updates'!$F:$F,'Cutters Consumption Updates'!$D:$D,I$1,'Cutters Consumption Updates'!$B:$B,$B199)-SUMIFS('Cutters Consumption Updates'!$E:$E,'Cutters Consumption Updates'!$D:$D,I$1,'Cutters Consumption Updates'!$B:$B,$B199)+ SUMIF('Cutters Consumption Updates'!$AS:$AS,$B199,'Cutters Consumption Updates'!AU:AU)</f>
        <v>0</v>
      </c>
      <c r="J199" s="116">
        <f>SUMIFS('Cutters Consumption Updates'!$F:$F,'Cutters Consumption Updates'!$D:$D,J$1,'Cutters Consumption Updates'!$B:$B,$B199)-SUMIFS('Cutters Consumption Updates'!$E:$E,'Cutters Consumption Updates'!$D:$D,J$1,'Cutters Consumption Updates'!$B:$B,$B199)+ SUMIF('Cutters Consumption Updates'!$AS:$AS,$B199,'Cutters Consumption Updates'!AV:AV)</f>
        <v>0</v>
      </c>
      <c r="K199" s="738">
        <f>SUMIFS('Cutters Consumption Updates'!$F:$F,'Cutters Consumption Updates'!$D:$D,K$1,'Cutters Consumption Updates'!$B:$B,$B199)-SUMIFS('Cutters Consumption Updates'!$E:$E,'Cutters Consumption Updates'!$D:$D,K$1,'Cutters Consumption Updates'!$B:$B,$B199)+ SUMIF('Cutters Consumption Updates'!$AS:$AS,$B199,'Cutters Consumption Updates'!AW:AW)</f>
        <v>0</v>
      </c>
      <c r="L199" s="116">
        <f>SUMIFS('Cutters Consumption Updates'!$F:$F,'Cutters Consumption Updates'!$D:$D,L$1,'Cutters Consumption Updates'!$B:$B,$B199)-SUMIFS('Cutters Consumption Updates'!$E:$E,'Cutters Consumption Updates'!$D:$D,$L$1,'Cutters Consumption Updates'!$B:$B,$B199)+SUMIFS('Cutters Consumption Updates'!$F:$F,'Cutters Consumption Updates'!$D:$D,"Retrofit",'Cutters Consumption Updates'!$B:$B,$B199)-SUMIFS('Cutters Consumption Updates'!$E:$E,'Cutters Consumption Updates'!$D:$D,"Retrofit",'Cutters Consumption Updates'!$B:$B,$B199)+ SUMIF('Cutters Consumption Updates'!$AS:$AS,$B199,'Cutters Consumption Updates'!AX:AX)</f>
        <v>30</v>
      </c>
      <c r="M199" s="810">
        <f t="shared" si="21"/>
        <v>30</v>
      </c>
      <c r="N199" s="810">
        <f ca="1">SUMIFS('Cutters Consumption Updates'!E:E,
        'Cutters Consumption Updates'!B:B, B199,
        'Cutters Consumption Updates'!A:A, "&gt;" &amp; TODAY()-182)</f>
        <v>0</v>
      </c>
      <c r="O199" s="810">
        <f ca="1">SUMIFS('Cutters Consumption Updates'!E:E,
        'Cutters Consumption Updates'!B:B, B199,
        'Cutters Consumption Updates'!A:A, "&gt;" &amp; TODAY()-91)</f>
        <v>0</v>
      </c>
      <c r="P199" s="810">
        <f t="shared" ca="1" si="22"/>
        <v>0</v>
      </c>
      <c r="Q199" s="703">
        <f t="shared" ca="1" si="23"/>
        <v>0</v>
      </c>
      <c r="R199" s="703" t="s">
        <v>29</v>
      </c>
      <c r="S199" s="24">
        <f>IFERROR(INDEX(Table5[],MATCH($B199,Table5[Component],0),2),0)</f>
        <v>0</v>
      </c>
      <c r="T199" s="813">
        <f>SUMIFS(Table7[Balance],Table7[Cutter Mat'#],$B199)</f>
        <v>0</v>
      </c>
      <c r="U199" s="24">
        <f t="shared" si="24"/>
        <v>30</v>
      </c>
      <c r="V199" s="119"/>
      <c r="W199" s="2"/>
      <c r="Y199" s="4">
        <f>IFERROR(INDEX(Table5[],MATCH($B199,Table5[Component],0),2),0)</f>
        <v>0</v>
      </c>
      <c r="Z199" s="4">
        <f>IFERROR(INDEX(Table5[],MATCH($B199,Table5[Component],0),1),0)</f>
        <v>0</v>
      </c>
      <c r="AA199" s="4" t="str">
        <f>IF(Y199&lt;&gt;0,B199,"")</f>
        <v/>
      </c>
      <c r="AB199" s="4" t="str">
        <f t="shared" si="25"/>
        <v/>
      </c>
      <c r="AD199" s="4">
        <f t="shared" si="26"/>
        <v>30</v>
      </c>
      <c r="AI199" s="248" t="str">
        <f>IFERROR(INDEX($B$1:$AK$243,MATCH(W199,$B$1:$B$243,0),13),"")</f>
        <v/>
      </c>
      <c r="AJ199" s="248" t="str">
        <f>IFERROR(INDEX($B$1:$AK$243,MATCH(W199,$B$1:$B$243,0),15),"")</f>
        <v/>
      </c>
      <c r="AK199">
        <f>SUMIF($W$2:$W$243,B199,$S$2:$S$243)</f>
        <v>0</v>
      </c>
      <c r="AN199" s="4"/>
      <c r="AO199" s="4"/>
      <c r="AP199">
        <f t="shared" si="27"/>
        <v>0</v>
      </c>
      <c r="AQ199" s="4"/>
      <c r="AR199" s="4">
        <v>1162516</v>
      </c>
      <c r="AS199">
        <f>SUMIF($B:$B,AR199,$AP:$AP)</f>
        <v>0</v>
      </c>
    </row>
    <row r="200" spans="1:45" ht="15.65" customHeight="1" x14ac:dyDescent="0.35">
      <c r="A200" s="2">
        <v>199</v>
      </c>
      <c r="B200" s="258">
        <v>1234679</v>
      </c>
      <c r="C200" s="2" t="s">
        <v>3567</v>
      </c>
      <c r="D200" s="2" t="s">
        <v>176</v>
      </c>
      <c r="E200" s="2">
        <v>1613</v>
      </c>
      <c r="F200" s="2" t="s">
        <v>109</v>
      </c>
      <c r="G200" s="2" t="s">
        <v>4390</v>
      </c>
      <c r="H200" s="10">
        <f>SUMIFS('Cutters Consumption Updates'!$F:$F,'Cutters Consumption Updates'!$D:$D,H$1,'Cutters Consumption Updates'!$B:$B,$B200)-SUMIFS('Cutters Consumption Updates'!$E:$E,'Cutters Consumption Updates'!$D:$D,H$1,'Cutters Consumption Updates'!$B:$B,$B200)+ SUMIF('Cutters Consumption Updates'!$AS:$AS,$B200,'Cutters Consumption Updates'!AT:AT)</f>
        <v>0</v>
      </c>
      <c r="I200" s="10">
        <f>SUMIFS('Cutters Consumption Updates'!$F:$F,'Cutters Consumption Updates'!$D:$D,I$1,'Cutters Consumption Updates'!$B:$B,$B200)-SUMIFS('Cutters Consumption Updates'!$E:$E,'Cutters Consumption Updates'!$D:$D,I$1,'Cutters Consumption Updates'!$B:$B,$B200)+ SUMIF('Cutters Consumption Updates'!$AS:$AS,$B200,'Cutters Consumption Updates'!AU:AU)</f>
        <v>0</v>
      </c>
      <c r="J200" s="116">
        <f>SUMIFS('Cutters Consumption Updates'!$F:$F,'Cutters Consumption Updates'!$D:$D,J$1,'Cutters Consumption Updates'!$B:$B,$B200)-SUMIFS('Cutters Consumption Updates'!$E:$E,'Cutters Consumption Updates'!$D:$D,J$1,'Cutters Consumption Updates'!$B:$B,$B200)+ SUMIF('Cutters Consumption Updates'!$AS:$AS,$B200,'Cutters Consumption Updates'!AV:AV)</f>
        <v>0</v>
      </c>
      <c r="K200" s="738">
        <f>SUMIFS('Cutters Consumption Updates'!$F:$F,'Cutters Consumption Updates'!$D:$D,K$1,'Cutters Consumption Updates'!$B:$B,$B200)-SUMIFS('Cutters Consumption Updates'!$E:$E,'Cutters Consumption Updates'!$D:$D,K$1,'Cutters Consumption Updates'!$B:$B,$B200)+ SUMIF('Cutters Consumption Updates'!$AS:$AS,$B200,'Cutters Consumption Updates'!AW:AW)</f>
        <v>0</v>
      </c>
      <c r="L200" s="116">
        <f>SUMIFS('Cutters Consumption Updates'!$F:$F,'Cutters Consumption Updates'!$D:$D,L$1,'Cutters Consumption Updates'!$B:$B,$B200)-SUMIFS('Cutters Consumption Updates'!$E:$E,'Cutters Consumption Updates'!$D:$D,$L$1,'Cutters Consumption Updates'!$B:$B,$B200)+SUMIFS('Cutters Consumption Updates'!$F:$F,'Cutters Consumption Updates'!$D:$D,"Retrofit",'Cutters Consumption Updates'!$B:$B,$B200)-SUMIFS('Cutters Consumption Updates'!$E:$E,'Cutters Consumption Updates'!$D:$D,"Retrofit",'Cutters Consumption Updates'!$B:$B,$B200)+ SUMIF('Cutters Consumption Updates'!$AS:$AS,$B200,'Cutters Consumption Updates'!AX:AX)</f>
        <v>26</v>
      </c>
      <c r="M200" s="810">
        <f t="shared" si="21"/>
        <v>26</v>
      </c>
      <c r="N200" s="810">
        <f ca="1">SUMIFS('Cutters Consumption Updates'!E:E,
        'Cutters Consumption Updates'!B:B, B200,
        'Cutters Consumption Updates'!A:A, "&gt;" &amp; TODAY()-182)</f>
        <v>0</v>
      </c>
      <c r="O200" s="810">
        <f ca="1">SUMIFS('Cutters Consumption Updates'!E:E,
        'Cutters Consumption Updates'!B:B, B200,
        'Cutters Consumption Updates'!A:A, "&gt;" &amp; TODAY()-91)</f>
        <v>0</v>
      </c>
      <c r="P200" s="810">
        <f t="shared" ca="1" si="22"/>
        <v>0</v>
      </c>
      <c r="Q200" s="703">
        <f t="shared" ca="1" si="23"/>
        <v>0</v>
      </c>
      <c r="R200" s="703" t="s">
        <v>29</v>
      </c>
      <c r="S200" s="24">
        <f>IFERROR(INDEX(Table5[],MATCH($B200,Table5[Component],0),2),0)</f>
        <v>0</v>
      </c>
      <c r="T200" s="813">
        <f>SUMIFS(Table7[Balance],Table7[Cutter Mat'#],$B200)</f>
        <v>0</v>
      </c>
      <c r="U200" s="24">
        <f t="shared" si="24"/>
        <v>26</v>
      </c>
      <c r="V200" s="119"/>
      <c r="W200" s="2"/>
      <c r="Y200" s="4">
        <f>IFERROR(INDEX(Table5[],MATCH($B200,Table5[Component],0),2),0)</f>
        <v>0</v>
      </c>
      <c r="Z200" s="4">
        <f>IFERROR(INDEX(Table5[],MATCH($B200,Table5[Component],0),1),0)</f>
        <v>0</v>
      </c>
      <c r="AA200" s="4" t="str">
        <f>IF(Y200&lt;&gt;0,B200,"")</f>
        <v/>
      </c>
      <c r="AB200" s="4" t="str">
        <f t="shared" si="25"/>
        <v/>
      </c>
      <c r="AD200" s="4">
        <f t="shared" si="26"/>
        <v>26</v>
      </c>
      <c r="AI200" s="248" t="str">
        <f>IFERROR(INDEX($B$1:$AK$243,MATCH(W200,$B$1:$B$243,0),13),"")</f>
        <v/>
      </c>
      <c r="AJ200" s="248" t="str">
        <f>IFERROR(INDEX($B$1:$AK$243,MATCH(W200,$B$1:$B$243,0),15),"")</f>
        <v/>
      </c>
      <c r="AK200">
        <f>SUMIF($W$2:$W$243,B200,$S$2:$S$243)</f>
        <v>0</v>
      </c>
      <c r="AN200" s="4"/>
      <c r="AO200" s="4"/>
      <c r="AP200">
        <f t="shared" si="27"/>
        <v>0</v>
      </c>
      <c r="AQ200" s="4"/>
      <c r="AR200" s="4">
        <v>1162518</v>
      </c>
      <c r="AS200">
        <f>SUMIF($B:$B,AR200,$AP:$AP)</f>
        <v>0</v>
      </c>
    </row>
    <row r="201" spans="1:45" ht="15.65" customHeight="1" x14ac:dyDescent="0.35">
      <c r="A201" s="2">
        <v>200</v>
      </c>
      <c r="B201" s="258">
        <v>1226868</v>
      </c>
      <c r="C201" s="2" t="s">
        <v>3568</v>
      </c>
      <c r="D201" s="2" t="s">
        <v>160</v>
      </c>
      <c r="E201" s="2">
        <v>1010</v>
      </c>
      <c r="F201" s="2" t="s">
        <v>109</v>
      </c>
      <c r="G201" s="2" t="s">
        <v>4384</v>
      </c>
      <c r="H201" s="10">
        <f>SUMIFS('Cutters Consumption Updates'!$F:$F,'Cutters Consumption Updates'!$D:$D,H$1,'Cutters Consumption Updates'!$B:$B,$B201)-SUMIFS('Cutters Consumption Updates'!$E:$E,'Cutters Consumption Updates'!$D:$D,H$1,'Cutters Consumption Updates'!$B:$B,$B201)+ SUMIF('Cutters Consumption Updates'!$AS:$AS,$B201,'Cutters Consumption Updates'!AT:AT)</f>
        <v>0</v>
      </c>
      <c r="I201" s="10">
        <f>SUMIFS('Cutters Consumption Updates'!$F:$F,'Cutters Consumption Updates'!$D:$D,I$1,'Cutters Consumption Updates'!$B:$B,$B201)-SUMIFS('Cutters Consumption Updates'!$E:$E,'Cutters Consumption Updates'!$D:$D,I$1,'Cutters Consumption Updates'!$B:$B,$B201)+ SUMIF('Cutters Consumption Updates'!$AS:$AS,$B201,'Cutters Consumption Updates'!AU:AU)</f>
        <v>0</v>
      </c>
      <c r="J201" s="116">
        <f>SUMIFS('Cutters Consumption Updates'!$F:$F,'Cutters Consumption Updates'!$D:$D,J$1,'Cutters Consumption Updates'!$B:$B,$B201)-SUMIFS('Cutters Consumption Updates'!$E:$E,'Cutters Consumption Updates'!$D:$D,J$1,'Cutters Consumption Updates'!$B:$B,$B201)+ SUMIF('Cutters Consumption Updates'!$AS:$AS,$B201,'Cutters Consumption Updates'!AV:AV)</f>
        <v>0</v>
      </c>
      <c r="K201" s="738">
        <f>SUMIFS('Cutters Consumption Updates'!$F:$F,'Cutters Consumption Updates'!$D:$D,K$1,'Cutters Consumption Updates'!$B:$B,$B201)-SUMIFS('Cutters Consumption Updates'!$E:$E,'Cutters Consumption Updates'!$D:$D,K$1,'Cutters Consumption Updates'!$B:$B,$B201)+ SUMIF('Cutters Consumption Updates'!$AS:$AS,$B201,'Cutters Consumption Updates'!AW:AW)</f>
        <v>0</v>
      </c>
      <c r="L201" s="116">
        <f>SUMIFS('Cutters Consumption Updates'!$F:$F,'Cutters Consumption Updates'!$D:$D,L$1,'Cutters Consumption Updates'!$B:$B,$B201)-SUMIFS('Cutters Consumption Updates'!$E:$E,'Cutters Consumption Updates'!$D:$D,$L$1,'Cutters Consumption Updates'!$B:$B,$B201)+SUMIFS('Cutters Consumption Updates'!$F:$F,'Cutters Consumption Updates'!$D:$D,"Retrofit",'Cutters Consumption Updates'!$B:$B,$B201)-SUMIFS('Cutters Consumption Updates'!$E:$E,'Cutters Consumption Updates'!$D:$D,"Retrofit",'Cutters Consumption Updates'!$B:$B,$B201)+ SUMIF('Cutters Consumption Updates'!$AS:$AS,$B201,'Cutters Consumption Updates'!AX:AX)</f>
        <v>17</v>
      </c>
      <c r="M201" s="810">
        <f t="shared" si="21"/>
        <v>17</v>
      </c>
      <c r="N201" s="810">
        <f ca="1">SUMIFS('Cutters Consumption Updates'!E:E,
        'Cutters Consumption Updates'!B:B, B201,
        'Cutters Consumption Updates'!A:A, "&gt;" &amp; TODAY()-182)</f>
        <v>0</v>
      </c>
      <c r="O201" s="810">
        <f ca="1">SUMIFS('Cutters Consumption Updates'!E:E,
        'Cutters Consumption Updates'!B:B, B201,
        'Cutters Consumption Updates'!A:A, "&gt;" &amp; TODAY()-91)</f>
        <v>0</v>
      </c>
      <c r="P201" s="810">
        <f t="shared" ca="1" si="22"/>
        <v>0</v>
      </c>
      <c r="Q201" s="703">
        <f t="shared" ca="1" si="23"/>
        <v>0</v>
      </c>
      <c r="R201" s="703" t="s">
        <v>29</v>
      </c>
      <c r="S201" s="24">
        <f>IFERROR(INDEX(Table5[],MATCH($B201,Table5[Component],0),2),0)</f>
        <v>0</v>
      </c>
      <c r="T201" s="813">
        <f>SUMIFS(Table7[Balance],Table7[Cutter Mat'#],$B201)</f>
        <v>0</v>
      </c>
      <c r="U201" s="24">
        <f t="shared" si="24"/>
        <v>17</v>
      </c>
      <c r="V201" s="119"/>
      <c r="W201" s="2"/>
      <c r="Y201" s="4">
        <f>IFERROR(INDEX(Table5[],MATCH($B201,Table5[Component],0),2),0)</f>
        <v>0</v>
      </c>
      <c r="Z201" s="4">
        <f>IFERROR(INDEX(Table5[],MATCH($B201,Table5[Component],0),1),0)</f>
        <v>0</v>
      </c>
      <c r="AA201" s="4" t="str">
        <f>IF(Y201&lt;&gt;0,B201,"")</f>
        <v/>
      </c>
      <c r="AB201" s="4" t="str">
        <f t="shared" si="25"/>
        <v/>
      </c>
      <c r="AD201" s="4">
        <f t="shared" si="26"/>
        <v>17</v>
      </c>
      <c r="AI201" s="248" t="str">
        <f>IFERROR(INDEX($B$1:$AK$243,MATCH(W201,$B$1:$B$243,0),13),"")</f>
        <v/>
      </c>
      <c r="AJ201" s="248" t="str">
        <f>IFERROR(INDEX($B$1:$AK$243,MATCH(W201,$B$1:$B$243,0),15),"")</f>
        <v/>
      </c>
      <c r="AK201">
        <f>SUMIF($W$2:$W$243,B201,$S$2:$S$243)</f>
        <v>0</v>
      </c>
      <c r="AN201" s="4"/>
      <c r="AO201" s="4"/>
      <c r="AP201">
        <f t="shared" si="27"/>
        <v>0</v>
      </c>
      <c r="AQ201" s="4"/>
      <c r="AR201" s="4">
        <v>1163820</v>
      </c>
      <c r="AS201">
        <f>SUMIF($B:$B,AR201,$AP:$AP)</f>
        <v>0</v>
      </c>
    </row>
    <row r="202" spans="1:45" ht="15.65" customHeight="1" x14ac:dyDescent="0.35">
      <c r="A202" s="2">
        <v>201</v>
      </c>
      <c r="B202" s="258">
        <v>1146737</v>
      </c>
      <c r="C202" s="2" t="s">
        <v>3569</v>
      </c>
      <c r="D202" s="2" t="s">
        <v>111</v>
      </c>
      <c r="E202" s="2">
        <v>1613</v>
      </c>
      <c r="F202" s="2" t="s">
        <v>177</v>
      </c>
      <c r="G202" s="2" t="s">
        <v>4314</v>
      </c>
      <c r="H202" s="10">
        <f>SUMIFS('Cutters Consumption Updates'!$F:$F,'Cutters Consumption Updates'!$D:$D,H$1,'Cutters Consumption Updates'!$B:$B,$B202)-SUMIFS('Cutters Consumption Updates'!$E:$E,'Cutters Consumption Updates'!$D:$D,H$1,'Cutters Consumption Updates'!$B:$B,$B202)+ SUMIF('Cutters Consumption Updates'!$AS:$AS,$B202,'Cutters Consumption Updates'!AT:AT)</f>
        <v>0</v>
      </c>
      <c r="I202" s="10">
        <f>SUMIFS('Cutters Consumption Updates'!$F:$F,'Cutters Consumption Updates'!$D:$D,I$1,'Cutters Consumption Updates'!$B:$B,$B202)-SUMIFS('Cutters Consumption Updates'!$E:$E,'Cutters Consumption Updates'!$D:$D,I$1,'Cutters Consumption Updates'!$B:$B,$B202)+ SUMIF('Cutters Consumption Updates'!$AS:$AS,$B202,'Cutters Consumption Updates'!AU:AU)</f>
        <v>0</v>
      </c>
      <c r="J202" s="116">
        <f>SUMIFS('Cutters Consumption Updates'!$F:$F,'Cutters Consumption Updates'!$D:$D,J$1,'Cutters Consumption Updates'!$B:$B,$B202)-SUMIFS('Cutters Consumption Updates'!$E:$E,'Cutters Consumption Updates'!$D:$D,J$1,'Cutters Consumption Updates'!$B:$B,$B202)+ SUMIF('Cutters Consumption Updates'!$AS:$AS,$B202,'Cutters Consumption Updates'!AV:AV)</f>
        <v>52</v>
      </c>
      <c r="K202" s="738">
        <f>SUMIFS('Cutters Consumption Updates'!$F:$F,'Cutters Consumption Updates'!$D:$D,K$1,'Cutters Consumption Updates'!$B:$B,$B202)-SUMIFS('Cutters Consumption Updates'!$E:$E,'Cutters Consumption Updates'!$D:$D,K$1,'Cutters Consumption Updates'!$B:$B,$B202)+ SUMIF('Cutters Consumption Updates'!$AS:$AS,$B202,'Cutters Consumption Updates'!AW:AW)</f>
        <v>0</v>
      </c>
      <c r="L202" s="116">
        <f>SUMIFS('Cutters Consumption Updates'!$F:$F,'Cutters Consumption Updates'!$D:$D,L$1,'Cutters Consumption Updates'!$B:$B,$B202)-SUMIFS('Cutters Consumption Updates'!$E:$E,'Cutters Consumption Updates'!$D:$D,$L$1,'Cutters Consumption Updates'!$B:$B,$B202)+SUMIFS('Cutters Consumption Updates'!$F:$F,'Cutters Consumption Updates'!$D:$D,"Retrofit",'Cutters Consumption Updates'!$B:$B,$B202)-SUMIFS('Cutters Consumption Updates'!$E:$E,'Cutters Consumption Updates'!$D:$D,"Retrofit",'Cutters Consumption Updates'!$B:$B,$B202)+ SUMIF('Cutters Consumption Updates'!$AS:$AS,$B202,'Cutters Consumption Updates'!AX:AX)</f>
        <v>-3</v>
      </c>
      <c r="M202" s="810">
        <f t="shared" si="21"/>
        <v>-3</v>
      </c>
      <c r="N202" s="810">
        <f ca="1">SUMIFS('Cutters Consumption Updates'!E:E,
        'Cutters Consumption Updates'!B:B, B202,
        'Cutters Consumption Updates'!A:A, "&gt;" &amp; TODAY()-182)</f>
        <v>1281</v>
      </c>
      <c r="O202" s="810">
        <f ca="1">SUMIFS('Cutters Consumption Updates'!E:E,
        'Cutters Consumption Updates'!B:B, B202,
        'Cutters Consumption Updates'!A:A, "&gt;" &amp; TODAY()-91)</f>
        <v>655</v>
      </c>
      <c r="P202" s="810">
        <f t="shared" ca="1" si="22"/>
        <v>427</v>
      </c>
      <c r="Q202" s="703">
        <f t="shared" ca="1" si="23"/>
        <v>440</v>
      </c>
      <c r="R202" s="703" t="s">
        <v>115</v>
      </c>
      <c r="S202" s="24">
        <f>IFERROR(INDEX(Table5[],MATCH($B202,Table5[Component],0),2),0)</f>
        <v>1198</v>
      </c>
      <c r="T202" s="813">
        <f>SUMIFS(Table7[Balance],Table7[Cutter Mat'#],$B202)</f>
        <v>300</v>
      </c>
      <c r="U202" s="24">
        <f t="shared" si="24"/>
        <v>-901</v>
      </c>
      <c r="V202" s="119"/>
      <c r="W202" s="2"/>
      <c r="Y202" s="4">
        <f>IFERROR(INDEX(Table5[],MATCH($B202,Table5[Component],0),2),0)</f>
        <v>1198</v>
      </c>
      <c r="Z202" s="4">
        <f>IFERROR(INDEX(Table5[],MATCH($B202,Table5[Component],0),1),0)</f>
        <v>1146737</v>
      </c>
      <c r="AA202" s="4">
        <f>IF(Y202&lt;&gt;0,B202,"")</f>
        <v>1146737</v>
      </c>
      <c r="AB202" s="4" t="str">
        <f t="shared" si="25"/>
        <v/>
      </c>
      <c r="AD202" s="4">
        <f t="shared" si="26"/>
        <v>49</v>
      </c>
      <c r="AI202" s="248" t="str">
        <f>IFERROR(INDEX($B$1:$AK$243,MATCH(W202,$B$1:$B$243,0),13),"")</f>
        <v/>
      </c>
      <c r="AJ202" s="248" t="str">
        <f>IFERROR(INDEX($B$1:$AK$243,MATCH(W202,$B$1:$B$243,0),15),"")</f>
        <v/>
      </c>
      <c r="AK202">
        <f>SUMIF($W$2:$W$243,B202,$S$2:$S$243)</f>
        <v>0</v>
      </c>
      <c r="AN202" s="4"/>
      <c r="AO202" s="4"/>
      <c r="AP202">
        <f t="shared" si="27"/>
        <v>300</v>
      </c>
      <c r="AQ202" s="4"/>
      <c r="AR202" s="4">
        <v>1165840</v>
      </c>
      <c r="AS202">
        <f>SUMIF($B:$B,AR202,$AP:$AP)</f>
        <v>0</v>
      </c>
    </row>
    <row r="203" spans="1:45" ht="15.65" customHeight="1" x14ac:dyDescent="0.35">
      <c r="A203" s="2">
        <v>205</v>
      </c>
      <c r="B203" s="258">
        <v>1141583</v>
      </c>
      <c r="C203" s="2" t="s">
        <v>4391</v>
      </c>
      <c r="D203" s="2" t="s">
        <v>178</v>
      </c>
      <c r="E203" s="2">
        <v>1613</v>
      </c>
      <c r="F203" s="2" t="s">
        <v>109</v>
      </c>
      <c r="G203" s="2" t="s">
        <v>4314</v>
      </c>
      <c r="H203" s="10">
        <f>SUMIFS('Cutters Consumption Updates'!$F:$F,'Cutters Consumption Updates'!$D:$D,H$1,'Cutters Consumption Updates'!$B:$B,$B203)-SUMIFS('Cutters Consumption Updates'!$E:$E,'Cutters Consumption Updates'!$D:$D,H$1,'Cutters Consumption Updates'!$B:$B,$B203)+ SUMIF('Cutters Consumption Updates'!$AS:$AS,$B203,'Cutters Consumption Updates'!AT:AT)</f>
        <v>0</v>
      </c>
      <c r="I203" s="10">
        <f>SUMIFS('Cutters Consumption Updates'!$F:$F,'Cutters Consumption Updates'!$D:$D,I$1,'Cutters Consumption Updates'!$B:$B,$B203)-SUMIFS('Cutters Consumption Updates'!$E:$E,'Cutters Consumption Updates'!$D:$D,I$1,'Cutters Consumption Updates'!$B:$B,$B203)+ SUMIF('Cutters Consumption Updates'!$AS:$AS,$B203,'Cutters Consumption Updates'!AU:AU)</f>
        <v>0</v>
      </c>
      <c r="J203" s="116">
        <f>SUMIFS('Cutters Consumption Updates'!$F:$F,'Cutters Consumption Updates'!$D:$D,J$1,'Cutters Consumption Updates'!$B:$B,$B203)-SUMIFS('Cutters Consumption Updates'!$E:$E,'Cutters Consumption Updates'!$D:$D,J$1,'Cutters Consumption Updates'!$B:$B,$B203)+ SUMIF('Cutters Consumption Updates'!$AS:$AS,$B203,'Cutters Consumption Updates'!AV:AV)</f>
        <v>0</v>
      </c>
      <c r="K203" s="738">
        <f>SUMIFS('Cutters Consumption Updates'!$F:$F,'Cutters Consumption Updates'!$D:$D,K$1,'Cutters Consumption Updates'!$B:$B,$B203)-SUMIFS('Cutters Consumption Updates'!$E:$E,'Cutters Consumption Updates'!$D:$D,K$1,'Cutters Consumption Updates'!$B:$B,$B203)+ SUMIF('Cutters Consumption Updates'!$AS:$AS,$B203,'Cutters Consumption Updates'!AW:AW)</f>
        <v>47</v>
      </c>
      <c r="L203" s="116">
        <f>SUMIFS('Cutters Consumption Updates'!$F:$F,'Cutters Consumption Updates'!$D:$D,L$1,'Cutters Consumption Updates'!$B:$B,$B203)-SUMIFS('Cutters Consumption Updates'!$E:$E,'Cutters Consumption Updates'!$D:$D,$L$1,'Cutters Consumption Updates'!$B:$B,$B203)+SUMIFS('Cutters Consumption Updates'!$F:$F,'Cutters Consumption Updates'!$D:$D,"Retrofit",'Cutters Consumption Updates'!$B:$B,$B203)-SUMIFS('Cutters Consumption Updates'!$E:$E,'Cutters Consumption Updates'!$D:$D,"Retrofit",'Cutters Consumption Updates'!$B:$B,$B203)+ SUMIF('Cutters Consumption Updates'!$AS:$AS,$B203,'Cutters Consumption Updates'!AX:AX)</f>
        <v>0</v>
      </c>
      <c r="M203" s="810">
        <f t="shared" si="21"/>
        <v>0</v>
      </c>
      <c r="N203" s="810">
        <f ca="1">SUMIFS('Cutters Consumption Updates'!E:E,
        'Cutters Consumption Updates'!B:B, B203,
        'Cutters Consumption Updates'!A:A, "&gt;" &amp; TODAY()-182)</f>
        <v>0</v>
      </c>
      <c r="O203" s="810">
        <f ca="1">SUMIFS('Cutters Consumption Updates'!E:E,
        'Cutters Consumption Updates'!B:B, B203,
        'Cutters Consumption Updates'!A:A, "&gt;" &amp; TODAY()-91)</f>
        <v>0</v>
      </c>
      <c r="P203" s="810">
        <f t="shared" ca="1" si="22"/>
        <v>0</v>
      </c>
      <c r="Q203" s="703">
        <f t="shared" ca="1" si="23"/>
        <v>0</v>
      </c>
      <c r="R203" s="703" t="s">
        <v>29</v>
      </c>
      <c r="S203" s="24">
        <f>IFERROR(INDEX(Table5[],MATCH($B203,Table5[Component],0),2),0)</f>
        <v>0</v>
      </c>
      <c r="T203" s="813">
        <f>SUMIFS(Table7[Balance],Table7[Cutter Mat'#],$B203)</f>
        <v>0</v>
      </c>
      <c r="U203" s="24">
        <f t="shared" si="24"/>
        <v>0</v>
      </c>
      <c r="V203" s="119"/>
      <c r="W203" s="2"/>
      <c r="Y203" s="4">
        <f>IFERROR(INDEX(Table5[],MATCH($B203,Table5[Component],0),2),0)</f>
        <v>0</v>
      </c>
      <c r="Z203" s="4">
        <f>IFERROR(INDEX(Table5[],MATCH($B203,Table5[Component],0),1),0)</f>
        <v>0</v>
      </c>
      <c r="AA203" s="4" t="str">
        <f>IF(Y203&lt;&gt;0,B203,"")</f>
        <v/>
      </c>
      <c r="AB203" s="4" t="str">
        <f t="shared" si="25"/>
        <v/>
      </c>
      <c r="AD203" s="4">
        <f t="shared" si="26"/>
        <v>0</v>
      </c>
      <c r="AI203" s="248" t="str">
        <f>IFERROR(INDEX($B$1:$AK$243,MATCH(W203,$B$1:$B$243,0),13),"")</f>
        <v/>
      </c>
      <c r="AJ203" s="248" t="str">
        <f>IFERROR(INDEX($B$1:$AK$243,MATCH(W203,$B$1:$B$243,0),15),"")</f>
        <v/>
      </c>
      <c r="AK203">
        <f>SUMIF($W$2:$W$243,B203,$S$2:$S$243)</f>
        <v>0</v>
      </c>
      <c r="AN203" s="4"/>
      <c r="AO203" s="4"/>
      <c r="AP203">
        <f t="shared" si="27"/>
        <v>0</v>
      </c>
      <c r="AQ203" s="4"/>
      <c r="AR203" s="4">
        <v>1172481</v>
      </c>
      <c r="AS203">
        <f>SUMIF($B:$B,AR203,$AP:$AP)</f>
        <v>0</v>
      </c>
    </row>
    <row r="204" spans="1:45" ht="15.65" customHeight="1" x14ac:dyDescent="0.35">
      <c r="A204" s="2">
        <v>206</v>
      </c>
      <c r="B204" s="258">
        <v>1146742</v>
      </c>
      <c r="C204" s="2" t="s">
        <v>3620</v>
      </c>
      <c r="D204" s="2" t="s">
        <v>111</v>
      </c>
      <c r="E204" s="2">
        <v>1913</v>
      </c>
      <c r="F204" s="2" t="s">
        <v>170</v>
      </c>
      <c r="G204" s="2" t="s">
        <v>4314</v>
      </c>
      <c r="H204" s="10">
        <f>SUMIFS('Cutters Consumption Updates'!$F:$F,'Cutters Consumption Updates'!$D:$D,H$1,'Cutters Consumption Updates'!$B:$B,$B204)-SUMIFS('Cutters Consumption Updates'!$E:$E,'Cutters Consumption Updates'!$D:$D,H$1,'Cutters Consumption Updates'!$B:$B,$B204)+ SUMIF('Cutters Consumption Updates'!$AS:$AS,$B204,'Cutters Consumption Updates'!AT:AT)</f>
        <v>0</v>
      </c>
      <c r="I204" s="10">
        <f>SUMIFS('Cutters Consumption Updates'!$F:$F,'Cutters Consumption Updates'!$D:$D,I$1,'Cutters Consumption Updates'!$B:$B,$B204)-SUMIFS('Cutters Consumption Updates'!$E:$E,'Cutters Consumption Updates'!$D:$D,I$1,'Cutters Consumption Updates'!$B:$B,$B204)+ SUMIF('Cutters Consumption Updates'!$AS:$AS,$B204,'Cutters Consumption Updates'!AU:AU)</f>
        <v>0</v>
      </c>
      <c r="J204" s="116">
        <f>SUMIFS('Cutters Consumption Updates'!$F:$F,'Cutters Consumption Updates'!$D:$D,J$1,'Cutters Consumption Updates'!$B:$B,$B204)-SUMIFS('Cutters Consumption Updates'!$E:$E,'Cutters Consumption Updates'!$D:$D,J$1,'Cutters Consumption Updates'!$B:$B,$B204)+ SUMIF('Cutters Consumption Updates'!$AS:$AS,$B204,'Cutters Consumption Updates'!AV:AV)</f>
        <v>0</v>
      </c>
      <c r="K204" s="738">
        <f>SUMIFS('Cutters Consumption Updates'!$F:$F,'Cutters Consumption Updates'!$D:$D,K$1,'Cutters Consumption Updates'!$B:$B,$B204)-SUMIFS('Cutters Consumption Updates'!$E:$E,'Cutters Consumption Updates'!$D:$D,K$1,'Cutters Consumption Updates'!$B:$B,$B204)+ SUMIF('Cutters Consumption Updates'!$AS:$AS,$B204,'Cutters Consumption Updates'!AW:AW)</f>
        <v>0</v>
      </c>
      <c r="L204" s="116">
        <f>SUMIFS('Cutters Consumption Updates'!$F:$F,'Cutters Consumption Updates'!$D:$D,L$1,'Cutters Consumption Updates'!$B:$B,$B204)-SUMIFS('Cutters Consumption Updates'!$E:$E,'Cutters Consumption Updates'!$D:$D,$L$1,'Cutters Consumption Updates'!$B:$B,$B204)+SUMIFS('Cutters Consumption Updates'!$F:$F,'Cutters Consumption Updates'!$D:$D,"Retrofit",'Cutters Consumption Updates'!$B:$B,$B204)-SUMIFS('Cutters Consumption Updates'!$E:$E,'Cutters Consumption Updates'!$D:$D,"Retrofit",'Cutters Consumption Updates'!$B:$B,$B204)+ SUMIF('Cutters Consumption Updates'!$AS:$AS,$B204,'Cutters Consumption Updates'!AX:AX)</f>
        <v>28</v>
      </c>
      <c r="M204" s="810">
        <f t="shared" si="21"/>
        <v>28</v>
      </c>
      <c r="N204" s="810">
        <f ca="1">SUMIFS('Cutters Consumption Updates'!E:E,
        'Cutters Consumption Updates'!B:B, B204,
        'Cutters Consumption Updates'!A:A, "&gt;" &amp; TODAY()-182)</f>
        <v>20</v>
      </c>
      <c r="O204" s="810">
        <f ca="1">SUMIFS('Cutters Consumption Updates'!E:E,
        'Cutters Consumption Updates'!B:B, B204,
        'Cutters Consumption Updates'!A:A, "&gt;" &amp; TODAY()-91)</f>
        <v>20</v>
      </c>
      <c r="P204" s="810">
        <f t="shared" ca="1" si="22"/>
        <v>7</v>
      </c>
      <c r="Q204" s="703">
        <f t="shared" ca="1" si="23"/>
        <v>10</v>
      </c>
      <c r="R204" s="703" t="s">
        <v>113</v>
      </c>
      <c r="S204" s="24">
        <f>IFERROR(INDEX(Table5[],MATCH($B204,Table5[Component],0),2),0)</f>
        <v>20</v>
      </c>
      <c r="T204" s="813">
        <f>SUMIFS(Table7[Balance],Table7[Cutter Mat'#],$B204)</f>
        <v>0</v>
      </c>
      <c r="U204" s="24">
        <f t="shared" si="24"/>
        <v>8</v>
      </c>
      <c r="V204" s="119"/>
      <c r="W204" s="2"/>
      <c r="Y204" s="4">
        <f>IFERROR(INDEX(Table5[],MATCH($B204,Table5[Component],0),2),0)</f>
        <v>20</v>
      </c>
      <c r="Z204" s="4">
        <f>IFERROR(INDEX(Table5[],MATCH($B204,Table5[Component],0),1),0)</f>
        <v>1146742</v>
      </c>
      <c r="AA204" s="4">
        <f>IF(Y204&lt;&gt;0,B204,"")</f>
        <v>1146742</v>
      </c>
      <c r="AB204" s="4" t="str">
        <f t="shared" si="25"/>
        <v/>
      </c>
      <c r="AD204" s="4">
        <f t="shared" si="26"/>
        <v>28</v>
      </c>
      <c r="AI204" s="248" t="str">
        <f>IFERROR(INDEX($B$1:$AK$243,MATCH(W204,$B$1:$B$243,0),13),"")</f>
        <v/>
      </c>
      <c r="AJ204" s="248" t="str">
        <f>IFERROR(INDEX($B$1:$AK$243,MATCH(W204,$B$1:$B$243,0),15),"")</f>
        <v/>
      </c>
      <c r="AK204">
        <f>SUMIF($W$2:$W$243,B204,$S$2:$S$243)</f>
        <v>0</v>
      </c>
      <c r="AN204" s="4"/>
      <c r="AO204" s="4"/>
      <c r="AP204">
        <f t="shared" si="27"/>
        <v>0</v>
      </c>
      <c r="AQ204" s="4"/>
      <c r="AR204" s="4">
        <v>1175118</v>
      </c>
      <c r="AS204">
        <f>SUMIF($B:$B,AR204,$AP:$AP)</f>
        <v>0</v>
      </c>
    </row>
    <row r="205" spans="1:45" ht="15.65" customHeight="1" x14ac:dyDescent="0.35">
      <c r="A205" s="2">
        <v>207</v>
      </c>
      <c r="B205" s="258">
        <v>1244299</v>
      </c>
      <c r="C205" s="2" t="s">
        <v>4392</v>
      </c>
      <c r="D205" s="2" t="s">
        <v>180</v>
      </c>
      <c r="E205" s="2">
        <v>1313</v>
      </c>
      <c r="F205" s="2" t="s">
        <v>109</v>
      </c>
      <c r="G205" s="2" t="s">
        <v>4393</v>
      </c>
      <c r="H205" s="10">
        <f>SUMIFS('Cutters Consumption Updates'!$F:$F,'Cutters Consumption Updates'!$D:$D,H$1,'Cutters Consumption Updates'!$B:$B,$B205)-SUMIFS('Cutters Consumption Updates'!$E:$E,'Cutters Consumption Updates'!$D:$D,H$1,'Cutters Consumption Updates'!$B:$B,$B205)+ SUMIF('Cutters Consumption Updates'!$AS:$AS,$B205,'Cutters Consumption Updates'!AT:AT)</f>
        <v>0</v>
      </c>
      <c r="I205" s="10">
        <f>SUMIFS('Cutters Consumption Updates'!$F:$F,'Cutters Consumption Updates'!$D:$D,I$1,'Cutters Consumption Updates'!$B:$B,$B205)-SUMIFS('Cutters Consumption Updates'!$E:$E,'Cutters Consumption Updates'!$D:$D,I$1,'Cutters Consumption Updates'!$B:$B,$B205)+ SUMIF('Cutters Consumption Updates'!$AS:$AS,$B205,'Cutters Consumption Updates'!AU:AU)</f>
        <v>0</v>
      </c>
      <c r="J205" s="116">
        <f>SUMIFS('Cutters Consumption Updates'!$F:$F,'Cutters Consumption Updates'!$D:$D,J$1,'Cutters Consumption Updates'!$B:$B,$B205)-SUMIFS('Cutters Consumption Updates'!$E:$E,'Cutters Consumption Updates'!$D:$D,J$1,'Cutters Consumption Updates'!$B:$B,$B205)+ SUMIF('Cutters Consumption Updates'!$AS:$AS,$B205,'Cutters Consumption Updates'!AV:AV)</f>
        <v>0</v>
      </c>
      <c r="K205" s="738">
        <f>SUMIFS('Cutters Consumption Updates'!$F:$F,'Cutters Consumption Updates'!$D:$D,K$1,'Cutters Consumption Updates'!$B:$B,$B205)-SUMIFS('Cutters Consumption Updates'!$E:$E,'Cutters Consumption Updates'!$D:$D,K$1,'Cutters Consumption Updates'!$B:$B,$B205)+ SUMIF('Cutters Consumption Updates'!$AS:$AS,$B205,'Cutters Consumption Updates'!AW:AW)</f>
        <v>7</v>
      </c>
      <c r="L205" s="116">
        <f>SUMIFS('Cutters Consumption Updates'!$F:$F,'Cutters Consumption Updates'!$D:$D,L$1,'Cutters Consumption Updates'!$B:$B,$B205)-SUMIFS('Cutters Consumption Updates'!$E:$E,'Cutters Consumption Updates'!$D:$D,$L$1,'Cutters Consumption Updates'!$B:$B,$B205)+SUMIFS('Cutters Consumption Updates'!$F:$F,'Cutters Consumption Updates'!$D:$D,"Retrofit",'Cutters Consumption Updates'!$B:$B,$B205)-SUMIFS('Cutters Consumption Updates'!$E:$E,'Cutters Consumption Updates'!$D:$D,"Retrofit",'Cutters Consumption Updates'!$B:$B,$B205)+ SUMIF('Cutters Consumption Updates'!$AS:$AS,$B205,'Cutters Consumption Updates'!AX:AX)</f>
        <v>1</v>
      </c>
      <c r="M205" s="810">
        <f t="shared" si="21"/>
        <v>1</v>
      </c>
      <c r="N205" s="810">
        <f ca="1">SUMIFS('Cutters Consumption Updates'!E:E,
        'Cutters Consumption Updates'!B:B, B205,
        'Cutters Consumption Updates'!A:A, "&gt;" &amp; TODAY()-182)</f>
        <v>15</v>
      </c>
      <c r="O205" s="810">
        <f ca="1">SUMIFS('Cutters Consumption Updates'!E:E,
        'Cutters Consumption Updates'!B:B, B205,
        'Cutters Consumption Updates'!A:A, "&gt;" &amp; TODAY()-91)</f>
        <v>1</v>
      </c>
      <c r="P205" s="810">
        <f t="shared" ca="1" si="22"/>
        <v>5</v>
      </c>
      <c r="Q205" s="703">
        <f t="shared" ca="1" si="23"/>
        <v>10</v>
      </c>
      <c r="R205" s="703" t="s">
        <v>181</v>
      </c>
      <c r="S205" s="24">
        <f>IFERROR(INDEX(Table5[],MATCH($B205,Table5[Component],0),2),0)</f>
        <v>0</v>
      </c>
      <c r="T205" s="813">
        <f>SUMIFS(Table7[Balance],Table7[Cutter Mat'#],$B205)</f>
        <v>0</v>
      </c>
      <c r="U205" s="24">
        <f t="shared" si="24"/>
        <v>1</v>
      </c>
      <c r="V205" s="119"/>
      <c r="W205" s="2"/>
      <c r="Y205" s="4">
        <f>IFERROR(INDEX(Table5[],MATCH($B205,Table5[Component],0),2),0)</f>
        <v>0</v>
      </c>
      <c r="Z205" s="4">
        <f>IFERROR(INDEX(Table5[],MATCH($B205,Table5[Component],0),1),0)</f>
        <v>1244299</v>
      </c>
      <c r="AA205" s="4" t="str">
        <f>IF(Y205&lt;&gt;0,B205,"")</f>
        <v/>
      </c>
      <c r="AB205" s="4" t="str">
        <f t="shared" si="25"/>
        <v/>
      </c>
      <c r="AD205" s="4">
        <f t="shared" si="26"/>
        <v>1</v>
      </c>
      <c r="AI205" s="248" t="str">
        <f>IFERROR(INDEX($B$1:$AK$243,MATCH(W205,$B$1:$B$243,0),13),"")</f>
        <v/>
      </c>
      <c r="AJ205" s="248" t="str">
        <f>IFERROR(INDEX($B$1:$AK$243,MATCH(W205,$B$1:$B$243,0),15),"")</f>
        <v/>
      </c>
      <c r="AK205">
        <f>SUMIF($W$2:$W$243,B205,$S$2:$S$243)</f>
        <v>0</v>
      </c>
      <c r="AN205" s="4"/>
      <c r="AO205" s="4"/>
      <c r="AP205">
        <f t="shared" si="27"/>
        <v>0</v>
      </c>
      <c r="AQ205" s="4"/>
      <c r="AR205" s="4">
        <v>1176639</v>
      </c>
      <c r="AS205">
        <f>SUMIF($B:$B,AR205,$AP:$AP)</f>
        <v>0</v>
      </c>
    </row>
    <row r="206" spans="1:45" ht="15.65" customHeight="1" x14ac:dyDescent="0.35">
      <c r="A206" s="2">
        <v>208</v>
      </c>
      <c r="B206" s="258">
        <v>1112229</v>
      </c>
      <c r="C206" s="2" t="s">
        <v>3576</v>
      </c>
      <c r="D206" s="2" t="s">
        <v>178</v>
      </c>
      <c r="E206" s="2">
        <v>1613</v>
      </c>
      <c r="F206" s="2" t="s">
        <v>253</v>
      </c>
      <c r="G206" s="2" t="s">
        <v>4314</v>
      </c>
      <c r="H206" s="10">
        <f>SUMIFS('Cutters Consumption Updates'!$F:$F,'Cutters Consumption Updates'!$D:$D,H$1,'Cutters Consumption Updates'!$B:$B,$B206)-SUMIFS('Cutters Consumption Updates'!$E:$E,'Cutters Consumption Updates'!$D:$D,H$1,'Cutters Consumption Updates'!$B:$B,$B206)+ SUMIF('Cutters Consumption Updates'!$AS:$AS,$B206,'Cutters Consumption Updates'!AT:AT)</f>
        <v>0</v>
      </c>
      <c r="I206" s="10">
        <f>SUMIFS('Cutters Consumption Updates'!$F:$F,'Cutters Consumption Updates'!$D:$D,I$1,'Cutters Consumption Updates'!$B:$B,$B206)-SUMIFS('Cutters Consumption Updates'!$E:$E,'Cutters Consumption Updates'!$D:$D,I$1,'Cutters Consumption Updates'!$B:$B,$B206)+ SUMIF('Cutters Consumption Updates'!$AS:$AS,$B206,'Cutters Consumption Updates'!AU:AU)</f>
        <v>0</v>
      </c>
      <c r="J206" s="116">
        <f>SUMIFS('Cutters Consumption Updates'!$F:$F,'Cutters Consumption Updates'!$D:$D,J$1,'Cutters Consumption Updates'!$B:$B,$B206)-SUMIFS('Cutters Consumption Updates'!$E:$E,'Cutters Consumption Updates'!$D:$D,J$1,'Cutters Consumption Updates'!$B:$B,$B206)+ SUMIF('Cutters Consumption Updates'!$AS:$AS,$B206,'Cutters Consumption Updates'!AV:AV)</f>
        <v>0</v>
      </c>
      <c r="K206" s="738">
        <f>SUMIFS('Cutters Consumption Updates'!$F:$F,'Cutters Consumption Updates'!$D:$D,K$1,'Cutters Consumption Updates'!$B:$B,$B206)-SUMIFS('Cutters Consumption Updates'!$E:$E,'Cutters Consumption Updates'!$D:$D,K$1,'Cutters Consumption Updates'!$B:$B,$B206)+ SUMIF('Cutters Consumption Updates'!$AS:$AS,$B206,'Cutters Consumption Updates'!AW:AW)</f>
        <v>0</v>
      </c>
      <c r="L206" s="116">
        <f>SUMIFS('Cutters Consumption Updates'!$F:$F,'Cutters Consumption Updates'!$D:$D,L$1,'Cutters Consumption Updates'!$B:$B,$B206)-SUMIFS('Cutters Consumption Updates'!$E:$E,'Cutters Consumption Updates'!$D:$D,$L$1,'Cutters Consumption Updates'!$B:$B,$B206)+SUMIFS('Cutters Consumption Updates'!$F:$F,'Cutters Consumption Updates'!$D:$D,"Retrofit",'Cutters Consumption Updates'!$B:$B,$B206)-SUMIFS('Cutters Consumption Updates'!$E:$E,'Cutters Consumption Updates'!$D:$D,"Retrofit",'Cutters Consumption Updates'!$B:$B,$B206)+ SUMIF('Cutters Consumption Updates'!$AS:$AS,$B206,'Cutters Consumption Updates'!AX:AX)</f>
        <v>49</v>
      </c>
      <c r="M206" s="810">
        <f t="shared" si="21"/>
        <v>49</v>
      </c>
      <c r="N206" s="810">
        <f ca="1">SUMIFS('Cutters Consumption Updates'!E:E,
        'Cutters Consumption Updates'!B:B, B206,
        'Cutters Consumption Updates'!A:A, "&gt;" &amp; TODAY()-182)</f>
        <v>0</v>
      </c>
      <c r="O206" s="810">
        <f ca="1">SUMIFS('Cutters Consumption Updates'!E:E,
        'Cutters Consumption Updates'!B:B, B206,
        'Cutters Consumption Updates'!A:A, "&gt;" &amp; TODAY()-91)</f>
        <v>0</v>
      </c>
      <c r="P206" s="810">
        <f t="shared" ca="1" si="22"/>
        <v>0</v>
      </c>
      <c r="Q206" s="703">
        <f t="shared" ca="1" si="23"/>
        <v>0</v>
      </c>
      <c r="R206" s="703" t="s">
        <v>29</v>
      </c>
      <c r="S206" s="24">
        <f>IFERROR(INDEX(Table5[],MATCH($B206,Table5[Component],0),2),0)</f>
        <v>0</v>
      </c>
      <c r="T206" s="813">
        <f>SUMIFS(Table7[Balance],Table7[Cutter Mat'#],$B206)</f>
        <v>0</v>
      </c>
      <c r="U206" s="24">
        <f t="shared" si="24"/>
        <v>49</v>
      </c>
      <c r="V206" s="119"/>
      <c r="W206" s="2"/>
      <c r="Y206" s="4">
        <f>IFERROR(INDEX(Table5[],MATCH($B206,Table5[Component],0),2),0)</f>
        <v>0</v>
      </c>
      <c r="Z206" s="4">
        <f>IFERROR(INDEX(Table5[],MATCH($B206,Table5[Component],0),1),0)</f>
        <v>0</v>
      </c>
      <c r="AA206" s="4" t="str">
        <f>IF(Y206&lt;&gt;0,B206,"")</f>
        <v/>
      </c>
      <c r="AB206" s="4" t="str">
        <f t="shared" si="25"/>
        <v/>
      </c>
      <c r="AD206" s="4">
        <f t="shared" si="26"/>
        <v>49</v>
      </c>
      <c r="AI206" s="248" t="str">
        <f>IFERROR(INDEX($B$1:$AK$243,MATCH(W206,$B$1:$B$243,0),13),"")</f>
        <v/>
      </c>
      <c r="AJ206" s="248" t="str">
        <f>IFERROR(INDEX($B$1:$AK$243,MATCH(W206,$B$1:$B$243,0),15),"")</f>
        <v/>
      </c>
      <c r="AK206">
        <f>SUMIF($W$2:$W$243,B206,$S$2:$S$243)</f>
        <v>0</v>
      </c>
      <c r="AN206" s="4"/>
      <c r="AO206" s="4"/>
      <c r="AP206">
        <f t="shared" si="27"/>
        <v>0</v>
      </c>
      <c r="AQ206" s="4"/>
      <c r="AR206" s="4">
        <v>1176641</v>
      </c>
      <c r="AS206">
        <f>SUMIF($B:$B,AR206,$AP:$AP)</f>
        <v>0</v>
      </c>
    </row>
    <row r="207" spans="1:45" ht="15.65" customHeight="1" x14ac:dyDescent="0.35">
      <c r="A207" s="3">
        <v>209</v>
      </c>
      <c r="B207" s="258">
        <v>1228501</v>
      </c>
      <c r="C207" s="2" t="s">
        <v>882</v>
      </c>
      <c r="D207" s="2" t="s">
        <v>4245</v>
      </c>
      <c r="E207" s="2">
        <v>1618</v>
      </c>
      <c r="F207" s="2" t="s">
        <v>103</v>
      </c>
      <c r="G207" s="2" t="s">
        <v>32</v>
      </c>
      <c r="H207" s="10">
        <f>SUMIFS('Cutters Consumption Updates'!$F:$F,'Cutters Consumption Updates'!$D:$D,H$1,'Cutters Consumption Updates'!$B:$B,$B207)-SUMIFS('Cutters Consumption Updates'!$E:$E,'Cutters Consumption Updates'!$D:$D,H$1,'Cutters Consumption Updates'!$B:$B,$B207)+ SUMIF('Cutters Consumption Updates'!$AS:$AS,$B207,'Cutters Consumption Updates'!AT:AT)</f>
        <v>0</v>
      </c>
      <c r="I207" s="10">
        <f>SUMIFS('Cutters Consumption Updates'!$F:$F,'Cutters Consumption Updates'!$D:$D,I$1,'Cutters Consumption Updates'!$B:$B,$B207)-SUMIFS('Cutters Consumption Updates'!$E:$E,'Cutters Consumption Updates'!$D:$D,I$1,'Cutters Consumption Updates'!$B:$B,$B207)+ SUMIF('Cutters Consumption Updates'!$AS:$AS,$B207,'Cutters Consumption Updates'!AU:AU)</f>
        <v>0</v>
      </c>
      <c r="J207" s="116">
        <f>SUMIFS('Cutters Consumption Updates'!$F:$F,'Cutters Consumption Updates'!$D:$D,J$1,'Cutters Consumption Updates'!$B:$B,$B207)-SUMIFS('Cutters Consumption Updates'!$E:$E,'Cutters Consumption Updates'!$D:$D,J$1,'Cutters Consumption Updates'!$B:$B,$B207)+ SUMIF('Cutters Consumption Updates'!$AS:$AS,$B207,'Cutters Consumption Updates'!AV:AV)</f>
        <v>0</v>
      </c>
      <c r="K207" s="738">
        <f>SUMIFS('Cutters Consumption Updates'!$F:$F,'Cutters Consumption Updates'!$D:$D,K$1,'Cutters Consumption Updates'!$B:$B,$B207)-SUMIFS('Cutters Consumption Updates'!$E:$E,'Cutters Consumption Updates'!$D:$D,K$1,'Cutters Consumption Updates'!$B:$B,$B207)+ SUMIF('Cutters Consumption Updates'!$AS:$AS,$B207,'Cutters Consumption Updates'!AW:AW)</f>
        <v>0</v>
      </c>
      <c r="L207" s="116">
        <f>SUMIFS('Cutters Consumption Updates'!$F:$F,'Cutters Consumption Updates'!$D:$D,L$1,'Cutters Consumption Updates'!$B:$B,$B207)-SUMIFS('Cutters Consumption Updates'!$E:$E,'Cutters Consumption Updates'!$D:$D,$L$1,'Cutters Consumption Updates'!$B:$B,$B207)+SUMIFS('Cutters Consumption Updates'!$F:$F,'Cutters Consumption Updates'!$D:$D,"Retrofit",'Cutters Consumption Updates'!$B:$B,$B207)-SUMIFS('Cutters Consumption Updates'!$E:$E,'Cutters Consumption Updates'!$D:$D,"Retrofit",'Cutters Consumption Updates'!$B:$B,$B207)+ SUMIF('Cutters Consumption Updates'!$AS:$AS,$B207,'Cutters Consumption Updates'!AX:AX)</f>
        <v>66</v>
      </c>
      <c r="M207" s="810">
        <f t="shared" si="21"/>
        <v>66</v>
      </c>
      <c r="N207" s="810">
        <f ca="1">SUMIFS('Cutters Consumption Updates'!E:E,
        'Cutters Consumption Updates'!B:B, B207,
        'Cutters Consumption Updates'!A:A, "&gt;" &amp; TODAY()-182)</f>
        <v>659</v>
      </c>
      <c r="O207" s="810">
        <f ca="1">SUMIFS('Cutters Consumption Updates'!E:E,
        'Cutters Consumption Updates'!B:B, B207,
        'Cutters Consumption Updates'!A:A, "&gt;" &amp; TODAY()-91)</f>
        <v>355</v>
      </c>
      <c r="P207" s="810">
        <f t="shared" ca="1" si="22"/>
        <v>220</v>
      </c>
      <c r="Q207" s="703">
        <f t="shared" ca="1" si="23"/>
        <v>225</v>
      </c>
      <c r="R207" s="703" t="s">
        <v>184</v>
      </c>
      <c r="S207" s="24">
        <f>IFERROR(INDEX(Table5[],MATCH($B207,Table5[Component],0),2),0)</f>
        <v>258</v>
      </c>
      <c r="T207" s="813">
        <f>SUMIFS(Table7[Balance],Table7[Cutter Mat'#],$B207)</f>
        <v>200</v>
      </c>
      <c r="U207" s="24">
        <f t="shared" si="24"/>
        <v>8</v>
      </c>
      <c r="V207" s="119"/>
      <c r="W207" s="2"/>
      <c r="Y207" s="4">
        <f>IFERROR(INDEX(Table5[],MATCH($B207,Table5[Component],0),2),0)</f>
        <v>258</v>
      </c>
      <c r="Z207" s="4">
        <f>IFERROR(INDEX(Table5[],MATCH($B207,Table5[Component],0),1),0)</f>
        <v>1228501</v>
      </c>
      <c r="AA207" s="4">
        <f>IF(Y207&lt;&gt;0,B207,"")</f>
        <v>1228501</v>
      </c>
      <c r="AB207" s="4" t="str">
        <f t="shared" si="25"/>
        <v/>
      </c>
      <c r="AD207" s="4">
        <f t="shared" si="26"/>
        <v>66</v>
      </c>
      <c r="AI207" s="248" t="str">
        <f>IFERROR(INDEX($B$1:$AK$243,MATCH(W207,$B$1:$B$243,0),13),"")</f>
        <v/>
      </c>
      <c r="AJ207" s="248" t="str">
        <f>IFERROR(INDEX($B$1:$AK$243,MATCH(W207,$B$1:$B$243,0),15),"")</f>
        <v/>
      </c>
      <c r="AK207">
        <f>SUMIF($W$2:$W$243,B207,$S$2:$S$243)</f>
        <v>0</v>
      </c>
      <c r="AN207" s="4"/>
      <c r="AO207" s="4"/>
      <c r="AP207">
        <f t="shared" si="27"/>
        <v>200</v>
      </c>
      <c r="AQ207" s="4"/>
      <c r="AR207" s="4">
        <v>1177229</v>
      </c>
      <c r="AS207">
        <f>SUMIF($B:$B,AR207,$AP:$AP)</f>
        <v>0</v>
      </c>
    </row>
    <row r="208" spans="1:45" ht="15.65" customHeight="1" x14ac:dyDescent="0.35">
      <c r="A208" s="3">
        <v>210</v>
      </c>
      <c r="B208" s="258">
        <v>1228502</v>
      </c>
      <c r="C208" s="607" t="s">
        <v>4394</v>
      </c>
      <c r="D208" s="607" t="s">
        <v>114</v>
      </c>
      <c r="E208" s="2">
        <v>1618</v>
      </c>
      <c r="F208" s="2" t="s">
        <v>109</v>
      </c>
      <c r="G208" s="2" t="s">
        <v>4395</v>
      </c>
      <c r="H208" s="10">
        <f>SUMIFS('Cutters Consumption Updates'!$F:$F,'Cutters Consumption Updates'!$D:$D,H$1,'Cutters Consumption Updates'!$B:$B,$B208)-SUMIFS('Cutters Consumption Updates'!$E:$E,'Cutters Consumption Updates'!$D:$D,H$1,'Cutters Consumption Updates'!$B:$B,$B208)+ SUMIF('Cutters Consumption Updates'!$AS:$AS,$B208,'Cutters Consumption Updates'!AT:AT)</f>
        <v>0</v>
      </c>
      <c r="I208" s="10">
        <f>SUMIFS('Cutters Consumption Updates'!$F:$F,'Cutters Consumption Updates'!$D:$D,I$1,'Cutters Consumption Updates'!$B:$B,$B208)-SUMIFS('Cutters Consumption Updates'!$E:$E,'Cutters Consumption Updates'!$D:$D,I$1,'Cutters Consumption Updates'!$B:$B,$B208)+ SUMIF('Cutters Consumption Updates'!$AS:$AS,$B208,'Cutters Consumption Updates'!AU:AU)</f>
        <v>0</v>
      </c>
      <c r="J208" s="116">
        <f>SUMIFS('Cutters Consumption Updates'!$F:$F,'Cutters Consumption Updates'!$D:$D,J$1,'Cutters Consumption Updates'!$B:$B,$B208)-SUMIFS('Cutters Consumption Updates'!$E:$E,'Cutters Consumption Updates'!$D:$D,J$1,'Cutters Consumption Updates'!$B:$B,$B208)+ SUMIF('Cutters Consumption Updates'!$AS:$AS,$B208,'Cutters Consumption Updates'!AV:AV)</f>
        <v>0</v>
      </c>
      <c r="K208" s="738">
        <f>SUMIFS('Cutters Consumption Updates'!$F:$F,'Cutters Consumption Updates'!$D:$D,K$1,'Cutters Consumption Updates'!$B:$B,$B208)-SUMIFS('Cutters Consumption Updates'!$E:$E,'Cutters Consumption Updates'!$D:$D,K$1,'Cutters Consumption Updates'!$B:$B,$B208)+ SUMIF('Cutters Consumption Updates'!$AS:$AS,$B208,'Cutters Consumption Updates'!AW:AW)</f>
        <v>0</v>
      </c>
      <c r="L208" s="116">
        <f>SUMIFS('Cutters Consumption Updates'!$F:$F,'Cutters Consumption Updates'!$D:$D,L$1,'Cutters Consumption Updates'!$B:$B,$B208)-SUMIFS('Cutters Consumption Updates'!$E:$E,'Cutters Consumption Updates'!$D:$D,$L$1,'Cutters Consumption Updates'!$B:$B,$B208)+SUMIFS('Cutters Consumption Updates'!$F:$F,'Cutters Consumption Updates'!$D:$D,"Retrofit",'Cutters Consumption Updates'!$B:$B,$B208)-SUMIFS('Cutters Consumption Updates'!$E:$E,'Cutters Consumption Updates'!$D:$D,"Retrofit",'Cutters Consumption Updates'!$B:$B,$B208)+ SUMIF('Cutters Consumption Updates'!$AS:$AS,$B208,'Cutters Consumption Updates'!AX:AX)</f>
        <v>71</v>
      </c>
      <c r="M208" s="810">
        <f t="shared" si="21"/>
        <v>71</v>
      </c>
      <c r="N208" s="810">
        <f ca="1">SUMIFS('Cutters Consumption Updates'!E:E,
        'Cutters Consumption Updates'!B:B, B208,
        'Cutters Consumption Updates'!A:A, "&gt;" &amp; TODAY()-182)</f>
        <v>655</v>
      </c>
      <c r="O208" s="810">
        <f ca="1">SUMIFS('Cutters Consumption Updates'!E:E,
        'Cutters Consumption Updates'!B:B, B208,
        'Cutters Consumption Updates'!A:A, "&gt;" &amp; TODAY()-91)</f>
        <v>351</v>
      </c>
      <c r="P208" s="810">
        <f t="shared" ca="1" si="22"/>
        <v>219</v>
      </c>
      <c r="Q208" s="703">
        <f t="shared" ca="1" si="23"/>
        <v>225</v>
      </c>
      <c r="R208" s="703" t="s">
        <v>184</v>
      </c>
      <c r="S208" s="24">
        <f>IFERROR(INDEX(Table5[],MATCH($B208,Table5[Component],0),2),0)</f>
        <v>258</v>
      </c>
      <c r="T208" s="813">
        <f>SUMIFS(Table7[Balance],Table7[Cutter Mat'#],$B208)</f>
        <v>200</v>
      </c>
      <c r="U208" s="24">
        <f t="shared" si="24"/>
        <v>13</v>
      </c>
      <c r="V208" s="119"/>
      <c r="W208" s="2"/>
      <c r="Y208" s="4">
        <f>IFERROR(INDEX(Table5[],MATCH($B208,Table5[Component],0),2),0)</f>
        <v>258</v>
      </c>
      <c r="Z208" s="4">
        <f>IFERROR(INDEX(Table5[],MATCH($B208,Table5[Component],0),1),0)</f>
        <v>1228502</v>
      </c>
      <c r="AA208" s="4">
        <f>IF(Y208&lt;&gt;0,B208,"")</f>
        <v>1228502</v>
      </c>
      <c r="AB208" s="4" t="str">
        <f t="shared" si="25"/>
        <v/>
      </c>
      <c r="AD208" s="4">
        <f t="shared" si="26"/>
        <v>71</v>
      </c>
      <c r="AI208" s="248" t="str">
        <f>IFERROR(INDEX($B$1:$AK$243,MATCH(W208,$B$1:$B$243,0),13),"")</f>
        <v/>
      </c>
      <c r="AJ208" s="248" t="str">
        <f>IFERROR(INDEX($B$1:$AK$243,MATCH(W208,$B$1:$B$243,0),15),"")</f>
        <v/>
      </c>
      <c r="AK208">
        <f>SUMIF($W$2:$W$243,B208,$S$2:$S$243)</f>
        <v>0</v>
      </c>
      <c r="AN208" s="4"/>
      <c r="AO208" s="4"/>
      <c r="AP208">
        <f t="shared" si="27"/>
        <v>200</v>
      </c>
      <c r="AQ208" s="4"/>
      <c r="AR208" s="4">
        <v>1180935</v>
      </c>
      <c r="AS208">
        <f>SUMIF($B:$B,AR208,$AP:$AP)</f>
        <v>0</v>
      </c>
    </row>
    <row r="209" spans="1:45" ht="15.65" customHeight="1" x14ac:dyDescent="0.35">
      <c r="A209" s="3">
        <v>211</v>
      </c>
      <c r="B209" s="258">
        <v>1261319</v>
      </c>
      <c r="C209" s="2" t="s">
        <v>3580</v>
      </c>
      <c r="D209" s="2" t="s">
        <v>145</v>
      </c>
      <c r="E209" s="2">
        <v>1308</v>
      </c>
      <c r="F209" s="2" t="s">
        <v>170</v>
      </c>
      <c r="G209" s="2" t="s">
        <v>4336</v>
      </c>
      <c r="H209" s="10">
        <f>SUMIFS('Cutters Consumption Updates'!$F:$F,'Cutters Consumption Updates'!$D:$D,H$1,'Cutters Consumption Updates'!$B:$B,$B209)-SUMIFS('Cutters Consumption Updates'!$E:$E,'Cutters Consumption Updates'!$D:$D,H$1,'Cutters Consumption Updates'!$B:$B,$B209)+ SUMIF('Cutters Consumption Updates'!$AS:$AS,$B209,'Cutters Consumption Updates'!AT:AT)</f>
        <v>0</v>
      </c>
      <c r="I209" s="10">
        <f>SUMIFS('Cutters Consumption Updates'!$F:$F,'Cutters Consumption Updates'!$D:$D,I$1,'Cutters Consumption Updates'!$B:$B,$B209)-SUMIFS('Cutters Consumption Updates'!$E:$E,'Cutters Consumption Updates'!$D:$D,I$1,'Cutters Consumption Updates'!$B:$B,$B209)+ SUMIF('Cutters Consumption Updates'!$AS:$AS,$B209,'Cutters Consumption Updates'!AU:AU)</f>
        <v>0</v>
      </c>
      <c r="J209" s="116">
        <f>SUMIFS('Cutters Consumption Updates'!$F:$F,'Cutters Consumption Updates'!$D:$D,J$1,'Cutters Consumption Updates'!$B:$B,$B209)-SUMIFS('Cutters Consumption Updates'!$E:$E,'Cutters Consumption Updates'!$D:$D,J$1,'Cutters Consumption Updates'!$B:$B,$B209)+ SUMIF('Cutters Consumption Updates'!$AS:$AS,$B209,'Cutters Consumption Updates'!AV:AV)</f>
        <v>0</v>
      </c>
      <c r="K209" s="738">
        <f>SUMIFS('Cutters Consumption Updates'!$F:$F,'Cutters Consumption Updates'!$D:$D,K$1,'Cutters Consumption Updates'!$B:$B,$B209)-SUMIFS('Cutters Consumption Updates'!$E:$E,'Cutters Consumption Updates'!$D:$D,K$1,'Cutters Consumption Updates'!$B:$B,$B209)+ SUMIF('Cutters Consumption Updates'!$AS:$AS,$B209,'Cutters Consumption Updates'!AW:AW)</f>
        <v>0</v>
      </c>
      <c r="L209" s="116">
        <f>SUMIFS('Cutters Consumption Updates'!$F:$F,'Cutters Consumption Updates'!$D:$D,L$1,'Cutters Consumption Updates'!$B:$B,$B209)-SUMIFS('Cutters Consumption Updates'!$E:$E,'Cutters Consumption Updates'!$D:$D,$L$1,'Cutters Consumption Updates'!$B:$B,$B209)+SUMIFS('Cutters Consumption Updates'!$F:$F,'Cutters Consumption Updates'!$D:$D,"Retrofit",'Cutters Consumption Updates'!$B:$B,$B209)-SUMIFS('Cutters Consumption Updates'!$E:$E,'Cutters Consumption Updates'!$D:$D,"Retrofit",'Cutters Consumption Updates'!$B:$B,$B209)+ SUMIF('Cutters Consumption Updates'!$AS:$AS,$B209,'Cutters Consumption Updates'!AX:AX)</f>
        <v>0</v>
      </c>
      <c r="M209" s="810">
        <f t="shared" si="21"/>
        <v>0</v>
      </c>
      <c r="N209" s="810">
        <f ca="1">SUMIFS('Cutters Consumption Updates'!E:E,
        'Cutters Consumption Updates'!B:B, B209,
        'Cutters Consumption Updates'!A:A, "&gt;" &amp; TODAY()-182)</f>
        <v>70</v>
      </c>
      <c r="O209" s="810">
        <f ca="1">SUMIFS('Cutters Consumption Updates'!E:E,
        'Cutters Consumption Updates'!B:B, B209,
        'Cutters Consumption Updates'!A:A, "&gt;" &amp; TODAY()-91)</f>
        <v>0</v>
      </c>
      <c r="P209" s="810">
        <f t="shared" ca="1" si="22"/>
        <v>24</v>
      </c>
      <c r="Q209" s="703">
        <f t="shared" ca="1" si="23"/>
        <v>30</v>
      </c>
      <c r="R209" s="703" t="s">
        <v>121</v>
      </c>
      <c r="S209" s="24">
        <f>IFERROR(INDEX(Table5[],MATCH($B209,Table5[Component],0),2),0)</f>
        <v>0</v>
      </c>
      <c r="T209" s="813">
        <f>SUMIFS(Table7[Balance],Table7[Cutter Mat'#],$B209)</f>
        <v>0</v>
      </c>
      <c r="U209" s="24">
        <f t="shared" si="24"/>
        <v>0</v>
      </c>
      <c r="V209" s="119"/>
      <c r="W209" s="2"/>
      <c r="Y209" s="4">
        <f>IFERROR(INDEX(Table5[],MATCH($B209,Table5[Component],0),2),0)</f>
        <v>0</v>
      </c>
      <c r="Z209" s="4">
        <f>IFERROR(INDEX(Table5[],MATCH($B209,Table5[Component],0),1),0)</f>
        <v>0</v>
      </c>
      <c r="AA209" s="4" t="str">
        <f>IF(Y209&lt;&gt;0,B209,"")</f>
        <v/>
      </c>
      <c r="AB209" s="4" t="str">
        <f t="shared" si="25"/>
        <v/>
      </c>
      <c r="AD209" s="4">
        <f t="shared" si="26"/>
        <v>0</v>
      </c>
      <c r="AI209" s="248" t="str">
        <f>IFERROR(INDEX($B$1:$AK$243,MATCH(W209,$B$1:$B$243,0),13),"")</f>
        <v/>
      </c>
      <c r="AJ209" s="248" t="str">
        <f>IFERROR(INDEX($B$1:$AK$243,MATCH(W209,$B$1:$B$243,0),15),"")</f>
        <v/>
      </c>
      <c r="AK209">
        <f>SUMIF($W$2:$W$243,B209,$S$2:$S$243)</f>
        <v>0</v>
      </c>
      <c r="AN209" s="4"/>
      <c r="AO209" s="4"/>
      <c r="AP209">
        <f t="shared" si="27"/>
        <v>0</v>
      </c>
      <c r="AQ209" s="4"/>
      <c r="AR209" s="4">
        <v>1181761</v>
      </c>
      <c r="AS209">
        <f>SUMIF($B:$B,AR209,$AP:$AP)</f>
        <v>0</v>
      </c>
    </row>
    <row r="210" spans="1:45" ht="15.65" customHeight="1" x14ac:dyDescent="0.35">
      <c r="A210" s="3">
        <v>212</v>
      </c>
      <c r="B210" s="258">
        <v>1238831</v>
      </c>
      <c r="C210" s="2" t="s">
        <v>3581</v>
      </c>
      <c r="D210" s="2" t="s">
        <v>111</v>
      </c>
      <c r="E210" s="2">
        <v>1313</v>
      </c>
      <c r="F210" s="2" t="s">
        <v>186</v>
      </c>
      <c r="G210" s="2" t="s">
        <v>4314</v>
      </c>
      <c r="H210" s="10">
        <f>SUMIFS('Cutters Consumption Updates'!$F:$F,'Cutters Consumption Updates'!$D:$D,H$1,'Cutters Consumption Updates'!$B:$B,$B210)-SUMIFS('Cutters Consumption Updates'!$E:$E,'Cutters Consumption Updates'!$D:$D,H$1,'Cutters Consumption Updates'!$B:$B,$B210)+ SUMIF('Cutters Consumption Updates'!$AS:$AS,$B210,'Cutters Consumption Updates'!AT:AT)</f>
        <v>0</v>
      </c>
      <c r="I210" s="10">
        <f>SUMIFS('Cutters Consumption Updates'!$F:$F,'Cutters Consumption Updates'!$D:$D,I$1,'Cutters Consumption Updates'!$B:$B,$B210)-SUMIFS('Cutters Consumption Updates'!$E:$E,'Cutters Consumption Updates'!$D:$D,I$1,'Cutters Consumption Updates'!$B:$B,$B210)+ SUMIF('Cutters Consumption Updates'!$AS:$AS,$B210,'Cutters Consumption Updates'!AU:AU)</f>
        <v>0</v>
      </c>
      <c r="J210" s="116">
        <f>SUMIFS('Cutters Consumption Updates'!$F:$F,'Cutters Consumption Updates'!$D:$D,J$1,'Cutters Consumption Updates'!$B:$B,$B210)-SUMIFS('Cutters Consumption Updates'!$E:$E,'Cutters Consumption Updates'!$D:$D,J$1,'Cutters Consumption Updates'!$B:$B,$B210)+ SUMIF('Cutters Consumption Updates'!$AS:$AS,$B210,'Cutters Consumption Updates'!AV:AV)</f>
        <v>0</v>
      </c>
      <c r="K210" s="738">
        <f>SUMIFS('Cutters Consumption Updates'!$F:$F,'Cutters Consumption Updates'!$D:$D,K$1,'Cutters Consumption Updates'!$B:$B,$B210)-SUMIFS('Cutters Consumption Updates'!$E:$E,'Cutters Consumption Updates'!$D:$D,K$1,'Cutters Consumption Updates'!$B:$B,$B210)+ SUMIF('Cutters Consumption Updates'!$AS:$AS,$B210,'Cutters Consumption Updates'!AW:AW)</f>
        <v>0</v>
      </c>
      <c r="L210" s="116">
        <f>SUMIFS('Cutters Consumption Updates'!$F:$F,'Cutters Consumption Updates'!$D:$D,L$1,'Cutters Consumption Updates'!$B:$B,$B210)-SUMIFS('Cutters Consumption Updates'!$E:$E,'Cutters Consumption Updates'!$D:$D,$L$1,'Cutters Consumption Updates'!$B:$B,$B210)+SUMIFS('Cutters Consumption Updates'!$F:$F,'Cutters Consumption Updates'!$D:$D,"Retrofit",'Cutters Consumption Updates'!$B:$B,$B210)-SUMIFS('Cutters Consumption Updates'!$E:$E,'Cutters Consumption Updates'!$D:$D,"Retrofit",'Cutters Consumption Updates'!$B:$B,$B210)+ SUMIF('Cutters Consumption Updates'!$AS:$AS,$B210,'Cutters Consumption Updates'!AX:AX)</f>
        <v>0</v>
      </c>
      <c r="M210" s="810">
        <f t="shared" si="21"/>
        <v>0</v>
      </c>
      <c r="N210" s="810">
        <f ca="1">SUMIFS('Cutters Consumption Updates'!E:E,
        'Cutters Consumption Updates'!B:B, B210,
        'Cutters Consumption Updates'!A:A, "&gt;" &amp; TODAY()-182)</f>
        <v>0</v>
      </c>
      <c r="O210" s="810">
        <f ca="1">SUMIFS('Cutters Consumption Updates'!E:E,
        'Cutters Consumption Updates'!B:B, B210,
        'Cutters Consumption Updates'!A:A, "&gt;" &amp; TODAY()-91)</f>
        <v>0</v>
      </c>
      <c r="P210" s="810">
        <f t="shared" ca="1" si="22"/>
        <v>0</v>
      </c>
      <c r="Q210" s="703">
        <f t="shared" ca="1" si="23"/>
        <v>0</v>
      </c>
      <c r="R210" s="703" t="s">
        <v>112</v>
      </c>
      <c r="S210" s="24">
        <f>IFERROR(INDEX(Table5[],MATCH($B210,Table5[Component],0),2),0)</f>
        <v>0</v>
      </c>
      <c r="T210" s="813">
        <f>SUMIFS(Table7[Balance],Table7[Cutter Mat'#],$B210)</f>
        <v>0</v>
      </c>
      <c r="U210" s="24">
        <f t="shared" si="24"/>
        <v>0</v>
      </c>
      <c r="V210" s="119"/>
      <c r="W210" s="2"/>
      <c r="Y210" s="4">
        <f>IFERROR(INDEX(Table5[],MATCH($B210,Table5[Component],0),2),0)</f>
        <v>0</v>
      </c>
      <c r="Z210" s="4">
        <f>IFERROR(INDEX(Table5[],MATCH($B210,Table5[Component],0),1),0)</f>
        <v>1238831</v>
      </c>
      <c r="AA210" s="4" t="str">
        <f>IF(Y210&lt;&gt;0,B210,"")</f>
        <v/>
      </c>
      <c r="AB210" s="4" t="str">
        <f t="shared" si="25"/>
        <v/>
      </c>
      <c r="AD210" s="4">
        <f t="shared" si="26"/>
        <v>0</v>
      </c>
      <c r="AI210" s="248" t="str">
        <f>IFERROR(INDEX($B$1:$AK$243,MATCH(W210,$B$1:$B$243,0),13),"")</f>
        <v/>
      </c>
      <c r="AJ210" s="248" t="str">
        <f>IFERROR(INDEX($B$1:$AK$243,MATCH(W210,$B$1:$B$243,0),15),"")</f>
        <v/>
      </c>
      <c r="AK210">
        <f>SUMIF($W$2:$W$243,B210,$S$2:$S$243)</f>
        <v>0</v>
      </c>
      <c r="AN210" s="4"/>
      <c r="AO210" s="4"/>
      <c r="AP210">
        <f t="shared" si="27"/>
        <v>0</v>
      </c>
      <c r="AQ210" s="4"/>
      <c r="AR210" s="4">
        <v>1186963</v>
      </c>
      <c r="AS210">
        <f>SUMIF($B:$B,AR210,$AP:$AP)</f>
        <v>0</v>
      </c>
    </row>
    <row r="211" spans="1:45" ht="15.65" customHeight="1" x14ac:dyDescent="0.35">
      <c r="A211" s="3">
        <v>213</v>
      </c>
      <c r="B211" s="258">
        <v>1261320</v>
      </c>
      <c r="C211" s="2" t="s">
        <v>3582</v>
      </c>
      <c r="D211" s="2" t="s">
        <v>145</v>
      </c>
      <c r="E211" s="2">
        <v>1313</v>
      </c>
      <c r="F211" s="2" t="s">
        <v>170</v>
      </c>
      <c r="G211" s="2" t="s">
        <v>4336</v>
      </c>
      <c r="H211" s="10">
        <f>SUMIFS('Cutters Consumption Updates'!$F:$F,'Cutters Consumption Updates'!$D:$D,H$1,'Cutters Consumption Updates'!$B:$B,$B211)-SUMIFS('Cutters Consumption Updates'!$E:$E,'Cutters Consumption Updates'!$D:$D,H$1,'Cutters Consumption Updates'!$B:$B,$B211)+ SUMIF('Cutters Consumption Updates'!$AS:$AS,$B211,'Cutters Consumption Updates'!AT:AT)</f>
        <v>0</v>
      </c>
      <c r="I211" s="10">
        <f>SUMIFS('Cutters Consumption Updates'!$F:$F,'Cutters Consumption Updates'!$D:$D,I$1,'Cutters Consumption Updates'!$B:$B,$B211)-SUMIFS('Cutters Consumption Updates'!$E:$E,'Cutters Consumption Updates'!$D:$D,I$1,'Cutters Consumption Updates'!$B:$B,$B211)+ SUMIF('Cutters Consumption Updates'!$AS:$AS,$B211,'Cutters Consumption Updates'!AU:AU)</f>
        <v>0</v>
      </c>
      <c r="J211" s="116">
        <f>SUMIFS('Cutters Consumption Updates'!$F:$F,'Cutters Consumption Updates'!$D:$D,J$1,'Cutters Consumption Updates'!$B:$B,$B211)-SUMIFS('Cutters Consumption Updates'!$E:$E,'Cutters Consumption Updates'!$D:$D,J$1,'Cutters Consumption Updates'!$B:$B,$B211)+ SUMIF('Cutters Consumption Updates'!$AS:$AS,$B211,'Cutters Consumption Updates'!AV:AV)</f>
        <v>0</v>
      </c>
      <c r="K211" s="738">
        <f>SUMIFS('Cutters Consumption Updates'!$F:$F,'Cutters Consumption Updates'!$D:$D,K$1,'Cutters Consumption Updates'!$B:$B,$B211)-SUMIFS('Cutters Consumption Updates'!$E:$E,'Cutters Consumption Updates'!$D:$D,K$1,'Cutters Consumption Updates'!$B:$B,$B211)+ SUMIF('Cutters Consumption Updates'!$AS:$AS,$B211,'Cutters Consumption Updates'!AW:AW)</f>
        <v>0</v>
      </c>
      <c r="L211" s="116">
        <f>SUMIFS('Cutters Consumption Updates'!$F:$F,'Cutters Consumption Updates'!$D:$D,L$1,'Cutters Consumption Updates'!$B:$B,$B211)-SUMIFS('Cutters Consumption Updates'!$E:$E,'Cutters Consumption Updates'!$D:$D,$L$1,'Cutters Consumption Updates'!$B:$B,$B211)+SUMIFS('Cutters Consumption Updates'!$F:$F,'Cutters Consumption Updates'!$D:$D,"Retrofit",'Cutters Consumption Updates'!$B:$B,$B211)-SUMIFS('Cutters Consumption Updates'!$E:$E,'Cutters Consumption Updates'!$D:$D,"Retrofit",'Cutters Consumption Updates'!$B:$B,$B211)+ SUMIF('Cutters Consumption Updates'!$AS:$AS,$B211,'Cutters Consumption Updates'!AX:AX)</f>
        <v>0</v>
      </c>
      <c r="M211" s="810">
        <f t="shared" si="21"/>
        <v>0</v>
      </c>
      <c r="N211" s="810">
        <f ca="1">SUMIFS('Cutters Consumption Updates'!E:E,
        'Cutters Consumption Updates'!B:B, B211,
        'Cutters Consumption Updates'!A:A, "&gt;" &amp; TODAY()-182)</f>
        <v>0</v>
      </c>
      <c r="O211" s="810">
        <f ca="1">SUMIFS('Cutters Consumption Updates'!E:E,
        'Cutters Consumption Updates'!B:B, B211,
        'Cutters Consumption Updates'!A:A, "&gt;" &amp; TODAY()-91)</f>
        <v>0</v>
      </c>
      <c r="P211" s="810">
        <f t="shared" ca="1" si="22"/>
        <v>0</v>
      </c>
      <c r="Q211" s="703">
        <f t="shared" ca="1" si="23"/>
        <v>0</v>
      </c>
      <c r="R211" s="703" t="s">
        <v>184</v>
      </c>
      <c r="S211" s="24">
        <f>IFERROR(INDEX(Table5[],MATCH($B211,Table5[Component],0),2),0)</f>
        <v>0</v>
      </c>
      <c r="T211" s="813">
        <f>SUMIFS(Table7[Balance],Table7[Cutter Mat'#],$B211)</f>
        <v>0</v>
      </c>
      <c r="U211" s="24">
        <f t="shared" si="24"/>
        <v>0</v>
      </c>
      <c r="V211" s="119"/>
      <c r="W211" s="2"/>
      <c r="Y211" s="4">
        <f>IFERROR(INDEX(Table5[],MATCH($B211,Table5[Component],0),2),0)</f>
        <v>0</v>
      </c>
      <c r="Z211" s="4">
        <f>IFERROR(INDEX(Table5[],MATCH($B211,Table5[Component],0),1),0)</f>
        <v>0</v>
      </c>
      <c r="AA211" s="4" t="str">
        <f>IF(Y211&lt;&gt;0,B211,"")</f>
        <v/>
      </c>
      <c r="AB211" s="4" t="str">
        <f t="shared" si="25"/>
        <v/>
      </c>
      <c r="AD211" s="4">
        <f t="shared" si="26"/>
        <v>0</v>
      </c>
      <c r="AI211" s="248" t="str">
        <f>IFERROR(INDEX($B$1:$AK$243,MATCH(W211,$B$1:$B$243,0),13),"")</f>
        <v/>
      </c>
      <c r="AJ211" s="248" t="str">
        <f>IFERROR(INDEX($B$1:$AK$243,MATCH(W211,$B$1:$B$243,0),15),"")</f>
        <v/>
      </c>
      <c r="AK211">
        <f>SUMIF($W$2:$W$243,B211,$S$2:$S$243)</f>
        <v>0</v>
      </c>
      <c r="AN211" s="4"/>
      <c r="AO211" s="4"/>
      <c r="AP211">
        <f t="shared" si="27"/>
        <v>0</v>
      </c>
      <c r="AQ211" s="4"/>
      <c r="AR211" s="4">
        <v>1187117</v>
      </c>
      <c r="AS211">
        <f>SUMIF($B:$B,AR211,$AP:$AP)</f>
        <v>0</v>
      </c>
    </row>
    <row r="212" spans="1:45" ht="15.65" customHeight="1" x14ac:dyDescent="0.35">
      <c r="A212" s="3">
        <v>214</v>
      </c>
      <c r="B212" s="258">
        <v>1175118</v>
      </c>
      <c r="C212" s="2" t="s">
        <v>3583</v>
      </c>
      <c r="D212" s="2" t="s">
        <v>178</v>
      </c>
      <c r="E212" s="2">
        <v>1613</v>
      </c>
      <c r="F212" s="2" t="s">
        <v>177</v>
      </c>
      <c r="G212" s="2" t="s">
        <v>4314</v>
      </c>
      <c r="H212" s="10">
        <f>SUMIFS('Cutters Consumption Updates'!$F:$F,'Cutters Consumption Updates'!$D:$D,H$1,'Cutters Consumption Updates'!$B:$B,$B212)-SUMIFS('Cutters Consumption Updates'!$E:$E,'Cutters Consumption Updates'!$D:$D,H$1,'Cutters Consumption Updates'!$B:$B,$B212)+ SUMIF('Cutters Consumption Updates'!$AS:$AS,$B212,'Cutters Consumption Updates'!AT:AT)</f>
        <v>0</v>
      </c>
      <c r="I212" s="10">
        <f>SUMIFS('Cutters Consumption Updates'!$F:$F,'Cutters Consumption Updates'!$D:$D,I$1,'Cutters Consumption Updates'!$B:$B,$B212)-SUMIFS('Cutters Consumption Updates'!$E:$E,'Cutters Consumption Updates'!$D:$D,I$1,'Cutters Consumption Updates'!$B:$B,$B212)+ SUMIF('Cutters Consumption Updates'!$AS:$AS,$B212,'Cutters Consumption Updates'!AU:AU)</f>
        <v>0</v>
      </c>
      <c r="J212" s="116">
        <f>SUMIFS('Cutters Consumption Updates'!$F:$F,'Cutters Consumption Updates'!$D:$D,J$1,'Cutters Consumption Updates'!$B:$B,$B212)-SUMIFS('Cutters Consumption Updates'!$E:$E,'Cutters Consumption Updates'!$D:$D,J$1,'Cutters Consumption Updates'!$B:$B,$B212)+ SUMIF('Cutters Consumption Updates'!$AS:$AS,$B212,'Cutters Consumption Updates'!AV:AV)</f>
        <v>0</v>
      </c>
      <c r="K212" s="738">
        <f>SUMIFS('Cutters Consumption Updates'!$F:$F,'Cutters Consumption Updates'!$D:$D,K$1,'Cutters Consumption Updates'!$B:$B,$B212)-SUMIFS('Cutters Consumption Updates'!$E:$E,'Cutters Consumption Updates'!$D:$D,K$1,'Cutters Consumption Updates'!$B:$B,$B212)+ SUMIF('Cutters Consumption Updates'!$AS:$AS,$B212,'Cutters Consumption Updates'!AW:AW)</f>
        <v>0</v>
      </c>
      <c r="L212" s="116">
        <f>SUMIFS('Cutters Consumption Updates'!$F:$F,'Cutters Consumption Updates'!$D:$D,L$1,'Cutters Consumption Updates'!$B:$B,$B212)-SUMIFS('Cutters Consumption Updates'!$E:$E,'Cutters Consumption Updates'!$D:$D,$L$1,'Cutters Consumption Updates'!$B:$B,$B212)+SUMIFS('Cutters Consumption Updates'!$F:$F,'Cutters Consumption Updates'!$D:$D,"Retrofit",'Cutters Consumption Updates'!$B:$B,$B212)-SUMIFS('Cutters Consumption Updates'!$E:$E,'Cutters Consumption Updates'!$D:$D,"Retrofit",'Cutters Consumption Updates'!$B:$B,$B212)+ SUMIF('Cutters Consumption Updates'!$AS:$AS,$B212,'Cutters Consumption Updates'!AX:AX)</f>
        <v>2</v>
      </c>
      <c r="M212" s="810">
        <f t="shared" si="21"/>
        <v>2</v>
      </c>
      <c r="N212" s="810">
        <f ca="1">SUMIFS('Cutters Consumption Updates'!E:E,
        'Cutters Consumption Updates'!B:B, B212,
        'Cutters Consumption Updates'!A:A, "&gt;" &amp; TODAY()-182)</f>
        <v>0</v>
      </c>
      <c r="O212" s="810">
        <f ca="1">SUMIFS('Cutters Consumption Updates'!E:E,
        'Cutters Consumption Updates'!B:B, B212,
        'Cutters Consumption Updates'!A:A, "&gt;" &amp; TODAY()-91)</f>
        <v>0</v>
      </c>
      <c r="P212" s="810">
        <f t="shared" ca="1" si="22"/>
        <v>0</v>
      </c>
      <c r="Q212" s="703">
        <f t="shared" ca="1" si="23"/>
        <v>0</v>
      </c>
      <c r="R212" s="703" t="s">
        <v>29</v>
      </c>
      <c r="S212" s="24">
        <f>IFERROR(INDEX(Table5[],MATCH($B212,Table5[Component],0),2),0)</f>
        <v>0</v>
      </c>
      <c r="T212" s="813">
        <f>SUMIFS(Table7[Balance],Table7[Cutter Mat'#],$B212)</f>
        <v>0</v>
      </c>
      <c r="U212" s="24">
        <f t="shared" si="24"/>
        <v>2</v>
      </c>
      <c r="V212" s="119"/>
      <c r="W212" s="2">
        <v>1271790</v>
      </c>
      <c r="Y212" s="4">
        <f>IFERROR(INDEX(Table5[],MATCH($B212,Table5[Component],0),2),0)</f>
        <v>0</v>
      </c>
      <c r="Z212" s="4">
        <f>IFERROR(INDEX(Table5[],MATCH($B212,Table5[Component],0),1),0)</f>
        <v>0</v>
      </c>
      <c r="AA212" s="4" t="str">
        <f>IF(Y212&lt;&gt;0,B212,"")</f>
        <v/>
      </c>
      <c r="AB212" s="4" t="str">
        <f t="shared" si="25"/>
        <v/>
      </c>
      <c r="AD212" s="4">
        <f t="shared" si="26"/>
        <v>2</v>
      </c>
      <c r="AI212" s="248">
        <f ca="1">IFERROR(INDEX($B$1:$AK$243,MATCH(W212,$B$1:$B$243,0),13),"")</f>
        <v>192</v>
      </c>
      <c r="AJ212" s="248">
        <f ca="1">IFERROR(INDEX($B$1:$AK$243,MATCH(W212,$B$1:$B$243,0),15),"")</f>
        <v>64</v>
      </c>
      <c r="AK212">
        <f>SUMIF($W$2:$W$243,B212,$S$2:$S$243)</f>
        <v>0</v>
      </c>
      <c r="AN212" s="4"/>
      <c r="AO212" s="4"/>
      <c r="AP212">
        <f t="shared" si="27"/>
        <v>0</v>
      </c>
      <c r="AQ212" s="4"/>
      <c r="AR212" s="4">
        <v>1187118</v>
      </c>
      <c r="AS212">
        <f>SUMIF($B:$B,AR212,$AP:$AP)</f>
        <v>0</v>
      </c>
    </row>
    <row r="213" spans="1:45" ht="15.65" customHeight="1" x14ac:dyDescent="0.35">
      <c r="A213" s="3">
        <v>215</v>
      </c>
      <c r="B213" s="258">
        <v>1238832</v>
      </c>
      <c r="C213" s="2" t="s">
        <v>3577</v>
      </c>
      <c r="D213" s="2" t="s">
        <v>111</v>
      </c>
      <c r="E213" s="2">
        <v>1613</v>
      </c>
      <c r="F213" s="2" t="s">
        <v>186</v>
      </c>
      <c r="G213" s="2" t="s">
        <v>4314</v>
      </c>
      <c r="H213" s="10">
        <f>SUMIFS('Cutters Consumption Updates'!$F:$F,'Cutters Consumption Updates'!$D:$D,H$1,'Cutters Consumption Updates'!$B:$B,$B213)-SUMIFS('Cutters Consumption Updates'!$E:$E,'Cutters Consumption Updates'!$D:$D,H$1,'Cutters Consumption Updates'!$B:$B,$B213)+ SUMIF('Cutters Consumption Updates'!$AS:$AS,$B213,'Cutters Consumption Updates'!AT:AT)</f>
        <v>0</v>
      </c>
      <c r="I213" s="10">
        <f>SUMIFS('Cutters Consumption Updates'!$F:$F,'Cutters Consumption Updates'!$D:$D,I$1,'Cutters Consumption Updates'!$B:$B,$B213)-SUMIFS('Cutters Consumption Updates'!$E:$E,'Cutters Consumption Updates'!$D:$D,I$1,'Cutters Consumption Updates'!$B:$B,$B213)+ SUMIF('Cutters Consumption Updates'!$AS:$AS,$B213,'Cutters Consumption Updates'!AU:AU)</f>
        <v>0</v>
      </c>
      <c r="J213" s="116">
        <f>SUMIFS('Cutters Consumption Updates'!$F:$F,'Cutters Consumption Updates'!$D:$D,J$1,'Cutters Consumption Updates'!$B:$B,$B213)-SUMIFS('Cutters Consumption Updates'!$E:$E,'Cutters Consumption Updates'!$D:$D,J$1,'Cutters Consumption Updates'!$B:$B,$B213)+ SUMIF('Cutters Consumption Updates'!$AS:$AS,$B213,'Cutters Consumption Updates'!AV:AV)</f>
        <v>0</v>
      </c>
      <c r="K213" s="738">
        <f>SUMIFS('Cutters Consumption Updates'!$F:$F,'Cutters Consumption Updates'!$D:$D,K$1,'Cutters Consumption Updates'!$B:$B,$B213)-SUMIFS('Cutters Consumption Updates'!$E:$E,'Cutters Consumption Updates'!$D:$D,K$1,'Cutters Consumption Updates'!$B:$B,$B213)+ SUMIF('Cutters Consumption Updates'!$AS:$AS,$B213,'Cutters Consumption Updates'!AW:AW)</f>
        <v>0</v>
      </c>
      <c r="L213" s="116">
        <f>SUMIFS('Cutters Consumption Updates'!$F:$F,'Cutters Consumption Updates'!$D:$D,L$1,'Cutters Consumption Updates'!$B:$B,$B213)-SUMIFS('Cutters Consumption Updates'!$E:$E,'Cutters Consumption Updates'!$D:$D,$L$1,'Cutters Consumption Updates'!$B:$B,$B213)+SUMIFS('Cutters Consumption Updates'!$F:$F,'Cutters Consumption Updates'!$D:$D,"Retrofit",'Cutters Consumption Updates'!$B:$B,$B213)-SUMIFS('Cutters Consumption Updates'!$E:$E,'Cutters Consumption Updates'!$D:$D,"Retrofit",'Cutters Consumption Updates'!$B:$B,$B213)+ SUMIF('Cutters Consumption Updates'!$AS:$AS,$B213,'Cutters Consumption Updates'!AX:AX)</f>
        <v>1</v>
      </c>
      <c r="M213" s="810">
        <f t="shared" si="21"/>
        <v>1</v>
      </c>
      <c r="N213" s="810">
        <f ca="1">SUMIFS('Cutters Consumption Updates'!E:E,
        'Cutters Consumption Updates'!B:B, B213,
        'Cutters Consumption Updates'!A:A, "&gt;" &amp; TODAY()-182)</f>
        <v>0</v>
      </c>
      <c r="O213" s="810">
        <f ca="1">SUMIFS('Cutters Consumption Updates'!E:E,
        'Cutters Consumption Updates'!B:B, B213,
        'Cutters Consumption Updates'!A:A, "&gt;" &amp; TODAY()-91)</f>
        <v>0</v>
      </c>
      <c r="P213" s="810">
        <f t="shared" ca="1" si="22"/>
        <v>0</v>
      </c>
      <c r="Q213" s="703">
        <f t="shared" ca="1" si="23"/>
        <v>0</v>
      </c>
      <c r="R213" s="703" t="s">
        <v>115</v>
      </c>
      <c r="S213" s="24">
        <f>IFERROR(INDEX(Table5[],MATCH($B213,Table5[Component],0),2),0)</f>
        <v>0</v>
      </c>
      <c r="T213" s="813">
        <f>SUMIFS(Table7[Balance],Table7[Cutter Mat'#],$B213)</f>
        <v>0</v>
      </c>
      <c r="U213" s="24">
        <f t="shared" si="24"/>
        <v>1</v>
      </c>
      <c r="V213" s="119"/>
      <c r="W213" s="2"/>
      <c r="Y213" s="4">
        <f>IFERROR(INDEX(Table5[],MATCH($B213,Table5[Component],0),2),0)</f>
        <v>0</v>
      </c>
      <c r="Z213" s="4">
        <f>IFERROR(INDEX(Table5[],MATCH($B213,Table5[Component],0),1),0)</f>
        <v>0</v>
      </c>
      <c r="AA213" s="4" t="str">
        <f>IF(Y213&lt;&gt;0,B213,"")</f>
        <v/>
      </c>
      <c r="AB213" s="4" t="str">
        <f t="shared" si="25"/>
        <v/>
      </c>
      <c r="AD213" s="4">
        <f t="shared" si="26"/>
        <v>1</v>
      </c>
      <c r="AI213" s="248" t="str">
        <f>IFERROR(INDEX($B$1:$AK$243,MATCH(W213,$B$1:$B$243,0),13),"")</f>
        <v/>
      </c>
      <c r="AJ213" s="248" t="str">
        <f>IFERROR(INDEX($B$1:$AK$243,MATCH(W213,$B$1:$B$243,0),15),"")</f>
        <v/>
      </c>
      <c r="AK213">
        <f>SUMIF($W$2:$W$243,B213,$S$2:$S$243)</f>
        <v>0</v>
      </c>
      <c r="AN213" s="4"/>
      <c r="AO213" s="4"/>
      <c r="AP213">
        <f t="shared" si="27"/>
        <v>0</v>
      </c>
      <c r="AQ213" s="4"/>
      <c r="AR213" s="4">
        <v>1192901</v>
      </c>
      <c r="AS213">
        <f>SUMIF($B:$B,AR213,$AP:$AP)</f>
        <v>0</v>
      </c>
    </row>
    <row r="214" spans="1:45" ht="15.65" customHeight="1" x14ac:dyDescent="0.35">
      <c r="A214" s="3">
        <v>216</v>
      </c>
      <c r="B214" s="258">
        <v>1261321</v>
      </c>
      <c r="C214" s="2" t="s">
        <v>3584</v>
      </c>
      <c r="D214" s="2" t="s">
        <v>145</v>
      </c>
      <c r="E214" s="2">
        <v>1613</v>
      </c>
      <c r="F214" s="2" t="s">
        <v>170</v>
      </c>
      <c r="G214" s="2" t="s">
        <v>4336</v>
      </c>
      <c r="H214" s="10">
        <f>SUMIFS('Cutters Consumption Updates'!$F:$F,'Cutters Consumption Updates'!$D:$D,H$1,'Cutters Consumption Updates'!$B:$B,$B214)-SUMIFS('Cutters Consumption Updates'!$E:$E,'Cutters Consumption Updates'!$D:$D,H$1,'Cutters Consumption Updates'!$B:$B,$B214)+ SUMIF('Cutters Consumption Updates'!$AS:$AS,$B214,'Cutters Consumption Updates'!AT:AT)</f>
        <v>0</v>
      </c>
      <c r="I214" s="10">
        <f>SUMIFS('Cutters Consumption Updates'!$F:$F,'Cutters Consumption Updates'!$D:$D,I$1,'Cutters Consumption Updates'!$B:$B,$B214)-SUMIFS('Cutters Consumption Updates'!$E:$E,'Cutters Consumption Updates'!$D:$D,I$1,'Cutters Consumption Updates'!$B:$B,$B214)+ SUMIF('Cutters Consumption Updates'!$AS:$AS,$B214,'Cutters Consumption Updates'!AU:AU)</f>
        <v>0</v>
      </c>
      <c r="J214" s="116">
        <f>SUMIFS('Cutters Consumption Updates'!$F:$F,'Cutters Consumption Updates'!$D:$D,J$1,'Cutters Consumption Updates'!$B:$B,$B214)-SUMIFS('Cutters Consumption Updates'!$E:$E,'Cutters Consumption Updates'!$D:$D,J$1,'Cutters Consumption Updates'!$B:$B,$B214)+ SUMIF('Cutters Consumption Updates'!$AS:$AS,$B214,'Cutters Consumption Updates'!AV:AV)</f>
        <v>0</v>
      </c>
      <c r="K214" s="738">
        <f>SUMIFS('Cutters Consumption Updates'!$F:$F,'Cutters Consumption Updates'!$D:$D,K$1,'Cutters Consumption Updates'!$B:$B,$B214)-SUMIFS('Cutters Consumption Updates'!$E:$E,'Cutters Consumption Updates'!$D:$D,K$1,'Cutters Consumption Updates'!$B:$B,$B214)+ SUMIF('Cutters Consumption Updates'!$AS:$AS,$B214,'Cutters Consumption Updates'!AW:AW)</f>
        <v>0</v>
      </c>
      <c r="L214" s="116">
        <f>SUMIFS('Cutters Consumption Updates'!$F:$F,'Cutters Consumption Updates'!$D:$D,L$1,'Cutters Consumption Updates'!$B:$B,$B214)-SUMIFS('Cutters Consumption Updates'!$E:$E,'Cutters Consumption Updates'!$D:$D,$L$1,'Cutters Consumption Updates'!$B:$B,$B214)+SUMIFS('Cutters Consumption Updates'!$F:$F,'Cutters Consumption Updates'!$D:$D,"Retrofit",'Cutters Consumption Updates'!$B:$B,$B214)-SUMIFS('Cutters Consumption Updates'!$E:$E,'Cutters Consumption Updates'!$D:$D,"Retrofit",'Cutters Consumption Updates'!$B:$B,$B214)+ SUMIF('Cutters Consumption Updates'!$AS:$AS,$B214,'Cutters Consumption Updates'!AX:AX)</f>
        <v>33</v>
      </c>
      <c r="M214" s="810">
        <f t="shared" si="21"/>
        <v>33</v>
      </c>
      <c r="N214" s="810">
        <f ca="1">SUMIFS('Cutters Consumption Updates'!E:E,
        'Cutters Consumption Updates'!B:B, B214,
        'Cutters Consumption Updates'!A:A, "&gt;" &amp; TODAY()-182)</f>
        <v>0</v>
      </c>
      <c r="O214" s="810">
        <f ca="1">SUMIFS('Cutters Consumption Updates'!E:E,
        'Cutters Consumption Updates'!B:B, B214,
        'Cutters Consumption Updates'!A:A, "&gt;" &amp; TODAY()-91)</f>
        <v>0</v>
      </c>
      <c r="P214" s="810">
        <f t="shared" ca="1" si="22"/>
        <v>0</v>
      </c>
      <c r="Q214" s="703">
        <f t="shared" ca="1" si="23"/>
        <v>0</v>
      </c>
      <c r="R214" s="703" t="s">
        <v>187</v>
      </c>
      <c r="S214" s="24">
        <f>IFERROR(INDEX(Table5[],MATCH($B214,Table5[Component],0),2),0)</f>
        <v>0</v>
      </c>
      <c r="T214" s="813">
        <f>SUMIFS(Table7[Balance],Table7[Cutter Mat'#],$B214)</f>
        <v>0</v>
      </c>
      <c r="U214" s="24">
        <f t="shared" si="24"/>
        <v>33</v>
      </c>
      <c r="V214" s="119"/>
      <c r="W214" s="2"/>
      <c r="Y214" s="4">
        <f>IFERROR(INDEX(Table5[],MATCH($B214,Table5[Component],0),2),0)</f>
        <v>0</v>
      </c>
      <c r="Z214" s="4">
        <f>IFERROR(INDEX(Table5[],MATCH($B214,Table5[Component],0),1),0)</f>
        <v>0</v>
      </c>
      <c r="AA214" s="4" t="str">
        <f>IF(Y214&lt;&gt;0,B214,"")</f>
        <v/>
      </c>
      <c r="AB214" s="4" t="str">
        <f t="shared" si="25"/>
        <v/>
      </c>
      <c r="AD214" s="4">
        <f t="shared" si="26"/>
        <v>33</v>
      </c>
      <c r="AI214" s="248" t="str">
        <f>IFERROR(INDEX($B$1:$AK$243,MATCH(W214,$B$1:$B$243,0),13),"")</f>
        <v/>
      </c>
      <c r="AJ214" s="248" t="str">
        <f>IFERROR(INDEX($B$1:$AK$243,MATCH(W214,$B$1:$B$243,0),15),"")</f>
        <v/>
      </c>
      <c r="AK214">
        <f>SUMIF($W$2:$W$243,B214,$S$2:$S$243)</f>
        <v>0</v>
      </c>
      <c r="AN214" s="4"/>
      <c r="AO214" s="4"/>
      <c r="AP214">
        <f t="shared" si="27"/>
        <v>0</v>
      </c>
      <c r="AQ214" s="4"/>
      <c r="AR214" s="4">
        <v>1192902</v>
      </c>
      <c r="AS214">
        <f>SUMIF($B:$B,AR214,$AP:$AP)</f>
        <v>50</v>
      </c>
    </row>
    <row r="215" spans="1:45" ht="15.65" customHeight="1" x14ac:dyDescent="0.35">
      <c r="A215" s="3">
        <v>217</v>
      </c>
      <c r="B215" s="258">
        <v>1228503</v>
      </c>
      <c r="C215" s="2" t="s">
        <v>188</v>
      </c>
      <c r="D215" s="2" t="s">
        <v>103</v>
      </c>
      <c r="E215" s="2" t="s">
        <v>103</v>
      </c>
      <c r="F215" s="2" t="s">
        <v>103</v>
      </c>
      <c r="G215" s="2" t="s">
        <v>32</v>
      </c>
      <c r="H215" s="10">
        <f>SUMIFS('Cutters Consumption Updates'!$F:$F,'Cutters Consumption Updates'!$D:$D,H$1,'Cutters Consumption Updates'!$B:$B,$B215)-SUMIFS('Cutters Consumption Updates'!$E:$E,'Cutters Consumption Updates'!$D:$D,H$1,'Cutters Consumption Updates'!$B:$B,$B215)+ SUMIF('Cutters Consumption Updates'!$AS:$AS,$B215,'Cutters Consumption Updates'!AT:AT)</f>
        <v>0</v>
      </c>
      <c r="I215" s="10">
        <f>SUMIFS('Cutters Consumption Updates'!$F:$F,'Cutters Consumption Updates'!$D:$D,I$1,'Cutters Consumption Updates'!$B:$B,$B215)-SUMIFS('Cutters Consumption Updates'!$E:$E,'Cutters Consumption Updates'!$D:$D,I$1,'Cutters Consumption Updates'!$B:$B,$B215)+ SUMIF('Cutters Consumption Updates'!$AS:$AS,$B215,'Cutters Consumption Updates'!AU:AU)</f>
        <v>0</v>
      </c>
      <c r="J215" s="116">
        <f>SUMIFS('Cutters Consumption Updates'!$F:$F,'Cutters Consumption Updates'!$D:$D,J$1,'Cutters Consumption Updates'!$B:$B,$B215)-SUMIFS('Cutters Consumption Updates'!$E:$E,'Cutters Consumption Updates'!$D:$D,J$1,'Cutters Consumption Updates'!$B:$B,$B215)+ SUMIF('Cutters Consumption Updates'!$AS:$AS,$B215,'Cutters Consumption Updates'!AV:AV)</f>
        <v>0</v>
      </c>
      <c r="K215" s="738">
        <f>SUMIFS('Cutters Consumption Updates'!$F:$F,'Cutters Consumption Updates'!$D:$D,K$1,'Cutters Consumption Updates'!$B:$B,$B215)-SUMIFS('Cutters Consumption Updates'!$E:$E,'Cutters Consumption Updates'!$D:$D,K$1,'Cutters Consumption Updates'!$B:$B,$B215)+ SUMIF('Cutters Consumption Updates'!$AS:$AS,$B215,'Cutters Consumption Updates'!AW:AW)</f>
        <v>0</v>
      </c>
      <c r="L215" s="116">
        <f>SUMIFS('Cutters Consumption Updates'!$F:$F,'Cutters Consumption Updates'!$D:$D,L$1,'Cutters Consumption Updates'!$B:$B,$B215)-SUMIFS('Cutters Consumption Updates'!$E:$E,'Cutters Consumption Updates'!$D:$D,$L$1,'Cutters Consumption Updates'!$B:$B,$B215)+SUMIFS('Cutters Consumption Updates'!$F:$F,'Cutters Consumption Updates'!$D:$D,"Retrofit",'Cutters Consumption Updates'!$B:$B,$B215)-SUMIFS('Cutters Consumption Updates'!$E:$E,'Cutters Consumption Updates'!$D:$D,"Retrofit",'Cutters Consumption Updates'!$B:$B,$B215)+ SUMIF('Cutters Consumption Updates'!$AS:$AS,$B215,'Cutters Consumption Updates'!AX:AX)</f>
        <v>327</v>
      </c>
      <c r="M215" s="810">
        <f t="shared" si="21"/>
        <v>327</v>
      </c>
      <c r="N215" s="810">
        <f ca="1">SUMIFS('Cutters Consumption Updates'!E:E,
        'Cutters Consumption Updates'!B:B, B215,
        'Cutters Consumption Updates'!A:A, "&gt;" &amp; TODAY()-182)</f>
        <v>397</v>
      </c>
      <c r="O215" s="810">
        <f ca="1">SUMIFS('Cutters Consumption Updates'!E:E,
        'Cutters Consumption Updates'!B:B, B215,
        'Cutters Consumption Updates'!A:A, "&gt;" &amp; TODAY()-91)</f>
        <v>89</v>
      </c>
      <c r="P215" s="810">
        <f t="shared" ca="1" si="22"/>
        <v>133</v>
      </c>
      <c r="Q215" s="703">
        <f t="shared" ca="1" si="23"/>
        <v>140</v>
      </c>
      <c r="R215" s="703" t="s">
        <v>184</v>
      </c>
      <c r="S215" s="24">
        <f>IFERROR(INDEX(Table5[],MATCH($B215,Table5[Component],0),2),0)</f>
        <v>258</v>
      </c>
      <c r="T215" s="813">
        <f>SUMIFS(Table7[Balance],Table7[Cutter Mat'#],$B215)</f>
        <v>200</v>
      </c>
      <c r="U215" s="24">
        <f t="shared" si="24"/>
        <v>269</v>
      </c>
      <c r="V215" s="119"/>
      <c r="W215" s="2"/>
      <c r="Y215" s="4">
        <f>IFERROR(INDEX(Table5[],MATCH($B215,Table5[Component],0),2),0)</f>
        <v>258</v>
      </c>
      <c r="Z215" s="4">
        <f>IFERROR(INDEX(Table5[],MATCH($B215,Table5[Component],0),1),0)</f>
        <v>1228503</v>
      </c>
      <c r="AA215" s="4">
        <f>IF(Y215&lt;&gt;0,B215,"")</f>
        <v>1228503</v>
      </c>
      <c r="AB215" s="4" t="str">
        <f t="shared" si="25"/>
        <v/>
      </c>
      <c r="AD215" s="4">
        <f t="shared" si="26"/>
        <v>327</v>
      </c>
      <c r="AI215" s="248" t="str">
        <f>IFERROR(INDEX($B$1:$AK$243,MATCH(W215,$B$1:$B$243,0),13),"")</f>
        <v/>
      </c>
      <c r="AJ215" s="248" t="str">
        <f>IFERROR(INDEX($B$1:$AK$243,MATCH(W215,$B$1:$B$243,0),15),"")</f>
        <v/>
      </c>
      <c r="AK215">
        <f>SUMIF($W$2:$W$243,B215,$S$2:$S$243)</f>
        <v>0</v>
      </c>
      <c r="AN215" s="4"/>
      <c r="AO215" s="4"/>
      <c r="AP215">
        <f t="shared" si="27"/>
        <v>200</v>
      </c>
      <c r="AQ215" s="4"/>
      <c r="AR215" s="4">
        <v>1199247</v>
      </c>
      <c r="AS215">
        <f>SUMIF($B:$B,AR215,$AP:$AP)</f>
        <v>0</v>
      </c>
    </row>
    <row r="216" spans="1:45" ht="15.65" customHeight="1" x14ac:dyDescent="0.35">
      <c r="A216" s="3">
        <v>218</v>
      </c>
      <c r="B216" s="258">
        <v>1220554</v>
      </c>
      <c r="C216" s="2" t="s">
        <v>190</v>
      </c>
      <c r="D216" s="2" t="s">
        <v>103</v>
      </c>
      <c r="E216" s="2" t="s">
        <v>103</v>
      </c>
      <c r="F216" s="2" t="s">
        <v>103</v>
      </c>
      <c r="G216" s="2" t="s">
        <v>32</v>
      </c>
      <c r="H216" s="10">
        <f>SUMIFS('Cutters Consumption Updates'!$F:$F,'Cutters Consumption Updates'!$D:$D,H$1,'Cutters Consumption Updates'!$B:$B,$B216)-SUMIFS('Cutters Consumption Updates'!$E:$E,'Cutters Consumption Updates'!$D:$D,H$1,'Cutters Consumption Updates'!$B:$B,$B216)+ SUMIF('Cutters Consumption Updates'!$AS:$AS,$B216,'Cutters Consumption Updates'!AT:AT)</f>
        <v>0</v>
      </c>
      <c r="I216" s="10">
        <f>SUMIFS('Cutters Consumption Updates'!$F:$F,'Cutters Consumption Updates'!$D:$D,I$1,'Cutters Consumption Updates'!$B:$B,$B216)-SUMIFS('Cutters Consumption Updates'!$E:$E,'Cutters Consumption Updates'!$D:$D,I$1,'Cutters Consumption Updates'!$B:$B,$B216)+ SUMIF('Cutters Consumption Updates'!$AS:$AS,$B216,'Cutters Consumption Updates'!AU:AU)</f>
        <v>0</v>
      </c>
      <c r="J216" s="116">
        <f>SUMIFS('Cutters Consumption Updates'!$F:$F,'Cutters Consumption Updates'!$D:$D,J$1,'Cutters Consumption Updates'!$B:$B,$B216)-SUMIFS('Cutters Consumption Updates'!$E:$E,'Cutters Consumption Updates'!$D:$D,J$1,'Cutters Consumption Updates'!$B:$B,$B216)+ SUMIF('Cutters Consumption Updates'!$AS:$AS,$B216,'Cutters Consumption Updates'!AV:AV)</f>
        <v>0</v>
      </c>
      <c r="K216" s="738">
        <f>SUMIFS('Cutters Consumption Updates'!$F:$F,'Cutters Consumption Updates'!$D:$D,K$1,'Cutters Consumption Updates'!$B:$B,$B216)-SUMIFS('Cutters Consumption Updates'!$E:$E,'Cutters Consumption Updates'!$D:$D,K$1,'Cutters Consumption Updates'!$B:$B,$B216)+ SUMIF('Cutters Consumption Updates'!$AS:$AS,$B216,'Cutters Consumption Updates'!AW:AW)</f>
        <v>0</v>
      </c>
      <c r="L216" s="116">
        <f>SUMIFS('Cutters Consumption Updates'!$F:$F,'Cutters Consumption Updates'!$D:$D,L$1,'Cutters Consumption Updates'!$B:$B,$B216)-SUMIFS('Cutters Consumption Updates'!$E:$E,'Cutters Consumption Updates'!$D:$D,$L$1,'Cutters Consumption Updates'!$B:$B,$B216)+SUMIFS('Cutters Consumption Updates'!$F:$F,'Cutters Consumption Updates'!$D:$D,"Retrofit",'Cutters Consumption Updates'!$B:$B,$B216)-SUMIFS('Cutters Consumption Updates'!$E:$E,'Cutters Consumption Updates'!$D:$D,"Retrofit",'Cutters Consumption Updates'!$B:$B,$B216)+ SUMIF('Cutters Consumption Updates'!$AS:$AS,$B216,'Cutters Consumption Updates'!AX:AX)</f>
        <v>331</v>
      </c>
      <c r="M216" s="810">
        <f t="shared" si="21"/>
        <v>331</v>
      </c>
      <c r="N216" s="810">
        <f ca="1">SUMIFS('Cutters Consumption Updates'!E:E,
        'Cutters Consumption Updates'!B:B, B216,
        'Cutters Consumption Updates'!A:A, "&gt;" &amp; TODAY()-182)</f>
        <v>392</v>
      </c>
      <c r="O216" s="810">
        <f ca="1">SUMIFS('Cutters Consumption Updates'!E:E,
        'Cutters Consumption Updates'!B:B, B216,
        'Cutters Consumption Updates'!A:A, "&gt;" &amp; TODAY()-91)</f>
        <v>88</v>
      </c>
      <c r="P216" s="810">
        <f t="shared" ca="1" si="22"/>
        <v>131</v>
      </c>
      <c r="Q216" s="703">
        <f t="shared" ca="1" si="23"/>
        <v>140</v>
      </c>
      <c r="R216" s="703" t="s">
        <v>184</v>
      </c>
      <c r="S216" s="24">
        <f>IFERROR(INDEX(Table5[],MATCH($B216,Table5[Component],0),2),0)</f>
        <v>258</v>
      </c>
      <c r="T216" s="813">
        <f>SUMIFS(Table7[Balance],Table7[Cutter Mat'#],$B216)</f>
        <v>200</v>
      </c>
      <c r="U216" s="24">
        <f t="shared" si="24"/>
        <v>273</v>
      </c>
      <c r="V216" s="119"/>
      <c r="W216" s="2"/>
      <c r="Y216" s="4">
        <f>IFERROR(INDEX(Table5[],MATCH($B216,Table5[Component],0),2),0)</f>
        <v>258</v>
      </c>
      <c r="Z216" s="4">
        <f>IFERROR(INDEX(Table5[],MATCH($B216,Table5[Component],0),1),0)</f>
        <v>1220554</v>
      </c>
      <c r="AA216" s="4">
        <f>IF(Y216&lt;&gt;0,B216,"")</f>
        <v>1220554</v>
      </c>
      <c r="AB216" s="4" t="str">
        <f t="shared" si="25"/>
        <v/>
      </c>
      <c r="AD216" s="4">
        <f t="shared" si="26"/>
        <v>331</v>
      </c>
      <c r="AI216" s="248" t="str">
        <f>IFERROR(INDEX($B$1:$AK$243,MATCH(W216,$B$1:$B$243,0),13),"")</f>
        <v/>
      </c>
      <c r="AJ216" s="248" t="str">
        <f>IFERROR(INDEX($B$1:$AK$243,MATCH(W216,$B$1:$B$243,0),15),"")</f>
        <v/>
      </c>
      <c r="AK216">
        <f>SUMIF($W$2:$W$243,B216,$S$2:$S$243)</f>
        <v>0</v>
      </c>
      <c r="AN216" s="4"/>
      <c r="AO216" s="4"/>
      <c r="AP216">
        <f t="shared" si="27"/>
        <v>200</v>
      </c>
      <c r="AQ216" s="4"/>
      <c r="AR216" s="4">
        <v>1199261</v>
      </c>
      <c r="AS216">
        <f>SUMIF($B:$B,AR216,$AP:$AP)</f>
        <v>50</v>
      </c>
    </row>
    <row r="217" spans="1:45" ht="15.65" customHeight="1" x14ac:dyDescent="0.35">
      <c r="A217" s="3">
        <v>219</v>
      </c>
      <c r="B217" s="258">
        <v>1234189</v>
      </c>
      <c r="C217" s="2" t="s">
        <v>4396</v>
      </c>
      <c r="D217" s="2" t="s">
        <v>4497</v>
      </c>
      <c r="E217" s="2">
        <v>1318</v>
      </c>
      <c r="F217" s="2" t="s">
        <v>103</v>
      </c>
      <c r="G217" s="2" t="s">
        <v>36</v>
      </c>
      <c r="H217" s="10">
        <f>SUMIFS('Cutters Consumption Updates'!$F:$F,'Cutters Consumption Updates'!$D:$D,H$1,'Cutters Consumption Updates'!$B:$B,$B217)-SUMIFS('Cutters Consumption Updates'!$E:$E,'Cutters Consumption Updates'!$D:$D,H$1,'Cutters Consumption Updates'!$B:$B,$B217)+ SUMIF('Cutters Consumption Updates'!$AS:$AS,$B217,'Cutters Consumption Updates'!AT:AT)</f>
        <v>0</v>
      </c>
      <c r="I217" s="10">
        <f>SUMIFS('Cutters Consumption Updates'!$F:$F,'Cutters Consumption Updates'!$D:$D,I$1,'Cutters Consumption Updates'!$B:$B,$B217)-SUMIFS('Cutters Consumption Updates'!$E:$E,'Cutters Consumption Updates'!$D:$D,I$1,'Cutters Consumption Updates'!$B:$B,$B217)+ SUMIF('Cutters Consumption Updates'!$AS:$AS,$B217,'Cutters Consumption Updates'!AU:AU)</f>
        <v>0</v>
      </c>
      <c r="J217" s="116">
        <f>SUMIFS('Cutters Consumption Updates'!$F:$F,'Cutters Consumption Updates'!$D:$D,J$1,'Cutters Consumption Updates'!$B:$B,$B217)-SUMIFS('Cutters Consumption Updates'!$E:$E,'Cutters Consumption Updates'!$D:$D,J$1,'Cutters Consumption Updates'!$B:$B,$B217)+ SUMIF('Cutters Consumption Updates'!$AS:$AS,$B217,'Cutters Consumption Updates'!AV:AV)</f>
        <v>0</v>
      </c>
      <c r="K217" s="738">
        <f>SUMIFS('Cutters Consumption Updates'!$F:$F,'Cutters Consumption Updates'!$D:$D,K$1,'Cutters Consumption Updates'!$B:$B,$B217)-SUMIFS('Cutters Consumption Updates'!$E:$E,'Cutters Consumption Updates'!$D:$D,K$1,'Cutters Consumption Updates'!$B:$B,$B217)+ SUMIF('Cutters Consumption Updates'!$AS:$AS,$B217,'Cutters Consumption Updates'!AW:AW)</f>
        <v>0</v>
      </c>
      <c r="L217" s="116">
        <f>SUMIFS('Cutters Consumption Updates'!$F:$F,'Cutters Consumption Updates'!$D:$D,L$1,'Cutters Consumption Updates'!$B:$B,$B217)-SUMIFS('Cutters Consumption Updates'!$E:$E,'Cutters Consumption Updates'!$D:$D,$L$1,'Cutters Consumption Updates'!$B:$B,$B217)+SUMIFS('Cutters Consumption Updates'!$F:$F,'Cutters Consumption Updates'!$D:$D,"Retrofit",'Cutters Consumption Updates'!$B:$B,$B217)-SUMIFS('Cutters Consumption Updates'!$E:$E,'Cutters Consumption Updates'!$D:$D,"Retrofit",'Cutters Consumption Updates'!$B:$B,$B217)+ SUMIF('Cutters Consumption Updates'!$AS:$AS,$B217,'Cutters Consumption Updates'!AX:AX)</f>
        <v>19</v>
      </c>
      <c r="M217" s="810">
        <f t="shared" si="21"/>
        <v>19</v>
      </c>
      <c r="N217" s="810">
        <f ca="1">SUMIFS('Cutters Consumption Updates'!E:E,
        'Cutters Consumption Updates'!B:B, B217,
        'Cutters Consumption Updates'!A:A, "&gt;" &amp; TODAY()-182)</f>
        <v>0</v>
      </c>
      <c r="O217" s="810">
        <f ca="1">SUMIFS('Cutters Consumption Updates'!E:E,
        'Cutters Consumption Updates'!B:B, B217,
        'Cutters Consumption Updates'!A:A, "&gt;" &amp; TODAY()-91)</f>
        <v>0</v>
      </c>
      <c r="P217" s="810">
        <f t="shared" ca="1" si="22"/>
        <v>0</v>
      </c>
      <c r="Q217" s="703">
        <f t="shared" ca="1" si="23"/>
        <v>0</v>
      </c>
      <c r="R217" s="703" t="s">
        <v>29</v>
      </c>
      <c r="S217" s="24">
        <f>IFERROR(INDEX(Table5[],MATCH($B217,Table5[Component],0),2),0)</f>
        <v>6</v>
      </c>
      <c r="T217" s="813">
        <f>SUMIFS(Table7[Balance],Table7[Cutter Mat'#],$B217)</f>
        <v>0</v>
      </c>
      <c r="U217" s="24">
        <f t="shared" si="24"/>
        <v>13</v>
      </c>
      <c r="V217" s="119"/>
      <c r="W217" s="2"/>
      <c r="Y217" s="4">
        <f>IFERROR(INDEX(Table5[],MATCH($B217,Table5[Component],0),2),0)</f>
        <v>6</v>
      </c>
      <c r="Z217" s="4">
        <f>IFERROR(INDEX(Table5[],MATCH($B217,Table5[Component],0),1),0)</f>
        <v>1234189</v>
      </c>
      <c r="AA217" s="4">
        <f>IF(Y217&lt;&gt;0,B217,"")</f>
        <v>1234189</v>
      </c>
      <c r="AB217" s="4" t="str">
        <f t="shared" si="25"/>
        <v/>
      </c>
      <c r="AD217" s="4">
        <f t="shared" si="26"/>
        <v>19</v>
      </c>
      <c r="AI217" s="248" t="str">
        <f>IFERROR(INDEX($B$1:$AK$243,MATCH(W217,$B$1:$B$243,0),13),"")</f>
        <v/>
      </c>
      <c r="AJ217" s="248" t="str">
        <f>IFERROR(INDEX($B$1:$AK$243,MATCH(W217,$B$1:$B$243,0),15),"")</f>
        <v/>
      </c>
      <c r="AK217">
        <f>SUMIF($W$2:$W$243,B217,$S$2:$S$243)</f>
        <v>0</v>
      </c>
      <c r="AN217" s="4"/>
      <c r="AO217" s="4"/>
      <c r="AP217">
        <f t="shared" si="27"/>
        <v>0</v>
      </c>
      <c r="AQ217" s="4"/>
      <c r="AR217" s="4">
        <v>1199265</v>
      </c>
      <c r="AS217">
        <f>SUMIF($B:$B,AR217,$AP:$AP)</f>
        <v>0</v>
      </c>
    </row>
    <row r="218" spans="1:45" ht="15.65" customHeight="1" x14ac:dyDescent="0.35">
      <c r="A218" s="3">
        <v>220</v>
      </c>
      <c r="B218" s="258">
        <v>1231982</v>
      </c>
      <c r="C218" s="2" t="s">
        <v>3588</v>
      </c>
      <c r="D218" s="2" t="s">
        <v>193</v>
      </c>
      <c r="E218" s="2">
        <v>1613</v>
      </c>
      <c r="F218" s="2" t="s">
        <v>109</v>
      </c>
      <c r="G218" s="2" t="s">
        <v>4395</v>
      </c>
      <c r="H218" s="10">
        <f>SUMIFS('Cutters Consumption Updates'!$F:$F,'Cutters Consumption Updates'!$D:$D,H$1,'Cutters Consumption Updates'!$B:$B,$B218)-SUMIFS('Cutters Consumption Updates'!$E:$E,'Cutters Consumption Updates'!$D:$D,H$1,'Cutters Consumption Updates'!$B:$B,$B218)+ SUMIF('Cutters Consumption Updates'!$AS:$AS,$B218,'Cutters Consumption Updates'!AT:AT)</f>
        <v>0</v>
      </c>
      <c r="I218" s="10">
        <f>SUMIFS('Cutters Consumption Updates'!$F:$F,'Cutters Consumption Updates'!$D:$D,I$1,'Cutters Consumption Updates'!$B:$B,$B218)-SUMIFS('Cutters Consumption Updates'!$E:$E,'Cutters Consumption Updates'!$D:$D,I$1,'Cutters Consumption Updates'!$B:$B,$B218)+ SUMIF('Cutters Consumption Updates'!$AS:$AS,$B218,'Cutters Consumption Updates'!AU:AU)</f>
        <v>0</v>
      </c>
      <c r="J218" s="116">
        <f>SUMIFS('Cutters Consumption Updates'!$F:$F,'Cutters Consumption Updates'!$D:$D,J$1,'Cutters Consumption Updates'!$B:$B,$B218)-SUMIFS('Cutters Consumption Updates'!$E:$E,'Cutters Consumption Updates'!$D:$D,J$1,'Cutters Consumption Updates'!$B:$B,$B218)+ SUMIF('Cutters Consumption Updates'!$AS:$AS,$B218,'Cutters Consumption Updates'!AV:AV)</f>
        <v>0</v>
      </c>
      <c r="K218" s="738">
        <f>SUMIFS('Cutters Consumption Updates'!$F:$F,'Cutters Consumption Updates'!$D:$D,K$1,'Cutters Consumption Updates'!$B:$B,$B218)-SUMIFS('Cutters Consumption Updates'!$E:$E,'Cutters Consumption Updates'!$D:$D,K$1,'Cutters Consumption Updates'!$B:$B,$B218)+ SUMIF('Cutters Consumption Updates'!$AS:$AS,$B218,'Cutters Consumption Updates'!AW:AW)</f>
        <v>0</v>
      </c>
      <c r="L218" s="116">
        <f>SUMIFS('Cutters Consumption Updates'!$F:$F,'Cutters Consumption Updates'!$D:$D,L$1,'Cutters Consumption Updates'!$B:$B,$B218)-SUMIFS('Cutters Consumption Updates'!$E:$E,'Cutters Consumption Updates'!$D:$D,$L$1,'Cutters Consumption Updates'!$B:$B,$B218)+SUMIFS('Cutters Consumption Updates'!$F:$F,'Cutters Consumption Updates'!$D:$D,"Retrofit",'Cutters Consumption Updates'!$B:$B,$B218)-SUMIFS('Cutters Consumption Updates'!$E:$E,'Cutters Consumption Updates'!$D:$D,"Retrofit",'Cutters Consumption Updates'!$B:$B,$B218)+ SUMIF('Cutters Consumption Updates'!$AS:$AS,$B218,'Cutters Consumption Updates'!AX:AX)</f>
        <v>4</v>
      </c>
      <c r="M218" s="810">
        <f t="shared" si="21"/>
        <v>4</v>
      </c>
      <c r="N218" s="810">
        <f ca="1">SUMIFS('Cutters Consumption Updates'!E:E,
        'Cutters Consumption Updates'!B:B, B218,
        'Cutters Consumption Updates'!A:A, "&gt;" &amp; TODAY()-182)</f>
        <v>0</v>
      </c>
      <c r="O218" s="810">
        <f ca="1">SUMIFS('Cutters Consumption Updates'!E:E,
        'Cutters Consumption Updates'!B:B, B218,
        'Cutters Consumption Updates'!A:A, "&gt;" &amp; TODAY()-91)</f>
        <v>0</v>
      </c>
      <c r="P218" s="810">
        <f t="shared" ca="1" si="22"/>
        <v>0</v>
      </c>
      <c r="Q218" s="703">
        <f t="shared" ca="1" si="23"/>
        <v>0</v>
      </c>
      <c r="R218" s="703" t="s">
        <v>29</v>
      </c>
      <c r="S218" s="24">
        <f>IFERROR(INDEX(Table5[],MATCH($B218,Table5[Component],0),2),0)</f>
        <v>0</v>
      </c>
      <c r="T218" s="813">
        <f>SUMIFS(Table7[Balance],Table7[Cutter Mat'#],$B218)</f>
        <v>0</v>
      </c>
      <c r="U218" s="24">
        <f t="shared" si="24"/>
        <v>4</v>
      </c>
      <c r="V218" s="119"/>
      <c r="W218" s="2"/>
      <c r="Y218" s="4">
        <f>IFERROR(INDEX(Table5[],MATCH($B218,Table5[Component],0),2),0)</f>
        <v>0</v>
      </c>
      <c r="Z218" s="4">
        <f>IFERROR(INDEX(Table5[],MATCH($B218,Table5[Component],0),1),0)</f>
        <v>0</v>
      </c>
      <c r="AA218" s="4" t="str">
        <f>IF(Y218&lt;&gt;0,B218,"")</f>
        <v/>
      </c>
      <c r="AB218" s="4" t="str">
        <f t="shared" si="25"/>
        <v/>
      </c>
      <c r="AD218" s="4">
        <f t="shared" si="26"/>
        <v>4</v>
      </c>
      <c r="AI218" s="248" t="str">
        <f>IFERROR(INDEX($B$1:$AK$243,MATCH(W218,$B$1:$B$243,0),13),"")</f>
        <v/>
      </c>
      <c r="AJ218" s="248" t="str">
        <f>IFERROR(INDEX($B$1:$AK$243,MATCH(W218,$B$1:$B$243,0),15),"")</f>
        <v/>
      </c>
      <c r="AK218">
        <f>SUMIF($W$2:$W$243,B218,$S$2:$S$243)</f>
        <v>0</v>
      </c>
      <c r="AN218" s="4"/>
      <c r="AO218" s="4"/>
      <c r="AP218">
        <f t="shared" si="27"/>
        <v>0</v>
      </c>
      <c r="AQ218" s="4"/>
      <c r="AR218" s="4">
        <v>1199266</v>
      </c>
      <c r="AS218">
        <f>SUMIF($B:$B,AR218,$AP:$AP)</f>
        <v>0</v>
      </c>
    </row>
    <row r="219" spans="1:45" ht="15.65" customHeight="1" x14ac:dyDescent="0.35">
      <c r="A219" s="3">
        <v>221</v>
      </c>
      <c r="B219" s="258">
        <v>1142711</v>
      </c>
      <c r="C219" s="2" t="s">
        <v>3589</v>
      </c>
      <c r="D219" s="2" t="s">
        <v>133</v>
      </c>
      <c r="E219" s="2">
        <v>1613</v>
      </c>
      <c r="F219" s="2" t="s">
        <v>109</v>
      </c>
      <c r="G219" s="2" t="s">
        <v>4275</v>
      </c>
      <c r="H219" s="10">
        <f>SUMIFS('Cutters Consumption Updates'!$F:$F,'Cutters Consumption Updates'!$D:$D,H$1,'Cutters Consumption Updates'!$B:$B,$B219)-SUMIFS('Cutters Consumption Updates'!$E:$E,'Cutters Consumption Updates'!$D:$D,H$1,'Cutters Consumption Updates'!$B:$B,$B219)+ SUMIF('Cutters Consumption Updates'!$AS:$AS,$B219,'Cutters Consumption Updates'!AT:AT)</f>
        <v>0</v>
      </c>
      <c r="I219" s="10">
        <f>SUMIFS('Cutters Consumption Updates'!$F:$F,'Cutters Consumption Updates'!$D:$D,I$1,'Cutters Consumption Updates'!$B:$B,$B219)-SUMIFS('Cutters Consumption Updates'!$E:$E,'Cutters Consumption Updates'!$D:$D,I$1,'Cutters Consumption Updates'!$B:$B,$B219)+ SUMIF('Cutters Consumption Updates'!$AS:$AS,$B219,'Cutters Consumption Updates'!AU:AU)</f>
        <v>0</v>
      </c>
      <c r="J219" s="116">
        <f>SUMIFS('Cutters Consumption Updates'!$F:$F,'Cutters Consumption Updates'!$D:$D,J$1,'Cutters Consumption Updates'!$B:$B,$B219)-SUMIFS('Cutters Consumption Updates'!$E:$E,'Cutters Consumption Updates'!$D:$D,J$1,'Cutters Consumption Updates'!$B:$B,$B219)+ SUMIF('Cutters Consumption Updates'!$AS:$AS,$B219,'Cutters Consumption Updates'!AV:AV)</f>
        <v>0</v>
      </c>
      <c r="K219" s="738">
        <f>SUMIFS('Cutters Consumption Updates'!$F:$F,'Cutters Consumption Updates'!$D:$D,K$1,'Cutters Consumption Updates'!$B:$B,$B219)-SUMIFS('Cutters Consumption Updates'!$E:$E,'Cutters Consumption Updates'!$D:$D,K$1,'Cutters Consumption Updates'!$B:$B,$B219)+ SUMIF('Cutters Consumption Updates'!$AS:$AS,$B219,'Cutters Consumption Updates'!AW:AW)</f>
        <v>0</v>
      </c>
      <c r="L219" s="116">
        <f>SUMIFS('Cutters Consumption Updates'!$F:$F,'Cutters Consumption Updates'!$D:$D,L$1,'Cutters Consumption Updates'!$B:$B,$B219)-SUMIFS('Cutters Consumption Updates'!$E:$E,'Cutters Consumption Updates'!$D:$D,$L$1,'Cutters Consumption Updates'!$B:$B,$B219)+SUMIFS('Cutters Consumption Updates'!$F:$F,'Cutters Consumption Updates'!$D:$D,"Retrofit",'Cutters Consumption Updates'!$B:$B,$B219)-SUMIFS('Cutters Consumption Updates'!$E:$E,'Cutters Consumption Updates'!$D:$D,"Retrofit",'Cutters Consumption Updates'!$B:$B,$B219)+ SUMIF('Cutters Consumption Updates'!$AS:$AS,$B219,'Cutters Consumption Updates'!AX:AX)</f>
        <v>5</v>
      </c>
      <c r="M219" s="810">
        <f t="shared" si="21"/>
        <v>5</v>
      </c>
      <c r="N219" s="810">
        <f ca="1">SUMIFS('Cutters Consumption Updates'!E:E,
        'Cutters Consumption Updates'!B:B, B219,
        'Cutters Consumption Updates'!A:A, "&gt;" &amp; TODAY()-182)</f>
        <v>0</v>
      </c>
      <c r="O219" s="810">
        <f ca="1">SUMIFS('Cutters Consumption Updates'!E:E,
        'Cutters Consumption Updates'!B:B, B219,
        'Cutters Consumption Updates'!A:A, "&gt;" &amp; TODAY()-91)</f>
        <v>0</v>
      </c>
      <c r="P219" s="810">
        <f t="shared" ca="1" si="22"/>
        <v>0</v>
      </c>
      <c r="Q219" s="703">
        <f t="shared" ca="1" si="23"/>
        <v>0</v>
      </c>
      <c r="R219" s="703" t="s">
        <v>64</v>
      </c>
      <c r="S219" s="24">
        <f>IFERROR(INDEX(Table5[],MATCH($B219,Table5[Component],0),2),0)</f>
        <v>104</v>
      </c>
      <c r="T219" s="813">
        <f>SUMIFS(Table7[Balance],Table7[Cutter Mat'#],$B219)</f>
        <v>0</v>
      </c>
      <c r="U219" s="24">
        <f t="shared" si="24"/>
        <v>-99</v>
      </c>
      <c r="V219" s="119"/>
      <c r="W219" s="2"/>
      <c r="Y219" s="4">
        <f>IFERROR(INDEX(Table5[],MATCH($B219,Table5[Component],0),2),0)</f>
        <v>104</v>
      </c>
      <c r="Z219" s="4">
        <f>IFERROR(INDEX(Table5[],MATCH($B219,Table5[Component],0),1),0)</f>
        <v>1142711</v>
      </c>
      <c r="AA219" s="4">
        <f>IF(Y219&lt;&gt;0,B219,"")</f>
        <v>1142711</v>
      </c>
      <c r="AB219" s="4" t="str">
        <f t="shared" si="25"/>
        <v/>
      </c>
      <c r="AD219" s="4">
        <f t="shared" si="26"/>
        <v>5</v>
      </c>
      <c r="AI219" s="248" t="str">
        <f>IFERROR(INDEX($B$1:$AK$243,MATCH(W219,$B$1:$B$243,0),13),"")</f>
        <v/>
      </c>
      <c r="AJ219" s="248" t="str">
        <f>IFERROR(INDEX($B$1:$AK$243,MATCH(W219,$B$1:$B$243,0),15),"")</f>
        <v/>
      </c>
      <c r="AK219">
        <f>SUMIF($W$2:$W$243,B219,$S$2:$S$243)</f>
        <v>0</v>
      </c>
      <c r="AN219" s="4"/>
      <c r="AO219" s="4"/>
      <c r="AP219">
        <f t="shared" si="27"/>
        <v>0</v>
      </c>
      <c r="AQ219" s="4"/>
      <c r="AR219" s="4">
        <v>1200972</v>
      </c>
      <c r="AS219">
        <f>SUMIF($B:$B,AR219,$AP:$AP)</f>
        <v>0</v>
      </c>
    </row>
    <row r="220" spans="1:45" ht="15.65" customHeight="1" x14ac:dyDescent="0.35">
      <c r="A220" s="24">
        <v>222</v>
      </c>
      <c r="B220" s="258">
        <v>1263281</v>
      </c>
      <c r="C220" s="2" t="s">
        <v>3590</v>
      </c>
      <c r="D220" s="2" t="s">
        <v>178</v>
      </c>
      <c r="E220" s="2">
        <v>1613</v>
      </c>
      <c r="F220" s="2" t="s">
        <v>170</v>
      </c>
      <c r="G220" s="2" t="s">
        <v>4314</v>
      </c>
      <c r="H220" s="10">
        <f>SUMIFS('Cutters Consumption Updates'!$F:$F,'Cutters Consumption Updates'!$D:$D,H$1,'Cutters Consumption Updates'!$B:$B,$B220)-SUMIFS('Cutters Consumption Updates'!$E:$E,'Cutters Consumption Updates'!$D:$D,H$1,'Cutters Consumption Updates'!$B:$B,$B220)+ SUMIF('Cutters Consumption Updates'!$AS:$AS,$B220,'Cutters Consumption Updates'!AT:AT)</f>
        <v>0</v>
      </c>
      <c r="I220" s="10">
        <f>SUMIFS('Cutters Consumption Updates'!$F:$F,'Cutters Consumption Updates'!$D:$D,I$1,'Cutters Consumption Updates'!$B:$B,$B220)-SUMIFS('Cutters Consumption Updates'!$E:$E,'Cutters Consumption Updates'!$D:$D,I$1,'Cutters Consumption Updates'!$B:$B,$B220)+ SUMIF('Cutters Consumption Updates'!$AS:$AS,$B220,'Cutters Consumption Updates'!AU:AU)</f>
        <v>0</v>
      </c>
      <c r="J220" s="116">
        <f>SUMIFS('Cutters Consumption Updates'!$F:$F,'Cutters Consumption Updates'!$D:$D,J$1,'Cutters Consumption Updates'!$B:$B,$B220)-SUMIFS('Cutters Consumption Updates'!$E:$E,'Cutters Consumption Updates'!$D:$D,J$1,'Cutters Consumption Updates'!$B:$B,$B220)+ SUMIF('Cutters Consumption Updates'!$AS:$AS,$B220,'Cutters Consumption Updates'!AV:AV)</f>
        <v>0</v>
      </c>
      <c r="K220" s="738">
        <f>SUMIFS('Cutters Consumption Updates'!$F:$F,'Cutters Consumption Updates'!$D:$D,K$1,'Cutters Consumption Updates'!$B:$B,$B220)-SUMIFS('Cutters Consumption Updates'!$E:$E,'Cutters Consumption Updates'!$D:$D,K$1,'Cutters Consumption Updates'!$B:$B,$B220)+ SUMIF('Cutters Consumption Updates'!$AS:$AS,$B220,'Cutters Consumption Updates'!AW:AW)</f>
        <v>0</v>
      </c>
      <c r="L220" s="116">
        <f>SUMIFS('Cutters Consumption Updates'!$F:$F,'Cutters Consumption Updates'!$D:$D,L$1,'Cutters Consumption Updates'!$B:$B,$B220)-SUMIFS('Cutters Consumption Updates'!$E:$E,'Cutters Consumption Updates'!$D:$D,$L$1,'Cutters Consumption Updates'!$B:$B,$B220)+SUMIFS('Cutters Consumption Updates'!$F:$F,'Cutters Consumption Updates'!$D:$D,"Retrofit",'Cutters Consumption Updates'!$B:$B,$B220)-SUMIFS('Cutters Consumption Updates'!$E:$E,'Cutters Consumption Updates'!$D:$D,"Retrofit",'Cutters Consumption Updates'!$B:$B,$B220)+ SUMIF('Cutters Consumption Updates'!$AS:$AS,$B220,'Cutters Consumption Updates'!AX:AX)</f>
        <v>20</v>
      </c>
      <c r="M220" s="810">
        <f t="shared" si="21"/>
        <v>20</v>
      </c>
      <c r="N220" s="810">
        <f ca="1">SUMIFS('Cutters Consumption Updates'!E:E,
        'Cutters Consumption Updates'!B:B, B220,
        'Cutters Consumption Updates'!A:A, "&gt;" &amp; TODAY()-182)</f>
        <v>0</v>
      </c>
      <c r="O220" s="810">
        <f ca="1">SUMIFS('Cutters Consumption Updates'!E:E,
        'Cutters Consumption Updates'!B:B, B220,
        'Cutters Consumption Updates'!A:A, "&gt;" &amp; TODAY()-91)</f>
        <v>0</v>
      </c>
      <c r="P220" s="810">
        <f t="shared" ca="1" si="22"/>
        <v>0</v>
      </c>
      <c r="Q220" s="703">
        <f t="shared" ca="1" si="23"/>
        <v>0</v>
      </c>
      <c r="R220" s="703" t="s">
        <v>29</v>
      </c>
      <c r="S220" s="24">
        <f>IFERROR(INDEX(Table5[],MATCH($B220,Table5[Component],0),2),0)</f>
        <v>0</v>
      </c>
      <c r="T220" s="813">
        <f>SUMIFS(Table7[Balance],Table7[Cutter Mat'#],$B220)</f>
        <v>0</v>
      </c>
      <c r="U220" s="24">
        <f t="shared" si="24"/>
        <v>20</v>
      </c>
      <c r="V220" s="119"/>
      <c r="W220" s="2"/>
      <c r="Y220" s="4">
        <f>IFERROR(INDEX(Table5[],MATCH($B220,Table5[Component],0),2),0)</f>
        <v>0</v>
      </c>
      <c r="Z220" s="4">
        <f>IFERROR(INDEX(Table5[],MATCH($B220,Table5[Component],0),1),0)</f>
        <v>0</v>
      </c>
      <c r="AA220" s="4" t="str">
        <f>IF(Y220&lt;&gt;0,B220,"")</f>
        <v/>
      </c>
      <c r="AB220" s="4" t="str">
        <f t="shared" si="25"/>
        <v/>
      </c>
      <c r="AD220" s="4">
        <f t="shared" si="26"/>
        <v>20</v>
      </c>
      <c r="AI220" s="248" t="str">
        <f>IFERROR(INDEX($B$1:$AK$243,MATCH(W220,$B$1:$B$243,0),13),"")</f>
        <v/>
      </c>
      <c r="AJ220" s="248" t="str">
        <f>IFERROR(INDEX($B$1:$AK$243,MATCH(W220,$B$1:$B$243,0),15),"")</f>
        <v/>
      </c>
      <c r="AK220">
        <f>SUMIF($W$2:$W$243,B220,$S$2:$S$243)</f>
        <v>0</v>
      </c>
      <c r="AN220" s="4"/>
      <c r="AO220" s="4"/>
      <c r="AP220">
        <f t="shared" si="27"/>
        <v>0</v>
      </c>
      <c r="AQ220" s="4"/>
      <c r="AR220" s="4">
        <v>1201518</v>
      </c>
      <c r="AS220">
        <f>SUMIF($B:$B,AR220,$AP:$AP)</f>
        <v>100</v>
      </c>
    </row>
    <row r="221" spans="1:45" ht="15.65" customHeight="1" x14ac:dyDescent="0.35">
      <c r="A221" s="24">
        <v>223</v>
      </c>
      <c r="B221" s="258">
        <v>1200972</v>
      </c>
      <c r="C221" s="2" t="s">
        <v>4397</v>
      </c>
      <c r="D221" s="2" t="s">
        <v>35</v>
      </c>
      <c r="E221" s="2" t="s">
        <v>266</v>
      </c>
      <c r="F221" s="2" t="s">
        <v>103</v>
      </c>
      <c r="G221" s="2" t="s">
        <v>36</v>
      </c>
      <c r="H221" s="10">
        <f>SUMIFS('Cutters Consumption Updates'!$F:$F,'Cutters Consumption Updates'!$D:$D,H$1,'Cutters Consumption Updates'!$B:$B,$B221)-SUMIFS('Cutters Consumption Updates'!$E:$E,'Cutters Consumption Updates'!$D:$D,H$1,'Cutters Consumption Updates'!$B:$B,$B221)+ SUMIF('Cutters Consumption Updates'!$AS:$AS,$B221,'Cutters Consumption Updates'!AT:AT)</f>
        <v>0</v>
      </c>
      <c r="I221" s="10">
        <f>SUMIFS('Cutters Consumption Updates'!$F:$F,'Cutters Consumption Updates'!$D:$D,I$1,'Cutters Consumption Updates'!$B:$B,$B221)-SUMIFS('Cutters Consumption Updates'!$E:$E,'Cutters Consumption Updates'!$D:$D,I$1,'Cutters Consumption Updates'!$B:$B,$B221)+ SUMIF('Cutters Consumption Updates'!$AS:$AS,$B221,'Cutters Consumption Updates'!AU:AU)</f>
        <v>0</v>
      </c>
      <c r="J221" s="116">
        <f>SUMIFS('Cutters Consumption Updates'!$F:$F,'Cutters Consumption Updates'!$D:$D,J$1,'Cutters Consumption Updates'!$B:$B,$B221)-SUMIFS('Cutters Consumption Updates'!$E:$E,'Cutters Consumption Updates'!$D:$D,J$1,'Cutters Consumption Updates'!$B:$B,$B221)+ SUMIF('Cutters Consumption Updates'!$AS:$AS,$B221,'Cutters Consumption Updates'!AV:AV)</f>
        <v>0</v>
      </c>
      <c r="K221" s="738">
        <f>SUMIFS('Cutters Consumption Updates'!$F:$F,'Cutters Consumption Updates'!$D:$D,K$1,'Cutters Consumption Updates'!$B:$B,$B221)-SUMIFS('Cutters Consumption Updates'!$E:$E,'Cutters Consumption Updates'!$D:$D,K$1,'Cutters Consumption Updates'!$B:$B,$B221)+ SUMIF('Cutters Consumption Updates'!$AS:$AS,$B221,'Cutters Consumption Updates'!AW:AW)</f>
        <v>0</v>
      </c>
      <c r="L221" s="116">
        <f>SUMIFS('Cutters Consumption Updates'!$F:$F,'Cutters Consumption Updates'!$D:$D,L$1,'Cutters Consumption Updates'!$B:$B,$B221)-SUMIFS('Cutters Consumption Updates'!$E:$E,'Cutters Consumption Updates'!$D:$D,$L$1,'Cutters Consumption Updates'!$B:$B,$B221)+SUMIFS('Cutters Consumption Updates'!$F:$F,'Cutters Consumption Updates'!$D:$D,"Retrofit",'Cutters Consumption Updates'!$B:$B,$B221)-SUMIFS('Cutters Consumption Updates'!$E:$E,'Cutters Consumption Updates'!$D:$D,"Retrofit",'Cutters Consumption Updates'!$B:$B,$B221)+ SUMIF('Cutters Consumption Updates'!$AS:$AS,$B221,'Cutters Consumption Updates'!AX:AX)</f>
        <v>34</v>
      </c>
      <c r="M221" s="810">
        <f t="shared" si="21"/>
        <v>34</v>
      </c>
      <c r="N221" s="810">
        <f ca="1">SUMIFS('Cutters Consumption Updates'!E:E,
        'Cutters Consumption Updates'!B:B, B221,
        'Cutters Consumption Updates'!A:A, "&gt;" &amp; TODAY()-182)</f>
        <v>6</v>
      </c>
      <c r="O221" s="810">
        <f ca="1">SUMIFS('Cutters Consumption Updates'!E:E,
        'Cutters Consumption Updates'!B:B, B221,
        'Cutters Consumption Updates'!A:A, "&gt;" &amp; TODAY()-91)</f>
        <v>6</v>
      </c>
      <c r="P221" s="810">
        <f t="shared" ca="1" si="22"/>
        <v>2</v>
      </c>
      <c r="Q221" s="703">
        <f t="shared" ca="1" si="23"/>
        <v>5</v>
      </c>
      <c r="R221" s="703" t="s">
        <v>29</v>
      </c>
      <c r="S221" s="24">
        <f>IFERROR(INDEX(Table5[],MATCH($B221,Table5[Component],0),2),0)</f>
        <v>10</v>
      </c>
      <c r="T221" s="813">
        <f>SUMIFS(Table7[Balance],Table7[Cutter Mat'#],$B221)</f>
        <v>0</v>
      </c>
      <c r="U221" s="24">
        <f t="shared" si="24"/>
        <v>24</v>
      </c>
      <c r="V221" s="119"/>
      <c r="W221" s="2"/>
      <c r="Y221" s="4">
        <f>IFERROR(INDEX(Table5[],MATCH($B221,Table5[Component],0),2),0)</f>
        <v>10</v>
      </c>
      <c r="Z221" s="4">
        <f>IFERROR(INDEX(Table5[],MATCH($B221,Table5[Component],0),1),0)</f>
        <v>1200972</v>
      </c>
      <c r="AA221" s="4">
        <f>IF(Y221&lt;&gt;0,B221,"")</f>
        <v>1200972</v>
      </c>
      <c r="AB221" s="4" t="str">
        <f t="shared" si="25"/>
        <v/>
      </c>
      <c r="AD221" s="4">
        <f t="shared" si="26"/>
        <v>34</v>
      </c>
      <c r="AI221" s="248" t="str">
        <f>IFERROR(INDEX($B$1:$AK$243,MATCH(W221,$B$1:$B$243,0),13),"")</f>
        <v/>
      </c>
      <c r="AJ221" s="248" t="str">
        <f>IFERROR(INDEX($B$1:$AK$243,MATCH(W221,$B$1:$B$243,0),15),"")</f>
        <v/>
      </c>
      <c r="AK221">
        <f>SUMIF($W$2:$W$243,B221,$S$2:$S$243)</f>
        <v>0</v>
      </c>
      <c r="AN221" s="4"/>
      <c r="AO221" s="4"/>
      <c r="AP221">
        <f t="shared" si="27"/>
        <v>0</v>
      </c>
      <c r="AQ221" s="4"/>
      <c r="AR221" s="4">
        <v>1208601</v>
      </c>
      <c r="AS221">
        <f>SUMIF($B:$B,AR221,$AP:$AP)</f>
        <v>0</v>
      </c>
    </row>
    <row r="222" spans="1:45" ht="15.65" customHeight="1" x14ac:dyDescent="0.35">
      <c r="A222" s="2">
        <v>225</v>
      </c>
      <c r="B222" s="258">
        <v>1146346</v>
      </c>
      <c r="C222" s="2" t="s">
        <v>3595</v>
      </c>
      <c r="D222" s="2" t="s">
        <v>111</v>
      </c>
      <c r="E222" s="2">
        <v>1313</v>
      </c>
      <c r="F222" s="2" t="s">
        <v>177</v>
      </c>
      <c r="G222" s="2" t="s">
        <v>4314</v>
      </c>
      <c r="H222" s="10">
        <f>SUMIFS('Cutters Consumption Updates'!$F:$F,'Cutters Consumption Updates'!$D:$D,H$1,'Cutters Consumption Updates'!$B:$B,$B222)-SUMIFS('Cutters Consumption Updates'!$E:$E,'Cutters Consumption Updates'!$D:$D,H$1,'Cutters Consumption Updates'!$B:$B,$B222)+ SUMIF('Cutters Consumption Updates'!$AS:$AS,$B222,'Cutters Consumption Updates'!AT:AT)</f>
        <v>0</v>
      </c>
      <c r="I222" s="10">
        <f>SUMIFS('Cutters Consumption Updates'!$F:$F,'Cutters Consumption Updates'!$D:$D,I$1,'Cutters Consumption Updates'!$B:$B,$B222)-SUMIFS('Cutters Consumption Updates'!$E:$E,'Cutters Consumption Updates'!$D:$D,I$1,'Cutters Consumption Updates'!$B:$B,$B222)+ SUMIF('Cutters Consumption Updates'!$AS:$AS,$B222,'Cutters Consumption Updates'!AU:AU)</f>
        <v>0</v>
      </c>
      <c r="J222" s="116">
        <f>SUMIFS('Cutters Consumption Updates'!$F:$F,'Cutters Consumption Updates'!$D:$D,J$1,'Cutters Consumption Updates'!$B:$B,$B222)-SUMIFS('Cutters Consumption Updates'!$E:$E,'Cutters Consumption Updates'!$D:$D,J$1,'Cutters Consumption Updates'!$B:$B,$B222)+ SUMIF('Cutters Consumption Updates'!$AS:$AS,$B222,'Cutters Consumption Updates'!AV:AV)</f>
        <v>0</v>
      </c>
      <c r="K222" s="738">
        <f>SUMIFS('Cutters Consumption Updates'!$F:$F,'Cutters Consumption Updates'!$D:$D,K$1,'Cutters Consumption Updates'!$B:$B,$B222)-SUMIFS('Cutters Consumption Updates'!$E:$E,'Cutters Consumption Updates'!$D:$D,K$1,'Cutters Consumption Updates'!$B:$B,$B222)+ SUMIF('Cutters Consumption Updates'!$AS:$AS,$B222,'Cutters Consumption Updates'!AW:AW)</f>
        <v>0</v>
      </c>
      <c r="L222" s="116">
        <f>SUMIFS('Cutters Consumption Updates'!$F:$F,'Cutters Consumption Updates'!$D:$D,L$1,'Cutters Consumption Updates'!$B:$B,$B222)-SUMIFS('Cutters Consumption Updates'!$E:$E,'Cutters Consumption Updates'!$D:$D,$L$1,'Cutters Consumption Updates'!$B:$B,$B222)+SUMIFS('Cutters Consumption Updates'!$F:$F,'Cutters Consumption Updates'!$D:$D,"Retrofit",'Cutters Consumption Updates'!$B:$B,$B222)-SUMIFS('Cutters Consumption Updates'!$E:$E,'Cutters Consumption Updates'!$D:$D,"Retrofit",'Cutters Consumption Updates'!$B:$B,$B222)+ SUMIF('Cutters Consumption Updates'!$AS:$AS,$B222,'Cutters Consumption Updates'!AX:AX)</f>
        <v>-214</v>
      </c>
      <c r="M222" s="810">
        <f t="shared" si="21"/>
        <v>-214</v>
      </c>
      <c r="N222" s="810">
        <f ca="1">SUMIFS('Cutters Consumption Updates'!E:E,
        'Cutters Consumption Updates'!B:B, B222,
        'Cutters Consumption Updates'!A:A, "&gt;" &amp; TODAY()-182)</f>
        <v>558</v>
      </c>
      <c r="O222" s="810">
        <f ca="1">SUMIFS('Cutters Consumption Updates'!E:E,
        'Cutters Consumption Updates'!B:B, B222,
        'Cutters Consumption Updates'!A:A, "&gt;" &amp; TODAY()-91)</f>
        <v>418</v>
      </c>
      <c r="P222" s="810">
        <f t="shared" ca="1" si="22"/>
        <v>186</v>
      </c>
      <c r="Q222" s="703">
        <f t="shared" ca="1" si="23"/>
        <v>195</v>
      </c>
      <c r="R222" s="703" t="s">
        <v>112</v>
      </c>
      <c r="S222" s="24">
        <f>IFERROR(INDEX(Table5[],MATCH($B222,Table5[Component],0),2),0)</f>
        <v>348</v>
      </c>
      <c r="T222" s="813">
        <f>SUMIFS(Table7[Balance],Table7[Cutter Mat'#],$B222)</f>
        <v>225</v>
      </c>
      <c r="U222" s="24">
        <f t="shared" si="24"/>
        <v>-337</v>
      </c>
      <c r="V222" s="119"/>
      <c r="W222" s="2"/>
      <c r="Y222" s="4">
        <f>IFERROR(INDEX(Table5[],MATCH($B222,Table5[Component],0),2),0)</f>
        <v>348</v>
      </c>
      <c r="Z222" s="4">
        <f>IFERROR(INDEX(Table5[],MATCH($B222,Table5[Component],0),1),0)</f>
        <v>1146346</v>
      </c>
      <c r="AA222" s="4">
        <f>IF(Y222&lt;&gt;0,B222,"")</f>
        <v>1146346</v>
      </c>
      <c r="AB222" s="4" t="str">
        <f t="shared" si="25"/>
        <v/>
      </c>
      <c r="AD222" s="4">
        <f t="shared" si="26"/>
        <v>-214</v>
      </c>
      <c r="AI222" s="248" t="str">
        <f>IFERROR(INDEX($B$1:$AK$243,MATCH(W222,$B$1:$B$243,0),13),"")</f>
        <v/>
      </c>
      <c r="AJ222" s="248" t="str">
        <f>IFERROR(INDEX($B$1:$AK$243,MATCH(W222,$B$1:$B$243,0),15),"")</f>
        <v/>
      </c>
      <c r="AK222">
        <f>SUMIF($W$2:$W$243,B222,$S$2:$S$243)</f>
        <v>0</v>
      </c>
      <c r="AN222" s="4"/>
      <c r="AO222" s="4"/>
      <c r="AP222">
        <f t="shared" si="27"/>
        <v>225</v>
      </c>
      <c r="AQ222" s="4"/>
      <c r="AR222" s="4">
        <v>1209332</v>
      </c>
      <c r="AS222">
        <f>SUMIF($B:$B,AR222,$AP:$AP)</f>
        <v>0</v>
      </c>
    </row>
    <row r="223" spans="1:45" ht="15.65" customHeight="1" x14ac:dyDescent="0.35">
      <c r="A223" s="2">
        <v>226</v>
      </c>
      <c r="B223" s="258">
        <v>1271790</v>
      </c>
      <c r="C223" s="2" t="s">
        <v>4398</v>
      </c>
      <c r="D223" s="2" t="s">
        <v>195</v>
      </c>
      <c r="E223" s="2">
        <v>1613</v>
      </c>
      <c r="F223" s="2" t="s">
        <v>177</v>
      </c>
      <c r="G223" s="2" t="s">
        <v>4399</v>
      </c>
      <c r="H223" s="10">
        <f>SUMIFS('Cutters Consumption Updates'!$F:$F,'Cutters Consumption Updates'!$D:$D,H$1,'Cutters Consumption Updates'!$B:$B,$B223)-SUMIFS('Cutters Consumption Updates'!$E:$E,'Cutters Consumption Updates'!$D:$D,H$1,'Cutters Consumption Updates'!$B:$B,$B223)+ SUMIF('Cutters Consumption Updates'!$AS:$AS,$B223,'Cutters Consumption Updates'!AT:AT)</f>
        <v>0</v>
      </c>
      <c r="I223" s="10">
        <f>SUMIFS('Cutters Consumption Updates'!$F:$F,'Cutters Consumption Updates'!$D:$D,I$1,'Cutters Consumption Updates'!$B:$B,$B223)-SUMIFS('Cutters Consumption Updates'!$E:$E,'Cutters Consumption Updates'!$D:$D,I$1,'Cutters Consumption Updates'!$B:$B,$B223)+ SUMIF('Cutters Consumption Updates'!$AS:$AS,$B223,'Cutters Consumption Updates'!AU:AU)</f>
        <v>0</v>
      </c>
      <c r="J223" s="116">
        <f>SUMIFS('Cutters Consumption Updates'!$F:$F,'Cutters Consumption Updates'!$D:$D,J$1,'Cutters Consumption Updates'!$B:$B,$B223)-SUMIFS('Cutters Consumption Updates'!$E:$E,'Cutters Consumption Updates'!$D:$D,J$1,'Cutters Consumption Updates'!$B:$B,$B223)+ SUMIF('Cutters Consumption Updates'!$AS:$AS,$B223,'Cutters Consumption Updates'!AV:AV)</f>
        <v>129</v>
      </c>
      <c r="K223" s="738">
        <f>SUMIFS('Cutters Consumption Updates'!$F:$F,'Cutters Consumption Updates'!$D:$D,K$1,'Cutters Consumption Updates'!$B:$B,$B223)-SUMIFS('Cutters Consumption Updates'!$E:$E,'Cutters Consumption Updates'!$D:$D,K$1,'Cutters Consumption Updates'!$B:$B,$B223)+ SUMIF('Cutters Consumption Updates'!$AS:$AS,$B223,'Cutters Consumption Updates'!AW:AW)</f>
        <v>0</v>
      </c>
      <c r="L223" s="116">
        <f>SUMIFS('Cutters Consumption Updates'!$F:$F,'Cutters Consumption Updates'!$D:$D,L$1,'Cutters Consumption Updates'!$B:$B,$B223)-SUMIFS('Cutters Consumption Updates'!$E:$E,'Cutters Consumption Updates'!$D:$D,$L$1,'Cutters Consumption Updates'!$B:$B,$B223)+SUMIFS('Cutters Consumption Updates'!$F:$F,'Cutters Consumption Updates'!$D:$D,"Retrofit",'Cutters Consumption Updates'!$B:$B,$B223)-SUMIFS('Cutters Consumption Updates'!$E:$E,'Cutters Consumption Updates'!$D:$D,"Retrofit",'Cutters Consumption Updates'!$B:$B,$B223)+ SUMIF('Cutters Consumption Updates'!$AS:$AS,$B223,'Cutters Consumption Updates'!AX:AX)</f>
        <v>49</v>
      </c>
      <c r="M223" s="810">
        <f t="shared" si="21"/>
        <v>49</v>
      </c>
      <c r="N223" s="810">
        <f ca="1">SUMIFS('Cutters Consumption Updates'!E:E,
        'Cutters Consumption Updates'!B:B, B223,
        'Cutters Consumption Updates'!A:A, "&gt;" &amp; TODAY()-182)</f>
        <v>192</v>
      </c>
      <c r="O223" s="810">
        <f ca="1">SUMIFS('Cutters Consumption Updates'!E:E,
        'Cutters Consumption Updates'!B:B, B223,
        'Cutters Consumption Updates'!A:A, "&gt;" &amp; TODAY()-91)</f>
        <v>16</v>
      </c>
      <c r="P223" s="810">
        <f t="shared" ca="1" si="22"/>
        <v>64</v>
      </c>
      <c r="Q223" s="703">
        <f t="shared" ca="1" si="23"/>
        <v>70</v>
      </c>
      <c r="R223" s="703" t="s">
        <v>196</v>
      </c>
      <c r="S223" s="24">
        <f>IFERROR(INDEX(Table5[],MATCH($B223,Table5[Component],0),2),0)</f>
        <v>0</v>
      </c>
      <c r="T223" s="813">
        <f>SUMIFS(Table7[Balance],Table7[Cutter Mat'#],$B223)</f>
        <v>0</v>
      </c>
      <c r="U223" s="24">
        <f t="shared" si="24"/>
        <v>49</v>
      </c>
      <c r="V223" s="119"/>
      <c r="W223" s="2">
        <v>1175118</v>
      </c>
      <c r="Y223" s="4">
        <f>IFERROR(INDEX(Table5[],MATCH($B223,Table5[Component],0),2),0)</f>
        <v>0</v>
      </c>
      <c r="Z223" s="4">
        <f>IFERROR(INDEX(Table5[],MATCH($B223,Table5[Component],0),1),0)</f>
        <v>0</v>
      </c>
      <c r="AA223" s="4" t="str">
        <f>IF(Y223&lt;&gt;0,B223,"")</f>
        <v/>
      </c>
      <c r="AB223" s="4" t="str">
        <f t="shared" si="25"/>
        <v/>
      </c>
      <c r="AD223" s="4">
        <f t="shared" si="26"/>
        <v>178</v>
      </c>
      <c r="AI223" s="248">
        <f ca="1">IFERROR(INDEX($B$1:$AK$243,MATCH(W223,$B$1:$B$243,0),13),"")</f>
        <v>0</v>
      </c>
      <c r="AJ223" s="248">
        <f ca="1">IFERROR(INDEX($B$1:$AK$243,MATCH(W223,$B$1:$B$243,0),15),"")</f>
        <v>0</v>
      </c>
      <c r="AK223">
        <f>SUMIF($W$2:$W$243,B223,$S$2:$S$243)</f>
        <v>0</v>
      </c>
      <c r="AN223" s="4"/>
      <c r="AO223" s="4"/>
      <c r="AP223">
        <f t="shared" si="27"/>
        <v>0</v>
      </c>
      <c r="AQ223" s="4"/>
      <c r="AR223" s="4">
        <v>1209333</v>
      </c>
      <c r="AS223">
        <f>SUMIF($B:$B,AR223,$AP:$AP)</f>
        <v>0</v>
      </c>
    </row>
    <row r="224" spans="1:45" ht="15.65" customHeight="1" x14ac:dyDescent="0.35">
      <c r="A224" s="2">
        <v>227</v>
      </c>
      <c r="B224" s="258">
        <v>1220688</v>
      </c>
      <c r="C224" s="2" t="s">
        <v>3597</v>
      </c>
      <c r="D224" s="2" t="s">
        <v>145</v>
      </c>
      <c r="E224" s="2">
        <v>1005</v>
      </c>
      <c r="F224" s="2" t="s">
        <v>170</v>
      </c>
      <c r="G224" s="2" t="s">
        <v>4336</v>
      </c>
      <c r="H224" s="10">
        <f>SUMIFS('Cutters Consumption Updates'!$F:$F,'Cutters Consumption Updates'!$D:$D,H$1,'Cutters Consumption Updates'!$B:$B,$B224)-SUMIFS('Cutters Consumption Updates'!$E:$E,'Cutters Consumption Updates'!$D:$D,H$1,'Cutters Consumption Updates'!$B:$B,$B224)+ SUMIF('Cutters Consumption Updates'!$AS:$AS,$B224,'Cutters Consumption Updates'!AT:AT)</f>
        <v>0</v>
      </c>
      <c r="I224" s="10">
        <f>SUMIFS('Cutters Consumption Updates'!$F:$F,'Cutters Consumption Updates'!$D:$D,I$1,'Cutters Consumption Updates'!$B:$B,$B224)-SUMIFS('Cutters Consumption Updates'!$E:$E,'Cutters Consumption Updates'!$D:$D,I$1,'Cutters Consumption Updates'!$B:$B,$B224)+ SUMIF('Cutters Consumption Updates'!$AS:$AS,$B224,'Cutters Consumption Updates'!AU:AU)</f>
        <v>0</v>
      </c>
      <c r="J224" s="116">
        <f>SUMIFS('Cutters Consumption Updates'!$F:$F,'Cutters Consumption Updates'!$D:$D,J$1,'Cutters Consumption Updates'!$B:$B,$B224)-SUMIFS('Cutters Consumption Updates'!$E:$E,'Cutters Consumption Updates'!$D:$D,J$1,'Cutters Consumption Updates'!$B:$B,$B224)+ SUMIF('Cutters Consumption Updates'!$AS:$AS,$B224,'Cutters Consumption Updates'!AV:AV)</f>
        <v>0</v>
      </c>
      <c r="K224" s="738">
        <f>SUMIFS('Cutters Consumption Updates'!$F:$F,'Cutters Consumption Updates'!$D:$D,K$1,'Cutters Consumption Updates'!$B:$B,$B224)-SUMIFS('Cutters Consumption Updates'!$E:$E,'Cutters Consumption Updates'!$D:$D,K$1,'Cutters Consumption Updates'!$B:$B,$B224)+ SUMIF('Cutters Consumption Updates'!$AS:$AS,$B224,'Cutters Consumption Updates'!AW:AW)</f>
        <v>0</v>
      </c>
      <c r="L224" s="116">
        <f>SUMIFS('Cutters Consumption Updates'!$F:$F,'Cutters Consumption Updates'!$D:$D,L$1,'Cutters Consumption Updates'!$B:$B,$B224)-SUMIFS('Cutters Consumption Updates'!$E:$E,'Cutters Consumption Updates'!$D:$D,$L$1,'Cutters Consumption Updates'!$B:$B,$B224)+SUMIFS('Cutters Consumption Updates'!$F:$F,'Cutters Consumption Updates'!$D:$D,"Retrofit",'Cutters Consumption Updates'!$B:$B,$B224)-SUMIFS('Cutters Consumption Updates'!$E:$E,'Cutters Consumption Updates'!$D:$D,"Retrofit",'Cutters Consumption Updates'!$B:$B,$B224)+ SUMIF('Cutters Consumption Updates'!$AS:$AS,$B224,'Cutters Consumption Updates'!AX:AX)</f>
        <v>477</v>
      </c>
      <c r="M224" s="810">
        <f t="shared" si="21"/>
        <v>477</v>
      </c>
      <c r="N224" s="810">
        <f ca="1">SUMIFS('Cutters Consumption Updates'!E:E,
        'Cutters Consumption Updates'!B:B, B224,
        'Cutters Consumption Updates'!A:A, "&gt;" &amp; TODAY()-182)</f>
        <v>76</v>
      </c>
      <c r="O224" s="810">
        <f ca="1">SUMIFS('Cutters Consumption Updates'!E:E,
        'Cutters Consumption Updates'!B:B, B224,
        'Cutters Consumption Updates'!A:A, "&gt;" &amp; TODAY()-91)</f>
        <v>0</v>
      </c>
      <c r="P224" s="810">
        <f t="shared" ca="1" si="22"/>
        <v>26</v>
      </c>
      <c r="Q224" s="703">
        <f t="shared" ca="1" si="23"/>
        <v>30</v>
      </c>
      <c r="R224" s="703" t="s">
        <v>29</v>
      </c>
      <c r="S224" s="24">
        <f>IFERROR(INDEX(Table5[],MATCH($B224,Table5[Component],0),2),0)</f>
        <v>494</v>
      </c>
      <c r="T224" s="813">
        <f>SUMIFS(Table7[Balance],Table7[Cutter Mat'#],$B224)</f>
        <v>0</v>
      </c>
      <c r="U224" s="24">
        <f t="shared" si="24"/>
        <v>-17</v>
      </c>
      <c r="V224" s="119"/>
      <c r="W224" s="2"/>
      <c r="Y224" s="4">
        <f>IFERROR(INDEX(Table5[],MATCH($B224,Table5[Component],0),2),0)</f>
        <v>494</v>
      </c>
      <c r="Z224" s="4">
        <f>IFERROR(INDEX(Table5[],MATCH($B224,Table5[Component],0),1),0)</f>
        <v>1220688</v>
      </c>
      <c r="AA224" s="4">
        <f>IF(Y224&lt;&gt;0,B224,"")</f>
        <v>1220688</v>
      </c>
      <c r="AB224" s="4" t="str">
        <f t="shared" si="25"/>
        <v/>
      </c>
      <c r="AD224" s="4">
        <f t="shared" si="26"/>
        <v>477</v>
      </c>
      <c r="AI224" s="248" t="str">
        <f>IFERROR(INDEX($B$1:$AK$243,MATCH(W224,$B$1:$B$243,0),13),"")</f>
        <v/>
      </c>
      <c r="AJ224" s="248" t="str">
        <f>IFERROR(INDEX($B$1:$AK$243,MATCH(W224,$B$1:$B$243,0),15),"")</f>
        <v/>
      </c>
      <c r="AK224">
        <f>SUMIF($W$2:$W$243,B224,$S$2:$S$243)</f>
        <v>0</v>
      </c>
      <c r="AN224" s="4"/>
      <c r="AO224" s="4"/>
      <c r="AP224">
        <f t="shared" si="27"/>
        <v>0</v>
      </c>
      <c r="AQ224" s="4"/>
      <c r="AR224" s="4">
        <v>1209410</v>
      </c>
      <c r="AS224">
        <f>SUMIF($B:$B,AR224,$AP:$AP)</f>
        <v>0</v>
      </c>
    </row>
    <row r="225" spans="1:45" ht="15.65" customHeight="1" x14ac:dyDescent="0.35">
      <c r="A225" s="2">
        <v>228</v>
      </c>
      <c r="B225" s="258">
        <v>1244957</v>
      </c>
      <c r="C225" s="2" t="s">
        <v>3598</v>
      </c>
      <c r="D225" s="2" t="s">
        <v>111</v>
      </c>
      <c r="E225" s="2">
        <v>1613</v>
      </c>
      <c r="F225" s="2" t="s">
        <v>197</v>
      </c>
      <c r="G225" s="2" t="s">
        <v>4314</v>
      </c>
      <c r="H225" s="10">
        <f>SUMIFS('Cutters Consumption Updates'!$F:$F,'Cutters Consumption Updates'!$D:$D,H$1,'Cutters Consumption Updates'!$B:$B,$B225)-SUMIFS('Cutters Consumption Updates'!$E:$E,'Cutters Consumption Updates'!$D:$D,H$1,'Cutters Consumption Updates'!$B:$B,$B225)+ SUMIF('Cutters Consumption Updates'!$AS:$AS,$B225,'Cutters Consumption Updates'!AT:AT)</f>
        <v>0</v>
      </c>
      <c r="I225" s="10">
        <f>SUMIFS('Cutters Consumption Updates'!$F:$F,'Cutters Consumption Updates'!$D:$D,I$1,'Cutters Consumption Updates'!$B:$B,$B225)-SUMIFS('Cutters Consumption Updates'!$E:$E,'Cutters Consumption Updates'!$D:$D,I$1,'Cutters Consumption Updates'!$B:$B,$B225)+ SUMIF('Cutters Consumption Updates'!$AS:$AS,$B225,'Cutters Consumption Updates'!AU:AU)</f>
        <v>0</v>
      </c>
      <c r="J225" s="116">
        <f>SUMIFS('Cutters Consumption Updates'!$F:$F,'Cutters Consumption Updates'!$D:$D,J$1,'Cutters Consumption Updates'!$B:$B,$B225)-SUMIFS('Cutters Consumption Updates'!$E:$E,'Cutters Consumption Updates'!$D:$D,J$1,'Cutters Consumption Updates'!$B:$B,$B225)+ SUMIF('Cutters Consumption Updates'!$AS:$AS,$B225,'Cutters Consumption Updates'!AV:AV)</f>
        <v>0</v>
      </c>
      <c r="K225" s="738">
        <f>SUMIFS('Cutters Consumption Updates'!$F:$F,'Cutters Consumption Updates'!$D:$D,K$1,'Cutters Consumption Updates'!$B:$B,$B225)-SUMIFS('Cutters Consumption Updates'!$E:$E,'Cutters Consumption Updates'!$D:$D,K$1,'Cutters Consumption Updates'!$B:$B,$B225)+ SUMIF('Cutters Consumption Updates'!$AS:$AS,$B225,'Cutters Consumption Updates'!AW:AW)</f>
        <v>0</v>
      </c>
      <c r="L225" s="116">
        <f>SUMIFS('Cutters Consumption Updates'!$F:$F,'Cutters Consumption Updates'!$D:$D,L$1,'Cutters Consumption Updates'!$B:$B,$B225)-SUMIFS('Cutters Consumption Updates'!$E:$E,'Cutters Consumption Updates'!$D:$D,$L$1,'Cutters Consumption Updates'!$B:$B,$B225)+SUMIFS('Cutters Consumption Updates'!$F:$F,'Cutters Consumption Updates'!$D:$D,"Retrofit",'Cutters Consumption Updates'!$B:$B,$B225)-SUMIFS('Cutters Consumption Updates'!$E:$E,'Cutters Consumption Updates'!$D:$D,"Retrofit",'Cutters Consumption Updates'!$B:$B,$B225)+ SUMIF('Cutters Consumption Updates'!$AS:$AS,$B225,'Cutters Consumption Updates'!AX:AX)</f>
        <v>72</v>
      </c>
      <c r="M225" s="810">
        <f t="shared" si="21"/>
        <v>72</v>
      </c>
      <c r="N225" s="810">
        <f ca="1">SUMIFS('Cutters Consumption Updates'!E:E,
        'Cutters Consumption Updates'!B:B, B225,
        'Cutters Consumption Updates'!A:A, "&gt;" &amp; TODAY()-182)</f>
        <v>0</v>
      </c>
      <c r="O225" s="810">
        <f ca="1">SUMIFS('Cutters Consumption Updates'!E:E,
        'Cutters Consumption Updates'!B:B, B225,
        'Cutters Consumption Updates'!A:A, "&gt;" &amp; TODAY()-91)</f>
        <v>0</v>
      </c>
      <c r="P225" s="810">
        <f t="shared" ca="1" si="22"/>
        <v>0</v>
      </c>
      <c r="Q225" s="703">
        <f t="shared" ca="1" si="23"/>
        <v>0</v>
      </c>
      <c r="R225" s="703" t="s">
        <v>115</v>
      </c>
      <c r="S225" s="24">
        <f>IFERROR(INDEX(Table5[],MATCH($B225,Table5[Component],0),2),0)</f>
        <v>24</v>
      </c>
      <c r="T225" s="813">
        <f>SUMIFS(Table7[Balance],Table7[Cutter Mat'#],$B225)</f>
        <v>0</v>
      </c>
      <c r="U225" s="24">
        <f t="shared" si="24"/>
        <v>48</v>
      </c>
      <c r="V225" s="119"/>
      <c r="W225" s="2"/>
      <c r="Y225" s="4">
        <f>IFERROR(INDEX(Table5[],MATCH($B225,Table5[Component],0),2),0)</f>
        <v>24</v>
      </c>
      <c r="Z225" s="4">
        <f>IFERROR(INDEX(Table5[],MATCH($B225,Table5[Component],0),1),0)</f>
        <v>1244957</v>
      </c>
      <c r="AA225" s="4">
        <f>IF(Y225&lt;&gt;0,B225,"")</f>
        <v>1244957</v>
      </c>
      <c r="AB225" s="4" t="str">
        <f t="shared" si="25"/>
        <v/>
      </c>
      <c r="AD225" s="4">
        <f t="shared" si="26"/>
        <v>72</v>
      </c>
      <c r="AI225" s="248" t="str">
        <f>IFERROR(INDEX($B$1:$AK$243,MATCH(W225,$B$1:$B$243,0),13),"")</f>
        <v/>
      </c>
      <c r="AJ225" s="248" t="str">
        <f>IFERROR(INDEX($B$1:$AK$243,MATCH(W225,$B$1:$B$243,0),15),"")</f>
        <v/>
      </c>
      <c r="AK225">
        <f>SUMIF($W$2:$W$243,B225,$S$2:$S$243)</f>
        <v>0</v>
      </c>
      <c r="AN225" s="4"/>
      <c r="AO225" s="4"/>
      <c r="AP225">
        <f t="shared" si="27"/>
        <v>0</v>
      </c>
      <c r="AQ225" s="4"/>
      <c r="AR225" s="4">
        <v>1217988</v>
      </c>
      <c r="AS225">
        <f>SUMIF($B:$B,AR225,$AP:$AP)</f>
        <v>0</v>
      </c>
    </row>
    <row r="226" spans="1:45" ht="15.65" customHeight="1" x14ac:dyDescent="0.35">
      <c r="A226" s="2">
        <v>229</v>
      </c>
      <c r="B226" s="258">
        <v>1126402</v>
      </c>
      <c r="C226" s="2" t="s">
        <v>4135</v>
      </c>
      <c r="D226" s="2" t="s">
        <v>133</v>
      </c>
      <c r="E226" s="2">
        <v>1613</v>
      </c>
      <c r="F226" s="2" t="s">
        <v>177</v>
      </c>
      <c r="G226" s="2" t="s">
        <v>4275</v>
      </c>
      <c r="H226" s="10">
        <f>SUMIFS('Cutters Consumption Updates'!$F:$F,'Cutters Consumption Updates'!$D:$D,H$1,'Cutters Consumption Updates'!$B:$B,$B226)-SUMIFS('Cutters Consumption Updates'!$E:$E,'Cutters Consumption Updates'!$D:$D,H$1,'Cutters Consumption Updates'!$B:$B,$B226)+ SUMIF('Cutters Consumption Updates'!$AS:$AS,$B226,'Cutters Consumption Updates'!AT:AT)</f>
        <v>0</v>
      </c>
      <c r="I226" s="10">
        <f>SUMIFS('Cutters Consumption Updates'!$F:$F,'Cutters Consumption Updates'!$D:$D,I$1,'Cutters Consumption Updates'!$B:$B,$B226)-SUMIFS('Cutters Consumption Updates'!$E:$E,'Cutters Consumption Updates'!$D:$D,I$1,'Cutters Consumption Updates'!$B:$B,$B226)+ SUMIF('Cutters Consumption Updates'!$AS:$AS,$B226,'Cutters Consumption Updates'!AU:AU)</f>
        <v>0</v>
      </c>
      <c r="J226" s="116">
        <f>SUMIFS('Cutters Consumption Updates'!$F:$F,'Cutters Consumption Updates'!$D:$D,J$1,'Cutters Consumption Updates'!$B:$B,$B226)-SUMIFS('Cutters Consumption Updates'!$E:$E,'Cutters Consumption Updates'!$D:$D,J$1,'Cutters Consumption Updates'!$B:$B,$B226)+ SUMIF('Cutters Consumption Updates'!$AS:$AS,$B226,'Cutters Consumption Updates'!AV:AV)</f>
        <v>0</v>
      </c>
      <c r="K226" s="738">
        <f>SUMIFS('Cutters Consumption Updates'!$F:$F,'Cutters Consumption Updates'!$D:$D,K$1,'Cutters Consumption Updates'!$B:$B,$B226)-SUMIFS('Cutters Consumption Updates'!$E:$E,'Cutters Consumption Updates'!$D:$D,K$1,'Cutters Consumption Updates'!$B:$B,$B226)+ SUMIF('Cutters Consumption Updates'!$AS:$AS,$B226,'Cutters Consumption Updates'!AW:AW)</f>
        <v>0</v>
      </c>
      <c r="L226" s="116">
        <f>SUMIFS('Cutters Consumption Updates'!$F:$F,'Cutters Consumption Updates'!$D:$D,L$1,'Cutters Consumption Updates'!$B:$B,$B226)-SUMIFS('Cutters Consumption Updates'!$E:$E,'Cutters Consumption Updates'!$D:$D,$L$1,'Cutters Consumption Updates'!$B:$B,$B226)+SUMIFS('Cutters Consumption Updates'!$F:$F,'Cutters Consumption Updates'!$D:$D,"Retrofit",'Cutters Consumption Updates'!$B:$B,$B226)-SUMIFS('Cutters Consumption Updates'!$E:$E,'Cutters Consumption Updates'!$D:$D,"Retrofit",'Cutters Consumption Updates'!$B:$B,$B226)+ SUMIF('Cutters Consumption Updates'!$AS:$AS,$B226,'Cutters Consumption Updates'!AX:AX)</f>
        <v>502</v>
      </c>
      <c r="M226" s="810">
        <f t="shared" si="21"/>
        <v>502</v>
      </c>
      <c r="N226" s="810">
        <f ca="1">SUMIFS('Cutters Consumption Updates'!E:E,
        'Cutters Consumption Updates'!B:B, B226,
        'Cutters Consumption Updates'!A:A, "&gt;" &amp; TODAY()-182)</f>
        <v>422</v>
      </c>
      <c r="O226" s="810">
        <f ca="1">SUMIFS('Cutters Consumption Updates'!E:E,
        'Cutters Consumption Updates'!B:B, B226,
        'Cutters Consumption Updates'!A:A, "&gt;" &amp; TODAY()-91)</f>
        <v>180</v>
      </c>
      <c r="P226" s="810">
        <f t="shared" ca="1" si="22"/>
        <v>141</v>
      </c>
      <c r="Q226" s="703">
        <f t="shared" ca="1" si="23"/>
        <v>150</v>
      </c>
      <c r="R226" s="703" t="s">
        <v>64</v>
      </c>
      <c r="S226" s="24">
        <f>IFERROR(INDEX(Table5[],MATCH($B226,Table5[Component],0),2),0)</f>
        <v>3503</v>
      </c>
      <c r="T226" s="813">
        <f>SUMIFS(Table7[Balance],Table7[Cutter Mat'#],$B226)</f>
        <v>0</v>
      </c>
      <c r="U226" s="24">
        <f t="shared" si="24"/>
        <v>-3001</v>
      </c>
      <c r="V226" s="119"/>
      <c r="W226" s="2"/>
      <c r="Y226" s="4">
        <f>IFERROR(INDEX(Table5[],MATCH($B226,Table5[Component],0),2),0)</f>
        <v>3503</v>
      </c>
      <c r="Z226" s="4">
        <f>IFERROR(INDEX(Table5[],MATCH($B226,Table5[Component],0),1),0)</f>
        <v>1126402</v>
      </c>
      <c r="AA226" s="4">
        <f>IF(Y226&lt;&gt;0,B226,"")</f>
        <v>1126402</v>
      </c>
      <c r="AB226" s="4" t="str">
        <f t="shared" si="25"/>
        <v/>
      </c>
      <c r="AD226" s="4">
        <f t="shared" si="26"/>
        <v>502</v>
      </c>
      <c r="AI226" s="248" t="str">
        <f>IFERROR(INDEX($B$1:$AK$243,MATCH(W226,$B$1:$B$243,0),13),"")</f>
        <v/>
      </c>
      <c r="AJ226" s="248" t="str">
        <f>IFERROR(INDEX($B$1:$AK$243,MATCH(W226,$B$1:$B$243,0),15),"")</f>
        <v/>
      </c>
      <c r="AK226">
        <f>SUMIF($W$2:$W$243,B226,$S$2:$S$243)</f>
        <v>0</v>
      </c>
      <c r="AN226" s="4"/>
      <c r="AO226" s="4"/>
      <c r="AP226">
        <f t="shared" si="27"/>
        <v>0</v>
      </c>
      <c r="AQ226" s="4"/>
      <c r="AR226" s="4">
        <v>1219561</v>
      </c>
      <c r="AS226">
        <f>SUMIF($B:$B,AR226,$AP:$AP)</f>
        <v>0</v>
      </c>
    </row>
    <row r="227" spans="1:45" ht="15.65" customHeight="1" x14ac:dyDescent="0.35">
      <c r="A227" s="2">
        <v>230</v>
      </c>
      <c r="B227" s="258">
        <v>1250971</v>
      </c>
      <c r="C227" s="2" t="s">
        <v>3601</v>
      </c>
      <c r="D227" s="2" t="s">
        <v>176</v>
      </c>
      <c r="E227" s="2">
        <v>1913</v>
      </c>
      <c r="F227" s="2" t="s">
        <v>109</v>
      </c>
      <c r="G227" s="2" t="s">
        <v>4390</v>
      </c>
      <c r="H227" s="10">
        <f>SUMIFS('Cutters Consumption Updates'!$F:$F,'Cutters Consumption Updates'!$D:$D,H$1,'Cutters Consumption Updates'!$B:$B,$B227)-SUMIFS('Cutters Consumption Updates'!$E:$E,'Cutters Consumption Updates'!$D:$D,H$1,'Cutters Consumption Updates'!$B:$B,$B227)+ SUMIF('Cutters Consumption Updates'!$AS:$AS,$B227,'Cutters Consumption Updates'!AT:AT)</f>
        <v>0</v>
      </c>
      <c r="I227" s="10">
        <f>SUMIFS('Cutters Consumption Updates'!$F:$F,'Cutters Consumption Updates'!$D:$D,I$1,'Cutters Consumption Updates'!$B:$B,$B227)-SUMIFS('Cutters Consumption Updates'!$E:$E,'Cutters Consumption Updates'!$D:$D,I$1,'Cutters Consumption Updates'!$B:$B,$B227)+ SUMIF('Cutters Consumption Updates'!$AS:$AS,$B227,'Cutters Consumption Updates'!AU:AU)</f>
        <v>0</v>
      </c>
      <c r="J227" s="116">
        <f>SUMIFS('Cutters Consumption Updates'!$F:$F,'Cutters Consumption Updates'!$D:$D,J$1,'Cutters Consumption Updates'!$B:$B,$B227)-SUMIFS('Cutters Consumption Updates'!$E:$E,'Cutters Consumption Updates'!$D:$D,J$1,'Cutters Consumption Updates'!$B:$B,$B227)+ SUMIF('Cutters Consumption Updates'!$AS:$AS,$B227,'Cutters Consumption Updates'!AV:AV)</f>
        <v>0</v>
      </c>
      <c r="K227" s="738">
        <f>SUMIFS('Cutters Consumption Updates'!$F:$F,'Cutters Consumption Updates'!$D:$D,K$1,'Cutters Consumption Updates'!$B:$B,$B227)-SUMIFS('Cutters Consumption Updates'!$E:$E,'Cutters Consumption Updates'!$D:$D,K$1,'Cutters Consumption Updates'!$B:$B,$B227)+ SUMIF('Cutters Consumption Updates'!$AS:$AS,$B227,'Cutters Consumption Updates'!AW:AW)</f>
        <v>0</v>
      </c>
      <c r="L227" s="116">
        <f>SUMIFS('Cutters Consumption Updates'!$F:$F,'Cutters Consumption Updates'!$D:$D,L$1,'Cutters Consumption Updates'!$B:$B,$B227)-SUMIFS('Cutters Consumption Updates'!$E:$E,'Cutters Consumption Updates'!$D:$D,$L$1,'Cutters Consumption Updates'!$B:$B,$B227)+SUMIFS('Cutters Consumption Updates'!$F:$F,'Cutters Consumption Updates'!$D:$D,"Retrofit",'Cutters Consumption Updates'!$B:$B,$B227)-SUMIFS('Cutters Consumption Updates'!$E:$E,'Cutters Consumption Updates'!$D:$D,"Retrofit",'Cutters Consumption Updates'!$B:$B,$B227)+ SUMIF('Cutters Consumption Updates'!$AS:$AS,$B227,'Cutters Consumption Updates'!AX:AX)</f>
        <v>129</v>
      </c>
      <c r="M227" s="810">
        <f t="shared" si="21"/>
        <v>129</v>
      </c>
      <c r="N227" s="810">
        <f ca="1">SUMIFS('Cutters Consumption Updates'!E:E,
        'Cutters Consumption Updates'!B:B, B227,
        'Cutters Consumption Updates'!A:A, "&gt;" &amp; TODAY()-182)</f>
        <v>0</v>
      </c>
      <c r="O227" s="810">
        <f ca="1">SUMIFS('Cutters Consumption Updates'!E:E,
        'Cutters Consumption Updates'!B:B, B227,
        'Cutters Consumption Updates'!A:A, "&gt;" &amp; TODAY()-91)</f>
        <v>0</v>
      </c>
      <c r="P227" s="810">
        <f t="shared" ca="1" si="22"/>
        <v>0</v>
      </c>
      <c r="Q227" s="703">
        <f t="shared" ca="1" si="23"/>
        <v>0</v>
      </c>
      <c r="R227" s="703" t="s">
        <v>29</v>
      </c>
      <c r="S227" s="24">
        <f>IFERROR(INDEX(Table5[],MATCH($B227,Table5[Component],0),2),0)</f>
        <v>0</v>
      </c>
      <c r="T227" s="813">
        <f>SUMIFS(Table7[Balance],Table7[Cutter Mat'#],$B227)</f>
        <v>0</v>
      </c>
      <c r="U227" s="24">
        <f t="shared" si="24"/>
        <v>129</v>
      </c>
      <c r="V227" s="119"/>
      <c r="W227" s="2"/>
      <c r="Y227" s="4">
        <f>IFERROR(INDEX(Table5[],MATCH($B227,Table5[Component],0),2),0)</f>
        <v>0</v>
      </c>
      <c r="Z227" s="4">
        <f>IFERROR(INDEX(Table5[],MATCH($B227,Table5[Component],0),1),0)</f>
        <v>0</v>
      </c>
      <c r="AA227" s="4" t="str">
        <f>IF(Y227&lt;&gt;0,B227,"")</f>
        <v/>
      </c>
      <c r="AB227" s="4" t="str">
        <f t="shared" si="25"/>
        <v/>
      </c>
      <c r="AD227" s="4">
        <f t="shared" si="26"/>
        <v>129</v>
      </c>
      <c r="AI227" s="248" t="str">
        <f>IFERROR(INDEX($B$1:$AK$243,MATCH(W227,$B$1:$B$243,0),13),"")</f>
        <v/>
      </c>
      <c r="AJ227" s="248" t="str">
        <f>IFERROR(INDEX($B$1:$AK$243,MATCH(W227,$B$1:$B$243,0),15),"")</f>
        <v/>
      </c>
      <c r="AK227">
        <f>SUMIF($W$2:$W$243,B227,$S$2:$S$243)</f>
        <v>0</v>
      </c>
      <c r="AN227" s="4"/>
      <c r="AO227" s="4"/>
      <c r="AP227">
        <f t="shared" si="27"/>
        <v>0</v>
      </c>
      <c r="AQ227" s="4"/>
      <c r="AR227" s="4">
        <v>1219562</v>
      </c>
      <c r="AS227">
        <f>SUMIF($B:$B,AR227,$AP:$AP)</f>
        <v>0</v>
      </c>
    </row>
    <row r="228" spans="1:45" ht="15.5" x14ac:dyDescent="0.35">
      <c r="A228" s="2">
        <v>231</v>
      </c>
      <c r="B228" s="258">
        <v>1266910</v>
      </c>
      <c r="C228" s="2" t="s">
        <v>4400</v>
      </c>
      <c r="D228" s="2" t="s">
        <v>199</v>
      </c>
      <c r="E228" s="2">
        <v>1313</v>
      </c>
      <c r="F228" s="2" t="s">
        <v>109</v>
      </c>
      <c r="G228" s="2" t="s">
        <v>4401</v>
      </c>
      <c r="H228" s="10">
        <f>SUMIFS('Cutters Consumption Updates'!$F:$F,'Cutters Consumption Updates'!$D:$D,H$1,'Cutters Consumption Updates'!$B:$B,$B228)-SUMIFS('Cutters Consumption Updates'!$E:$E,'Cutters Consumption Updates'!$D:$D,H$1,'Cutters Consumption Updates'!$B:$B,$B228)+ SUMIF('Cutters Consumption Updates'!$AS:$AS,$B228,'Cutters Consumption Updates'!AT:AT)</f>
        <v>0</v>
      </c>
      <c r="I228" s="10">
        <f>SUMIFS('Cutters Consumption Updates'!$F:$F,'Cutters Consumption Updates'!$D:$D,I$1,'Cutters Consumption Updates'!$B:$B,$B228)-SUMIFS('Cutters Consumption Updates'!$E:$E,'Cutters Consumption Updates'!$D:$D,I$1,'Cutters Consumption Updates'!$B:$B,$B228)+ SUMIF('Cutters Consumption Updates'!$AS:$AS,$B228,'Cutters Consumption Updates'!AU:AU)</f>
        <v>0</v>
      </c>
      <c r="J228" s="116">
        <f>SUMIFS('Cutters Consumption Updates'!$F:$F,'Cutters Consumption Updates'!$D:$D,J$1,'Cutters Consumption Updates'!$B:$B,$B228)-SUMIFS('Cutters Consumption Updates'!$E:$E,'Cutters Consumption Updates'!$D:$D,J$1,'Cutters Consumption Updates'!$B:$B,$B228)+ SUMIF('Cutters Consumption Updates'!$AS:$AS,$B228,'Cutters Consumption Updates'!AV:AV)</f>
        <v>0</v>
      </c>
      <c r="K228" s="738">
        <f>SUMIFS('Cutters Consumption Updates'!$F:$F,'Cutters Consumption Updates'!$D:$D,K$1,'Cutters Consumption Updates'!$B:$B,$B228)-SUMIFS('Cutters Consumption Updates'!$E:$E,'Cutters Consumption Updates'!$D:$D,K$1,'Cutters Consumption Updates'!$B:$B,$B228)+ SUMIF('Cutters Consumption Updates'!$AS:$AS,$B228,'Cutters Consumption Updates'!AW:AW)</f>
        <v>7</v>
      </c>
      <c r="L228" s="116">
        <f>SUMIFS('Cutters Consumption Updates'!$F:$F,'Cutters Consumption Updates'!$D:$D,L$1,'Cutters Consumption Updates'!$B:$B,$B228)-SUMIFS('Cutters Consumption Updates'!$E:$E,'Cutters Consumption Updates'!$D:$D,$L$1,'Cutters Consumption Updates'!$B:$B,$B228)+SUMIFS('Cutters Consumption Updates'!$F:$F,'Cutters Consumption Updates'!$D:$D,"Retrofit",'Cutters Consumption Updates'!$B:$B,$B228)-SUMIFS('Cutters Consumption Updates'!$E:$E,'Cutters Consumption Updates'!$D:$D,"Retrofit",'Cutters Consumption Updates'!$B:$B,$B228)+ SUMIF('Cutters Consumption Updates'!$AS:$AS,$B228,'Cutters Consumption Updates'!AX:AX)</f>
        <v>14</v>
      </c>
      <c r="M228" s="810">
        <f t="shared" si="21"/>
        <v>14</v>
      </c>
      <c r="N228" s="810">
        <f ca="1">SUMIFS('Cutters Consumption Updates'!E:E,
        'Cutters Consumption Updates'!B:B, B228,
        'Cutters Consumption Updates'!A:A, "&gt;" &amp; TODAY()-182)</f>
        <v>1</v>
      </c>
      <c r="O228" s="810">
        <f ca="1">SUMIFS('Cutters Consumption Updates'!E:E,
        'Cutters Consumption Updates'!B:B, B228,
        'Cutters Consumption Updates'!A:A, "&gt;" &amp; TODAY()-91)</f>
        <v>0</v>
      </c>
      <c r="P228" s="810">
        <f t="shared" ca="1" si="22"/>
        <v>1</v>
      </c>
      <c r="Q228" s="703">
        <f t="shared" ca="1" si="23"/>
        <v>0</v>
      </c>
      <c r="R228" s="703" t="s">
        <v>29</v>
      </c>
      <c r="S228" s="24">
        <f>IFERROR(INDEX(Table5[],MATCH($B228,Table5[Component],0),2),0)</f>
        <v>0</v>
      </c>
      <c r="T228" s="813">
        <f>SUMIFS(Table7[Balance],Table7[Cutter Mat'#],$B228)</f>
        <v>0</v>
      </c>
      <c r="U228" s="24">
        <f t="shared" si="24"/>
        <v>14</v>
      </c>
      <c r="V228" s="119"/>
      <c r="W228" s="2"/>
      <c r="Y228" s="4">
        <f>IFERROR(INDEX(Table5[],MATCH($B228,Table5[Component],0),2),0)</f>
        <v>0</v>
      </c>
      <c r="Z228" s="4">
        <f>IFERROR(INDEX(Table5[],MATCH($B228,Table5[Component],0),1),0)</f>
        <v>0</v>
      </c>
      <c r="AA228" s="4" t="str">
        <f>IF(Y228&lt;&gt;0,B228,"")</f>
        <v/>
      </c>
      <c r="AB228" s="4" t="str">
        <f t="shared" si="25"/>
        <v/>
      </c>
      <c r="AD228" s="4">
        <f t="shared" si="26"/>
        <v>14</v>
      </c>
      <c r="AI228" s="248" t="str">
        <f>IFERROR(INDEX($B$1:$AK$243,MATCH(W228,$B$1:$B$243,0),13),"")</f>
        <v/>
      </c>
      <c r="AJ228" s="248" t="str">
        <f>IFERROR(INDEX($B$1:$AK$243,MATCH(W228,$B$1:$B$243,0),15),"")</f>
        <v/>
      </c>
      <c r="AK228">
        <f>SUMIF($W$2:$W$243,B228,$S$2:$S$243)</f>
        <v>0</v>
      </c>
      <c r="AN228" s="4"/>
      <c r="AO228" s="4"/>
      <c r="AP228">
        <f t="shared" si="27"/>
        <v>0</v>
      </c>
      <c r="AQ228" s="4"/>
      <c r="AR228" s="4">
        <v>1220334</v>
      </c>
      <c r="AS228">
        <f>SUMIF($B:$B,AR228,$AP:$AP)</f>
        <v>0</v>
      </c>
    </row>
    <row r="229" spans="1:45" ht="15.5" x14ac:dyDescent="0.35">
      <c r="A229" s="2">
        <v>232</v>
      </c>
      <c r="B229" s="258">
        <v>1255773</v>
      </c>
      <c r="C229" s="2" t="s">
        <v>4478</v>
      </c>
      <c r="D229" s="2" t="s">
        <v>153</v>
      </c>
      <c r="E229" s="2">
        <v>1613</v>
      </c>
      <c r="F229" s="2" t="s">
        <v>170</v>
      </c>
      <c r="G229" s="2" t="s">
        <v>4336</v>
      </c>
      <c r="H229" s="10">
        <f>SUMIFS('Cutters Consumption Updates'!$F:$F,'Cutters Consumption Updates'!$D:$D,H$1,'Cutters Consumption Updates'!$B:$B,$B229)-SUMIFS('Cutters Consumption Updates'!$E:$E,'Cutters Consumption Updates'!$D:$D,H$1,'Cutters Consumption Updates'!$B:$B,$B229)+ SUMIF('Cutters Consumption Updates'!$AS:$AS,$B229,'Cutters Consumption Updates'!AT:AT)</f>
        <v>0</v>
      </c>
      <c r="I229" s="10">
        <f>SUMIFS('Cutters Consumption Updates'!$F:$F,'Cutters Consumption Updates'!$D:$D,I$1,'Cutters Consumption Updates'!$B:$B,$B229)-SUMIFS('Cutters Consumption Updates'!$E:$E,'Cutters Consumption Updates'!$D:$D,I$1,'Cutters Consumption Updates'!$B:$B,$B229)+ SUMIF('Cutters Consumption Updates'!$AS:$AS,$B229,'Cutters Consumption Updates'!AU:AU)</f>
        <v>0</v>
      </c>
      <c r="J229" s="116">
        <f>SUMIFS('Cutters Consumption Updates'!$F:$F,'Cutters Consumption Updates'!$D:$D,J$1,'Cutters Consumption Updates'!$B:$B,$B229)-SUMIFS('Cutters Consumption Updates'!$E:$E,'Cutters Consumption Updates'!$D:$D,J$1,'Cutters Consumption Updates'!$B:$B,$B229)+ SUMIF('Cutters Consumption Updates'!$AS:$AS,$B229,'Cutters Consumption Updates'!AV:AV)</f>
        <v>0</v>
      </c>
      <c r="K229" s="738">
        <f>SUMIFS('Cutters Consumption Updates'!$F:$F,'Cutters Consumption Updates'!$D:$D,K$1,'Cutters Consumption Updates'!$B:$B,$B229)-SUMIFS('Cutters Consumption Updates'!$E:$E,'Cutters Consumption Updates'!$D:$D,K$1,'Cutters Consumption Updates'!$B:$B,$B229)+ SUMIF('Cutters Consumption Updates'!$AS:$AS,$B229,'Cutters Consumption Updates'!AW:AW)</f>
        <v>0</v>
      </c>
      <c r="L229" s="116">
        <f>SUMIFS('Cutters Consumption Updates'!$F:$F,'Cutters Consumption Updates'!$D:$D,L$1,'Cutters Consumption Updates'!$B:$B,$B229)-SUMIFS('Cutters Consumption Updates'!$E:$E,'Cutters Consumption Updates'!$D:$D,$L$1,'Cutters Consumption Updates'!$B:$B,$B229)+SUMIFS('Cutters Consumption Updates'!$F:$F,'Cutters Consumption Updates'!$D:$D,"Retrofit",'Cutters Consumption Updates'!$B:$B,$B229)-SUMIFS('Cutters Consumption Updates'!$E:$E,'Cutters Consumption Updates'!$D:$D,"Retrofit",'Cutters Consumption Updates'!$B:$B,$B229)+ SUMIF('Cutters Consumption Updates'!$AS:$AS,$B229,'Cutters Consumption Updates'!AX:AX)</f>
        <v>0</v>
      </c>
      <c r="M229" s="810">
        <f t="shared" si="21"/>
        <v>0</v>
      </c>
      <c r="N229" s="810">
        <f ca="1">SUMIFS('Cutters Consumption Updates'!E:E,
        'Cutters Consumption Updates'!B:B, B229,
        'Cutters Consumption Updates'!A:A, "&gt;" &amp; TODAY()-182)</f>
        <v>6</v>
      </c>
      <c r="O229" s="810">
        <f ca="1">SUMIFS('Cutters Consumption Updates'!E:E,
        'Cutters Consumption Updates'!B:B, B229,
        'Cutters Consumption Updates'!A:A, "&gt;" &amp; TODAY()-91)</f>
        <v>0</v>
      </c>
      <c r="P229" s="810">
        <f t="shared" ca="1" si="22"/>
        <v>2</v>
      </c>
      <c r="Q229" s="703">
        <f t="shared" ca="1" si="23"/>
        <v>5</v>
      </c>
      <c r="R229" s="703" t="s">
        <v>187</v>
      </c>
      <c r="S229" s="24">
        <f>IFERROR(INDEX(Table5[],MATCH($B229,Table5[Component],0),2),0)</f>
        <v>0</v>
      </c>
      <c r="T229" s="813">
        <f>SUMIFS(Table7[Balance],Table7[Cutter Mat'#],$B229)</f>
        <v>0</v>
      </c>
      <c r="U229" s="24">
        <f t="shared" si="24"/>
        <v>0</v>
      </c>
      <c r="V229" s="119"/>
      <c r="W229" s="2"/>
      <c r="Y229" s="4">
        <f>IFERROR(INDEX(Table5[],MATCH($B229,Table5[Component],0),2),0)</f>
        <v>0</v>
      </c>
      <c r="Z229" s="4">
        <f>IFERROR(INDEX(Table5[],MATCH($B229,Table5[Component],0),1),0)</f>
        <v>0</v>
      </c>
      <c r="AA229" s="4" t="str">
        <f>IF(Y229&lt;&gt;0,B229,"")</f>
        <v/>
      </c>
      <c r="AB229" s="4" t="str">
        <f t="shared" si="25"/>
        <v/>
      </c>
      <c r="AD229" s="4">
        <f t="shared" si="26"/>
        <v>0</v>
      </c>
      <c r="AI229" s="248" t="str">
        <f>IFERROR(INDEX($B$1:$AK$243,MATCH(W229,$B$1:$B$243,0),13),"")</f>
        <v/>
      </c>
      <c r="AJ229" s="248" t="str">
        <f>IFERROR(INDEX($B$1:$AK$243,MATCH(W229,$B$1:$B$243,0),15),"")</f>
        <v/>
      </c>
      <c r="AK229">
        <f>SUMIF($W$2:$W$243,B229,$S$2:$S$243)</f>
        <v>0</v>
      </c>
      <c r="AN229" s="4"/>
      <c r="AO229" s="4"/>
      <c r="AP229">
        <f t="shared" si="27"/>
        <v>0</v>
      </c>
      <c r="AQ229" s="4"/>
      <c r="AR229" s="4">
        <v>1220479</v>
      </c>
      <c r="AS229">
        <f>SUMIF($B:$B,AR229,$AP:$AP)</f>
        <v>0</v>
      </c>
    </row>
    <row r="230" spans="1:45" ht="17.5" customHeight="1" x14ac:dyDescent="0.35">
      <c r="A230" s="2">
        <v>233</v>
      </c>
      <c r="B230" s="258">
        <v>653400</v>
      </c>
      <c r="C230" s="2" t="s">
        <v>4402</v>
      </c>
      <c r="D230" s="2" t="s">
        <v>4498</v>
      </c>
      <c r="E230" s="2">
        <v>1318</v>
      </c>
      <c r="F230" s="2" t="s">
        <v>103</v>
      </c>
      <c r="G230" s="2" t="s">
        <v>36</v>
      </c>
      <c r="H230" s="10">
        <f>SUMIFS('Cutters Consumption Updates'!$F:$F,'Cutters Consumption Updates'!$D:$D,H$1,'Cutters Consumption Updates'!$B:$B,$B230)-SUMIFS('Cutters Consumption Updates'!$E:$E,'Cutters Consumption Updates'!$D:$D,H$1,'Cutters Consumption Updates'!$B:$B,$B230)+ SUMIF('Cutters Consumption Updates'!$AS:$AS,$B230,'Cutters Consumption Updates'!AT:AT)</f>
        <v>0</v>
      </c>
      <c r="I230" s="10">
        <f>SUMIFS('Cutters Consumption Updates'!$F:$F,'Cutters Consumption Updates'!$D:$D,I$1,'Cutters Consumption Updates'!$B:$B,$B230)-SUMIFS('Cutters Consumption Updates'!$E:$E,'Cutters Consumption Updates'!$D:$D,I$1,'Cutters Consumption Updates'!$B:$B,$B230)+ SUMIF('Cutters Consumption Updates'!$AS:$AS,$B230,'Cutters Consumption Updates'!AU:AU)</f>
        <v>0</v>
      </c>
      <c r="J230" s="116">
        <f>SUMIFS('Cutters Consumption Updates'!$F:$F,'Cutters Consumption Updates'!$D:$D,J$1,'Cutters Consumption Updates'!$B:$B,$B230)-SUMIFS('Cutters Consumption Updates'!$E:$E,'Cutters Consumption Updates'!$D:$D,J$1,'Cutters Consumption Updates'!$B:$B,$B230)+ SUMIF('Cutters Consumption Updates'!$AS:$AS,$B230,'Cutters Consumption Updates'!AV:AV)</f>
        <v>0</v>
      </c>
      <c r="K230" s="738">
        <f>SUMIFS('Cutters Consumption Updates'!$F:$F,'Cutters Consumption Updates'!$D:$D,K$1,'Cutters Consumption Updates'!$B:$B,$B230)-SUMIFS('Cutters Consumption Updates'!$E:$E,'Cutters Consumption Updates'!$D:$D,K$1,'Cutters Consumption Updates'!$B:$B,$B230)+ SUMIF('Cutters Consumption Updates'!$AS:$AS,$B230,'Cutters Consumption Updates'!AW:AW)</f>
        <v>0</v>
      </c>
      <c r="L230" s="116">
        <f>SUMIFS('Cutters Consumption Updates'!$F:$F,'Cutters Consumption Updates'!$D:$D,L$1,'Cutters Consumption Updates'!$B:$B,$B230)-SUMIFS('Cutters Consumption Updates'!$E:$E,'Cutters Consumption Updates'!$D:$D,$L$1,'Cutters Consumption Updates'!$B:$B,$B230)+SUMIFS('Cutters Consumption Updates'!$F:$F,'Cutters Consumption Updates'!$D:$D,"Retrofit",'Cutters Consumption Updates'!$B:$B,$B230)-SUMIFS('Cutters Consumption Updates'!$E:$E,'Cutters Consumption Updates'!$D:$D,"Retrofit",'Cutters Consumption Updates'!$B:$B,$B230)+ SUMIF('Cutters Consumption Updates'!$AS:$AS,$B230,'Cutters Consumption Updates'!AX:AX)</f>
        <v>25</v>
      </c>
      <c r="M230" s="810">
        <f t="shared" si="21"/>
        <v>25</v>
      </c>
      <c r="N230" s="810">
        <f ca="1">SUMIFS('Cutters Consumption Updates'!E:E,
        'Cutters Consumption Updates'!B:B, B230,
        'Cutters Consumption Updates'!A:A, "&gt;" &amp; TODAY()-182)</f>
        <v>37</v>
      </c>
      <c r="O230" s="810">
        <f ca="1">SUMIFS('Cutters Consumption Updates'!E:E,
        'Cutters Consumption Updates'!B:B, B230,
        'Cutters Consumption Updates'!A:A, "&gt;" &amp; TODAY()-91)</f>
        <v>10</v>
      </c>
      <c r="P230" s="810">
        <f t="shared" ca="1" si="22"/>
        <v>13</v>
      </c>
      <c r="Q230" s="703">
        <f t="shared" ca="1" si="23"/>
        <v>15</v>
      </c>
      <c r="R230" s="703" t="s">
        <v>29</v>
      </c>
      <c r="S230" s="24">
        <f>IFERROR(INDEX(Table5[],MATCH($B230,Table5[Component],0),2),0)</f>
        <v>72</v>
      </c>
      <c r="T230" s="813">
        <f>SUMIFS(Table7[Balance],Table7[Cutter Mat'#],$B230)</f>
        <v>25</v>
      </c>
      <c r="U230" s="24">
        <f t="shared" si="24"/>
        <v>-22</v>
      </c>
      <c r="V230" s="119"/>
      <c r="W230" s="2"/>
      <c r="Y230" s="4">
        <f>IFERROR(INDEX(Table5[],MATCH($B230,Table5[Component],0),2),0)</f>
        <v>72</v>
      </c>
      <c r="Z230" s="4">
        <f>IFERROR(INDEX(Table5[],MATCH($B230,Table5[Component],0),1),0)</f>
        <v>653400</v>
      </c>
      <c r="AA230" s="4">
        <f>IF(Y230&lt;&gt;0,B230,"")</f>
        <v>653400</v>
      </c>
      <c r="AB230" s="4" t="str">
        <f t="shared" si="25"/>
        <v/>
      </c>
      <c r="AD230" s="4">
        <f t="shared" si="26"/>
        <v>25</v>
      </c>
      <c r="AI230" s="248" t="str">
        <f>IFERROR(INDEX($B$1:$AK$243,MATCH(W230,$B$1:$B$243,0),13),"")</f>
        <v/>
      </c>
      <c r="AJ230" s="248" t="str">
        <f>IFERROR(INDEX($B$1:$AK$243,MATCH(W230,$B$1:$B$243,0),15),"")</f>
        <v/>
      </c>
      <c r="AK230">
        <f>SUMIF($W$2:$W$243,B230,$S$2:$S$243)</f>
        <v>0</v>
      </c>
      <c r="AN230" s="4"/>
      <c r="AO230" s="4"/>
      <c r="AP230">
        <f t="shared" si="27"/>
        <v>25</v>
      </c>
      <c r="AQ230" s="4"/>
      <c r="AR230" s="4">
        <v>1220554</v>
      </c>
      <c r="AS230">
        <f>SUMIF($B:$B,AR230,$AP:$AP)</f>
        <v>200</v>
      </c>
    </row>
    <row r="231" spans="1:45" ht="14.5" customHeight="1" x14ac:dyDescent="0.35">
      <c r="A231" s="2">
        <v>234</v>
      </c>
      <c r="B231" s="258">
        <v>1201518</v>
      </c>
      <c r="C231" s="2" t="s">
        <v>4403</v>
      </c>
      <c r="D231" s="2" t="s">
        <v>965</v>
      </c>
      <c r="E231" s="2" t="s">
        <v>201</v>
      </c>
      <c r="F231" s="2" t="s">
        <v>103</v>
      </c>
      <c r="G231" s="2" t="s">
        <v>36</v>
      </c>
      <c r="H231" s="10">
        <f>SUMIFS('Cutters Consumption Updates'!$F:$F,'Cutters Consumption Updates'!$D:$D,H$1,'Cutters Consumption Updates'!$B:$B,$B231)-SUMIFS('Cutters Consumption Updates'!$E:$E,'Cutters Consumption Updates'!$D:$D,H$1,'Cutters Consumption Updates'!$B:$B,$B231)+ SUMIF('Cutters Consumption Updates'!$AS:$AS,$B231,'Cutters Consumption Updates'!AT:AT)</f>
        <v>0</v>
      </c>
      <c r="I231" s="10">
        <f>SUMIFS('Cutters Consumption Updates'!$F:$F,'Cutters Consumption Updates'!$D:$D,I$1,'Cutters Consumption Updates'!$B:$B,$B231)-SUMIFS('Cutters Consumption Updates'!$E:$E,'Cutters Consumption Updates'!$D:$D,I$1,'Cutters Consumption Updates'!$B:$B,$B231)+ SUMIF('Cutters Consumption Updates'!$AS:$AS,$B231,'Cutters Consumption Updates'!AU:AU)</f>
        <v>0</v>
      </c>
      <c r="J231" s="116">
        <f>SUMIFS('Cutters Consumption Updates'!$F:$F,'Cutters Consumption Updates'!$D:$D,J$1,'Cutters Consumption Updates'!$B:$B,$B231)-SUMIFS('Cutters Consumption Updates'!$E:$E,'Cutters Consumption Updates'!$D:$D,J$1,'Cutters Consumption Updates'!$B:$B,$B231)+ SUMIF('Cutters Consumption Updates'!$AS:$AS,$B231,'Cutters Consumption Updates'!AV:AV)</f>
        <v>0</v>
      </c>
      <c r="K231" s="738">
        <f>SUMIFS('Cutters Consumption Updates'!$F:$F,'Cutters Consumption Updates'!$D:$D,K$1,'Cutters Consumption Updates'!$B:$B,$B231)-SUMIFS('Cutters Consumption Updates'!$E:$E,'Cutters Consumption Updates'!$D:$D,K$1,'Cutters Consumption Updates'!$B:$B,$B231)+ SUMIF('Cutters Consumption Updates'!$AS:$AS,$B231,'Cutters Consumption Updates'!AW:AW)</f>
        <v>0</v>
      </c>
      <c r="L231" s="116">
        <f>SUMIFS('Cutters Consumption Updates'!$F:$F,'Cutters Consumption Updates'!$D:$D,L$1,'Cutters Consumption Updates'!$B:$B,$B231)-SUMIFS('Cutters Consumption Updates'!$E:$E,'Cutters Consumption Updates'!$D:$D,$L$1,'Cutters Consumption Updates'!$B:$B,$B231)+SUMIFS('Cutters Consumption Updates'!$F:$F,'Cutters Consumption Updates'!$D:$D,"Retrofit",'Cutters Consumption Updates'!$B:$B,$B231)-SUMIFS('Cutters Consumption Updates'!$E:$E,'Cutters Consumption Updates'!$D:$D,"Retrofit",'Cutters Consumption Updates'!$B:$B,$B231)+ SUMIF('Cutters Consumption Updates'!$AS:$AS,$B231,'Cutters Consumption Updates'!AX:AX)</f>
        <v>-84</v>
      </c>
      <c r="M231" s="810">
        <f t="shared" si="21"/>
        <v>-84</v>
      </c>
      <c r="N231" s="810">
        <f ca="1">SUMIFS('Cutters Consumption Updates'!E:E,
        'Cutters Consumption Updates'!B:B, B231,
        'Cutters Consumption Updates'!A:A, "&gt;" &amp; TODAY()-182)</f>
        <v>145</v>
      </c>
      <c r="O231" s="810">
        <f ca="1">SUMIFS('Cutters Consumption Updates'!E:E,
        'Cutters Consumption Updates'!B:B, B231,
        'Cutters Consumption Updates'!A:A, "&gt;" &amp; TODAY()-91)</f>
        <v>121</v>
      </c>
      <c r="P231" s="810">
        <f t="shared" ca="1" si="22"/>
        <v>49</v>
      </c>
      <c r="Q231" s="703">
        <f t="shared" ca="1" si="23"/>
        <v>55</v>
      </c>
      <c r="R231" s="703" t="s">
        <v>29</v>
      </c>
      <c r="S231" s="24">
        <f>IFERROR(INDEX(Table5[],MATCH($B231,Table5[Component],0),2),0)</f>
        <v>30</v>
      </c>
      <c r="T231" s="813">
        <f>SUMIFS(Table7[Balance],Table7[Cutter Mat'#],$B231)</f>
        <v>100</v>
      </c>
      <c r="U231" s="24">
        <f t="shared" si="24"/>
        <v>-14</v>
      </c>
      <c r="V231" s="119"/>
      <c r="W231" s="2"/>
      <c r="Y231" s="4">
        <f>IFERROR(INDEX(Table5[],MATCH($B231,Table5[Component],0),2),0)</f>
        <v>30</v>
      </c>
      <c r="Z231" s="4">
        <f>IFERROR(INDEX(Table5[],MATCH($B231,Table5[Component],0),1),0)</f>
        <v>1201518</v>
      </c>
      <c r="AA231" s="4">
        <f>IF(Y231&lt;&gt;0,B231,"")</f>
        <v>1201518</v>
      </c>
      <c r="AB231" s="4" t="str">
        <f t="shared" si="25"/>
        <v/>
      </c>
      <c r="AD231" s="4">
        <f t="shared" si="26"/>
        <v>-84</v>
      </c>
      <c r="AI231" s="248" t="str">
        <f>IFERROR(INDEX($B$1:$AK$243,MATCH(W231,$B$1:$B$243,0),13),"")</f>
        <v/>
      </c>
      <c r="AJ231" s="248" t="str">
        <f>IFERROR(INDEX($B$1:$AK$243,MATCH(W231,$B$1:$B$243,0),15),"")</f>
        <v/>
      </c>
      <c r="AK231">
        <f>SUMIF($W$2:$W$243,B231,$S$2:$S$243)</f>
        <v>0</v>
      </c>
      <c r="AN231" s="4"/>
      <c r="AO231" s="4"/>
      <c r="AP231">
        <f t="shared" si="27"/>
        <v>100</v>
      </c>
      <c r="AQ231" s="4"/>
      <c r="AR231" s="4">
        <v>1220688</v>
      </c>
      <c r="AS231">
        <f>SUMIF($B:$B,AR231,$AP:$AP)</f>
        <v>0</v>
      </c>
    </row>
    <row r="232" spans="1:45" ht="15.5" x14ac:dyDescent="0.35">
      <c r="A232" s="2">
        <v>236</v>
      </c>
      <c r="B232" s="258">
        <v>1261615</v>
      </c>
      <c r="C232" s="2" t="s">
        <v>3607</v>
      </c>
      <c r="D232" s="2" t="s">
        <v>202</v>
      </c>
      <c r="E232" s="2">
        <v>1613</v>
      </c>
      <c r="F232" s="2" t="s">
        <v>109</v>
      </c>
      <c r="G232" s="2" t="s">
        <v>4390</v>
      </c>
      <c r="H232" s="10">
        <f>SUMIFS('Cutters Consumption Updates'!$F:$F,'Cutters Consumption Updates'!$D:$D,H$1,'Cutters Consumption Updates'!$B:$B,$B232)-SUMIFS('Cutters Consumption Updates'!$E:$E,'Cutters Consumption Updates'!$D:$D,H$1,'Cutters Consumption Updates'!$B:$B,$B232)+ SUMIF('Cutters Consumption Updates'!$AS:$AS,$B232,'Cutters Consumption Updates'!AT:AT)</f>
        <v>0</v>
      </c>
      <c r="I232" s="10">
        <f>SUMIFS('Cutters Consumption Updates'!$F:$F,'Cutters Consumption Updates'!$D:$D,I$1,'Cutters Consumption Updates'!$B:$B,$B232)-SUMIFS('Cutters Consumption Updates'!$E:$E,'Cutters Consumption Updates'!$D:$D,I$1,'Cutters Consumption Updates'!$B:$B,$B232)+ SUMIF('Cutters Consumption Updates'!$AS:$AS,$B232,'Cutters Consumption Updates'!AU:AU)</f>
        <v>0</v>
      </c>
      <c r="J232" s="116">
        <f>SUMIFS('Cutters Consumption Updates'!$F:$F,'Cutters Consumption Updates'!$D:$D,J$1,'Cutters Consumption Updates'!$B:$B,$B232)-SUMIFS('Cutters Consumption Updates'!$E:$E,'Cutters Consumption Updates'!$D:$D,J$1,'Cutters Consumption Updates'!$B:$B,$B232)+ SUMIF('Cutters Consumption Updates'!$AS:$AS,$B232,'Cutters Consumption Updates'!AV:AV)</f>
        <v>0</v>
      </c>
      <c r="K232" s="738">
        <f>SUMIFS('Cutters Consumption Updates'!$F:$F,'Cutters Consumption Updates'!$D:$D,K$1,'Cutters Consumption Updates'!$B:$B,$B232)-SUMIFS('Cutters Consumption Updates'!$E:$E,'Cutters Consumption Updates'!$D:$D,K$1,'Cutters Consumption Updates'!$B:$B,$B232)+ SUMIF('Cutters Consumption Updates'!$AS:$AS,$B232,'Cutters Consumption Updates'!AW:AW)</f>
        <v>0</v>
      </c>
      <c r="L232" s="116">
        <f>SUMIFS('Cutters Consumption Updates'!$F:$F,'Cutters Consumption Updates'!$D:$D,L$1,'Cutters Consumption Updates'!$B:$B,$B232)-SUMIFS('Cutters Consumption Updates'!$E:$E,'Cutters Consumption Updates'!$D:$D,$L$1,'Cutters Consumption Updates'!$B:$B,$B232)+SUMIFS('Cutters Consumption Updates'!$F:$F,'Cutters Consumption Updates'!$D:$D,"Retrofit",'Cutters Consumption Updates'!$B:$B,$B232)-SUMIFS('Cutters Consumption Updates'!$E:$E,'Cutters Consumption Updates'!$D:$D,"Retrofit",'Cutters Consumption Updates'!$B:$B,$B232)+ SUMIF('Cutters Consumption Updates'!$AS:$AS,$B232,'Cutters Consumption Updates'!AX:AX)</f>
        <v>38</v>
      </c>
      <c r="M232" s="810">
        <f t="shared" si="21"/>
        <v>38</v>
      </c>
      <c r="N232" s="810">
        <f ca="1">SUMIFS('Cutters Consumption Updates'!E:E,
        'Cutters Consumption Updates'!B:B, B232,
        'Cutters Consumption Updates'!A:A, "&gt;" &amp; TODAY()-182)</f>
        <v>0</v>
      </c>
      <c r="O232" s="810">
        <f ca="1">SUMIFS('Cutters Consumption Updates'!E:E,
        'Cutters Consumption Updates'!B:B, B232,
        'Cutters Consumption Updates'!A:A, "&gt;" &amp; TODAY()-91)</f>
        <v>0</v>
      </c>
      <c r="P232" s="810">
        <f t="shared" ca="1" si="22"/>
        <v>0</v>
      </c>
      <c r="Q232" s="703">
        <f t="shared" ca="1" si="23"/>
        <v>0</v>
      </c>
      <c r="R232" s="703" t="s">
        <v>29</v>
      </c>
      <c r="S232" s="24">
        <f>IFERROR(INDEX(Table5[],MATCH($B232,Table5[Component],0),2),0)</f>
        <v>0</v>
      </c>
      <c r="T232" s="813">
        <f>SUMIFS(Table7[Balance],Table7[Cutter Mat'#],$B232)</f>
        <v>0</v>
      </c>
      <c r="U232" s="24">
        <f t="shared" si="24"/>
        <v>38</v>
      </c>
      <c r="V232" s="119"/>
      <c r="W232" s="2"/>
      <c r="Y232" s="4">
        <f>IFERROR(INDEX(Table5[],MATCH($B232,Table5[Component],0),2),0)</f>
        <v>0</v>
      </c>
      <c r="Z232" s="4">
        <f>IFERROR(INDEX(Table5[],MATCH($B232,Table5[Component],0),1),0)</f>
        <v>0</v>
      </c>
      <c r="AA232" s="4" t="str">
        <f>IF(Y232&lt;&gt;0,B232,"")</f>
        <v/>
      </c>
      <c r="AB232" s="4" t="str">
        <f t="shared" si="25"/>
        <v/>
      </c>
      <c r="AD232" s="4">
        <f t="shared" si="26"/>
        <v>38</v>
      </c>
      <c r="AI232" s="248" t="str">
        <f>IFERROR(INDEX($B$1:$AK$243,MATCH(W232,$B$1:$B$243,0),13),"")</f>
        <v/>
      </c>
      <c r="AJ232" s="248" t="str">
        <f>IFERROR(INDEX($B$1:$AK$243,MATCH(W232,$B$1:$B$243,0),15),"")</f>
        <v/>
      </c>
      <c r="AK232">
        <f>SUMIF($W$2:$W$243,B232,$S$2:$S$243)</f>
        <v>0</v>
      </c>
      <c r="AN232" s="4"/>
      <c r="AO232" s="4"/>
      <c r="AP232">
        <f t="shared" si="27"/>
        <v>0</v>
      </c>
      <c r="AQ232" s="4"/>
      <c r="AR232" s="4">
        <v>1223172</v>
      </c>
      <c r="AS232">
        <f>SUMIF($B:$B,AR232,$AP:$AP)</f>
        <v>0</v>
      </c>
    </row>
    <row r="233" spans="1:45" ht="15.5" x14ac:dyDescent="0.35">
      <c r="A233" s="2">
        <v>237</v>
      </c>
      <c r="B233" s="258">
        <v>1100739</v>
      </c>
      <c r="C233" s="2" t="s">
        <v>4404</v>
      </c>
      <c r="D233" s="2" t="s">
        <v>111</v>
      </c>
      <c r="E233" s="2">
        <v>1608</v>
      </c>
      <c r="F233" s="2" t="s">
        <v>253</v>
      </c>
      <c r="G233" s="2" t="s">
        <v>4314</v>
      </c>
      <c r="H233" s="10">
        <f>SUMIFS('Cutters Consumption Updates'!$F:$F,'Cutters Consumption Updates'!$D:$D,H$1,'Cutters Consumption Updates'!$B:$B,$B233)-SUMIFS('Cutters Consumption Updates'!$E:$E,'Cutters Consumption Updates'!$D:$D,H$1,'Cutters Consumption Updates'!$B:$B,$B233)+ SUMIF('Cutters Consumption Updates'!$AS:$AS,$B233,'Cutters Consumption Updates'!AT:AT)</f>
        <v>0</v>
      </c>
      <c r="I233" s="10">
        <f>SUMIFS('Cutters Consumption Updates'!$F:$F,'Cutters Consumption Updates'!$D:$D,I$1,'Cutters Consumption Updates'!$B:$B,$B233)-SUMIFS('Cutters Consumption Updates'!$E:$E,'Cutters Consumption Updates'!$D:$D,I$1,'Cutters Consumption Updates'!$B:$B,$B233)+ SUMIF('Cutters Consumption Updates'!$AS:$AS,$B233,'Cutters Consumption Updates'!AU:AU)</f>
        <v>0</v>
      </c>
      <c r="J233" s="116">
        <f>SUMIFS('Cutters Consumption Updates'!$F:$F,'Cutters Consumption Updates'!$D:$D,J$1,'Cutters Consumption Updates'!$B:$B,$B233)-SUMIFS('Cutters Consumption Updates'!$E:$E,'Cutters Consumption Updates'!$D:$D,J$1,'Cutters Consumption Updates'!$B:$B,$B233)+ SUMIF('Cutters Consumption Updates'!$AS:$AS,$B233,'Cutters Consumption Updates'!AV:AV)</f>
        <v>0</v>
      </c>
      <c r="K233" s="738">
        <f>SUMIFS('Cutters Consumption Updates'!$F:$F,'Cutters Consumption Updates'!$D:$D,K$1,'Cutters Consumption Updates'!$B:$B,$B233)-SUMIFS('Cutters Consumption Updates'!$E:$E,'Cutters Consumption Updates'!$D:$D,K$1,'Cutters Consumption Updates'!$B:$B,$B233)+ SUMIF('Cutters Consumption Updates'!$AS:$AS,$B233,'Cutters Consumption Updates'!AW:AW)</f>
        <v>0</v>
      </c>
      <c r="L233" s="116">
        <f>SUMIFS('Cutters Consumption Updates'!$F:$F,'Cutters Consumption Updates'!$D:$D,L$1,'Cutters Consumption Updates'!$B:$B,$B233)-SUMIFS('Cutters Consumption Updates'!$E:$E,'Cutters Consumption Updates'!$D:$D,$L$1,'Cutters Consumption Updates'!$B:$B,$B233)+SUMIFS('Cutters Consumption Updates'!$F:$F,'Cutters Consumption Updates'!$D:$D,"Retrofit",'Cutters Consumption Updates'!$B:$B,$B233)-SUMIFS('Cutters Consumption Updates'!$E:$E,'Cutters Consumption Updates'!$D:$D,"Retrofit",'Cutters Consumption Updates'!$B:$B,$B233)+ SUMIF('Cutters Consumption Updates'!$AS:$AS,$B233,'Cutters Consumption Updates'!AX:AX)</f>
        <v>141</v>
      </c>
      <c r="M233" s="810">
        <f t="shared" si="21"/>
        <v>141</v>
      </c>
      <c r="N233" s="810">
        <f ca="1">SUMIFS('Cutters Consumption Updates'!E:E,
        'Cutters Consumption Updates'!B:B, B233,
        'Cutters Consumption Updates'!A:A, "&gt;" &amp; TODAY()-182)</f>
        <v>29</v>
      </c>
      <c r="O233" s="810">
        <f ca="1">SUMIFS('Cutters Consumption Updates'!E:E,
        'Cutters Consumption Updates'!B:B, B233,
        'Cutters Consumption Updates'!A:A, "&gt;" &amp; TODAY()-91)</f>
        <v>6</v>
      </c>
      <c r="P233" s="810">
        <f t="shared" ca="1" si="22"/>
        <v>10</v>
      </c>
      <c r="Q233" s="703">
        <f t="shared" ca="1" si="23"/>
        <v>15</v>
      </c>
      <c r="R233" s="703" t="s">
        <v>29</v>
      </c>
      <c r="S233" s="24">
        <f>IFERROR(INDEX(Table5[],MATCH($B233,Table5[Component],0),2),0)</f>
        <v>114</v>
      </c>
      <c r="T233" s="813">
        <f>SUMIFS(Table7[Balance],Table7[Cutter Mat'#],$B233)</f>
        <v>0</v>
      </c>
      <c r="U233" s="24">
        <f t="shared" si="24"/>
        <v>27</v>
      </c>
      <c r="V233" s="119"/>
      <c r="W233" s="2"/>
      <c r="Y233" s="4">
        <f>IFERROR(INDEX(Table5[],MATCH($B233,Table5[Component],0),2),0)</f>
        <v>114</v>
      </c>
      <c r="Z233" s="4">
        <f>IFERROR(INDEX(Table5[],MATCH($B233,Table5[Component],0),1),0)</f>
        <v>1100739</v>
      </c>
      <c r="AA233" s="4">
        <f>IF(Y233&lt;&gt;0,B233,"")</f>
        <v>1100739</v>
      </c>
      <c r="AB233" s="4" t="str">
        <f t="shared" si="25"/>
        <v/>
      </c>
      <c r="AD233" s="4">
        <f t="shared" si="26"/>
        <v>141</v>
      </c>
      <c r="AI233" s="248" t="str">
        <f>IFERROR(INDEX($B$1:$AK$243,MATCH(W233,$B$1:$B$243,0),13),"")</f>
        <v/>
      </c>
      <c r="AJ233" s="248" t="str">
        <f>IFERROR(INDEX($B$1:$AK$243,MATCH(W233,$B$1:$B$243,0),15),"")</f>
        <v/>
      </c>
      <c r="AK233">
        <f>SUMIF($W$2:$W$243,B233,$S$2:$S$243)</f>
        <v>0</v>
      </c>
      <c r="AN233" s="4"/>
      <c r="AO233" s="4"/>
      <c r="AP233">
        <f t="shared" si="27"/>
        <v>0</v>
      </c>
      <c r="AQ233" s="4"/>
      <c r="AR233" s="4">
        <v>1226868</v>
      </c>
      <c r="AS233">
        <f>SUMIF($B:$B,AR233,$AP:$AP)</f>
        <v>0</v>
      </c>
    </row>
    <row r="234" spans="1:45" ht="17.5" customHeight="1" x14ac:dyDescent="0.35">
      <c r="A234" s="2">
        <v>238</v>
      </c>
      <c r="B234" s="258">
        <v>1180935</v>
      </c>
      <c r="C234" s="2" t="s">
        <v>4477</v>
      </c>
      <c r="D234" s="2" t="s">
        <v>103</v>
      </c>
      <c r="E234" s="2" t="s">
        <v>103</v>
      </c>
      <c r="F234" s="2" t="s">
        <v>103</v>
      </c>
      <c r="G234" s="2" t="s">
        <v>32</v>
      </c>
      <c r="H234" s="10">
        <f>SUMIFS('Cutters Consumption Updates'!$F:$F,'Cutters Consumption Updates'!$D:$D,H$1,'Cutters Consumption Updates'!$B:$B,$B234)-SUMIFS('Cutters Consumption Updates'!$E:$E,'Cutters Consumption Updates'!$D:$D,H$1,'Cutters Consumption Updates'!$B:$B,$B234)+ SUMIF('Cutters Consumption Updates'!$AS:$AS,$B234,'Cutters Consumption Updates'!AT:AT)</f>
        <v>0</v>
      </c>
      <c r="I234" s="10">
        <f>SUMIFS('Cutters Consumption Updates'!$F:$F,'Cutters Consumption Updates'!$D:$D,I$1,'Cutters Consumption Updates'!$B:$B,$B234)-SUMIFS('Cutters Consumption Updates'!$E:$E,'Cutters Consumption Updates'!$D:$D,I$1,'Cutters Consumption Updates'!$B:$B,$B234)+ SUMIF('Cutters Consumption Updates'!$AS:$AS,$B234,'Cutters Consumption Updates'!AU:AU)</f>
        <v>0</v>
      </c>
      <c r="J234" s="116">
        <f>SUMIFS('Cutters Consumption Updates'!$F:$F,'Cutters Consumption Updates'!$D:$D,J$1,'Cutters Consumption Updates'!$B:$B,$B234)-SUMIFS('Cutters Consumption Updates'!$E:$E,'Cutters Consumption Updates'!$D:$D,J$1,'Cutters Consumption Updates'!$B:$B,$B234)+ SUMIF('Cutters Consumption Updates'!$AS:$AS,$B234,'Cutters Consumption Updates'!AV:AV)</f>
        <v>0</v>
      </c>
      <c r="K234" s="738">
        <f>SUMIFS('Cutters Consumption Updates'!$F:$F,'Cutters Consumption Updates'!$D:$D,K$1,'Cutters Consumption Updates'!$B:$B,$B234)-SUMIFS('Cutters Consumption Updates'!$E:$E,'Cutters Consumption Updates'!$D:$D,K$1,'Cutters Consumption Updates'!$B:$B,$B234)+ SUMIF('Cutters Consumption Updates'!$AS:$AS,$B234,'Cutters Consumption Updates'!AW:AW)</f>
        <v>0</v>
      </c>
      <c r="L234" s="116">
        <f>SUMIFS('Cutters Consumption Updates'!$F:$F,'Cutters Consumption Updates'!$D:$D,L$1,'Cutters Consumption Updates'!$B:$B,$B234)-SUMIFS('Cutters Consumption Updates'!$E:$E,'Cutters Consumption Updates'!$D:$D,$L$1,'Cutters Consumption Updates'!$B:$B,$B234)+SUMIFS('Cutters Consumption Updates'!$F:$F,'Cutters Consumption Updates'!$D:$D,"Retrofit",'Cutters Consumption Updates'!$B:$B,$B234)-SUMIFS('Cutters Consumption Updates'!$E:$E,'Cutters Consumption Updates'!$D:$D,"Retrofit",'Cutters Consumption Updates'!$B:$B,$B234)+ SUMIF('Cutters Consumption Updates'!$AS:$AS,$B234,'Cutters Consumption Updates'!AX:AX)</f>
        <v>0</v>
      </c>
      <c r="M234" s="810">
        <f t="shared" si="21"/>
        <v>0</v>
      </c>
      <c r="N234" s="810">
        <f ca="1">SUMIFS('Cutters Consumption Updates'!E:E,
        'Cutters Consumption Updates'!B:B, B234,
        'Cutters Consumption Updates'!A:A, "&gt;" &amp; TODAY()-182)</f>
        <v>0</v>
      </c>
      <c r="O234" s="810">
        <f ca="1">SUMIFS('Cutters Consumption Updates'!E:E,
        'Cutters Consumption Updates'!B:B, B234,
        'Cutters Consumption Updates'!A:A, "&gt;" &amp; TODAY()-91)</f>
        <v>0</v>
      </c>
      <c r="P234" s="810">
        <f t="shared" ca="1" si="22"/>
        <v>0</v>
      </c>
      <c r="Q234" s="703">
        <f t="shared" ca="1" si="23"/>
        <v>0</v>
      </c>
      <c r="R234" s="703" t="s">
        <v>29</v>
      </c>
      <c r="S234" s="24">
        <f>IFERROR(INDEX(Table5[],MATCH($B234,Table5[Component],0),2),0)</f>
        <v>9</v>
      </c>
      <c r="T234" s="813">
        <f>SUMIFS(Table7[Balance],Table7[Cutter Mat'#],$B234)</f>
        <v>0</v>
      </c>
      <c r="U234" s="24">
        <f t="shared" si="24"/>
        <v>-9</v>
      </c>
      <c r="V234" s="119"/>
      <c r="W234" s="2"/>
      <c r="Y234" s="4">
        <f>IFERROR(INDEX(Table5[],MATCH($B234,Table5[Component],0),2),0)</f>
        <v>9</v>
      </c>
      <c r="Z234" s="4">
        <f>IFERROR(INDEX(Table5[],MATCH($B234,Table5[Component],0),1),0)</f>
        <v>1180935</v>
      </c>
      <c r="AA234" s="4">
        <f>IF(Y234&lt;&gt;0,B234,"")</f>
        <v>1180935</v>
      </c>
      <c r="AB234" s="4" t="str">
        <f t="shared" si="25"/>
        <v/>
      </c>
      <c r="AD234" s="4">
        <f t="shared" si="26"/>
        <v>0</v>
      </c>
      <c r="AI234" s="248" t="str">
        <f>IFERROR(INDEX($B$1:$AK$243,MATCH(W234,$B$1:$B$243,0),13),"")</f>
        <v/>
      </c>
      <c r="AJ234" s="248" t="str">
        <f>IFERROR(INDEX($B$1:$AK$243,MATCH(W234,$B$1:$B$243,0),15),"")</f>
        <v/>
      </c>
      <c r="AK234">
        <f>SUMIF($W$2:$W$243,B234,$S$2:$S$243)</f>
        <v>0</v>
      </c>
      <c r="AN234" s="4"/>
      <c r="AO234" s="4"/>
      <c r="AP234">
        <f t="shared" si="27"/>
        <v>0</v>
      </c>
      <c r="AQ234" s="4"/>
      <c r="AR234" s="4">
        <v>1228501</v>
      </c>
      <c r="AS234">
        <f>SUMIF($B:$B,AR234,$AP:$AP)</f>
        <v>200</v>
      </c>
    </row>
    <row r="235" spans="1:45" ht="15.5" x14ac:dyDescent="0.35">
      <c r="A235" s="2">
        <v>239</v>
      </c>
      <c r="B235" s="258">
        <v>1199247</v>
      </c>
      <c r="C235" s="2" t="s">
        <v>4179</v>
      </c>
      <c r="D235" s="2" t="s">
        <v>139</v>
      </c>
      <c r="E235" s="2">
        <v>1010</v>
      </c>
      <c r="F235" s="2" t="s">
        <v>248</v>
      </c>
      <c r="G235" s="2" t="s">
        <v>4314</v>
      </c>
      <c r="H235" s="10">
        <f>SUMIFS('Cutters Consumption Updates'!$F:$F,'Cutters Consumption Updates'!$D:$D,H$1,'Cutters Consumption Updates'!$B:$B,$B235)-SUMIFS('Cutters Consumption Updates'!$E:$E,'Cutters Consumption Updates'!$D:$D,H$1,'Cutters Consumption Updates'!$B:$B,$B235)+ SUMIF('Cutters Consumption Updates'!$AS:$AS,$B235,'Cutters Consumption Updates'!AT:AT)</f>
        <v>0</v>
      </c>
      <c r="I235" s="10">
        <f>SUMIFS('Cutters Consumption Updates'!$F:$F,'Cutters Consumption Updates'!$D:$D,I$1,'Cutters Consumption Updates'!$B:$B,$B235)-SUMIFS('Cutters Consumption Updates'!$E:$E,'Cutters Consumption Updates'!$D:$D,I$1,'Cutters Consumption Updates'!$B:$B,$B235)+ SUMIF('Cutters Consumption Updates'!$AS:$AS,$B235,'Cutters Consumption Updates'!AU:AU)</f>
        <v>0</v>
      </c>
      <c r="J235" s="116">
        <f>SUMIFS('Cutters Consumption Updates'!$F:$F,'Cutters Consumption Updates'!$D:$D,J$1,'Cutters Consumption Updates'!$B:$B,$B235)-SUMIFS('Cutters Consumption Updates'!$E:$E,'Cutters Consumption Updates'!$D:$D,J$1,'Cutters Consumption Updates'!$B:$B,$B235)+ SUMIF('Cutters Consumption Updates'!$AS:$AS,$B235,'Cutters Consumption Updates'!AV:AV)</f>
        <v>0</v>
      </c>
      <c r="K235" s="738">
        <f>SUMIFS('Cutters Consumption Updates'!$F:$F,'Cutters Consumption Updates'!$D:$D,K$1,'Cutters Consumption Updates'!$B:$B,$B235)-SUMIFS('Cutters Consumption Updates'!$E:$E,'Cutters Consumption Updates'!$D:$D,K$1,'Cutters Consumption Updates'!$B:$B,$B235)+ SUMIF('Cutters Consumption Updates'!$AS:$AS,$B235,'Cutters Consumption Updates'!AW:AW)</f>
        <v>0</v>
      </c>
      <c r="L235" s="116">
        <f>SUMIFS('Cutters Consumption Updates'!$F:$F,'Cutters Consumption Updates'!$D:$D,L$1,'Cutters Consumption Updates'!$B:$B,$B235)-SUMIFS('Cutters Consumption Updates'!$E:$E,'Cutters Consumption Updates'!$D:$D,$L$1,'Cutters Consumption Updates'!$B:$B,$B235)+SUMIFS('Cutters Consumption Updates'!$F:$F,'Cutters Consumption Updates'!$D:$D,"Retrofit",'Cutters Consumption Updates'!$B:$B,$B235)-SUMIFS('Cutters Consumption Updates'!$E:$E,'Cutters Consumption Updates'!$D:$D,"Retrofit",'Cutters Consumption Updates'!$B:$B,$B235)+ SUMIF('Cutters Consumption Updates'!$AS:$AS,$B235,'Cutters Consumption Updates'!AX:AX)</f>
        <v>73</v>
      </c>
      <c r="M235" s="810">
        <f t="shared" si="21"/>
        <v>73</v>
      </c>
      <c r="N235" s="810">
        <f ca="1">SUMIFS('Cutters Consumption Updates'!E:E,
        'Cutters Consumption Updates'!B:B, B235,
        'Cutters Consumption Updates'!A:A, "&gt;" &amp; TODAY()-182)</f>
        <v>37</v>
      </c>
      <c r="O235" s="810">
        <f ca="1">SUMIFS('Cutters Consumption Updates'!E:E,
        'Cutters Consumption Updates'!B:B, B235,
        'Cutters Consumption Updates'!A:A, "&gt;" &amp; TODAY()-91)</f>
        <v>37</v>
      </c>
      <c r="P235" s="810">
        <f t="shared" ca="1" si="22"/>
        <v>13</v>
      </c>
      <c r="Q235" s="703">
        <f t="shared" ca="1" si="23"/>
        <v>15</v>
      </c>
      <c r="R235" s="703" t="s">
        <v>29</v>
      </c>
      <c r="S235" s="24">
        <f>IFERROR(INDEX(Table5[],MATCH($B235,Table5[Component],0),2),0)</f>
        <v>0</v>
      </c>
      <c r="T235" s="813">
        <f>SUMIFS(Table7[Balance],Table7[Cutter Mat'#],$B235)</f>
        <v>0</v>
      </c>
      <c r="U235" s="24">
        <f t="shared" si="24"/>
        <v>73</v>
      </c>
      <c r="V235" s="119"/>
      <c r="W235" s="2"/>
      <c r="Y235" s="4">
        <f>IFERROR(INDEX(Table5[],MATCH($B235,Table5[Component],0),2),0)</f>
        <v>0</v>
      </c>
      <c r="Z235" s="4">
        <f>IFERROR(INDEX(Table5[],MATCH($B235,Table5[Component],0),1),0)</f>
        <v>0</v>
      </c>
      <c r="AA235" s="4" t="str">
        <f>IF(Y235&lt;&gt;0,B235,"")</f>
        <v/>
      </c>
      <c r="AB235" s="4" t="str">
        <f t="shared" si="25"/>
        <v/>
      </c>
      <c r="AD235" s="4">
        <f t="shared" si="26"/>
        <v>73</v>
      </c>
      <c r="AI235" s="248" t="str">
        <f>IFERROR(INDEX($B$1:$AK$243,MATCH(W235,$B$1:$B$243,0),13),"")</f>
        <v/>
      </c>
      <c r="AJ235" s="248" t="str">
        <f>IFERROR(INDEX($B$1:$AK$243,MATCH(W235,$B$1:$B$243,0),15),"")</f>
        <v/>
      </c>
      <c r="AK235">
        <f>SUMIF($W$2:$W$243,B235,$S$2:$S$243)</f>
        <v>0</v>
      </c>
      <c r="AN235" s="4"/>
      <c r="AO235" s="4"/>
      <c r="AP235">
        <f t="shared" si="27"/>
        <v>0</v>
      </c>
      <c r="AQ235" s="4"/>
      <c r="AR235" s="4">
        <v>1228502</v>
      </c>
      <c r="AS235">
        <f>SUMIF($B:$B,AR235,$AP:$AP)</f>
        <v>200</v>
      </c>
    </row>
    <row r="236" spans="1:45" ht="15.5" x14ac:dyDescent="0.35">
      <c r="A236" s="2">
        <v>240</v>
      </c>
      <c r="B236" s="258">
        <v>1187118</v>
      </c>
      <c r="C236" s="2" t="s">
        <v>4476</v>
      </c>
      <c r="D236" s="2" t="s">
        <v>205</v>
      </c>
      <c r="E236" s="2">
        <v>1613</v>
      </c>
      <c r="F236" s="2" t="s">
        <v>253</v>
      </c>
      <c r="G236" s="2" t="s">
        <v>4412</v>
      </c>
      <c r="H236" s="10">
        <f>SUMIFS('Cutters Consumption Updates'!$F:$F,'Cutters Consumption Updates'!$D:$D,H$1,'Cutters Consumption Updates'!$B:$B,$B236)-SUMIFS('Cutters Consumption Updates'!$E:$E,'Cutters Consumption Updates'!$D:$D,H$1,'Cutters Consumption Updates'!$B:$B,$B236)+ SUMIF('Cutters Consumption Updates'!$AS:$AS,$B236,'Cutters Consumption Updates'!AT:AT)</f>
        <v>0</v>
      </c>
      <c r="I236" s="10">
        <f>SUMIFS('Cutters Consumption Updates'!$F:$F,'Cutters Consumption Updates'!$D:$D,I$1,'Cutters Consumption Updates'!$B:$B,$B236)-SUMIFS('Cutters Consumption Updates'!$E:$E,'Cutters Consumption Updates'!$D:$D,I$1,'Cutters Consumption Updates'!$B:$B,$B236)+ SUMIF('Cutters Consumption Updates'!$AS:$AS,$B236,'Cutters Consumption Updates'!AU:AU)</f>
        <v>0</v>
      </c>
      <c r="J236" s="116">
        <f>SUMIFS('Cutters Consumption Updates'!$F:$F,'Cutters Consumption Updates'!$D:$D,J$1,'Cutters Consumption Updates'!$B:$B,$B236)-SUMIFS('Cutters Consumption Updates'!$E:$E,'Cutters Consumption Updates'!$D:$D,J$1,'Cutters Consumption Updates'!$B:$B,$B236)+ SUMIF('Cutters Consumption Updates'!$AS:$AS,$B236,'Cutters Consumption Updates'!AV:AV)</f>
        <v>0</v>
      </c>
      <c r="K236" s="738">
        <f>SUMIFS('Cutters Consumption Updates'!$F:$F,'Cutters Consumption Updates'!$D:$D,K$1,'Cutters Consumption Updates'!$B:$B,$B236)-SUMIFS('Cutters Consumption Updates'!$E:$E,'Cutters Consumption Updates'!$D:$D,K$1,'Cutters Consumption Updates'!$B:$B,$B236)+ SUMIF('Cutters Consumption Updates'!$AS:$AS,$B236,'Cutters Consumption Updates'!AW:AW)</f>
        <v>0</v>
      </c>
      <c r="L236" s="116">
        <f>SUMIFS('Cutters Consumption Updates'!$F:$F,'Cutters Consumption Updates'!$D:$D,L$1,'Cutters Consumption Updates'!$B:$B,$B236)-SUMIFS('Cutters Consumption Updates'!$E:$E,'Cutters Consumption Updates'!$D:$D,$L$1,'Cutters Consumption Updates'!$B:$B,$B236)+SUMIFS('Cutters Consumption Updates'!$F:$F,'Cutters Consumption Updates'!$D:$D,"Retrofit",'Cutters Consumption Updates'!$B:$B,$B236)-SUMIFS('Cutters Consumption Updates'!$E:$E,'Cutters Consumption Updates'!$D:$D,"Retrofit",'Cutters Consumption Updates'!$B:$B,$B236)+ SUMIF('Cutters Consumption Updates'!$AS:$AS,$B236,'Cutters Consumption Updates'!AX:AX)</f>
        <v>0</v>
      </c>
      <c r="M236" s="810">
        <f t="shared" si="21"/>
        <v>0</v>
      </c>
      <c r="N236" s="810">
        <f ca="1">SUMIFS('Cutters Consumption Updates'!E:E,
        'Cutters Consumption Updates'!B:B, B236,
        'Cutters Consumption Updates'!A:A, "&gt;" &amp; TODAY()-182)</f>
        <v>0</v>
      </c>
      <c r="O236" s="810">
        <f ca="1">SUMIFS('Cutters Consumption Updates'!E:E,
        'Cutters Consumption Updates'!B:B, B236,
        'Cutters Consumption Updates'!A:A, "&gt;" &amp; TODAY()-91)</f>
        <v>0</v>
      </c>
      <c r="P236" s="810">
        <f t="shared" ca="1" si="22"/>
        <v>0</v>
      </c>
      <c r="Q236" s="703">
        <f t="shared" ca="1" si="23"/>
        <v>0</v>
      </c>
      <c r="R236" s="703" t="s">
        <v>29</v>
      </c>
      <c r="S236" s="24">
        <f>IFERROR(INDEX(Table5[],MATCH($B236,Table5[Component],0),2),0)</f>
        <v>3</v>
      </c>
      <c r="T236" s="813">
        <f>SUMIFS(Table7[Balance],Table7[Cutter Mat'#],$B236)</f>
        <v>0</v>
      </c>
      <c r="U236" s="24">
        <f t="shared" si="24"/>
        <v>-3</v>
      </c>
      <c r="V236" s="119"/>
      <c r="W236" s="2"/>
      <c r="Y236" s="4">
        <f>IFERROR(INDEX(Table5[],MATCH($B236,Table5[Component],0),2),0)</f>
        <v>3</v>
      </c>
      <c r="Z236" s="4">
        <f>IFERROR(INDEX(Table5[],MATCH($B236,Table5[Component],0),1),0)</f>
        <v>1187118</v>
      </c>
      <c r="AA236" s="4">
        <f>IF(Y236&lt;&gt;0,B236,"")</f>
        <v>1187118</v>
      </c>
      <c r="AB236" s="4" t="str">
        <f t="shared" si="25"/>
        <v/>
      </c>
      <c r="AD236" s="4">
        <f t="shared" si="26"/>
        <v>0</v>
      </c>
      <c r="AI236" s="248" t="str">
        <f>IFERROR(INDEX($B$1:$AK$243,MATCH(W236,$B$1:$B$243,0),13),"")</f>
        <v/>
      </c>
      <c r="AJ236" s="248" t="str">
        <f>IFERROR(INDEX($B$1:$AK$243,MATCH(W236,$B$1:$B$243,0),15),"")</f>
        <v/>
      </c>
      <c r="AK236">
        <f>SUMIF($W$2:$W$243,B236,$S$2:$S$243)</f>
        <v>0</v>
      </c>
      <c r="AN236" s="4"/>
      <c r="AO236" s="4"/>
      <c r="AP236">
        <f t="shared" si="27"/>
        <v>0</v>
      </c>
      <c r="AQ236" s="4"/>
      <c r="AR236" s="4">
        <v>1228503</v>
      </c>
      <c r="AS236">
        <f>SUMIF($B:$B,AR236,$AP:$AP)</f>
        <v>200</v>
      </c>
    </row>
    <row r="237" spans="1:45" ht="15.5" x14ac:dyDescent="0.35">
      <c r="A237" s="2">
        <v>241</v>
      </c>
      <c r="B237" s="258">
        <v>1100753</v>
      </c>
      <c r="C237" s="2" t="s">
        <v>4148</v>
      </c>
      <c r="D237" s="2" t="s">
        <v>133</v>
      </c>
      <c r="E237" s="2">
        <v>1608</v>
      </c>
      <c r="F237" s="2" t="s">
        <v>253</v>
      </c>
      <c r="G237" s="2" t="s">
        <v>4275</v>
      </c>
      <c r="H237" s="10">
        <f>SUMIFS('Cutters Consumption Updates'!$F:$F,'Cutters Consumption Updates'!$D:$D,H$1,'Cutters Consumption Updates'!$B:$B,$B237)-SUMIFS('Cutters Consumption Updates'!$E:$E,'Cutters Consumption Updates'!$D:$D,H$1,'Cutters Consumption Updates'!$B:$B,$B237)+ SUMIF('Cutters Consumption Updates'!$AS:$AS,$B237,'Cutters Consumption Updates'!AT:AT)</f>
        <v>0</v>
      </c>
      <c r="I237" s="10">
        <f>SUMIFS('Cutters Consumption Updates'!$F:$F,'Cutters Consumption Updates'!$D:$D,I$1,'Cutters Consumption Updates'!$B:$B,$B237)-SUMIFS('Cutters Consumption Updates'!$E:$E,'Cutters Consumption Updates'!$D:$D,I$1,'Cutters Consumption Updates'!$B:$B,$B237)+ SUMIF('Cutters Consumption Updates'!$AS:$AS,$B237,'Cutters Consumption Updates'!AU:AU)</f>
        <v>0</v>
      </c>
      <c r="J237" s="116">
        <f>SUMIFS('Cutters Consumption Updates'!$F:$F,'Cutters Consumption Updates'!$D:$D,J$1,'Cutters Consumption Updates'!$B:$B,$B237)-SUMIFS('Cutters Consumption Updates'!$E:$E,'Cutters Consumption Updates'!$D:$D,J$1,'Cutters Consumption Updates'!$B:$B,$B237)+ SUMIF('Cutters Consumption Updates'!$AS:$AS,$B237,'Cutters Consumption Updates'!AV:AV)</f>
        <v>0</v>
      </c>
      <c r="K237" s="738">
        <f>SUMIFS('Cutters Consumption Updates'!$F:$F,'Cutters Consumption Updates'!$D:$D,K$1,'Cutters Consumption Updates'!$B:$B,$B237)-SUMIFS('Cutters Consumption Updates'!$E:$E,'Cutters Consumption Updates'!$D:$D,K$1,'Cutters Consumption Updates'!$B:$B,$B237)+ SUMIF('Cutters Consumption Updates'!$AS:$AS,$B237,'Cutters Consumption Updates'!AW:AW)</f>
        <v>0</v>
      </c>
      <c r="L237" s="116">
        <f>SUMIFS('Cutters Consumption Updates'!$F:$F,'Cutters Consumption Updates'!$D:$D,L$1,'Cutters Consumption Updates'!$B:$B,$B237)-SUMIFS('Cutters Consumption Updates'!$E:$E,'Cutters Consumption Updates'!$D:$D,$L$1,'Cutters Consumption Updates'!$B:$B,$B237)+SUMIFS('Cutters Consumption Updates'!$F:$F,'Cutters Consumption Updates'!$D:$D,"Retrofit",'Cutters Consumption Updates'!$B:$B,$B237)-SUMIFS('Cutters Consumption Updates'!$E:$E,'Cutters Consumption Updates'!$D:$D,"Retrofit",'Cutters Consumption Updates'!$B:$B,$B237)+ SUMIF('Cutters Consumption Updates'!$AS:$AS,$B237,'Cutters Consumption Updates'!AX:AX)</f>
        <v>2</v>
      </c>
      <c r="M237" s="810">
        <f t="shared" si="21"/>
        <v>2</v>
      </c>
      <c r="N237" s="810">
        <f ca="1">SUMIFS('Cutters Consumption Updates'!E:E,
        'Cutters Consumption Updates'!B:B, B237,
        'Cutters Consumption Updates'!A:A, "&gt;" &amp; TODAY()-182)</f>
        <v>29</v>
      </c>
      <c r="O237" s="810">
        <f ca="1">SUMIFS('Cutters Consumption Updates'!E:E,
        'Cutters Consumption Updates'!B:B, B237,
        'Cutters Consumption Updates'!A:A, "&gt;" &amp; TODAY()-91)</f>
        <v>6</v>
      </c>
      <c r="P237" s="810">
        <f t="shared" ca="1" si="22"/>
        <v>10</v>
      </c>
      <c r="Q237" s="703">
        <f t="shared" ca="1" si="23"/>
        <v>15</v>
      </c>
      <c r="R237" s="703" t="s">
        <v>119</v>
      </c>
      <c r="S237" s="24">
        <f>IFERROR(INDEX(Table5[],MATCH($B237,Table5[Component],0),2),0)</f>
        <v>12</v>
      </c>
      <c r="T237" s="813">
        <f>SUMIFS(Table7[Balance],Table7[Cutter Mat'#],$B237)</f>
        <v>0</v>
      </c>
      <c r="U237" s="24">
        <f t="shared" si="24"/>
        <v>-10</v>
      </c>
      <c r="V237" s="119"/>
      <c r="W237" s="2"/>
      <c r="Y237" s="4">
        <f>IFERROR(INDEX(Table5[],MATCH($B237,Table5[Component],0),2),0)</f>
        <v>12</v>
      </c>
      <c r="Z237" s="4">
        <f>IFERROR(INDEX(Table5[],MATCH($B237,Table5[Component],0),1),0)</f>
        <v>1100753</v>
      </c>
      <c r="AA237" s="4">
        <f>IF(Y237&lt;&gt;0,B237,"")</f>
        <v>1100753</v>
      </c>
      <c r="AB237" s="4" t="str">
        <f t="shared" si="25"/>
        <v/>
      </c>
      <c r="AD237" s="4">
        <f t="shared" si="26"/>
        <v>2</v>
      </c>
      <c r="AI237" s="248" t="str">
        <f>IFERROR(INDEX($B$1:$AK$243,MATCH(W237,$B$1:$B$243,0),13),"")</f>
        <v/>
      </c>
      <c r="AJ237" s="248" t="str">
        <f>IFERROR(INDEX($B$1:$AK$243,MATCH(W237,$B$1:$B$243,0),15),"")</f>
        <v/>
      </c>
      <c r="AK237">
        <f>SUMIF($W$2:$W$243,B237,$S$2:$S$243)</f>
        <v>0</v>
      </c>
      <c r="AN237" s="4"/>
      <c r="AO237" s="4"/>
      <c r="AP237">
        <f t="shared" si="27"/>
        <v>0</v>
      </c>
      <c r="AQ237" s="4"/>
      <c r="AR237" s="4">
        <v>1230916</v>
      </c>
      <c r="AS237">
        <f>SUMIF($B:$B,AR237,$AP:$AP)</f>
        <v>0</v>
      </c>
    </row>
    <row r="238" spans="1:45" ht="15.5" x14ac:dyDescent="0.35">
      <c r="A238" s="2">
        <v>242</v>
      </c>
      <c r="B238" s="258">
        <v>1282370</v>
      </c>
      <c r="C238" s="2" t="s">
        <v>4405</v>
      </c>
      <c r="D238" s="2" t="s">
        <v>1016</v>
      </c>
      <c r="E238" s="2">
        <v>1613</v>
      </c>
      <c r="F238" s="2" t="s">
        <v>170</v>
      </c>
      <c r="G238" s="2" t="s">
        <v>4406</v>
      </c>
      <c r="H238" s="10">
        <f>SUMIFS('Cutters Consumption Updates'!$F:$F,'Cutters Consumption Updates'!$D:$D,H$1,'Cutters Consumption Updates'!$B:$B,$B238)-SUMIFS('Cutters Consumption Updates'!$E:$E,'Cutters Consumption Updates'!$D:$D,H$1,'Cutters Consumption Updates'!$B:$B,$B238)+ SUMIF('Cutters Consumption Updates'!$AS:$AS,$B238,'Cutters Consumption Updates'!AT:AT)</f>
        <v>0</v>
      </c>
      <c r="I238" s="10">
        <f>SUMIFS('Cutters Consumption Updates'!$F:$F,'Cutters Consumption Updates'!$D:$D,I$1,'Cutters Consumption Updates'!$B:$B,$B238)-SUMIFS('Cutters Consumption Updates'!$E:$E,'Cutters Consumption Updates'!$D:$D,I$1,'Cutters Consumption Updates'!$B:$B,$B238)+ SUMIF('Cutters Consumption Updates'!$AS:$AS,$B238,'Cutters Consumption Updates'!AU:AU)</f>
        <v>0</v>
      </c>
      <c r="J238" s="116">
        <f>SUMIFS('Cutters Consumption Updates'!$F:$F,'Cutters Consumption Updates'!$D:$D,J$1,'Cutters Consumption Updates'!$B:$B,$B238)-SUMIFS('Cutters Consumption Updates'!$E:$E,'Cutters Consumption Updates'!$D:$D,J$1,'Cutters Consumption Updates'!$B:$B,$B238)+ SUMIF('Cutters Consumption Updates'!$AS:$AS,$B238,'Cutters Consumption Updates'!AV:AV)</f>
        <v>0</v>
      </c>
      <c r="K238" s="738">
        <f>SUMIFS('Cutters Consumption Updates'!$F:$F,'Cutters Consumption Updates'!$D:$D,K$1,'Cutters Consumption Updates'!$B:$B,$B238)-SUMIFS('Cutters Consumption Updates'!$E:$E,'Cutters Consumption Updates'!$D:$D,K$1,'Cutters Consumption Updates'!$B:$B,$B238)+ SUMIF('Cutters Consumption Updates'!$AS:$AS,$B238,'Cutters Consumption Updates'!AW:AW)</f>
        <v>0</v>
      </c>
      <c r="L238" s="116">
        <f>SUMIFS('Cutters Consumption Updates'!$F:$F,'Cutters Consumption Updates'!$D:$D,L$1,'Cutters Consumption Updates'!$B:$B,$B238)-SUMIFS('Cutters Consumption Updates'!$E:$E,'Cutters Consumption Updates'!$D:$D,$L$1,'Cutters Consumption Updates'!$B:$B,$B238)+SUMIFS('Cutters Consumption Updates'!$F:$F,'Cutters Consumption Updates'!$D:$D,"Retrofit",'Cutters Consumption Updates'!$B:$B,$B238)-SUMIFS('Cutters Consumption Updates'!$E:$E,'Cutters Consumption Updates'!$D:$D,"Retrofit",'Cutters Consumption Updates'!$B:$B,$B238)+ SUMIF('Cutters Consumption Updates'!$AS:$AS,$B238,'Cutters Consumption Updates'!AX:AX)</f>
        <v>144</v>
      </c>
      <c r="M238" s="810">
        <f t="shared" si="21"/>
        <v>144</v>
      </c>
      <c r="N238" s="810">
        <f ca="1">SUMIFS('Cutters Consumption Updates'!E:E,
        'Cutters Consumption Updates'!B:B, B238,
        'Cutters Consumption Updates'!A:A, "&gt;" &amp; TODAY()-182)</f>
        <v>193</v>
      </c>
      <c r="O238" s="810">
        <f ca="1">SUMIFS('Cutters Consumption Updates'!E:E,
        'Cutters Consumption Updates'!B:B, B238,
        'Cutters Consumption Updates'!A:A, "&gt;" &amp; TODAY()-91)</f>
        <v>71</v>
      </c>
      <c r="P238" s="810">
        <f t="shared" ca="1" si="22"/>
        <v>65</v>
      </c>
      <c r="Q238" s="703">
        <f t="shared" ca="1" si="23"/>
        <v>70</v>
      </c>
      <c r="R238" s="703" t="s">
        <v>208</v>
      </c>
      <c r="S238" s="24">
        <f>IFERROR(INDEX(Table5[],MATCH($B238,Table5[Component],0),2),0)</f>
        <v>243</v>
      </c>
      <c r="T238" s="813">
        <f>SUMIFS(Table7[Balance],Table7[Cutter Mat'#],$B238)</f>
        <v>15</v>
      </c>
      <c r="U238" s="24">
        <f t="shared" si="24"/>
        <v>-84</v>
      </c>
      <c r="V238" s="119"/>
      <c r="W238" s="2"/>
      <c r="Y238" s="4">
        <f>IFERROR(INDEX(Table5[],MATCH($B238,Table5[Component],0),2),0)</f>
        <v>243</v>
      </c>
      <c r="Z238" s="4">
        <f>IFERROR(INDEX(Table5[],MATCH($B238,Table5[Component],0),1),0)</f>
        <v>1282370</v>
      </c>
      <c r="AA238" s="4">
        <f>IF(Y238&lt;&gt;0,B238,"")</f>
        <v>1282370</v>
      </c>
      <c r="AB238" s="4" t="str">
        <f t="shared" si="25"/>
        <v/>
      </c>
      <c r="AD238" s="4">
        <f t="shared" si="26"/>
        <v>144</v>
      </c>
      <c r="AI238" s="248" t="str">
        <f>IFERROR(INDEX($B$1:$AK$243,MATCH(W238,$B$1:$B$243,0),13),"")</f>
        <v/>
      </c>
      <c r="AJ238" s="248" t="str">
        <f>IFERROR(INDEX($B$1:$AK$243,MATCH(W238,$B$1:$B$243,0),15),"")</f>
        <v/>
      </c>
      <c r="AK238">
        <f>SUMIF($W$2:$W$243,B238,$S$2:$S$243)</f>
        <v>0</v>
      </c>
      <c r="AN238" s="4"/>
      <c r="AO238" s="4"/>
      <c r="AP238">
        <f t="shared" si="27"/>
        <v>15</v>
      </c>
      <c r="AQ238" s="4"/>
      <c r="AR238" s="4">
        <v>1231982</v>
      </c>
      <c r="AS238">
        <f>SUMIF($B:$B,AR238,$AP:$AP)</f>
        <v>0</v>
      </c>
    </row>
    <row r="239" spans="1:45" ht="15.5" x14ac:dyDescent="0.35">
      <c r="A239" s="2">
        <v>243</v>
      </c>
      <c r="B239" s="258">
        <v>1272309</v>
      </c>
      <c r="C239" s="2" t="s">
        <v>3613</v>
      </c>
      <c r="D239" s="2" t="s">
        <v>209</v>
      </c>
      <c r="E239" s="2">
        <v>1313</v>
      </c>
      <c r="F239" s="2" t="s">
        <v>109</v>
      </c>
      <c r="G239" s="2" t="s">
        <v>4407</v>
      </c>
      <c r="H239" s="10">
        <f>SUMIFS('Cutters Consumption Updates'!$F:$F,'Cutters Consumption Updates'!$D:$D,H$1,'Cutters Consumption Updates'!$B:$B,$B239)-SUMIFS('Cutters Consumption Updates'!$E:$E,'Cutters Consumption Updates'!$D:$D,H$1,'Cutters Consumption Updates'!$B:$B,$B239)+ SUMIF('Cutters Consumption Updates'!$AS:$AS,$B239,'Cutters Consumption Updates'!AT:AT)</f>
        <v>0</v>
      </c>
      <c r="I239" s="10">
        <f>SUMIFS('Cutters Consumption Updates'!$F:$F,'Cutters Consumption Updates'!$D:$D,I$1,'Cutters Consumption Updates'!$B:$B,$B239)-SUMIFS('Cutters Consumption Updates'!$E:$E,'Cutters Consumption Updates'!$D:$D,I$1,'Cutters Consumption Updates'!$B:$B,$B239)+ SUMIF('Cutters Consumption Updates'!$AS:$AS,$B239,'Cutters Consumption Updates'!AU:AU)</f>
        <v>0</v>
      </c>
      <c r="J239" s="116">
        <f>SUMIFS('Cutters Consumption Updates'!$F:$F,'Cutters Consumption Updates'!$D:$D,J$1,'Cutters Consumption Updates'!$B:$B,$B239)-SUMIFS('Cutters Consumption Updates'!$E:$E,'Cutters Consumption Updates'!$D:$D,J$1,'Cutters Consumption Updates'!$B:$B,$B239)+ SUMIF('Cutters Consumption Updates'!$AS:$AS,$B239,'Cutters Consumption Updates'!AV:AV)</f>
        <v>0</v>
      </c>
      <c r="K239" s="738">
        <f>SUMIFS('Cutters Consumption Updates'!$F:$F,'Cutters Consumption Updates'!$D:$D,K$1,'Cutters Consumption Updates'!$B:$B,$B239)-SUMIFS('Cutters Consumption Updates'!$E:$E,'Cutters Consumption Updates'!$D:$D,K$1,'Cutters Consumption Updates'!$B:$B,$B239)+ SUMIF('Cutters Consumption Updates'!$AS:$AS,$B239,'Cutters Consumption Updates'!AW:AW)</f>
        <v>4</v>
      </c>
      <c r="L239" s="116">
        <f>SUMIFS('Cutters Consumption Updates'!$F:$F,'Cutters Consumption Updates'!$D:$D,L$1,'Cutters Consumption Updates'!$B:$B,$B239)-SUMIFS('Cutters Consumption Updates'!$E:$E,'Cutters Consumption Updates'!$D:$D,$L$1,'Cutters Consumption Updates'!$B:$B,$B239)+SUMIFS('Cutters Consumption Updates'!$F:$F,'Cutters Consumption Updates'!$D:$D,"Retrofit",'Cutters Consumption Updates'!$B:$B,$B239)-SUMIFS('Cutters Consumption Updates'!$E:$E,'Cutters Consumption Updates'!$D:$D,"Retrofit",'Cutters Consumption Updates'!$B:$B,$B239)+ SUMIF('Cutters Consumption Updates'!$AS:$AS,$B239,'Cutters Consumption Updates'!AX:AX)</f>
        <v>0</v>
      </c>
      <c r="M239" s="810">
        <f t="shared" si="21"/>
        <v>0</v>
      </c>
      <c r="N239" s="810">
        <f ca="1">SUMIFS('Cutters Consumption Updates'!E:E,
        'Cutters Consumption Updates'!B:B, B239,
        'Cutters Consumption Updates'!A:A, "&gt;" &amp; TODAY()-182)</f>
        <v>16</v>
      </c>
      <c r="O239" s="810">
        <f ca="1">SUMIFS('Cutters Consumption Updates'!E:E,
        'Cutters Consumption Updates'!B:B, B239,
        'Cutters Consumption Updates'!A:A, "&gt;" &amp; TODAY()-91)</f>
        <v>2</v>
      </c>
      <c r="P239" s="810">
        <f t="shared" ca="1" si="22"/>
        <v>6</v>
      </c>
      <c r="Q239" s="703">
        <f t="shared" ca="1" si="23"/>
        <v>10</v>
      </c>
      <c r="R239" s="703" t="s">
        <v>181</v>
      </c>
      <c r="S239" s="24">
        <f>IFERROR(INDEX(Table5[],MATCH($B239,Table5[Component],0),2),0)</f>
        <v>0</v>
      </c>
      <c r="T239" s="813">
        <f>SUMIFS(Table7[Balance],Table7[Cutter Mat'#],$B239)</f>
        <v>0</v>
      </c>
      <c r="U239" s="24">
        <f t="shared" si="24"/>
        <v>0</v>
      </c>
      <c r="V239" s="119"/>
      <c r="W239" s="2"/>
      <c r="Y239" s="4">
        <f>IFERROR(INDEX(Table5[],MATCH($B239,Table5[Component],0),2),0)</f>
        <v>0</v>
      </c>
      <c r="Z239" s="4">
        <f>IFERROR(INDEX(Table5[],MATCH($B239,Table5[Component],0),1),0)</f>
        <v>0</v>
      </c>
      <c r="AA239" s="4" t="str">
        <f>IF(Y239&lt;&gt;0,B239,"")</f>
        <v/>
      </c>
      <c r="AB239" s="4" t="str">
        <f t="shared" si="25"/>
        <v/>
      </c>
      <c r="AD239" s="4">
        <f t="shared" si="26"/>
        <v>0</v>
      </c>
      <c r="AI239" s="248" t="str">
        <f>IFERROR(INDEX($B$1:$AK$243,MATCH(W239,$B$1:$B$243,0),13),"")</f>
        <v/>
      </c>
      <c r="AJ239" s="248" t="str">
        <f>IFERROR(INDEX($B$1:$AK$243,MATCH(W239,$B$1:$B$243,0),15),"")</f>
        <v/>
      </c>
      <c r="AK239">
        <f>SUMIF($W$2:$W$243,B239,$S$2:$S$243)</f>
        <v>0</v>
      </c>
      <c r="AN239" s="4"/>
      <c r="AO239" s="4"/>
      <c r="AP239">
        <f t="shared" si="27"/>
        <v>0</v>
      </c>
      <c r="AQ239" s="4"/>
      <c r="AR239" s="4">
        <v>1232092</v>
      </c>
      <c r="AS239">
        <f>SUMIF($B:$B,AR239,$AP:$AP)</f>
        <v>0</v>
      </c>
    </row>
    <row r="240" spans="1:45" ht="15.5" x14ac:dyDescent="0.35">
      <c r="A240" s="2">
        <v>244</v>
      </c>
      <c r="B240" s="258">
        <v>1263823</v>
      </c>
      <c r="C240" s="2" t="s">
        <v>959</v>
      </c>
      <c r="D240" s="2" t="s">
        <v>210</v>
      </c>
      <c r="E240" s="2">
        <v>1613</v>
      </c>
      <c r="F240" s="2" t="s">
        <v>109</v>
      </c>
      <c r="G240" s="2" t="s">
        <v>4401</v>
      </c>
      <c r="H240" s="10">
        <f>SUMIFS('Cutters Consumption Updates'!$F:$F,'Cutters Consumption Updates'!$D:$D,H$1,'Cutters Consumption Updates'!$B:$B,$B240)-SUMIFS('Cutters Consumption Updates'!$E:$E,'Cutters Consumption Updates'!$D:$D,H$1,'Cutters Consumption Updates'!$B:$B,$B240)+ SUMIF('Cutters Consumption Updates'!$AS:$AS,$B240,'Cutters Consumption Updates'!AT:AT)</f>
        <v>0</v>
      </c>
      <c r="I240" s="10">
        <f>SUMIFS('Cutters Consumption Updates'!$F:$F,'Cutters Consumption Updates'!$D:$D,I$1,'Cutters Consumption Updates'!$B:$B,$B240)-SUMIFS('Cutters Consumption Updates'!$E:$E,'Cutters Consumption Updates'!$D:$D,I$1,'Cutters Consumption Updates'!$B:$B,$B240)+ SUMIF('Cutters Consumption Updates'!$AS:$AS,$B240,'Cutters Consumption Updates'!AU:AU)</f>
        <v>0</v>
      </c>
      <c r="J240" s="116">
        <f>SUMIFS('Cutters Consumption Updates'!$F:$F,'Cutters Consumption Updates'!$D:$D,J$1,'Cutters Consumption Updates'!$B:$B,$B240)-SUMIFS('Cutters Consumption Updates'!$E:$E,'Cutters Consumption Updates'!$D:$D,J$1,'Cutters Consumption Updates'!$B:$B,$B240)+ SUMIF('Cutters Consumption Updates'!$AS:$AS,$B240,'Cutters Consumption Updates'!AV:AV)</f>
        <v>0</v>
      </c>
      <c r="K240" s="738">
        <f>SUMIFS('Cutters Consumption Updates'!$F:$F,'Cutters Consumption Updates'!$D:$D,K$1,'Cutters Consumption Updates'!$B:$B,$B240)-SUMIFS('Cutters Consumption Updates'!$E:$E,'Cutters Consumption Updates'!$D:$D,K$1,'Cutters Consumption Updates'!$B:$B,$B240)+ SUMIF('Cutters Consumption Updates'!$AS:$AS,$B240,'Cutters Consumption Updates'!AW:AW)</f>
        <v>0</v>
      </c>
      <c r="L240" s="116">
        <f>SUMIFS('Cutters Consumption Updates'!$F:$F,'Cutters Consumption Updates'!$D:$D,L$1,'Cutters Consumption Updates'!$B:$B,$B240)-SUMIFS('Cutters Consumption Updates'!$E:$E,'Cutters Consumption Updates'!$D:$D,$L$1,'Cutters Consumption Updates'!$B:$B,$B240)+SUMIFS('Cutters Consumption Updates'!$F:$F,'Cutters Consumption Updates'!$D:$D,"Retrofit",'Cutters Consumption Updates'!$B:$B,$B240)-SUMIFS('Cutters Consumption Updates'!$E:$E,'Cutters Consumption Updates'!$D:$D,"Retrofit",'Cutters Consumption Updates'!$B:$B,$B240)+ SUMIF('Cutters Consumption Updates'!$AS:$AS,$B240,'Cutters Consumption Updates'!AX:AX)</f>
        <v>72</v>
      </c>
      <c r="M240" s="810">
        <f t="shared" si="21"/>
        <v>72</v>
      </c>
      <c r="N240" s="810">
        <f ca="1">SUMIFS('Cutters Consumption Updates'!E:E,
        'Cutters Consumption Updates'!B:B, B240,
        'Cutters Consumption Updates'!A:A, "&gt;" &amp; TODAY()-182)</f>
        <v>57</v>
      </c>
      <c r="O240" s="810">
        <f ca="1">SUMIFS('Cutters Consumption Updates'!E:E,
        'Cutters Consumption Updates'!B:B, B240,
        'Cutters Consumption Updates'!A:A, "&gt;" &amp; TODAY()-91)</f>
        <v>0</v>
      </c>
      <c r="P240" s="810">
        <f t="shared" ca="1" si="22"/>
        <v>19</v>
      </c>
      <c r="Q240" s="703">
        <f t="shared" ca="1" si="23"/>
        <v>25</v>
      </c>
      <c r="R240" s="703" t="s">
        <v>175</v>
      </c>
      <c r="S240" s="24">
        <f>IFERROR(INDEX(Table5[],MATCH($B240,Table5[Component],0),2),0)</f>
        <v>0</v>
      </c>
      <c r="T240" s="813">
        <f>SUMIFS(Table7[Balance],Table7[Cutter Mat'#],$B240)</f>
        <v>0</v>
      </c>
      <c r="U240" s="24">
        <f t="shared" si="24"/>
        <v>72</v>
      </c>
      <c r="V240" s="119"/>
      <c r="W240" s="2"/>
      <c r="Y240" s="4">
        <f>IFERROR(INDEX(Table5[],MATCH($B240,Table5[Component],0),2),0)</f>
        <v>0</v>
      </c>
      <c r="Z240" s="4">
        <f>IFERROR(INDEX(Table5[],MATCH($B240,Table5[Component],0),1),0)</f>
        <v>0</v>
      </c>
      <c r="AA240" s="4" t="str">
        <f>IF(Y240&lt;&gt;0,B240,"")</f>
        <v/>
      </c>
      <c r="AB240" s="4" t="str">
        <f t="shared" si="25"/>
        <v/>
      </c>
      <c r="AD240" s="4">
        <f t="shared" si="26"/>
        <v>72</v>
      </c>
      <c r="AI240" s="248" t="str">
        <f>IFERROR(INDEX($B$1:$AK$243,MATCH(W240,$B$1:$B$243,0),13),"")</f>
        <v/>
      </c>
      <c r="AJ240" s="248" t="str">
        <f>IFERROR(INDEX($B$1:$AK$243,MATCH(W240,$B$1:$B$243,0),15),"")</f>
        <v/>
      </c>
      <c r="AK240">
        <f>SUMIF($W$2:$W$243,B240,$S$2:$S$243)</f>
        <v>0</v>
      </c>
      <c r="AN240" s="4"/>
      <c r="AO240" s="4"/>
      <c r="AP240">
        <f t="shared" si="27"/>
        <v>0</v>
      </c>
      <c r="AQ240" s="4"/>
      <c r="AR240" s="4">
        <v>1233855</v>
      </c>
      <c r="AS240">
        <f>SUMIF($B:$B,AR240,$AP:$AP)</f>
        <v>0</v>
      </c>
    </row>
    <row r="241" spans="1:45" ht="15.5" x14ac:dyDescent="0.35">
      <c r="A241" s="2">
        <v>245</v>
      </c>
      <c r="B241" s="258">
        <v>1199261</v>
      </c>
      <c r="C241" s="2" t="s">
        <v>4408</v>
      </c>
      <c r="D241" s="2" t="s">
        <v>139</v>
      </c>
      <c r="E241" s="2">
        <v>1010</v>
      </c>
      <c r="F241" s="2" t="s">
        <v>253</v>
      </c>
      <c r="G241" s="2" t="s">
        <v>4314</v>
      </c>
      <c r="H241" s="10">
        <f>SUMIFS('Cutters Consumption Updates'!$F:$F,'Cutters Consumption Updates'!$D:$D,H$1,'Cutters Consumption Updates'!$B:$B,$B241)-SUMIFS('Cutters Consumption Updates'!$E:$E,'Cutters Consumption Updates'!$D:$D,H$1,'Cutters Consumption Updates'!$B:$B,$B241)+ SUMIF('Cutters Consumption Updates'!$AS:$AS,$B241,'Cutters Consumption Updates'!AT:AT)</f>
        <v>0</v>
      </c>
      <c r="I241" s="10">
        <f>SUMIFS('Cutters Consumption Updates'!$F:$F,'Cutters Consumption Updates'!$D:$D,I$1,'Cutters Consumption Updates'!$B:$B,$B241)-SUMIFS('Cutters Consumption Updates'!$E:$E,'Cutters Consumption Updates'!$D:$D,I$1,'Cutters Consumption Updates'!$B:$B,$B241)+ SUMIF('Cutters Consumption Updates'!$AS:$AS,$B241,'Cutters Consumption Updates'!AU:AU)</f>
        <v>0</v>
      </c>
      <c r="J241" s="116">
        <f>SUMIFS('Cutters Consumption Updates'!$F:$F,'Cutters Consumption Updates'!$D:$D,J$1,'Cutters Consumption Updates'!$B:$B,$B241)-SUMIFS('Cutters Consumption Updates'!$E:$E,'Cutters Consumption Updates'!$D:$D,J$1,'Cutters Consumption Updates'!$B:$B,$B241)+ SUMIF('Cutters Consumption Updates'!$AS:$AS,$B241,'Cutters Consumption Updates'!AV:AV)</f>
        <v>0</v>
      </c>
      <c r="K241" s="738">
        <f>SUMIFS('Cutters Consumption Updates'!$F:$F,'Cutters Consumption Updates'!$D:$D,K$1,'Cutters Consumption Updates'!$B:$B,$B241)-SUMIFS('Cutters Consumption Updates'!$E:$E,'Cutters Consumption Updates'!$D:$D,K$1,'Cutters Consumption Updates'!$B:$B,$B241)+ SUMIF('Cutters Consumption Updates'!$AS:$AS,$B241,'Cutters Consumption Updates'!AW:AW)</f>
        <v>0</v>
      </c>
      <c r="L241" s="116">
        <f>SUMIFS('Cutters Consumption Updates'!$F:$F,'Cutters Consumption Updates'!$D:$D,L$1,'Cutters Consumption Updates'!$B:$B,$B241)-SUMIFS('Cutters Consumption Updates'!$E:$E,'Cutters Consumption Updates'!$D:$D,$L$1,'Cutters Consumption Updates'!$B:$B,$B241)+SUMIFS('Cutters Consumption Updates'!$F:$F,'Cutters Consumption Updates'!$D:$D,"Retrofit",'Cutters Consumption Updates'!$B:$B,$B241)-SUMIFS('Cutters Consumption Updates'!$E:$E,'Cutters Consumption Updates'!$D:$D,"Retrofit",'Cutters Consumption Updates'!$B:$B,$B241)+ SUMIF('Cutters Consumption Updates'!$AS:$AS,$B241,'Cutters Consumption Updates'!AX:AX)</f>
        <v>-19</v>
      </c>
      <c r="M241" s="810">
        <f t="shared" si="21"/>
        <v>-19</v>
      </c>
      <c r="N241" s="810">
        <f ca="1">SUMIFS('Cutters Consumption Updates'!E:E,
        'Cutters Consumption Updates'!B:B, B241,
        'Cutters Consumption Updates'!A:A, "&gt;" &amp; TODAY()-182)</f>
        <v>206</v>
      </c>
      <c r="O241" s="810">
        <f ca="1">SUMIFS('Cutters Consumption Updates'!E:E,
        'Cutters Consumption Updates'!B:B, B241,
        'Cutters Consumption Updates'!A:A, "&gt;" &amp; TODAY()-91)</f>
        <v>180</v>
      </c>
      <c r="P241" s="810">
        <f t="shared" ca="1" si="22"/>
        <v>69</v>
      </c>
      <c r="Q241" s="703">
        <f t="shared" ca="1" si="23"/>
        <v>75</v>
      </c>
      <c r="R241" s="703" t="s">
        <v>29</v>
      </c>
      <c r="S241" s="24">
        <f>IFERROR(INDEX(Table5[],MATCH($B241,Table5[Component],0),2),0)</f>
        <v>208</v>
      </c>
      <c r="T241" s="813">
        <f>SUMIFS(Table7[Balance],Table7[Cutter Mat'#],$B241)</f>
        <v>50</v>
      </c>
      <c r="U241" s="24">
        <f t="shared" si="24"/>
        <v>-177</v>
      </c>
      <c r="V241" s="119"/>
      <c r="W241" s="2"/>
      <c r="Y241" s="4">
        <f>IFERROR(INDEX(Table5[],MATCH($B241,Table5[Component],0),2),0)</f>
        <v>208</v>
      </c>
      <c r="Z241" s="4">
        <f>IFERROR(INDEX(Table5[],MATCH($B241,Table5[Component],0),1),0)</f>
        <v>1199261</v>
      </c>
      <c r="AA241" s="4">
        <f>IF(Y241&lt;&gt;0,B241,"")</f>
        <v>1199261</v>
      </c>
      <c r="AB241" s="4" t="str">
        <f t="shared" si="25"/>
        <v/>
      </c>
      <c r="AD241" s="4">
        <f t="shared" si="26"/>
        <v>-19</v>
      </c>
      <c r="AI241" s="248" t="str">
        <f>IFERROR(INDEX($B$1:$AK$243,MATCH(W241,$B$1:$B$243,0),13),"")</f>
        <v/>
      </c>
      <c r="AJ241" s="248" t="str">
        <f>IFERROR(INDEX($B$1:$AK$243,MATCH(W241,$B$1:$B$243,0),15),"")</f>
        <v/>
      </c>
      <c r="AK241">
        <f>SUMIF($W$2:$W$243,B241,$S$2:$S$243)</f>
        <v>0</v>
      </c>
      <c r="AN241" s="4"/>
      <c r="AO241" s="4"/>
      <c r="AP241">
        <f t="shared" si="27"/>
        <v>50</v>
      </c>
      <c r="AQ241" s="4"/>
      <c r="AR241" s="4">
        <v>1234189</v>
      </c>
      <c r="AS241">
        <f>SUMIF($B:$B,AR241,$AP:$AP)</f>
        <v>0</v>
      </c>
    </row>
    <row r="242" spans="1:45" ht="15.5" x14ac:dyDescent="0.35">
      <c r="A242" s="2">
        <v>246</v>
      </c>
      <c r="B242" s="258">
        <v>1230916</v>
      </c>
      <c r="C242" s="2" t="s">
        <v>4409</v>
      </c>
      <c r="D242" s="2" t="s">
        <v>139</v>
      </c>
      <c r="E242" s="2">
        <v>1005</v>
      </c>
      <c r="F242" s="2" t="s">
        <v>253</v>
      </c>
      <c r="G242" s="2" t="s">
        <v>4395</v>
      </c>
      <c r="H242" s="10">
        <f>SUMIFS('Cutters Consumption Updates'!$F:$F,'Cutters Consumption Updates'!$D:$D,H$1,'Cutters Consumption Updates'!$B:$B,$B242)-SUMIFS('Cutters Consumption Updates'!$E:$E,'Cutters Consumption Updates'!$D:$D,H$1,'Cutters Consumption Updates'!$B:$B,$B242)+ SUMIF('Cutters Consumption Updates'!$AS:$AS,$B242,'Cutters Consumption Updates'!AT:AT)</f>
        <v>0</v>
      </c>
      <c r="I242" s="10">
        <f>SUMIFS('Cutters Consumption Updates'!$F:$F,'Cutters Consumption Updates'!$D:$D,I$1,'Cutters Consumption Updates'!$B:$B,$B242)-SUMIFS('Cutters Consumption Updates'!$E:$E,'Cutters Consumption Updates'!$D:$D,I$1,'Cutters Consumption Updates'!$B:$B,$B242)+ SUMIF('Cutters Consumption Updates'!$AS:$AS,$B242,'Cutters Consumption Updates'!AU:AU)</f>
        <v>0</v>
      </c>
      <c r="J242" s="116">
        <f>SUMIFS('Cutters Consumption Updates'!$F:$F,'Cutters Consumption Updates'!$D:$D,J$1,'Cutters Consumption Updates'!$B:$B,$B242)-SUMIFS('Cutters Consumption Updates'!$E:$E,'Cutters Consumption Updates'!$D:$D,J$1,'Cutters Consumption Updates'!$B:$B,$B242)+ SUMIF('Cutters Consumption Updates'!$AS:$AS,$B242,'Cutters Consumption Updates'!AV:AV)</f>
        <v>0</v>
      </c>
      <c r="K242" s="738">
        <f>SUMIFS('Cutters Consumption Updates'!$F:$F,'Cutters Consumption Updates'!$D:$D,K$1,'Cutters Consumption Updates'!$B:$B,$B242)-SUMIFS('Cutters Consumption Updates'!$E:$E,'Cutters Consumption Updates'!$D:$D,K$1,'Cutters Consumption Updates'!$B:$B,$B242)+ SUMIF('Cutters Consumption Updates'!$AS:$AS,$B242,'Cutters Consumption Updates'!AW:AW)</f>
        <v>0</v>
      </c>
      <c r="L242" s="116">
        <f>SUMIFS('Cutters Consumption Updates'!$F:$F,'Cutters Consumption Updates'!$D:$D,L$1,'Cutters Consumption Updates'!$B:$B,$B242)-SUMIFS('Cutters Consumption Updates'!$E:$E,'Cutters Consumption Updates'!$D:$D,$L$1,'Cutters Consumption Updates'!$B:$B,$B242)+SUMIFS('Cutters Consumption Updates'!$F:$F,'Cutters Consumption Updates'!$D:$D,"Retrofit",'Cutters Consumption Updates'!$B:$B,$B242)-SUMIFS('Cutters Consumption Updates'!$E:$E,'Cutters Consumption Updates'!$D:$D,"Retrofit",'Cutters Consumption Updates'!$B:$B,$B242)+ SUMIF('Cutters Consumption Updates'!$AS:$AS,$B242,'Cutters Consumption Updates'!AX:AX)</f>
        <v>35</v>
      </c>
      <c r="M242" s="810">
        <f t="shared" si="21"/>
        <v>35</v>
      </c>
      <c r="N242" s="810">
        <f ca="1">SUMIFS('Cutters Consumption Updates'!E:E,
        'Cutters Consumption Updates'!B:B, B242,
        'Cutters Consumption Updates'!A:A, "&gt;" &amp; TODAY()-182)</f>
        <v>45</v>
      </c>
      <c r="O242" s="810">
        <f ca="1">SUMIFS('Cutters Consumption Updates'!E:E,
        'Cutters Consumption Updates'!B:B, B242,
        'Cutters Consumption Updates'!A:A, "&gt;" &amp; TODAY()-91)</f>
        <v>37</v>
      </c>
      <c r="P242" s="810">
        <f t="shared" ca="1" si="22"/>
        <v>15</v>
      </c>
      <c r="Q242" s="703">
        <f t="shared" ca="1" si="23"/>
        <v>20</v>
      </c>
      <c r="R242" s="703" t="s">
        <v>29</v>
      </c>
      <c r="S242" s="24">
        <f>IFERROR(INDEX(Table5[],MATCH($B242,Table5[Component],0),2),0)</f>
        <v>0</v>
      </c>
      <c r="T242" s="813">
        <f>SUMIFS(Table7[Balance],Table7[Cutter Mat'#],$B242)</f>
        <v>0</v>
      </c>
      <c r="U242" s="24">
        <f t="shared" si="24"/>
        <v>35</v>
      </c>
      <c r="V242" s="119"/>
      <c r="W242" s="2"/>
      <c r="Y242" s="4">
        <f>IFERROR(INDEX(Table5[],MATCH($B242,Table5[Component],0),2),0)</f>
        <v>0</v>
      </c>
      <c r="Z242" s="4">
        <f>IFERROR(INDEX(Table5[],MATCH($B242,Table5[Component],0),1),0)</f>
        <v>0</v>
      </c>
      <c r="AA242" s="4" t="str">
        <f>IF(Y242&lt;&gt;0,B242,"")</f>
        <v/>
      </c>
      <c r="AB242" s="4" t="str">
        <f t="shared" si="25"/>
        <v/>
      </c>
      <c r="AD242" s="4">
        <f t="shared" si="26"/>
        <v>35</v>
      </c>
      <c r="AI242" s="248" t="str">
        <f>IFERROR(INDEX($B$1:$AK$243,MATCH(W242,$B$1:$B$243,0),13),"")</f>
        <v/>
      </c>
      <c r="AJ242" s="248" t="str">
        <f>IFERROR(INDEX($B$1:$AK$243,MATCH(W242,$B$1:$B$243,0),15),"")</f>
        <v/>
      </c>
      <c r="AK242">
        <f>SUMIF($W$2:$W$243,B242,$S$2:$S$243)</f>
        <v>0</v>
      </c>
      <c r="AN242" s="4"/>
      <c r="AO242" s="4"/>
      <c r="AP242">
        <f t="shared" si="27"/>
        <v>0</v>
      </c>
      <c r="AQ242" s="4"/>
      <c r="AR242" s="4">
        <v>1234679</v>
      </c>
      <c r="AS242">
        <f>SUMIF($B:$B,AR242,$AP:$AP)</f>
        <v>0</v>
      </c>
    </row>
    <row r="243" spans="1:45" ht="15.5" x14ac:dyDescent="0.35">
      <c r="A243" s="2">
        <v>247</v>
      </c>
      <c r="B243" s="258">
        <v>1288721</v>
      </c>
      <c r="C243" s="2" t="s">
        <v>4410</v>
      </c>
      <c r="D243" s="2" t="s">
        <v>211</v>
      </c>
      <c r="E243" s="2">
        <v>1613</v>
      </c>
      <c r="F243" s="2" t="s">
        <v>177</v>
      </c>
      <c r="G243" s="2" t="s">
        <v>4411</v>
      </c>
      <c r="H243" s="10">
        <f>SUMIFS('Cutters Consumption Updates'!$F:$F,'Cutters Consumption Updates'!$D:$D,H$1,'Cutters Consumption Updates'!$B:$B,$B243)-SUMIFS('Cutters Consumption Updates'!$E:$E,'Cutters Consumption Updates'!$D:$D,H$1,'Cutters Consumption Updates'!$B:$B,$B243)+ SUMIF('Cutters Consumption Updates'!$AS:$AS,$B243,'Cutters Consumption Updates'!AT:AT)</f>
        <v>0</v>
      </c>
      <c r="I243" s="10">
        <f>SUMIFS('Cutters Consumption Updates'!$F:$F,'Cutters Consumption Updates'!$D:$D,I$1,'Cutters Consumption Updates'!$B:$B,$B243)-SUMIFS('Cutters Consumption Updates'!$E:$E,'Cutters Consumption Updates'!$D:$D,I$1,'Cutters Consumption Updates'!$B:$B,$B243)+ SUMIF('Cutters Consumption Updates'!$AS:$AS,$B243,'Cutters Consumption Updates'!AU:AU)</f>
        <v>0</v>
      </c>
      <c r="J243" s="116">
        <f>SUMIFS('Cutters Consumption Updates'!$F:$F,'Cutters Consumption Updates'!$D:$D,J$1,'Cutters Consumption Updates'!$B:$B,$B243)-SUMIFS('Cutters Consumption Updates'!$E:$E,'Cutters Consumption Updates'!$D:$D,J$1,'Cutters Consumption Updates'!$B:$B,$B243)+ SUMIF('Cutters Consumption Updates'!$AS:$AS,$B243,'Cutters Consumption Updates'!AV:AV)</f>
        <v>7</v>
      </c>
      <c r="K243" s="738">
        <f>SUMIFS('Cutters Consumption Updates'!$F:$F,'Cutters Consumption Updates'!$D:$D,K$1,'Cutters Consumption Updates'!$B:$B,$B243)-SUMIFS('Cutters Consumption Updates'!$E:$E,'Cutters Consumption Updates'!$D:$D,K$1,'Cutters Consumption Updates'!$B:$B,$B243)+ SUMIF('Cutters Consumption Updates'!$AS:$AS,$B243,'Cutters Consumption Updates'!AW:AW)</f>
        <v>0</v>
      </c>
      <c r="L243" s="116">
        <f>SUMIFS('Cutters Consumption Updates'!$F:$F,'Cutters Consumption Updates'!$D:$D,L$1,'Cutters Consumption Updates'!$B:$B,$B243)-SUMIFS('Cutters Consumption Updates'!$E:$E,'Cutters Consumption Updates'!$D:$D,$L$1,'Cutters Consumption Updates'!$B:$B,$B243)+SUMIFS('Cutters Consumption Updates'!$F:$F,'Cutters Consumption Updates'!$D:$D,"Retrofit",'Cutters Consumption Updates'!$B:$B,$B243)-SUMIFS('Cutters Consumption Updates'!$E:$E,'Cutters Consumption Updates'!$D:$D,"Retrofit",'Cutters Consumption Updates'!$B:$B,$B243)+ SUMIF('Cutters Consumption Updates'!$AS:$AS,$B243,'Cutters Consumption Updates'!AX:AX)</f>
        <v>1</v>
      </c>
      <c r="M243" s="810">
        <f t="shared" si="21"/>
        <v>1</v>
      </c>
      <c r="N243" s="810">
        <f ca="1">SUMIFS('Cutters Consumption Updates'!E:E,
        'Cutters Consumption Updates'!B:B, B243,
        'Cutters Consumption Updates'!A:A, "&gt;" &amp; TODAY()-182)</f>
        <v>0</v>
      </c>
      <c r="O243" s="810">
        <f ca="1">SUMIFS('Cutters Consumption Updates'!E:E,
        'Cutters Consumption Updates'!B:B, B243,
        'Cutters Consumption Updates'!A:A, "&gt;" &amp; TODAY()-91)</f>
        <v>0</v>
      </c>
      <c r="P243" s="810">
        <f t="shared" ca="1" si="22"/>
        <v>0</v>
      </c>
      <c r="Q243" s="703">
        <f t="shared" ca="1" si="23"/>
        <v>0</v>
      </c>
      <c r="R243" s="703" t="s">
        <v>29</v>
      </c>
      <c r="S243" s="24">
        <f>IFERROR(INDEX(Table5[],MATCH($B243,Table5[Component],0),2),0)</f>
        <v>0</v>
      </c>
      <c r="T243" s="813">
        <f>SUMIFS(Table7[Balance],Table7[Cutter Mat'#],$B243)</f>
        <v>0</v>
      </c>
      <c r="U243" s="24">
        <f t="shared" si="24"/>
        <v>1</v>
      </c>
      <c r="V243" s="119"/>
      <c r="W243" s="2"/>
      <c r="Y243" s="4">
        <f>IFERROR(INDEX(Table5[],MATCH($B243,Table5[Component],0),2),0)</f>
        <v>0</v>
      </c>
      <c r="Z243" s="4">
        <f>IFERROR(INDEX(Table5[],MATCH($B243,Table5[Component],0),1),0)</f>
        <v>0</v>
      </c>
      <c r="AA243" s="4" t="str">
        <f>IF(Y243&lt;&gt;0,B243,"")</f>
        <v/>
      </c>
      <c r="AB243" s="4" t="str">
        <f t="shared" si="25"/>
        <v/>
      </c>
      <c r="AD243" s="4">
        <f t="shared" si="26"/>
        <v>8</v>
      </c>
      <c r="AI243" s="248" t="str">
        <f>IFERROR(INDEX($B$1:$AK$243,MATCH(W243,$B$1:$B$243,0),13),"")</f>
        <v/>
      </c>
      <c r="AJ243" s="248" t="str">
        <f>IFERROR(INDEX($B$1:$AK$243,MATCH(W243,$B$1:$B$243,0),15),"")</f>
        <v/>
      </c>
      <c r="AK243">
        <f>SUMIF($W$2:$W$243,B243,$S$2:$S$243)</f>
        <v>0</v>
      </c>
      <c r="AN243" s="4"/>
      <c r="AO243" s="4"/>
      <c r="AP243">
        <f t="shared" si="27"/>
        <v>0</v>
      </c>
      <c r="AQ243" s="4"/>
      <c r="AR243" s="4">
        <v>1235963</v>
      </c>
      <c r="AS243">
        <f>SUMIF($B:$B,AR243,$AP:$AP)</f>
        <v>0</v>
      </c>
    </row>
    <row r="244" spans="1:45" ht="15.5" x14ac:dyDescent="0.35">
      <c r="A244" s="2">
        <v>248</v>
      </c>
      <c r="B244" s="258">
        <v>1282746</v>
      </c>
      <c r="C244" s="2" t="s">
        <v>4475</v>
      </c>
      <c r="D244" s="2" t="s">
        <v>202</v>
      </c>
      <c r="E244" s="2">
        <v>1913</v>
      </c>
      <c r="F244" s="2" t="s">
        <v>109</v>
      </c>
      <c r="G244" s="2" t="s">
        <v>4390</v>
      </c>
      <c r="H244" s="10">
        <f>SUMIFS('Cutters Consumption Updates'!$F:$F,'Cutters Consumption Updates'!$D:$D,H$1,'Cutters Consumption Updates'!$B:$B,$B244)-SUMIFS('Cutters Consumption Updates'!$E:$E,'Cutters Consumption Updates'!$D:$D,H$1,'Cutters Consumption Updates'!$B:$B,$B244)+ SUMIF('Cutters Consumption Updates'!$AS:$AS,$B244,'Cutters Consumption Updates'!AT:AT)</f>
        <v>0</v>
      </c>
      <c r="I244" s="10">
        <f>SUMIFS('Cutters Consumption Updates'!$F:$F,'Cutters Consumption Updates'!$D:$D,I$1,'Cutters Consumption Updates'!$B:$B,$B244)-SUMIFS('Cutters Consumption Updates'!$E:$E,'Cutters Consumption Updates'!$D:$D,I$1,'Cutters Consumption Updates'!$B:$B,$B244)+ SUMIF('Cutters Consumption Updates'!$AS:$AS,$B244,'Cutters Consumption Updates'!AU:AU)</f>
        <v>0</v>
      </c>
      <c r="J244" s="116">
        <f>SUMIFS('Cutters Consumption Updates'!$F:$F,'Cutters Consumption Updates'!$D:$D,J$1,'Cutters Consumption Updates'!$B:$B,$B244)-SUMIFS('Cutters Consumption Updates'!$E:$E,'Cutters Consumption Updates'!$D:$D,J$1,'Cutters Consumption Updates'!$B:$B,$B244)+ SUMIF('Cutters Consumption Updates'!$AS:$AS,$B244,'Cutters Consumption Updates'!AV:AV)</f>
        <v>0</v>
      </c>
      <c r="K244" s="738">
        <f>SUMIFS('Cutters Consumption Updates'!$F:$F,'Cutters Consumption Updates'!$D:$D,K$1,'Cutters Consumption Updates'!$B:$B,$B244)-SUMIFS('Cutters Consumption Updates'!$E:$E,'Cutters Consumption Updates'!$D:$D,K$1,'Cutters Consumption Updates'!$B:$B,$B244)+ SUMIF('Cutters Consumption Updates'!$AS:$AS,$B244,'Cutters Consumption Updates'!AW:AW)</f>
        <v>0</v>
      </c>
      <c r="L244" s="116">
        <f>SUMIFS('Cutters Consumption Updates'!$F:$F,'Cutters Consumption Updates'!$D:$D,L$1,'Cutters Consumption Updates'!$B:$B,$B244)-SUMIFS('Cutters Consumption Updates'!$E:$E,'Cutters Consumption Updates'!$D:$D,$L$1,'Cutters Consumption Updates'!$B:$B,$B244)+SUMIFS('Cutters Consumption Updates'!$F:$F,'Cutters Consumption Updates'!$D:$D,"Retrofit",'Cutters Consumption Updates'!$B:$B,$B244)-SUMIFS('Cutters Consumption Updates'!$E:$E,'Cutters Consumption Updates'!$D:$D,"Retrofit",'Cutters Consumption Updates'!$B:$B,$B244)+ SUMIF('Cutters Consumption Updates'!$AS:$AS,$B244,'Cutters Consumption Updates'!AX:AX)</f>
        <v>0</v>
      </c>
      <c r="M244" s="810">
        <f t="shared" si="21"/>
        <v>0</v>
      </c>
      <c r="N244" s="810">
        <f ca="1">SUMIFS('Cutters Consumption Updates'!E:E,
        'Cutters Consumption Updates'!B:B, B244,
        'Cutters Consumption Updates'!A:A, "&gt;" &amp; TODAY()-182)</f>
        <v>0</v>
      </c>
      <c r="O244" s="810">
        <f ca="1">SUMIFS('Cutters Consumption Updates'!E:E,
        'Cutters Consumption Updates'!B:B, B244,
        'Cutters Consumption Updates'!A:A, "&gt;" &amp; TODAY()-91)</f>
        <v>0</v>
      </c>
      <c r="P244" s="810">
        <f t="shared" ca="1" si="22"/>
        <v>0</v>
      </c>
      <c r="Q244" s="703">
        <f t="shared" ca="1" si="23"/>
        <v>0</v>
      </c>
      <c r="R244" s="703" t="s">
        <v>29</v>
      </c>
      <c r="S244" s="24">
        <f>IFERROR(INDEX(Table5[],MATCH($B244,Table5[Component],0),2),0)</f>
        <v>0</v>
      </c>
      <c r="T244" s="813">
        <f>SUMIFS(Table7[Balance],Table7[Cutter Mat'#],$B244)</f>
        <v>0</v>
      </c>
      <c r="U244" s="24">
        <f t="shared" si="24"/>
        <v>0</v>
      </c>
      <c r="V244" s="119"/>
      <c r="W244" s="2"/>
      <c r="Y244" s="4">
        <f>IFERROR(INDEX(Table5[],MATCH($B244,Table5[Component],0),2),0)</f>
        <v>0</v>
      </c>
      <c r="Z244" s="4">
        <f>IFERROR(INDEX(Table5[],MATCH($B244,Table5[Component],0),1),0)</f>
        <v>0</v>
      </c>
      <c r="AA244" s="4" t="str">
        <f>IF(Y244&lt;&gt;0,B244,"")</f>
        <v/>
      </c>
      <c r="AB244" s="4" t="str">
        <f t="shared" si="25"/>
        <v/>
      </c>
      <c r="AD244" s="4">
        <f t="shared" si="26"/>
        <v>0</v>
      </c>
      <c r="AI244" s="248" t="str">
        <f>IFERROR(INDEX($B$1:$AK$243,MATCH(W244,$B$1:$B$243,0),13),"")</f>
        <v/>
      </c>
      <c r="AJ244" s="248" t="str">
        <f>IFERROR(INDEX($B$1:$AK$243,MATCH(W244,$B$1:$B$243,0),15),"")</f>
        <v/>
      </c>
      <c r="AK244">
        <f>SUMIF($W$2:$W$243,B244,$S$2:$S$243)</f>
        <v>0</v>
      </c>
      <c r="AN244" s="4"/>
      <c r="AO244" s="4"/>
      <c r="AP244">
        <f t="shared" si="27"/>
        <v>0</v>
      </c>
      <c r="AQ244" s="4"/>
      <c r="AR244" s="4">
        <v>1238831</v>
      </c>
      <c r="AS244">
        <f>SUMIF($B:$B,AR244,$AP:$AP)</f>
        <v>0</v>
      </c>
    </row>
    <row r="245" spans="1:45" ht="15.5" x14ac:dyDescent="0.35">
      <c r="A245" s="2">
        <v>249</v>
      </c>
      <c r="B245" s="258">
        <v>1263929</v>
      </c>
      <c r="C245" s="2" t="s">
        <v>3619</v>
      </c>
      <c r="D245" s="2" t="s">
        <v>212</v>
      </c>
      <c r="E245" s="2">
        <v>1613</v>
      </c>
      <c r="F245" s="2" t="s">
        <v>177</v>
      </c>
      <c r="G245" s="2" t="s">
        <v>169</v>
      </c>
      <c r="H245" s="10">
        <f>SUMIFS('Cutters Consumption Updates'!$F:$F,'Cutters Consumption Updates'!$D:$D,H$1,'Cutters Consumption Updates'!$B:$B,$B245)-SUMIFS('Cutters Consumption Updates'!$E:$E,'Cutters Consumption Updates'!$D:$D,H$1,'Cutters Consumption Updates'!$B:$B,$B245)+ SUMIF('Cutters Consumption Updates'!$AS:$AS,$B245,'Cutters Consumption Updates'!AT:AT)</f>
        <v>0</v>
      </c>
      <c r="I245" s="10">
        <f>SUMIFS('Cutters Consumption Updates'!$F:$F,'Cutters Consumption Updates'!$D:$D,I$1,'Cutters Consumption Updates'!$B:$B,$B245)-SUMIFS('Cutters Consumption Updates'!$E:$E,'Cutters Consumption Updates'!$D:$D,I$1,'Cutters Consumption Updates'!$B:$B,$B245)+ SUMIF('Cutters Consumption Updates'!$AS:$AS,$B245,'Cutters Consumption Updates'!AU:AU)</f>
        <v>0</v>
      </c>
      <c r="J245" s="116">
        <f>SUMIFS('Cutters Consumption Updates'!$F:$F,'Cutters Consumption Updates'!$D:$D,J$1,'Cutters Consumption Updates'!$B:$B,$B245)-SUMIFS('Cutters Consumption Updates'!$E:$E,'Cutters Consumption Updates'!$D:$D,J$1,'Cutters Consumption Updates'!$B:$B,$B245)+ SUMIF('Cutters Consumption Updates'!$AS:$AS,$B245,'Cutters Consumption Updates'!AV:AV)</f>
        <v>0</v>
      </c>
      <c r="K245" s="738">
        <f>SUMIFS('Cutters Consumption Updates'!$F:$F,'Cutters Consumption Updates'!$D:$D,K$1,'Cutters Consumption Updates'!$B:$B,$B245)-SUMIFS('Cutters Consumption Updates'!$E:$E,'Cutters Consumption Updates'!$D:$D,K$1,'Cutters Consumption Updates'!$B:$B,$B245)+ SUMIF('Cutters Consumption Updates'!$AS:$AS,$B245,'Cutters Consumption Updates'!AW:AW)</f>
        <v>0</v>
      </c>
      <c r="L245" s="116">
        <f>SUMIFS('Cutters Consumption Updates'!$F:$F,'Cutters Consumption Updates'!$D:$D,L$1,'Cutters Consumption Updates'!$B:$B,$B245)-SUMIFS('Cutters Consumption Updates'!$E:$E,'Cutters Consumption Updates'!$D:$D,$L$1,'Cutters Consumption Updates'!$B:$B,$B245)+SUMIFS('Cutters Consumption Updates'!$F:$F,'Cutters Consumption Updates'!$D:$D,"Retrofit",'Cutters Consumption Updates'!$B:$B,$B245)-SUMIFS('Cutters Consumption Updates'!$E:$E,'Cutters Consumption Updates'!$D:$D,"Retrofit",'Cutters Consumption Updates'!$B:$B,$B245)+ SUMIF('Cutters Consumption Updates'!$AS:$AS,$B245,'Cutters Consumption Updates'!AX:AX)</f>
        <v>459</v>
      </c>
      <c r="M245" s="810">
        <f t="shared" si="21"/>
        <v>459</v>
      </c>
      <c r="N245" s="810">
        <f ca="1">SUMIFS('Cutters Consumption Updates'!E:E,
        'Cutters Consumption Updates'!B:B, B245,
        'Cutters Consumption Updates'!A:A, "&gt;" &amp; TODAY()-182)</f>
        <v>67</v>
      </c>
      <c r="O245" s="810">
        <f ca="1">SUMIFS('Cutters Consumption Updates'!E:E,
        'Cutters Consumption Updates'!B:B, B245,
        'Cutters Consumption Updates'!A:A, "&gt;" &amp; TODAY()-91)</f>
        <v>0</v>
      </c>
      <c r="P245" s="810">
        <f t="shared" ca="1" si="22"/>
        <v>23</v>
      </c>
      <c r="Q245" s="703">
        <f t="shared" ca="1" si="23"/>
        <v>25</v>
      </c>
      <c r="R245" s="703" t="s">
        <v>213</v>
      </c>
      <c r="S245" s="24">
        <f>IFERROR(INDEX(Table5[],MATCH($B245,Table5[Component],0),2),0)</f>
        <v>0</v>
      </c>
      <c r="T245" s="813">
        <f>SUMIFS(Table7[Balance],Table7[Cutter Mat'#],$B245)</f>
        <v>0</v>
      </c>
      <c r="U245" s="24">
        <f t="shared" si="24"/>
        <v>459</v>
      </c>
      <c r="V245" s="119"/>
      <c r="W245" s="2"/>
      <c r="Y245" s="4">
        <f>IFERROR(INDEX(Table5[],MATCH($B245,Table5[Component],0),2),0)</f>
        <v>0</v>
      </c>
      <c r="Z245" s="4">
        <f>IFERROR(INDEX(Table5[],MATCH($B245,Table5[Component],0),1),0)</f>
        <v>0</v>
      </c>
      <c r="AA245" s="4" t="str">
        <f>IF(Y245&lt;&gt;0,B245,"")</f>
        <v/>
      </c>
      <c r="AB245" s="4" t="str">
        <f t="shared" si="25"/>
        <v/>
      </c>
      <c r="AD245" s="4">
        <f t="shared" si="26"/>
        <v>459</v>
      </c>
      <c r="AI245" s="248" t="str">
        <f>IFERROR(INDEX($B$1:$AK$243,MATCH(W245,$B$1:$B$243,0),13),"")</f>
        <v/>
      </c>
      <c r="AJ245" s="248" t="str">
        <f>IFERROR(INDEX($B$1:$AK$243,MATCH(W245,$B$1:$B$243,0),15),"")</f>
        <v/>
      </c>
      <c r="AK245">
        <f>SUMIF($W$2:$W$243,B245,$S$2:$S$243)</f>
        <v>0</v>
      </c>
      <c r="AN245" s="4"/>
      <c r="AO245" s="4"/>
      <c r="AP245">
        <f t="shared" si="27"/>
        <v>0</v>
      </c>
      <c r="AQ245" s="4"/>
      <c r="AR245" s="4">
        <v>1238832</v>
      </c>
      <c r="AS245">
        <f>SUMIF($B:$B,AR245,$AP:$AP)</f>
        <v>0</v>
      </c>
    </row>
    <row r="246" spans="1:45" ht="15.5" x14ac:dyDescent="0.35">
      <c r="A246" s="2">
        <v>250</v>
      </c>
      <c r="B246" s="258">
        <v>1186963</v>
      </c>
      <c r="C246" s="2" t="s">
        <v>963</v>
      </c>
      <c r="D246" s="2" t="s">
        <v>205</v>
      </c>
      <c r="E246" s="2">
        <v>1313</v>
      </c>
      <c r="F246" s="2" t="s">
        <v>248</v>
      </c>
      <c r="G246" s="2" t="s">
        <v>4412</v>
      </c>
      <c r="H246" s="10">
        <f>SUMIFS('Cutters Consumption Updates'!$F:$F,'Cutters Consumption Updates'!$D:$D,H$1,'Cutters Consumption Updates'!$B:$B,$B246)-SUMIFS('Cutters Consumption Updates'!$E:$E,'Cutters Consumption Updates'!$D:$D,H$1,'Cutters Consumption Updates'!$B:$B,$B246)+ SUMIF('Cutters Consumption Updates'!$AS:$AS,$B246,'Cutters Consumption Updates'!AT:AT)</f>
        <v>0</v>
      </c>
      <c r="I246" s="10">
        <f>SUMIFS('Cutters Consumption Updates'!$F:$F,'Cutters Consumption Updates'!$D:$D,I$1,'Cutters Consumption Updates'!$B:$B,$B246)-SUMIFS('Cutters Consumption Updates'!$E:$E,'Cutters Consumption Updates'!$D:$D,I$1,'Cutters Consumption Updates'!$B:$B,$B246)+ SUMIF('Cutters Consumption Updates'!$AS:$AS,$B246,'Cutters Consumption Updates'!AU:AU)</f>
        <v>0</v>
      </c>
      <c r="J246" s="116">
        <f>SUMIFS('Cutters Consumption Updates'!$F:$F,'Cutters Consumption Updates'!$D:$D,J$1,'Cutters Consumption Updates'!$B:$B,$B246)-SUMIFS('Cutters Consumption Updates'!$E:$E,'Cutters Consumption Updates'!$D:$D,J$1,'Cutters Consumption Updates'!$B:$B,$B246)+ SUMIF('Cutters Consumption Updates'!$AS:$AS,$B246,'Cutters Consumption Updates'!AV:AV)</f>
        <v>0</v>
      </c>
      <c r="K246" s="738">
        <f>SUMIFS('Cutters Consumption Updates'!$F:$F,'Cutters Consumption Updates'!$D:$D,K$1,'Cutters Consumption Updates'!$B:$B,$B246)-SUMIFS('Cutters Consumption Updates'!$E:$E,'Cutters Consumption Updates'!$D:$D,K$1,'Cutters Consumption Updates'!$B:$B,$B246)+ SUMIF('Cutters Consumption Updates'!$AS:$AS,$B246,'Cutters Consumption Updates'!AW:AW)</f>
        <v>0</v>
      </c>
      <c r="L246" s="116">
        <f>SUMIFS('Cutters Consumption Updates'!$F:$F,'Cutters Consumption Updates'!$D:$D,L$1,'Cutters Consumption Updates'!$B:$B,$B246)-SUMIFS('Cutters Consumption Updates'!$E:$E,'Cutters Consumption Updates'!$D:$D,$L$1,'Cutters Consumption Updates'!$B:$B,$B246)+SUMIFS('Cutters Consumption Updates'!$F:$F,'Cutters Consumption Updates'!$D:$D,"Retrofit",'Cutters Consumption Updates'!$B:$B,$B246)-SUMIFS('Cutters Consumption Updates'!$E:$E,'Cutters Consumption Updates'!$D:$D,"Retrofit",'Cutters Consumption Updates'!$B:$B,$B246)+ SUMIF('Cutters Consumption Updates'!$AS:$AS,$B246,'Cutters Consumption Updates'!AX:AX)</f>
        <v>2</v>
      </c>
      <c r="M246" s="810">
        <f t="shared" si="21"/>
        <v>2</v>
      </c>
      <c r="N246" s="810">
        <f ca="1">SUMIFS('Cutters Consumption Updates'!E:E,
        'Cutters Consumption Updates'!B:B, B246,
        'Cutters Consumption Updates'!A:A, "&gt;" &amp; TODAY()-182)</f>
        <v>9</v>
      </c>
      <c r="O246" s="810">
        <f ca="1">SUMIFS('Cutters Consumption Updates'!E:E,
        'Cutters Consumption Updates'!B:B, B246,
        'Cutters Consumption Updates'!A:A, "&gt;" &amp; TODAY()-91)</f>
        <v>7</v>
      </c>
      <c r="P246" s="810">
        <f t="shared" ca="1" si="22"/>
        <v>3</v>
      </c>
      <c r="Q246" s="703">
        <f t="shared" ca="1" si="23"/>
        <v>5</v>
      </c>
      <c r="R246" s="703" t="s">
        <v>29</v>
      </c>
      <c r="S246" s="24">
        <f>IFERROR(INDEX(Table5[],MATCH($B246,Table5[Component],0),2),0)</f>
        <v>1</v>
      </c>
      <c r="T246" s="813">
        <f>SUMIFS(Table7[Balance],Table7[Cutter Mat'#],$B246)</f>
        <v>0</v>
      </c>
      <c r="U246" s="24">
        <f t="shared" si="24"/>
        <v>1</v>
      </c>
      <c r="V246" s="119"/>
      <c r="W246" s="2"/>
      <c r="Y246" s="4">
        <f>IFERROR(INDEX(Table5[],MATCH($B246,Table5[Component],0),2),0)</f>
        <v>1</v>
      </c>
      <c r="Z246" s="4">
        <f>IFERROR(INDEX(Table5[],MATCH($B246,Table5[Component],0),1),0)</f>
        <v>1186963</v>
      </c>
      <c r="AA246" s="4">
        <f>IF(Y246&lt;&gt;0,B246,"")</f>
        <v>1186963</v>
      </c>
      <c r="AB246" s="4" t="str">
        <f t="shared" si="25"/>
        <v/>
      </c>
      <c r="AD246" s="4">
        <f t="shared" si="26"/>
        <v>2</v>
      </c>
      <c r="AI246" s="248" t="str">
        <f>IFERROR(INDEX($B$1:$AK$243,MATCH(W246,$B$1:$B$243,0),13),"")</f>
        <v/>
      </c>
      <c r="AJ246" s="248" t="str">
        <f>IFERROR(INDEX($B$1:$AK$243,MATCH(W246,$B$1:$B$243,0),15),"")</f>
        <v/>
      </c>
      <c r="AK246">
        <f>SUMIF($W$2:$W$243,B246,$S$2:$S$243)</f>
        <v>0</v>
      </c>
      <c r="AN246" s="4"/>
      <c r="AO246" s="4"/>
      <c r="AP246">
        <f t="shared" si="27"/>
        <v>0</v>
      </c>
      <c r="AQ246" s="4"/>
      <c r="AR246" s="4">
        <v>1244299</v>
      </c>
      <c r="AS246">
        <f>SUMIF($B:$B,AR246,$AP:$AP)</f>
        <v>0</v>
      </c>
    </row>
    <row r="247" spans="1:45" ht="15.5" x14ac:dyDescent="0.35">
      <c r="A247" s="2">
        <v>251</v>
      </c>
      <c r="B247" s="258">
        <v>1288783</v>
      </c>
      <c r="C247" s="2" t="s">
        <v>3621</v>
      </c>
      <c r="D247" s="2" t="s">
        <v>214</v>
      </c>
      <c r="E247" s="2">
        <v>1613</v>
      </c>
      <c r="F247" s="2" t="s">
        <v>177</v>
      </c>
      <c r="G247" s="2" t="s">
        <v>4399</v>
      </c>
      <c r="H247" s="10">
        <f>SUMIFS('Cutters Consumption Updates'!$F:$F,'Cutters Consumption Updates'!$D:$D,H$1,'Cutters Consumption Updates'!$B:$B,$B247)-SUMIFS('Cutters Consumption Updates'!$E:$E,'Cutters Consumption Updates'!$D:$D,H$1,'Cutters Consumption Updates'!$B:$B,$B247)+ SUMIF('Cutters Consumption Updates'!$AS:$AS,$B247,'Cutters Consumption Updates'!AT:AT)</f>
        <v>0</v>
      </c>
      <c r="I247" s="10">
        <f>SUMIFS('Cutters Consumption Updates'!$F:$F,'Cutters Consumption Updates'!$D:$D,I$1,'Cutters Consumption Updates'!$B:$B,$B247)-SUMIFS('Cutters Consumption Updates'!$E:$E,'Cutters Consumption Updates'!$D:$D,I$1,'Cutters Consumption Updates'!$B:$B,$B247)+ SUMIF('Cutters Consumption Updates'!$AS:$AS,$B247,'Cutters Consumption Updates'!AU:AU)</f>
        <v>0</v>
      </c>
      <c r="J247" s="116">
        <f>SUMIFS('Cutters Consumption Updates'!$F:$F,'Cutters Consumption Updates'!$D:$D,J$1,'Cutters Consumption Updates'!$B:$B,$B247)-SUMIFS('Cutters Consumption Updates'!$E:$E,'Cutters Consumption Updates'!$D:$D,J$1,'Cutters Consumption Updates'!$B:$B,$B247)+ SUMIF('Cutters Consumption Updates'!$AS:$AS,$B247,'Cutters Consumption Updates'!AV:AV)</f>
        <v>-1</v>
      </c>
      <c r="K247" s="738">
        <f>SUMIFS('Cutters Consumption Updates'!$F:$F,'Cutters Consumption Updates'!$D:$D,K$1,'Cutters Consumption Updates'!$B:$B,$B247)-SUMIFS('Cutters Consumption Updates'!$E:$E,'Cutters Consumption Updates'!$D:$D,K$1,'Cutters Consumption Updates'!$B:$B,$B247)+ SUMIF('Cutters Consumption Updates'!$AS:$AS,$B247,'Cutters Consumption Updates'!AW:AW)</f>
        <v>0</v>
      </c>
      <c r="L247" s="116">
        <f>SUMIFS('Cutters Consumption Updates'!$F:$F,'Cutters Consumption Updates'!$D:$D,L$1,'Cutters Consumption Updates'!$B:$B,$B247)-SUMIFS('Cutters Consumption Updates'!$E:$E,'Cutters Consumption Updates'!$D:$D,$L$1,'Cutters Consumption Updates'!$B:$B,$B247)+SUMIFS('Cutters Consumption Updates'!$F:$F,'Cutters Consumption Updates'!$D:$D,"Retrofit",'Cutters Consumption Updates'!$B:$B,$B247)-SUMIFS('Cutters Consumption Updates'!$E:$E,'Cutters Consumption Updates'!$D:$D,"Retrofit",'Cutters Consumption Updates'!$B:$B,$B247)+ SUMIF('Cutters Consumption Updates'!$AS:$AS,$B247,'Cutters Consumption Updates'!AX:AX)</f>
        <v>412</v>
      </c>
      <c r="M247" s="810">
        <f t="shared" si="21"/>
        <v>412</v>
      </c>
      <c r="N247" s="810">
        <f ca="1">SUMIFS('Cutters Consumption Updates'!E:E,
        'Cutters Consumption Updates'!B:B, B247,
        'Cutters Consumption Updates'!A:A, "&gt;" &amp; TODAY()-182)</f>
        <v>813</v>
      </c>
      <c r="O247" s="810">
        <f ca="1">SUMIFS('Cutters Consumption Updates'!E:E,
        'Cutters Consumption Updates'!B:B, B247,
        'Cutters Consumption Updates'!A:A, "&gt;" &amp; TODAY()-91)</f>
        <v>283</v>
      </c>
      <c r="P247" s="810">
        <f t="shared" ca="1" si="22"/>
        <v>271</v>
      </c>
      <c r="Q247" s="703">
        <f t="shared" ca="1" si="23"/>
        <v>280</v>
      </c>
      <c r="R247" s="703" t="s">
        <v>196</v>
      </c>
      <c r="S247" s="24">
        <f>IFERROR(INDEX(Table5[],MATCH($B247,Table5[Component],0),2),0)</f>
        <v>1235</v>
      </c>
      <c r="T247" s="813">
        <f>SUMIFS(Table7[Balance],Table7[Cutter Mat'#],$B247)</f>
        <v>0</v>
      </c>
      <c r="U247" s="24">
        <f t="shared" si="24"/>
        <v>-823</v>
      </c>
      <c r="V247" s="119"/>
      <c r="W247" s="2"/>
      <c r="Y247" s="4">
        <f>IFERROR(INDEX(Table5[],MATCH($B247,Table5[Component],0),2),0)</f>
        <v>1235</v>
      </c>
      <c r="Z247" s="4">
        <f>IFERROR(INDEX(Table5[],MATCH($B247,Table5[Component],0),1),0)</f>
        <v>1288783</v>
      </c>
      <c r="AA247" s="4">
        <f>IF(Y247&lt;&gt;0,B247,"")</f>
        <v>1288783</v>
      </c>
      <c r="AB247" s="4" t="str">
        <f t="shared" si="25"/>
        <v/>
      </c>
      <c r="AD247" s="4">
        <f t="shared" si="26"/>
        <v>411</v>
      </c>
      <c r="AI247" s="248" t="str">
        <f>IFERROR(INDEX($B$1:$AK$243,MATCH(W247,$B$1:$B$243,0),13),"")</f>
        <v/>
      </c>
      <c r="AJ247" s="248" t="str">
        <f>IFERROR(INDEX($B$1:$AK$243,MATCH(W247,$B$1:$B$243,0),15),"")</f>
        <v/>
      </c>
      <c r="AK247">
        <f>SUMIF($W$2:$W$243,B247,$S$2:$S$243)</f>
        <v>0</v>
      </c>
      <c r="AN247" s="4"/>
      <c r="AO247" s="4"/>
      <c r="AP247">
        <f t="shared" si="27"/>
        <v>0</v>
      </c>
      <c r="AQ247" s="4"/>
      <c r="AR247" s="4">
        <v>1244957</v>
      </c>
      <c r="AS247">
        <f>SUMIF($B:$B,AR247,$AP:$AP)</f>
        <v>0</v>
      </c>
    </row>
    <row r="248" spans="1:45" ht="15.5" x14ac:dyDescent="0.35">
      <c r="A248" s="2">
        <v>252</v>
      </c>
      <c r="B248" s="258">
        <v>2002243</v>
      </c>
      <c r="C248" s="2" t="s">
        <v>3622</v>
      </c>
      <c r="D248" s="2" t="s">
        <v>215</v>
      </c>
      <c r="E248" s="2">
        <v>1308</v>
      </c>
      <c r="F248" s="2" t="s">
        <v>170</v>
      </c>
      <c r="G248" s="2" t="s">
        <v>4336</v>
      </c>
      <c r="H248" s="10">
        <f>SUMIFS('Cutters Consumption Updates'!$F:$F,'Cutters Consumption Updates'!$D:$D,H$1,'Cutters Consumption Updates'!$B:$B,$B248)-SUMIFS('Cutters Consumption Updates'!$E:$E,'Cutters Consumption Updates'!$D:$D,H$1,'Cutters Consumption Updates'!$B:$B,$B248)+ SUMIF('Cutters Consumption Updates'!$AS:$AS,$B248,'Cutters Consumption Updates'!AT:AT)</f>
        <v>0</v>
      </c>
      <c r="I248" s="10">
        <f>SUMIFS('Cutters Consumption Updates'!$F:$F,'Cutters Consumption Updates'!$D:$D,I$1,'Cutters Consumption Updates'!$B:$B,$B248)-SUMIFS('Cutters Consumption Updates'!$E:$E,'Cutters Consumption Updates'!$D:$D,I$1,'Cutters Consumption Updates'!$B:$B,$B248)+ SUMIF('Cutters Consumption Updates'!$AS:$AS,$B248,'Cutters Consumption Updates'!AU:AU)</f>
        <v>0</v>
      </c>
      <c r="J248" s="116">
        <f>SUMIFS('Cutters Consumption Updates'!$F:$F,'Cutters Consumption Updates'!$D:$D,J$1,'Cutters Consumption Updates'!$B:$B,$B248)-SUMIFS('Cutters Consumption Updates'!$E:$E,'Cutters Consumption Updates'!$D:$D,J$1,'Cutters Consumption Updates'!$B:$B,$B248)+ SUMIF('Cutters Consumption Updates'!$AS:$AS,$B248,'Cutters Consumption Updates'!AV:AV)</f>
        <v>0</v>
      </c>
      <c r="K248" s="738">
        <f>SUMIFS('Cutters Consumption Updates'!$F:$F,'Cutters Consumption Updates'!$D:$D,K$1,'Cutters Consumption Updates'!$B:$B,$B248)-SUMIFS('Cutters Consumption Updates'!$E:$E,'Cutters Consumption Updates'!$D:$D,K$1,'Cutters Consumption Updates'!$B:$B,$B248)+ SUMIF('Cutters Consumption Updates'!$AS:$AS,$B248,'Cutters Consumption Updates'!AW:AW)</f>
        <v>0</v>
      </c>
      <c r="L248" s="116">
        <f>SUMIFS('Cutters Consumption Updates'!$F:$F,'Cutters Consumption Updates'!$D:$D,L$1,'Cutters Consumption Updates'!$B:$B,$B248)-SUMIFS('Cutters Consumption Updates'!$E:$E,'Cutters Consumption Updates'!$D:$D,$L$1,'Cutters Consumption Updates'!$B:$B,$B248)+SUMIFS('Cutters Consumption Updates'!$F:$F,'Cutters Consumption Updates'!$D:$D,"Retrofit",'Cutters Consumption Updates'!$B:$B,$B248)-SUMIFS('Cutters Consumption Updates'!$E:$E,'Cutters Consumption Updates'!$D:$D,"Retrofit",'Cutters Consumption Updates'!$B:$B,$B248)+ SUMIF('Cutters Consumption Updates'!$AS:$AS,$B248,'Cutters Consumption Updates'!AX:AX)</f>
        <v>0</v>
      </c>
      <c r="M248" s="810">
        <f t="shared" si="21"/>
        <v>0</v>
      </c>
      <c r="N248" s="810">
        <f ca="1">SUMIFS('Cutters Consumption Updates'!E:E,
        'Cutters Consumption Updates'!B:B, B248,
        'Cutters Consumption Updates'!A:A, "&gt;" &amp; TODAY()-182)</f>
        <v>214</v>
      </c>
      <c r="O248" s="810">
        <f ca="1">SUMIFS('Cutters Consumption Updates'!E:E,
        'Cutters Consumption Updates'!B:B, B248,
        'Cutters Consumption Updates'!A:A, "&gt;" &amp; TODAY()-91)</f>
        <v>0</v>
      </c>
      <c r="P248" s="810">
        <f t="shared" ca="1" si="22"/>
        <v>72</v>
      </c>
      <c r="Q248" s="703">
        <f t="shared" ca="1" si="23"/>
        <v>75</v>
      </c>
      <c r="R248" s="703" t="s">
        <v>121</v>
      </c>
      <c r="S248" s="24">
        <f>IFERROR(INDEX(Table5[],MATCH($B248,Table5[Component],0),2),0)</f>
        <v>0</v>
      </c>
      <c r="T248" s="813">
        <f>SUMIFS(Table7[Balance],Table7[Cutter Mat'#],$B248)</f>
        <v>0</v>
      </c>
      <c r="U248" s="24">
        <f t="shared" si="24"/>
        <v>0</v>
      </c>
      <c r="V248" s="119"/>
      <c r="W248" s="2"/>
      <c r="Y248" s="4">
        <f>IFERROR(INDEX(Table5[],MATCH($B248,Table5[Component],0),2),0)</f>
        <v>0</v>
      </c>
      <c r="Z248" s="4">
        <f>IFERROR(INDEX(Table5[],MATCH($B248,Table5[Component],0),1),0)</f>
        <v>0</v>
      </c>
      <c r="AA248" s="4" t="str">
        <f>IF(Y248&lt;&gt;0,B248,"")</f>
        <v/>
      </c>
      <c r="AB248" s="4" t="str">
        <f t="shared" si="25"/>
        <v/>
      </c>
      <c r="AD248" s="4">
        <f t="shared" si="26"/>
        <v>0</v>
      </c>
      <c r="AI248" s="248" t="str">
        <f>IFERROR(INDEX($B$1:$AK$243,MATCH(W248,$B$1:$B$243,0),13),"")</f>
        <v/>
      </c>
      <c r="AJ248" s="248" t="str">
        <f>IFERROR(INDEX($B$1:$AK$243,MATCH(W248,$B$1:$B$243,0),15),"")</f>
        <v/>
      </c>
      <c r="AK248">
        <f>SUMIF($W$2:$W$243,B248,$S$2:$S$243)</f>
        <v>0</v>
      </c>
      <c r="AN248" s="4"/>
      <c r="AO248" s="4"/>
      <c r="AP248">
        <f t="shared" si="27"/>
        <v>0</v>
      </c>
      <c r="AQ248" s="4"/>
      <c r="AR248" s="4">
        <v>1244960</v>
      </c>
      <c r="AS248">
        <f>SUMIF($B:$B,AR248,$AP:$AP)</f>
        <v>0</v>
      </c>
    </row>
    <row r="249" spans="1:45" ht="15.5" x14ac:dyDescent="0.35">
      <c r="A249" s="2">
        <v>253</v>
      </c>
      <c r="B249" s="258">
        <v>1266417</v>
      </c>
      <c r="C249" s="2" t="s">
        <v>3623</v>
      </c>
      <c r="D249" s="2" t="s">
        <v>217</v>
      </c>
      <c r="E249" s="2">
        <v>1313</v>
      </c>
      <c r="F249" s="2" t="s">
        <v>109</v>
      </c>
      <c r="G249" s="2" t="s">
        <v>4401</v>
      </c>
      <c r="H249" s="10">
        <f>SUMIFS('Cutters Consumption Updates'!$F:$F,'Cutters Consumption Updates'!$D:$D,H$1,'Cutters Consumption Updates'!$B:$B,$B249)-SUMIFS('Cutters Consumption Updates'!$E:$E,'Cutters Consumption Updates'!$D:$D,H$1,'Cutters Consumption Updates'!$B:$B,$B249)+ SUMIF('Cutters Consumption Updates'!$AS:$AS,$B249,'Cutters Consumption Updates'!AT:AT)</f>
        <v>0</v>
      </c>
      <c r="I249" s="10">
        <f>SUMIFS('Cutters Consumption Updates'!$F:$F,'Cutters Consumption Updates'!$D:$D,I$1,'Cutters Consumption Updates'!$B:$B,$B249)-SUMIFS('Cutters Consumption Updates'!$E:$E,'Cutters Consumption Updates'!$D:$D,I$1,'Cutters Consumption Updates'!$B:$B,$B249)+ SUMIF('Cutters Consumption Updates'!$AS:$AS,$B249,'Cutters Consumption Updates'!AU:AU)</f>
        <v>0</v>
      </c>
      <c r="J249" s="116">
        <f>SUMIFS('Cutters Consumption Updates'!$F:$F,'Cutters Consumption Updates'!$D:$D,J$1,'Cutters Consumption Updates'!$B:$B,$B249)-SUMIFS('Cutters Consumption Updates'!$E:$E,'Cutters Consumption Updates'!$D:$D,J$1,'Cutters Consumption Updates'!$B:$B,$B249)+ SUMIF('Cutters Consumption Updates'!$AS:$AS,$B249,'Cutters Consumption Updates'!AV:AV)</f>
        <v>0</v>
      </c>
      <c r="K249" s="738">
        <f>SUMIFS('Cutters Consumption Updates'!$F:$F,'Cutters Consumption Updates'!$D:$D,K$1,'Cutters Consumption Updates'!$B:$B,$B249)-SUMIFS('Cutters Consumption Updates'!$E:$E,'Cutters Consumption Updates'!$D:$D,K$1,'Cutters Consumption Updates'!$B:$B,$B249)+ SUMIF('Cutters Consumption Updates'!$AS:$AS,$B249,'Cutters Consumption Updates'!AW:AW)</f>
        <v>0</v>
      </c>
      <c r="L249" s="116">
        <f>SUMIFS('Cutters Consumption Updates'!$F:$F,'Cutters Consumption Updates'!$D:$D,L$1,'Cutters Consumption Updates'!$B:$B,$B249)-SUMIFS('Cutters Consumption Updates'!$E:$E,'Cutters Consumption Updates'!$D:$D,$L$1,'Cutters Consumption Updates'!$B:$B,$B249)+SUMIFS('Cutters Consumption Updates'!$F:$F,'Cutters Consumption Updates'!$D:$D,"Retrofit",'Cutters Consumption Updates'!$B:$B,$B249)-SUMIFS('Cutters Consumption Updates'!$E:$E,'Cutters Consumption Updates'!$D:$D,"Retrofit",'Cutters Consumption Updates'!$B:$B,$B249)+ SUMIF('Cutters Consumption Updates'!$AS:$AS,$B249,'Cutters Consumption Updates'!AX:AX)</f>
        <v>21</v>
      </c>
      <c r="M249" s="810">
        <f t="shared" si="21"/>
        <v>21</v>
      </c>
      <c r="N249" s="810">
        <f ca="1">SUMIFS('Cutters Consumption Updates'!E:E,
        'Cutters Consumption Updates'!B:B, B249,
        'Cutters Consumption Updates'!A:A, "&gt;" &amp; TODAY()-182)</f>
        <v>0</v>
      </c>
      <c r="O249" s="810">
        <f ca="1">SUMIFS('Cutters Consumption Updates'!E:E,
        'Cutters Consumption Updates'!B:B, B249,
        'Cutters Consumption Updates'!A:A, "&gt;" &amp; TODAY()-91)</f>
        <v>0</v>
      </c>
      <c r="P249" s="810">
        <f t="shared" ca="1" si="22"/>
        <v>0</v>
      </c>
      <c r="Q249" s="703">
        <f t="shared" ca="1" si="23"/>
        <v>0</v>
      </c>
      <c r="R249" s="703" t="s">
        <v>29</v>
      </c>
      <c r="S249" s="24">
        <f>IFERROR(INDEX(Table5[],MATCH($B249,Table5[Component],0),2),0)</f>
        <v>0</v>
      </c>
      <c r="T249" s="813">
        <f>SUMIFS(Table7[Balance],Table7[Cutter Mat'#],$B249)</f>
        <v>0</v>
      </c>
      <c r="U249" s="24">
        <f t="shared" si="24"/>
        <v>21</v>
      </c>
      <c r="V249" s="119"/>
      <c r="W249" s="2"/>
      <c r="Y249" s="4">
        <f>IFERROR(INDEX(Table5[],MATCH($B249,Table5[Component],0),2),0)</f>
        <v>0</v>
      </c>
      <c r="Z249" s="4">
        <f>IFERROR(INDEX(Table5[],MATCH($B249,Table5[Component],0),1),0)</f>
        <v>0</v>
      </c>
      <c r="AA249" s="4" t="str">
        <f>IF(Y249&lt;&gt;0,B249,"")</f>
        <v/>
      </c>
      <c r="AB249" s="4" t="str">
        <f t="shared" si="25"/>
        <v/>
      </c>
      <c r="AD249" s="4">
        <f t="shared" si="26"/>
        <v>21</v>
      </c>
      <c r="AI249" s="248" t="str">
        <f>IFERROR(INDEX($B$1:$AK$243,MATCH(W249,$B$1:$B$243,0),13),"")</f>
        <v/>
      </c>
      <c r="AJ249" s="248" t="str">
        <f>IFERROR(INDEX($B$1:$AK$243,MATCH(W249,$B$1:$B$243,0),15),"")</f>
        <v/>
      </c>
      <c r="AK249">
        <f>SUMIF($W$2:$W$243,B249,$S$2:$S$243)</f>
        <v>0</v>
      </c>
      <c r="AN249" s="4"/>
      <c r="AO249" s="4"/>
      <c r="AP249">
        <f t="shared" si="27"/>
        <v>0</v>
      </c>
      <c r="AQ249" s="4"/>
      <c r="AR249" s="4">
        <v>1247589</v>
      </c>
      <c r="AS249">
        <f>SUMIF($B:$B,AR249,$AP:$AP)</f>
        <v>0</v>
      </c>
    </row>
    <row r="250" spans="1:45" ht="15.5" x14ac:dyDescent="0.35">
      <c r="A250" s="2">
        <v>254</v>
      </c>
      <c r="B250" s="258">
        <v>1296685</v>
      </c>
      <c r="C250" s="2" t="s">
        <v>3624</v>
      </c>
      <c r="D250" s="2" t="s">
        <v>218</v>
      </c>
      <c r="E250" s="2">
        <v>1613</v>
      </c>
      <c r="F250" s="2" t="s">
        <v>109</v>
      </c>
      <c r="G250" s="2" t="s">
        <v>4401</v>
      </c>
      <c r="H250" s="10">
        <f>SUMIFS('Cutters Consumption Updates'!$F:$F,'Cutters Consumption Updates'!$D:$D,H$1,'Cutters Consumption Updates'!$B:$B,$B250)-SUMIFS('Cutters Consumption Updates'!$E:$E,'Cutters Consumption Updates'!$D:$D,H$1,'Cutters Consumption Updates'!$B:$B,$B250)+ SUMIF('Cutters Consumption Updates'!$AS:$AS,$B250,'Cutters Consumption Updates'!AT:AT)</f>
        <v>0</v>
      </c>
      <c r="I250" s="10">
        <f>SUMIFS('Cutters Consumption Updates'!$F:$F,'Cutters Consumption Updates'!$D:$D,I$1,'Cutters Consumption Updates'!$B:$B,$B250)-SUMIFS('Cutters Consumption Updates'!$E:$E,'Cutters Consumption Updates'!$D:$D,I$1,'Cutters Consumption Updates'!$B:$B,$B250)+ SUMIF('Cutters Consumption Updates'!$AS:$AS,$B250,'Cutters Consumption Updates'!AU:AU)</f>
        <v>0</v>
      </c>
      <c r="J250" s="116">
        <f>SUMIFS('Cutters Consumption Updates'!$F:$F,'Cutters Consumption Updates'!$D:$D,J$1,'Cutters Consumption Updates'!$B:$B,$B250)-SUMIFS('Cutters Consumption Updates'!$E:$E,'Cutters Consumption Updates'!$D:$D,J$1,'Cutters Consumption Updates'!$B:$B,$B250)+ SUMIF('Cutters Consumption Updates'!$AS:$AS,$B250,'Cutters Consumption Updates'!AV:AV)</f>
        <v>0</v>
      </c>
      <c r="K250" s="738">
        <f>SUMIFS('Cutters Consumption Updates'!$F:$F,'Cutters Consumption Updates'!$D:$D,K$1,'Cutters Consumption Updates'!$B:$B,$B250)-SUMIFS('Cutters Consumption Updates'!$E:$E,'Cutters Consumption Updates'!$D:$D,K$1,'Cutters Consumption Updates'!$B:$B,$B250)+ SUMIF('Cutters Consumption Updates'!$AS:$AS,$B250,'Cutters Consumption Updates'!AW:AW)</f>
        <v>0</v>
      </c>
      <c r="L250" s="116">
        <f>SUMIFS('Cutters Consumption Updates'!$F:$F,'Cutters Consumption Updates'!$D:$D,L$1,'Cutters Consumption Updates'!$B:$B,$B250)-SUMIFS('Cutters Consumption Updates'!$E:$E,'Cutters Consumption Updates'!$D:$D,$L$1,'Cutters Consumption Updates'!$B:$B,$B250)+SUMIFS('Cutters Consumption Updates'!$F:$F,'Cutters Consumption Updates'!$D:$D,"Retrofit",'Cutters Consumption Updates'!$B:$B,$B250)-SUMIFS('Cutters Consumption Updates'!$E:$E,'Cutters Consumption Updates'!$D:$D,"Retrofit",'Cutters Consumption Updates'!$B:$B,$B250)+ SUMIF('Cutters Consumption Updates'!$AS:$AS,$B250,'Cutters Consumption Updates'!AX:AX)</f>
        <v>100</v>
      </c>
      <c r="M250" s="810">
        <f t="shared" si="21"/>
        <v>100</v>
      </c>
      <c r="N250" s="810">
        <f ca="1">SUMIFS('Cutters Consumption Updates'!E:E,
        'Cutters Consumption Updates'!B:B, B250,
        'Cutters Consumption Updates'!A:A, "&gt;" &amp; TODAY()-182)</f>
        <v>196</v>
      </c>
      <c r="O250" s="810">
        <f ca="1">SUMIFS('Cutters Consumption Updates'!E:E,
        'Cutters Consumption Updates'!B:B, B250,
        'Cutters Consumption Updates'!A:A, "&gt;" &amp; TODAY()-91)</f>
        <v>118</v>
      </c>
      <c r="P250" s="810">
        <f t="shared" ca="1" si="22"/>
        <v>66</v>
      </c>
      <c r="Q250" s="703">
        <f t="shared" ca="1" si="23"/>
        <v>70</v>
      </c>
      <c r="R250" s="703" t="s">
        <v>175</v>
      </c>
      <c r="S250" s="24">
        <f>IFERROR(INDEX(Table5[],MATCH($B250,Table5[Component],0),2),0)</f>
        <v>623</v>
      </c>
      <c r="T250" s="813">
        <f>SUMIFS(Table7[Balance],Table7[Cutter Mat'#],$B250)</f>
        <v>0</v>
      </c>
      <c r="U250" s="24">
        <f t="shared" si="24"/>
        <v>-523</v>
      </c>
      <c r="V250" s="119"/>
      <c r="W250" s="2"/>
      <c r="Y250" s="4">
        <f>IFERROR(INDEX(Table5[],MATCH($B250,Table5[Component],0),2),0)</f>
        <v>623</v>
      </c>
      <c r="Z250" s="4">
        <f>IFERROR(INDEX(Table5[],MATCH($B250,Table5[Component],0),1),0)</f>
        <v>1296685</v>
      </c>
      <c r="AA250" s="4">
        <f>IF(Y250&lt;&gt;0,B250,"")</f>
        <v>1296685</v>
      </c>
      <c r="AB250" s="4" t="str">
        <f t="shared" si="25"/>
        <v/>
      </c>
      <c r="AD250" s="4">
        <f t="shared" si="26"/>
        <v>100</v>
      </c>
      <c r="AI250" s="248" t="str">
        <f>IFERROR(INDEX($B$1:$AK$243,MATCH(W250,$B$1:$B$243,0),13),"")</f>
        <v/>
      </c>
      <c r="AJ250" s="248" t="str">
        <f>IFERROR(INDEX($B$1:$AK$243,MATCH(W250,$B$1:$B$243,0),15),"")</f>
        <v/>
      </c>
      <c r="AK250">
        <f>SUMIF($W$2:$W$243,B250,$S$2:$S$243)</f>
        <v>0</v>
      </c>
      <c r="AN250" s="4"/>
      <c r="AO250" s="4"/>
      <c r="AP250">
        <f t="shared" si="27"/>
        <v>0</v>
      </c>
      <c r="AQ250" s="4"/>
      <c r="AR250" s="4">
        <v>1250971</v>
      </c>
      <c r="AS250">
        <f>SUMIF($B:$B,AR250,$AP:$AP)</f>
        <v>0</v>
      </c>
    </row>
    <row r="251" spans="1:45" ht="15.5" x14ac:dyDescent="0.35">
      <c r="A251" s="2">
        <v>255</v>
      </c>
      <c r="B251" s="258">
        <v>1290837</v>
      </c>
      <c r="C251" s="2" t="s">
        <v>3625</v>
      </c>
      <c r="D251" s="2" t="s">
        <v>219</v>
      </c>
      <c r="E251" s="2">
        <v>1613</v>
      </c>
      <c r="F251" s="2" t="s">
        <v>109</v>
      </c>
      <c r="G251" s="2" t="s">
        <v>4390</v>
      </c>
      <c r="H251" s="10">
        <f>SUMIFS('Cutters Consumption Updates'!$F:$F,'Cutters Consumption Updates'!$D:$D,H$1,'Cutters Consumption Updates'!$B:$B,$B251)-SUMIFS('Cutters Consumption Updates'!$E:$E,'Cutters Consumption Updates'!$D:$D,H$1,'Cutters Consumption Updates'!$B:$B,$B251)+ SUMIF('Cutters Consumption Updates'!$AS:$AS,$B251,'Cutters Consumption Updates'!AT:AT)</f>
        <v>0</v>
      </c>
      <c r="I251" s="10">
        <f>SUMIFS('Cutters Consumption Updates'!$F:$F,'Cutters Consumption Updates'!$D:$D,I$1,'Cutters Consumption Updates'!$B:$B,$B251)-SUMIFS('Cutters Consumption Updates'!$E:$E,'Cutters Consumption Updates'!$D:$D,I$1,'Cutters Consumption Updates'!$B:$B,$B251)+ SUMIF('Cutters Consumption Updates'!$AS:$AS,$B251,'Cutters Consumption Updates'!AU:AU)</f>
        <v>0</v>
      </c>
      <c r="J251" s="116">
        <f>SUMIFS('Cutters Consumption Updates'!$F:$F,'Cutters Consumption Updates'!$D:$D,J$1,'Cutters Consumption Updates'!$B:$B,$B251)-SUMIFS('Cutters Consumption Updates'!$E:$E,'Cutters Consumption Updates'!$D:$D,J$1,'Cutters Consumption Updates'!$B:$B,$B251)+ SUMIF('Cutters Consumption Updates'!$AS:$AS,$B251,'Cutters Consumption Updates'!AV:AV)</f>
        <v>0</v>
      </c>
      <c r="K251" s="738">
        <f>SUMIFS('Cutters Consumption Updates'!$F:$F,'Cutters Consumption Updates'!$D:$D,K$1,'Cutters Consumption Updates'!$B:$B,$B251)-SUMIFS('Cutters Consumption Updates'!$E:$E,'Cutters Consumption Updates'!$D:$D,K$1,'Cutters Consumption Updates'!$B:$B,$B251)+ SUMIF('Cutters Consumption Updates'!$AS:$AS,$B251,'Cutters Consumption Updates'!AW:AW)</f>
        <v>0</v>
      </c>
      <c r="L251" s="116">
        <f>SUMIFS('Cutters Consumption Updates'!$F:$F,'Cutters Consumption Updates'!$D:$D,L$1,'Cutters Consumption Updates'!$B:$B,$B251)-SUMIFS('Cutters Consumption Updates'!$E:$E,'Cutters Consumption Updates'!$D:$D,$L$1,'Cutters Consumption Updates'!$B:$B,$B251)+SUMIFS('Cutters Consumption Updates'!$F:$F,'Cutters Consumption Updates'!$D:$D,"Retrofit",'Cutters Consumption Updates'!$B:$B,$B251)-SUMIFS('Cutters Consumption Updates'!$E:$E,'Cutters Consumption Updates'!$D:$D,"Retrofit",'Cutters Consumption Updates'!$B:$B,$B251)+ SUMIF('Cutters Consumption Updates'!$AS:$AS,$B251,'Cutters Consumption Updates'!AX:AX)</f>
        <v>8</v>
      </c>
      <c r="M251" s="810">
        <f t="shared" si="21"/>
        <v>8</v>
      </c>
      <c r="N251" s="810">
        <f ca="1">SUMIFS('Cutters Consumption Updates'!E:E,
        'Cutters Consumption Updates'!B:B, B251,
        'Cutters Consumption Updates'!A:A, "&gt;" &amp; TODAY()-182)</f>
        <v>64</v>
      </c>
      <c r="O251" s="810">
        <f ca="1">SUMIFS('Cutters Consumption Updates'!E:E,
        'Cutters Consumption Updates'!B:B, B251,
        'Cutters Consumption Updates'!A:A, "&gt;" &amp; TODAY()-91)</f>
        <v>17</v>
      </c>
      <c r="P251" s="810">
        <f t="shared" ca="1" si="22"/>
        <v>22</v>
      </c>
      <c r="Q251" s="703">
        <f t="shared" ca="1" si="23"/>
        <v>25</v>
      </c>
      <c r="R251" s="703" t="s">
        <v>220</v>
      </c>
      <c r="S251" s="24">
        <f>IFERROR(INDEX(Table5[],MATCH($B251,Table5[Component],0),2),0)</f>
        <v>0</v>
      </c>
      <c r="T251" s="813">
        <f>SUMIFS(Table7[Balance],Table7[Cutter Mat'#],$B251)</f>
        <v>0</v>
      </c>
      <c r="U251" s="24">
        <f t="shared" si="24"/>
        <v>8</v>
      </c>
      <c r="V251" s="119"/>
      <c r="W251" s="2"/>
      <c r="Y251" s="4">
        <f>IFERROR(INDEX(Table5[],MATCH($B251,Table5[Component],0),2),0)</f>
        <v>0</v>
      </c>
      <c r="Z251" s="4">
        <f>IFERROR(INDEX(Table5[],MATCH($B251,Table5[Component],0),1),0)</f>
        <v>0</v>
      </c>
      <c r="AA251" s="4" t="str">
        <f>IF(Y251&lt;&gt;0,B251,"")</f>
        <v/>
      </c>
      <c r="AB251" s="4" t="str">
        <f t="shared" si="25"/>
        <v/>
      </c>
      <c r="AD251" s="4">
        <f t="shared" si="26"/>
        <v>8</v>
      </c>
      <c r="AI251" s="248" t="str">
        <f>IFERROR(INDEX($B$1:$AK$243,MATCH(W251,$B$1:$B$243,0),13),"")</f>
        <v/>
      </c>
      <c r="AJ251" s="248" t="str">
        <f>IFERROR(INDEX($B$1:$AK$243,MATCH(W251,$B$1:$B$243,0),15),"")</f>
        <v/>
      </c>
      <c r="AK251">
        <f>SUMIF($W$2:$W$243,B251,$S$2:$S$243)</f>
        <v>0</v>
      </c>
      <c r="AN251" s="4"/>
      <c r="AO251" s="4"/>
      <c r="AP251">
        <f t="shared" si="27"/>
        <v>0</v>
      </c>
      <c r="AQ251" s="4"/>
      <c r="AR251" s="4">
        <v>1255772</v>
      </c>
      <c r="AS251">
        <f>SUMIF($B:$B,AR251,$AP:$AP)</f>
        <v>0</v>
      </c>
    </row>
    <row r="252" spans="1:45" ht="15.5" x14ac:dyDescent="0.35">
      <c r="A252" s="2">
        <v>256</v>
      </c>
      <c r="B252" s="258">
        <v>2002235</v>
      </c>
      <c r="C252" s="2" t="s">
        <v>3626</v>
      </c>
      <c r="D252" s="2" t="s">
        <v>221</v>
      </c>
      <c r="E252" s="2">
        <v>1613</v>
      </c>
      <c r="F252" s="2" t="s">
        <v>177</v>
      </c>
      <c r="G252" s="806" t="e">
        <v>#N/A</v>
      </c>
      <c r="H252" s="10">
        <f>SUMIFS('Cutters Consumption Updates'!$F:$F,'Cutters Consumption Updates'!$D:$D,H$1,'Cutters Consumption Updates'!$B:$B,$B252)-SUMIFS('Cutters Consumption Updates'!$E:$E,'Cutters Consumption Updates'!$D:$D,H$1,'Cutters Consumption Updates'!$B:$B,$B252)+ SUMIF('Cutters Consumption Updates'!$AS:$AS,$B252,'Cutters Consumption Updates'!AT:AT)</f>
        <v>0</v>
      </c>
      <c r="I252" s="10">
        <f>SUMIFS('Cutters Consumption Updates'!$F:$F,'Cutters Consumption Updates'!$D:$D,I$1,'Cutters Consumption Updates'!$B:$B,$B252)-SUMIFS('Cutters Consumption Updates'!$E:$E,'Cutters Consumption Updates'!$D:$D,I$1,'Cutters Consumption Updates'!$B:$B,$B252)+ SUMIF('Cutters Consumption Updates'!$AS:$AS,$B252,'Cutters Consumption Updates'!AU:AU)</f>
        <v>0</v>
      </c>
      <c r="J252" s="116">
        <f>SUMIFS('Cutters Consumption Updates'!$F:$F,'Cutters Consumption Updates'!$D:$D,J$1,'Cutters Consumption Updates'!$B:$B,$B252)-SUMIFS('Cutters Consumption Updates'!$E:$E,'Cutters Consumption Updates'!$D:$D,J$1,'Cutters Consumption Updates'!$B:$B,$B252)+ SUMIF('Cutters Consumption Updates'!$AS:$AS,$B252,'Cutters Consumption Updates'!AV:AV)</f>
        <v>0</v>
      </c>
      <c r="K252" s="738">
        <f>SUMIFS('Cutters Consumption Updates'!$F:$F,'Cutters Consumption Updates'!$D:$D,K$1,'Cutters Consumption Updates'!$B:$B,$B252)-SUMIFS('Cutters Consumption Updates'!$E:$E,'Cutters Consumption Updates'!$D:$D,K$1,'Cutters Consumption Updates'!$B:$B,$B252)+ SUMIF('Cutters Consumption Updates'!$AS:$AS,$B252,'Cutters Consumption Updates'!AW:AW)</f>
        <v>0</v>
      </c>
      <c r="L252" s="116">
        <f>SUMIFS('Cutters Consumption Updates'!$F:$F,'Cutters Consumption Updates'!$D:$D,L$1,'Cutters Consumption Updates'!$B:$B,$B252)-SUMIFS('Cutters Consumption Updates'!$E:$E,'Cutters Consumption Updates'!$D:$D,$L$1,'Cutters Consumption Updates'!$B:$B,$B252)+SUMIFS('Cutters Consumption Updates'!$F:$F,'Cutters Consumption Updates'!$D:$D,"Retrofit",'Cutters Consumption Updates'!$B:$B,$B252)-SUMIFS('Cutters Consumption Updates'!$E:$E,'Cutters Consumption Updates'!$D:$D,"Retrofit",'Cutters Consumption Updates'!$B:$B,$B252)+ SUMIF('Cutters Consumption Updates'!$AS:$AS,$B252,'Cutters Consumption Updates'!AX:AX)</f>
        <v>0</v>
      </c>
      <c r="M252" s="810">
        <f t="shared" si="21"/>
        <v>0</v>
      </c>
      <c r="N252" s="810">
        <f ca="1">SUMIFS('Cutters Consumption Updates'!E:E,
        'Cutters Consumption Updates'!B:B, B252,
        'Cutters Consumption Updates'!A:A, "&gt;" &amp; TODAY()-182)</f>
        <v>30</v>
      </c>
      <c r="O252" s="810">
        <f ca="1">SUMIFS('Cutters Consumption Updates'!E:E,
        'Cutters Consumption Updates'!B:B, B252,
        'Cutters Consumption Updates'!A:A, "&gt;" &amp; TODAY()-91)</f>
        <v>0</v>
      </c>
      <c r="P252" s="810">
        <f t="shared" ca="1" si="22"/>
        <v>10</v>
      </c>
      <c r="Q252" s="703">
        <f t="shared" ca="1" si="23"/>
        <v>15</v>
      </c>
      <c r="R252" s="703" t="s">
        <v>29</v>
      </c>
      <c r="S252" s="24">
        <f>IFERROR(INDEX(Table5[],MATCH($B252,Table5[Component],0),2),0)</f>
        <v>0</v>
      </c>
      <c r="T252" s="813">
        <f>SUMIFS(Table7[Balance],Table7[Cutter Mat'#],$B252)</f>
        <v>0</v>
      </c>
      <c r="U252" s="24">
        <f t="shared" si="24"/>
        <v>0</v>
      </c>
      <c r="V252" s="119"/>
      <c r="W252" s="2"/>
      <c r="Y252" s="4">
        <f>IFERROR(INDEX(Table5[],MATCH($B252,Table5[Component],0),2),0)</f>
        <v>0</v>
      </c>
      <c r="Z252" s="4">
        <f>IFERROR(INDEX(Table5[],MATCH($B252,Table5[Component],0),1),0)</f>
        <v>0</v>
      </c>
      <c r="AA252" s="4" t="str">
        <f>IF(Y252&lt;&gt;0,B252,"")</f>
        <v/>
      </c>
      <c r="AB252" s="4" t="str">
        <f t="shared" si="25"/>
        <v/>
      </c>
      <c r="AD252" s="4">
        <f t="shared" si="26"/>
        <v>0</v>
      </c>
      <c r="AI252" s="248" t="str">
        <f>IFERROR(INDEX($B$1:$AK$243,MATCH(W252,$B$1:$B$243,0),13),"")</f>
        <v/>
      </c>
      <c r="AJ252" s="248" t="str">
        <f>IFERROR(INDEX($B$1:$AK$243,MATCH(W252,$B$1:$B$243,0),15),"")</f>
        <v/>
      </c>
      <c r="AK252">
        <f>SUMIF($W$2:$W$243,B252,$S$2:$S$243)</f>
        <v>0</v>
      </c>
      <c r="AN252" s="4"/>
      <c r="AO252" s="4"/>
      <c r="AP252">
        <f t="shared" si="27"/>
        <v>0</v>
      </c>
      <c r="AQ252" s="4"/>
      <c r="AR252" s="4">
        <v>1255773</v>
      </c>
      <c r="AS252">
        <f>SUMIF($B:$B,AR252,$AP:$AP)</f>
        <v>0</v>
      </c>
    </row>
    <row r="253" spans="1:45" ht="15.5" x14ac:dyDescent="0.35">
      <c r="A253" s="2">
        <v>257</v>
      </c>
      <c r="B253" s="258">
        <v>1272937</v>
      </c>
      <c r="C253" s="2" t="s">
        <v>3628</v>
      </c>
      <c r="D253" s="2" t="s">
        <v>222</v>
      </c>
      <c r="E253" s="2">
        <v>1313</v>
      </c>
      <c r="F253" s="2" t="s">
        <v>177</v>
      </c>
      <c r="G253" s="2" t="s">
        <v>4399</v>
      </c>
      <c r="H253" s="10">
        <f>SUMIFS('Cutters Consumption Updates'!$F:$F,'Cutters Consumption Updates'!$D:$D,H$1,'Cutters Consumption Updates'!$B:$B,$B253)-SUMIFS('Cutters Consumption Updates'!$E:$E,'Cutters Consumption Updates'!$D:$D,H$1,'Cutters Consumption Updates'!$B:$B,$B253)+ SUMIF('Cutters Consumption Updates'!$AS:$AS,$B253,'Cutters Consumption Updates'!AT:AT)</f>
        <v>0</v>
      </c>
      <c r="I253" s="10">
        <f>SUMIFS('Cutters Consumption Updates'!$F:$F,'Cutters Consumption Updates'!$D:$D,I$1,'Cutters Consumption Updates'!$B:$B,$B253)-SUMIFS('Cutters Consumption Updates'!$E:$E,'Cutters Consumption Updates'!$D:$D,I$1,'Cutters Consumption Updates'!$B:$B,$B253)+ SUMIF('Cutters Consumption Updates'!$AS:$AS,$B253,'Cutters Consumption Updates'!AU:AU)</f>
        <v>0</v>
      </c>
      <c r="J253" s="116">
        <f>SUMIFS('Cutters Consumption Updates'!$F:$F,'Cutters Consumption Updates'!$D:$D,J$1,'Cutters Consumption Updates'!$B:$B,$B253)-SUMIFS('Cutters Consumption Updates'!$E:$E,'Cutters Consumption Updates'!$D:$D,J$1,'Cutters Consumption Updates'!$B:$B,$B253)+ SUMIF('Cutters Consumption Updates'!$AS:$AS,$B253,'Cutters Consumption Updates'!AV:AV)</f>
        <v>0</v>
      </c>
      <c r="K253" s="738">
        <f>SUMIFS('Cutters Consumption Updates'!$F:$F,'Cutters Consumption Updates'!$D:$D,K$1,'Cutters Consumption Updates'!$B:$B,$B253)-SUMIFS('Cutters Consumption Updates'!$E:$E,'Cutters Consumption Updates'!$D:$D,K$1,'Cutters Consumption Updates'!$B:$B,$B253)+ SUMIF('Cutters Consumption Updates'!$AS:$AS,$B253,'Cutters Consumption Updates'!AW:AW)</f>
        <v>0</v>
      </c>
      <c r="L253" s="116">
        <f>SUMIFS('Cutters Consumption Updates'!$F:$F,'Cutters Consumption Updates'!$D:$D,L$1,'Cutters Consumption Updates'!$B:$B,$B253)-SUMIFS('Cutters Consumption Updates'!$E:$E,'Cutters Consumption Updates'!$D:$D,$L$1,'Cutters Consumption Updates'!$B:$B,$B253)+SUMIFS('Cutters Consumption Updates'!$F:$F,'Cutters Consumption Updates'!$D:$D,"Retrofit",'Cutters Consumption Updates'!$B:$B,$B253)-SUMIFS('Cutters Consumption Updates'!$E:$E,'Cutters Consumption Updates'!$D:$D,"Retrofit",'Cutters Consumption Updates'!$B:$B,$B253)+ SUMIF('Cutters Consumption Updates'!$AS:$AS,$B253,'Cutters Consumption Updates'!AX:AX)</f>
        <v>-75</v>
      </c>
      <c r="M253" s="810">
        <f t="shared" si="21"/>
        <v>-75</v>
      </c>
      <c r="N253" s="810">
        <f ca="1">SUMIFS('Cutters Consumption Updates'!E:E,
        'Cutters Consumption Updates'!B:B, B253,
        'Cutters Consumption Updates'!A:A, "&gt;" &amp; TODAY()-182)</f>
        <v>109</v>
      </c>
      <c r="O253" s="810">
        <f ca="1">SUMIFS('Cutters Consumption Updates'!E:E,
        'Cutters Consumption Updates'!B:B, B253,
        'Cutters Consumption Updates'!A:A, "&gt;" &amp; TODAY()-91)</f>
        <v>98</v>
      </c>
      <c r="P253" s="810">
        <f t="shared" ca="1" si="22"/>
        <v>37</v>
      </c>
      <c r="Q253" s="703">
        <f t="shared" ca="1" si="23"/>
        <v>40</v>
      </c>
      <c r="R253" s="703" t="s">
        <v>223</v>
      </c>
      <c r="S253" s="24">
        <f>IFERROR(INDEX(Table5[],MATCH($B253,Table5[Component],0),2),0)</f>
        <v>0</v>
      </c>
      <c r="T253" s="813">
        <f>SUMIFS(Table7[Balance],Table7[Cutter Mat'#],$B253)</f>
        <v>75</v>
      </c>
      <c r="U253" s="24">
        <f t="shared" si="24"/>
        <v>0</v>
      </c>
      <c r="V253" s="119"/>
      <c r="W253" s="2"/>
      <c r="Y253" s="4">
        <f>IFERROR(INDEX(Table5[],MATCH($B253,Table5[Component],0),2),0)</f>
        <v>0</v>
      </c>
      <c r="Z253" s="4">
        <f>IFERROR(INDEX(Table5[],MATCH($B253,Table5[Component],0),1),0)</f>
        <v>0</v>
      </c>
      <c r="AA253" s="4" t="str">
        <f>IF(Y253&lt;&gt;0,B253,"")</f>
        <v/>
      </c>
      <c r="AB253" s="4" t="str">
        <f t="shared" si="25"/>
        <v/>
      </c>
      <c r="AD253" s="4">
        <f t="shared" si="26"/>
        <v>-75</v>
      </c>
      <c r="AI253" s="248" t="str">
        <f>IFERROR(INDEX($B$1:$AK$243,MATCH(W253,$B$1:$B$243,0),13),"")</f>
        <v/>
      </c>
      <c r="AJ253" s="248" t="str">
        <f>IFERROR(INDEX($B$1:$AK$243,MATCH(W253,$B$1:$B$243,0),15),"")</f>
        <v/>
      </c>
      <c r="AK253">
        <f>SUMIF($W$2:$W$243,B253,$S$2:$S$243)</f>
        <v>0</v>
      </c>
      <c r="AN253" s="4"/>
      <c r="AO253" s="4"/>
      <c r="AP253">
        <f t="shared" si="27"/>
        <v>75</v>
      </c>
      <c r="AQ253" s="4"/>
      <c r="AR253" s="4">
        <v>1261319</v>
      </c>
      <c r="AS253">
        <f>SUMIF($B:$B,AR253,$AP:$AP)</f>
        <v>0</v>
      </c>
    </row>
    <row r="254" spans="1:45" ht="15.5" x14ac:dyDescent="0.35">
      <c r="A254" s="2">
        <v>258</v>
      </c>
      <c r="B254" s="258">
        <v>1282369</v>
      </c>
      <c r="C254" s="2" t="s">
        <v>3629</v>
      </c>
      <c r="D254" s="2" t="s">
        <v>1016</v>
      </c>
      <c r="E254" s="2">
        <v>1313</v>
      </c>
      <c r="F254" s="2" t="s">
        <v>170</v>
      </c>
      <c r="G254" s="2" t="s">
        <v>4406</v>
      </c>
      <c r="H254" s="10">
        <f>SUMIFS('Cutters Consumption Updates'!$F:$F,'Cutters Consumption Updates'!$D:$D,H$1,'Cutters Consumption Updates'!$B:$B,$B254)-SUMIFS('Cutters Consumption Updates'!$E:$E,'Cutters Consumption Updates'!$D:$D,H$1,'Cutters Consumption Updates'!$B:$B,$B254)+ SUMIF('Cutters Consumption Updates'!$AS:$AS,$B254,'Cutters Consumption Updates'!AT:AT)</f>
        <v>0</v>
      </c>
      <c r="I254" s="10">
        <f>SUMIFS('Cutters Consumption Updates'!$F:$F,'Cutters Consumption Updates'!$D:$D,I$1,'Cutters Consumption Updates'!$B:$B,$B254)-SUMIFS('Cutters Consumption Updates'!$E:$E,'Cutters Consumption Updates'!$D:$D,I$1,'Cutters Consumption Updates'!$B:$B,$B254)+ SUMIF('Cutters Consumption Updates'!$AS:$AS,$B254,'Cutters Consumption Updates'!AU:AU)</f>
        <v>0</v>
      </c>
      <c r="J254" s="116">
        <f>SUMIFS('Cutters Consumption Updates'!$F:$F,'Cutters Consumption Updates'!$D:$D,J$1,'Cutters Consumption Updates'!$B:$B,$B254)-SUMIFS('Cutters Consumption Updates'!$E:$E,'Cutters Consumption Updates'!$D:$D,J$1,'Cutters Consumption Updates'!$B:$B,$B254)+ SUMIF('Cutters Consumption Updates'!$AS:$AS,$B254,'Cutters Consumption Updates'!AV:AV)</f>
        <v>0</v>
      </c>
      <c r="K254" s="738">
        <f>SUMIFS('Cutters Consumption Updates'!$F:$F,'Cutters Consumption Updates'!$D:$D,K$1,'Cutters Consumption Updates'!$B:$B,$B254)-SUMIFS('Cutters Consumption Updates'!$E:$E,'Cutters Consumption Updates'!$D:$D,K$1,'Cutters Consumption Updates'!$B:$B,$B254)+ SUMIF('Cutters Consumption Updates'!$AS:$AS,$B254,'Cutters Consumption Updates'!AW:AW)</f>
        <v>0</v>
      </c>
      <c r="L254" s="116">
        <f>SUMIFS('Cutters Consumption Updates'!$F:$F,'Cutters Consumption Updates'!$D:$D,L$1,'Cutters Consumption Updates'!$B:$B,$B254)-SUMIFS('Cutters Consumption Updates'!$E:$E,'Cutters Consumption Updates'!$D:$D,$L$1,'Cutters Consumption Updates'!$B:$B,$B254)+SUMIFS('Cutters Consumption Updates'!$F:$F,'Cutters Consumption Updates'!$D:$D,"Retrofit",'Cutters Consumption Updates'!$B:$B,$B254)-SUMIFS('Cutters Consumption Updates'!$E:$E,'Cutters Consumption Updates'!$D:$D,"Retrofit",'Cutters Consumption Updates'!$B:$B,$B254)+ SUMIF('Cutters Consumption Updates'!$AS:$AS,$B254,'Cutters Consumption Updates'!AX:AX)</f>
        <v>30</v>
      </c>
      <c r="M254" s="810">
        <f t="shared" si="21"/>
        <v>30</v>
      </c>
      <c r="N254" s="810">
        <f ca="1">SUMIFS('Cutters Consumption Updates'!E:E,
        'Cutters Consumption Updates'!B:B, B254,
        'Cutters Consumption Updates'!A:A, "&gt;" &amp; TODAY()-182)</f>
        <v>120</v>
      </c>
      <c r="O254" s="810">
        <f ca="1">SUMIFS('Cutters Consumption Updates'!E:E,
        'Cutters Consumption Updates'!B:B, B254,
        'Cutters Consumption Updates'!A:A, "&gt;" &amp; TODAY()-91)</f>
        <v>107</v>
      </c>
      <c r="P254" s="810">
        <f t="shared" ca="1" si="22"/>
        <v>40</v>
      </c>
      <c r="Q254" s="703">
        <f t="shared" ca="1" si="23"/>
        <v>45</v>
      </c>
      <c r="R254" s="703" t="s">
        <v>126</v>
      </c>
      <c r="S254" s="24">
        <f>IFERROR(INDEX(Table5[],MATCH($B254,Table5[Component],0),2),0)</f>
        <v>13</v>
      </c>
      <c r="T254" s="813">
        <f>SUMIFS(Table7[Balance],Table7[Cutter Mat'#],$B254)</f>
        <v>50</v>
      </c>
      <c r="U254" s="24">
        <f t="shared" si="24"/>
        <v>67</v>
      </c>
      <c r="V254" s="119"/>
      <c r="W254" s="2"/>
      <c r="Y254" s="4">
        <f>IFERROR(INDEX(Table5[],MATCH($B254,Table5[Component],0),2),0)</f>
        <v>13</v>
      </c>
      <c r="Z254" s="4">
        <f>IFERROR(INDEX(Table5[],MATCH($B254,Table5[Component],0),1),0)</f>
        <v>1282369</v>
      </c>
      <c r="AA254" s="4">
        <f>IF(Y254&lt;&gt;0,B254,"")</f>
        <v>1282369</v>
      </c>
      <c r="AB254" s="4" t="str">
        <f t="shared" si="25"/>
        <v/>
      </c>
      <c r="AD254" s="4">
        <f t="shared" si="26"/>
        <v>30</v>
      </c>
      <c r="AI254" s="248" t="str">
        <f>IFERROR(INDEX($B$1:$AK$243,MATCH(W254,$B$1:$B$243,0),13),"")</f>
        <v/>
      </c>
      <c r="AJ254" s="248" t="str">
        <f>IFERROR(INDEX($B$1:$AK$243,MATCH(W254,$B$1:$B$243,0),15),"")</f>
        <v/>
      </c>
      <c r="AK254">
        <f>SUMIF($W$2:$W$243,B254,$S$2:$S$243)</f>
        <v>0</v>
      </c>
      <c r="AN254" s="4"/>
      <c r="AO254" s="4"/>
      <c r="AP254">
        <f t="shared" ref="AP254:AP259" si="28">T254</f>
        <v>50</v>
      </c>
      <c r="AQ254" s="4"/>
      <c r="AR254" s="4">
        <v>1261320</v>
      </c>
      <c r="AS254">
        <f>SUMIF($B:$B,AR254,$AP:$AP)</f>
        <v>0</v>
      </c>
    </row>
    <row r="255" spans="1:45" ht="15.5" x14ac:dyDescent="0.35">
      <c r="A255" s="2">
        <v>259</v>
      </c>
      <c r="B255" s="250">
        <v>1162285</v>
      </c>
      <c r="C255" s="2" t="s">
        <v>3630</v>
      </c>
      <c r="D255" s="2" t="s">
        <v>153</v>
      </c>
      <c r="E255" s="2">
        <v>1313</v>
      </c>
      <c r="F255" s="2" t="s">
        <v>109</v>
      </c>
      <c r="G255" s="2" t="s">
        <v>4336</v>
      </c>
      <c r="H255" s="10">
        <f>SUMIFS('Cutters Consumption Updates'!$F:$F,'Cutters Consumption Updates'!$D:$D,H$1,'Cutters Consumption Updates'!$B:$B,$B255)-SUMIFS('Cutters Consumption Updates'!$E:$E,'Cutters Consumption Updates'!$D:$D,H$1,'Cutters Consumption Updates'!$B:$B,$B255)+ SUMIF('Cutters Consumption Updates'!$AS:$AS,$B255,'Cutters Consumption Updates'!AT:AT)</f>
        <v>0</v>
      </c>
      <c r="I255" s="10">
        <f>SUMIFS('Cutters Consumption Updates'!$F:$F,'Cutters Consumption Updates'!$D:$D,I$1,'Cutters Consumption Updates'!$B:$B,$B255)-SUMIFS('Cutters Consumption Updates'!$E:$E,'Cutters Consumption Updates'!$D:$D,I$1,'Cutters Consumption Updates'!$B:$B,$B255)+ SUMIF('Cutters Consumption Updates'!$AS:$AS,$B255,'Cutters Consumption Updates'!AU:AU)</f>
        <v>0</v>
      </c>
      <c r="J255" s="116">
        <f>SUMIFS('Cutters Consumption Updates'!$F:$F,'Cutters Consumption Updates'!$D:$D,J$1,'Cutters Consumption Updates'!$B:$B,$B255)-SUMIFS('Cutters Consumption Updates'!$E:$E,'Cutters Consumption Updates'!$D:$D,J$1,'Cutters Consumption Updates'!$B:$B,$B255)+ SUMIF('Cutters Consumption Updates'!$AS:$AS,$B255,'Cutters Consumption Updates'!AV:AV)</f>
        <v>0</v>
      </c>
      <c r="K255" s="738">
        <f>SUMIFS('Cutters Consumption Updates'!$F:$F,'Cutters Consumption Updates'!$D:$D,K$1,'Cutters Consumption Updates'!$B:$B,$B255)-SUMIFS('Cutters Consumption Updates'!$E:$E,'Cutters Consumption Updates'!$D:$D,K$1,'Cutters Consumption Updates'!$B:$B,$B255)+ SUMIF('Cutters Consumption Updates'!$AS:$AS,$B255,'Cutters Consumption Updates'!AW:AW)</f>
        <v>0</v>
      </c>
      <c r="L255" s="116">
        <f>SUMIFS('Cutters Consumption Updates'!$F:$F,'Cutters Consumption Updates'!$D:$D,L$1,'Cutters Consumption Updates'!$B:$B,$B255)-SUMIFS('Cutters Consumption Updates'!$E:$E,'Cutters Consumption Updates'!$D:$D,$L$1,'Cutters Consumption Updates'!$B:$B,$B255)+SUMIFS('Cutters Consumption Updates'!$F:$F,'Cutters Consumption Updates'!$D:$D,"Retrofit",'Cutters Consumption Updates'!$B:$B,$B255)-SUMIFS('Cutters Consumption Updates'!$E:$E,'Cutters Consumption Updates'!$D:$D,"Retrofit",'Cutters Consumption Updates'!$B:$B,$B255)+ SUMIF('Cutters Consumption Updates'!$AS:$AS,$B255,'Cutters Consumption Updates'!AX:AX)</f>
        <v>0</v>
      </c>
      <c r="M255" s="810">
        <f t="shared" si="21"/>
        <v>0</v>
      </c>
      <c r="N255" s="810">
        <f ca="1">SUMIFS('Cutters Consumption Updates'!E:E,
        'Cutters Consumption Updates'!B:B, B255,
        'Cutters Consumption Updates'!A:A, "&gt;" &amp; TODAY()-182)</f>
        <v>0</v>
      </c>
      <c r="O255" s="810">
        <f ca="1">SUMIFS('Cutters Consumption Updates'!E:E,
        'Cutters Consumption Updates'!B:B, B255,
        'Cutters Consumption Updates'!A:A, "&gt;" &amp; TODAY()-91)</f>
        <v>0</v>
      </c>
      <c r="P255" s="810">
        <f t="shared" ca="1" si="22"/>
        <v>0</v>
      </c>
      <c r="Q255" s="703">
        <f t="shared" ca="1" si="23"/>
        <v>0</v>
      </c>
      <c r="R255" s="703" t="s">
        <v>224</v>
      </c>
      <c r="S255" s="24">
        <f>IFERROR(INDEX(Table5[],MATCH($B255,Table5[Component],0),2),0)</f>
        <v>0</v>
      </c>
      <c r="T255" s="813">
        <f>SUMIFS(Table7[Balance],Table7[Cutter Mat'#],$B255)</f>
        <v>0</v>
      </c>
      <c r="U255" s="24">
        <f t="shared" si="24"/>
        <v>0</v>
      </c>
      <c r="V255" s="119"/>
      <c r="W255" s="2"/>
      <c r="Y255" s="4">
        <f>IFERROR(INDEX(Table5[],MATCH($B255,Table5[Component],0),2),0)</f>
        <v>0</v>
      </c>
      <c r="Z255" s="4">
        <f>IFERROR(INDEX(Table5[],MATCH($B255,Table5[Component],0),1),0)</f>
        <v>0</v>
      </c>
      <c r="AA255" s="4" t="str">
        <f>IF(Y255&lt;&gt;0,B255,"")</f>
        <v/>
      </c>
      <c r="AB255" s="4" t="str">
        <f t="shared" si="25"/>
        <v/>
      </c>
      <c r="AD255" s="4">
        <f t="shared" si="26"/>
        <v>0</v>
      </c>
      <c r="AI255" s="248" t="str">
        <f>IFERROR(INDEX($B$1:$AK$243,MATCH(W255,$B$1:$B$243,0),13),"")</f>
        <v/>
      </c>
      <c r="AJ255" s="248" t="str">
        <f>IFERROR(INDEX($B$1:$AK$243,MATCH(W255,$B$1:$B$243,0),15),"")</f>
        <v/>
      </c>
      <c r="AK255">
        <f>SUMIF($W$2:$W$243,B255,$S$2:$S$243)</f>
        <v>0</v>
      </c>
      <c r="AN255" s="4"/>
      <c r="AO255" s="4"/>
      <c r="AP255">
        <f t="shared" si="28"/>
        <v>0</v>
      </c>
      <c r="AQ255" s="4"/>
      <c r="AR255" s="4">
        <v>1261321</v>
      </c>
      <c r="AS255">
        <f>SUMIF($B:$B,AR255,$AP:$AP)</f>
        <v>0</v>
      </c>
    </row>
    <row r="256" spans="1:45" ht="15.5" x14ac:dyDescent="0.35">
      <c r="A256" s="2">
        <v>260</v>
      </c>
      <c r="B256" s="250">
        <v>1255772</v>
      </c>
      <c r="C256" s="2" t="s">
        <v>3631</v>
      </c>
      <c r="D256" s="2" t="s">
        <v>153</v>
      </c>
      <c r="E256" s="2">
        <v>1313</v>
      </c>
      <c r="F256" s="2" t="s">
        <v>170</v>
      </c>
      <c r="G256" s="2" t="s">
        <v>4336</v>
      </c>
      <c r="H256" s="10">
        <f>SUMIFS('Cutters Consumption Updates'!$F:$F,'Cutters Consumption Updates'!$D:$D,H$1,'Cutters Consumption Updates'!$B:$B,$B256)-SUMIFS('Cutters Consumption Updates'!$E:$E,'Cutters Consumption Updates'!$D:$D,H$1,'Cutters Consumption Updates'!$B:$B,$B256)+ SUMIF('Cutters Consumption Updates'!$AS:$AS,$B256,'Cutters Consumption Updates'!AT:AT)</f>
        <v>0</v>
      </c>
      <c r="I256" s="10">
        <f>SUMIFS('Cutters Consumption Updates'!$F:$F,'Cutters Consumption Updates'!$D:$D,I$1,'Cutters Consumption Updates'!$B:$B,$B256)-SUMIFS('Cutters Consumption Updates'!$E:$E,'Cutters Consumption Updates'!$D:$D,I$1,'Cutters Consumption Updates'!$B:$B,$B256)+ SUMIF('Cutters Consumption Updates'!$AS:$AS,$B256,'Cutters Consumption Updates'!AU:AU)</f>
        <v>0</v>
      </c>
      <c r="J256" s="116">
        <f>SUMIFS('Cutters Consumption Updates'!$F:$F,'Cutters Consumption Updates'!$D:$D,J$1,'Cutters Consumption Updates'!$B:$B,$B256)-SUMIFS('Cutters Consumption Updates'!$E:$E,'Cutters Consumption Updates'!$D:$D,J$1,'Cutters Consumption Updates'!$B:$B,$B256)+ SUMIF('Cutters Consumption Updates'!$AS:$AS,$B256,'Cutters Consumption Updates'!AV:AV)</f>
        <v>0</v>
      </c>
      <c r="K256" s="738">
        <f>SUMIFS('Cutters Consumption Updates'!$F:$F,'Cutters Consumption Updates'!$D:$D,K$1,'Cutters Consumption Updates'!$B:$B,$B256)-SUMIFS('Cutters Consumption Updates'!$E:$E,'Cutters Consumption Updates'!$D:$D,K$1,'Cutters Consumption Updates'!$B:$B,$B256)+ SUMIF('Cutters Consumption Updates'!$AS:$AS,$B256,'Cutters Consumption Updates'!AW:AW)</f>
        <v>0</v>
      </c>
      <c r="L256" s="116">
        <f>SUMIFS('Cutters Consumption Updates'!$F:$F,'Cutters Consumption Updates'!$D:$D,L$1,'Cutters Consumption Updates'!$B:$B,$B256)-SUMIFS('Cutters Consumption Updates'!$E:$E,'Cutters Consumption Updates'!$D:$D,$L$1,'Cutters Consumption Updates'!$B:$B,$B256)+SUMIFS('Cutters Consumption Updates'!$F:$F,'Cutters Consumption Updates'!$D:$D,"Retrofit",'Cutters Consumption Updates'!$B:$B,$B256)-SUMIFS('Cutters Consumption Updates'!$E:$E,'Cutters Consumption Updates'!$D:$D,"Retrofit",'Cutters Consumption Updates'!$B:$B,$B256)+ SUMIF('Cutters Consumption Updates'!$AS:$AS,$B256,'Cutters Consumption Updates'!AX:AX)</f>
        <v>0</v>
      </c>
      <c r="M256" s="810">
        <f t="shared" si="21"/>
        <v>0</v>
      </c>
      <c r="N256" s="810">
        <f ca="1">SUMIFS('Cutters Consumption Updates'!E:E,
        'Cutters Consumption Updates'!B:B, B256,
        'Cutters Consumption Updates'!A:A, "&gt;" &amp; TODAY()-182)</f>
        <v>0</v>
      </c>
      <c r="O256" s="810">
        <f ca="1">SUMIFS('Cutters Consumption Updates'!E:E,
        'Cutters Consumption Updates'!B:B, B256,
        'Cutters Consumption Updates'!A:A, "&gt;" &amp; TODAY()-91)</f>
        <v>0</v>
      </c>
      <c r="P256" s="810">
        <f t="shared" ca="1" si="22"/>
        <v>0</v>
      </c>
      <c r="Q256" s="703">
        <f t="shared" ca="1" si="23"/>
        <v>0</v>
      </c>
      <c r="R256" s="703" t="s">
        <v>224</v>
      </c>
      <c r="S256" s="24">
        <f>IFERROR(INDEX(Table5[],MATCH($B256,Table5[Component],0),2),0)</f>
        <v>0</v>
      </c>
      <c r="T256" s="813">
        <f>SUMIFS(Table7[Balance],Table7[Cutter Mat'#],$B256)</f>
        <v>0</v>
      </c>
      <c r="U256" s="24">
        <f t="shared" si="24"/>
        <v>0</v>
      </c>
      <c r="V256" s="119"/>
      <c r="W256" s="2"/>
      <c r="Y256" s="4">
        <f>IFERROR(INDEX(Table5[],MATCH($B256,Table5[Component],0),2),0)</f>
        <v>0</v>
      </c>
      <c r="Z256" s="4">
        <f>IFERROR(INDEX(Table5[],MATCH($B256,Table5[Component],0),1),0)</f>
        <v>0</v>
      </c>
      <c r="AA256" s="4" t="str">
        <f>IF(Y256&lt;&gt;0,B256,"")</f>
        <v/>
      </c>
      <c r="AB256" s="4" t="str">
        <f t="shared" si="25"/>
        <v/>
      </c>
      <c r="AD256" s="4">
        <f t="shared" si="26"/>
        <v>0</v>
      </c>
      <c r="AI256" s="248" t="str">
        <f>IFERROR(INDEX($B$1:$AK$243,MATCH(W256,$B$1:$B$243,0),13),"")</f>
        <v/>
      </c>
      <c r="AJ256" s="248" t="str">
        <f>IFERROR(INDEX($B$1:$AK$243,MATCH(W256,$B$1:$B$243,0),15),"")</f>
        <v/>
      </c>
      <c r="AK256">
        <f>SUMIF($W$2:$W$243,B256,$S$2:$S$243)</f>
        <v>0</v>
      </c>
      <c r="AN256" s="4"/>
      <c r="AO256" s="4"/>
      <c r="AP256">
        <f t="shared" si="28"/>
        <v>0</v>
      </c>
      <c r="AQ256" s="4"/>
      <c r="AR256" s="4">
        <v>1261615</v>
      </c>
      <c r="AS256">
        <f>SUMIF($B:$B,AR256,$AP:$AP)</f>
        <v>0</v>
      </c>
    </row>
    <row r="257" spans="1:45" ht="15.5" x14ac:dyDescent="0.35">
      <c r="A257" s="2">
        <v>261</v>
      </c>
      <c r="B257" s="250">
        <v>1136983</v>
      </c>
      <c r="C257" s="2" t="s">
        <v>3632</v>
      </c>
      <c r="D257" s="2" t="s">
        <v>125</v>
      </c>
      <c r="E257" s="2">
        <v>1308</v>
      </c>
      <c r="F257" s="2" t="s">
        <v>248</v>
      </c>
      <c r="G257" s="2" t="s">
        <v>4318</v>
      </c>
      <c r="H257" s="10">
        <f>SUMIFS('Cutters Consumption Updates'!$F:$F,'Cutters Consumption Updates'!$D:$D,H$1,'Cutters Consumption Updates'!$B:$B,$B257)-SUMIFS('Cutters Consumption Updates'!$E:$E,'Cutters Consumption Updates'!$D:$D,H$1,'Cutters Consumption Updates'!$B:$B,$B257)+ SUMIF('Cutters Consumption Updates'!$AS:$AS,$B257,'Cutters Consumption Updates'!AT:AT)</f>
        <v>0</v>
      </c>
      <c r="I257" s="10">
        <f>SUMIFS('Cutters Consumption Updates'!$F:$F,'Cutters Consumption Updates'!$D:$D,I$1,'Cutters Consumption Updates'!$B:$B,$B257)-SUMIFS('Cutters Consumption Updates'!$E:$E,'Cutters Consumption Updates'!$D:$D,I$1,'Cutters Consumption Updates'!$B:$B,$B257)+ SUMIF('Cutters Consumption Updates'!$AS:$AS,$B257,'Cutters Consumption Updates'!AU:AU)</f>
        <v>0</v>
      </c>
      <c r="J257" s="116">
        <f>SUMIFS('Cutters Consumption Updates'!$F:$F,'Cutters Consumption Updates'!$D:$D,J$1,'Cutters Consumption Updates'!$B:$B,$B257)-SUMIFS('Cutters Consumption Updates'!$E:$E,'Cutters Consumption Updates'!$D:$D,J$1,'Cutters Consumption Updates'!$B:$B,$B257)+ SUMIF('Cutters Consumption Updates'!$AS:$AS,$B257,'Cutters Consumption Updates'!AV:AV)</f>
        <v>0</v>
      </c>
      <c r="K257" s="738">
        <f>SUMIFS('Cutters Consumption Updates'!$F:$F,'Cutters Consumption Updates'!$D:$D,K$1,'Cutters Consumption Updates'!$B:$B,$B257)-SUMIFS('Cutters Consumption Updates'!$E:$E,'Cutters Consumption Updates'!$D:$D,K$1,'Cutters Consumption Updates'!$B:$B,$B257)+ SUMIF('Cutters Consumption Updates'!$AS:$AS,$B257,'Cutters Consumption Updates'!AW:AW)</f>
        <v>0</v>
      </c>
      <c r="L257" s="116">
        <f>SUMIFS('Cutters Consumption Updates'!$F:$F,'Cutters Consumption Updates'!$D:$D,L$1,'Cutters Consumption Updates'!$B:$B,$B257)-SUMIFS('Cutters Consumption Updates'!$E:$E,'Cutters Consumption Updates'!$D:$D,$L$1,'Cutters Consumption Updates'!$B:$B,$B257)+SUMIFS('Cutters Consumption Updates'!$F:$F,'Cutters Consumption Updates'!$D:$D,"Retrofit",'Cutters Consumption Updates'!$B:$B,$B257)-SUMIFS('Cutters Consumption Updates'!$E:$E,'Cutters Consumption Updates'!$D:$D,"Retrofit",'Cutters Consumption Updates'!$B:$B,$B257)+ SUMIF('Cutters Consumption Updates'!$AS:$AS,$B257,'Cutters Consumption Updates'!AX:AX)</f>
        <v>9</v>
      </c>
      <c r="M257" s="810">
        <f t="shared" si="21"/>
        <v>9</v>
      </c>
      <c r="N257" s="810">
        <f ca="1">SUMIFS('Cutters Consumption Updates'!E:E,
        'Cutters Consumption Updates'!B:B, B257,
        'Cutters Consumption Updates'!A:A, "&gt;" &amp; TODAY()-182)</f>
        <v>0</v>
      </c>
      <c r="O257" s="810">
        <f ca="1">SUMIFS('Cutters Consumption Updates'!E:E,
        'Cutters Consumption Updates'!B:B, B257,
        'Cutters Consumption Updates'!A:A, "&gt;" &amp; TODAY()-91)</f>
        <v>0</v>
      </c>
      <c r="P257" s="810">
        <f t="shared" ca="1" si="22"/>
        <v>0</v>
      </c>
      <c r="Q257" s="703">
        <f t="shared" ca="1" si="23"/>
        <v>0</v>
      </c>
      <c r="R257" s="703"/>
      <c r="S257" s="24">
        <f>IFERROR(INDEX(Table5[],MATCH($B257,Table5[Component],0),2),0)</f>
        <v>0</v>
      </c>
      <c r="T257" s="813">
        <f>SUMIFS(Table7[Balance],Table7[Cutter Mat'#],$B257)</f>
        <v>0</v>
      </c>
      <c r="U257" s="24">
        <f t="shared" si="24"/>
        <v>9</v>
      </c>
      <c r="V257" s="119"/>
      <c r="W257" s="2"/>
      <c r="Y257" s="4">
        <f>IFERROR(INDEX(Table5[],MATCH($B257,Table5[Component],0),2),0)</f>
        <v>0</v>
      </c>
      <c r="Z257" s="4">
        <f>IFERROR(INDEX(Table5[],MATCH($B257,Table5[Component],0),1),0)</f>
        <v>0</v>
      </c>
      <c r="AA257" s="4" t="str">
        <f>IF(Y257&lt;&gt;0,B257,"")</f>
        <v/>
      </c>
      <c r="AB257" s="4" t="str">
        <f t="shared" si="25"/>
        <v/>
      </c>
      <c r="AD257" s="4">
        <f t="shared" si="26"/>
        <v>9</v>
      </c>
      <c r="AI257" s="248" t="str">
        <f>IFERROR(INDEX($B$1:$AK$243,MATCH(W257,$B$1:$B$243,0),13),"")</f>
        <v/>
      </c>
      <c r="AJ257" s="248" t="str">
        <f>IFERROR(INDEX($B$1:$AK$243,MATCH(W257,$B$1:$B$243,0),15),"")</f>
        <v/>
      </c>
      <c r="AK257">
        <f>SUMIF($W$2:$W$243,B257,$S$2:$S$243)</f>
        <v>0</v>
      </c>
      <c r="AN257" s="4"/>
      <c r="AO257" s="4"/>
      <c r="AP257">
        <f t="shared" si="28"/>
        <v>0</v>
      </c>
      <c r="AQ257" s="4"/>
      <c r="AR257" s="4">
        <v>1263281</v>
      </c>
      <c r="AS257">
        <f>SUMIF($B:$B,AR257,$AP:$AP)</f>
        <v>0</v>
      </c>
    </row>
    <row r="258" spans="1:45" ht="15.5" x14ac:dyDescent="0.35">
      <c r="A258" s="2">
        <v>262</v>
      </c>
      <c r="B258" s="250">
        <v>2004484</v>
      </c>
      <c r="C258" s="2" t="s">
        <v>3633</v>
      </c>
      <c r="D258" s="2" t="s">
        <v>225</v>
      </c>
      <c r="E258" s="2">
        <v>1308</v>
      </c>
      <c r="F258" s="2" t="s">
        <v>170</v>
      </c>
      <c r="G258" s="2" t="s">
        <v>4336</v>
      </c>
      <c r="H258" s="10">
        <f>SUMIFS('Cutters Consumption Updates'!$F:$F,'Cutters Consumption Updates'!$D:$D,H$1,'Cutters Consumption Updates'!$B:$B,$B258)-SUMIFS('Cutters Consumption Updates'!$E:$E,'Cutters Consumption Updates'!$D:$D,H$1,'Cutters Consumption Updates'!$B:$B,$B258)+ SUMIF('Cutters Consumption Updates'!$AS:$AS,$B258,'Cutters Consumption Updates'!AT:AT)</f>
        <v>0</v>
      </c>
      <c r="I258" s="10">
        <f>SUMIFS('Cutters Consumption Updates'!$F:$F,'Cutters Consumption Updates'!$D:$D,I$1,'Cutters Consumption Updates'!$B:$B,$B258)-SUMIFS('Cutters Consumption Updates'!$E:$E,'Cutters Consumption Updates'!$D:$D,I$1,'Cutters Consumption Updates'!$B:$B,$B258)+ SUMIF('Cutters Consumption Updates'!$AS:$AS,$B258,'Cutters Consumption Updates'!AU:AU)</f>
        <v>0</v>
      </c>
      <c r="J258" s="116">
        <f>SUMIFS('Cutters Consumption Updates'!$F:$F,'Cutters Consumption Updates'!$D:$D,J$1,'Cutters Consumption Updates'!$B:$B,$B258)-SUMIFS('Cutters Consumption Updates'!$E:$E,'Cutters Consumption Updates'!$D:$D,J$1,'Cutters Consumption Updates'!$B:$B,$B258)+ SUMIF('Cutters Consumption Updates'!$AS:$AS,$B258,'Cutters Consumption Updates'!AV:AV)</f>
        <v>0</v>
      </c>
      <c r="K258" s="738">
        <f>SUMIFS('Cutters Consumption Updates'!$F:$F,'Cutters Consumption Updates'!$D:$D,K$1,'Cutters Consumption Updates'!$B:$B,$B258)-SUMIFS('Cutters Consumption Updates'!$E:$E,'Cutters Consumption Updates'!$D:$D,K$1,'Cutters Consumption Updates'!$B:$B,$B258)+ SUMIF('Cutters Consumption Updates'!$AS:$AS,$B258,'Cutters Consumption Updates'!AW:AW)</f>
        <v>0</v>
      </c>
      <c r="L258" s="116">
        <f>SUMIFS('Cutters Consumption Updates'!$F:$F,'Cutters Consumption Updates'!$D:$D,L$1,'Cutters Consumption Updates'!$B:$B,$B258)-SUMIFS('Cutters Consumption Updates'!$E:$E,'Cutters Consumption Updates'!$D:$D,$L$1,'Cutters Consumption Updates'!$B:$B,$B258)+SUMIFS('Cutters Consumption Updates'!$F:$F,'Cutters Consumption Updates'!$D:$D,"Retrofit",'Cutters Consumption Updates'!$B:$B,$B258)-SUMIFS('Cutters Consumption Updates'!$E:$E,'Cutters Consumption Updates'!$D:$D,"Retrofit",'Cutters Consumption Updates'!$B:$B,$B258)+ SUMIF('Cutters Consumption Updates'!$AS:$AS,$B258,'Cutters Consumption Updates'!AX:AX)</f>
        <v>293</v>
      </c>
      <c r="M258" s="810">
        <f t="shared" ref="M258:M303" si="29">L258+H258</f>
        <v>293</v>
      </c>
      <c r="N258" s="810">
        <f ca="1">SUMIFS('Cutters Consumption Updates'!E:E,
        'Cutters Consumption Updates'!B:B, B258,
        'Cutters Consumption Updates'!A:A, "&gt;" &amp; TODAY()-182)</f>
        <v>428</v>
      </c>
      <c r="O258" s="810">
        <f ca="1">SUMIFS('Cutters Consumption Updates'!E:E,
        'Cutters Consumption Updates'!B:B, B258,
        'Cutters Consumption Updates'!A:A, "&gt;" &amp; TODAY()-91)</f>
        <v>276</v>
      </c>
      <c r="P258" s="810">
        <f t="shared" ref="P258:P282" ca="1" si="30">IF(N258&lt;&gt;0,_xlfn.CEILING.MATH(N258/3),0)</f>
        <v>143</v>
      </c>
      <c r="Q258" s="703">
        <f t="shared" ref="Q258:Q303" ca="1" si="31">IF(P258&lt;=1, 0,
 CEILING(
  IF(P258&gt;=300, P258+10,
  IF(P258&gt;=200, P258+5,
  IF(P258&gt;=100, P258+5,
  IF(P258&gt;=50, P258+2,
  IF(P258&gt;=20, P258+2,
  IF(P258&gt;=10, P258+2,
  IF(P258&gt;=5,  P258+2,
  P258+1))))))), 5))</f>
        <v>150</v>
      </c>
      <c r="R258" s="703" t="s">
        <v>121</v>
      </c>
      <c r="S258" s="24">
        <f>IFERROR(INDEX(Table5[],MATCH($B258,Table5[Component],0),2),0)</f>
        <v>373</v>
      </c>
      <c r="T258" s="813">
        <f>SUMIFS(Table7[Balance],Table7[Cutter Mat'#],$B258)</f>
        <v>50</v>
      </c>
      <c r="U258" s="24">
        <f t="shared" ref="U258:U303" si="32">M258+T258-S258</f>
        <v>-30</v>
      </c>
      <c r="V258" s="119"/>
      <c r="W258" s="2"/>
      <c r="Y258" s="4">
        <f>IFERROR(INDEX(Table5[],MATCH($B258,Table5[Component],0),2),0)</f>
        <v>373</v>
      </c>
      <c r="Z258" s="4">
        <f>IFERROR(INDEX(Table5[],MATCH($B258,Table5[Component],0),1),0)</f>
        <v>2004484</v>
      </c>
      <c r="AA258" s="4">
        <f>IF(Y258&lt;&gt;0,B258,"")</f>
        <v>2004484</v>
      </c>
      <c r="AB258" s="4" t="str">
        <f t="shared" ref="AB258:AB303" si="33">IF(S258&lt;&gt;Y258,1,"")</f>
        <v/>
      </c>
      <c r="AD258" s="4">
        <f t="shared" ref="AD258:AD304" si="34">H258+I258+J258+L258</f>
        <v>293</v>
      </c>
      <c r="AI258" s="248" t="str">
        <f>IFERROR(INDEX($B$1:$AK$243,MATCH(W258,$B$1:$B$243,0),13),"")</f>
        <v/>
      </c>
      <c r="AJ258" s="248" t="str">
        <f>IFERROR(INDEX($B$1:$AK$243,MATCH(W258,$B$1:$B$243,0),15),"")</f>
        <v/>
      </c>
      <c r="AK258">
        <f>SUMIF($W$2:$W$243,B258,$S$2:$S$243)</f>
        <v>0</v>
      </c>
      <c r="AN258" s="4"/>
      <c r="AO258" s="4"/>
      <c r="AP258">
        <f t="shared" si="28"/>
        <v>50</v>
      </c>
      <c r="AQ258" s="4"/>
      <c r="AR258" s="4">
        <v>1263823</v>
      </c>
      <c r="AS258">
        <f>SUMIF($B:$B,AR258,$AP:$AP)</f>
        <v>0</v>
      </c>
    </row>
    <row r="259" spans="1:45" ht="15.5" x14ac:dyDescent="0.35">
      <c r="A259" s="2">
        <v>263</v>
      </c>
      <c r="B259" s="250">
        <v>2000450</v>
      </c>
      <c r="C259" s="2" t="s">
        <v>4413</v>
      </c>
      <c r="D259" s="2" t="s">
        <v>226</v>
      </c>
      <c r="E259" s="2">
        <v>1313</v>
      </c>
      <c r="F259" s="2" t="s">
        <v>170</v>
      </c>
      <c r="G259" s="2" t="s">
        <v>4414</v>
      </c>
      <c r="H259" s="10">
        <f>SUMIFS('Cutters Consumption Updates'!$F:$F,'Cutters Consumption Updates'!$D:$D,H$1,'Cutters Consumption Updates'!$B:$B,$B259)-SUMIFS('Cutters Consumption Updates'!$E:$E,'Cutters Consumption Updates'!$D:$D,H$1,'Cutters Consumption Updates'!$B:$B,$B259)+ SUMIF('Cutters Consumption Updates'!$AS:$AS,$B259,'Cutters Consumption Updates'!AT:AT)</f>
        <v>0</v>
      </c>
      <c r="I259" s="10">
        <f>SUMIFS('Cutters Consumption Updates'!$F:$F,'Cutters Consumption Updates'!$D:$D,I$1,'Cutters Consumption Updates'!$B:$B,$B259)-SUMIFS('Cutters Consumption Updates'!$E:$E,'Cutters Consumption Updates'!$D:$D,I$1,'Cutters Consumption Updates'!$B:$B,$B259)+ SUMIF('Cutters Consumption Updates'!$AS:$AS,$B259,'Cutters Consumption Updates'!AU:AU)</f>
        <v>0</v>
      </c>
      <c r="J259" s="116">
        <f>SUMIFS('Cutters Consumption Updates'!$F:$F,'Cutters Consumption Updates'!$D:$D,J$1,'Cutters Consumption Updates'!$B:$B,$B259)-SUMIFS('Cutters Consumption Updates'!$E:$E,'Cutters Consumption Updates'!$D:$D,J$1,'Cutters Consumption Updates'!$B:$B,$B259)+ SUMIF('Cutters Consumption Updates'!$AS:$AS,$B259,'Cutters Consumption Updates'!AV:AV)</f>
        <v>0</v>
      </c>
      <c r="K259" s="738">
        <f>SUMIFS('Cutters Consumption Updates'!$F:$F,'Cutters Consumption Updates'!$D:$D,K$1,'Cutters Consumption Updates'!$B:$B,$B259)-SUMIFS('Cutters Consumption Updates'!$E:$E,'Cutters Consumption Updates'!$D:$D,K$1,'Cutters Consumption Updates'!$B:$B,$B259)+ SUMIF('Cutters Consumption Updates'!$AS:$AS,$B259,'Cutters Consumption Updates'!AW:AW)</f>
        <v>0</v>
      </c>
      <c r="L259" s="116">
        <f>SUMIFS('Cutters Consumption Updates'!$F:$F,'Cutters Consumption Updates'!$D:$D,L$1,'Cutters Consumption Updates'!$B:$B,$B259)-SUMIFS('Cutters Consumption Updates'!$E:$E,'Cutters Consumption Updates'!$D:$D,$L$1,'Cutters Consumption Updates'!$B:$B,$B259)+SUMIFS('Cutters Consumption Updates'!$F:$F,'Cutters Consumption Updates'!$D:$D,"Retrofit",'Cutters Consumption Updates'!$B:$B,$B259)-SUMIFS('Cutters Consumption Updates'!$E:$E,'Cutters Consumption Updates'!$D:$D,"Retrofit",'Cutters Consumption Updates'!$B:$B,$B259)+ SUMIF('Cutters Consumption Updates'!$AS:$AS,$B259,'Cutters Consumption Updates'!AX:AX)</f>
        <v>30</v>
      </c>
      <c r="M259" s="810">
        <f t="shared" si="29"/>
        <v>30</v>
      </c>
      <c r="N259" s="810">
        <f ca="1">SUMIFS('Cutters Consumption Updates'!E:E,
        'Cutters Consumption Updates'!B:B, B259,
        'Cutters Consumption Updates'!A:A, "&gt;" &amp; TODAY()-182)</f>
        <v>0</v>
      </c>
      <c r="O259" s="810">
        <f ca="1">SUMIFS('Cutters Consumption Updates'!E:E,
        'Cutters Consumption Updates'!B:B, B259,
        'Cutters Consumption Updates'!A:A, "&gt;" &amp; TODAY()-91)</f>
        <v>0</v>
      </c>
      <c r="P259" s="810">
        <f t="shared" ca="1" si="30"/>
        <v>0</v>
      </c>
      <c r="Q259" s="703">
        <f t="shared" ca="1" si="31"/>
        <v>0</v>
      </c>
      <c r="R259" s="703" t="s">
        <v>29</v>
      </c>
      <c r="S259" s="24">
        <f>IFERROR(INDEX(Table5[],MATCH($B259,Table5[Component],0),2),0)</f>
        <v>10</v>
      </c>
      <c r="T259" s="813">
        <f>SUMIFS(Table7[Balance],Table7[Cutter Mat'#],$B259)</f>
        <v>0</v>
      </c>
      <c r="U259" s="24">
        <f t="shared" si="32"/>
        <v>20</v>
      </c>
      <c r="V259" s="119"/>
      <c r="W259" s="2"/>
      <c r="Y259" s="4">
        <f>IFERROR(INDEX(Table5[],MATCH($B259,Table5[Component],0),2),0)</f>
        <v>10</v>
      </c>
      <c r="Z259" s="4">
        <f>IFERROR(INDEX(Table5[],MATCH($B259,Table5[Component],0),1),0)</f>
        <v>2000450</v>
      </c>
      <c r="AA259" s="4">
        <f>IF(Y259&lt;&gt;0,B259,"")</f>
        <v>2000450</v>
      </c>
      <c r="AB259" s="4" t="str">
        <f t="shared" si="33"/>
        <v/>
      </c>
      <c r="AD259" s="4">
        <f t="shared" si="34"/>
        <v>30</v>
      </c>
      <c r="AI259" s="248" t="str">
        <f>IFERROR(INDEX($B$1:$AK$243,MATCH(W259,$B$1:$B$243,0),13),"")</f>
        <v/>
      </c>
      <c r="AJ259" s="248" t="str">
        <f>IFERROR(INDEX($B$1:$AK$243,MATCH(W259,$B$1:$B$243,0),15),"")</f>
        <v/>
      </c>
      <c r="AK259">
        <f>SUMIF($W$2:$W$243,B259,$S$2:$S$243)</f>
        <v>0</v>
      </c>
      <c r="AN259" s="4"/>
      <c r="AO259" s="4"/>
      <c r="AP259">
        <f t="shared" si="28"/>
        <v>0</v>
      </c>
      <c r="AQ259" s="4"/>
      <c r="AR259" s="4">
        <v>1263929</v>
      </c>
      <c r="AS259">
        <f>SUMIF($B:$B,AR259,$AP:$AP)</f>
        <v>0</v>
      </c>
    </row>
    <row r="260" spans="1:45" ht="15.5" x14ac:dyDescent="0.35">
      <c r="A260" s="2">
        <v>264</v>
      </c>
      <c r="B260" s="250">
        <v>2007571</v>
      </c>
      <c r="C260" s="2" t="s">
        <v>3635</v>
      </c>
      <c r="D260" s="2" t="s">
        <v>221</v>
      </c>
      <c r="E260" s="2">
        <v>1913</v>
      </c>
      <c r="F260" s="2" t="s">
        <v>177</v>
      </c>
      <c r="G260" s="806" t="e">
        <v>#N/A</v>
      </c>
      <c r="H260" s="10">
        <f>SUMIFS('Cutters Consumption Updates'!$F:$F,'Cutters Consumption Updates'!$D:$D,H$1,'Cutters Consumption Updates'!$B:$B,$B260)-SUMIFS('Cutters Consumption Updates'!$E:$E,'Cutters Consumption Updates'!$D:$D,H$1,'Cutters Consumption Updates'!$B:$B,$B260)+ SUMIF('Cutters Consumption Updates'!$AS:$AS,$B260,'Cutters Consumption Updates'!AT:AT)</f>
        <v>0</v>
      </c>
      <c r="I260" s="10">
        <f>SUMIFS('Cutters Consumption Updates'!$F:$F,'Cutters Consumption Updates'!$D:$D,I$1,'Cutters Consumption Updates'!$B:$B,$B260)-SUMIFS('Cutters Consumption Updates'!$E:$E,'Cutters Consumption Updates'!$D:$D,I$1,'Cutters Consumption Updates'!$B:$B,$B260)+ SUMIF('Cutters Consumption Updates'!$AS:$AS,$B260,'Cutters Consumption Updates'!AU:AU)</f>
        <v>0</v>
      </c>
      <c r="J260" s="116">
        <f>SUMIFS('Cutters Consumption Updates'!$F:$F,'Cutters Consumption Updates'!$D:$D,J$1,'Cutters Consumption Updates'!$B:$B,$B260)-SUMIFS('Cutters Consumption Updates'!$E:$E,'Cutters Consumption Updates'!$D:$D,J$1,'Cutters Consumption Updates'!$B:$B,$B260)+ SUMIF('Cutters Consumption Updates'!$AS:$AS,$B260,'Cutters Consumption Updates'!AV:AV)</f>
        <v>0</v>
      </c>
      <c r="K260" s="738">
        <f>SUMIFS('Cutters Consumption Updates'!$F:$F,'Cutters Consumption Updates'!$D:$D,K$1,'Cutters Consumption Updates'!$B:$B,$B260)-SUMIFS('Cutters Consumption Updates'!$E:$E,'Cutters Consumption Updates'!$D:$D,K$1,'Cutters Consumption Updates'!$B:$B,$B260)+ SUMIF('Cutters Consumption Updates'!$AS:$AS,$B260,'Cutters Consumption Updates'!AW:AW)</f>
        <v>0</v>
      </c>
      <c r="L260" s="116">
        <f>SUMIFS('Cutters Consumption Updates'!$F:$F,'Cutters Consumption Updates'!$D:$D,L$1,'Cutters Consumption Updates'!$B:$B,$B260)-SUMIFS('Cutters Consumption Updates'!$E:$E,'Cutters Consumption Updates'!$D:$D,$L$1,'Cutters Consumption Updates'!$B:$B,$B260)+SUMIFS('Cutters Consumption Updates'!$F:$F,'Cutters Consumption Updates'!$D:$D,"Retrofit",'Cutters Consumption Updates'!$B:$B,$B260)-SUMIFS('Cutters Consumption Updates'!$E:$E,'Cutters Consumption Updates'!$D:$D,"Retrofit",'Cutters Consumption Updates'!$B:$B,$B260)+ SUMIF('Cutters Consumption Updates'!$AS:$AS,$B260,'Cutters Consumption Updates'!AX:AX)</f>
        <v>0</v>
      </c>
      <c r="M260" s="810">
        <f t="shared" si="29"/>
        <v>0</v>
      </c>
      <c r="N260" s="810">
        <f ca="1">SUMIFS('Cutters Consumption Updates'!E:E,
        'Cutters Consumption Updates'!B:B, B260,
        'Cutters Consumption Updates'!A:A, "&gt;" &amp; TODAY()-182)</f>
        <v>0</v>
      </c>
      <c r="O260" s="810">
        <f ca="1">SUMIFS('Cutters Consumption Updates'!E:E,
        'Cutters Consumption Updates'!B:B, B260,
        'Cutters Consumption Updates'!A:A, "&gt;" &amp; TODAY()-91)</f>
        <v>0</v>
      </c>
      <c r="P260" s="810">
        <f t="shared" ca="1" si="30"/>
        <v>0</v>
      </c>
      <c r="Q260" s="703">
        <f t="shared" ca="1" si="31"/>
        <v>0</v>
      </c>
      <c r="R260" s="703" t="s">
        <v>29</v>
      </c>
      <c r="S260" s="24">
        <f>IFERROR(INDEX(Table5[],MATCH($B260,Table5[Component],0),2),0)</f>
        <v>0</v>
      </c>
      <c r="T260" s="813">
        <f>SUMIFS(Table7[Balance],Table7[Cutter Mat'#],$B260)</f>
        <v>0</v>
      </c>
      <c r="U260" s="24">
        <f t="shared" si="32"/>
        <v>0</v>
      </c>
      <c r="V260" s="119"/>
      <c r="W260" s="2"/>
      <c r="Y260" s="4">
        <f>IFERROR(INDEX(Table5[],MATCH($B260,Table5[Component],0),2),0)</f>
        <v>0</v>
      </c>
      <c r="Z260" s="4">
        <f>IFERROR(INDEX(Table5[],MATCH($B260,Table5[Component],0),1),0)</f>
        <v>0</v>
      </c>
      <c r="AA260" s="4" t="str">
        <f>IF(Y260&lt;&gt;0,B260,"")</f>
        <v/>
      </c>
      <c r="AB260" s="4" t="str">
        <f t="shared" si="33"/>
        <v/>
      </c>
      <c r="AD260" s="4">
        <f t="shared" si="34"/>
        <v>0</v>
      </c>
      <c r="AI260" s="248" t="str">
        <f>IFERROR(INDEX($B$1:$AK$243,MATCH(W260,$B$1:$B$243,0),13),"")</f>
        <v/>
      </c>
      <c r="AJ260" s="248" t="str">
        <f>IFERROR(INDEX($B$1:$AK$243,MATCH(W260,$B$1:$B$243,0),15),"")</f>
        <v/>
      </c>
      <c r="AK260">
        <f>SUMIF($W$2:$W$243,B260,$S$2:$S$243)</f>
        <v>0</v>
      </c>
      <c r="AN260" s="4"/>
      <c r="AO260" s="4"/>
      <c r="AP260">
        <f t="shared" ref="AP260:AP287" si="35">T260</f>
        <v>0</v>
      </c>
      <c r="AQ260" s="4"/>
      <c r="AR260" s="4">
        <v>1266417</v>
      </c>
      <c r="AS260">
        <f>SUMIF($B:$B,AR260,$AP:$AP)</f>
        <v>0</v>
      </c>
    </row>
    <row r="261" spans="1:45" ht="18.75" customHeight="1" x14ac:dyDescent="0.35">
      <c r="A261" s="2">
        <v>265</v>
      </c>
      <c r="B261" s="250">
        <v>2002299</v>
      </c>
      <c r="C261" s="2" t="s">
        <v>3637</v>
      </c>
      <c r="D261" s="2" t="s">
        <v>225</v>
      </c>
      <c r="E261" s="2">
        <v>1613</v>
      </c>
      <c r="F261" s="2" t="s">
        <v>170</v>
      </c>
      <c r="G261" s="2" t="s">
        <v>4336</v>
      </c>
      <c r="H261" s="10">
        <f>SUMIFS('Cutters Consumption Updates'!$F:$F,'Cutters Consumption Updates'!$D:$D,H$1,'Cutters Consumption Updates'!$B:$B,$B261)-SUMIFS('Cutters Consumption Updates'!$E:$E,'Cutters Consumption Updates'!$D:$D,H$1,'Cutters Consumption Updates'!$B:$B,$B261)+ SUMIF('Cutters Consumption Updates'!$AS:$AS,$B261,'Cutters Consumption Updates'!AT:AT)</f>
        <v>0</v>
      </c>
      <c r="I261" s="10">
        <f>SUMIFS('Cutters Consumption Updates'!$F:$F,'Cutters Consumption Updates'!$D:$D,I$1,'Cutters Consumption Updates'!$B:$B,$B261)-SUMIFS('Cutters Consumption Updates'!$E:$E,'Cutters Consumption Updates'!$D:$D,I$1,'Cutters Consumption Updates'!$B:$B,$B261)+ SUMIF('Cutters Consumption Updates'!$AS:$AS,$B261,'Cutters Consumption Updates'!AU:AU)</f>
        <v>0</v>
      </c>
      <c r="J261" s="116">
        <f>SUMIFS('Cutters Consumption Updates'!$F:$F,'Cutters Consumption Updates'!$D:$D,J$1,'Cutters Consumption Updates'!$B:$B,$B261)-SUMIFS('Cutters Consumption Updates'!$E:$E,'Cutters Consumption Updates'!$D:$D,J$1,'Cutters Consumption Updates'!$B:$B,$B261)+ SUMIF('Cutters Consumption Updates'!$AS:$AS,$B261,'Cutters Consumption Updates'!AV:AV)</f>
        <v>0</v>
      </c>
      <c r="K261" s="738">
        <f>SUMIFS('Cutters Consumption Updates'!$F:$F,'Cutters Consumption Updates'!$D:$D,K$1,'Cutters Consumption Updates'!$B:$B,$B261)-SUMIFS('Cutters Consumption Updates'!$E:$E,'Cutters Consumption Updates'!$D:$D,K$1,'Cutters Consumption Updates'!$B:$B,$B261)+ SUMIF('Cutters Consumption Updates'!$AS:$AS,$B261,'Cutters Consumption Updates'!AW:AW)</f>
        <v>0</v>
      </c>
      <c r="L261" s="116">
        <f>SUMIFS('Cutters Consumption Updates'!$F:$F,'Cutters Consumption Updates'!$D:$D,L$1,'Cutters Consumption Updates'!$B:$B,$B261)-SUMIFS('Cutters Consumption Updates'!$E:$E,'Cutters Consumption Updates'!$D:$D,$L$1,'Cutters Consumption Updates'!$B:$B,$B261)+SUMIFS('Cutters Consumption Updates'!$F:$F,'Cutters Consumption Updates'!$D:$D,"Retrofit",'Cutters Consumption Updates'!$B:$B,$B261)-SUMIFS('Cutters Consumption Updates'!$E:$E,'Cutters Consumption Updates'!$D:$D,"Retrofit",'Cutters Consumption Updates'!$B:$B,$B261)+ SUMIF('Cutters Consumption Updates'!$AS:$AS,$B261,'Cutters Consumption Updates'!AX:AX)</f>
        <v>11</v>
      </c>
      <c r="M261" s="810">
        <f t="shared" si="29"/>
        <v>11</v>
      </c>
      <c r="N261" s="810">
        <f ca="1">SUMIFS('Cutters Consumption Updates'!E:E,
        'Cutters Consumption Updates'!B:B, B261,
        'Cutters Consumption Updates'!A:A, "&gt;" &amp; TODAY()-182)</f>
        <v>557</v>
      </c>
      <c r="O261" s="810">
        <f ca="1">SUMIFS('Cutters Consumption Updates'!E:E,
        'Cutters Consumption Updates'!B:B, B261,
        'Cutters Consumption Updates'!A:A, "&gt;" &amp; TODAY()-91)</f>
        <v>325</v>
      </c>
      <c r="P261" s="810">
        <f t="shared" ca="1" si="30"/>
        <v>186</v>
      </c>
      <c r="Q261" s="703">
        <f t="shared" ca="1" si="31"/>
        <v>195</v>
      </c>
      <c r="R261" s="703" t="s">
        <v>187</v>
      </c>
      <c r="S261" s="24">
        <f>IFERROR(INDEX(Table5[],MATCH($B261,Table5[Component],0),2),0)</f>
        <v>246</v>
      </c>
      <c r="T261" s="813">
        <f>SUMIFS(Table7[Balance],Table7[Cutter Mat'#],$B261)</f>
        <v>150</v>
      </c>
      <c r="U261" s="24">
        <f t="shared" si="32"/>
        <v>-85</v>
      </c>
      <c r="V261" s="119"/>
      <c r="W261" s="2"/>
      <c r="Y261" s="4">
        <f>IFERROR(INDEX(Table5[],MATCH($B261,Table5[Component],0),2),0)</f>
        <v>246</v>
      </c>
      <c r="Z261" s="4">
        <f>IFERROR(INDEX(Table5[],MATCH($B261,Table5[Component],0),1),0)</f>
        <v>2002299</v>
      </c>
      <c r="AA261" s="4">
        <f>IF(Y261&lt;&gt;0,B261,"")</f>
        <v>2002299</v>
      </c>
      <c r="AB261" s="4" t="str">
        <f t="shared" si="33"/>
        <v/>
      </c>
      <c r="AD261" s="4">
        <f t="shared" si="34"/>
        <v>11</v>
      </c>
      <c r="AI261" s="248" t="str">
        <f>IFERROR(INDEX($B$1:$AK$243,MATCH(W261,$B$1:$B$243,0),13),"")</f>
        <v/>
      </c>
      <c r="AJ261" s="248" t="str">
        <f>IFERROR(INDEX($B$1:$AK$243,MATCH(W261,$B$1:$B$243,0),15),"")</f>
        <v/>
      </c>
      <c r="AK261">
        <f>SUMIF($W$2:$W$243,B261,$S$2:$S$243)</f>
        <v>0</v>
      </c>
      <c r="AN261" s="4"/>
      <c r="AO261" s="4"/>
      <c r="AP261">
        <f t="shared" si="35"/>
        <v>150</v>
      </c>
      <c r="AQ261" s="4"/>
      <c r="AR261" s="4">
        <v>1266910</v>
      </c>
      <c r="AS261">
        <f>SUMIF($B:$B,AR261,$AP:$AP)</f>
        <v>0</v>
      </c>
    </row>
    <row r="262" spans="1:45" ht="18.75" customHeight="1" x14ac:dyDescent="0.35">
      <c r="A262" s="2">
        <v>267</v>
      </c>
      <c r="B262" s="250">
        <v>2001155</v>
      </c>
      <c r="C262" s="2" t="s">
        <v>3639</v>
      </c>
      <c r="D262" s="2" t="s">
        <v>227</v>
      </c>
      <c r="E262" s="2">
        <v>1313</v>
      </c>
      <c r="F262" s="2" t="s">
        <v>170</v>
      </c>
      <c r="G262" s="2" t="s">
        <v>4407</v>
      </c>
      <c r="H262" s="10">
        <f>SUMIFS('Cutters Consumption Updates'!$F:$F,'Cutters Consumption Updates'!$D:$D,H$1,'Cutters Consumption Updates'!$B:$B,$B262)-SUMIFS('Cutters Consumption Updates'!$E:$E,'Cutters Consumption Updates'!$D:$D,H$1,'Cutters Consumption Updates'!$B:$B,$B262)+ SUMIF('Cutters Consumption Updates'!$AS:$AS,$B262,'Cutters Consumption Updates'!AT:AT)</f>
        <v>0</v>
      </c>
      <c r="I262" s="10">
        <f>SUMIFS('Cutters Consumption Updates'!$F:$F,'Cutters Consumption Updates'!$D:$D,I$1,'Cutters Consumption Updates'!$B:$B,$B262)-SUMIFS('Cutters Consumption Updates'!$E:$E,'Cutters Consumption Updates'!$D:$D,I$1,'Cutters Consumption Updates'!$B:$B,$B262)+ SUMIF('Cutters Consumption Updates'!$AS:$AS,$B262,'Cutters Consumption Updates'!AU:AU)</f>
        <v>0</v>
      </c>
      <c r="J262" s="116">
        <f>SUMIFS('Cutters Consumption Updates'!$F:$F,'Cutters Consumption Updates'!$D:$D,J$1,'Cutters Consumption Updates'!$B:$B,$B262)-SUMIFS('Cutters Consumption Updates'!$E:$E,'Cutters Consumption Updates'!$D:$D,J$1,'Cutters Consumption Updates'!$B:$B,$B262)+ SUMIF('Cutters Consumption Updates'!$AS:$AS,$B262,'Cutters Consumption Updates'!AV:AV)</f>
        <v>0</v>
      </c>
      <c r="K262" s="738">
        <f>SUMIFS('Cutters Consumption Updates'!$F:$F,'Cutters Consumption Updates'!$D:$D,K$1,'Cutters Consumption Updates'!$B:$B,$B262)-SUMIFS('Cutters Consumption Updates'!$E:$E,'Cutters Consumption Updates'!$D:$D,K$1,'Cutters Consumption Updates'!$B:$B,$B262)+ SUMIF('Cutters Consumption Updates'!$AS:$AS,$B262,'Cutters Consumption Updates'!AW:AW)</f>
        <v>0</v>
      </c>
      <c r="L262" s="116">
        <f>SUMIFS('Cutters Consumption Updates'!$F:$F,'Cutters Consumption Updates'!$D:$D,L$1,'Cutters Consumption Updates'!$B:$B,$B262)-SUMIFS('Cutters Consumption Updates'!$E:$E,'Cutters Consumption Updates'!$D:$D,$L$1,'Cutters Consumption Updates'!$B:$B,$B262)+SUMIFS('Cutters Consumption Updates'!$F:$F,'Cutters Consumption Updates'!$D:$D,"Retrofit",'Cutters Consumption Updates'!$B:$B,$B262)-SUMIFS('Cutters Consumption Updates'!$E:$E,'Cutters Consumption Updates'!$D:$D,"Retrofit",'Cutters Consumption Updates'!$B:$B,$B262)+ SUMIF('Cutters Consumption Updates'!$AS:$AS,$B262,'Cutters Consumption Updates'!AX:AX)</f>
        <v>39</v>
      </c>
      <c r="M262" s="810">
        <f t="shared" si="29"/>
        <v>39</v>
      </c>
      <c r="N262" s="810">
        <f ca="1">SUMIFS('Cutters Consumption Updates'!E:E,
        'Cutters Consumption Updates'!B:B, B262,
        'Cutters Consumption Updates'!A:A, "&gt;" &amp; TODAY()-182)</f>
        <v>45</v>
      </c>
      <c r="O262" s="810">
        <f ca="1">SUMIFS('Cutters Consumption Updates'!E:E,
        'Cutters Consumption Updates'!B:B, B262,
        'Cutters Consumption Updates'!A:A, "&gt;" &amp; TODAY()-91)</f>
        <v>38</v>
      </c>
      <c r="P262" s="810">
        <f t="shared" ca="1" si="30"/>
        <v>15</v>
      </c>
      <c r="Q262" s="703">
        <f t="shared" ca="1" si="31"/>
        <v>20</v>
      </c>
      <c r="R262" s="703" t="s">
        <v>181</v>
      </c>
      <c r="S262" s="24">
        <f>IFERROR(INDEX(Table5[],MATCH($B262,Table5[Component],0),2),0)</f>
        <v>70</v>
      </c>
      <c r="T262" s="813">
        <f>SUMIFS(Table7[Balance],Table7[Cutter Mat'#],$B262)</f>
        <v>0</v>
      </c>
      <c r="U262" s="24">
        <f t="shared" si="32"/>
        <v>-31</v>
      </c>
      <c r="V262" s="119"/>
      <c r="W262" s="2"/>
      <c r="Y262" s="4">
        <f>IFERROR(INDEX(Table5[],MATCH($B262,Table5[Component],0),2),0)</f>
        <v>70</v>
      </c>
      <c r="Z262" s="4">
        <f>IFERROR(INDEX(Table5[],MATCH($B262,Table5[Component],0),1),0)</f>
        <v>2001155</v>
      </c>
      <c r="AA262" s="4">
        <f>IF(Y262&lt;&gt;0,B262,"")</f>
        <v>2001155</v>
      </c>
      <c r="AB262" s="4" t="str">
        <f t="shared" si="33"/>
        <v/>
      </c>
      <c r="AD262" s="4">
        <f t="shared" si="34"/>
        <v>39</v>
      </c>
      <c r="AI262" s="248" t="str">
        <f>IFERROR(INDEX($B$1:$AK$243,MATCH(W262,$B$1:$B$243,0),13),"")</f>
        <v/>
      </c>
      <c r="AJ262" s="248" t="str">
        <f>IFERROR(INDEX($B$1:$AK$243,MATCH(W262,$B$1:$B$243,0),15),"")</f>
        <v/>
      </c>
      <c r="AK262">
        <f>SUMIF($W$2:$W$243,B262,$S$2:$S$243)</f>
        <v>0</v>
      </c>
      <c r="AN262" s="4"/>
      <c r="AO262" s="4"/>
      <c r="AP262">
        <f t="shared" si="35"/>
        <v>0</v>
      </c>
      <c r="AQ262" s="4"/>
      <c r="AR262" s="4">
        <v>1271790</v>
      </c>
      <c r="AS262">
        <f>SUMIF($B:$B,AR262,$AP:$AP)</f>
        <v>0</v>
      </c>
    </row>
    <row r="263" spans="1:45" ht="18.75" customHeight="1" x14ac:dyDescent="0.35">
      <c r="A263" s="2">
        <v>268</v>
      </c>
      <c r="B263" s="250">
        <v>2001060</v>
      </c>
      <c r="C263" s="2" t="s">
        <v>3638</v>
      </c>
      <c r="D263" s="2" t="s">
        <v>227</v>
      </c>
      <c r="E263" s="2">
        <v>1613</v>
      </c>
      <c r="F263" s="2" t="s">
        <v>170</v>
      </c>
      <c r="G263" s="2" t="s">
        <v>4407</v>
      </c>
      <c r="H263" s="10">
        <f>SUMIFS('Cutters Consumption Updates'!$F:$F,'Cutters Consumption Updates'!$D:$D,H$1,'Cutters Consumption Updates'!$B:$B,$B263)-SUMIFS('Cutters Consumption Updates'!$E:$E,'Cutters Consumption Updates'!$D:$D,H$1,'Cutters Consumption Updates'!$B:$B,$B263)+ SUMIF('Cutters Consumption Updates'!$AS:$AS,$B263,'Cutters Consumption Updates'!AT:AT)</f>
        <v>0</v>
      </c>
      <c r="I263" s="10">
        <f>SUMIFS('Cutters Consumption Updates'!$F:$F,'Cutters Consumption Updates'!$D:$D,I$1,'Cutters Consumption Updates'!$B:$B,$B263)-SUMIFS('Cutters Consumption Updates'!$E:$E,'Cutters Consumption Updates'!$D:$D,I$1,'Cutters Consumption Updates'!$B:$B,$B263)+ SUMIF('Cutters Consumption Updates'!$AS:$AS,$B263,'Cutters Consumption Updates'!AU:AU)</f>
        <v>0</v>
      </c>
      <c r="J263" s="116">
        <f>SUMIFS('Cutters Consumption Updates'!$F:$F,'Cutters Consumption Updates'!$D:$D,J$1,'Cutters Consumption Updates'!$B:$B,$B263)-SUMIFS('Cutters Consumption Updates'!$E:$E,'Cutters Consumption Updates'!$D:$D,J$1,'Cutters Consumption Updates'!$B:$B,$B263)+ SUMIF('Cutters Consumption Updates'!$AS:$AS,$B263,'Cutters Consumption Updates'!AV:AV)</f>
        <v>0</v>
      </c>
      <c r="K263" s="738">
        <f>SUMIFS('Cutters Consumption Updates'!$F:$F,'Cutters Consumption Updates'!$D:$D,K$1,'Cutters Consumption Updates'!$B:$B,$B263)-SUMIFS('Cutters Consumption Updates'!$E:$E,'Cutters Consumption Updates'!$D:$D,K$1,'Cutters Consumption Updates'!$B:$B,$B263)+ SUMIF('Cutters Consumption Updates'!$AS:$AS,$B263,'Cutters Consumption Updates'!AW:AW)</f>
        <v>0</v>
      </c>
      <c r="L263" s="116">
        <f>SUMIFS('Cutters Consumption Updates'!$F:$F,'Cutters Consumption Updates'!$D:$D,L$1,'Cutters Consumption Updates'!$B:$B,$B263)-SUMIFS('Cutters Consumption Updates'!$E:$E,'Cutters Consumption Updates'!$D:$D,$L$1,'Cutters Consumption Updates'!$B:$B,$B263)+SUMIFS('Cutters Consumption Updates'!$F:$F,'Cutters Consumption Updates'!$D:$D,"Retrofit",'Cutters Consumption Updates'!$B:$B,$B263)-SUMIFS('Cutters Consumption Updates'!$E:$E,'Cutters Consumption Updates'!$D:$D,"Retrofit",'Cutters Consumption Updates'!$B:$B,$B263)+ SUMIF('Cutters Consumption Updates'!$AS:$AS,$B263,'Cutters Consumption Updates'!AX:AX)</f>
        <v>1</v>
      </c>
      <c r="M263" s="810">
        <f t="shared" si="29"/>
        <v>1</v>
      </c>
      <c r="N263" s="810">
        <f ca="1">SUMIFS('Cutters Consumption Updates'!E:E,
        'Cutters Consumption Updates'!B:B, B263,
        'Cutters Consumption Updates'!A:A, "&gt;" &amp; TODAY()-182)</f>
        <v>27</v>
      </c>
      <c r="O263" s="810">
        <f ca="1">SUMIFS('Cutters Consumption Updates'!E:E,
        'Cutters Consumption Updates'!B:B, B263,
        'Cutters Consumption Updates'!A:A, "&gt;" &amp; TODAY()-91)</f>
        <v>17</v>
      </c>
      <c r="P263" s="810">
        <f t="shared" ca="1" si="30"/>
        <v>9</v>
      </c>
      <c r="Q263" s="703">
        <f t="shared" ca="1" si="31"/>
        <v>15</v>
      </c>
      <c r="R263" s="703" t="s">
        <v>167</v>
      </c>
      <c r="S263" s="24">
        <f>IFERROR(INDEX(Table5[],MATCH($B263,Table5[Component],0),2),0)</f>
        <v>24</v>
      </c>
      <c r="T263" s="813">
        <f>SUMIFS(Table7[Balance],Table7[Cutter Mat'#],$B263)</f>
        <v>0</v>
      </c>
      <c r="U263" s="24">
        <f t="shared" si="32"/>
        <v>-23</v>
      </c>
      <c r="V263" s="119"/>
      <c r="W263" s="2"/>
      <c r="Y263" s="4">
        <f>IFERROR(INDEX(Table5[],MATCH($B263,Table5[Component],0),2),0)</f>
        <v>24</v>
      </c>
      <c r="Z263" s="4">
        <f>IFERROR(INDEX(Table5[],MATCH($B263,Table5[Component],0),1),0)</f>
        <v>2001060</v>
      </c>
      <c r="AA263" s="4">
        <f>IF(Y263&lt;&gt;0,B263,"")</f>
        <v>2001060</v>
      </c>
      <c r="AB263" s="4" t="str">
        <f t="shared" si="33"/>
        <v/>
      </c>
      <c r="AD263" s="4">
        <f t="shared" si="34"/>
        <v>1</v>
      </c>
      <c r="AI263" s="248" t="str">
        <f>IFERROR(INDEX($B$1:$AK$243,MATCH(W263,$B$1:$B$243,0),13),"")</f>
        <v/>
      </c>
      <c r="AJ263" s="248" t="str">
        <f>IFERROR(INDEX($B$1:$AK$243,MATCH(W263,$B$1:$B$243,0),15),"")</f>
        <v/>
      </c>
      <c r="AK263">
        <f>SUMIF($W$2:$W$243,B263,$S$2:$S$243)</f>
        <v>0</v>
      </c>
      <c r="AN263" s="4"/>
      <c r="AO263" s="4"/>
      <c r="AP263">
        <f t="shared" si="35"/>
        <v>0</v>
      </c>
      <c r="AQ263" s="4"/>
      <c r="AR263" s="4">
        <v>1272309</v>
      </c>
      <c r="AS263">
        <f>SUMIF($B:$B,AR263,$AP:$AP)</f>
        <v>0</v>
      </c>
    </row>
    <row r="264" spans="1:45" ht="18.75" customHeight="1" x14ac:dyDescent="0.35">
      <c r="A264" s="2">
        <v>269</v>
      </c>
      <c r="B264" s="250">
        <v>2013726</v>
      </c>
      <c r="C264" s="2" t="s">
        <v>2977</v>
      </c>
      <c r="D264" s="2" t="s">
        <v>228</v>
      </c>
      <c r="E264" s="2">
        <v>1913</v>
      </c>
      <c r="F264" s="2" t="s">
        <v>177</v>
      </c>
      <c r="G264" s="2" t="s">
        <v>4395</v>
      </c>
      <c r="H264" s="10">
        <f>SUMIFS('Cutters Consumption Updates'!$F:$F,'Cutters Consumption Updates'!$D:$D,H$1,'Cutters Consumption Updates'!$B:$B,$B264)-SUMIFS('Cutters Consumption Updates'!$E:$E,'Cutters Consumption Updates'!$D:$D,H$1,'Cutters Consumption Updates'!$B:$B,$B264)+ SUMIF('Cutters Consumption Updates'!$AS:$AS,$B264,'Cutters Consumption Updates'!AT:AT)</f>
        <v>0</v>
      </c>
      <c r="I264" s="10">
        <f>SUMIFS('Cutters Consumption Updates'!$F:$F,'Cutters Consumption Updates'!$D:$D,I$1,'Cutters Consumption Updates'!$B:$B,$B264)-SUMIFS('Cutters Consumption Updates'!$E:$E,'Cutters Consumption Updates'!$D:$D,I$1,'Cutters Consumption Updates'!$B:$B,$B264)+ SUMIF('Cutters Consumption Updates'!$AS:$AS,$B264,'Cutters Consumption Updates'!AU:AU)</f>
        <v>0</v>
      </c>
      <c r="J264" s="116">
        <f>SUMIFS('Cutters Consumption Updates'!$F:$F,'Cutters Consumption Updates'!$D:$D,J$1,'Cutters Consumption Updates'!$B:$B,$B264)-SUMIFS('Cutters Consumption Updates'!$E:$E,'Cutters Consumption Updates'!$D:$D,J$1,'Cutters Consumption Updates'!$B:$B,$B264)+ SUMIF('Cutters Consumption Updates'!$AS:$AS,$B264,'Cutters Consumption Updates'!AV:AV)</f>
        <v>0</v>
      </c>
      <c r="K264" s="738">
        <f>SUMIFS('Cutters Consumption Updates'!$F:$F,'Cutters Consumption Updates'!$D:$D,K$1,'Cutters Consumption Updates'!$B:$B,$B264)-SUMIFS('Cutters Consumption Updates'!$E:$E,'Cutters Consumption Updates'!$D:$D,K$1,'Cutters Consumption Updates'!$B:$B,$B264)+ SUMIF('Cutters Consumption Updates'!$AS:$AS,$B264,'Cutters Consumption Updates'!AW:AW)</f>
        <v>0</v>
      </c>
      <c r="L264" s="116">
        <f>SUMIFS('Cutters Consumption Updates'!$F:$F,'Cutters Consumption Updates'!$D:$D,L$1,'Cutters Consumption Updates'!$B:$B,$B264)-SUMIFS('Cutters Consumption Updates'!$E:$E,'Cutters Consumption Updates'!$D:$D,$L$1,'Cutters Consumption Updates'!$B:$B,$B264)+SUMIFS('Cutters Consumption Updates'!$F:$F,'Cutters Consumption Updates'!$D:$D,"Retrofit",'Cutters Consumption Updates'!$B:$B,$B264)-SUMIFS('Cutters Consumption Updates'!$E:$E,'Cutters Consumption Updates'!$D:$D,"Retrofit",'Cutters Consumption Updates'!$B:$B,$B264)+ SUMIF('Cutters Consumption Updates'!$AS:$AS,$B264,'Cutters Consumption Updates'!AX:AX)</f>
        <v>192</v>
      </c>
      <c r="M264" s="810">
        <f t="shared" si="29"/>
        <v>192</v>
      </c>
      <c r="N264" s="810">
        <f ca="1">SUMIFS('Cutters Consumption Updates'!E:E,
        'Cutters Consumption Updates'!B:B, B264,
        'Cutters Consumption Updates'!A:A, "&gt;" &amp; TODAY()-182)</f>
        <v>0</v>
      </c>
      <c r="O264" s="810">
        <f ca="1">SUMIFS('Cutters Consumption Updates'!E:E,
        'Cutters Consumption Updates'!B:B, B264,
        'Cutters Consumption Updates'!A:A, "&gt;" &amp; TODAY()-91)</f>
        <v>0</v>
      </c>
      <c r="P264" s="810">
        <f t="shared" ca="1" si="30"/>
        <v>0</v>
      </c>
      <c r="Q264" s="703">
        <f t="shared" ca="1" si="31"/>
        <v>0</v>
      </c>
      <c r="R264" s="703" t="s">
        <v>229</v>
      </c>
      <c r="S264" s="24">
        <f>IFERROR(INDEX(Table5[],MATCH($B264,Table5[Component],0),2),0)</f>
        <v>0</v>
      </c>
      <c r="T264" s="813">
        <f>SUMIFS(Table7[Balance],Table7[Cutter Mat'#],$B264)</f>
        <v>0</v>
      </c>
      <c r="U264" s="24">
        <f t="shared" si="32"/>
        <v>192</v>
      </c>
      <c r="V264" s="119"/>
      <c r="W264" s="2"/>
      <c r="Y264" s="4">
        <f>IFERROR(INDEX(Table5[],MATCH($B264,Table5[Component],0),2),0)</f>
        <v>0</v>
      </c>
      <c r="Z264" s="4">
        <f>IFERROR(INDEX(Table5[],MATCH($B264,Table5[Component],0),1),0)</f>
        <v>0</v>
      </c>
      <c r="AA264" s="4" t="str">
        <f>IF(Y264&lt;&gt;0,B264,"")</f>
        <v/>
      </c>
      <c r="AB264" s="4" t="str">
        <f t="shared" si="33"/>
        <v/>
      </c>
      <c r="AD264" s="4">
        <f t="shared" si="34"/>
        <v>192</v>
      </c>
      <c r="AI264" s="248" t="str">
        <f>IFERROR(INDEX($B$1:$AK$243,MATCH(W264,$B$1:$B$243,0),13),"")</f>
        <v/>
      </c>
      <c r="AJ264" s="248" t="str">
        <f>IFERROR(INDEX($B$1:$AK$243,MATCH(W264,$B$1:$B$243,0),15),"")</f>
        <v/>
      </c>
      <c r="AK264">
        <f>SUMIF($W$2:$W$243,B264,$S$2:$S$243)</f>
        <v>0</v>
      </c>
      <c r="AN264" s="4"/>
      <c r="AO264" s="4"/>
      <c r="AP264">
        <f t="shared" si="35"/>
        <v>0</v>
      </c>
      <c r="AQ264" s="4"/>
      <c r="AR264" s="4">
        <v>1272937</v>
      </c>
      <c r="AS264">
        <f>SUMIF($B:$B,AR264,$AP:$AP)</f>
        <v>75</v>
      </c>
    </row>
    <row r="265" spans="1:45" ht="18.75" customHeight="1" x14ac:dyDescent="0.35">
      <c r="A265" s="2">
        <v>270</v>
      </c>
      <c r="B265" s="250">
        <v>1274176</v>
      </c>
      <c r="C265" s="2" t="s">
        <v>3641</v>
      </c>
      <c r="D265" s="2" t="s">
        <v>228</v>
      </c>
      <c r="E265" s="2">
        <v>1613</v>
      </c>
      <c r="F265" s="2" t="s">
        <v>177</v>
      </c>
      <c r="G265" s="2" t="s">
        <v>4395</v>
      </c>
      <c r="H265" s="10">
        <f>SUMIFS('Cutters Consumption Updates'!$F:$F,'Cutters Consumption Updates'!$D:$D,H$1,'Cutters Consumption Updates'!$B:$B,$B265)-SUMIFS('Cutters Consumption Updates'!$E:$E,'Cutters Consumption Updates'!$D:$D,H$1,'Cutters Consumption Updates'!$B:$B,$B265)+ SUMIF('Cutters Consumption Updates'!$AS:$AS,$B265,'Cutters Consumption Updates'!AT:AT)</f>
        <v>0</v>
      </c>
      <c r="I265" s="10">
        <f>SUMIFS('Cutters Consumption Updates'!$F:$F,'Cutters Consumption Updates'!$D:$D,I$1,'Cutters Consumption Updates'!$B:$B,$B265)-SUMIFS('Cutters Consumption Updates'!$E:$E,'Cutters Consumption Updates'!$D:$D,I$1,'Cutters Consumption Updates'!$B:$B,$B265)+ SUMIF('Cutters Consumption Updates'!$AS:$AS,$B265,'Cutters Consumption Updates'!AU:AU)</f>
        <v>0</v>
      </c>
      <c r="J265" s="116">
        <f>SUMIFS('Cutters Consumption Updates'!$F:$F,'Cutters Consumption Updates'!$D:$D,J$1,'Cutters Consumption Updates'!$B:$B,$B265)-SUMIFS('Cutters Consumption Updates'!$E:$E,'Cutters Consumption Updates'!$D:$D,J$1,'Cutters Consumption Updates'!$B:$B,$B265)+ SUMIF('Cutters Consumption Updates'!$AS:$AS,$B265,'Cutters Consumption Updates'!AV:AV)</f>
        <v>0</v>
      </c>
      <c r="K265" s="738">
        <f>SUMIFS('Cutters Consumption Updates'!$F:$F,'Cutters Consumption Updates'!$D:$D,K$1,'Cutters Consumption Updates'!$B:$B,$B265)-SUMIFS('Cutters Consumption Updates'!$E:$E,'Cutters Consumption Updates'!$D:$D,K$1,'Cutters Consumption Updates'!$B:$B,$B265)+ SUMIF('Cutters Consumption Updates'!$AS:$AS,$B265,'Cutters Consumption Updates'!AW:AW)</f>
        <v>0</v>
      </c>
      <c r="L265" s="116">
        <f>SUMIFS('Cutters Consumption Updates'!$F:$F,'Cutters Consumption Updates'!$D:$D,L$1,'Cutters Consumption Updates'!$B:$B,$B265)-SUMIFS('Cutters Consumption Updates'!$E:$E,'Cutters Consumption Updates'!$D:$D,$L$1,'Cutters Consumption Updates'!$B:$B,$B265)+SUMIFS('Cutters Consumption Updates'!$F:$F,'Cutters Consumption Updates'!$D:$D,"Retrofit",'Cutters Consumption Updates'!$B:$B,$B265)-SUMIFS('Cutters Consumption Updates'!$E:$E,'Cutters Consumption Updates'!$D:$D,"Retrofit",'Cutters Consumption Updates'!$B:$B,$B265)+ SUMIF('Cutters Consumption Updates'!$AS:$AS,$B265,'Cutters Consumption Updates'!AX:AX)</f>
        <v>1</v>
      </c>
      <c r="M265" s="810">
        <f t="shared" si="29"/>
        <v>1</v>
      </c>
      <c r="N265" s="810">
        <f ca="1">SUMIFS('Cutters Consumption Updates'!E:E,
        'Cutters Consumption Updates'!B:B, B265,
        'Cutters Consumption Updates'!A:A, "&gt;" &amp; TODAY()-182)</f>
        <v>0</v>
      </c>
      <c r="O265" s="810">
        <f ca="1">SUMIFS('Cutters Consumption Updates'!E:E,
        'Cutters Consumption Updates'!B:B, B265,
        'Cutters Consumption Updates'!A:A, "&gt;" &amp; TODAY()-91)</f>
        <v>0</v>
      </c>
      <c r="P265" s="810">
        <f t="shared" ca="1" si="30"/>
        <v>0</v>
      </c>
      <c r="Q265" s="703">
        <f t="shared" ca="1" si="31"/>
        <v>0</v>
      </c>
      <c r="R265" s="703" t="s">
        <v>213</v>
      </c>
      <c r="S265" s="24">
        <f>IFERROR(INDEX(Table5[],MATCH($B265,Table5[Component],0),2),0)</f>
        <v>0</v>
      </c>
      <c r="T265" s="813">
        <f>SUMIFS(Table7[Balance],Table7[Cutter Mat'#],$B265)</f>
        <v>0</v>
      </c>
      <c r="U265" s="24">
        <f t="shared" si="32"/>
        <v>1</v>
      </c>
      <c r="V265" s="119"/>
      <c r="W265" s="2"/>
      <c r="Y265" s="4">
        <f>IFERROR(INDEX(Table5[],MATCH($B265,Table5[Component],0),2),0)</f>
        <v>0</v>
      </c>
      <c r="Z265" s="4">
        <f>IFERROR(INDEX(Table5[],MATCH($B265,Table5[Component],0),1),0)</f>
        <v>0</v>
      </c>
      <c r="AA265" s="4" t="str">
        <f>IF(Y265&lt;&gt;0,B265,"")</f>
        <v/>
      </c>
      <c r="AB265" s="4" t="str">
        <f t="shared" si="33"/>
        <v/>
      </c>
      <c r="AD265" s="4">
        <f t="shared" si="34"/>
        <v>1</v>
      </c>
      <c r="AI265" s="248" t="str">
        <f>IFERROR(INDEX($B$1:$AK$243,MATCH(W265,$B$1:$B$243,0),13),"")</f>
        <v/>
      </c>
      <c r="AJ265" s="248" t="str">
        <f>IFERROR(INDEX($B$1:$AK$243,MATCH(W265,$B$1:$B$243,0),15),"")</f>
        <v/>
      </c>
      <c r="AK265">
        <f>SUMIF($W$2:$W$243,B265,$S$2:$S$243)</f>
        <v>0</v>
      </c>
      <c r="AN265" s="4"/>
      <c r="AO265" s="4"/>
      <c r="AP265">
        <f t="shared" si="35"/>
        <v>0</v>
      </c>
      <c r="AQ265" s="4"/>
      <c r="AR265" s="4">
        <v>1274176</v>
      </c>
      <c r="AS265">
        <f>SUMIF($B:$B,AR265,$AP:$AP)</f>
        <v>0</v>
      </c>
    </row>
    <row r="266" spans="1:45" ht="18.75" customHeight="1" x14ac:dyDescent="0.35">
      <c r="A266" s="2">
        <v>271</v>
      </c>
      <c r="B266" s="250">
        <v>1293118</v>
      </c>
      <c r="C266" s="2" t="s">
        <v>4133</v>
      </c>
      <c r="D266" s="2" t="s">
        <v>230</v>
      </c>
      <c r="E266" s="2" t="s">
        <v>73</v>
      </c>
      <c r="F266" s="2" t="s">
        <v>253</v>
      </c>
      <c r="G266" s="2" t="s">
        <v>28</v>
      </c>
      <c r="H266" s="10">
        <f>SUMIFS('Cutters Consumption Updates'!$F:$F,'Cutters Consumption Updates'!$D:$D,H$1,'Cutters Consumption Updates'!$B:$B,$B266)-SUMIFS('Cutters Consumption Updates'!$E:$E,'Cutters Consumption Updates'!$D:$D,H$1,'Cutters Consumption Updates'!$B:$B,$B266)+ SUMIF('Cutters Consumption Updates'!$AS:$AS,$B266,'Cutters Consumption Updates'!AT:AT)</f>
        <v>0</v>
      </c>
      <c r="I266" s="10">
        <f>SUMIFS('Cutters Consumption Updates'!$F:$F,'Cutters Consumption Updates'!$D:$D,I$1,'Cutters Consumption Updates'!$B:$B,$B266)-SUMIFS('Cutters Consumption Updates'!$E:$E,'Cutters Consumption Updates'!$D:$D,I$1,'Cutters Consumption Updates'!$B:$B,$B266)+ SUMIF('Cutters Consumption Updates'!$AS:$AS,$B266,'Cutters Consumption Updates'!AU:AU)</f>
        <v>0</v>
      </c>
      <c r="J266" s="116">
        <f>SUMIFS('Cutters Consumption Updates'!$F:$F,'Cutters Consumption Updates'!$D:$D,J$1,'Cutters Consumption Updates'!$B:$B,$B266)-SUMIFS('Cutters Consumption Updates'!$E:$E,'Cutters Consumption Updates'!$D:$D,J$1,'Cutters Consumption Updates'!$B:$B,$B266)+ SUMIF('Cutters Consumption Updates'!$AS:$AS,$B266,'Cutters Consumption Updates'!AV:AV)</f>
        <v>0</v>
      </c>
      <c r="K266" s="738">
        <f>SUMIFS('Cutters Consumption Updates'!$F:$F,'Cutters Consumption Updates'!$D:$D,K$1,'Cutters Consumption Updates'!$B:$B,$B266)-SUMIFS('Cutters Consumption Updates'!$E:$E,'Cutters Consumption Updates'!$D:$D,K$1,'Cutters Consumption Updates'!$B:$B,$B266)+ SUMIF('Cutters Consumption Updates'!$AS:$AS,$B266,'Cutters Consumption Updates'!AW:AW)</f>
        <v>0</v>
      </c>
      <c r="L266" s="116">
        <f>SUMIFS('Cutters Consumption Updates'!$F:$F,'Cutters Consumption Updates'!$D:$D,L$1,'Cutters Consumption Updates'!$B:$B,$B266)-SUMIFS('Cutters Consumption Updates'!$E:$E,'Cutters Consumption Updates'!$D:$D,$L$1,'Cutters Consumption Updates'!$B:$B,$B266)+SUMIFS('Cutters Consumption Updates'!$F:$F,'Cutters Consumption Updates'!$D:$D,"Retrofit",'Cutters Consumption Updates'!$B:$B,$B266)-SUMIFS('Cutters Consumption Updates'!$E:$E,'Cutters Consumption Updates'!$D:$D,"Retrofit",'Cutters Consumption Updates'!$B:$B,$B266)+ SUMIF('Cutters Consumption Updates'!$AS:$AS,$B266,'Cutters Consumption Updates'!AX:AX)</f>
        <v>20</v>
      </c>
      <c r="M266" s="810">
        <f t="shared" si="29"/>
        <v>20</v>
      </c>
      <c r="N266" s="810">
        <f ca="1">SUMIFS('Cutters Consumption Updates'!E:E,
        'Cutters Consumption Updates'!B:B, B266,
        'Cutters Consumption Updates'!A:A, "&gt;" &amp; TODAY()-182)</f>
        <v>130</v>
      </c>
      <c r="O266" s="810">
        <f ca="1">SUMIFS('Cutters Consumption Updates'!E:E,
        'Cutters Consumption Updates'!B:B, B266,
        'Cutters Consumption Updates'!A:A, "&gt;" &amp; TODAY()-91)</f>
        <v>120</v>
      </c>
      <c r="P266" s="810">
        <f t="shared" ca="1" si="30"/>
        <v>44</v>
      </c>
      <c r="Q266" s="703">
        <f t="shared" ca="1" si="31"/>
        <v>50</v>
      </c>
      <c r="R266" s="703" t="s">
        <v>232</v>
      </c>
      <c r="S266" s="24">
        <f>IFERROR(INDEX(Table5[],MATCH($B266,Table5[Component],0),2),0)</f>
        <v>180</v>
      </c>
      <c r="T266" s="813">
        <f>SUMIFS(Table7[Balance],Table7[Cutter Mat'#],$B266)</f>
        <v>30</v>
      </c>
      <c r="U266" s="24">
        <f t="shared" si="32"/>
        <v>-130</v>
      </c>
      <c r="V266" s="119"/>
      <c r="W266" s="2"/>
      <c r="Y266" s="4">
        <f>IFERROR(INDEX(Table5[],MATCH($B266,Table5[Component],0),2),0)</f>
        <v>180</v>
      </c>
      <c r="Z266" s="4">
        <f>IFERROR(INDEX(Table5[],MATCH($B266,Table5[Component],0),1),0)</f>
        <v>1293118</v>
      </c>
      <c r="AA266" s="4">
        <f>IF(Y266&lt;&gt;0,B266,"")</f>
        <v>1293118</v>
      </c>
      <c r="AB266" s="4" t="str">
        <f t="shared" si="33"/>
        <v/>
      </c>
      <c r="AD266" s="4">
        <f t="shared" si="34"/>
        <v>20</v>
      </c>
      <c r="AI266" s="248" t="str">
        <f>IFERROR(INDEX($B$1:$AK$243,MATCH(W266,$B$1:$B$243,0),13),"")</f>
        <v/>
      </c>
      <c r="AJ266" s="248" t="str">
        <f>IFERROR(INDEX($B$1:$AK$243,MATCH(W266,$B$1:$B$243,0),15),"")</f>
        <v/>
      </c>
      <c r="AK266">
        <f>SUMIF($W$2:$W$243,B266,$S$2:$S$243)</f>
        <v>0</v>
      </c>
      <c r="AN266" s="4"/>
      <c r="AO266" s="4"/>
      <c r="AP266">
        <f t="shared" si="35"/>
        <v>30</v>
      </c>
      <c r="AQ266" s="4"/>
      <c r="AR266" s="4">
        <v>1282369</v>
      </c>
      <c r="AS266">
        <f>SUMIF($B:$B,AR266,$AP:$AP)</f>
        <v>50</v>
      </c>
    </row>
    <row r="267" spans="1:45" ht="18.75" customHeight="1" x14ac:dyDescent="0.35">
      <c r="A267" s="2">
        <v>272</v>
      </c>
      <c r="B267" s="250">
        <v>1192901</v>
      </c>
      <c r="C267" s="2" t="s">
        <v>4415</v>
      </c>
      <c r="D267" s="2" t="s">
        <v>192</v>
      </c>
      <c r="E267" s="2" t="s">
        <v>201</v>
      </c>
      <c r="F267" s="2" t="s">
        <v>103</v>
      </c>
      <c r="G267" s="2" t="s">
        <v>36</v>
      </c>
      <c r="H267" s="10">
        <f>SUMIFS('Cutters Consumption Updates'!$F:$F,'Cutters Consumption Updates'!$D:$D,H$1,'Cutters Consumption Updates'!$B:$B,$B267)-SUMIFS('Cutters Consumption Updates'!$E:$E,'Cutters Consumption Updates'!$D:$D,H$1,'Cutters Consumption Updates'!$B:$B,$B267)+ SUMIF('Cutters Consumption Updates'!$AS:$AS,$B267,'Cutters Consumption Updates'!AT:AT)</f>
        <v>0</v>
      </c>
      <c r="I267" s="10">
        <f>SUMIFS('Cutters Consumption Updates'!$F:$F,'Cutters Consumption Updates'!$D:$D,I$1,'Cutters Consumption Updates'!$B:$B,$B267)-SUMIFS('Cutters Consumption Updates'!$E:$E,'Cutters Consumption Updates'!$D:$D,I$1,'Cutters Consumption Updates'!$B:$B,$B267)+ SUMIF('Cutters Consumption Updates'!$AS:$AS,$B267,'Cutters Consumption Updates'!AU:AU)</f>
        <v>0</v>
      </c>
      <c r="J267" s="116">
        <f>SUMIFS('Cutters Consumption Updates'!$F:$F,'Cutters Consumption Updates'!$D:$D,J$1,'Cutters Consumption Updates'!$B:$B,$B267)-SUMIFS('Cutters Consumption Updates'!$E:$E,'Cutters Consumption Updates'!$D:$D,J$1,'Cutters Consumption Updates'!$B:$B,$B267)+ SUMIF('Cutters Consumption Updates'!$AS:$AS,$B267,'Cutters Consumption Updates'!AV:AV)</f>
        <v>0</v>
      </c>
      <c r="K267" s="738">
        <f>SUMIFS('Cutters Consumption Updates'!$F:$F,'Cutters Consumption Updates'!$D:$D,K$1,'Cutters Consumption Updates'!$B:$B,$B267)-SUMIFS('Cutters Consumption Updates'!$E:$E,'Cutters Consumption Updates'!$D:$D,K$1,'Cutters Consumption Updates'!$B:$B,$B267)+ SUMIF('Cutters Consumption Updates'!$AS:$AS,$B267,'Cutters Consumption Updates'!AW:AW)</f>
        <v>0</v>
      </c>
      <c r="L267" s="116">
        <f>SUMIFS('Cutters Consumption Updates'!$F:$F,'Cutters Consumption Updates'!$D:$D,L$1,'Cutters Consumption Updates'!$B:$B,$B267)-SUMIFS('Cutters Consumption Updates'!$E:$E,'Cutters Consumption Updates'!$D:$D,$L$1,'Cutters Consumption Updates'!$B:$B,$B267)+SUMIFS('Cutters Consumption Updates'!$F:$F,'Cutters Consumption Updates'!$D:$D,"Retrofit",'Cutters Consumption Updates'!$B:$B,$B267)-SUMIFS('Cutters Consumption Updates'!$E:$E,'Cutters Consumption Updates'!$D:$D,"Retrofit",'Cutters Consumption Updates'!$B:$B,$B267)+ SUMIF('Cutters Consumption Updates'!$AS:$AS,$B267,'Cutters Consumption Updates'!AX:AX)</f>
        <v>0</v>
      </c>
      <c r="M267" s="810">
        <f t="shared" si="29"/>
        <v>0</v>
      </c>
      <c r="N267" s="810">
        <f ca="1">SUMIFS('Cutters Consumption Updates'!E:E,
        'Cutters Consumption Updates'!B:B, B267,
        'Cutters Consumption Updates'!A:A, "&gt;" &amp; TODAY()-182)</f>
        <v>30</v>
      </c>
      <c r="O267" s="810">
        <f ca="1">SUMIFS('Cutters Consumption Updates'!E:E,
        'Cutters Consumption Updates'!B:B, B267,
        'Cutters Consumption Updates'!A:A, "&gt;" &amp; TODAY()-91)</f>
        <v>30</v>
      </c>
      <c r="P267" s="810">
        <f t="shared" ca="1" si="30"/>
        <v>10</v>
      </c>
      <c r="Q267" s="703">
        <f t="shared" ca="1" si="31"/>
        <v>15</v>
      </c>
      <c r="R267" s="703" t="s">
        <v>29</v>
      </c>
      <c r="S267" s="24">
        <f>IFERROR(INDEX(Table5[],MATCH($B267,Table5[Component],0),2),0)</f>
        <v>27</v>
      </c>
      <c r="T267" s="813">
        <f>SUMIFS(Table7[Balance],Table7[Cutter Mat'#],$B267)</f>
        <v>0</v>
      </c>
      <c r="U267" s="24">
        <f t="shared" si="32"/>
        <v>-27</v>
      </c>
      <c r="V267" s="119"/>
      <c r="W267" s="2"/>
      <c r="Y267" s="4">
        <f>IFERROR(INDEX(Table5[],MATCH($B267,Table5[Component],0),2),0)</f>
        <v>27</v>
      </c>
      <c r="Z267" s="4">
        <f>IFERROR(INDEX(Table5[],MATCH($B267,Table5[Component],0),1),0)</f>
        <v>1192901</v>
      </c>
      <c r="AA267" s="4">
        <f>IF(Y267&lt;&gt;0,B267,"")</f>
        <v>1192901</v>
      </c>
      <c r="AB267" s="4" t="str">
        <f t="shared" si="33"/>
        <v/>
      </c>
      <c r="AD267" s="4">
        <f t="shared" si="34"/>
        <v>0</v>
      </c>
      <c r="AI267" s="248" t="str">
        <f>IFERROR(INDEX($B$1:$AK$243,MATCH(W267,$B$1:$B$243,0),13),"")</f>
        <v/>
      </c>
      <c r="AJ267" s="248" t="str">
        <f>IFERROR(INDEX($B$1:$AK$243,MATCH(W267,$B$1:$B$243,0),15),"")</f>
        <v/>
      </c>
      <c r="AK267">
        <f>SUMIF($W$2:$W$243,B267,$S$2:$S$243)</f>
        <v>0</v>
      </c>
      <c r="AN267" s="4"/>
      <c r="AO267" s="4"/>
      <c r="AP267">
        <f t="shared" si="35"/>
        <v>0</v>
      </c>
      <c r="AQ267" s="4"/>
      <c r="AR267" s="4">
        <v>1282370</v>
      </c>
      <c r="AS267">
        <f>SUMIF($B:$B,AR267,$AP:$AP)</f>
        <v>15</v>
      </c>
    </row>
    <row r="268" spans="1:45" ht="18.75" customHeight="1" x14ac:dyDescent="0.35">
      <c r="A268" s="2">
        <v>273</v>
      </c>
      <c r="B268" s="250">
        <v>2002244</v>
      </c>
      <c r="C268" s="2" t="s">
        <v>4474</v>
      </c>
      <c r="D268" s="2" t="s">
        <v>215</v>
      </c>
      <c r="E268" s="2">
        <v>1313</v>
      </c>
      <c r="F268" s="2" t="s">
        <v>170</v>
      </c>
      <c r="G268" s="2" t="s">
        <v>4336</v>
      </c>
      <c r="H268" s="10">
        <f>SUMIFS('Cutters Consumption Updates'!$F:$F,'Cutters Consumption Updates'!$D:$D,H$1,'Cutters Consumption Updates'!$B:$B,$B268)-SUMIFS('Cutters Consumption Updates'!$E:$E,'Cutters Consumption Updates'!$D:$D,H$1,'Cutters Consumption Updates'!$B:$B,$B268)+ SUMIF('Cutters Consumption Updates'!$AS:$AS,$B268,'Cutters Consumption Updates'!AT:AT)</f>
        <v>0</v>
      </c>
      <c r="I268" s="10">
        <f>SUMIFS('Cutters Consumption Updates'!$F:$F,'Cutters Consumption Updates'!$D:$D,I$1,'Cutters Consumption Updates'!$B:$B,$B268)-SUMIFS('Cutters Consumption Updates'!$E:$E,'Cutters Consumption Updates'!$D:$D,I$1,'Cutters Consumption Updates'!$B:$B,$B268)+ SUMIF('Cutters Consumption Updates'!$AS:$AS,$B268,'Cutters Consumption Updates'!AU:AU)</f>
        <v>0</v>
      </c>
      <c r="J268" s="116">
        <f>SUMIFS('Cutters Consumption Updates'!$F:$F,'Cutters Consumption Updates'!$D:$D,J$1,'Cutters Consumption Updates'!$B:$B,$B268)-SUMIFS('Cutters Consumption Updates'!$E:$E,'Cutters Consumption Updates'!$D:$D,J$1,'Cutters Consumption Updates'!$B:$B,$B268)+ SUMIF('Cutters Consumption Updates'!$AS:$AS,$B268,'Cutters Consumption Updates'!AV:AV)</f>
        <v>0</v>
      </c>
      <c r="K268" s="738">
        <f>SUMIFS('Cutters Consumption Updates'!$F:$F,'Cutters Consumption Updates'!$D:$D,K$1,'Cutters Consumption Updates'!$B:$B,$B268)-SUMIFS('Cutters Consumption Updates'!$E:$E,'Cutters Consumption Updates'!$D:$D,K$1,'Cutters Consumption Updates'!$B:$B,$B268)+ SUMIF('Cutters Consumption Updates'!$AS:$AS,$B268,'Cutters Consumption Updates'!AW:AW)</f>
        <v>0</v>
      </c>
      <c r="L268" s="116">
        <f>SUMIFS('Cutters Consumption Updates'!$F:$F,'Cutters Consumption Updates'!$D:$D,L$1,'Cutters Consumption Updates'!$B:$B,$B268)-SUMIFS('Cutters Consumption Updates'!$E:$E,'Cutters Consumption Updates'!$D:$D,$L$1,'Cutters Consumption Updates'!$B:$B,$B268)+SUMIFS('Cutters Consumption Updates'!$F:$F,'Cutters Consumption Updates'!$D:$D,"Retrofit",'Cutters Consumption Updates'!$B:$B,$B268)-SUMIFS('Cutters Consumption Updates'!$E:$E,'Cutters Consumption Updates'!$D:$D,"Retrofit",'Cutters Consumption Updates'!$B:$B,$B268)+ SUMIF('Cutters Consumption Updates'!$AS:$AS,$B268,'Cutters Consumption Updates'!AX:AX)</f>
        <v>0</v>
      </c>
      <c r="M268" s="810">
        <f t="shared" si="29"/>
        <v>0</v>
      </c>
      <c r="N268" s="810">
        <f ca="1">SUMIFS('Cutters Consumption Updates'!E:E,
        'Cutters Consumption Updates'!B:B, B268,
        'Cutters Consumption Updates'!A:A, "&gt;" &amp; TODAY()-182)</f>
        <v>0</v>
      </c>
      <c r="O268" s="810">
        <f ca="1">SUMIFS('Cutters Consumption Updates'!E:E,
        'Cutters Consumption Updates'!B:B, B268,
        'Cutters Consumption Updates'!A:A, "&gt;" &amp; TODAY()-91)</f>
        <v>0</v>
      </c>
      <c r="P268" s="810">
        <f t="shared" ca="1" si="30"/>
        <v>0</v>
      </c>
      <c r="Q268" s="703">
        <f t="shared" ca="1" si="31"/>
        <v>0</v>
      </c>
      <c r="R268" s="703" t="s">
        <v>184</v>
      </c>
      <c r="S268" s="24">
        <f>IFERROR(INDEX(Table5[],MATCH($B268,Table5[Component],0),2),0)</f>
        <v>0</v>
      </c>
      <c r="T268" s="813">
        <f>SUMIFS(Table7[Balance],Table7[Cutter Mat'#],$B268)</f>
        <v>0</v>
      </c>
      <c r="U268" s="24">
        <f t="shared" si="32"/>
        <v>0</v>
      </c>
      <c r="V268" s="119"/>
      <c r="W268" s="2"/>
      <c r="Y268" s="4">
        <f>IFERROR(INDEX(Table5[],MATCH($B268,Table5[Component],0),2),0)</f>
        <v>0</v>
      </c>
      <c r="Z268" s="4">
        <f>IFERROR(INDEX(Table5[],MATCH($B268,Table5[Component],0),1),0)</f>
        <v>0</v>
      </c>
      <c r="AA268" s="4" t="str">
        <f>IF(Y268&lt;&gt;0,B268,"")</f>
        <v/>
      </c>
      <c r="AB268" s="4" t="str">
        <f t="shared" si="33"/>
        <v/>
      </c>
      <c r="AD268" s="4">
        <f t="shared" si="34"/>
        <v>0</v>
      </c>
      <c r="AI268" s="248" t="str">
        <f>IFERROR(INDEX($B$1:$AK$243,MATCH(W268,$B$1:$B$243,0),13),"")</f>
        <v/>
      </c>
      <c r="AJ268" s="248" t="str">
        <f>IFERROR(INDEX($B$1:$AK$243,MATCH(W268,$B$1:$B$243,0),15),"")</f>
        <v/>
      </c>
      <c r="AK268">
        <f>SUMIF($W$2:$W$243,B268,$S$2:$S$243)</f>
        <v>0</v>
      </c>
      <c r="AN268" s="4"/>
      <c r="AO268" s="4"/>
      <c r="AP268">
        <f t="shared" si="35"/>
        <v>0</v>
      </c>
      <c r="AQ268" s="4"/>
      <c r="AR268" s="4">
        <v>1282746</v>
      </c>
      <c r="AS268">
        <f>SUMIF($B:$B,AR268,$AP:$AP)</f>
        <v>0</v>
      </c>
    </row>
    <row r="269" spans="1:45" ht="18.75" customHeight="1" x14ac:dyDescent="0.35">
      <c r="A269" s="2">
        <v>274</v>
      </c>
      <c r="B269" s="250">
        <v>1146345</v>
      </c>
      <c r="C269" s="2" t="s">
        <v>3645</v>
      </c>
      <c r="D269" s="2" t="s">
        <v>111</v>
      </c>
      <c r="E269" s="2">
        <v>1308</v>
      </c>
      <c r="F269" s="2" t="s">
        <v>177</v>
      </c>
      <c r="G269" s="2" t="s">
        <v>4314</v>
      </c>
      <c r="H269" s="10">
        <f>SUMIFS('Cutters Consumption Updates'!$F:$F,'Cutters Consumption Updates'!$D:$D,H$1,'Cutters Consumption Updates'!$B:$B,$B269)-SUMIFS('Cutters Consumption Updates'!$E:$E,'Cutters Consumption Updates'!$D:$D,H$1,'Cutters Consumption Updates'!$B:$B,$B269)+ SUMIF('Cutters Consumption Updates'!$AS:$AS,$B269,'Cutters Consumption Updates'!AT:AT)</f>
        <v>0</v>
      </c>
      <c r="I269" s="10">
        <f>SUMIFS('Cutters Consumption Updates'!$F:$F,'Cutters Consumption Updates'!$D:$D,I$1,'Cutters Consumption Updates'!$B:$B,$B269)-SUMIFS('Cutters Consumption Updates'!$E:$E,'Cutters Consumption Updates'!$D:$D,I$1,'Cutters Consumption Updates'!$B:$B,$B269)+ SUMIF('Cutters Consumption Updates'!$AS:$AS,$B269,'Cutters Consumption Updates'!AU:AU)</f>
        <v>0</v>
      </c>
      <c r="J269" s="116">
        <f>SUMIFS('Cutters Consumption Updates'!$F:$F,'Cutters Consumption Updates'!$D:$D,J$1,'Cutters Consumption Updates'!$B:$B,$B269)-SUMIFS('Cutters Consumption Updates'!$E:$E,'Cutters Consumption Updates'!$D:$D,J$1,'Cutters Consumption Updates'!$B:$B,$B269)+ SUMIF('Cutters Consumption Updates'!$AS:$AS,$B269,'Cutters Consumption Updates'!AV:AV)</f>
        <v>0</v>
      </c>
      <c r="K269" s="738">
        <f>SUMIFS('Cutters Consumption Updates'!$F:$F,'Cutters Consumption Updates'!$D:$D,K$1,'Cutters Consumption Updates'!$B:$B,$B269)-SUMIFS('Cutters Consumption Updates'!$E:$E,'Cutters Consumption Updates'!$D:$D,K$1,'Cutters Consumption Updates'!$B:$B,$B269)+ SUMIF('Cutters Consumption Updates'!$AS:$AS,$B269,'Cutters Consumption Updates'!AW:AW)</f>
        <v>0</v>
      </c>
      <c r="L269" s="116">
        <f>SUMIFS('Cutters Consumption Updates'!$F:$F,'Cutters Consumption Updates'!$D:$D,L$1,'Cutters Consumption Updates'!$B:$B,$B269)-SUMIFS('Cutters Consumption Updates'!$E:$E,'Cutters Consumption Updates'!$D:$D,$L$1,'Cutters Consumption Updates'!$B:$B,$B269)+SUMIFS('Cutters Consumption Updates'!$F:$F,'Cutters Consumption Updates'!$D:$D,"Retrofit",'Cutters Consumption Updates'!$B:$B,$B269)-SUMIFS('Cutters Consumption Updates'!$E:$E,'Cutters Consumption Updates'!$D:$D,"Retrofit",'Cutters Consumption Updates'!$B:$B,$B269)+ SUMIF('Cutters Consumption Updates'!$AS:$AS,$B269,'Cutters Consumption Updates'!AX:AX)</f>
        <v>20</v>
      </c>
      <c r="M269" s="810">
        <f t="shared" si="29"/>
        <v>20</v>
      </c>
      <c r="N269" s="810">
        <f ca="1">SUMIFS('Cutters Consumption Updates'!E:E,
        'Cutters Consumption Updates'!B:B, B269,
        'Cutters Consumption Updates'!A:A, "&gt;" &amp; TODAY()-182)</f>
        <v>0</v>
      </c>
      <c r="O269" s="810">
        <f ca="1">SUMIFS('Cutters Consumption Updates'!E:E,
        'Cutters Consumption Updates'!B:B, B269,
        'Cutters Consumption Updates'!A:A, "&gt;" &amp; TODAY()-91)</f>
        <v>0</v>
      </c>
      <c r="P269" s="810">
        <f t="shared" ca="1" si="30"/>
        <v>0</v>
      </c>
      <c r="Q269" s="703">
        <f t="shared" ca="1" si="31"/>
        <v>0</v>
      </c>
      <c r="R269" s="703" t="s">
        <v>29</v>
      </c>
      <c r="S269" s="24">
        <f>IFERROR(INDEX(Table5[],MATCH($B269,Table5[Component],0),2),0)</f>
        <v>0</v>
      </c>
      <c r="T269" s="813">
        <f>SUMIFS(Table7[Balance],Table7[Cutter Mat'#],$B269)</f>
        <v>0</v>
      </c>
      <c r="U269" s="24">
        <f t="shared" si="32"/>
        <v>20</v>
      </c>
      <c r="V269" s="119"/>
      <c r="W269" s="2"/>
      <c r="Y269" s="4">
        <f>IFERROR(INDEX(Table5[],MATCH($B269,Table5[Component],0),2),0)</f>
        <v>0</v>
      </c>
      <c r="Z269" s="4">
        <f>IFERROR(INDEX(Table5[],MATCH($B269,Table5[Component],0),1),0)</f>
        <v>0</v>
      </c>
      <c r="AA269" s="4" t="str">
        <f>IF(Y269&lt;&gt;0,B269,"")</f>
        <v/>
      </c>
      <c r="AB269" s="4" t="str">
        <f t="shared" si="33"/>
        <v/>
      </c>
      <c r="AD269" s="4">
        <f t="shared" si="34"/>
        <v>20</v>
      </c>
      <c r="AI269" s="248" t="str">
        <f>IFERROR(INDEX($B$1:$AK$243,MATCH(W269,$B$1:$B$243,0),13),"")</f>
        <v/>
      </c>
      <c r="AJ269" s="248" t="str">
        <f>IFERROR(INDEX($B$1:$AK$243,MATCH(W269,$B$1:$B$243,0),15),"")</f>
        <v/>
      </c>
      <c r="AK269">
        <f>SUMIF($W$2:$W$243,B269,$S$2:$S$243)</f>
        <v>0</v>
      </c>
      <c r="AN269" s="4"/>
      <c r="AO269" s="4"/>
      <c r="AP269">
        <f t="shared" si="35"/>
        <v>0</v>
      </c>
      <c r="AQ269" s="4"/>
      <c r="AR269" s="4">
        <v>1288721</v>
      </c>
      <c r="AS269">
        <f>SUMIF($B:$B,AR269,$AP:$AP)</f>
        <v>0</v>
      </c>
    </row>
    <row r="270" spans="1:45" ht="18.75" customHeight="1" x14ac:dyDescent="0.35">
      <c r="A270" s="250">
        <v>275</v>
      </c>
      <c r="B270" s="250">
        <v>2002245</v>
      </c>
      <c r="C270" s="2" t="s">
        <v>3646</v>
      </c>
      <c r="D270" s="2" t="s">
        <v>215</v>
      </c>
      <c r="E270" s="2">
        <v>1613</v>
      </c>
      <c r="F270" s="2" t="s">
        <v>170</v>
      </c>
      <c r="G270" s="2" t="s">
        <v>4336</v>
      </c>
      <c r="H270" s="10">
        <f>SUMIFS('Cutters Consumption Updates'!$F:$F,'Cutters Consumption Updates'!$D:$D,H$1,'Cutters Consumption Updates'!$B:$B,$B270)-SUMIFS('Cutters Consumption Updates'!$E:$E,'Cutters Consumption Updates'!$D:$D,H$1,'Cutters Consumption Updates'!$B:$B,$B270)+ SUMIF('Cutters Consumption Updates'!$AS:$AS,$B270,'Cutters Consumption Updates'!AT:AT)</f>
        <v>0</v>
      </c>
      <c r="I270" s="10">
        <f>SUMIFS('Cutters Consumption Updates'!$F:$F,'Cutters Consumption Updates'!$D:$D,I$1,'Cutters Consumption Updates'!$B:$B,$B270)-SUMIFS('Cutters Consumption Updates'!$E:$E,'Cutters Consumption Updates'!$D:$D,I$1,'Cutters Consumption Updates'!$B:$B,$B270)+ SUMIF('Cutters Consumption Updates'!$AS:$AS,$B270,'Cutters Consumption Updates'!AU:AU)</f>
        <v>0</v>
      </c>
      <c r="J270" s="116">
        <f>SUMIFS('Cutters Consumption Updates'!$F:$F,'Cutters Consumption Updates'!$D:$D,J$1,'Cutters Consumption Updates'!$B:$B,$B270)-SUMIFS('Cutters Consumption Updates'!$E:$E,'Cutters Consumption Updates'!$D:$D,J$1,'Cutters Consumption Updates'!$B:$B,$B270)+ SUMIF('Cutters Consumption Updates'!$AS:$AS,$B270,'Cutters Consumption Updates'!AV:AV)</f>
        <v>0</v>
      </c>
      <c r="K270" s="738">
        <f>SUMIFS('Cutters Consumption Updates'!$F:$F,'Cutters Consumption Updates'!$D:$D,K$1,'Cutters Consumption Updates'!$B:$B,$B270)-SUMIFS('Cutters Consumption Updates'!$E:$E,'Cutters Consumption Updates'!$D:$D,K$1,'Cutters Consumption Updates'!$B:$B,$B270)+ SUMIF('Cutters Consumption Updates'!$AS:$AS,$B270,'Cutters Consumption Updates'!AW:AW)</f>
        <v>0</v>
      </c>
      <c r="L270" s="116">
        <f>SUMIFS('Cutters Consumption Updates'!$F:$F,'Cutters Consumption Updates'!$D:$D,L$1,'Cutters Consumption Updates'!$B:$B,$B270)-SUMIFS('Cutters Consumption Updates'!$E:$E,'Cutters Consumption Updates'!$D:$D,$L$1,'Cutters Consumption Updates'!$B:$B,$B270)+SUMIFS('Cutters Consumption Updates'!$F:$F,'Cutters Consumption Updates'!$D:$D,"Retrofit",'Cutters Consumption Updates'!$B:$B,$B270)-SUMIFS('Cutters Consumption Updates'!$E:$E,'Cutters Consumption Updates'!$D:$D,"Retrofit",'Cutters Consumption Updates'!$B:$B,$B270)+ SUMIF('Cutters Consumption Updates'!$AS:$AS,$B270,'Cutters Consumption Updates'!AX:AX)</f>
        <v>10</v>
      </c>
      <c r="M270" s="810">
        <f t="shared" si="29"/>
        <v>10</v>
      </c>
      <c r="N270" s="810">
        <f ca="1">SUMIFS('Cutters Consumption Updates'!E:E,
        'Cutters Consumption Updates'!B:B, B270,
        'Cutters Consumption Updates'!A:A, "&gt;" &amp; TODAY()-182)</f>
        <v>0</v>
      </c>
      <c r="O270" s="810">
        <f ca="1">SUMIFS('Cutters Consumption Updates'!E:E,
        'Cutters Consumption Updates'!B:B, B270,
        'Cutters Consumption Updates'!A:A, "&gt;" &amp; TODAY()-91)</f>
        <v>0</v>
      </c>
      <c r="P270" s="810">
        <f t="shared" ca="1" si="30"/>
        <v>0</v>
      </c>
      <c r="Q270" s="703">
        <f t="shared" ca="1" si="31"/>
        <v>0</v>
      </c>
      <c r="R270" s="703" t="s">
        <v>29</v>
      </c>
      <c r="S270" s="24">
        <f>IFERROR(INDEX(Table5[],MATCH($B270,Table5[Component],0),2),0)</f>
        <v>0</v>
      </c>
      <c r="T270" s="813">
        <f>SUMIFS(Table7[Balance],Table7[Cutter Mat'#],$B270)</f>
        <v>0</v>
      </c>
      <c r="U270" s="24">
        <f t="shared" si="32"/>
        <v>10</v>
      </c>
      <c r="V270" s="119"/>
      <c r="W270" s="2"/>
      <c r="Y270" s="4">
        <f>IFERROR(INDEX(Table5[],MATCH($B270,Table5[Component],0),2),0)</f>
        <v>0</v>
      </c>
      <c r="Z270" s="4">
        <f>IFERROR(INDEX(Table5[],MATCH($B270,Table5[Component],0),1),0)</f>
        <v>0</v>
      </c>
      <c r="AA270" s="4" t="str">
        <f>IF(Y270&lt;&gt;0,B270,"")</f>
        <v/>
      </c>
      <c r="AB270" s="4" t="str">
        <f t="shared" si="33"/>
        <v/>
      </c>
      <c r="AD270" s="4">
        <f t="shared" si="34"/>
        <v>10</v>
      </c>
      <c r="AI270" s="248" t="str">
        <f>IFERROR(INDEX($B$1:$AK$243,MATCH(W270,$B$1:$B$243,0),13),"")</f>
        <v/>
      </c>
      <c r="AJ270" s="248" t="str">
        <f>IFERROR(INDEX($B$1:$AK$243,MATCH(W270,$B$1:$B$243,0),15),"")</f>
        <v/>
      </c>
      <c r="AK270">
        <f>SUMIF($W$2:$W$243,B270,$S$2:$S$243)</f>
        <v>0</v>
      </c>
      <c r="AN270" s="4"/>
      <c r="AO270" s="4"/>
      <c r="AP270">
        <f t="shared" si="35"/>
        <v>0</v>
      </c>
      <c r="AQ270" s="4"/>
      <c r="AR270" s="4">
        <v>1288783</v>
      </c>
      <c r="AS270">
        <f>SUMIF($B:$B,AR270,$AP:$AP)</f>
        <v>0</v>
      </c>
    </row>
    <row r="271" spans="1:45" ht="18.75" customHeight="1" x14ac:dyDescent="0.35">
      <c r="A271" s="250">
        <v>276</v>
      </c>
      <c r="B271" s="250">
        <v>2002126</v>
      </c>
      <c r="C271" s="2" t="s">
        <v>3647</v>
      </c>
      <c r="D271" s="2" t="s">
        <v>235</v>
      </c>
      <c r="E271" s="2">
        <v>1613</v>
      </c>
      <c r="F271" s="2" t="s">
        <v>170</v>
      </c>
      <c r="G271" s="2" t="s">
        <v>169</v>
      </c>
      <c r="H271" s="10">
        <f>SUMIFS('Cutters Consumption Updates'!$F:$F,'Cutters Consumption Updates'!$D:$D,H$1,'Cutters Consumption Updates'!$B:$B,$B271)-SUMIFS('Cutters Consumption Updates'!$E:$E,'Cutters Consumption Updates'!$D:$D,H$1,'Cutters Consumption Updates'!$B:$B,$B271)+ SUMIF('Cutters Consumption Updates'!$AS:$AS,$B271,'Cutters Consumption Updates'!AT:AT)</f>
        <v>0</v>
      </c>
      <c r="I271" s="10">
        <f>SUMIFS('Cutters Consumption Updates'!$F:$F,'Cutters Consumption Updates'!$D:$D,I$1,'Cutters Consumption Updates'!$B:$B,$B271)-SUMIFS('Cutters Consumption Updates'!$E:$E,'Cutters Consumption Updates'!$D:$D,I$1,'Cutters Consumption Updates'!$B:$B,$B271)+ SUMIF('Cutters Consumption Updates'!$AS:$AS,$B271,'Cutters Consumption Updates'!AU:AU)</f>
        <v>0</v>
      </c>
      <c r="J271" s="116">
        <f>SUMIFS('Cutters Consumption Updates'!$F:$F,'Cutters Consumption Updates'!$D:$D,J$1,'Cutters Consumption Updates'!$B:$B,$B271)-SUMIFS('Cutters Consumption Updates'!$E:$E,'Cutters Consumption Updates'!$D:$D,J$1,'Cutters Consumption Updates'!$B:$B,$B271)+ SUMIF('Cutters Consumption Updates'!$AS:$AS,$B271,'Cutters Consumption Updates'!AV:AV)</f>
        <v>0</v>
      </c>
      <c r="K271" s="738">
        <f>SUMIFS('Cutters Consumption Updates'!$F:$F,'Cutters Consumption Updates'!$D:$D,K$1,'Cutters Consumption Updates'!$B:$B,$B271)-SUMIFS('Cutters Consumption Updates'!$E:$E,'Cutters Consumption Updates'!$D:$D,K$1,'Cutters Consumption Updates'!$B:$B,$B271)+ SUMIF('Cutters Consumption Updates'!$AS:$AS,$B271,'Cutters Consumption Updates'!AW:AW)</f>
        <v>0</v>
      </c>
      <c r="L271" s="116">
        <f>SUMIFS('Cutters Consumption Updates'!$F:$F,'Cutters Consumption Updates'!$D:$D,L$1,'Cutters Consumption Updates'!$B:$B,$B271)-SUMIFS('Cutters Consumption Updates'!$E:$E,'Cutters Consumption Updates'!$D:$D,$L$1,'Cutters Consumption Updates'!$B:$B,$B271)+SUMIFS('Cutters Consumption Updates'!$F:$F,'Cutters Consumption Updates'!$D:$D,"Retrofit",'Cutters Consumption Updates'!$B:$B,$B271)-SUMIFS('Cutters Consumption Updates'!$E:$E,'Cutters Consumption Updates'!$D:$D,"Retrofit",'Cutters Consumption Updates'!$B:$B,$B271)+ SUMIF('Cutters Consumption Updates'!$AS:$AS,$B271,'Cutters Consumption Updates'!AX:AX)</f>
        <v>25</v>
      </c>
      <c r="M271" s="810">
        <f t="shared" si="29"/>
        <v>25</v>
      </c>
      <c r="N271" s="810">
        <f ca="1">SUMIFS('Cutters Consumption Updates'!E:E,
        'Cutters Consumption Updates'!B:B, B271,
        'Cutters Consumption Updates'!A:A, "&gt;" &amp; TODAY()-182)</f>
        <v>0</v>
      </c>
      <c r="O271" s="810">
        <f ca="1">SUMIFS('Cutters Consumption Updates'!E:E,
        'Cutters Consumption Updates'!B:B, B271,
        'Cutters Consumption Updates'!A:A, "&gt;" &amp; TODAY()-91)</f>
        <v>0</v>
      </c>
      <c r="P271" s="810">
        <f t="shared" ca="1" si="30"/>
        <v>0</v>
      </c>
      <c r="Q271" s="703">
        <f t="shared" ca="1" si="31"/>
        <v>0</v>
      </c>
      <c r="R271" s="703" t="s">
        <v>29</v>
      </c>
      <c r="S271" s="24">
        <f>IFERROR(INDEX(Table5[],MATCH($B271,Table5[Component],0),2),0)</f>
        <v>0</v>
      </c>
      <c r="T271" s="813">
        <f>SUMIFS(Table7[Balance],Table7[Cutter Mat'#],$B271)</f>
        <v>0</v>
      </c>
      <c r="U271" s="24">
        <f t="shared" si="32"/>
        <v>25</v>
      </c>
      <c r="V271" s="119"/>
      <c r="W271" s="2"/>
      <c r="Y271" s="4">
        <f>IFERROR(INDEX(Table5[],MATCH($B271,Table5[Component],0),2),0)</f>
        <v>0</v>
      </c>
      <c r="Z271" s="4">
        <f>IFERROR(INDEX(Table5[],MATCH($B271,Table5[Component],0),1),0)</f>
        <v>0</v>
      </c>
      <c r="AA271" s="4" t="str">
        <f>IF(Y271&lt;&gt;0,B271,"")</f>
        <v/>
      </c>
      <c r="AB271" s="4" t="str">
        <f t="shared" si="33"/>
        <v/>
      </c>
      <c r="AD271" s="4">
        <f t="shared" si="34"/>
        <v>25</v>
      </c>
      <c r="AI271" s="248" t="str">
        <f>IFERROR(INDEX($B$1:$AK$243,MATCH(W271,$B$1:$B$243,0),13),"")</f>
        <v/>
      </c>
      <c r="AJ271" s="248" t="str">
        <f>IFERROR(INDEX($B$1:$AK$243,MATCH(W271,$B$1:$B$243,0),15),"")</f>
        <v/>
      </c>
      <c r="AK271">
        <f>SUMIF($W$2:$W$243,B271,$S$2:$S$243)</f>
        <v>0</v>
      </c>
      <c r="AN271" s="4"/>
      <c r="AO271" s="4"/>
      <c r="AP271">
        <f t="shared" si="35"/>
        <v>0</v>
      </c>
      <c r="AQ271" s="4"/>
      <c r="AR271" s="4">
        <v>1290837</v>
      </c>
      <c r="AS271">
        <f>SUMIF($B:$B,AR271,$AP:$AP)</f>
        <v>0</v>
      </c>
    </row>
    <row r="272" spans="1:45" ht="18.75" customHeight="1" x14ac:dyDescent="0.35">
      <c r="A272" s="636">
        <v>277</v>
      </c>
      <c r="B272" s="250">
        <v>1291852</v>
      </c>
      <c r="C272" s="2" t="s">
        <v>4416</v>
      </c>
      <c r="D272" s="2" t="s">
        <v>237</v>
      </c>
      <c r="E272" s="2">
        <v>1613</v>
      </c>
      <c r="F272" s="2" t="s">
        <v>109</v>
      </c>
      <c r="G272" s="2" t="s">
        <v>4387</v>
      </c>
      <c r="H272" s="10">
        <f>SUMIFS('Cutters Consumption Updates'!$F:$F,'Cutters Consumption Updates'!$D:$D,H$1,'Cutters Consumption Updates'!$B:$B,$B272)-SUMIFS('Cutters Consumption Updates'!$E:$E,'Cutters Consumption Updates'!$D:$D,H$1,'Cutters Consumption Updates'!$B:$B,$B272)+ SUMIF('Cutters Consumption Updates'!$AS:$AS,$B272,'Cutters Consumption Updates'!AT:AT)</f>
        <v>0</v>
      </c>
      <c r="I272" s="10">
        <f>SUMIFS('Cutters Consumption Updates'!$F:$F,'Cutters Consumption Updates'!$D:$D,I$1,'Cutters Consumption Updates'!$B:$B,$B272)-SUMIFS('Cutters Consumption Updates'!$E:$E,'Cutters Consumption Updates'!$D:$D,I$1,'Cutters Consumption Updates'!$B:$B,$B272)+ SUMIF('Cutters Consumption Updates'!$AS:$AS,$B272,'Cutters Consumption Updates'!AU:AU)</f>
        <v>0</v>
      </c>
      <c r="J272" s="116">
        <f>SUMIFS('Cutters Consumption Updates'!$F:$F,'Cutters Consumption Updates'!$D:$D,J$1,'Cutters Consumption Updates'!$B:$B,$B272)-SUMIFS('Cutters Consumption Updates'!$E:$E,'Cutters Consumption Updates'!$D:$D,J$1,'Cutters Consumption Updates'!$B:$B,$B272)+ SUMIF('Cutters Consumption Updates'!$AS:$AS,$B272,'Cutters Consumption Updates'!AV:AV)</f>
        <v>0</v>
      </c>
      <c r="K272" s="738">
        <f>SUMIFS('Cutters Consumption Updates'!$F:$F,'Cutters Consumption Updates'!$D:$D,K$1,'Cutters Consumption Updates'!$B:$B,$B272)-SUMIFS('Cutters Consumption Updates'!$E:$E,'Cutters Consumption Updates'!$D:$D,K$1,'Cutters Consumption Updates'!$B:$B,$B272)+ SUMIF('Cutters Consumption Updates'!$AS:$AS,$B272,'Cutters Consumption Updates'!AW:AW)</f>
        <v>0</v>
      </c>
      <c r="L272" s="116">
        <f>SUMIFS('Cutters Consumption Updates'!$F:$F,'Cutters Consumption Updates'!$D:$D,L$1,'Cutters Consumption Updates'!$B:$B,$B272)-SUMIFS('Cutters Consumption Updates'!$E:$E,'Cutters Consumption Updates'!$D:$D,$L$1,'Cutters Consumption Updates'!$B:$B,$B272)+SUMIFS('Cutters Consumption Updates'!$F:$F,'Cutters Consumption Updates'!$D:$D,"Retrofit",'Cutters Consumption Updates'!$B:$B,$B272)-SUMIFS('Cutters Consumption Updates'!$E:$E,'Cutters Consumption Updates'!$D:$D,"Retrofit",'Cutters Consumption Updates'!$B:$B,$B272)+ SUMIF('Cutters Consumption Updates'!$AS:$AS,$B272,'Cutters Consumption Updates'!AX:AX)</f>
        <v>108</v>
      </c>
      <c r="M272" s="810">
        <f t="shared" si="29"/>
        <v>108</v>
      </c>
      <c r="N272" s="810">
        <f ca="1">SUMIFS('Cutters Consumption Updates'!E:E,
        'Cutters Consumption Updates'!B:B, B272,
        'Cutters Consumption Updates'!A:A, "&gt;" &amp; TODAY()-182)</f>
        <v>62</v>
      </c>
      <c r="O272" s="810">
        <f ca="1">SUMIFS('Cutters Consumption Updates'!E:E,
        'Cutters Consumption Updates'!B:B, B272,
        'Cutters Consumption Updates'!A:A, "&gt;" &amp; TODAY()-91)</f>
        <v>19</v>
      </c>
      <c r="P272" s="810">
        <f t="shared" ca="1" si="30"/>
        <v>21</v>
      </c>
      <c r="Q272" s="703">
        <f t="shared" ca="1" si="31"/>
        <v>25</v>
      </c>
      <c r="R272" s="703" t="s">
        <v>220</v>
      </c>
      <c r="S272" s="24">
        <f>IFERROR(INDEX(Table5[],MATCH($B272,Table5[Component],0),2),0)</f>
        <v>210</v>
      </c>
      <c r="T272" s="813">
        <f>SUMIFS(Table7[Balance],Table7[Cutter Mat'#],$B272)</f>
        <v>0</v>
      </c>
      <c r="U272" s="24">
        <f t="shared" si="32"/>
        <v>-102</v>
      </c>
      <c r="V272" s="119"/>
      <c r="W272" s="2"/>
      <c r="Y272" s="4">
        <f>IFERROR(INDEX(Table5[],MATCH($B272,Table5[Component],0),2),0)</f>
        <v>210</v>
      </c>
      <c r="Z272" s="4">
        <f>IFERROR(INDEX(Table5[],MATCH($B272,Table5[Component],0),1),0)</f>
        <v>1291852</v>
      </c>
      <c r="AA272" s="4">
        <f>IF(Y272&lt;&gt;0,B272,"")</f>
        <v>1291852</v>
      </c>
      <c r="AB272" s="4" t="str">
        <f t="shared" si="33"/>
        <v/>
      </c>
      <c r="AD272" s="4">
        <f t="shared" si="34"/>
        <v>108</v>
      </c>
      <c r="AI272" s="248" t="str">
        <f>IFERROR(INDEX($B$1:$AK$243,MATCH(W272,$B$1:$B$243,0),13),"")</f>
        <v/>
      </c>
      <c r="AJ272" s="248" t="str">
        <f>IFERROR(INDEX($B$1:$AK$243,MATCH(W272,$B$1:$B$243,0),15),"")</f>
        <v/>
      </c>
      <c r="AK272">
        <f>SUMIF($W$2:$W$243,B272,$S$2:$S$243)</f>
        <v>0</v>
      </c>
      <c r="AN272" s="4"/>
      <c r="AO272" s="4"/>
      <c r="AP272">
        <f t="shared" si="35"/>
        <v>0</v>
      </c>
      <c r="AQ272" s="4"/>
      <c r="AR272" s="4">
        <v>1291852</v>
      </c>
      <c r="AS272">
        <f>SUMIF($B:$B,AR272,$AP:$AP)</f>
        <v>0</v>
      </c>
    </row>
    <row r="273" spans="1:45" ht="18.75" customHeight="1" x14ac:dyDescent="0.35">
      <c r="A273" s="636">
        <v>278</v>
      </c>
      <c r="B273" s="250">
        <v>1291870</v>
      </c>
      <c r="C273" s="2" t="s">
        <v>3648</v>
      </c>
      <c r="D273" s="2" t="s">
        <v>235</v>
      </c>
      <c r="E273" s="2">
        <v>1613</v>
      </c>
      <c r="F273" s="2" t="s">
        <v>177</v>
      </c>
      <c r="G273" s="2" t="s">
        <v>169</v>
      </c>
      <c r="H273" s="10">
        <f>SUMIFS('Cutters Consumption Updates'!$F:$F,'Cutters Consumption Updates'!$D:$D,H$1,'Cutters Consumption Updates'!$B:$B,$B273)-SUMIFS('Cutters Consumption Updates'!$E:$E,'Cutters Consumption Updates'!$D:$D,H$1,'Cutters Consumption Updates'!$B:$B,$B273)+ SUMIF('Cutters Consumption Updates'!$AS:$AS,$B273,'Cutters Consumption Updates'!AT:AT)</f>
        <v>0</v>
      </c>
      <c r="I273" s="10">
        <f>SUMIFS('Cutters Consumption Updates'!$F:$F,'Cutters Consumption Updates'!$D:$D,I$1,'Cutters Consumption Updates'!$B:$B,$B273)-SUMIFS('Cutters Consumption Updates'!$E:$E,'Cutters Consumption Updates'!$D:$D,I$1,'Cutters Consumption Updates'!$B:$B,$B273)+ SUMIF('Cutters Consumption Updates'!$AS:$AS,$B273,'Cutters Consumption Updates'!AU:AU)</f>
        <v>0</v>
      </c>
      <c r="J273" s="116">
        <f>SUMIFS('Cutters Consumption Updates'!$F:$F,'Cutters Consumption Updates'!$D:$D,J$1,'Cutters Consumption Updates'!$B:$B,$B273)-SUMIFS('Cutters Consumption Updates'!$E:$E,'Cutters Consumption Updates'!$D:$D,J$1,'Cutters Consumption Updates'!$B:$B,$B273)+ SUMIF('Cutters Consumption Updates'!$AS:$AS,$B273,'Cutters Consumption Updates'!AV:AV)</f>
        <v>0</v>
      </c>
      <c r="K273" s="738">
        <f>SUMIFS('Cutters Consumption Updates'!$F:$F,'Cutters Consumption Updates'!$D:$D,K$1,'Cutters Consumption Updates'!$B:$B,$B273)-SUMIFS('Cutters Consumption Updates'!$E:$E,'Cutters Consumption Updates'!$D:$D,K$1,'Cutters Consumption Updates'!$B:$B,$B273)+ SUMIF('Cutters Consumption Updates'!$AS:$AS,$B273,'Cutters Consumption Updates'!AW:AW)</f>
        <v>0</v>
      </c>
      <c r="L273" s="116">
        <f>SUMIFS('Cutters Consumption Updates'!$F:$F,'Cutters Consumption Updates'!$D:$D,L$1,'Cutters Consumption Updates'!$B:$B,$B273)-SUMIFS('Cutters Consumption Updates'!$E:$E,'Cutters Consumption Updates'!$D:$D,$L$1,'Cutters Consumption Updates'!$B:$B,$B273)+SUMIFS('Cutters Consumption Updates'!$F:$F,'Cutters Consumption Updates'!$D:$D,"Retrofit",'Cutters Consumption Updates'!$B:$B,$B273)-SUMIFS('Cutters Consumption Updates'!$E:$E,'Cutters Consumption Updates'!$D:$D,"Retrofit",'Cutters Consumption Updates'!$B:$B,$B273)+ SUMIF('Cutters Consumption Updates'!$AS:$AS,$B273,'Cutters Consumption Updates'!AX:AX)</f>
        <v>147</v>
      </c>
      <c r="M273" s="810">
        <f t="shared" si="29"/>
        <v>147</v>
      </c>
      <c r="N273" s="810">
        <f ca="1">SUMIFS('Cutters Consumption Updates'!E:E,
        'Cutters Consumption Updates'!B:B, B273,
        'Cutters Consumption Updates'!A:A, "&gt;" &amp; TODAY()-182)</f>
        <v>56</v>
      </c>
      <c r="O273" s="810">
        <f ca="1">SUMIFS('Cutters Consumption Updates'!E:E,
        'Cutters Consumption Updates'!B:B, B273,
        'Cutters Consumption Updates'!A:A, "&gt;" &amp; TODAY()-91)</f>
        <v>6</v>
      </c>
      <c r="P273" s="810">
        <f t="shared" ca="1" si="30"/>
        <v>19</v>
      </c>
      <c r="Q273" s="703">
        <f t="shared" ca="1" si="31"/>
        <v>25</v>
      </c>
      <c r="R273" s="703" t="s">
        <v>213</v>
      </c>
      <c r="S273" s="24">
        <f>IFERROR(INDEX(Table5[],MATCH($B273,Table5[Component],0),2),0)</f>
        <v>107</v>
      </c>
      <c r="T273" s="813">
        <f>SUMIFS(Table7[Balance],Table7[Cutter Mat'#],$B273)</f>
        <v>0</v>
      </c>
      <c r="U273" s="24">
        <f t="shared" si="32"/>
        <v>40</v>
      </c>
      <c r="V273" s="119"/>
      <c r="W273" s="2"/>
      <c r="Y273" s="4">
        <f>IFERROR(INDEX(Table5[],MATCH($B273,Table5[Component],0),2),0)</f>
        <v>107</v>
      </c>
      <c r="Z273" s="4">
        <f>IFERROR(INDEX(Table5[],MATCH($B273,Table5[Component],0),1),0)</f>
        <v>1291870</v>
      </c>
      <c r="AA273" s="4">
        <f>IF(Y273&lt;&gt;0,B273,"")</f>
        <v>1291870</v>
      </c>
      <c r="AB273" s="4" t="str">
        <f t="shared" si="33"/>
        <v/>
      </c>
      <c r="AD273" s="4">
        <f t="shared" si="34"/>
        <v>147</v>
      </c>
      <c r="AI273" s="248" t="str">
        <f>IFERROR(INDEX($B$1:$AK$243,MATCH(W273,$B$1:$B$243,0),13),"")</f>
        <v/>
      </c>
      <c r="AJ273" s="248" t="str">
        <f>IFERROR(INDEX($B$1:$AK$243,MATCH(W273,$B$1:$B$243,0),15),"")</f>
        <v/>
      </c>
      <c r="AK273">
        <f>SUMIF($W$2:$W$243,B273,$S$2:$S$243)</f>
        <v>0</v>
      </c>
      <c r="AN273" s="4"/>
      <c r="AO273" s="4"/>
      <c r="AP273">
        <f t="shared" si="35"/>
        <v>0</v>
      </c>
      <c r="AQ273" s="4"/>
      <c r="AR273" s="4">
        <v>1291870</v>
      </c>
      <c r="AS273">
        <f>SUMIF($B:$B,AR273,$AP:$AP)</f>
        <v>0</v>
      </c>
    </row>
    <row r="274" spans="1:45" ht="18.75" customHeight="1" x14ac:dyDescent="0.35">
      <c r="A274" s="636">
        <v>279</v>
      </c>
      <c r="B274" s="209">
        <v>2008253</v>
      </c>
      <c r="C274" s="2" t="s">
        <v>3649</v>
      </c>
      <c r="D274" s="2" t="s">
        <v>225</v>
      </c>
      <c r="E274" s="2">
        <v>1313</v>
      </c>
      <c r="F274" s="2" t="s">
        <v>109</v>
      </c>
      <c r="G274" s="2" t="s">
        <v>4336</v>
      </c>
      <c r="H274" s="10">
        <f>SUMIFS('Cutters Consumption Updates'!$F:$F,'Cutters Consumption Updates'!$D:$D,H$1,'Cutters Consumption Updates'!$B:$B,$B274)-SUMIFS('Cutters Consumption Updates'!$E:$E,'Cutters Consumption Updates'!$D:$D,H$1,'Cutters Consumption Updates'!$B:$B,$B274)+ SUMIF('Cutters Consumption Updates'!$AS:$AS,$B274,'Cutters Consumption Updates'!AT:AT)</f>
        <v>0</v>
      </c>
      <c r="I274" s="10">
        <f>SUMIFS('Cutters Consumption Updates'!$F:$F,'Cutters Consumption Updates'!$D:$D,I$1,'Cutters Consumption Updates'!$B:$B,$B274)-SUMIFS('Cutters Consumption Updates'!$E:$E,'Cutters Consumption Updates'!$D:$D,I$1,'Cutters Consumption Updates'!$B:$B,$B274)+ SUMIF('Cutters Consumption Updates'!$AS:$AS,$B274,'Cutters Consumption Updates'!AU:AU)</f>
        <v>0</v>
      </c>
      <c r="J274" s="116">
        <f>SUMIFS('Cutters Consumption Updates'!$F:$F,'Cutters Consumption Updates'!$D:$D,J$1,'Cutters Consumption Updates'!$B:$B,$B274)-SUMIFS('Cutters Consumption Updates'!$E:$E,'Cutters Consumption Updates'!$D:$D,J$1,'Cutters Consumption Updates'!$B:$B,$B274)+ SUMIF('Cutters Consumption Updates'!$AS:$AS,$B274,'Cutters Consumption Updates'!AV:AV)</f>
        <v>0</v>
      </c>
      <c r="K274" s="738">
        <f>SUMIFS('Cutters Consumption Updates'!$F:$F,'Cutters Consumption Updates'!$D:$D,K$1,'Cutters Consumption Updates'!$B:$B,$B274)-SUMIFS('Cutters Consumption Updates'!$E:$E,'Cutters Consumption Updates'!$D:$D,K$1,'Cutters Consumption Updates'!$B:$B,$B274)+ SUMIF('Cutters Consumption Updates'!$AS:$AS,$B274,'Cutters Consumption Updates'!AW:AW)</f>
        <v>0</v>
      </c>
      <c r="L274" s="116">
        <f>SUMIFS('Cutters Consumption Updates'!$F:$F,'Cutters Consumption Updates'!$D:$D,L$1,'Cutters Consumption Updates'!$B:$B,$B274)-SUMIFS('Cutters Consumption Updates'!$E:$E,'Cutters Consumption Updates'!$D:$D,$L$1,'Cutters Consumption Updates'!$B:$B,$B274)+SUMIFS('Cutters Consumption Updates'!$F:$F,'Cutters Consumption Updates'!$D:$D,"Retrofit",'Cutters Consumption Updates'!$B:$B,$B274)-SUMIFS('Cutters Consumption Updates'!$E:$E,'Cutters Consumption Updates'!$D:$D,"Retrofit",'Cutters Consumption Updates'!$B:$B,$B274)+ SUMIF('Cutters Consumption Updates'!$AS:$AS,$B274,'Cutters Consumption Updates'!AX:AX)</f>
        <v>0</v>
      </c>
      <c r="M274" s="810">
        <f t="shared" si="29"/>
        <v>0</v>
      </c>
      <c r="N274" s="810">
        <f ca="1">SUMIFS('Cutters Consumption Updates'!E:E,
        'Cutters Consumption Updates'!B:B, B274,
        'Cutters Consumption Updates'!A:A, "&gt;" &amp; TODAY()-182)</f>
        <v>0</v>
      </c>
      <c r="O274" s="810">
        <f ca="1">SUMIFS('Cutters Consumption Updates'!E:E,
        'Cutters Consumption Updates'!B:B, B274,
        'Cutters Consumption Updates'!A:A, "&gt;" &amp; TODAY()-91)</f>
        <v>0</v>
      </c>
      <c r="P274" s="810">
        <f t="shared" ca="1" si="30"/>
        <v>0</v>
      </c>
      <c r="Q274" s="703">
        <f t="shared" ca="1" si="31"/>
        <v>0</v>
      </c>
      <c r="R274" s="703" t="s">
        <v>224</v>
      </c>
      <c r="S274" s="24">
        <f>IFERROR(INDEX(Table5[],MATCH($B274,Table5[Component],0),2),0)</f>
        <v>0</v>
      </c>
      <c r="T274" s="813">
        <f>SUMIFS(Table7[Balance],Table7[Cutter Mat'#],$B274)</f>
        <v>0</v>
      </c>
      <c r="U274" s="24">
        <f t="shared" si="32"/>
        <v>0</v>
      </c>
      <c r="V274" s="119"/>
      <c r="W274" s="2"/>
      <c r="Y274" s="4">
        <f>IFERROR(INDEX(Table5[],MATCH($B274,Table5[Component],0),2),0)</f>
        <v>0</v>
      </c>
      <c r="Z274" s="4">
        <f>IFERROR(INDEX(Table5[],MATCH($B274,Table5[Component],0),1),0)</f>
        <v>0</v>
      </c>
      <c r="AA274" s="4" t="str">
        <f>IF(Y274&lt;&gt;0,B274,"")</f>
        <v/>
      </c>
      <c r="AB274" s="4" t="str">
        <f t="shared" si="33"/>
        <v/>
      </c>
      <c r="AD274" s="4">
        <f t="shared" si="34"/>
        <v>0</v>
      </c>
      <c r="AI274" s="248" t="str">
        <f>IFERROR(INDEX($B$1:$AK$243,MATCH(W274,$B$1:$B$243,0),13),"")</f>
        <v/>
      </c>
      <c r="AJ274" s="248" t="str">
        <f>IFERROR(INDEX($B$1:$AK$243,MATCH(W274,$B$1:$B$243,0),15),"")</f>
        <v/>
      </c>
      <c r="AK274">
        <f>SUMIF($W$2:$W$243,B274,$S$2:$S$243)</f>
        <v>0</v>
      </c>
      <c r="AN274" s="4"/>
      <c r="AO274" s="4"/>
      <c r="AP274">
        <f t="shared" si="35"/>
        <v>0</v>
      </c>
      <c r="AQ274" s="4"/>
      <c r="AR274" s="4">
        <v>1292498</v>
      </c>
      <c r="AS274">
        <f>SUMIF($B:$B,AR274,$AP:$AP)</f>
        <v>0</v>
      </c>
    </row>
    <row r="275" spans="1:45" ht="18.75" customHeight="1" x14ac:dyDescent="0.35">
      <c r="A275" s="636">
        <v>280</v>
      </c>
      <c r="B275" s="209">
        <v>1292498</v>
      </c>
      <c r="C275" s="2" t="s">
        <v>3650</v>
      </c>
      <c r="D275" s="2" t="s">
        <v>238</v>
      </c>
      <c r="E275" s="2">
        <v>1613</v>
      </c>
      <c r="F275" s="2" t="s">
        <v>170</v>
      </c>
      <c r="G275" s="2" t="s">
        <v>4417</v>
      </c>
      <c r="H275" s="10">
        <f>SUMIFS('Cutters Consumption Updates'!$F:$F,'Cutters Consumption Updates'!$D:$D,H$1,'Cutters Consumption Updates'!$B:$B,$B275)-SUMIFS('Cutters Consumption Updates'!$E:$E,'Cutters Consumption Updates'!$D:$D,H$1,'Cutters Consumption Updates'!$B:$B,$B275)+ SUMIF('Cutters Consumption Updates'!$AS:$AS,$B275,'Cutters Consumption Updates'!AT:AT)</f>
        <v>0</v>
      </c>
      <c r="I275" s="10">
        <f>SUMIFS('Cutters Consumption Updates'!$F:$F,'Cutters Consumption Updates'!$D:$D,I$1,'Cutters Consumption Updates'!$B:$B,$B275)-SUMIFS('Cutters Consumption Updates'!$E:$E,'Cutters Consumption Updates'!$D:$D,I$1,'Cutters Consumption Updates'!$B:$B,$B275)+ SUMIF('Cutters Consumption Updates'!$AS:$AS,$B275,'Cutters Consumption Updates'!AU:AU)</f>
        <v>0</v>
      </c>
      <c r="J275" s="116">
        <f>SUMIFS('Cutters Consumption Updates'!$F:$F,'Cutters Consumption Updates'!$D:$D,J$1,'Cutters Consumption Updates'!$B:$B,$B275)-SUMIFS('Cutters Consumption Updates'!$E:$E,'Cutters Consumption Updates'!$D:$D,J$1,'Cutters Consumption Updates'!$B:$B,$B275)+ SUMIF('Cutters Consumption Updates'!$AS:$AS,$B275,'Cutters Consumption Updates'!AV:AV)</f>
        <v>0</v>
      </c>
      <c r="K275" s="738">
        <f>SUMIFS('Cutters Consumption Updates'!$F:$F,'Cutters Consumption Updates'!$D:$D,K$1,'Cutters Consumption Updates'!$B:$B,$B275)-SUMIFS('Cutters Consumption Updates'!$E:$E,'Cutters Consumption Updates'!$D:$D,K$1,'Cutters Consumption Updates'!$B:$B,$B275)+ SUMIF('Cutters Consumption Updates'!$AS:$AS,$B275,'Cutters Consumption Updates'!AW:AW)</f>
        <v>0</v>
      </c>
      <c r="L275" s="116">
        <f>SUMIFS('Cutters Consumption Updates'!$F:$F,'Cutters Consumption Updates'!$D:$D,L$1,'Cutters Consumption Updates'!$B:$B,$B275)-SUMIFS('Cutters Consumption Updates'!$E:$E,'Cutters Consumption Updates'!$D:$D,$L$1,'Cutters Consumption Updates'!$B:$B,$B275)+SUMIFS('Cutters Consumption Updates'!$F:$F,'Cutters Consumption Updates'!$D:$D,"Retrofit",'Cutters Consumption Updates'!$B:$B,$B275)-SUMIFS('Cutters Consumption Updates'!$E:$E,'Cutters Consumption Updates'!$D:$D,"Retrofit",'Cutters Consumption Updates'!$B:$B,$B275)+ SUMIF('Cutters Consumption Updates'!$AS:$AS,$B275,'Cutters Consumption Updates'!AX:AX)</f>
        <v>25</v>
      </c>
      <c r="M275" s="810">
        <f t="shared" si="29"/>
        <v>25</v>
      </c>
      <c r="N275" s="810">
        <f ca="1">SUMIFS('Cutters Consumption Updates'!E:E,
        'Cutters Consumption Updates'!B:B, B275,
        'Cutters Consumption Updates'!A:A, "&gt;" &amp; TODAY()-182)</f>
        <v>5</v>
      </c>
      <c r="O275" s="810">
        <f ca="1">SUMIFS('Cutters Consumption Updates'!E:E,
        'Cutters Consumption Updates'!B:B, B275,
        'Cutters Consumption Updates'!A:A, "&gt;" &amp; TODAY()-91)</f>
        <v>5</v>
      </c>
      <c r="P275" s="810">
        <f t="shared" ca="1" si="30"/>
        <v>2</v>
      </c>
      <c r="Q275" s="703">
        <f t="shared" ca="1" si="31"/>
        <v>5</v>
      </c>
      <c r="R275" s="703" t="s">
        <v>29</v>
      </c>
      <c r="S275" s="24">
        <f>IFERROR(INDEX(Table5[],MATCH($B275,Table5[Component],0),2),0)</f>
        <v>21</v>
      </c>
      <c r="T275" s="813">
        <f>SUMIFS(Table7[Balance],Table7[Cutter Mat'#],$B275)</f>
        <v>0</v>
      </c>
      <c r="U275" s="24">
        <f t="shared" si="32"/>
        <v>4</v>
      </c>
      <c r="V275" s="119"/>
      <c r="W275" s="2"/>
      <c r="Y275" s="4">
        <f>IFERROR(INDEX(Table5[],MATCH($B275,Table5[Component],0),2),0)</f>
        <v>21</v>
      </c>
      <c r="Z275" s="4">
        <f>IFERROR(INDEX(Table5[],MATCH($B275,Table5[Component],0),1),0)</f>
        <v>1292498</v>
      </c>
      <c r="AA275" s="4">
        <f>IF(Y275&lt;&gt;0,B275,"")</f>
        <v>1292498</v>
      </c>
      <c r="AB275" s="4" t="str">
        <f t="shared" si="33"/>
        <v/>
      </c>
      <c r="AD275" s="4">
        <f t="shared" si="34"/>
        <v>25</v>
      </c>
      <c r="AI275" s="248" t="str">
        <f>IFERROR(INDEX($B$1:$AK$243,MATCH(W275,$B$1:$B$243,0),13),"")</f>
        <v/>
      </c>
      <c r="AJ275" s="248" t="str">
        <f>IFERROR(INDEX($B$1:$AK$243,MATCH(W275,$B$1:$B$243,0),15),"")</f>
        <v/>
      </c>
      <c r="AK275">
        <f>SUMIF($W$2:$W$243,B275,$S$2:$S$243)</f>
        <v>0</v>
      </c>
      <c r="AN275" s="4"/>
      <c r="AO275" s="4"/>
      <c r="AP275">
        <f t="shared" si="35"/>
        <v>0</v>
      </c>
      <c r="AQ275" s="4"/>
      <c r="AR275" s="4">
        <v>1293118</v>
      </c>
      <c r="AS275">
        <f>SUMIF($B:$B,AR275,$AP:$AP)</f>
        <v>30</v>
      </c>
    </row>
    <row r="276" spans="1:45" ht="18.75" customHeight="1" x14ac:dyDescent="0.35">
      <c r="A276" s="636">
        <v>281</v>
      </c>
      <c r="B276" s="209">
        <v>1247589</v>
      </c>
      <c r="C276" s="2" t="s">
        <v>3652</v>
      </c>
      <c r="D276" s="2" t="s">
        <v>239</v>
      </c>
      <c r="E276" s="2">
        <v>1313</v>
      </c>
      <c r="F276" s="2" t="s">
        <v>109</v>
      </c>
      <c r="G276" s="2" t="s">
        <v>4383</v>
      </c>
      <c r="H276" s="10">
        <f>SUMIFS('Cutters Consumption Updates'!$F:$F,'Cutters Consumption Updates'!$D:$D,H$1,'Cutters Consumption Updates'!$B:$B,$B276)-SUMIFS('Cutters Consumption Updates'!$E:$E,'Cutters Consumption Updates'!$D:$D,H$1,'Cutters Consumption Updates'!$B:$B,$B276)+ SUMIF('Cutters Consumption Updates'!$AS:$AS,$B276,'Cutters Consumption Updates'!AT:AT)</f>
        <v>0</v>
      </c>
      <c r="I276" s="10">
        <f>SUMIFS('Cutters Consumption Updates'!$F:$F,'Cutters Consumption Updates'!$D:$D,I$1,'Cutters Consumption Updates'!$B:$B,$B276)-SUMIFS('Cutters Consumption Updates'!$E:$E,'Cutters Consumption Updates'!$D:$D,I$1,'Cutters Consumption Updates'!$B:$B,$B276)+ SUMIF('Cutters Consumption Updates'!$AS:$AS,$B276,'Cutters Consumption Updates'!AU:AU)</f>
        <v>0</v>
      </c>
      <c r="J276" s="116">
        <f>SUMIFS('Cutters Consumption Updates'!$F:$F,'Cutters Consumption Updates'!$D:$D,J$1,'Cutters Consumption Updates'!$B:$B,$B276)-SUMIFS('Cutters Consumption Updates'!$E:$E,'Cutters Consumption Updates'!$D:$D,J$1,'Cutters Consumption Updates'!$B:$B,$B276)+ SUMIF('Cutters Consumption Updates'!$AS:$AS,$B276,'Cutters Consumption Updates'!AV:AV)</f>
        <v>0</v>
      </c>
      <c r="K276" s="738">
        <f>SUMIFS('Cutters Consumption Updates'!$F:$F,'Cutters Consumption Updates'!$D:$D,K$1,'Cutters Consumption Updates'!$B:$B,$B276)-SUMIFS('Cutters Consumption Updates'!$E:$E,'Cutters Consumption Updates'!$D:$D,K$1,'Cutters Consumption Updates'!$B:$B,$B276)+ SUMIF('Cutters Consumption Updates'!$AS:$AS,$B276,'Cutters Consumption Updates'!AW:AW)</f>
        <v>0</v>
      </c>
      <c r="L276" s="116">
        <f>SUMIFS('Cutters Consumption Updates'!$F:$F,'Cutters Consumption Updates'!$D:$D,L$1,'Cutters Consumption Updates'!$B:$B,$B276)-SUMIFS('Cutters Consumption Updates'!$E:$E,'Cutters Consumption Updates'!$D:$D,$L$1,'Cutters Consumption Updates'!$B:$B,$B276)+SUMIFS('Cutters Consumption Updates'!$F:$F,'Cutters Consumption Updates'!$D:$D,"Retrofit",'Cutters Consumption Updates'!$B:$B,$B276)-SUMIFS('Cutters Consumption Updates'!$E:$E,'Cutters Consumption Updates'!$D:$D,"Retrofit",'Cutters Consumption Updates'!$B:$B,$B276)+ SUMIF('Cutters Consumption Updates'!$AS:$AS,$B276,'Cutters Consumption Updates'!AX:AX)</f>
        <v>25</v>
      </c>
      <c r="M276" s="810">
        <f t="shared" si="29"/>
        <v>25</v>
      </c>
      <c r="N276" s="810">
        <f ca="1">SUMIFS('Cutters Consumption Updates'!E:E,
        'Cutters Consumption Updates'!B:B, B276,
        'Cutters Consumption Updates'!A:A, "&gt;" &amp; TODAY()-182)</f>
        <v>0</v>
      </c>
      <c r="O276" s="810">
        <f ca="1">SUMIFS('Cutters Consumption Updates'!E:E,
        'Cutters Consumption Updates'!B:B, B276,
        'Cutters Consumption Updates'!A:A, "&gt;" &amp; TODAY()-91)</f>
        <v>0</v>
      </c>
      <c r="P276" s="810">
        <f t="shared" ca="1" si="30"/>
        <v>0</v>
      </c>
      <c r="Q276" s="703">
        <f t="shared" ca="1" si="31"/>
        <v>0</v>
      </c>
      <c r="R276" s="703" t="s">
        <v>29</v>
      </c>
      <c r="S276" s="24">
        <f>IFERROR(INDEX(Table5[],MATCH($B276,Table5[Component],0),2),0)</f>
        <v>0</v>
      </c>
      <c r="T276" s="813">
        <f>SUMIFS(Table7[Balance],Table7[Cutter Mat'#],$B276)</f>
        <v>0</v>
      </c>
      <c r="U276" s="24">
        <f t="shared" si="32"/>
        <v>25</v>
      </c>
      <c r="V276" s="119"/>
      <c r="W276" s="2"/>
      <c r="Y276" s="4">
        <f>IFERROR(INDEX(Table5[],MATCH($B276,Table5[Component],0),2),0)</f>
        <v>0</v>
      </c>
      <c r="Z276" s="4">
        <f>IFERROR(INDEX(Table5[],MATCH($B276,Table5[Component],0),1),0)</f>
        <v>0</v>
      </c>
      <c r="AA276" s="4" t="str">
        <f>IF(Y276&lt;&gt;0,B276,"")</f>
        <v/>
      </c>
      <c r="AB276" s="4" t="str">
        <f t="shared" si="33"/>
        <v/>
      </c>
      <c r="AD276" s="4">
        <f t="shared" si="34"/>
        <v>25</v>
      </c>
      <c r="AI276" s="248" t="str">
        <f>IFERROR(INDEX($B$1:$AK$243,MATCH(W276,$B$1:$B$243,0),13),"")</f>
        <v/>
      </c>
      <c r="AJ276" s="248" t="str">
        <f>IFERROR(INDEX($B$1:$AK$243,MATCH(W276,$B$1:$B$243,0),15),"")</f>
        <v/>
      </c>
      <c r="AK276">
        <f>SUMIF($W$2:$W$243,B276,$S$2:$S$243)</f>
        <v>0</v>
      </c>
      <c r="AN276" s="4"/>
      <c r="AO276" s="4"/>
      <c r="AP276">
        <f t="shared" si="35"/>
        <v>0</v>
      </c>
      <c r="AQ276" s="4"/>
      <c r="AR276" s="4">
        <v>1296685</v>
      </c>
      <c r="AS276">
        <f>SUMIF($B:$B,AR276,$AP:$AP)</f>
        <v>0</v>
      </c>
    </row>
    <row r="277" spans="1:45" ht="18.75" customHeight="1" x14ac:dyDescent="0.35">
      <c r="A277" s="636">
        <v>282</v>
      </c>
      <c r="B277" s="209">
        <v>2002186</v>
      </c>
      <c r="C277" s="2" t="s">
        <v>3653</v>
      </c>
      <c r="D277" s="2" t="s">
        <v>225</v>
      </c>
      <c r="E277" s="2">
        <v>1313</v>
      </c>
      <c r="F277" s="2" t="s">
        <v>170</v>
      </c>
      <c r="G277" s="2" t="s">
        <v>4336</v>
      </c>
      <c r="H277" s="10">
        <f>SUMIFS('Cutters Consumption Updates'!$F:$F,'Cutters Consumption Updates'!$D:$D,H$1,'Cutters Consumption Updates'!$B:$B,$B277)-SUMIFS('Cutters Consumption Updates'!$E:$E,'Cutters Consumption Updates'!$D:$D,H$1,'Cutters Consumption Updates'!$B:$B,$B277)+ SUMIF('Cutters Consumption Updates'!$AS:$AS,$B277,'Cutters Consumption Updates'!AT:AT)</f>
        <v>0</v>
      </c>
      <c r="I277" s="10">
        <f>SUMIFS('Cutters Consumption Updates'!$F:$F,'Cutters Consumption Updates'!$D:$D,I$1,'Cutters Consumption Updates'!$B:$B,$B277)-SUMIFS('Cutters Consumption Updates'!$E:$E,'Cutters Consumption Updates'!$D:$D,I$1,'Cutters Consumption Updates'!$B:$B,$B277)+ SUMIF('Cutters Consumption Updates'!$AS:$AS,$B277,'Cutters Consumption Updates'!AU:AU)</f>
        <v>0</v>
      </c>
      <c r="J277" s="116">
        <f>SUMIFS('Cutters Consumption Updates'!$F:$F,'Cutters Consumption Updates'!$D:$D,J$1,'Cutters Consumption Updates'!$B:$B,$B277)-SUMIFS('Cutters Consumption Updates'!$E:$E,'Cutters Consumption Updates'!$D:$D,J$1,'Cutters Consumption Updates'!$B:$B,$B277)+ SUMIF('Cutters Consumption Updates'!$AS:$AS,$B277,'Cutters Consumption Updates'!AV:AV)</f>
        <v>0</v>
      </c>
      <c r="K277" s="738">
        <f>SUMIFS('Cutters Consumption Updates'!$F:$F,'Cutters Consumption Updates'!$D:$D,K$1,'Cutters Consumption Updates'!$B:$B,$B277)-SUMIFS('Cutters Consumption Updates'!$E:$E,'Cutters Consumption Updates'!$D:$D,K$1,'Cutters Consumption Updates'!$B:$B,$B277)+ SUMIF('Cutters Consumption Updates'!$AS:$AS,$B277,'Cutters Consumption Updates'!AW:AW)</f>
        <v>0</v>
      </c>
      <c r="L277" s="116">
        <f>SUMIFS('Cutters Consumption Updates'!$F:$F,'Cutters Consumption Updates'!$D:$D,L$1,'Cutters Consumption Updates'!$B:$B,$B277)-SUMIFS('Cutters Consumption Updates'!$E:$E,'Cutters Consumption Updates'!$D:$D,$L$1,'Cutters Consumption Updates'!$B:$B,$B277)+SUMIFS('Cutters Consumption Updates'!$F:$F,'Cutters Consumption Updates'!$D:$D,"Retrofit",'Cutters Consumption Updates'!$B:$B,$B277)-SUMIFS('Cutters Consumption Updates'!$E:$E,'Cutters Consumption Updates'!$D:$D,"Retrofit",'Cutters Consumption Updates'!$B:$B,$B277)+ SUMIF('Cutters Consumption Updates'!$AS:$AS,$B277,'Cutters Consumption Updates'!AX:AX)</f>
        <v>375</v>
      </c>
      <c r="M277" s="810">
        <f t="shared" si="29"/>
        <v>375</v>
      </c>
      <c r="N277" s="810">
        <f ca="1">SUMIFS('Cutters Consumption Updates'!E:E,
        'Cutters Consumption Updates'!B:B, B277,
        'Cutters Consumption Updates'!A:A, "&gt;" &amp; TODAY()-182)</f>
        <v>330</v>
      </c>
      <c r="O277" s="810">
        <f ca="1">SUMIFS('Cutters Consumption Updates'!E:E,
        'Cutters Consumption Updates'!B:B, B277,
        'Cutters Consumption Updates'!A:A, "&gt;" &amp; TODAY()-91)</f>
        <v>30</v>
      </c>
      <c r="P277" s="810">
        <f t="shared" ca="1" si="30"/>
        <v>110</v>
      </c>
      <c r="Q277" s="703">
        <f t="shared" ca="1" si="31"/>
        <v>115</v>
      </c>
      <c r="R277" s="703" t="s">
        <v>184</v>
      </c>
      <c r="S277" s="24">
        <f>IFERROR(INDEX(Table5[],MATCH($B277,Table5[Component],0),2),0)</f>
        <v>136</v>
      </c>
      <c r="T277" s="813">
        <f>SUMIFS(Table7[Balance],Table7[Cutter Mat'#],$B277)</f>
        <v>0</v>
      </c>
      <c r="U277" s="24">
        <f t="shared" si="32"/>
        <v>239</v>
      </c>
      <c r="V277" s="119"/>
      <c r="W277" s="2"/>
      <c r="Y277" s="4">
        <f>IFERROR(INDEX(Table5[],MATCH($B277,Table5[Component],0),2),0)</f>
        <v>136</v>
      </c>
      <c r="Z277" s="4">
        <f>IFERROR(INDEX(Table5[],MATCH($B277,Table5[Component],0),1),0)</f>
        <v>2002186</v>
      </c>
      <c r="AA277" s="4">
        <f>IF(Y277&lt;&gt;0,B277,"")</f>
        <v>2002186</v>
      </c>
      <c r="AB277" s="4" t="str">
        <f t="shared" si="33"/>
        <v/>
      </c>
      <c r="AD277" s="4">
        <f t="shared" si="34"/>
        <v>375</v>
      </c>
      <c r="AI277" s="248" t="str">
        <f>IFERROR(INDEX($B$1:$AK$243,MATCH(W277,$B$1:$B$243,0),13),"")</f>
        <v/>
      </c>
      <c r="AJ277" s="248" t="str">
        <f>IFERROR(INDEX($B$1:$AK$243,MATCH(W277,$B$1:$B$243,0),15),"")</f>
        <v/>
      </c>
      <c r="AK277">
        <f>SUMIF($W$2:$W$243,B277,$S$2:$S$243)</f>
        <v>0</v>
      </c>
      <c r="AN277" s="4"/>
      <c r="AO277" s="4"/>
      <c r="AP277">
        <f t="shared" si="35"/>
        <v>0</v>
      </c>
      <c r="AQ277" s="4"/>
      <c r="AR277" s="4">
        <v>2000450</v>
      </c>
      <c r="AS277">
        <f>SUMIF($B:$B,AR277,$AP:$AP)</f>
        <v>0</v>
      </c>
    </row>
    <row r="278" spans="1:45" ht="18.75" customHeight="1" x14ac:dyDescent="0.35">
      <c r="A278" s="636">
        <v>283</v>
      </c>
      <c r="B278" s="209">
        <v>2020817</v>
      </c>
      <c r="C278" s="2" t="s">
        <v>4418</v>
      </c>
      <c r="D278" s="2" t="s">
        <v>235</v>
      </c>
      <c r="E278" s="2">
        <v>1913</v>
      </c>
      <c r="F278" s="2" t="s">
        <v>177</v>
      </c>
      <c r="G278" s="2" t="s">
        <v>169</v>
      </c>
      <c r="H278" s="10">
        <f>SUMIFS('Cutters Consumption Updates'!$F:$F,'Cutters Consumption Updates'!$D:$D,H$1,'Cutters Consumption Updates'!$B:$B,$B278)-SUMIFS('Cutters Consumption Updates'!$E:$E,'Cutters Consumption Updates'!$D:$D,H$1,'Cutters Consumption Updates'!$B:$B,$B278)+ SUMIF('Cutters Consumption Updates'!$AS:$AS,$B278,'Cutters Consumption Updates'!AT:AT)</f>
        <v>0</v>
      </c>
      <c r="I278" s="10">
        <f>SUMIFS('Cutters Consumption Updates'!$F:$F,'Cutters Consumption Updates'!$D:$D,I$1,'Cutters Consumption Updates'!$B:$B,$B278)-SUMIFS('Cutters Consumption Updates'!$E:$E,'Cutters Consumption Updates'!$D:$D,I$1,'Cutters Consumption Updates'!$B:$B,$B278)+ SUMIF('Cutters Consumption Updates'!$AS:$AS,$B278,'Cutters Consumption Updates'!AU:AU)</f>
        <v>0</v>
      </c>
      <c r="J278" s="116">
        <f>SUMIFS('Cutters Consumption Updates'!$F:$F,'Cutters Consumption Updates'!$D:$D,J$1,'Cutters Consumption Updates'!$B:$B,$B278)-SUMIFS('Cutters Consumption Updates'!$E:$E,'Cutters Consumption Updates'!$D:$D,J$1,'Cutters Consumption Updates'!$B:$B,$B278)+ SUMIF('Cutters Consumption Updates'!$AS:$AS,$B278,'Cutters Consumption Updates'!AV:AV)</f>
        <v>0</v>
      </c>
      <c r="K278" s="738">
        <f>SUMIFS('Cutters Consumption Updates'!$F:$F,'Cutters Consumption Updates'!$D:$D,K$1,'Cutters Consumption Updates'!$B:$B,$B278)-SUMIFS('Cutters Consumption Updates'!$E:$E,'Cutters Consumption Updates'!$D:$D,K$1,'Cutters Consumption Updates'!$B:$B,$B278)+ SUMIF('Cutters Consumption Updates'!$AS:$AS,$B278,'Cutters Consumption Updates'!AW:AW)</f>
        <v>0</v>
      </c>
      <c r="L278" s="116">
        <f>SUMIFS('Cutters Consumption Updates'!$F:$F,'Cutters Consumption Updates'!$D:$D,L$1,'Cutters Consumption Updates'!$B:$B,$B278)-SUMIFS('Cutters Consumption Updates'!$E:$E,'Cutters Consumption Updates'!$D:$D,$L$1,'Cutters Consumption Updates'!$B:$B,$B278)+SUMIFS('Cutters Consumption Updates'!$F:$F,'Cutters Consumption Updates'!$D:$D,"Retrofit",'Cutters Consumption Updates'!$B:$B,$B278)-SUMIFS('Cutters Consumption Updates'!$E:$E,'Cutters Consumption Updates'!$D:$D,"Retrofit",'Cutters Consumption Updates'!$B:$B,$B278)+ SUMIF('Cutters Consumption Updates'!$AS:$AS,$B278,'Cutters Consumption Updates'!AX:AX)</f>
        <v>50</v>
      </c>
      <c r="M278" s="810">
        <f t="shared" si="29"/>
        <v>50</v>
      </c>
      <c r="N278" s="810">
        <f ca="1">SUMIFS('Cutters Consumption Updates'!E:E,
        'Cutters Consumption Updates'!B:B, B278,
        'Cutters Consumption Updates'!A:A, "&gt;" &amp; TODAY()-182)</f>
        <v>0</v>
      </c>
      <c r="O278" s="810">
        <f ca="1">SUMIFS('Cutters Consumption Updates'!E:E,
        'Cutters Consumption Updates'!B:B, B278,
        'Cutters Consumption Updates'!A:A, "&gt;" &amp; TODAY()-91)</f>
        <v>0</v>
      </c>
      <c r="P278" s="810">
        <f t="shared" ca="1" si="30"/>
        <v>0</v>
      </c>
      <c r="Q278" s="703">
        <f t="shared" ca="1" si="31"/>
        <v>0</v>
      </c>
      <c r="R278" s="703" t="s">
        <v>229</v>
      </c>
      <c r="S278" s="24">
        <f>IFERROR(INDEX(Table5[],MATCH($B278,Table5[Component],0),2),0)</f>
        <v>0</v>
      </c>
      <c r="T278" s="813">
        <f>SUMIFS(Table7[Balance],Table7[Cutter Mat'#],$B278)</f>
        <v>0</v>
      </c>
      <c r="U278" s="24">
        <f t="shared" si="32"/>
        <v>50</v>
      </c>
      <c r="V278" s="119"/>
      <c r="W278" s="2"/>
      <c r="Y278" s="4">
        <f>IFERROR(INDEX(Table5[],MATCH($B278,Table5[Component],0),2),0)</f>
        <v>0</v>
      </c>
      <c r="Z278" s="4">
        <f>IFERROR(INDEX(Table5[],MATCH($B278,Table5[Component],0),1),0)</f>
        <v>0</v>
      </c>
      <c r="AA278" s="4" t="str">
        <f>IF(Y278&lt;&gt;0,B278,"")</f>
        <v/>
      </c>
      <c r="AB278" s="4" t="str">
        <f t="shared" si="33"/>
        <v/>
      </c>
      <c r="AD278" s="4">
        <f t="shared" si="34"/>
        <v>50</v>
      </c>
      <c r="AI278" s="248" t="str">
        <f>IFERROR(INDEX($B$1:$AK$243,MATCH(W278,$B$1:$B$243,0),13),"")</f>
        <v/>
      </c>
      <c r="AJ278" s="248" t="str">
        <f>IFERROR(INDEX($B$1:$AK$243,MATCH(W278,$B$1:$B$243,0),15),"")</f>
        <v/>
      </c>
      <c r="AK278">
        <f>SUMIF($W$2:$W$243,B278,$S$2:$S$243)</f>
        <v>0</v>
      </c>
      <c r="AN278" s="4"/>
      <c r="AO278" s="4"/>
      <c r="AP278">
        <f t="shared" si="35"/>
        <v>0</v>
      </c>
      <c r="AQ278" s="4"/>
      <c r="AR278" s="4">
        <v>2001060</v>
      </c>
      <c r="AS278">
        <f>SUMIF($B:$B,AR278,$AP:$AP)</f>
        <v>0</v>
      </c>
    </row>
    <row r="279" spans="1:45" ht="18.75" customHeight="1" x14ac:dyDescent="0.35">
      <c r="A279" s="636">
        <v>284</v>
      </c>
      <c r="B279" s="209">
        <v>1146738</v>
      </c>
      <c r="C279" s="2" t="s">
        <v>3656</v>
      </c>
      <c r="D279" s="2" t="s">
        <v>111</v>
      </c>
      <c r="E279" s="2">
        <v>1913</v>
      </c>
      <c r="F279" s="2" t="s">
        <v>177</v>
      </c>
      <c r="G279" s="2" t="s">
        <v>4314</v>
      </c>
      <c r="H279" s="10">
        <f>SUMIFS('Cutters Consumption Updates'!$F:$F,'Cutters Consumption Updates'!$D:$D,H$1,'Cutters Consumption Updates'!$B:$B,$B279)-SUMIFS('Cutters Consumption Updates'!$E:$E,'Cutters Consumption Updates'!$D:$D,H$1,'Cutters Consumption Updates'!$B:$B,$B279)+ SUMIF('Cutters Consumption Updates'!$AS:$AS,$B279,'Cutters Consumption Updates'!AT:AT)</f>
        <v>0</v>
      </c>
      <c r="I279" s="10">
        <f>SUMIFS('Cutters Consumption Updates'!$F:$F,'Cutters Consumption Updates'!$D:$D,I$1,'Cutters Consumption Updates'!$B:$B,$B279)-SUMIFS('Cutters Consumption Updates'!$E:$E,'Cutters Consumption Updates'!$D:$D,I$1,'Cutters Consumption Updates'!$B:$B,$B279)+ SUMIF('Cutters Consumption Updates'!$AS:$AS,$B279,'Cutters Consumption Updates'!AU:AU)</f>
        <v>0</v>
      </c>
      <c r="J279" s="116">
        <f>SUMIFS('Cutters Consumption Updates'!$F:$F,'Cutters Consumption Updates'!$D:$D,J$1,'Cutters Consumption Updates'!$B:$B,$B279)-SUMIFS('Cutters Consumption Updates'!$E:$E,'Cutters Consumption Updates'!$D:$D,J$1,'Cutters Consumption Updates'!$B:$B,$B279)+ SUMIF('Cutters Consumption Updates'!$AS:$AS,$B279,'Cutters Consumption Updates'!AV:AV)</f>
        <v>0</v>
      </c>
      <c r="K279" s="738">
        <f>SUMIFS('Cutters Consumption Updates'!$F:$F,'Cutters Consumption Updates'!$D:$D,K$1,'Cutters Consumption Updates'!$B:$B,$B279)-SUMIFS('Cutters Consumption Updates'!$E:$E,'Cutters Consumption Updates'!$D:$D,K$1,'Cutters Consumption Updates'!$B:$B,$B279)+ SUMIF('Cutters Consumption Updates'!$AS:$AS,$B279,'Cutters Consumption Updates'!AW:AW)</f>
        <v>0</v>
      </c>
      <c r="L279" s="116">
        <f>SUMIFS('Cutters Consumption Updates'!$F:$F,'Cutters Consumption Updates'!$D:$D,L$1,'Cutters Consumption Updates'!$B:$B,$B279)-SUMIFS('Cutters Consumption Updates'!$E:$E,'Cutters Consumption Updates'!$D:$D,$L$1,'Cutters Consumption Updates'!$B:$B,$B279)+SUMIFS('Cutters Consumption Updates'!$F:$F,'Cutters Consumption Updates'!$D:$D,"Retrofit",'Cutters Consumption Updates'!$B:$B,$B279)-SUMIFS('Cutters Consumption Updates'!$E:$E,'Cutters Consumption Updates'!$D:$D,"Retrofit",'Cutters Consumption Updates'!$B:$B,$B279)+ SUMIF('Cutters Consumption Updates'!$AS:$AS,$B279,'Cutters Consumption Updates'!AX:AX)</f>
        <v>14</v>
      </c>
      <c r="M279" s="810">
        <f t="shared" si="29"/>
        <v>14</v>
      </c>
      <c r="N279" s="810">
        <f ca="1">SUMIFS('Cutters Consumption Updates'!E:E,
        'Cutters Consumption Updates'!B:B, B279,
        'Cutters Consumption Updates'!A:A, "&gt;" &amp; TODAY()-182)</f>
        <v>76</v>
      </c>
      <c r="O279" s="810">
        <f ca="1">SUMIFS('Cutters Consumption Updates'!E:E,
        'Cutters Consumption Updates'!B:B, B279,
        'Cutters Consumption Updates'!A:A, "&gt;" &amp; TODAY()-91)</f>
        <v>56</v>
      </c>
      <c r="P279" s="810">
        <f t="shared" ca="1" si="30"/>
        <v>26</v>
      </c>
      <c r="Q279" s="703">
        <f t="shared" ca="1" si="31"/>
        <v>30</v>
      </c>
      <c r="R279" s="703" t="s">
        <v>113</v>
      </c>
      <c r="S279" s="24">
        <f>IFERROR(INDEX(Table5[],MATCH($B279,Table5[Component],0),2),0)</f>
        <v>26</v>
      </c>
      <c r="T279" s="813">
        <f>SUMIFS(Table7[Balance],Table7[Cutter Mat'#],$B279)</f>
        <v>30</v>
      </c>
      <c r="U279" s="24">
        <f t="shared" si="32"/>
        <v>18</v>
      </c>
      <c r="V279" s="119"/>
      <c r="W279" s="2"/>
      <c r="Y279" s="4">
        <f>IFERROR(INDEX(Table5[],MATCH($B279,Table5[Component],0),2),0)</f>
        <v>26</v>
      </c>
      <c r="Z279" s="4">
        <f>IFERROR(INDEX(Table5[],MATCH($B279,Table5[Component],0),1),0)</f>
        <v>1146738</v>
      </c>
      <c r="AA279" s="4">
        <f>IF(Y279&lt;&gt;0,B279,"")</f>
        <v>1146738</v>
      </c>
      <c r="AB279" s="4" t="str">
        <f t="shared" si="33"/>
        <v/>
      </c>
      <c r="AD279" s="4">
        <f t="shared" si="34"/>
        <v>14</v>
      </c>
      <c r="AI279" s="248" t="str">
        <f>IFERROR(INDEX($B$1:$AK$243,MATCH(W279,$B$1:$B$243,0),13),"")</f>
        <v/>
      </c>
      <c r="AJ279" s="248" t="str">
        <f>IFERROR(INDEX($B$1:$AK$243,MATCH(W279,$B$1:$B$243,0),15),"")</f>
        <v/>
      </c>
      <c r="AK279">
        <f>SUMIF($W$2:$W$243,B279,$S$2:$S$243)</f>
        <v>0</v>
      </c>
      <c r="AN279" s="4"/>
      <c r="AO279" s="4"/>
      <c r="AP279">
        <f t="shared" si="35"/>
        <v>30</v>
      </c>
      <c r="AQ279" s="4"/>
      <c r="AR279" s="4">
        <v>2001155</v>
      </c>
      <c r="AS279">
        <f>SUMIF($B:$B,AR279,$AP:$AP)</f>
        <v>0</v>
      </c>
    </row>
    <row r="280" spans="1:45" ht="18.75" customHeight="1" x14ac:dyDescent="0.35">
      <c r="A280" s="636">
        <v>285</v>
      </c>
      <c r="B280" s="209">
        <v>1192902</v>
      </c>
      <c r="C280" s="2" t="s">
        <v>4419</v>
      </c>
      <c r="D280" s="2" t="s">
        <v>4114</v>
      </c>
      <c r="E280" s="2">
        <v>1218</v>
      </c>
      <c r="F280" s="2" t="s">
        <v>103</v>
      </c>
      <c r="G280" s="2" t="s">
        <v>36</v>
      </c>
      <c r="H280" s="10">
        <f>SUMIFS('Cutters Consumption Updates'!$F:$F,'Cutters Consumption Updates'!$D:$D,H$1,'Cutters Consumption Updates'!$B:$B,$B280)-SUMIFS('Cutters Consumption Updates'!$E:$E,'Cutters Consumption Updates'!$D:$D,H$1,'Cutters Consumption Updates'!$B:$B,$B280)+ SUMIF('Cutters Consumption Updates'!$AS:$AS,$B280,'Cutters Consumption Updates'!AT:AT)</f>
        <v>0</v>
      </c>
      <c r="I280" s="10">
        <f>SUMIFS('Cutters Consumption Updates'!$F:$F,'Cutters Consumption Updates'!$D:$D,I$1,'Cutters Consumption Updates'!$B:$B,$B280)-SUMIFS('Cutters Consumption Updates'!$E:$E,'Cutters Consumption Updates'!$D:$D,I$1,'Cutters Consumption Updates'!$B:$B,$B280)+ SUMIF('Cutters Consumption Updates'!$AS:$AS,$B280,'Cutters Consumption Updates'!AU:AU)</f>
        <v>0</v>
      </c>
      <c r="J280" s="116">
        <f>SUMIFS('Cutters Consumption Updates'!$F:$F,'Cutters Consumption Updates'!$D:$D,J$1,'Cutters Consumption Updates'!$B:$B,$B280)-SUMIFS('Cutters Consumption Updates'!$E:$E,'Cutters Consumption Updates'!$D:$D,J$1,'Cutters Consumption Updates'!$B:$B,$B280)+ SUMIF('Cutters Consumption Updates'!$AS:$AS,$B280,'Cutters Consumption Updates'!AV:AV)</f>
        <v>0</v>
      </c>
      <c r="K280" s="738">
        <f>SUMIFS('Cutters Consumption Updates'!$F:$F,'Cutters Consumption Updates'!$D:$D,K$1,'Cutters Consumption Updates'!$B:$B,$B280)-SUMIFS('Cutters Consumption Updates'!$E:$E,'Cutters Consumption Updates'!$D:$D,K$1,'Cutters Consumption Updates'!$B:$B,$B280)+ SUMIF('Cutters Consumption Updates'!$AS:$AS,$B280,'Cutters Consumption Updates'!AW:AW)</f>
        <v>0</v>
      </c>
      <c r="L280" s="116">
        <f>SUMIFS('Cutters Consumption Updates'!$F:$F,'Cutters Consumption Updates'!$D:$D,L$1,'Cutters Consumption Updates'!$B:$B,$B280)-SUMIFS('Cutters Consumption Updates'!$E:$E,'Cutters Consumption Updates'!$D:$D,$L$1,'Cutters Consumption Updates'!$B:$B,$B280)+SUMIFS('Cutters Consumption Updates'!$F:$F,'Cutters Consumption Updates'!$D:$D,"Retrofit",'Cutters Consumption Updates'!$B:$B,$B280)-SUMIFS('Cutters Consumption Updates'!$E:$E,'Cutters Consumption Updates'!$D:$D,"Retrofit",'Cutters Consumption Updates'!$B:$B,$B280)+ SUMIF('Cutters Consumption Updates'!$AS:$AS,$B280,'Cutters Consumption Updates'!AX:AX)</f>
        <v>-43</v>
      </c>
      <c r="M280" s="810">
        <f t="shared" si="29"/>
        <v>-43</v>
      </c>
      <c r="N280" s="810">
        <f ca="1">SUMIFS('Cutters Consumption Updates'!E:E,
        'Cutters Consumption Updates'!B:B, B280,
        'Cutters Consumption Updates'!A:A, "&gt;" &amp; TODAY()-182)</f>
        <v>63</v>
      </c>
      <c r="O280" s="810">
        <f ca="1">SUMIFS('Cutters Consumption Updates'!E:E,
        'Cutters Consumption Updates'!B:B, B280,
        'Cutters Consumption Updates'!A:A, "&gt;" &amp; TODAY()-91)</f>
        <v>63</v>
      </c>
      <c r="P280" s="810">
        <f t="shared" ca="1" si="30"/>
        <v>21</v>
      </c>
      <c r="Q280" s="703">
        <f t="shared" ca="1" si="31"/>
        <v>25</v>
      </c>
      <c r="R280" s="703" t="s">
        <v>29</v>
      </c>
      <c r="S280" s="24">
        <f>IFERROR(INDEX(Table5[],MATCH($B280,Table5[Component],0),2),0)</f>
        <v>15</v>
      </c>
      <c r="T280" s="814">
        <v>50</v>
      </c>
      <c r="U280" s="24">
        <f t="shared" si="32"/>
        <v>-8</v>
      </c>
      <c r="V280" s="119"/>
      <c r="W280" s="2"/>
      <c r="Y280" s="4">
        <f>IFERROR(INDEX(Table5[],MATCH($B280,Table5[Component],0),2),0)</f>
        <v>15</v>
      </c>
      <c r="Z280" s="4">
        <f>IFERROR(INDEX(Table5[],MATCH($B280,Table5[Component],0),1),0)</f>
        <v>1192902</v>
      </c>
      <c r="AA280" s="4">
        <f>IF(Y280&lt;&gt;0,B280,"")</f>
        <v>1192902</v>
      </c>
      <c r="AB280" s="4" t="str">
        <f t="shared" si="33"/>
        <v/>
      </c>
      <c r="AD280" s="4">
        <f t="shared" si="34"/>
        <v>-43</v>
      </c>
      <c r="AI280" s="248" t="str">
        <f>IFERROR(INDEX($B$1:$AK$243,MATCH(W280,$B$1:$B$243,0),13),"")</f>
        <v/>
      </c>
      <c r="AJ280" s="248" t="str">
        <f>IFERROR(INDEX($B$1:$AK$243,MATCH(W280,$B$1:$B$243,0),15),"")</f>
        <v/>
      </c>
      <c r="AK280">
        <f>SUMIF($W$2:$W$243,B280,$S$2:$S$243)</f>
        <v>0</v>
      </c>
      <c r="AN280" s="4"/>
      <c r="AO280" s="4"/>
      <c r="AP280">
        <f t="shared" si="35"/>
        <v>50</v>
      </c>
      <c r="AQ280" s="4"/>
      <c r="AR280" s="4">
        <v>2001657</v>
      </c>
      <c r="AS280">
        <f>SUMIF($B:$B,AR280,$AP:$AP)</f>
        <v>0</v>
      </c>
    </row>
    <row r="281" spans="1:45" ht="18.75" customHeight="1" x14ac:dyDescent="0.35">
      <c r="A281" s="636">
        <v>286</v>
      </c>
      <c r="B281" s="209">
        <v>1126400</v>
      </c>
      <c r="C281" s="2" t="s">
        <v>3658</v>
      </c>
      <c r="D281" s="2" t="s">
        <v>133</v>
      </c>
      <c r="E281" s="2">
        <v>1313</v>
      </c>
      <c r="F281" s="2" t="s">
        <v>177</v>
      </c>
      <c r="G281" s="2" t="s">
        <v>4275</v>
      </c>
      <c r="H281" s="10">
        <f>SUMIFS('Cutters Consumption Updates'!$F:$F,'Cutters Consumption Updates'!$D:$D,H$1,'Cutters Consumption Updates'!$B:$B,$B281)-SUMIFS('Cutters Consumption Updates'!$E:$E,'Cutters Consumption Updates'!$D:$D,H$1,'Cutters Consumption Updates'!$B:$B,$B281)+ SUMIF('Cutters Consumption Updates'!$AS:$AS,$B281,'Cutters Consumption Updates'!AT:AT)</f>
        <v>0</v>
      </c>
      <c r="I281" s="10">
        <f>SUMIFS('Cutters Consumption Updates'!$F:$F,'Cutters Consumption Updates'!$D:$D,I$1,'Cutters Consumption Updates'!$B:$B,$B281)-SUMIFS('Cutters Consumption Updates'!$E:$E,'Cutters Consumption Updates'!$D:$D,I$1,'Cutters Consumption Updates'!$B:$B,$B281)+ SUMIF('Cutters Consumption Updates'!$AS:$AS,$B281,'Cutters Consumption Updates'!AU:AU)</f>
        <v>0</v>
      </c>
      <c r="J281" s="116">
        <f>SUMIFS('Cutters Consumption Updates'!$F:$F,'Cutters Consumption Updates'!$D:$D,J$1,'Cutters Consumption Updates'!$B:$B,$B281)-SUMIFS('Cutters Consumption Updates'!$E:$E,'Cutters Consumption Updates'!$D:$D,J$1,'Cutters Consumption Updates'!$B:$B,$B281)+ SUMIF('Cutters Consumption Updates'!$AS:$AS,$B281,'Cutters Consumption Updates'!AV:AV)</f>
        <v>0</v>
      </c>
      <c r="K281" s="738">
        <f>SUMIFS('Cutters Consumption Updates'!$F:$F,'Cutters Consumption Updates'!$D:$D,K$1,'Cutters Consumption Updates'!$B:$B,$B281)-SUMIFS('Cutters Consumption Updates'!$E:$E,'Cutters Consumption Updates'!$D:$D,K$1,'Cutters Consumption Updates'!$B:$B,$B281)+ SUMIF('Cutters Consumption Updates'!$AS:$AS,$B281,'Cutters Consumption Updates'!AW:AW)</f>
        <v>0</v>
      </c>
      <c r="L281" s="116">
        <f>SUMIFS('Cutters Consumption Updates'!$F:$F,'Cutters Consumption Updates'!$D:$D,L$1,'Cutters Consumption Updates'!$B:$B,$B281)-SUMIFS('Cutters Consumption Updates'!$E:$E,'Cutters Consumption Updates'!$D:$D,$L$1,'Cutters Consumption Updates'!$B:$B,$B281)+SUMIFS('Cutters Consumption Updates'!$F:$F,'Cutters Consumption Updates'!$D:$D,"Retrofit",'Cutters Consumption Updates'!$B:$B,$B281)-SUMIFS('Cutters Consumption Updates'!$E:$E,'Cutters Consumption Updates'!$D:$D,"Retrofit",'Cutters Consumption Updates'!$B:$B,$B281)+ SUMIF('Cutters Consumption Updates'!$AS:$AS,$B281,'Cutters Consumption Updates'!AX:AX)</f>
        <v>26</v>
      </c>
      <c r="M281" s="810">
        <f t="shared" si="29"/>
        <v>26</v>
      </c>
      <c r="N281" s="810">
        <f ca="1">SUMIFS('Cutters Consumption Updates'!E:E,
        'Cutters Consumption Updates'!B:B, B281,
        'Cutters Consumption Updates'!A:A, "&gt;" &amp; TODAY()-182)</f>
        <v>44</v>
      </c>
      <c r="O281" s="810">
        <f ca="1">SUMIFS('Cutters Consumption Updates'!E:E,
        'Cutters Consumption Updates'!B:B, B281,
        'Cutters Consumption Updates'!A:A, "&gt;" &amp; TODAY()-91)</f>
        <v>44</v>
      </c>
      <c r="P281" s="810">
        <f t="shared" ca="1" si="30"/>
        <v>15</v>
      </c>
      <c r="Q281" s="703">
        <f t="shared" ca="1" si="31"/>
        <v>20</v>
      </c>
      <c r="R281" s="703" t="s">
        <v>89</v>
      </c>
      <c r="S281" s="24">
        <f>IFERROR(INDEX(Table5[],MATCH($B281,Table5[Component],0),2),0)</f>
        <v>14</v>
      </c>
      <c r="T281" s="813">
        <f>SUMIFS(Table7[Balance],Table7[Cutter Mat'#],$B281)</f>
        <v>0</v>
      </c>
      <c r="U281" s="24">
        <f t="shared" si="32"/>
        <v>12</v>
      </c>
      <c r="V281" s="119"/>
      <c r="W281" s="2"/>
      <c r="Y281" s="4">
        <f>IFERROR(INDEX(Table5[],MATCH($B281,Table5[Component],0),2),0)</f>
        <v>14</v>
      </c>
      <c r="Z281" s="4">
        <f>IFERROR(INDEX(Table5[],MATCH($B281,Table5[Component],0),1),0)</f>
        <v>1126400</v>
      </c>
      <c r="AA281" s="4">
        <f>IF(Y281&lt;&gt;0,B281,"")</f>
        <v>1126400</v>
      </c>
      <c r="AB281" s="4" t="str">
        <f t="shared" si="33"/>
        <v/>
      </c>
      <c r="AD281" s="4">
        <f t="shared" si="34"/>
        <v>26</v>
      </c>
      <c r="AI281" s="248" t="str">
        <f>IFERROR(INDEX($B$1:$AK$243,MATCH(W281,$B$1:$B$243,0),13),"")</f>
        <v/>
      </c>
      <c r="AJ281" s="248" t="str">
        <f>IFERROR(INDEX($B$1:$AK$243,MATCH(W281,$B$1:$B$243,0),15),"")</f>
        <v/>
      </c>
      <c r="AK281">
        <f>SUMIF($W$2:$W$243,B281,$S$2:$S$243)</f>
        <v>0</v>
      </c>
      <c r="AN281" s="4"/>
      <c r="AO281" s="4"/>
      <c r="AP281">
        <f t="shared" si="35"/>
        <v>0</v>
      </c>
      <c r="AQ281" s="4"/>
      <c r="AR281" s="4">
        <v>2002126</v>
      </c>
      <c r="AS281">
        <f>SUMIF($B:$B,AR281,$AP:$AP)</f>
        <v>0</v>
      </c>
    </row>
    <row r="282" spans="1:45" ht="18.75" customHeight="1" x14ac:dyDescent="0.35">
      <c r="A282" s="250">
        <v>287</v>
      </c>
      <c r="B282" s="209">
        <v>2017131</v>
      </c>
      <c r="C282" s="2" t="s">
        <v>4420</v>
      </c>
      <c r="D282" s="2" t="s">
        <v>4246</v>
      </c>
      <c r="E282" s="2">
        <v>1313</v>
      </c>
      <c r="F282" s="2" t="s">
        <v>170</v>
      </c>
      <c r="G282" s="2" t="s">
        <v>4407</v>
      </c>
      <c r="H282" s="10">
        <f>SUMIFS('Cutters Consumption Updates'!$F:$F,'Cutters Consumption Updates'!$D:$D,H$1,'Cutters Consumption Updates'!$B:$B,$B282)-SUMIFS('Cutters Consumption Updates'!$E:$E,'Cutters Consumption Updates'!$D:$D,H$1,'Cutters Consumption Updates'!$B:$B,$B282)+ SUMIF('Cutters Consumption Updates'!$AS:$AS,$B282,'Cutters Consumption Updates'!AT:AT)</f>
        <v>0</v>
      </c>
      <c r="I282" s="10">
        <f>SUMIFS('Cutters Consumption Updates'!$F:$F,'Cutters Consumption Updates'!$D:$D,I$1,'Cutters Consumption Updates'!$B:$B,$B282)-SUMIFS('Cutters Consumption Updates'!$E:$E,'Cutters Consumption Updates'!$D:$D,I$1,'Cutters Consumption Updates'!$B:$B,$B282)+ SUMIF('Cutters Consumption Updates'!$AS:$AS,$B282,'Cutters Consumption Updates'!AU:AU)</f>
        <v>0</v>
      </c>
      <c r="J282" s="116">
        <f>SUMIFS('Cutters Consumption Updates'!$F:$F,'Cutters Consumption Updates'!$D:$D,J$1,'Cutters Consumption Updates'!$B:$B,$B282)-SUMIFS('Cutters Consumption Updates'!$E:$E,'Cutters Consumption Updates'!$D:$D,J$1,'Cutters Consumption Updates'!$B:$B,$B282)+ SUMIF('Cutters Consumption Updates'!$AS:$AS,$B282,'Cutters Consumption Updates'!AV:AV)</f>
        <v>0</v>
      </c>
      <c r="K282" s="738">
        <f>SUMIFS('Cutters Consumption Updates'!$F:$F,'Cutters Consumption Updates'!$D:$D,K$1,'Cutters Consumption Updates'!$B:$B,$B282)-SUMIFS('Cutters Consumption Updates'!$E:$E,'Cutters Consumption Updates'!$D:$D,K$1,'Cutters Consumption Updates'!$B:$B,$B282)+ SUMIF('Cutters Consumption Updates'!$AS:$AS,$B282,'Cutters Consumption Updates'!AW:AW)</f>
        <v>0</v>
      </c>
      <c r="L282" s="116">
        <f>SUMIFS('Cutters Consumption Updates'!$F:$F,'Cutters Consumption Updates'!$D:$D,L$1,'Cutters Consumption Updates'!$B:$B,$B282)-SUMIFS('Cutters Consumption Updates'!$E:$E,'Cutters Consumption Updates'!$D:$D,$L$1,'Cutters Consumption Updates'!$B:$B,$B282)+SUMIFS('Cutters Consumption Updates'!$F:$F,'Cutters Consumption Updates'!$D:$D,"Retrofit",'Cutters Consumption Updates'!$B:$B,$B282)-SUMIFS('Cutters Consumption Updates'!$E:$E,'Cutters Consumption Updates'!$D:$D,"Retrofit",'Cutters Consumption Updates'!$B:$B,$B282)+ SUMIF('Cutters Consumption Updates'!$AS:$AS,$B282,'Cutters Consumption Updates'!AX:AX)</f>
        <v>28</v>
      </c>
      <c r="M282" s="810">
        <f t="shared" si="29"/>
        <v>28</v>
      </c>
      <c r="N282" s="810">
        <f ca="1">SUMIFS('Cutters Consumption Updates'!E:E,
        'Cutters Consumption Updates'!B:B, B282,
        'Cutters Consumption Updates'!A:A, "&gt;" &amp; TODAY()-182)</f>
        <v>12</v>
      </c>
      <c r="O282" s="810">
        <f ca="1">SUMIFS('Cutters Consumption Updates'!E:E,
        'Cutters Consumption Updates'!B:B, B282,
        'Cutters Consumption Updates'!A:A, "&gt;" &amp; TODAY()-91)</f>
        <v>12</v>
      </c>
      <c r="P282" s="810">
        <f t="shared" ca="1" si="30"/>
        <v>4</v>
      </c>
      <c r="Q282" s="703">
        <f t="shared" ca="1" si="31"/>
        <v>5</v>
      </c>
      <c r="R282" s="703" t="s">
        <v>29</v>
      </c>
      <c r="S282" s="24">
        <f>IFERROR(INDEX(Table5[],MATCH($B282,Table5[Component],0),2),0)</f>
        <v>0</v>
      </c>
      <c r="T282" s="813">
        <f>SUMIFS(Table7[Balance],Table7[Cutter Mat'#],$B282)</f>
        <v>0</v>
      </c>
      <c r="U282" s="24">
        <f t="shared" si="32"/>
        <v>28</v>
      </c>
      <c r="V282" s="119"/>
      <c r="W282" s="2"/>
      <c r="Y282" s="4">
        <f>IFERROR(INDEX(Table5[],MATCH($B282,Table5[Component],0),2),0)</f>
        <v>0</v>
      </c>
      <c r="Z282" s="4">
        <f>IFERROR(INDEX(Table5[],MATCH($B282,Table5[Component],0),1),0)</f>
        <v>0</v>
      </c>
      <c r="AA282" s="4" t="str">
        <f>IF(Y282&lt;&gt;0,B282,"")</f>
        <v/>
      </c>
      <c r="AB282" s="4" t="str">
        <f t="shared" si="33"/>
        <v/>
      </c>
      <c r="AD282" s="4">
        <f t="shared" si="34"/>
        <v>28</v>
      </c>
      <c r="AI282" s="248" t="str">
        <f>IFERROR(INDEX($B$1:$AK$243,MATCH(W282,$B$1:$B$243,0),13),"")</f>
        <v/>
      </c>
      <c r="AJ282" s="248" t="str">
        <f>IFERROR(INDEX($B$1:$AK$243,MATCH(W282,$B$1:$B$243,0),15),"")</f>
        <v/>
      </c>
      <c r="AK282">
        <f>SUMIF($W$2:$W$243,B282,$S$2:$S$243)</f>
        <v>0</v>
      </c>
      <c r="AN282" s="4"/>
      <c r="AO282" s="4"/>
      <c r="AP282">
        <f t="shared" si="35"/>
        <v>0</v>
      </c>
      <c r="AQ282" s="4"/>
      <c r="AR282" s="4">
        <v>2002186</v>
      </c>
      <c r="AS282">
        <f>SUMIF($B:$B,AR282,$AP:$AP)</f>
        <v>0</v>
      </c>
    </row>
    <row r="283" spans="1:45" ht="18.75" customHeight="1" x14ac:dyDescent="0.35">
      <c r="A283" s="250">
        <v>288</v>
      </c>
      <c r="B283" s="209">
        <v>1126398</v>
      </c>
      <c r="C283" s="2" t="s">
        <v>3662</v>
      </c>
      <c r="D283" s="2" t="s">
        <v>133</v>
      </c>
      <c r="E283" s="2">
        <v>1308</v>
      </c>
      <c r="F283" s="2" t="s">
        <v>177</v>
      </c>
      <c r="G283" s="2" t="s">
        <v>4275</v>
      </c>
      <c r="H283" s="10">
        <f>SUMIFS('Cutters Consumption Updates'!$F:$F,'Cutters Consumption Updates'!$D:$D,H$1,'Cutters Consumption Updates'!$B:$B,$B283)-SUMIFS('Cutters Consumption Updates'!$E:$E,'Cutters Consumption Updates'!$D:$D,H$1,'Cutters Consumption Updates'!$B:$B,$B283)+ SUMIF('Cutters Consumption Updates'!$AS:$AS,$B283,'Cutters Consumption Updates'!AT:AT)</f>
        <v>0</v>
      </c>
      <c r="I283" s="10">
        <f>SUMIFS('Cutters Consumption Updates'!$F:$F,'Cutters Consumption Updates'!$D:$D,I$1,'Cutters Consumption Updates'!$B:$B,$B283)-SUMIFS('Cutters Consumption Updates'!$E:$E,'Cutters Consumption Updates'!$D:$D,I$1,'Cutters Consumption Updates'!$B:$B,$B283)+ SUMIF('Cutters Consumption Updates'!$AS:$AS,$B283,'Cutters Consumption Updates'!AU:AU)</f>
        <v>0</v>
      </c>
      <c r="J283" s="116">
        <f>SUMIFS('Cutters Consumption Updates'!$F:$F,'Cutters Consumption Updates'!$D:$D,J$1,'Cutters Consumption Updates'!$B:$B,$B283)-SUMIFS('Cutters Consumption Updates'!$E:$E,'Cutters Consumption Updates'!$D:$D,J$1,'Cutters Consumption Updates'!$B:$B,$B283)+ SUMIF('Cutters Consumption Updates'!$AS:$AS,$B283,'Cutters Consumption Updates'!AV:AV)</f>
        <v>0</v>
      </c>
      <c r="K283" s="738">
        <f>SUMIFS('Cutters Consumption Updates'!$F:$F,'Cutters Consumption Updates'!$D:$D,K$1,'Cutters Consumption Updates'!$B:$B,$B283)-SUMIFS('Cutters Consumption Updates'!$E:$E,'Cutters Consumption Updates'!$D:$D,K$1,'Cutters Consumption Updates'!$B:$B,$B283)+ SUMIF('Cutters Consumption Updates'!$AS:$AS,$B283,'Cutters Consumption Updates'!AW:AW)</f>
        <v>0</v>
      </c>
      <c r="L283" s="116">
        <f>SUMIFS('Cutters Consumption Updates'!$F:$F,'Cutters Consumption Updates'!$D:$D,L$1,'Cutters Consumption Updates'!$B:$B,$B283)-SUMIFS('Cutters Consumption Updates'!$E:$E,'Cutters Consumption Updates'!$D:$D,$L$1,'Cutters Consumption Updates'!$B:$B,$B283)+SUMIFS('Cutters Consumption Updates'!$F:$F,'Cutters Consumption Updates'!$D:$D,"Retrofit",'Cutters Consumption Updates'!$B:$B,$B283)-SUMIFS('Cutters Consumption Updates'!$E:$E,'Cutters Consumption Updates'!$D:$D,"Retrofit",'Cutters Consumption Updates'!$B:$B,$B283)+ SUMIF('Cutters Consumption Updates'!$AS:$AS,$B283,'Cutters Consumption Updates'!AX:AX)</f>
        <v>20</v>
      </c>
      <c r="M283" s="810">
        <f t="shared" si="29"/>
        <v>20</v>
      </c>
      <c r="N283" s="810">
        <f ca="1">SUMIFS('Cutters Consumption Updates'!E:E,
        'Cutters Consumption Updates'!B:B, B283,
        'Cutters Consumption Updates'!A:A, "&gt;" &amp; TODAY()-182)</f>
        <v>0</v>
      </c>
      <c r="O283" s="810">
        <f ca="1">SUMIFS('Cutters Consumption Updates'!E:E,
        'Cutters Consumption Updates'!B:B, B283,
        'Cutters Consumption Updates'!A:A, "&gt;" &amp; TODAY()-91)</f>
        <v>0</v>
      </c>
      <c r="P283" s="810">
        <f ca="1">SUMIFS('Cutters Consumption Updates'!F:F,
        'Cutters Consumption Updates'!C:C,#REF!,
        'Cutters Consumption Updates'!B:B, "&gt;" &amp; TODAY()-91)</f>
        <v>0</v>
      </c>
      <c r="Q283" s="703">
        <f t="shared" ca="1" si="31"/>
        <v>0</v>
      </c>
      <c r="R283" s="705" t="s">
        <v>118</v>
      </c>
      <c r="S283" s="24">
        <f>IFERROR(INDEX(Table5[],MATCH($B283,Table5[Component],0),2),0)</f>
        <v>0</v>
      </c>
      <c r="T283" s="813">
        <f>SUMIFS(Table7[Balance],Table7[Cutter Mat'#],$B283)</f>
        <v>0</v>
      </c>
      <c r="U283" s="24">
        <f t="shared" si="32"/>
        <v>20</v>
      </c>
      <c r="V283" s="119"/>
      <c r="W283" s="2"/>
      <c r="Y283" s="4">
        <f>IFERROR(INDEX(Table5[],MATCH($B283,Table5[Component],0),2),0)</f>
        <v>0</v>
      </c>
      <c r="Z283" s="4">
        <f>IFERROR(INDEX(Table5[],MATCH($B283,Table5[Component],0),1),0)</f>
        <v>0</v>
      </c>
      <c r="AA283" s="4" t="str">
        <f>IF(Y283&lt;&gt;0,B283,"")</f>
        <v/>
      </c>
      <c r="AB283" s="4" t="str">
        <f t="shared" si="33"/>
        <v/>
      </c>
      <c r="AD283" s="4">
        <f t="shared" si="34"/>
        <v>20</v>
      </c>
      <c r="AI283" s="248" t="str">
        <f>IFERROR(INDEX($B$1:$AK$243,MATCH(W283,$B$1:$B$243,0),13),"")</f>
        <v/>
      </c>
      <c r="AJ283" s="248" t="str">
        <f>IFERROR(INDEX($B$1:$AK$243,MATCH(W283,$B$1:$B$243,0),15),"")</f>
        <v/>
      </c>
      <c r="AK283">
        <f>SUMIF($W$2:$W$243,B283,$S$2:$S$243)</f>
        <v>0</v>
      </c>
      <c r="AN283" s="4"/>
      <c r="AO283" s="4"/>
      <c r="AP283">
        <f t="shared" si="35"/>
        <v>0</v>
      </c>
      <c r="AQ283" s="4"/>
      <c r="AR283" s="4">
        <v>2002235</v>
      </c>
      <c r="AS283">
        <f>SUMIF($B:$B,AR283,$AP:$AP)</f>
        <v>0</v>
      </c>
    </row>
    <row r="284" spans="1:45" ht="18.649999999999999" customHeight="1" x14ac:dyDescent="0.35">
      <c r="A284" s="250">
        <v>289</v>
      </c>
      <c r="B284" s="209">
        <v>1220479</v>
      </c>
      <c r="C284" s="2" t="s">
        <v>4421</v>
      </c>
      <c r="D284" s="2" t="s">
        <v>244</v>
      </c>
      <c r="E284" s="2">
        <v>1613</v>
      </c>
      <c r="F284" s="2" t="s">
        <v>253</v>
      </c>
      <c r="G284" s="2" t="s">
        <v>4412</v>
      </c>
      <c r="H284" s="10">
        <f>SUMIFS('Cutters Consumption Updates'!$F:$F,'Cutters Consumption Updates'!$D:$D,H$1,'Cutters Consumption Updates'!$B:$B,$B284)-SUMIFS('Cutters Consumption Updates'!$E:$E,'Cutters Consumption Updates'!$D:$D,H$1,'Cutters Consumption Updates'!$B:$B,$B284)+ SUMIF('Cutters Consumption Updates'!$AS:$AS,$B284,'Cutters Consumption Updates'!AT:AT)</f>
        <v>0</v>
      </c>
      <c r="I284" s="10">
        <f>SUMIFS('Cutters Consumption Updates'!$F:$F,'Cutters Consumption Updates'!$D:$D,I$1,'Cutters Consumption Updates'!$B:$B,$B284)-SUMIFS('Cutters Consumption Updates'!$E:$E,'Cutters Consumption Updates'!$D:$D,I$1,'Cutters Consumption Updates'!$B:$B,$B284)+ SUMIF('Cutters Consumption Updates'!$AS:$AS,$B284,'Cutters Consumption Updates'!AU:AU)</f>
        <v>0</v>
      </c>
      <c r="J284" s="116">
        <f>SUMIFS('Cutters Consumption Updates'!$F:$F,'Cutters Consumption Updates'!$D:$D,J$1,'Cutters Consumption Updates'!$B:$B,$B284)-SUMIFS('Cutters Consumption Updates'!$E:$E,'Cutters Consumption Updates'!$D:$D,J$1,'Cutters Consumption Updates'!$B:$B,$B284)+ SUMIF('Cutters Consumption Updates'!$AS:$AS,$B284,'Cutters Consumption Updates'!AV:AV)</f>
        <v>0</v>
      </c>
      <c r="K284" s="738">
        <f>SUMIFS('Cutters Consumption Updates'!$F:$F,'Cutters Consumption Updates'!$D:$D,K$1,'Cutters Consumption Updates'!$B:$B,$B284)-SUMIFS('Cutters Consumption Updates'!$E:$E,'Cutters Consumption Updates'!$D:$D,K$1,'Cutters Consumption Updates'!$B:$B,$B284)+ SUMIF('Cutters Consumption Updates'!$AS:$AS,$B284,'Cutters Consumption Updates'!AW:AW)</f>
        <v>0</v>
      </c>
      <c r="L284" s="116">
        <f>SUMIFS('Cutters Consumption Updates'!$F:$F,'Cutters Consumption Updates'!$D:$D,L$1,'Cutters Consumption Updates'!$B:$B,$B284)-SUMIFS('Cutters Consumption Updates'!$E:$E,'Cutters Consumption Updates'!$D:$D,$L$1,'Cutters Consumption Updates'!$B:$B,$B284)+SUMIFS('Cutters Consumption Updates'!$F:$F,'Cutters Consumption Updates'!$D:$D,"Retrofit",'Cutters Consumption Updates'!$B:$B,$B284)-SUMIFS('Cutters Consumption Updates'!$E:$E,'Cutters Consumption Updates'!$D:$D,"Retrofit",'Cutters Consumption Updates'!$B:$B,$B284)+ SUMIF('Cutters Consumption Updates'!$AS:$AS,$B284,'Cutters Consumption Updates'!AX:AX)</f>
        <v>3</v>
      </c>
      <c r="M284" s="810">
        <f t="shared" si="29"/>
        <v>3</v>
      </c>
      <c r="N284" s="810">
        <f ca="1">SUMIFS('Cutters Consumption Updates'!E:E,
        'Cutters Consumption Updates'!B:B, B284,
        'Cutters Consumption Updates'!A:A, "&gt;" &amp; TODAY()-182)</f>
        <v>2</v>
      </c>
      <c r="O284" s="810">
        <f ca="1">SUMIFS('Cutters Consumption Updates'!E:E,
        'Cutters Consumption Updates'!B:B, B284,
        'Cutters Consumption Updates'!A:A, "&gt;" &amp; TODAY()-91)</f>
        <v>1</v>
      </c>
      <c r="P284" s="811"/>
      <c r="Q284" s="703">
        <f t="shared" si="31"/>
        <v>0</v>
      </c>
      <c r="R284" s="703" t="s">
        <v>29</v>
      </c>
      <c r="S284" s="24">
        <f>IFERROR(INDEX(Table5[],MATCH($B284,Table5[Component],0),2),0)</f>
        <v>0</v>
      </c>
      <c r="T284" s="813">
        <f>SUMIFS(Table7[Balance],Table7[Cutter Mat'#],$B284)</f>
        <v>0</v>
      </c>
      <c r="U284" s="24">
        <f t="shared" si="32"/>
        <v>3</v>
      </c>
      <c r="V284" s="119"/>
      <c r="W284" s="2"/>
      <c r="Y284" s="4">
        <f>IFERROR(INDEX(Table5[],MATCH($B284,Table5[Component],0),2),0)</f>
        <v>0</v>
      </c>
      <c r="Z284" s="4">
        <f>IFERROR(INDEX(Table5[],MATCH($B284,Table5[Component],0),1),0)</f>
        <v>0</v>
      </c>
      <c r="AA284" s="4" t="str">
        <f>IF(Y284&lt;&gt;0,B284,"")</f>
        <v/>
      </c>
      <c r="AB284" s="4" t="str">
        <f t="shared" si="33"/>
        <v/>
      </c>
      <c r="AD284" s="4">
        <f t="shared" si="34"/>
        <v>3</v>
      </c>
      <c r="AI284" s="248" t="str">
        <f>IFERROR(INDEX($B$1:$AK$243,MATCH(W284,$B$1:$B$243,0),13),"")</f>
        <v/>
      </c>
      <c r="AJ284" s="248" t="str">
        <f>IFERROR(INDEX($B$1:$AK$243,MATCH(W284,$B$1:$B$243,0),15),"")</f>
        <v/>
      </c>
      <c r="AK284">
        <f>SUMIF($W$2:$W$243,B284,$S$2:$S$243)</f>
        <v>0</v>
      </c>
      <c r="AN284" s="4"/>
      <c r="AO284" s="4"/>
      <c r="AP284">
        <f t="shared" si="35"/>
        <v>0</v>
      </c>
      <c r="AQ284" s="4"/>
      <c r="AR284" s="4">
        <v>2002243</v>
      </c>
      <c r="AS284">
        <f>SUMIF($B:$B,AR284,$AP:$AP)</f>
        <v>0</v>
      </c>
    </row>
    <row r="285" spans="1:45" ht="18.75" customHeight="1" x14ac:dyDescent="0.35">
      <c r="A285" s="250">
        <v>290</v>
      </c>
      <c r="B285" s="209">
        <v>1172481</v>
      </c>
      <c r="C285" s="2" t="s">
        <v>4422</v>
      </c>
      <c r="D285" s="2" t="s">
        <v>4499</v>
      </c>
      <c r="E285" s="2" t="s">
        <v>38</v>
      </c>
      <c r="F285" s="2" t="s">
        <v>103</v>
      </c>
      <c r="G285" s="2" t="s">
        <v>36</v>
      </c>
      <c r="H285" s="10">
        <f>SUMIFS('Cutters Consumption Updates'!$F:$F,'Cutters Consumption Updates'!$D:$D,H$1,'Cutters Consumption Updates'!$B:$B,$B285)-SUMIFS('Cutters Consumption Updates'!$E:$E,'Cutters Consumption Updates'!$D:$D,H$1,'Cutters Consumption Updates'!$B:$B,$B285)+ SUMIF('Cutters Consumption Updates'!$AS:$AS,$B285,'Cutters Consumption Updates'!AT:AT)</f>
        <v>0</v>
      </c>
      <c r="I285" s="10">
        <f>SUMIFS('Cutters Consumption Updates'!$F:$F,'Cutters Consumption Updates'!$D:$D,I$1,'Cutters Consumption Updates'!$B:$B,$B285)-SUMIFS('Cutters Consumption Updates'!$E:$E,'Cutters Consumption Updates'!$D:$D,I$1,'Cutters Consumption Updates'!$B:$B,$B285)+ SUMIF('Cutters Consumption Updates'!$AS:$AS,$B285,'Cutters Consumption Updates'!AU:AU)</f>
        <v>0</v>
      </c>
      <c r="J285" s="116">
        <f>SUMIFS('Cutters Consumption Updates'!$F:$F,'Cutters Consumption Updates'!$D:$D,J$1,'Cutters Consumption Updates'!$B:$B,$B285)-SUMIFS('Cutters Consumption Updates'!$E:$E,'Cutters Consumption Updates'!$D:$D,J$1,'Cutters Consumption Updates'!$B:$B,$B285)+ SUMIF('Cutters Consumption Updates'!$AS:$AS,$B285,'Cutters Consumption Updates'!AV:AV)</f>
        <v>0</v>
      </c>
      <c r="K285" s="738">
        <f>SUMIFS('Cutters Consumption Updates'!$F:$F,'Cutters Consumption Updates'!$D:$D,K$1,'Cutters Consumption Updates'!$B:$B,$B285)-SUMIFS('Cutters Consumption Updates'!$E:$E,'Cutters Consumption Updates'!$D:$D,K$1,'Cutters Consumption Updates'!$B:$B,$B285)+ SUMIF('Cutters Consumption Updates'!$AS:$AS,$B285,'Cutters Consumption Updates'!AW:AW)</f>
        <v>0</v>
      </c>
      <c r="L285" s="116">
        <f>SUMIFS('Cutters Consumption Updates'!$F:$F,'Cutters Consumption Updates'!$D:$D,L$1,'Cutters Consumption Updates'!$B:$B,$B285)-SUMIFS('Cutters Consumption Updates'!$E:$E,'Cutters Consumption Updates'!$D:$D,$L$1,'Cutters Consumption Updates'!$B:$B,$B285)+SUMIFS('Cutters Consumption Updates'!$F:$F,'Cutters Consumption Updates'!$D:$D,"Retrofit",'Cutters Consumption Updates'!$B:$B,$B285)-SUMIFS('Cutters Consumption Updates'!$E:$E,'Cutters Consumption Updates'!$D:$D,"Retrofit",'Cutters Consumption Updates'!$B:$B,$B285)+ SUMIF('Cutters Consumption Updates'!$AS:$AS,$B285,'Cutters Consumption Updates'!AX:AX)</f>
        <v>13</v>
      </c>
      <c r="M285" s="810">
        <f t="shared" si="29"/>
        <v>13</v>
      </c>
      <c r="N285" s="810">
        <f ca="1">SUMIFS('Cutters Consumption Updates'!E:E,
        'Cutters Consumption Updates'!B:B, B285,
        'Cutters Consumption Updates'!A:A, "&gt;" &amp; TODAY()-182)</f>
        <v>12</v>
      </c>
      <c r="O285" s="810">
        <f ca="1">SUMIFS('Cutters Consumption Updates'!E:E,
        'Cutters Consumption Updates'!B:B, B285,
        'Cutters Consumption Updates'!A:A, "&gt;" &amp; TODAY()-91)</f>
        <v>12</v>
      </c>
      <c r="P285" s="811"/>
      <c r="Q285" s="703">
        <f t="shared" si="31"/>
        <v>0</v>
      </c>
      <c r="R285" s="705"/>
      <c r="S285" s="24">
        <f>IFERROR(INDEX(Table5[],MATCH($B285,Table5[Component],0),2),0)</f>
        <v>0</v>
      </c>
      <c r="T285" s="813">
        <f>SUMIFS(Table7[Balance],Table7[Cutter Mat'#],$B285)</f>
        <v>0</v>
      </c>
      <c r="U285" s="24">
        <f t="shared" si="32"/>
        <v>13</v>
      </c>
      <c r="V285" s="119"/>
      <c r="W285" s="2"/>
      <c r="Y285" s="4">
        <f>IFERROR(INDEX(Table5[],MATCH($B285,Table5[Component],0),2),0)</f>
        <v>0</v>
      </c>
      <c r="Z285" s="4">
        <f>IFERROR(INDEX(Table5[],MATCH($B285,Table5[Component],0),1),0)</f>
        <v>0</v>
      </c>
      <c r="AA285" s="4" t="str">
        <f>IF(Y285&lt;&gt;0,B285,"")</f>
        <v/>
      </c>
      <c r="AB285" s="4" t="str">
        <f t="shared" si="33"/>
        <v/>
      </c>
      <c r="AD285" s="4">
        <f t="shared" si="34"/>
        <v>13</v>
      </c>
      <c r="AI285" s="248" t="str">
        <f>IFERROR(INDEX($B$1:$AK$243,MATCH(W285,$B$1:$B$243,0),13),"")</f>
        <v/>
      </c>
      <c r="AJ285" s="248" t="str">
        <f>IFERROR(INDEX($B$1:$AK$243,MATCH(W285,$B$1:$B$243,0),15),"")</f>
        <v/>
      </c>
      <c r="AK285">
        <f>SUMIF($W$2:$W$243,B285,$S$2:$S$243)</f>
        <v>0</v>
      </c>
      <c r="AN285" s="4"/>
      <c r="AO285" s="4"/>
      <c r="AP285">
        <f t="shared" si="35"/>
        <v>0</v>
      </c>
      <c r="AQ285" s="4"/>
      <c r="AR285" s="4">
        <v>2002244</v>
      </c>
      <c r="AS285">
        <f>SUMIF($B:$B,AR285,$AP:$AP)</f>
        <v>0</v>
      </c>
    </row>
    <row r="286" spans="1:45" ht="19.149999999999999" customHeight="1" x14ac:dyDescent="0.35">
      <c r="A286" s="250">
        <v>291</v>
      </c>
      <c r="B286" s="209">
        <v>2022731</v>
      </c>
      <c r="C286" s="2" t="s">
        <v>3665</v>
      </c>
      <c r="D286" s="2" t="s">
        <v>218</v>
      </c>
      <c r="E286" s="2">
        <v>1613</v>
      </c>
      <c r="F286" s="2" t="s">
        <v>170</v>
      </c>
      <c r="G286" s="2" t="s">
        <v>4401</v>
      </c>
      <c r="H286" s="10">
        <f>SUMIFS('Cutters Consumption Updates'!$F:$F,'Cutters Consumption Updates'!$D:$D,H$1,'Cutters Consumption Updates'!$B:$B,$B286)-SUMIFS('Cutters Consumption Updates'!$E:$E,'Cutters Consumption Updates'!$D:$D,H$1,'Cutters Consumption Updates'!$B:$B,$B286)+ SUMIF('Cutters Consumption Updates'!$AS:$AS,$B286,'Cutters Consumption Updates'!AT:AT)</f>
        <v>0</v>
      </c>
      <c r="I286" s="10">
        <f>SUMIFS('Cutters Consumption Updates'!$F:$F,'Cutters Consumption Updates'!$D:$D,I$1,'Cutters Consumption Updates'!$B:$B,$B286)-SUMIFS('Cutters Consumption Updates'!$E:$E,'Cutters Consumption Updates'!$D:$D,I$1,'Cutters Consumption Updates'!$B:$B,$B286)+ SUMIF('Cutters Consumption Updates'!$AS:$AS,$B286,'Cutters Consumption Updates'!AU:AU)</f>
        <v>0</v>
      </c>
      <c r="J286" s="116">
        <f>SUMIFS('Cutters Consumption Updates'!$F:$F,'Cutters Consumption Updates'!$D:$D,J$1,'Cutters Consumption Updates'!$B:$B,$B286)-SUMIFS('Cutters Consumption Updates'!$E:$E,'Cutters Consumption Updates'!$D:$D,J$1,'Cutters Consumption Updates'!$B:$B,$B286)+ SUMIF('Cutters Consumption Updates'!$AS:$AS,$B286,'Cutters Consumption Updates'!AV:AV)</f>
        <v>0</v>
      </c>
      <c r="K286" s="738">
        <f>SUMIFS('Cutters Consumption Updates'!$F:$F,'Cutters Consumption Updates'!$D:$D,K$1,'Cutters Consumption Updates'!$B:$B,$B286)-SUMIFS('Cutters Consumption Updates'!$E:$E,'Cutters Consumption Updates'!$D:$D,K$1,'Cutters Consumption Updates'!$B:$B,$B286)+ SUMIF('Cutters Consumption Updates'!$AS:$AS,$B286,'Cutters Consumption Updates'!AW:AW)</f>
        <v>0</v>
      </c>
      <c r="L286" s="116">
        <f>SUMIFS('Cutters Consumption Updates'!$F:$F,'Cutters Consumption Updates'!$D:$D,L$1,'Cutters Consumption Updates'!$B:$B,$B286)-SUMIFS('Cutters Consumption Updates'!$E:$E,'Cutters Consumption Updates'!$D:$D,$L$1,'Cutters Consumption Updates'!$B:$B,$B286)+SUMIFS('Cutters Consumption Updates'!$F:$F,'Cutters Consumption Updates'!$D:$D,"Retrofit",'Cutters Consumption Updates'!$B:$B,$B286)-SUMIFS('Cutters Consumption Updates'!$E:$E,'Cutters Consumption Updates'!$D:$D,"Retrofit",'Cutters Consumption Updates'!$B:$B,$B286)+ SUMIF('Cutters Consumption Updates'!$AS:$AS,$B286,'Cutters Consumption Updates'!AX:AX)</f>
        <v>0</v>
      </c>
      <c r="M286" s="810">
        <f t="shared" si="29"/>
        <v>0</v>
      </c>
      <c r="N286" s="810">
        <f ca="1">SUMIFS('Cutters Consumption Updates'!E:E,
        'Cutters Consumption Updates'!B:B, B286,
        'Cutters Consumption Updates'!A:A, "&gt;" &amp; TODAY()-182)</f>
        <v>75</v>
      </c>
      <c r="O286" s="810">
        <f ca="1">SUMIFS('Cutters Consumption Updates'!E:E,
        'Cutters Consumption Updates'!B:B, B286,
        'Cutters Consumption Updates'!A:A, "&gt;" &amp; TODAY()-91)</f>
        <v>75</v>
      </c>
      <c r="P286" s="811"/>
      <c r="Q286" s="703">
        <f t="shared" si="31"/>
        <v>0</v>
      </c>
      <c r="R286" s="705" t="s">
        <v>175</v>
      </c>
      <c r="S286" s="24">
        <f>IFERROR(INDEX(Table5[],MATCH($B286,Table5[Component],0),2),0)</f>
        <v>0</v>
      </c>
      <c r="T286" s="813">
        <f>SUMIFS(Table7[Balance],Table7[Cutter Mat'#],$B286)</f>
        <v>0</v>
      </c>
      <c r="U286" s="24">
        <f t="shared" si="32"/>
        <v>0</v>
      </c>
      <c r="V286" s="119"/>
      <c r="W286" s="2"/>
      <c r="Y286" s="4">
        <f>IFERROR(INDEX(Table5[],MATCH($B286,Table5[Component],0),2),0)</f>
        <v>0</v>
      </c>
      <c r="Z286" s="4">
        <f>IFERROR(INDEX(Table5[],MATCH($B286,Table5[Component],0),1),0)</f>
        <v>0</v>
      </c>
      <c r="AA286" s="4" t="str">
        <f>IF(Y286&lt;&gt;0,B286,"")</f>
        <v/>
      </c>
      <c r="AB286" s="4" t="str">
        <f t="shared" si="33"/>
        <v/>
      </c>
      <c r="AD286" s="4">
        <f t="shared" si="34"/>
        <v>0</v>
      </c>
      <c r="AI286" s="248" t="str">
        <f>IFERROR(INDEX($B$1:$AK$243,MATCH(W286,$B$1:$B$243,0),13),"")</f>
        <v/>
      </c>
      <c r="AJ286" s="248" t="str">
        <f>IFERROR(INDEX($B$1:$AK$243,MATCH(W286,$B$1:$B$243,0),15),"")</f>
        <v/>
      </c>
      <c r="AK286">
        <f>SUMIF($W$2:$W$243,B286,$S$2:$S$243)</f>
        <v>0</v>
      </c>
      <c r="AN286" s="4"/>
      <c r="AO286" s="4"/>
      <c r="AP286">
        <f t="shared" ref="AP286" si="36">T286</f>
        <v>0</v>
      </c>
      <c r="AQ286" s="4"/>
      <c r="AR286" s="4">
        <v>2002245</v>
      </c>
      <c r="AS286">
        <f>SUMIF($B:$B,AR286,$AP:$AP)</f>
        <v>0</v>
      </c>
    </row>
    <row r="287" spans="1:45" ht="19.149999999999999" customHeight="1" x14ac:dyDescent="0.35">
      <c r="A287" s="250">
        <v>292</v>
      </c>
      <c r="B287" s="209">
        <v>1100749</v>
      </c>
      <c r="C287" s="2" t="s">
        <v>4423</v>
      </c>
      <c r="D287" s="2" t="s">
        <v>133</v>
      </c>
      <c r="E287" s="2">
        <v>1308</v>
      </c>
      <c r="F287" s="2" t="s">
        <v>253</v>
      </c>
      <c r="G287" s="2" t="s">
        <v>4275</v>
      </c>
      <c r="H287" s="10">
        <f>SUMIFS('Cutters Consumption Updates'!$F:$F,'Cutters Consumption Updates'!$D:$D,H$1,'Cutters Consumption Updates'!$B:$B,$B287)-SUMIFS('Cutters Consumption Updates'!$E:$E,'Cutters Consumption Updates'!$D:$D,H$1,'Cutters Consumption Updates'!$B:$B,$B287)+ SUMIF('Cutters Consumption Updates'!$AS:$AS,$B287,'Cutters Consumption Updates'!AT:AT)</f>
        <v>0</v>
      </c>
      <c r="I287" s="10">
        <f>SUMIFS('Cutters Consumption Updates'!$F:$F,'Cutters Consumption Updates'!$D:$D,I$1,'Cutters Consumption Updates'!$B:$B,$B287)-SUMIFS('Cutters Consumption Updates'!$E:$E,'Cutters Consumption Updates'!$D:$D,I$1,'Cutters Consumption Updates'!$B:$B,$B287)+ SUMIF('Cutters Consumption Updates'!$AS:$AS,$B287,'Cutters Consumption Updates'!AU:AU)</f>
        <v>0</v>
      </c>
      <c r="J287" s="116">
        <f>SUMIFS('Cutters Consumption Updates'!$F:$F,'Cutters Consumption Updates'!$D:$D,J$1,'Cutters Consumption Updates'!$B:$B,$B287)-SUMIFS('Cutters Consumption Updates'!$E:$E,'Cutters Consumption Updates'!$D:$D,J$1,'Cutters Consumption Updates'!$B:$B,$B287)+ SUMIF('Cutters Consumption Updates'!$AS:$AS,$B287,'Cutters Consumption Updates'!AV:AV)</f>
        <v>0</v>
      </c>
      <c r="K287" s="738">
        <f>SUMIFS('Cutters Consumption Updates'!$F:$F,'Cutters Consumption Updates'!$D:$D,K$1,'Cutters Consumption Updates'!$B:$B,$B287)-SUMIFS('Cutters Consumption Updates'!$E:$E,'Cutters Consumption Updates'!$D:$D,K$1,'Cutters Consumption Updates'!$B:$B,$B287)+ SUMIF('Cutters Consumption Updates'!$AS:$AS,$B287,'Cutters Consumption Updates'!AW:AW)</f>
        <v>0</v>
      </c>
      <c r="L287" s="116">
        <f>SUMIFS('Cutters Consumption Updates'!$F:$F,'Cutters Consumption Updates'!$D:$D,L$1,'Cutters Consumption Updates'!$B:$B,$B287)-SUMIFS('Cutters Consumption Updates'!$E:$E,'Cutters Consumption Updates'!$D:$D,$L$1,'Cutters Consumption Updates'!$B:$B,$B287)+SUMIFS('Cutters Consumption Updates'!$F:$F,'Cutters Consumption Updates'!$D:$D,"Retrofit",'Cutters Consumption Updates'!$B:$B,$B287)-SUMIFS('Cutters Consumption Updates'!$E:$E,'Cutters Consumption Updates'!$D:$D,"Retrofit",'Cutters Consumption Updates'!$B:$B,$B287)+ SUMIF('Cutters Consumption Updates'!$AS:$AS,$B287,'Cutters Consumption Updates'!AX:AX)</f>
        <v>8</v>
      </c>
      <c r="M287" s="810">
        <f t="shared" si="29"/>
        <v>8</v>
      </c>
      <c r="N287" s="810">
        <f ca="1">SUMIFS('Cutters Consumption Updates'!E:E,
        'Cutters Consumption Updates'!B:B, B287,
        'Cutters Consumption Updates'!A:A, "&gt;" &amp; TODAY()-182)</f>
        <v>2</v>
      </c>
      <c r="O287" s="810">
        <f ca="1">SUMIFS('Cutters Consumption Updates'!E:E,
        'Cutters Consumption Updates'!B:B, B287,
        'Cutters Consumption Updates'!A:A, "&gt;" &amp; TODAY()-91)</f>
        <v>2</v>
      </c>
      <c r="P287" s="811"/>
      <c r="Q287" s="703">
        <f t="shared" si="31"/>
        <v>0</v>
      </c>
      <c r="R287" s="705" t="s">
        <v>118</v>
      </c>
      <c r="S287" s="24">
        <f>IFERROR(INDEX(Table5[],MATCH($B287,Table5[Component],0),2),0)</f>
        <v>0</v>
      </c>
      <c r="T287" s="813">
        <f>SUMIFS(Table7[Balance],Table7[Cutter Mat'#],$B287)</f>
        <v>0</v>
      </c>
      <c r="U287" s="24">
        <f t="shared" si="32"/>
        <v>8</v>
      </c>
      <c r="V287" s="119"/>
      <c r="W287" s="2"/>
      <c r="Y287" s="4">
        <f>IFERROR(INDEX(Table5[],MATCH($B287,Table5[Component],0),2),0)</f>
        <v>0</v>
      </c>
      <c r="Z287" s="4">
        <f>IFERROR(INDEX(Table5[],MATCH($B287,Table5[Component],0),1),0)</f>
        <v>0</v>
      </c>
      <c r="AA287" s="4" t="str">
        <f>IF(Y287&lt;&gt;0,B287,"")</f>
        <v/>
      </c>
      <c r="AB287" s="4" t="str">
        <f t="shared" si="33"/>
        <v/>
      </c>
      <c r="AD287" s="4">
        <f t="shared" si="34"/>
        <v>8</v>
      </c>
      <c r="AI287" s="248" t="str">
        <f>IFERROR(INDEX($B$1:$AK$243,MATCH(W287,$B$1:$B$243,0),13),"")</f>
        <v/>
      </c>
      <c r="AJ287" s="248" t="str">
        <f>IFERROR(INDEX($B$1:$AK$243,MATCH(W287,$B$1:$B$243,0),15),"")</f>
        <v/>
      </c>
      <c r="AK287">
        <f>SUMIF($W$2:$W$243,B287,$S$2:$S$243)</f>
        <v>0</v>
      </c>
      <c r="AN287" s="4"/>
      <c r="AO287" s="4"/>
      <c r="AP287">
        <f t="shared" si="35"/>
        <v>0</v>
      </c>
      <c r="AQ287" s="4"/>
      <c r="AR287" s="4">
        <v>2002299</v>
      </c>
      <c r="AS287">
        <f>SUMIF($B:$B,AR287,$AP:$AP)</f>
        <v>150</v>
      </c>
    </row>
    <row r="288" spans="1:45" ht="19.149999999999999" customHeight="1" x14ac:dyDescent="0.35">
      <c r="A288" s="250">
        <v>293</v>
      </c>
      <c r="B288" s="209">
        <v>2024742</v>
      </c>
      <c r="C288" s="2" t="s">
        <v>3668</v>
      </c>
      <c r="D288" s="2" t="s">
        <v>133</v>
      </c>
      <c r="E288" s="2">
        <v>1608</v>
      </c>
      <c r="F288" s="2" t="s">
        <v>170</v>
      </c>
      <c r="G288" s="2" t="s">
        <v>4275</v>
      </c>
      <c r="H288" s="10">
        <f>SUMIFS('Cutters Consumption Updates'!$F:$F,'Cutters Consumption Updates'!$D:$D,H$1,'Cutters Consumption Updates'!$B:$B,$B288)-SUMIFS('Cutters Consumption Updates'!$E:$E,'Cutters Consumption Updates'!$D:$D,H$1,'Cutters Consumption Updates'!$B:$B,$B288)+ SUMIF('Cutters Consumption Updates'!$AS:$AS,$B288,'Cutters Consumption Updates'!AT:AT)</f>
        <v>0</v>
      </c>
      <c r="I288" s="10">
        <f>SUMIFS('Cutters Consumption Updates'!$F:$F,'Cutters Consumption Updates'!$D:$D,I$1,'Cutters Consumption Updates'!$B:$B,$B288)-SUMIFS('Cutters Consumption Updates'!$E:$E,'Cutters Consumption Updates'!$D:$D,I$1,'Cutters Consumption Updates'!$B:$B,$B288)+ SUMIF('Cutters Consumption Updates'!$AS:$AS,$B288,'Cutters Consumption Updates'!AU:AU)</f>
        <v>0</v>
      </c>
      <c r="J288" s="116">
        <f>SUMIFS('Cutters Consumption Updates'!$F:$F,'Cutters Consumption Updates'!$D:$D,J$1,'Cutters Consumption Updates'!$B:$B,$B288)-SUMIFS('Cutters Consumption Updates'!$E:$E,'Cutters Consumption Updates'!$D:$D,J$1,'Cutters Consumption Updates'!$B:$B,$B288)+ SUMIF('Cutters Consumption Updates'!$AS:$AS,$B288,'Cutters Consumption Updates'!AV:AV)</f>
        <v>0</v>
      </c>
      <c r="K288" s="738">
        <f>SUMIFS('Cutters Consumption Updates'!$F:$F,'Cutters Consumption Updates'!$D:$D,K$1,'Cutters Consumption Updates'!$B:$B,$B288)-SUMIFS('Cutters Consumption Updates'!$E:$E,'Cutters Consumption Updates'!$D:$D,K$1,'Cutters Consumption Updates'!$B:$B,$B288)+ SUMIF('Cutters Consumption Updates'!$AS:$AS,$B288,'Cutters Consumption Updates'!AW:AW)</f>
        <v>0</v>
      </c>
      <c r="L288" s="116">
        <f>SUMIFS('Cutters Consumption Updates'!$F:$F,'Cutters Consumption Updates'!$D:$D,L$1,'Cutters Consumption Updates'!$B:$B,$B288)-SUMIFS('Cutters Consumption Updates'!$E:$E,'Cutters Consumption Updates'!$D:$D,$L$1,'Cutters Consumption Updates'!$B:$B,$B288)+SUMIFS('Cutters Consumption Updates'!$F:$F,'Cutters Consumption Updates'!$D:$D,"Retrofit",'Cutters Consumption Updates'!$B:$B,$B288)-SUMIFS('Cutters Consumption Updates'!$E:$E,'Cutters Consumption Updates'!$D:$D,"Retrofit",'Cutters Consumption Updates'!$B:$B,$B288)+ SUMIF('Cutters Consumption Updates'!$AS:$AS,$B288,'Cutters Consumption Updates'!AX:AX)</f>
        <v>0</v>
      </c>
      <c r="M288" s="810">
        <f t="shared" si="29"/>
        <v>0</v>
      </c>
      <c r="N288" s="810">
        <f ca="1">SUMIFS('Cutters Consumption Updates'!E:E,
        'Cutters Consumption Updates'!B:B, B288,
        'Cutters Consumption Updates'!A:A, "&gt;" &amp; TODAY()-182)</f>
        <v>0</v>
      </c>
      <c r="O288" s="810">
        <f ca="1">SUMIFS('Cutters Consumption Updates'!E:E,
        'Cutters Consumption Updates'!B:B, B288,
        'Cutters Consumption Updates'!A:A, "&gt;" &amp; TODAY()-91)</f>
        <v>0</v>
      </c>
      <c r="P288" s="811"/>
      <c r="Q288" s="703">
        <f t="shared" si="31"/>
        <v>0</v>
      </c>
      <c r="R288" s="705" t="s">
        <v>119</v>
      </c>
      <c r="S288" s="24">
        <f>IFERROR(INDEX(Table5[],MATCH($B288,Table5[Component],0),2),0)</f>
        <v>0</v>
      </c>
      <c r="T288" s="813">
        <f>SUMIFS(Table7[Balance],Table7[Cutter Mat'#],$B288)</f>
        <v>0</v>
      </c>
      <c r="U288" s="24">
        <f t="shared" si="32"/>
        <v>0</v>
      </c>
      <c r="V288" s="119"/>
      <c r="W288" s="2"/>
      <c r="Y288" s="4">
        <f>IFERROR(INDEX(Table5[],MATCH($B288,Table5[Component],0),2),0)</f>
        <v>0</v>
      </c>
      <c r="Z288" s="4">
        <f>IFERROR(INDEX(Table5[],MATCH($B288,Table5[Component],0),1),0)</f>
        <v>0</v>
      </c>
      <c r="AA288" s="4" t="str">
        <f>IF(Y288&lt;&gt;0,B288,"")</f>
        <v/>
      </c>
      <c r="AB288" s="4" t="str">
        <f t="shared" si="33"/>
        <v/>
      </c>
      <c r="AD288" s="4">
        <f t="shared" si="34"/>
        <v>0</v>
      </c>
      <c r="AI288" s="248" t="str">
        <f>IFERROR(INDEX($B$1:$AK$243,MATCH(W288,$B$1:$B$243,0),13),"")</f>
        <v/>
      </c>
      <c r="AJ288" s="248" t="str">
        <f>IFERROR(INDEX($B$1:$AK$243,MATCH(W288,$B$1:$B$243,0),15),"")</f>
        <v/>
      </c>
      <c r="AK288">
        <f>SUMIF($W$2:$W$243,B288,$S$2:$S$243)</f>
        <v>0</v>
      </c>
      <c r="AN288" s="4"/>
      <c r="AO288" s="4"/>
      <c r="AQ288" s="4"/>
      <c r="AR288" s="4">
        <v>2004484</v>
      </c>
    </row>
    <row r="289" spans="1:44" ht="19.149999999999999" customHeight="1" x14ac:dyDescent="0.35">
      <c r="A289" s="250">
        <v>294</v>
      </c>
      <c r="B289" s="209">
        <v>2013427</v>
      </c>
      <c r="C289" s="2" t="s">
        <v>4424</v>
      </c>
      <c r="D289" s="2" t="s">
        <v>192</v>
      </c>
      <c r="E289" s="2">
        <v>1218</v>
      </c>
      <c r="F289" s="2" t="s">
        <v>103</v>
      </c>
      <c r="G289" s="2" t="s">
        <v>36</v>
      </c>
      <c r="H289" s="10">
        <f>SUMIFS('Cutters Consumption Updates'!$F:$F,'Cutters Consumption Updates'!$D:$D,H$1,'Cutters Consumption Updates'!$B:$B,$B289)-SUMIFS('Cutters Consumption Updates'!$E:$E,'Cutters Consumption Updates'!$D:$D,H$1,'Cutters Consumption Updates'!$B:$B,$B289)+ SUMIF('Cutters Consumption Updates'!$AS:$AS,$B289,'Cutters Consumption Updates'!AT:AT)</f>
        <v>0</v>
      </c>
      <c r="I289" s="10">
        <f>SUMIFS('Cutters Consumption Updates'!$F:$F,'Cutters Consumption Updates'!$D:$D,I$1,'Cutters Consumption Updates'!$B:$B,$B289)-SUMIFS('Cutters Consumption Updates'!$E:$E,'Cutters Consumption Updates'!$D:$D,I$1,'Cutters Consumption Updates'!$B:$B,$B289)+ SUMIF('Cutters Consumption Updates'!$AS:$AS,$B289,'Cutters Consumption Updates'!AU:AU)</f>
        <v>0</v>
      </c>
      <c r="J289" s="116">
        <f>SUMIFS('Cutters Consumption Updates'!$F:$F,'Cutters Consumption Updates'!$D:$D,J$1,'Cutters Consumption Updates'!$B:$B,$B289)-SUMIFS('Cutters Consumption Updates'!$E:$E,'Cutters Consumption Updates'!$D:$D,J$1,'Cutters Consumption Updates'!$B:$B,$B289)+ SUMIF('Cutters Consumption Updates'!$AS:$AS,$B289,'Cutters Consumption Updates'!AV:AV)</f>
        <v>0</v>
      </c>
      <c r="K289" s="738">
        <f>SUMIFS('Cutters Consumption Updates'!$F:$F,'Cutters Consumption Updates'!$D:$D,K$1,'Cutters Consumption Updates'!$B:$B,$B289)-SUMIFS('Cutters Consumption Updates'!$E:$E,'Cutters Consumption Updates'!$D:$D,K$1,'Cutters Consumption Updates'!$B:$B,$B289)+ SUMIF('Cutters Consumption Updates'!$AS:$AS,$B289,'Cutters Consumption Updates'!AW:AW)</f>
        <v>0</v>
      </c>
      <c r="L289" s="116">
        <f>SUMIFS('Cutters Consumption Updates'!$F:$F,'Cutters Consumption Updates'!$D:$D,L$1,'Cutters Consumption Updates'!$B:$B,$B289)-SUMIFS('Cutters Consumption Updates'!$E:$E,'Cutters Consumption Updates'!$D:$D,$L$1,'Cutters Consumption Updates'!$B:$B,$B289)+SUMIFS('Cutters Consumption Updates'!$F:$F,'Cutters Consumption Updates'!$D:$D,"Retrofit",'Cutters Consumption Updates'!$B:$B,$B289)-SUMIFS('Cutters Consumption Updates'!$E:$E,'Cutters Consumption Updates'!$D:$D,"Retrofit",'Cutters Consumption Updates'!$B:$B,$B289)+ SUMIF('Cutters Consumption Updates'!$AS:$AS,$B289,'Cutters Consumption Updates'!AX:AX)</f>
        <v>19</v>
      </c>
      <c r="M289" s="810">
        <f t="shared" si="29"/>
        <v>19</v>
      </c>
      <c r="N289" s="810">
        <f ca="1">SUMIFS('Cutters Consumption Updates'!E:E,
        'Cutters Consumption Updates'!B:B, B289,
        'Cutters Consumption Updates'!A:A, "&gt;" &amp; TODAY()-182)</f>
        <v>6</v>
      </c>
      <c r="O289" s="810">
        <f ca="1">SUMIFS('Cutters Consumption Updates'!E:E,
        'Cutters Consumption Updates'!B:B, B289,
        'Cutters Consumption Updates'!A:A, "&gt;" &amp; TODAY()-91)</f>
        <v>6</v>
      </c>
      <c r="P289" s="811"/>
      <c r="Q289" s="703">
        <f t="shared" si="31"/>
        <v>0</v>
      </c>
      <c r="R289" s="705"/>
      <c r="S289" s="24">
        <f>IFERROR(INDEX(Table5[],MATCH($B289,Table5[Component],0),2),0)</f>
        <v>0</v>
      </c>
      <c r="T289" s="813">
        <f>SUMIFS(Table7[Balance],Table7[Cutter Mat'#],$B289)</f>
        <v>0</v>
      </c>
      <c r="U289" s="24">
        <f t="shared" si="32"/>
        <v>19</v>
      </c>
      <c r="V289" s="119"/>
      <c r="W289" s="2"/>
      <c r="Y289" s="4">
        <f>IFERROR(INDEX(Table5[],MATCH($B289,Table5[Component],0),2),0)</f>
        <v>0</v>
      </c>
      <c r="Z289" s="4">
        <f>IFERROR(INDEX(Table5[],MATCH($B289,Table5[Component],0),1),0)</f>
        <v>2013427</v>
      </c>
      <c r="AA289" s="4" t="str">
        <f>IF(Y289&lt;&gt;0,B289,"")</f>
        <v/>
      </c>
      <c r="AB289" s="4" t="str">
        <f t="shared" si="33"/>
        <v/>
      </c>
      <c r="AD289" s="4">
        <f t="shared" si="34"/>
        <v>19</v>
      </c>
      <c r="AI289" s="248" t="str">
        <f>IFERROR(INDEX($B$1:$AK$243,MATCH(W289,$B$1:$B$243,0),13),"")</f>
        <v/>
      </c>
      <c r="AJ289" s="248" t="str">
        <f>IFERROR(INDEX($B$1:$AK$243,MATCH(W289,$B$1:$B$243,0),15),"")</f>
        <v/>
      </c>
      <c r="AK289">
        <f>SUMIF($W$2:$W$243,B289,$S$2:$S$243)</f>
        <v>0</v>
      </c>
      <c r="AN289" s="4"/>
      <c r="AO289" s="4"/>
      <c r="AQ289" s="4"/>
      <c r="AR289" s="4">
        <v>2007571</v>
      </c>
    </row>
    <row r="290" spans="1:44" ht="19.149999999999999" customHeight="1" x14ac:dyDescent="0.35">
      <c r="A290" s="250">
        <v>295</v>
      </c>
      <c r="B290" s="209">
        <v>2023242</v>
      </c>
      <c r="C290" s="2" t="s">
        <v>3670</v>
      </c>
      <c r="D290" s="2" t="s">
        <v>133</v>
      </c>
      <c r="E290" s="2">
        <v>1613</v>
      </c>
      <c r="F290" s="2" t="s">
        <v>170</v>
      </c>
      <c r="G290" s="2" t="s">
        <v>4275</v>
      </c>
      <c r="H290" s="10">
        <f>SUMIFS('Cutters Consumption Updates'!$F:$F,'Cutters Consumption Updates'!$D:$D,H$1,'Cutters Consumption Updates'!$B:$B,$B290)-SUMIFS('Cutters Consumption Updates'!$E:$E,'Cutters Consumption Updates'!$D:$D,H$1,'Cutters Consumption Updates'!$B:$B,$B290)+ SUMIF('Cutters Consumption Updates'!$AS:$AS,$B290,'Cutters Consumption Updates'!AT:AT)</f>
        <v>0</v>
      </c>
      <c r="I290" s="10">
        <f>SUMIFS('Cutters Consumption Updates'!$F:$F,'Cutters Consumption Updates'!$D:$D,I$1,'Cutters Consumption Updates'!$B:$B,$B290)-SUMIFS('Cutters Consumption Updates'!$E:$E,'Cutters Consumption Updates'!$D:$D,I$1,'Cutters Consumption Updates'!$B:$B,$B290)+ SUMIF('Cutters Consumption Updates'!$AS:$AS,$B290,'Cutters Consumption Updates'!AU:AU)</f>
        <v>0</v>
      </c>
      <c r="J290" s="116">
        <f>SUMIFS('Cutters Consumption Updates'!$F:$F,'Cutters Consumption Updates'!$D:$D,J$1,'Cutters Consumption Updates'!$B:$B,$B290)-SUMIFS('Cutters Consumption Updates'!$E:$E,'Cutters Consumption Updates'!$D:$D,J$1,'Cutters Consumption Updates'!$B:$B,$B290)+ SUMIF('Cutters Consumption Updates'!$AS:$AS,$B290,'Cutters Consumption Updates'!AV:AV)</f>
        <v>0</v>
      </c>
      <c r="K290" s="738">
        <f>SUMIFS('Cutters Consumption Updates'!$F:$F,'Cutters Consumption Updates'!$D:$D,K$1,'Cutters Consumption Updates'!$B:$B,$B290)-SUMIFS('Cutters Consumption Updates'!$E:$E,'Cutters Consumption Updates'!$D:$D,K$1,'Cutters Consumption Updates'!$B:$B,$B290)+ SUMIF('Cutters Consumption Updates'!$AS:$AS,$B290,'Cutters Consumption Updates'!AW:AW)</f>
        <v>0</v>
      </c>
      <c r="L290" s="116">
        <f>SUMIFS('Cutters Consumption Updates'!$F:$F,'Cutters Consumption Updates'!$D:$D,L$1,'Cutters Consumption Updates'!$B:$B,$B290)-SUMIFS('Cutters Consumption Updates'!$E:$E,'Cutters Consumption Updates'!$D:$D,$L$1,'Cutters Consumption Updates'!$B:$B,$B290)+SUMIFS('Cutters Consumption Updates'!$F:$F,'Cutters Consumption Updates'!$D:$D,"Retrofit",'Cutters Consumption Updates'!$B:$B,$B290)-SUMIFS('Cutters Consumption Updates'!$E:$E,'Cutters Consumption Updates'!$D:$D,"Retrofit",'Cutters Consumption Updates'!$B:$B,$B290)+ SUMIF('Cutters Consumption Updates'!$AS:$AS,$B290,'Cutters Consumption Updates'!AX:AX)</f>
        <v>13</v>
      </c>
      <c r="M290" s="810">
        <f t="shared" si="29"/>
        <v>13</v>
      </c>
      <c r="N290" s="810">
        <f ca="1">SUMIFS('Cutters Consumption Updates'!E:E,
        'Cutters Consumption Updates'!B:B, B290,
        'Cutters Consumption Updates'!A:A, "&gt;" &amp; TODAY()-182)</f>
        <v>27</v>
      </c>
      <c r="O290" s="810">
        <f ca="1">SUMIFS('Cutters Consumption Updates'!E:E,
        'Cutters Consumption Updates'!B:B, B290,
        'Cutters Consumption Updates'!A:A, "&gt;" &amp; TODAY()-91)</f>
        <v>27</v>
      </c>
      <c r="P290" s="811"/>
      <c r="Q290" s="703">
        <f t="shared" si="31"/>
        <v>0</v>
      </c>
      <c r="R290" s="705" t="s">
        <v>64</v>
      </c>
      <c r="S290" s="24">
        <f>IFERROR(INDEX(Table5[],MATCH($B290,Table5[Component],0),2),0)</f>
        <v>0</v>
      </c>
      <c r="T290" s="813">
        <f>SUMIFS(Table7[Balance],Table7[Cutter Mat'#],$B290)</f>
        <v>0</v>
      </c>
      <c r="U290" s="24">
        <f t="shared" si="32"/>
        <v>13</v>
      </c>
      <c r="V290" s="119"/>
      <c r="W290" s="2"/>
      <c r="Y290" s="4">
        <f>IFERROR(INDEX(Table5[],MATCH($B290,Table5[Component],0),2),0)</f>
        <v>0</v>
      </c>
      <c r="Z290" s="4">
        <f>IFERROR(INDEX(Table5[],MATCH($B290,Table5[Component],0),1),0)</f>
        <v>0</v>
      </c>
      <c r="AA290" s="4" t="str">
        <f>IF(Y290&lt;&gt;0,B290,"")</f>
        <v/>
      </c>
      <c r="AB290" s="4" t="str">
        <f t="shared" si="33"/>
        <v/>
      </c>
      <c r="AD290" s="4">
        <f t="shared" si="34"/>
        <v>13</v>
      </c>
      <c r="AI290" s="248" t="str">
        <f>IFERROR(INDEX($B$1:$AK$243,MATCH(W290,$B$1:$B$243,0),13),"")</f>
        <v/>
      </c>
      <c r="AJ290" s="248" t="str">
        <f>IFERROR(INDEX($B$1:$AK$243,MATCH(W290,$B$1:$B$243,0),15),"")</f>
        <v/>
      </c>
      <c r="AK290">
        <f>SUMIF($W$2:$W$243,B290,$S$2:$S$243)</f>
        <v>0</v>
      </c>
      <c r="AN290" s="4"/>
      <c r="AO290" s="4"/>
      <c r="AQ290" s="4"/>
      <c r="AR290" s="4">
        <v>2008253</v>
      </c>
    </row>
    <row r="291" spans="1:44" ht="19.149999999999999" customHeight="1" x14ac:dyDescent="0.35">
      <c r="A291" s="250">
        <v>296</v>
      </c>
      <c r="B291" s="209">
        <v>1126404</v>
      </c>
      <c r="C291" s="2" t="s">
        <v>3671</v>
      </c>
      <c r="D291" s="2" t="s">
        <v>133</v>
      </c>
      <c r="E291" s="2">
        <v>1913</v>
      </c>
      <c r="F291" s="2" t="s">
        <v>177</v>
      </c>
      <c r="G291" s="2" t="s">
        <v>4275</v>
      </c>
      <c r="H291" s="10">
        <f>SUMIFS('Cutters Consumption Updates'!$F:$F,'Cutters Consumption Updates'!$D:$D,H$1,'Cutters Consumption Updates'!$B:$B,$B291)-SUMIFS('Cutters Consumption Updates'!$E:$E,'Cutters Consumption Updates'!$D:$D,H$1,'Cutters Consumption Updates'!$B:$B,$B291)+ SUMIF('Cutters Consumption Updates'!$AS:$AS,$B291,'Cutters Consumption Updates'!AT:AT)</f>
        <v>0</v>
      </c>
      <c r="I291" s="10">
        <f>SUMIFS('Cutters Consumption Updates'!$F:$F,'Cutters Consumption Updates'!$D:$D,I$1,'Cutters Consumption Updates'!$B:$B,$B291)-SUMIFS('Cutters Consumption Updates'!$E:$E,'Cutters Consumption Updates'!$D:$D,I$1,'Cutters Consumption Updates'!$B:$B,$B291)+ SUMIF('Cutters Consumption Updates'!$AS:$AS,$B291,'Cutters Consumption Updates'!AU:AU)</f>
        <v>0</v>
      </c>
      <c r="J291" s="116">
        <f>SUMIFS('Cutters Consumption Updates'!$F:$F,'Cutters Consumption Updates'!$D:$D,J$1,'Cutters Consumption Updates'!$B:$B,$B291)-SUMIFS('Cutters Consumption Updates'!$E:$E,'Cutters Consumption Updates'!$D:$D,J$1,'Cutters Consumption Updates'!$B:$B,$B291)+ SUMIF('Cutters Consumption Updates'!$AS:$AS,$B291,'Cutters Consumption Updates'!AV:AV)</f>
        <v>0</v>
      </c>
      <c r="K291" s="738">
        <f>SUMIFS('Cutters Consumption Updates'!$F:$F,'Cutters Consumption Updates'!$D:$D,K$1,'Cutters Consumption Updates'!$B:$B,$B291)-SUMIFS('Cutters Consumption Updates'!$E:$E,'Cutters Consumption Updates'!$D:$D,K$1,'Cutters Consumption Updates'!$B:$B,$B291)+ SUMIF('Cutters Consumption Updates'!$AS:$AS,$B291,'Cutters Consumption Updates'!AW:AW)</f>
        <v>0</v>
      </c>
      <c r="L291" s="116">
        <f>SUMIFS('Cutters Consumption Updates'!$F:$F,'Cutters Consumption Updates'!$D:$D,L$1,'Cutters Consumption Updates'!$B:$B,$B291)-SUMIFS('Cutters Consumption Updates'!$E:$E,'Cutters Consumption Updates'!$D:$D,$L$1,'Cutters Consumption Updates'!$B:$B,$B291)+SUMIFS('Cutters Consumption Updates'!$F:$F,'Cutters Consumption Updates'!$D:$D,"Retrofit",'Cutters Consumption Updates'!$B:$B,$B291)-SUMIFS('Cutters Consumption Updates'!$E:$E,'Cutters Consumption Updates'!$D:$D,"Retrofit",'Cutters Consumption Updates'!$B:$B,$B291)+ SUMIF('Cutters Consumption Updates'!$AS:$AS,$B291,'Cutters Consumption Updates'!AX:AX)</f>
        <v>100</v>
      </c>
      <c r="M291" s="810">
        <f t="shared" si="29"/>
        <v>100</v>
      </c>
      <c r="N291" s="810">
        <f ca="1">SUMIFS('Cutters Consumption Updates'!E:E,
        'Cutters Consumption Updates'!B:B, B291,
        'Cutters Consumption Updates'!A:A, "&gt;" &amp; TODAY()-182)</f>
        <v>0</v>
      </c>
      <c r="O291" s="810">
        <f ca="1">SUMIFS('Cutters Consumption Updates'!E:E,
        'Cutters Consumption Updates'!B:B, B291,
        'Cutters Consumption Updates'!A:A, "&gt;" &amp; TODAY()-91)</f>
        <v>0</v>
      </c>
      <c r="P291" s="811"/>
      <c r="Q291" s="703">
        <f t="shared" si="31"/>
        <v>0</v>
      </c>
      <c r="R291" s="705" t="s">
        <v>63</v>
      </c>
      <c r="S291" s="24">
        <f>IFERROR(INDEX(Table5[],MATCH($B291,Table5[Component],0),2),0)</f>
        <v>390</v>
      </c>
      <c r="T291" s="813">
        <f>SUMIFS(Table7[Balance],Table7[Cutter Mat'#],$B291)</f>
        <v>0</v>
      </c>
      <c r="U291" s="24">
        <f t="shared" si="32"/>
        <v>-290</v>
      </c>
      <c r="V291" s="119"/>
      <c r="W291" s="2"/>
      <c r="Y291" s="4">
        <f>IFERROR(INDEX(Table5[],MATCH($B291,Table5[Component],0),2),0)</f>
        <v>390</v>
      </c>
      <c r="Z291" s="4">
        <f>IFERROR(INDEX(Table5[],MATCH($B291,Table5[Component],0),1),0)</f>
        <v>1126404</v>
      </c>
      <c r="AA291" s="4">
        <f>IF(Y291&lt;&gt;0,B291,"")</f>
        <v>1126404</v>
      </c>
      <c r="AB291" s="4" t="str">
        <f t="shared" si="33"/>
        <v/>
      </c>
      <c r="AD291" s="4">
        <f t="shared" si="34"/>
        <v>100</v>
      </c>
      <c r="AI291" s="248" t="str">
        <f>IFERROR(INDEX($B$1:$AK$243,MATCH(W291,$B$1:$B$243,0),13),"")</f>
        <v/>
      </c>
      <c r="AJ291" s="248" t="str">
        <f>IFERROR(INDEX($B$1:$AK$243,MATCH(W291,$B$1:$B$243,0),15),"")</f>
        <v/>
      </c>
      <c r="AK291">
        <f>SUMIF($W$2:$W$243,B291,$S$2:$S$243)</f>
        <v>0</v>
      </c>
      <c r="AN291" s="4"/>
      <c r="AO291" s="4"/>
      <c r="AQ291" s="4"/>
      <c r="AR291" s="4">
        <v>2013427</v>
      </c>
    </row>
    <row r="292" spans="1:44" ht="19.149999999999999" customHeight="1" x14ac:dyDescent="0.35">
      <c r="A292" s="250">
        <v>297</v>
      </c>
      <c r="B292" s="209">
        <v>1220334</v>
      </c>
      <c r="C292" s="2" t="s">
        <v>4086</v>
      </c>
      <c r="D292" s="2" t="s">
        <v>244</v>
      </c>
      <c r="E292" s="2">
        <v>1313</v>
      </c>
      <c r="F292" s="2" t="s">
        <v>248</v>
      </c>
      <c r="G292" s="2" t="s">
        <v>4412</v>
      </c>
      <c r="H292" s="10">
        <f>SUMIFS('Cutters Consumption Updates'!$F:$F,'Cutters Consumption Updates'!$D:$D,H$1,'Cutters Consumption Updates'!$B:$B,$B292)-SUMIFS('Cutters Consumption Updates'!$E:$E,'Cutters Consumption Updates'!$D:$D,H$1,'Cutters Consumption Updates'!$B:$B,$B292)+ SUMIF('Cutters Consumption Updates'!$AS:$AS,$B292,'Cutters Consumption Updates'!AT:AT)</f>
        <v>0</v>
      </c>
      <c r="I292" s="10">
        <f>SUMIFS('Cutters Consumption Updates'!$F:$F,'Cutters Consumption Updates'!$D:$D,I$1,'Cutters Consumption Updates'!$B:$B,$B292)-SUMIFS('Cutters Consumption Updates'!$E:$E,'Cutters Consumption Updates'!$D:$D,I$1,'Cutters Consumption Updates'!$B:$B,$B292)+ SUMIF('Cutters Consumption Updates'!$AS:$AS,$B292,'Cutters Consumption Updates'!AU:AU)</f>
        <v>0</v>
      </c>
      <c r="J292" s="116">
        <f>SUMIFS('Cutters Consumption Updates'!$F:$F,'Cutters Consumption Updates'!$D:$D,J$1,'Cutters Consumption Updates'!$B:$B,$B292)-SUMIFS('Cutters Consumption Updates'!$E:$E,'Cutters Consumption Updates'!$D:$D,J$1,'Cutters Consumption Updates'!$B:$B,$B292)+ SUMIF('Cutters Consumption Updates'!$AS:$AS,$B292,'Cutters Consumption Updates'!AV:AV)</f>
        <v>0</v>
      </c>
      <c r="K292" s="738">
        <f>SUMIFS('Cutters Consumption Updates'!$F:$F,'Cutters Consumption Updates'!$D:$D,K$1,'Cutters Consumption Updates'!$B:$B,$B292)-SUMIFS('Cutters Consumption Updates'!$E:$E,'Cutters Consumption Updates'!$D:$D,K$1,'Cutters Consumption Updates'!$B:$B,$B292)+ SUMIF('Cutters Consumption Updates'!$AS:$AS,$B292,'Cutters Consumption Updates'!AW:AW)</f>
        <v>0</v>
      </c>
      <c r="L292" s="116">
        <f>SUMIFS('Cutters Consumption Updates'!$F:$F,'Cutters Consumption Updates'!$D:$D,L$1,'Cutters Consumption Updates'!$B:$B,$B292)-SUMIFS('Cutters Consumption Updates'!$E:$E,'Cutters Consumption Updates'!$D:$D,$L$1,'Cutters Consumption Updates'!$B:$B,$B292)+SUMIFS('Cutters Consumption Updates'!$F:$F,'Cutters Consumption Updates'!$D:$D,"Retrofit",'Cutters Consumption Updates'!$B:$B,$B292)-SUMIFS('Cutters Consumption Updates'!$E:$E,'Cutters Consumption Updates'!$D:$D,"Retrofit",'Cutters Consumption Updates'!$B:$B,$B292)+ SUMIF('Cutters Consumption Updates'!$AS:$AS,$B292,'Cutters Consumption Updates'!AX:AX)</f>
        <v>-5</v>
      </c>
      <c r="M292" s="810">
        <f t="shared" si="29"/>
        <v>-5</v>
      </c>
      <c r="N292" s="810">
        <f ca="1">SUMIFS('Cutters Consumption Updates'!E:E,
        'Cutters Consumption Updates'!B:B, B292,
        'Cutters Consumption Updates'!A:A, "&gt;" &amp; TODAY()-182)</f>
        <v>5</v>
      </c>
      <c r="O292" s="810">
        <f ca="1">SUMIFS('Cutters Consumption Updates'!E:E,
        'Cutters Consumption Updates'!B:B, B292,
        'Cutters Consumption Updates'!A:A, "&gt;" &amp; TODAY()-91)</f>
        <v>5</v>
      </c>
      <c r="P292" s="811"/>
      <c r="Q292" s="703">
        <f t="shared" si="31"/>
        <v>0</v>
      </c>
      <c r="R292" s="705"/>
      <c r="S292" s="24">
        <f>IFERROR(INDEX(Table5[],MATCH($B292,Table5[Component],0),2),0)</f>
        <v>0</v>
      </c>
      <c r="T292" s="813">
        <f>SUMIFS(Table7[Balance],Table7[Cutter Mat'#],$B292)</f>
        <v>5</v>
      </c>
      <c r="U292" s="24">
        <f t="shared" si="32"/>
        <v>0</v>
      </c>
      <c r="V292" s="119"/>
      <c r="W292" s="2"/>
      <c r="Y292" s="4">
        <f>IFERROR(INDEX(Table5[],MATCH($B292,Table5[Component],0),2),0)</f>
        <v>0</v>
      </c>
      <c r="Z292" s="4">
        <f>IFERROR(INDEX(Table5[],MATCH($B292,Table5[Component],0),1),0)</f>
        <v>0</v>
      </c>
      <c r="AA292" s="4" t="str">
        <f>IF(Y292&lt;&gt;0,B292,"")</f>
        <v/>
      </c>
      <c r="AB292" s="4" t="str">
        <f t="shared" si="33"/>
        <v/>
      </c>
      <c r="AD292" s="4">
        <f t="shared" si="34"/>
        <v>-5</v>
      </c>
      <c r="AI292" s="248" t="str">
        <f>IFERROR(INDEX($B$1:$AK$243,MATCH(W292,$B$1:$B$243,0),13),"")</f>
        <v/>
      </c>
      <c r="AJ292" s="248" t="str">
        <f>IFERROR(INDEX($B$1:$AK$243,MATCH(W292,$B$1:$B$243,0),15),"")</f>
        <v/>
      </c>
      <c r="AK292">
        <f>SUMIF($W$2:$W$243,B292,$S$2:$S$243)</f>
        <v>0</v>
      </c>
      <c r="AN292" s="4"/>
      <c r="AO292" s="4"/>
      <c r="AQ292" s="4"/>
      <c r="AR292" s="4">
        <v>2013726</v>
      </c>
    </row>
    <row r="293" spans="1:44" ht="19.149999999999999" customHeight="1" x14ac:dyDescent="0.35">
      <c r="A293" s="250">
        <v>298</v>
      </c>
      <c r="B293" s="209">
        <v>2024642</v>
      </c>
      <c r="C293" s="2" t="s">
        <v>4087</v>
      </c>
      <c r="D293" s="2" t="s">
        <v>249</v>
      </c>
      <c r="E293" s="2">
        <v>1613</v>
      </c>
      <c r="F293" s="2" t="s">
        <v>177</v>
      </c>
      <c r="G293" s="2" t="s">
        <v>4399</v>
      </c>
      <c r="H293" s="10">
        <f>SUMIFS('Cutters Consumption Updates'!$F:$F,'Cutters Consumption Updates'!$D:$D,H$1,'Cutters Consumption Updates'!$B:$B,$B293)-SUMIFS('Cutters Consumption Updates'!$E:$E,'Cutters Consumption Updates'!$D:$D,H$1,'Cutters Consumption Updates'!$B:$B,$B293)+ SUMIF('Cutters Consumption Updates'!$AS:$AS,$B293,'Cutters Consumption Updates'!AT:AT)</f>
        <v>0</v>
      </c>
      <c r="I293" s="10">
        <f>SUMIFS('Cutters Consumption Updates'!$F:$F,'Cutters Consumption Updates'!$D:$D,I$1,'Cutters Consumption Updates'!$B:$B,$B293)-SUMIFS('Cutters Consumption Updates'!$E:$E,'Cutters Consumption Updates'!$D:$D,I$1,'Cutters Consumption Updates'!$B:$B,$B293)+ SUMIF('Cutters Consumption Updates'!$AS:$AS,$B293,'Cutters Consumption Updates'!AU:AU)</f>
        <v>0</v>
      </c>
      <c r="J293" s="116">
        <f>SUMIFS('Cutters Consumption Updates'!$F:$F,'Cutters Consumption Updates'!$D:$D,J$1,'Cutters Consumption Updates'!$B:$B,$B293)-SUMIFS('Cutters Consumption Updates'!$E:$E,'Cutters Consumption Updates'!$D:$D,J$1,'Cutters Consumption Updates'!$B:$B,$B293)+ SUMIF('Cutters Consumption Updates'!$AS:$AS,$B293,'Cutters Consumption Updates'!AV:AV)</f>
        <v>0</v>
      </c>
      <c r="K293" s="738">
        <f>SUMIFS('Cutters Consumption Updates'!$F:$F,'Cutters Consumption Updates'!$D:$D,K$1,'Cutters Consumption Updates'!$B:$B,$B293)-SUMIFS('Cutters Consumption Updates'!$E:$E,'Cutters Consumption Updates'!$D:$D,K$1,'Cutters Consumption Updates'!$B:$B,$B293)+ SUMIF('Cutters Consumption Updates'!$AS:$AS,$B293,'Cutters Consumption Updates'!AW:AW)</f>
        <v>0</v>
      </c>
      <c r="L293" s="116">
        <f>SUMIFS('Cutters Consumption Updates'!$F:$F,'Cutters Consumption Updates'!$D:$D,L$1,'Cutters Consumption Updates'!$B:$B,$B293)-SUMIFS('Cutters Consumption Updates'!$E:$E,'Cutters Consumption Updates'!$D:$D,$L$1,'Cutters Consumption Updates'!$B:$B,$B293)+SUMIFS('Cutters Consumption Updates'!$F:$F,'Cutters Consumption Updates'!$D:$D,"Retrofit",'Cutters Consumption Updates'!$B:$B,$B293)-SUMIFS('Cutters Consumption Updates'!$E:$E,'Cutters Consumption Updates'!$D:$D,"Retrofit",'Cutters Consumption Updates'!$B:$B,$B293)+ SUMIF('Cutters Consumption Updates'!$AS:$AS,$B293,'Cutters Consumption Updates'!AX:AX)</f>
        <v>-31</v>
      </c>
      <c r="M293" s="810">
        <f t="shared" si="29"/>
        <v>-31</v>
      </c>
      <c r="N293" s="810">
        <f ca="1">SUMIFS('Cutters Consumption Updates'!E:E,
        'Cutters Consumption Updates'!B:B, B293,
        'Cutters Consumption Updates'!A:A, "&gt;" &amp; TODAY()-182)</f>
        <v>86</v>
      </c>
      <c r="O293" s="810">
        <f ca="1">SUMIFS('Cutters Consumption Updates'!E:E,
        'Cutters Consumption Updates'!B:B, B293,
        'Cutters Consumption Updates'!A:A, "&gt;" &amp; TODAY()-91)</f>
        <v>86</v>
      </c>
      <c r="P293" s="811"/>
      <c r="Q293" s="703">
        <f t="shared" si="31"/>
        <v>0</v>
      </c>
      <c r="R293" s="705"/>
      <c r="S293" s="24">
        <f>IFERROR(INDEX(Table5[],MATCH($B293,Table5[Component],0),2),0)</f>
        <v>38</v>
      </c>
      <c r="T293" s="813">
        <f>SUMIFS(Table7[Balance],Table7[Cutter Mat'#],$B293)</f>
        <v>50</v>
      </c>
      <c r="U293" s="24">
        <f t="shared" si="32"/>
        <v>-19</v>
      </c>
      <c r="V293" s="119"/>
      <c r="W293" s="2"/>
      <c r="Y293" s="4">
        <f>IFERROR(INDEX(Table5[],MATCH($B293,Table5[Component],0),2),0)</f>
        <v>38</v>
      </c>
      <c r="Z293" s="4">
        <f>IFERROR(INDEX(Table5[],MATCH($B293,Table5[Component],0),1),0)</f>
        <v>2024642</v>
      </c>
      <c r="AA293" s="4">
        <f>IF(Y293&lt;&gt;0,B293,"")</f>
        <v>2024642</v>
      </c>
      <c r="AB293" s="4" t="str">
        <f t="shared" si="33"/>
        <v/>
      </c>
      <c r="AD293" s="4">
        <f t="shared" si="34"/>
        <v>-31</v>
      </c>
      <c r="AI293" s="248" t="str">
        <f>IFERROR(INDEX($B$1:$AK$243,MATCH(W293,$B$1:$B$243,0),13),"")</f>
        <v/>
      </c>
      <c r="AJ293" s="248" t="str">
        <f>IFERROR(INDEX($B$1:$AK$243,MATCH(W293,$B$1:$B$243,0),15),"")</f>
        <v/>
      </c>
      <c r="AK293">
        <f>SUMIF($W$2:$W$243,B293,$S$2:$S$243)</f>
        <v>0</v>
      </c>
      <c r="AN293" s="4"/>
      <c r="AO293" s="4"/>
      <c r="AQ293" s="4"/>
      <c r="AR293" s="4">
        <v>2017131</v>
      </c>
    </row>
    <row r="294" spans="1:44" ht="19.149999999999999" customHeight="1" x14ac:dyDescent="0.35">
      <c r="A294" s="250">
        <v>299</v>
      </c>
      <c r="B294" s="209">
        <v>1244960</v>
      </c>
      <c r="C294" s="2" t="s">
        <v>4088</v>
      </c>
      <c r="D294" s="2" t="s">
        <v>250</v>
      </c>
      <c r="E294" s="2">
        <v>1613</v>
      </c>
      <c r="F294" s="2" t="s">
        <v>170</v>
      </c>
      <c r="G294" s="2" t="s">
        <v>4314</v>
      </c>
      <c r="H294" s="10">
        <f>SUMIFS('Cutters Consumption Updates'!$F:$F,'Cutters Consumption Updates'!$D:$D,H$1,'Cutters Consumption Updates'!$B:$B,$B294)-SUMIFS('Cutters Consumption Updates'!$E:$E,'Cutters Consumption Updates'!$D:$D,H$1,'Cutters Consumption Updates'!$B:$B,$B294)+ SUMIF('Cutters Consumption Updates'!$AS:$AS,$B294,'Cutters Consumption Updates'!AT:AT)</f>
        <v>0</v>
      </c>
      <c r="I294" s="10">
        <f>SUMIFS('Cutters Consumption Updates'!$F:$F,'Cutters Consumption Updates'!$D:$D,I$1,'Cutters Consumption Updates'!$B:$B,$B294)-SUMIFS('Cutters Consumption Updates'!$E:$E,'Cutters Consumption Updates'!$D:$D,I$1,'Cutters Consumption Updates'!$B:$B,$B294)+ SUMIF('Cutters Consumption Updates'!$AS:$AS,$B294,'Cutters Consumption Updates'!AU:AU)</f>
        <v>0</v>
      </c>
      <c r="J294" s="116">
        <f>SUMIFS('Cutters Consumption Updates'!$F:$F,'Cutters Consumption Updates'!$D:$D,J$1,'Cutters Consumption Updates'!$B:$B,$B294)-SUMIFS('Cutters Consumption Updates'!$E:$E,'Cutters Consumption Updates'!$D:$D,J$1,'Cutters Consumption Updates'!$B:$B,$B294)+ SUMIF('Cutters Consumption Updates'!$AS:$AS,$B294,'Cutters Consumption Updates'!AV:AV)</f>
        <v>0</v>
      </c>
      <c r="K294" s="738">
        <f>SUMIFS('Cutters Consumption Updates'!$F:$F,'Cutters Consumption Updates'!$D:$D,K$1,'Cutters Consumption Updates'!$B:$B,$B294)-SUMIFS('Cutters Consumption Updates'!$E:$E,'Cutters Consumption Updates'!$D:$D,K$1,'Cutters Consumption Updates'!$B:$B,$B294)+ SUMIF('Cutters Consumption Updates'!$AS:$AS,$B294,'Cutters Consumption Updates'!AW:AW)</f>
        <v>0</v>
      </c>
      <c r="L294" s="116">
        <f>SUMIFS('Cutters Consumption Updates'!$F:$F,'Cutters Consumption Updates'!$D:$D,L$1,'Cutters Consumption Updates'!$B:$B,$B294)-SUMIFS('Cutters Consumption Updates'!$E:$E,'Cutters Consumption Updates'!$D:$D,$L$1,'Cutters Consumption Updates'!$B:$B,$B294)+SUMIFS('Cutters Consumption Updates'!$F:$F,'Cutters Consumption Updates'!$D:$D,"Retrofit",'Cutters Consumption Updates'!$B:$B,$B294)-SUMIFS('Cutters Consumption Updates'!$E:$E,'Cutters Consumption Updates'!$D:$D,"Retrofit",'Cutters Consumption Updates'!$B:$B,$B294)+ SUMIF('Cutters Consumption Updates'!$AS:$AS,$B294,'Cutters Consumption Updates'!AX:AX)</f>
        <v>25</v>
      </c>
      <c r="M294" s="810">
        <f t="shared" si="29"/>
        <v>25</v>
      </c>
      <c r="N294" s="810">
        <f ca="1">SUMIFS('Cutters Consumption Updates'!E:E,
        'Cutters Consumption Updates'!B:B, B294,
        'Cutters Consumption Updates'!A:A, "&gt;" &amp; TODAY()-182)</f>
        <v>0</v>
      </c>
      <c r="O294" s="810">
        <f ca="1">SUMIFS('Cutters Consumption Updates'!E:E,
        'Cutters Consumption Updates'!B:B, B294,
        'Cutters Consumption Updates'!A:A, "&gt;" &amp; TODAY()-91)</f>
        <v>0</v>
      </c>
      <c r="P294" s="811"/>
      <c r="Q294" s="703">
        <f t="shared" si="31"/>
        <v>0</v>
      </c>
      <c r="R294" s="705"/>
      <c r="S294" s="24">
        <f>IFERROR(INDEX(Table5[],MATCH($B294,Table5[Component],0),2),0)</f>
        <v>0</v>
      </c>
      <c r="T294" s="813">
        <f>SUMIFS(Table7[Balance],Table7[Cutter Mat'#],$B294)</f>
        <v>0</v>
      </c>
      <c r="U294" s="24">
        <f t="shared" si="32"/>
        <v>25</v>
      </c>
      <c r="V294" s="119"/>
      <c r="W294" s="2"/>
      <c r="Y294" s="4">
        <f>IFERROR(INDEX(Table5[],MATCH($B294,Table5[Component],0),2),0)</f>
        <v>0</v>
      </c>
      <c r="Z294" s="4">
        <f>IFERROR(INDEX(Table5[],MATCH($B294,Table5[Component],0),1),0)</f>
        <v>0</v>
      </c>
      <c r="AA294" s="4" t="str">
        <f>IF(Y294&lt;&gt;0,B294,"")</f>
        <v/>
      </c>
      <c r="AB294" s="4" t="str">
        <f t="shared" si="33"/>
        <v/>
      </c>
      <c r="AD294" s="4">
        <f t="shared" si="34"/>
        <v>25</v>
      </c>
      <c r="AI294" s="248" t="str">
        <f>IFERROR(INDEX($B$1:$AK$243,MATCH(W294,$B$1:$B$243,0),13),"")</f>
        <v/>
      </c>
      <c r="AJ294" s="248" t="str">
        <f>IFERROR(INDEX($B$1:$AK$243,MATCH(W294,$B$1:$B$243,0),15),"")</f>
        <v/>
      </c>
      <c r="AK294">
        <f>SUMIF($W$2:$W$243,B294,$S$2:$S$243)</f>
        <v>0</v>
      </c>
      <c r="AN294" s="4"/>
      <c r="AO294" s="4"/>
      <c r="AQ294" s="4"/>
      <c r="AR294" s="4">
        <v>2020817</v>
      </c>
    </row>
    <row r="295" spans="1:44" ht="19.149999999999999" customHeight="1" x14ac:dyDescent="0.35">
      <c r="A295" s="250">
        <v>300</v>
      </c>
      <c r="B295" s="209">
        <v>2028302</v>
      </c>
      <c r="C295" s="2" t="s">
        <v>4089</v>
      </c>
      <c r="D295" s="2" t="s">
        <v>251</v>
      </c>
      <c r="E295" s="2">
        <v>1313</v>
      </c>
      <c r="F295" s="2" t="s">
        <v>170</v>
      </c>
      <c r="G295" s="2" t="s">
        <v>4336</v>
      </c>
      <c r="H295" s="10">
        <f>SUMIFS('Cutters Consumption Updates'!$F:$F,'Cutters Consumption Updates'!$D:$D,H$1,'Cutters Consumption Updates'!$B:$B,$B295)-SUMIFS('Cutters Consumption Updates'!$E:$E,'Cutters Consumption Updates'!$D:$D,H$1,'Cutters Consumption Updates'!$B:$B,$B295)+ SUMIF('Cutters Consumption Updates'!$AS:$AS,$B295,'Cutters Consumption Updates'!AT:AT)</f>
        <v>0</v>
      </c>
      <c r="I295" s="10">
        <f>SUMIFS('Cutters Consumption Updates'!$F:$F,'Cutters Consumption Updates'!$D:$D,I$1,'Cutters Consumption Updates'!$B:$B,$B295)-SUMIFS('Cutters Consumption Updates'!$E:$E,'Cutters Consumption Updates'!$D:$D,I$1,'Cutters Consumption Updates'!$B:$B,$B295)+ SUMIF('Cutters Consumption Updates'!$AS:$AS,$B295,'Cutters Consumption Updates'!AU:AU)</f>
        <v>0</v>
      </c>
      <c r="J295" s="116">
        <f>SUMIFS('Cutters Consumption Updates'!$F:$F,'Cutters Consumption Updates'!$D:$D,J$1,'Cutters Consumption Updates'!$B:$B,$B295)-SUMIFS('Cutters Consumption Updates'!$E:$E,'Cutters Consumption Updates'!$D:$D,J$1,'Cutters Consumption Updates'!$B:$B,$B295)+ SUMIF('Cutters Consumption Updates'!$AS:$AS,$B295,'Cutters Consumption Updates'!AV:AV)</f>
        <v>0</v>
      </c>
      <c r="K295" s="738">
        <f>SUMIFS('Cutters Consumption Updates'!$F:$F,'Cutters Consumption Updates'!$D:$D,K$1,'Cutters Consumption Updates'!$B:$B,$B295)-SUMIFS('Cutters Consumption Updates'!$E:$E,'Cutters Consumption Updates'!$D:$D,K$1,'Cutters Consumption Updates'!$B:$B,$B295)+ SUMIF('Cutters Consumption Updates'!$AS:$AS,$B295,'Cutters Consumption Updates'!AW:AW)</f>
        <v>0</v>
      </c>
      <c r="L295" s="116">
        <f>SUMIFS('Cutters Consumption Updates'!$F:$F,'Cutters Consumption Updates'!$D:$D,L$1,'Cutters Consumption Updates'!$B:$B,$B295)-SUMIFS('Cutters Consumption Updates'!$E:$E,'Cutters Consumption Updates'!$D:$D,$L$1,'Cutters Consumption Updates'!$B:$B,$B295)+SUMIFS('Cutters Consumption Updates'!$F:$F,'Cutters Consumption Updates'!$D:$D,"Retrofit",'Cutters Consumption Updates'!$B:$B,$B295)-SUMIFS('Cutters Consumption Updates'!$E:$E,'Cutters Consumption Updates'!$D:$D,"Retrofit",'Cutters Consumption Updates'!$B:$B,$B295)+ SUMIF('Cutters Consumption Updates'!$AS:$AS,$B295,'Cutters Consumption Updates'!AX:AX)</f>
        <v>25</v>
      </c>
      <c r="M295" s="810">
        <f t="shared" si="29"/>
        <v>25</v>
      </c>
      <c r="N295" s="810">
        <f ca="1">SUMIFS('Cutters Consumption Updates'!E:E,
        'Cutters Consumption Updates'!B:B, B295,
        'Cutters Consumption Updates'!A:A, "&gt;" &amp; TODAY()-182)</f>
        <v>0</v>
      </c>
      <c r="O295" s="810">
        <f ca="1">SUMIFS('Cutters Consumption Updates'!E:E,
        'Cutters Consumption Updates'!B:B, B295,
        'Cutters Consumption Updates'!A:A, "&gt;" &amp; TODAY()-91)</f>
        <v>0</v>
      </c>
      <c r="P295" s="811"/>
      <c r="Q295" s="703">
        <f t="shared" si="31"/>
        <v>0</v>
      </c>
      <c r="R295" s="705"/>
      <c r="S295" s="24">
        <f>IFERROR(INDEX(Table5[],MATCH($B295,Table5[Component],0),2),0)</f>
        <v>0</v>
      </c>
      <c r="T295" s="813">
        <f>SUMIFS(Table7[Balance],Table7[Cutter Mat'#],$B295)</f>
        <v>0</v>
      </c>
      <c r="U295" s="24">
        <f t="shared" si="32"/>
        <v>25</v>
      </c>
      <c r="V295" s="119"/>
      <c r="W295" s="2"/>
      <c r="Y295" s="4">
        <f>IFERROR(INDEX(Table5[],MATCH($B295,Table5[Component],0),2),0)</f>
        <v>0</v>
      </c>
      <c r="Z295" s="4">
        <f>IFERROR(INDEX(Table5[],MATCH($B295,Table5[Component],0),1),0)</f>
        <v>0</v>
      </c>
      <c r="AA295" s="4" t="str">
        <f>IF(Y295&lt;&gt;0,B295,"")</f>
        <v/>
      </c>
      <c r="AB295" s="4" t="str">
        <f t="shared" si="33"/>
        <v/>
      </c>
      <c r="AD295" s="4">
        <f t="shared" si="34"/>
        <v>25</v>
      </c>
      <c r="AI295" s="248" t="str">
        <f>IFERROR(INDEX($B$1:$AK$243,MATCH(W295,$B$1:$B$243,0),13),"")</f>
        <v/>
      </c>
      <c r="AJ295" s="248" t="str">
        <f>IFERROR(INDEX($B$1:$AK$243,MATCH(W295,$B$1:$B$243,0),15),"")</f>
        <v/>
      </c>
      <c r="AK295">
        <f>SUMIF($W$2:$W$243,B295,$S$2:$S$243)</f>
        <v>0</v>
      </c>
      <c r="AN295" s="4"/>
      <c r="AO295" s="4"/>
      <c r="AQ295" s="4"/>
      <c r="AR295" s="4">
        <v>2022731</v>
      </c>
    </row>
    <row r="296" spans="1:44" ht="19.149999999999999" customHeight="1" x14ac:dyDescent="0.35">
      <c r="A296" s="250">
        <v>301</v>
      </c>
      <c r="B296" s="209">
        <v>2028303</v>
      </c>
      <c r="C296" s="2" t="s">
        <v>4090</v>
      </c>
      <c r="D296" s="2" t="s">
        <v>251</v>
      </c>
      <c r="E296" s="2">
        <v>1613</v>
      </c>
      <c r="F296" s="2" t="s">
        <v>170</v>
      </c>
      <c r="G296" s="2" t="s">
        <v>4336</v>
      </c>
      <c r="H296" s="10">
        <f>SUMIFS('Cutters Consumption Updates'!$F:$F,'Cutters Consumption Updates'!$D:$D,H$1,'Cutters Consumption Updates'!$B:$B,$B296)-SUMIFS('Cutters Consumption Updates'!$E:$E,'Cutters Consumption Updates'!$D:$D,H$1,'Cutters Consumption Updates'!$B:$B,$B296)+ SUMIF('Cutters Consumption Updates'!$AS:$AS,$B296,'Cutters Consumption Updates'!AT:AT)</f>
        <v>0</v>
      </c>
      <c r="I296" s="10">
        <f>SUMIFS('Cutters Consumption Updates'!$F:$F,'Cutters Consumption Updates'!$D:$D,I$1,'Cutters Consumption Updates'!$B:$B,$B296)-SUMIFS('Cutters Consumption Updates'!$E:$E,'Cutters Consumption Updates'!$D:$D,I$1,'Cutters Consumption Updates'!$B:$B,$B296)+ SUMIF('Cutters Consumption Updates'!$AS:$AS,$B296,'Cutters Consumption Updates'!AU:AU)</f>
        <v>0</v>
      </c>
      <c r="J296" s="116">
        <f>SUMIFS('Cutters Consumption Updates'!$F:$F,'Cutters Consumption Updates'!$D:$D,J$1,'Cutters Consumption Updates'!$B:$B,$B296)-SUMIFS('Cutters Consumption Updates'!$E:$E,'Cutters Consumption Updates'!$D:$D,J$1,'Cutters Consumption Updates'!$B:$B,$B296)+ SUMIF('Cutters Consumption Updates'!$AS:$AS,$B296,'Cutters Consumption Updates'!AV:AV)</f>
        <v>0</v>
      </c>
      <c r="K296" s="738">
        <f>SUMIFS('Cutters Consumption Updates'!$F:$F,'Cutters Consumption Updates'!$D:$D,K$1,'Cutters Consumption Updates'!$B:$B,$B296)-SUMIFS('Cutters Consumption Updates'!$E:$E,'Cutters Consumption Updates'!$D:$D,K$1,'Cutters Consumption Updates'!$B:$B,$B296)+ SUMIF('Cutters Consumption Updates'!$AS:$AS,$B296,'Cutters Consumption Updates'!AW:AW)</f>
        <v>0</v>
      </c>
      <c r="L296" s="116">
        <f>SUMIFS('Cutters Consumption Updates'!$F:$F,'Cutters Consumption Updates'!$D:$D,L$1,'Cutters Consumption Updates'!$B:$B,$B296)-SUMIFS('Cutters Consumption Updates'!$E:$E,'Cutters Consumption Updates'!$D:$D,$L$1,'Cutters Consumption Updates'!$B:$B,$B296)+SUMIFS('Cutters Consumption Updates'!$F:$F,'Cutters Consumption Updates'!$D:$D,"Retrofit",'Cutters Consumption Updates'!$B:$B,$B296)-SUMIFS('Cutters Consumption Updates'!$E:$E,'Cutters Consumption Updates'!$D:$D,"Retrofit",'Cutters Consumption Updates'!$B:$B,$B296)+ SUMIF('Cutters Consumption Updates'!$AS:$AS,$B296,'Cutters Consumption Updates'!AX:AX)</f>
        <v>48</v>
      </c>
      <c r="M296" s="810">
        <f t="shared" si="29"/>
        <v>48</v>
      </c>
      <c r="N296" s="810">
        <f ca="1">SUMIFS('Cutters Consumption Updates'!E:E,
        'Cutters Consumption Updates'!B:B, B296,
        'Cutters Consumption Updates'!A:A, "&gt;" &amp; TODAY()-182)</f>
        <v>12</v>
      </c>
      <c r="O296" s="810">
        <f ca="1">SUMIFS('Cutters Consumption Updates'!E:E,
        'Cutters Consumption Updates'!B:B, B296,
        'Cutters Consumption Updates'!A:A, "&gt;" &amp; TODAY()-91)</f>
        <v>12</v>
      </c>
      <c r="P296" s="811"/>
      <c r="Q296" s="703">
        <f t="shared" si="31"/>
        <v>0</v>
      </c>
      <c r="R296" s="705"/>
      <c r="S296" s="24">
        <f>IFERROR(INDEX(Table5[],MATCH($B296,Table5[Component],0),2),0)</f>
        <v>0</v>
      </c>
      <c r="T296" s="813">
        <f>SUMIFS(Table7[Balance],Table7[Cutter Mat'#],$B296)</f>
        <v>-30</v>
      </c>
      <c r="U296" s="24">
        <f t="shared" si="32"/>
        <v>18</v>
      </c>
      <c r="V296" s="119"/>
      <c r="W296" s="2"/>
      <c r="Y296" s="4">
        <f>IFERROR(INDEX(Table5[],MATCH($B296,Table5[Component],0),2),0)</f>
        <v>0</v>
      </c>
      <c r="Z296" s="4">
        <f>IFERROR(INDEX(Table5[],MATCH($B296,Table5[Component],0),1),0)</f>
        <v>0</v>
      </c>
      <c r="AA296" s="4" t="str">
        <f>IF(Y296&lt;&gt;0,B296,"")</f>
        <v/>
      </c>
      <c r="AB296" s="4" t="str">
        <f t="shared" si="33"/>
        <v/>
      </c>
      <c r="AD296" s="4">
        <f t="shared" si="34"/>
        <v>48</v>
      </c>
      <c r="AI296" s="248" t="str">
        <f>IFERROR(INDEX($B$1:$AK$243,MATCH(W296,$B$1:$B$243,0),13),"")</f>
        <v/>
      </c>
      <c r="AJ296" s="248" t="str">
        <f>IFERROR(INDEX($B$1:$AK$243,MATCH(W296,$B$1:$B$243,0),15),"")</f>
        <v/>
      </c>
      <c r="AK296">
        <f>SUMIF($W$2:$W$243,B296,$S$2:$S$243)</f>
        <v>0</v>
      </c>
      <c r="AN296" s="4"/>
      <c r="AO296" s="4"/>
      <c r="AQ296" s="4"/>
      <c r="AR296" s="4">
        <v>2023242</v>
      </c>
    </row>
    <row r="297" spans="1:44" ht="19.149999999999999" customHeight="1" x14ac:dyDescent="0.35">
      <c r="A297" s="250">
        <v>302</v>
      </c>
      <c r="B297" s="209">
        <v>2023674</v>
      </c>
      <c r="C297" s="2" t="s">
        <v>4091</v>
      </c>
      <c r="D297" s="2" t="s">
        <v>250</v>
      </c>
      <c r="E297" s="2">
        <v>1313</v>
      </c>
      <c r="F297" s="2" t="s">
        <v>177</v>
      </c>
      <c r="G297" s="2" t="s">
        <v>4314</v>
      </c>
      <c r="H297" s="10">
        <f>SUMIFS('Cutters Consumption Updates'!$F:$F,'Cutters Consumption Updates'!$D:$D,H$1,'Cutters Consumption Updates'!$B:$B,$B297)-SUMIFS('Cutters Consumption Updates'!$E:$E,'Cutters Consumption Updates'!$D:$D,H$1,'Cutters Consumption Updates'!$B:$B,$B297)+ SUMIF('Cutters Consumption Updates'!$AS:$AS,$B297,'Cutters Consumption Updates'!AT:AT)</f>
        <v>0</v>
      </c>
      <c r="I297" s="10">
        <f>SUMIFS('Cutters Consumption Updates'!$F:$F,'Cutters Consumption Updates'!$D:$D,I$1,'Cutters Consumption Updates'!$B:$B,$B297)-SUMIFS('Cutters Consumption Updates'!$E:$E,'Cutters Consumption Updates'!$D:$D,I$1,'Cutters Consumption Updates'!$B:$B,$B297)+ SUMIF('Cutters Consumption Updates'!$AS:$AS,$B297,'Cutters Consumption Updates'!AU:AU)</f>
        <v>0</v>
      </c>
      <c r="J297" s="116">
        <f>SUMIFS('Cutters Consumption Updates'!$F:$F,'Cutters Consumption Updates'!$D:$D,J$1,'Cutters Consumption Updates'!$B:$B,$B297)-SUMIFS('Cutters Consumption Updates'!$E:$E,'Cutters Consumption Updates'!$D:$D,J$1,'Cutters Consumption Updates'!$B:$B,$B297)+ SUMIF('Cutters Consumption Updates'!$AS:$AS,$B297,'Cutters Consumption Updates'!AV:AV)</f>
        <v>0</v>
      </c>
      <c r="K297" s="738">
        <f>SUMIFS('Cutters Consumption Updates'!$F:$F,'Cutters Consumption Updates'!$D:$D,K$1,'Cutters Consumption Updates'!$B:$B,$B297)-SUMIFS('Cutters Consumption Updates'!$E:$E,'Cutters Consumption Updates'!$D:$D,K$1,'Cutters Consumption Updates'!$B:$B,$B297)+ SUMIF('Cutters Consumption Updates'!$AS:$AS,$B297,'Cutters Consumption Updates'!AW:AW)</f>
        <v>0</v>
      </c>
      <c r="L297" s="116">
        <f>SUMIFS('Cutters Consumption Updates'!$F:$F,'Cutters Consumption Updates'!$D:$D,L$1,'Cutters Consumption Updates'!$B:$B,$B297)-SUMIFS('Cutters Consumption Updates'!$E:$E,'Cutters Consumption Updates'!$D:$D,$L$1,'Cutters Consumption Updates'!$B:$B,$B297)+SUMIFS('Cutters Consumption Updates'!$F:$F,'Cutters Consumption Updates'!$D:$D,"Retrofit",'Cutters Consumption Updates'!$B:$B,$B297)-SUMIFS('Cutters Consumption Updates'!$E:$E,'Cutters Consumption Updates'!$D:$D,"Retrofit",'Cutters Consumption Updates'!$B:$B,$B297)+ SUMIF('Cutters Consumption Updates'!$AS:$AS,$B297,'Cutters Consumption Updates'!AX:AX)</f>
        <v>0</v>
      </c>
      <c r="M297" s="810">
        <f t="shared" si="29"/>
        <v>0</v>
      </c>
      <c r="N297" s="810">
        <f ca="1">SUMIFS('Cutters Consumption Updates'!E:E,
        'Cutters Consumption Updates'!B:B, B297,
        'Cutters Consumption Updates'!A:A, "&gt;" &amp; TODAY()-182)</f>
        <v>0</v>
      </c>
      <c r="O297" s="810">
        <f ca="1">SUMIFS('Cutters Consumption Updates'!E:E,
        'Cutters Consumption Updates'!B:B, B297,
        'Cutters Consumption Updates'!A:A, "&gt;" &amp; TODAY()-91)</f>
        <v>0</v>
      </c>
      <c r="P297" s="811"/>
      <c r="Q297" s="703">
        <f t="shared" si="31"/>
        <v>0</v>
      </c>
      <c r="R297" s="705"/>
      <c r="S297" s="24">
        <f>IFERROR(INDEX(Table5[],MATCH($B297,Table5[Component],0),2),0)</f>
        <v>0</v>
      </c>
      <c r="T297" s="813">
        <f>SUMIFS(Table7[Balance],Table7[Cutter Mat'#],$B297)</f>
        <v>0</v>
      </c>
      <c r="U297" s="24">
        <f t="shared" si="32"/>
        <v>0</v>
      </c>
      <c r="V297" s="119"/>
      <c r="W297" s="2"/>
      <c r="Y297" s="4">
        <f>IFERROR(INDEX(Table5[],MATCH($B297,Table5[Component],0),2),0)</f>
        <v>0</v>
      </c>
      <c r="Z297" s="4">
        <f>IFERROR(INDEX(Table5[],MATCH($B297,Table5[Component],0),1),0)</f>
        <v>0</v>
      </c>
      <c r="AA297" s="4" t="str">
        <f>IF(Y297&lt;&gt;0,B297,"")</f>
        <v/>
      </c>
      <c r="AB297" s="4" t="str">
        <f t="shared" si="33"/>
        <v/>
      </c>
      <c r="AD297" s="4">
        <f t="shared" si="34"/>
        <v>0</v>
      </c>
      <c r="AI297" s="248" t="str">
        <f>IFERROR(INDEX($B$1:$AK$243,MATCH(W297,$B$1:$B$243,0),13),"")</f>
        <v/>
      </c>
      <c r="AJ297" s="248" t="str">
        <f>IFERROR(INDEX($B$1:$AK$243,MATCH(W297,$B$1:$B$243,0),15),"")</f>
        <v/>
      </c>
      <c r="AK297">
        <f>SUMIF($W$2:$W$243,B297,$S$2:$S$243)</f>
        <v>0</v>
      </c>
      <c r="AN297" s="4"/>
      <c r="AO297" s="4"/>
      <c r="AQ297" s="4"/>
      <c r="AR297" s="4">
        <v>2023674</v>
      </c>
    </row>
    <row r="298" spans="1:44" ht="19.149999999999999" customHeight="1" x14ac:dyDescent="0.35">
      <c r="A298" s="250">
        <v>303</v>
      </c>
      <c r="B298" s="209">
        <v>2029244</v>
      </c>
      <c r="C298" s="2" t="s">
        <v>4092</v>
      </c>
      <c r="D298" s="2" t="s">
        <v>252</v>
      </c>
      <c r="E298" s="2">
        <v>1313</v>
      </c>
      <c r="F298" s="2" t="s">
        <v>177</v>
      </c>
      <c r="G298" s="2" t="s">
        <v>4411</v>
      </c>
      <c r="H298" s="10">
        <f>SUMIFS('Cutters Consumption Updates'!$F:$F,'Cutters Consumption Updates'!$D:$D,H$1,'Cutters Consumption Updates'!$B:$B,$B298)-SUMIFS('Cutters Consumption Updates'!$E:$E,'Cutters Consumption Updates'!$D:$D,H$1,'Cutters Consumption Updates'!$B:$B,$B298)+ SUMIF('Cutters Consumption Updates'!$AS:$AS,$B298,'Cutters Consumption Updates'!AT:AT)</f>
        <v>0</v>
      </c>
      <c r="I298" s="10">
        <f>SUMIFS('Cutters Consumption Updates'!$F:$F,'Cutters Consumption Updates'!$D:$D,I$1,'Cutters Consumption Updates'!$B:$B,$B298)-SUMIFS('Cutters Consumption Updates'!$E:$E,'Cutters Consumption Updates'!$D:$D,I$1,'Cutters Consumption Updates'!$B:$B,$B298)+ SUMIF('Cutters Consumption Updates'!$AS:$AS,$B298,'Cutters Consumption Updates'!AU:AU)</f>
        <v>0</v>
      </c>
      <c r="J298" s="116">
        <f>SUMIFS('Cutters Consumption Updates'!$F:$F,'Cutters Consumption Updates'!$D:$D,J$1,'Cutters Consumption Updates'!$B:$B,$B298)-SUMIFS('Cutters Consumption Updates'!$E:$E,'Cutters Consumption Updates'!$D:$D,J$1,'Cutters Consumption Updates'!$B:$B,$B298)+ SUMIF('Cutters Consumption Updates'!$AS:$AS,$B298,'Cutters Consumption Updates'!AV:AV)</f>
        <v>0</v>
      </c>
      <c r="K298" s="738">
        <f>SUMIFS('Cutters Consumption Updates'!$F:$F,'Cutters Consumption Updates'!$D:$D,K$1,'Cutters Consumption Updates'!$B:$B,$B298)-SUMIFS('Cutters Consumption Updates'!$E:$E,'Cutters Consumption Updates'!$D:$D,K$1,'Cutters Consumption Updates'!$B:$B,$B298)+ SUMIF('Cutters Consumption Updates'!$AS:$AS,$B298,'Cutters Consumption Updates'!AW:AW)</f>
        <v>0</v>
      </c>
      <c r="L298" s="116">
        <f>SUMIFS('Cutters Consumption Updates'!$F:$F,'Cutters Consumption Updates'!$D:$D,L$1,'Cutters Consumption Updates'!$B:$B,$B298)-SUMIFS('Cutters Consumption Updates'!$E:$E,'Cutters Consumption Updates'!$D:$D,$L$1,'Cutters Consumption Updates'!$B:$B,$B298)+SUMIFS('Cutters Consumption Updates'!$F:$F,'Cutters Consumption Updates'!$D:$D,"Retrofit",'Cutters Consumption Updates'!$B:$B,$B298)-SUMIFS('Cutters Consumption Updates'!$E:$E,'Cutters Consumption Updates'!$D:$D,"Retrofit",'Cutters Consumption Updates'!$B:$B,$B298)+ SUMIF('Cutters Consumption Updates'!$AS:$AS,$B298,'Cutters Consumption Updates'!AX:AX)</f>
        <v>0</v>
      </c>
      <c r="M298" s="810">
        <f t="shared" si="29"/>
        <v>0</v>
      </c>
      <c r="N298" s="810">
        <f ca="1">SUMIFS('Cutters Consumption Updates'!E:E,
        'Cutters Consumption Updates'!B:B, B298,
        'Cutters Consumption Updates'!A:A, "&gt;" &amp; TODAY()-182)</f>
        <v>0</v>
      </c>
      <c r="O298" s="810">
        <f ca="1">SUMIFS('Cutters Consumption Updates'!E:E,
        'Cutters Consumption Updates'!B:B, B298,
        'Cutters Consumption Updates'!A:A, "&gt;" &amp; TODAY()-91)</f>
        <v>0</v>
      </c>
      <c r="P298" s="811"/>
      <c r="Q298" s="703">
        <f t="shared" si="31"/>
        <v>0</v>
      </c>
      <c r="R298" s="705"/>
      <c r="S298" s="24">
        <f>IFERROR(INDEX(Table5[],MATCH($B298,Table5[Component],0),2),0)</f>
        <v>0</v>
      </c>
      <c r="T298" s="813">
        <f>SUMIFS(Table7[Balance],Table7[Cutter Mat'#],$B298)</f>
        <v>20</v>
      </c>
      <c r="U298" s="24">
        <f t="shared" si="32"/>
        <v>20</v>
      </c>
      <c r="V298" s="119"/>
      <c r="W298" s="2"/>
      <c r="Y298" s="4">
        <f>IFERROR(INDEX(Table5[],MATCH($B298,Table5[Component],0),2),0)</f>
        <v>0</v>
      </c>
      <c r="Z298" s="4">
        <f>IFERROR(INDEX(Table5[],MATCH($B298,Table5[Component],0),1),0)</f>
        <v>0</v>
      </c>
      <c r="AA298" s="4" t="str">
        <f>IF(Y298&lt;&gt;0,B298,"")</f>
        <v/>
      </c>
      <c r="AB298" s="4" t="str">
        <f t="shared" si="33"/>
        <v/>
      </c>
      <c r="AD298" s="4">
        <f t="shared" si="34"/>
        <v>0</v>
      </c>
      <c r="AI298" s="248" t="str">
        <f>IFERROR(INDEX($B$1:$AK$243,MATCH(W298,$B$1:$B$243,0),13),"")</f>
        <v/>
      </c>
      <c r="AJ298" s="248" t="str">
        <f>IFERROR(INDEX($B$1:$AK$243,MATCH(W298,$B$1:$B$243,0),15),"")</f>
        <v/>
      </c>
      <c r="AK298">
        <f>SUMIF($W$2:$W$243,B298,$S$2:$S$243)</f>
        <v>0</v>
      </c>
      <c r="AN298" s="4"/>
      <c r="AO298" s="4"/>
      <c r="AQ298" s="4"/>
      <c r="AR298" s="4">
        <v>2024640</v>
      </c>
    </row>
    <row r="299" spans="1:44" ht="19.149999999999999" customHeight="1" x14ac:dyDescent="0.35">
      <c r="A299" s="250">
        <v>304</v>
      </c>
      <c r="B299" s="209">
        <v>1187117</v>
      </c>
      <c r="C299" s="2" t="s">
        <v>4093</v>
      </c>
      <c r="D299" s="2" t="s">
        <v>205</v>
      </c>
      <c r="E299" s="2">
        <v>1313</v>
      </c>
      <c r="F299" s="2" t="s">
        <v>253</v>
      </c>
      <c r="G299" s="2" t="s">
        <v>4412</v>
      </c>
      <c r="H299" s="10">
        <f>SUMIFS('Cutters Consumption Updates'!$F:$F,'Cutters Consumption Updates'!$D:$D,H$1,'Cutters Consumption Updates'!$B:$B,$B299)-SUMIFS('Cutters Consumption Updates'!$E:$E,'Cutters Consumption Updates'!$D:$D,H$1,'Cutters Consumption Updates'!$B:$B,$B299)+ SUMIF('Cutters Consumption Updates'!$AS:$AS,$B299,'Cutters Consumption Updates'!AT:AT)</f>
        <v>0</v>
      </c>
      <c r="I299" s="10">
        <f>SUMIFS('Cutters Consumption Updates'!$F:$F,'Cutters Consumption Updates'!$D:$D,I$1,'Cutters Consumption Updates'!$B:$B,$B299)-SUMIFS('Cutters Consumption Updates'!$E:$E,'Cutters Consumption Updates'!$D:$D,I$1,'Cutters Consumption Updates'!$B:$B,$B299)+ SUMIF('Cutters Consumption Updates'!$AS:$AS,$B299,'Cutters Consumption Updates'!AU:AU)</f>
        <v>0</v>
      </c>
      <c r="J299" s="116">
        <f>SUMIFS('Cutters Consumption Updates'!$F:$F,'Cutters Consumption Updates'!$D:$D,J$1,'Cutters Consumption Updates'!$B:$B,$B299)-SUMIFS('Cutters Consumption Updates'!$E:$E,'Cutters Consumption Updates'!$D:$D,J$1,'Cutters Consumption Updates'!$B:$B,$B299)+ SUMIF('Cutters Consumption Updates'!$AS:$AS,$B299,'Cutters Consumption Updates'!AV:AV)</f>
        <v>0</v>
      </c>
      <c r="K299" s="738">
        <f>SUMIFS('Cutters Consumption Updates'!$F:$F,'Cutters Consumption Updates'!$D:$D,K$1,'Cutters Consumption Updates'!$B:$B,$B299)-SUMIFS('Cutters Consumption Updates'!$E:$E,'Cutters Consumption Updates'!$D:$D,K$1,'Cutters Consumption Updates'!$B:$B,$B299)+ SUMIF('Cutters Consumption Updates'!$AS:$AS,$B299,'Cutters Consumption Updates'!AW:AW)</f>
        <v>0</v>
      </c>
      <c r="L299" s="116">
        <f>SUMIFS('Cutters Consumption Updates'!$F:$F,'Cutters Consumption Updates'!$D:$D,L$1,'Cutters Consumption Updates'!$B:$B,$B299)-SUMIFS('Cutters Consumption Updates'!$E:$E,'Cutters Consumption Updates'!$D:$D,$L$1,'Cutters Consumption Updates'!$B:$B,$B299)+SUMIFS('Cutters Consumption Updates'!$F:$F,'Cutters Consumption Updates'!$D:$D,"Retrofit",'Cutters Consumption Updates'!$B:$B,$B299)-SUMIFS('Cutters Consumption Updates'!$E:$E,'Cutters Consumption Updates'!$D:$D,"Retrofit",'Cutters Consumption Updates'!$B:$B,$B299)+ SUMIF('Cutters Consumption Updates'!$AS:$AS,$B299,'Cutters Consumption Updates'!AX:AX)</f>
        <v>15</v>
      </c>
      <c r="M299" s="810">
        <f t="shared" si="29"/>
        <v>15</v>
      </c>
      <c r="N299" s="810">
        <f ca="1">SUMIFS('Cutters Consumption Updates'!E:E,
        'Cutters Consumption Updates'!B:B, B299,
        'Cutters Consumption Updates'!A:A, "&gt;" &amp; TODAY()-182)</f>
        <v>0</v>
      </c>
      <c r="O299" s="810">
        <f ca="1">SUMIFS('Cutters Consumption Updates'!E:E,
        'Cutters Consumption Updates'!B:B, B299,
        'Cutters Consumption Updates'!A:A, "&gt;" &amp; TODAY()-91)</f>
        <v>0</v>
      </c>
      <c r="P299" s="811"/>
      <c r="Q299" s="703">
        <f t="shared" si="31"/>
        <v>0</v>
      </c>
      <c r="R299" s="705"/>
      <c r="S299" s="24">
        <f>IFERROR(INDEX(Table5[],MATCH($B299,Table5[Component],0),2),0)</f>
        <v>0</v>
      </c>
      <c r="T299" s="813">
        <f>SUMIFS(Table7[Balance],Table7[Cutter Mat'#],$B299)</f>
        <v>0</v>
      </c>
      <c r="U299" s="24">
        <f t="shared" si="32"/>
        <v>15</v>
      </c>
      <c r="V299" s="119"/>
      <c r="W299" s="2"/>
      <c r="Y299" s="4">
        <f>IFERROR(INDEX(Table5[],MATCH($B299,Table5[Component],0),2),0)</f>
        <v>0</v>
      </c>
      <c r="Z299" s="4">
        <f>IFERROR(INDEX(Table5[],MATCH($B299,Table5[Component],0),1),0)</f>
        <v>0</v>
      </c>
      <c r="AA299" s="4" t="str">
        <f>IF(Y299&lt;&gt;0,B299,"")</f>
        <v/>
      </c>
      <c r="AB299" s="4" t="str">
        <f t="shared" si="33"/>
        <v/>
      </c>
      <c r="AD299" s="4">
        <f t="shared" si="34"/>
        <v>15</v>
      </c>
      <c r="AI299" s="248" t="str">
        <f>IFERROR(INDEX($B$1:$AK$243,MATCH(W299,$B$1:$B$243,0),13),"")</f>
        <v/>
      </c>
      <c r="AJ299" s="248" t="str">
        <f>IFERROR(INDEX($B$1:$AK$243,MATCH(W299,$B$1:$B$243,0),15),"")</f>
        <v/>
      </c>
      <c r="AK299">
        <f>SUMIF($W$2:$W$243,B299,$S$2:$S$243)</f>
        <v>0</v>
      </c>
      <c r="AN299" s="4"/>
      <c r="AO299" s="4"/>
      <c r="AQ299" s="4"/>
      <c r="AR299" s="4">
        <v>2024642</v>
      </c>
    </row>
    <row r="300" spans="1:44" ht="19.149999999999999" customHeight="1" x14ac:dyDescent="0.35">
      <c r="A300" s="250">
        <v>305</v>
      </c>
      <c r="B300" s="209">
        <v>2024640</v>
      </c>
      <c r="C300" s="2" t="s">
        <v>4116</v>
      </c>
      <c r="D300" s="2" t="s">
        <v>254</v>
      </c>
      <c r="E300" s="2">
        <v>1613</v>
      </c>
      <c r="F300" s="2" t="s">
        <v>177</v>
      </c>
      <c r="G300" s="2" t="s">
        <v>169</v>
      </c>
      <c r="H300" s="10">
        <f>SUMIFS('Cutters Consumption Updates'!$F:$F,'Cutters Consumption Updates'!$D:$D,H$1,'Cutters Consumption Updates'!$B:$B,$B300)-SUMIFS('Cutters Consumption Updates'!$E:$E,'Cutters Consumption Updates'!$D:$D,H$1,'Cutters Consumption Updates'!$B:$B,$B300)+ SUMIF('Cutters Consumption Updates'!$AS:$AS,$B300,'Cutters Consumption Updates'!AT:AT)</f>
        <v>0</v>
      </c>
      <c r="I300" s="10">
        <f>SUMIFS('Cutters Consumption Updates'!$F:$F,'Cutters Consumption Updates'!$D:$D,I$1,'Cutters Consumption Updates'!$B:$B,$B300)-SUMIFS('Cutters Consumption Updates'!$E:$E,'Cutters Consumption Updates'!$D:$D,I$1,'Cutters Consumption Updates'!$B:$B,$B300)+ SUMIF('Cutters Consumption Updates'!$AS:$AS,$B300,'Cutters Consumption Updates'!AU:AU)</f>
        <v>0</v>
      </c>
      <c r="J300" s="116">
        <f>SUMIFS('Cutters Consumption Updates'!$F:$F,'Cutters Consumption Updates'!$D:$D,J$1,'Cutters Consumption Updates'!$B:$B,$B300)-SUMIFS('Cutters Consumption Updates'!$E:$E,'Cutters Consumption Updates'!$D:$D,J$1,'Cutters Consumption Updates'!$B:$B,$B300)+ SUMIF('Cutters Consumption Updates'!$AS:$AS,$B300,'Cutters Consumption Updates'!AV:AV)</f>
        <v>0</v>
      </c>
      <c r="K300" s="738">
        <f>SUMIFS('Cutters Consumption Updates'!$F:$F,'Cutters Consumption Updates'!$D:$D,K$1,'Cutters Consumption Updates'!$B:$B,$B300)-SUMIFS('Cutters Consumption Updates'!$E:$E,'Cutters Consumption Updates'!$D:$D,K$1,'Cutters Consumption Updates'!$B:$B,$B300)+ SUMIF('Cutters Consumption Updates'!$AS:$AS,$B300,'Cutters Consumption Updates'!AW:AW)</f>
        <v>0</v>
      </c>
      <c r="L300" s="116">
        <f>SUMIFS('Cutters Consumption Updates'!$F:$F,'Cutters Consumption Updates'!$D:$D,L$1,'Cutters Consumption Updates'!$B:$B,$B300)-SUMIFS('Cutters Consumption Updates'!$E:$E,'Cutters Consumption Updates'!$D:$D,$L$1,'Cutters Consumption Updates'!$B:$B,$B300)+SUMIFS('Cutters Consumption Updates'!$F:$F,'Cutters Consumption Updates'!$D:$D,"Retrofit",'Cutters Consumption Updates'!$B:$B,$B300)-SUMIFS('Cutters Consumption Updates'!$E:$E,'Cutters Consumption Updates'!$D:$D,"Retrofit",'Cutters Consumption Updates'!$B:$B,$B300)+ SUMIF('Cutters Consumption Updates'!$AS:$AS,$B300,'Cutters Consumption Updates'!AX:AX)</f>
        <v>7</v>
      </c>
      <c r="M300" s="810">
        <f t="shared" si="29"/>
        <v>7</v>
      </c>
      <c r="N300" s="810">
        <f ca="1">SUMIFS('Cutters Consumption Updates'!E:E,
        'Cutters Consumption Updates'!B:B, B300,
        'Cutters Consumption Updates'!A:A, "&gt;" &amp; TODAY()-182)</f>
        <v>23</v>
      </c>
      <c r="O300" s="810">
        <f ca="1">SUMIFS('Cutters Consumption Updates'!E:E,
        'Cutters Consumption Updates'!B:B, B300,
        'Cutters Consumption Updates'!A:A, "&gt;" &amp; TODAY()-91)</f>
        <v>23</v>
      </c>
      <c r="P300" s="811"/>
      <c r="Q300" s="703">
        <f t="shared" si="31"/>
        <v>0</v>
      </c>
      <c r="R300" s="705"/>
      <c r="S300" s="24">
        <f>IFERROR(INDEX(Table5[],MATCH($B300,Table5[Component],0),2),0)</f>
        <v>0</v>
      </c>
      <c r="T300" s="813">
        <f>SUMIFS(Table7[Balance],Table7[Cutter Mat'#],$B300)</f>
        <v>0</v>
      </c>
      <c r="U300" s="24">
        <f t="shared" si="32"/>
        <v>7</v>
      </c>
      <c r="V300" s="119"/>
      <c r="W300" s="2"/>
      <c r="Y300" s="4">
        <f>IFERROR(INDEX(Table5[],MATCH($B300,Table5[Component],0),2),0)</f>
        <v>0</v>
      </c>
      <c r="Z300" s="4">
        <f>IFERROR(INDEX(Table5[],MATCH($B300,Table5[Component],0),1),0)</f>
        <v>0</v>
      </c>
      <c r="AA300" s="4" t="str">
        <f>IF(Y300&lt;&gt;0,B300,"")</f>
        <v/>
      </c>
      <c r="AB300" s="4" t="str">
        <f t="shared" si="33"/>
        <v/>
      </c>
      <c r="AD300" s="4">
        <f t="shared" si="34"/>
        <v>7</v>
      </c>
      <c r="AI300" s="248" t="str">
        <f>IFERROR(INDEX($B$1:$AK$243,MATCH(W300,$B$1:$B$243,0),13),"")</f>
        <v/>
      </c>
      <c r="AJ300" s="248" t="str">
        <f>IFERROR(INDEX($B$1:$AK$243,MATCH(W300,$B$1:$B$243,0),15),"")</f>
        <v/>
      </c>
      <c r="AK300">
        <f>SUMIF($W$2:$W$243,B300,$S$2:$S$243)</f>
        <v>0</v>
      </c>
      <c r="AN300" s="4"/>
      <c r="AO300" s="4"/>
      <c r="AQ300" s="4"/>
      <c r="AR300" s="4">
        <v>2024742</v>
      </c>
    </row>
    <row r="301" spans="1:44" ht="19.149999999999999" customHeight="1" x14ac:dyDescent="0.35">
      <c r="A301" s="250">
        <v>306</v>
      </c>
      <c r="B301" s="209">
        <v>2001657</v>
      </c>
      <c r="C301" s="2" t="s">
        <v>4094</v>
      </c>
      <c r="D301" s="2" t="s">
        <v>227</v>
      </c>
      <c r="E301" s="2">
        <v>1613</v>
      </c>
      <c r="F301" s="2" t="s">
        <v>109</v>
      </c>
      <c r="G301" s="2" t="s">
        <v>4407</v>
      </c>
      <c r="H301" s="10">
        <f>SUMIFS('Cutters Consumption Updates'!$F:$F,'Cutters Consumption Updates'!$D:$D,H$1,'Cutters Consumption Updates'!$B:$B,$B301)-SUMIFS('Cutters Consumption Updates'!$E:$E,'Cutters Consumption Updates'!$D:$D,H$1,'Cutters Consumption Updates'!$B:$B,$B301)+ SUMIF('Cutters Consumption Updates'!$AS:$AS,$B301,'Cutters Consumption Updates'!AT:AT)</f>
        <v>0</v>
      </c>
      <c r="I301" s="10">
        <f>SUMIFS('Cutters Consumption Updates'!$F:$F,'Cutters Consumption Updates'!$D:$D,I$1,'Cutters Consumption Updates'!$B:$B,$B301)-SUMIFS('Cutters Consumption Updates'!$E:$E,'Cutters Consumption Updates'!$D:$D,I$1,'Cutters Consumption Updates'!$B:$B,$B301)+ SUMIF('Cutters Consumption Updates'!$AS:$AS,$B301,'Cutters Consumption Updates'!AU:AU)</f>
        <v>0</v>
      </c>
      <c r="J301" s="116">
        <f>SUMIFS('Cutters Consumption Updates'!$F:$F,'Cutters Consumption Updates'!$D:$D,J$1,'Cutters Consumption Updates'!$B:$B,$B301)-SUMIFS('Cutters Consumption Updates'!$E:$E,'Cutters Consumption Updates'!$D:$D,J$1,'Cutters Consumption Updates'!$B:$B,$B301)+ SUMIF('Cutters Consumption Updates'!$AS:$AS,$B301,'Cutters Consumption Updates'!AV:AV)</f>
        <v>0</v>
      </c>
      <c r="K301" s="738">
        <f>SUMIFS('Cutters Consumption Updates'!$F:$F,'Cutters Consumption Updates'!$D:$D,K$1,'Cutters Consumption Updates'!$B:$B,$B301)-SUMIFS('Cutters Consumption Updates'!$E:$E,'Cutters Consumption Updates'!$D:$D,K$1,'Cutters Consumption Updates'!$B:$B,$B301)+ SUMIF('Cutters Consumption Updates'!$AS:$AS,$B301,'Cutters Consumption Updates'!AW:AW)</f>
        <v>0</v>
      </c>
      <c r="L301" s="116">
        <f>SUMIFS('Cutters Consumption Updates'!$F:$F,'Cutters Consumption Updates'!$D:$D,L$1,'Cutters Consumption Updates'!$B:$B,$B301)-SUMIFS('Cutters Consumption Updates'!$E:$E,'Cutters Consumption Updates'!$D:$D,$L$1,'Cutters Consumption Updates'!$B:$B,$B301)+SUMIFS('Cutters Consumption Updates'!$F:$F,'Cutters Consumption Updates'!$D:$D,"Retrofit",'Cutters Consumption Updates'!$B:$B,$B301)-SUMIFS('Cutters Consumption Updates'!$E:$E,'Cutters Consumption Updates'!$D:$D,"Retrofit",'Cutters Consumption Updates'!$B:$B,$B301)+ SUMIF('Cutters Consumption Updates'!$AS:$AS,$B301,'Cutters Consumption Updates'!AX:AX)</f>
        <v>28</v>
      </c>
      <c r="M301" s="810">
        <f t="shared" si="29"/>
        <v>28</v>
      </c>
      <c r="N301" s="810">
        <f ca="1">SUMIFS('Cutters Consumption Updates'!E:E,
        'Cutters Consumption Updates'!B:B, B301,
        'Cutters Consumption Updates'!A:A, "&gt;" &amp; TODAY()-182)</f>
        <v>12</v>
      </c>
      <c r="O301" s="810">
        <f ca="1">SUMIFS('Cutters Consumption Updates'!E:E,
        'Cutters Consumption Updates'!B:B, B301,
        'Cutters Consumption Updates'!A:A, "&gt;" &amp; TODAY()-91)</f>
        <v>12</v>
      </c>
      <c r="P301" s="811"/>
      <c r="Q301" s="703">
        <f t="shared" si="31"/>
        <v>0</v>
      </c>
      <c r="R301" s="705"/>
      <c r="S301" s="24">
        <f>IFERROR(INDEX(Table5[],MATCH($B301,Table5[Component],0),2),0)</f>
        <v>0</v>
      </c>
      <c r="T301" s="813">
        <f>SUMIFS(Table7[Balance],Table7[Cutter Mat'#],$B301)</f>
        <v>0</v>
      </c>
      <c r="U301" s="24">
        <f t="shared" si="32"/>
        <v>28</v>
      </c>
      <c r="V301" s="119"/>
      <c r="W301" s="2"/>
      <c r="Y301" s="4">
        <f>IFERROR(INDEX(Table5[],MATCH($B301,Table5[Component],0),2),0)</f>
        <v>0</v>
      </c>
      <c r="Z301" s="4">
        <f>IFERROR(INDEX(Table5[],MATCH($B301,Table5[Component],0),1),0)</f>
        <v>0</v>
      </c>
      <c r="AA301" s="4" t="str">
        <f>IF(Y301&lt;&gt;0,B301,"")</f>
        <v/>
      </c>
      <c r="AB301" s="4" t="str">
        <f t="shared" si="33"/>
        <v/>
      </c>
      <c r="AD301" s="4">
        <f t="shared" si="34"/>
        <v>28</v>
      </c>
      <c r="AI301" s="248" t="str">
        <f>IFERROR(INDEX($B$1:$AK$243,MATCH(W301,$B$1:$B$243,0),13),"")</f>
        <v/>
      </c>
      <c r="AJ301" s="248" t="str">
        <f>IFERROR(INDEX($B$1:$AK$243,MATCH(W301,$B$1:$B$243,0),15),"")</f>
        <v/>
      </c>
      <c r="AK301">
        <f>SUMIF($W$2:$W$243,B301,$S$2:$S$243)</f>
        <v>0</v>
      </c>
      <c r="AN301" s="4"/>
      <c r="AO301" s="4"/>
      <c r="AQ301" s="4"/>
      <c r="AR301" s="4">
        <v>2028302</v>
      </c>
    </row>
    <row r="302" spans="1:44" ht="19.149999999999999" customHeight="1" x14ac:dyDescent="0.35">
      <c r="A302" s="250">
        <v>307</v>
      </c>
      <c r="B302" s="209">
        <v>1142710</v>
      </c>
      <c r="C302" s="2" t="s">
        <v>4095</v>
      </c>
      <c r="D302" s="2" t="s">
        <v>133</v>
      </c>
      <c r="E302" s="2">
        <v>1608</v>
      </c>
      <c r="F302" s="2" t="s">
        <v>109</v>
      </c>
      <c r="G302" s="2" t="s">
        <v>4275</v>
      </c>
      <c r="H302" s="10">
        <f>SUMIFS('Cutters Consumption Updates'!$F:$F,'Cutters Consumption Updates'!$D:$D,H$1,'Cutters Consumption Updates'!$B:$B,$B302)-SUMIFS('Cutters Consumption Updates'!$E:$E,'Cutters Consumption Updates'!$D:$D,H$1,'Cutters Consumption Updates'!$B:$B,$B302)+ SUMIF('Cutters Consumption Updates'!$AS:$AS,$B302,'Cutters Consumption Updates'!AT:AT)</f>
        <v>0</v>
      </c>
      <c r="I302" s="10">
        <f>SUMIFS('Cutters Consumption Updates'!$F:$F,'Cutters Consumption Updates'!$D:$D,I$1,'Cutters Consumption Updates'!$B:$B,$B302)-SUMIFS('Cutters Consumption Updates'!$E:$E,'Cutters Consumption Updates'!$D:$D,I$1,'Cutters Consumption Updates'!$B:$B,$B302)+ SUMIF('Cutters Consumption Updates'!$AS:$AS,$B302,'Cutters Consumption Updates'!AU:AU)</f>
        <v>0</v>
      </c>
      <c r="J302" s="116">
        <f>SUMIFS('Cutters Consumption Updates'!$F:$F,'Cutters Consumption Updates'!$D:$D,J$1,'Cutters Consumption Updates'!$B:$B,$B302)-SUMIFS('Cutters Consumption Updates'!$E:$E,'Cutters Consumption Updates'!$D:$D,J$1,'Cutters Consumption Updates'!$B:$B,$B302)+ SUMIF('Cutters Consumption Updates'!$AS:$AS,$B302,'Cutters Consumption Updates'!AV:AV)</f>
        <v>0</v>
      </c>
      <c r="K302" s="738">
        <f>SUMIFS('Cutters Consumption Updates'!$F:$F,'Cutters Consumption Updates'!$D:$D,K$1,'Cutters Consumption Updates'!$B:$B,$B302)-SUMIFS('Cutters Consumption Updates'!$E:$E,'Cutters Consumption Updates'!$D:$D,K$1,'Cutters Consumption Updates'!$B:$B,$B302)+ SUMIF('Cutters Consumption Updates'!$AS:$AS,$B302,'Cutters Consumption Updates'!AW:AW)</f>
        <v>0</v>
      </c>
      <c r="L302" s="116">
        <f>SUMIFS('Cutters Consumption Updates'!$F:$F,'Cutters Consumption Updates'!$D:$D,L$1,'Cutters Consumption Updates'!$B:$B,$B302)-SUMIFS('Cutters Consumption Updates'!$E:$E,'Cutters Consumption Updates'!$D:$D,$L$1,'Cutters Consumption Updates'!$B:$B,$B302)+SUMIFS('Cutters Consumption Updates'!$F:$F,'Cutters Consumption Updates'!$D:$D,"Retrofit",'Cutters Consumption Updates'!$B:$B,$B302)-SUMIFS('Cutters Consumption Updates'!$E:$E,'Cutters Consumption Updates'!$D:$D,"Retrofit",'Cutters Consumption Updates'!$B:$B,$B302)+ SUMIF('Cutters Consumption Updates'!$AS:$AS,$B302,'Cutters Consumption Updates'!AX:AX)</f>
        <v>20</v>
      </c>
      <c r="M302" s="810">
        <f t="shared" si="29"/>
        <v>20</v>
      </c>
      <c r="N302" s="810">
        <f ca="1">SUMIFS('Cutters Consumption Updates'!E:E,
        'Cutters Consumption Updates'!B:B, B302,
        'Cutters Consumption Updates'!A:A, "&gt;" &amp; TODAY()-182)</f>
        <v>0</v>
      </c>
      <c r="O302" s="810">
        <f ca="1">SUMIFS('Cutters Consumption Updates'!E:E,
        'Cutters Consumption Updates'!B:B, B302,
        'Cutters Consumption Updates'!A:A, "&gt;" &amp; TODAY()-91)</f>
        <v>0</v>
      </c>
      <c r="P302" s="811"/>
      <c r="Q302" s="703">
        <f t="shared" si="31"/>
        <v>0</v>
      </c>
      <c r="R302" s="705"/>
      <c r="S302" s="24">
        <f>IFERROR(INDEX(Table5[],MATCH($B302,Table5[Component],0),2),0)</f>
        <v>0</v>
      </c>
      <c r="T302" s="813">
        <f>SUMIFS(Table7[Balance],Table7[Cutter Mat'#],$B302)</f>
        <v>0</v>
      </c>
      <c r="U302" s="24">
        <f t="shared" si="32"/>
        <v>20</v>
      </c>
      <c r="V302" s="119"/>
      <c r="W302" s="2"/>
      <c r="Y302" s="4">
        <f>IFERROR(INDEX(Table5[],MATCH($B302,Table5[Component],0),2),0)</f>
        <v>0</v>
      </c>
      <c r="Z302" s="4">
        <f>IFERROR(INDEX(Table5[],MATCH($B302,Table5[Component],0),1),0)</f>
        <v>0</v>
      </c>
      <c r="AA302" s="4" t="str">
        <f>IF(Y302&lt;&gt;0,B302,"")</f>
        <v/>
      </c>
      <c r="AB302" s="4" t="str">
        <f t="shared" si="33"/>
        <v/>
      </c>
      <c r="AD302" s="4">
        <f t="shared" si="34"/>
        <v>20</v>
      </c>
      <c r="AI302" s="248" t="str">
        <f>IFERROR(INDEX($B$1:$AK$243,MATCH(W302,$B$1:$B$243,0),13),"")</f>
        <v/>
      </c>
      <c r="AJ302" s="248" t="str">
        <f>IFERROR(INDEX($B$1:$AK$243,MATCH(W302,$B$1:$B$243,0),15),"")</f>
        <v/>
      </c>
      <c r="AK302">
        <f>SUMIF($W$2:$W$243,B302,$S$2:$S$243)</f>
        <v>0</v>
      </c>
      <c r="AN302" s="4"/>
      <c r="AO302" s="4"/>
      <c r="AQ302" s="4"/>
      <c r="AR302" s="4">
        <v>2028303</v>
      </c>
    </row>
    <row r="303" spans="1:44" ht="19.149999999999999" customHeight="1" x14ac:dyDescent="0.35">
      <c r="A303" s="250">
        <v>308</v>
      </c>
      <c r="B303" s="209">
        <v>1232092</v>
      </c>
      <c r="C303" s="2" t="s">
        <v>4419</v>
      </c>
      <c r="D303" s="2" t="s">
        <v>1020</v>
      </c>
      <c r="E303" s="2">
        <v>1218</v>
      </c>
      <c r="F303" s="2" t="s">
        <v>103</v>
      </c>
      <c r="G303" s="824"/>
      <c r="H303" s="10">
        <f>SUMIFS('Cutters Consumption Updates'!$F:$F,'Cutters Consumption Updates'!$D:$D,H$1,'Cutters Consumption Updates'!$B:$B,$B303)-SUMIFS('Cutters Consumption Updates'!$E:$E,'Cutters Consumption Updates'!$D:$D,H$1,'Cutters Consumption Updates'!$B:$B,$B303)+ SUMIF('Cutters Consumption Updates'!$AS:$AS,$B303,'Cutters Consumption Updates'!AT:AT)</f>
        <v>0</v>
      </c>
      <c r="I303" s="10">
        <f>SUMIFS('Cutters Consumption Updates'!$F:$F,'Cutters Consumption Updates'!$D:$D,I$1,'Cutters Consumption Updates'!$B:$B,$B303)-SUMIFS('Cutters Consumption Updates'!$E:$E,'Cutters Consumption Updates'!$D:$D,I$1,'Cutters Consumption Updates'!$B:$B,$B303)+ SUMIF('Cutters Consumption Updates'!$AS:$AS,$B303,'Cutters Consumption Updates'!AU:AU)</f>
        <v>0</v>
      </c>
      <c r="J303" s="116">
        <f>SUMIFS('Cutters Consumption Updates'!$F:$F,'Cutters Consumption Updates'!$D:$D,J$1,'Cutters Consumption Updates'!$B:$B,$B303)-SUMIFS('Cutters Consumption Updates'!$E:$E,'Cutters Consumption Updates'!$D:$D,J$1,'Cutters Consumption Updates'!$B:$B,$B303)+ SUMIF('Cutters Consumption Updates'!$AS:$AS,$B303,'Cutters Consumption Updates'!AV:AV)</f>
        <v>0</v>
      </c>
      <c r="K303" s="738">
        <f>SUMIFS('Cutters Consumption Updates'!$F:$F,'Cutters Consumption Updates'!$D:$D,K$1,'Cutters Consumption Updates'!$B:$B,$B303)-SUMIFS('Cutters Consumption Updates'!$E:$E,'Cutters Consumption Updates'!$D:$D,K$1,'Cutters Consumption Updates'!$B:$B,$B303)+ SUMIF('Cutters Consumption Updates'!$AS:$AS,$B303,'Cutters Consumption Updates'!AW:AW)</f>
        <v>0</v>
      </c>
      <c r="L303" s="116">
        <f>SUMIFS('Cutters Consumption Updates'!$F:$F,'Cutters Consumption Updates'!$D:$D,L$1,'Cutters Consumption Updates'!$B:$B,$B303)-SUMIFS('Cutters Consumption Updates'!$E:$E,'Cutters Consumption Updates'!$D:$D,$L$1,'Cutters Consumption Updates'!$B:$B,$B303)+SUMIFS('Cutters Consumption Updates'!$F:$F,'Cutters Consumption Updates'!$D:$D,"Retrofit",'Cutters Consumption Updates'!$B:$B,$B303)-SUMIFS('Cutters Consumption Updates'!$E:$E,'Cutters Consumption Updates'!$D:$D,"Retrofit",'Cutters Consumption Updates'!$B:$B,$B303)+ SUMIF('Cutters Consumption Updates'!$AS:$AS,$B303,'Cutters Consumption Updates'!AX:AX)</f>
        <v>0</v>
      </c>
      <c r="M303" s="810">
        <f t="shared" si="29"/>
        <v>0</v>
      </c>
      <c r="N303" s="810">
        <f ca="1">SUMIFS('Cutters Consumption Updates'!E:E,
        'Cutters Consumption Updates'!B:B, B303,
        'Cutters Consumption Updates'!A:A, "&gt;" &amp; TODAY()-182)</f>
        <v>0</v>
      </c>
      <c r="O303" s="810">
        <f ca="1">SUMIFS('Cutters Consumption Updates'!E:E,
        'Cutters Consumption Updates'!B:B, B303,
        'Cutters Consumption Updates'!A:A, "&gt;" &amp; TODAY()-91)</f>
        <v>0</v>
      </c>
      <c r="P303" s="811"/>
      <c r="Q303" s="703">
        <f t="shared" si="31"/>
        <v>0</v>
      </c>
      <c r="R303" s="705"/>
      <c r="S303" s="24">
        <f>IFERROR(INDEX(Table5[],MATCH($B303,Table5[Component],0),2),0)</f>
        <v>0</v>
      </c>
      <c r="T303" s="813">
        <f>SUMIFS(Table7[Balance],Table7[Cutter Mat'#],$B303)</f>
        <v>100</v>
      </c>
      <c r="U303" s="24">
        <f t="shared" si="32"/>
        <v>100</v>
      </c>
      <c r="V303" s="119"/>
      <c r="W303" s="2"/>
      <c r="Y303" s="4">
        <f>IFERROR(INDEX(Table5[],MATCH($B303,Table5[Component],0),2),0)</f>
        <v>0</v>
      </c>
      <c r="Z303" s="4">
        <f>IFERROR(INDEX(Table5[],MATCH($B303,Table5[Component],0),1),0)</f>
        <v>0</v>
      </c>
      <c r="AA303" s="4" t="str">
        <f>IF(Y303&lt;&gt;0,B303,"")</f>
        <v/>
      </c>
      <c r="AB303" s="4" t="str">
        <f t="shared" si="33"/>
        <v/>
      </c>
      <c r="AD303" s="4">
        <f t="shared" si="34"/>
        <v>0</v>
      </c>
      <c r="AI303" s="248" t="str">
        <f>IFERROR(INDEX($B$1:$AK$243,MATCH(W303,$B$1:$B$243,0),13),"")</f>
        <v/>
      </c>
      <c r="AJ303" s="248" t="str">
        <f>IFERROR(INDEX($B$1:$AK$243,MATCH(W303,$B$1:$B$243,0),15),"")</f>
        <v/>
      </c>
      <c r="AK303">
        <f>SUMIF($W$2:$W$243,B303,$S$2:$S$243)</f>
        <v>0</v>
      </c>
      <c r="AN303" s="4"/>
      <c r="AO303" s="4"/>
      <c r="AQ303" s="4"/>
      <c r="AR303" s="4">
        <v>2029244</v>
      </c>
    </row>
    <row r="304" spans="1:44" ht="15.5" x14ac:dyDescent="0.35">
      <c r="A304"/>
      <c r="H304" s="648">
        <f>SUM(H2:H303)</f>
        <v>114</v>
      </c>
      <c r="I304" s="648">
        <f t="shared" ref="I304:U304" si="37">SUM(I2:I303)</f>
        <v>307</v>
      </c>
      <c r="J304" s="648">
        <f t="shared" si="37"/>
        <v>586</v>
      </c>
      <c r="K304" s="648">
        <f t="shared" si="37"/>
        <v>552</v>
      </c>
      <c r="L304" s="648">
        <f t="shared" si="37"/>
        <v>8844</v>
      </c>
      <c r="M304" s="648">
        <f t="shared" si="37"/>
        <v>8958</v>
      </c>
      <c r="N304" s="648">
        <f t="shared" ca="1" si="37"/>
        <v>14791</v>
      </c>
      <c r="O304" s="648">
        <f t="shared" ca="1" si="37"/>
        <v>7381</v>
      </c>
      <c r="P304" s="648">
        <f t="shared" ca="1" si="37"/>
        <v>4880</v>
      </c>
      <c r="Q304" s="648">
        <f t="shared" ca="1" si="37"/>
        <v>5285</v>
      </c>
      <c r="R304" s="648">
        <f t="shared" si="37"/>
        <v>0</v>
      </c>
      <c r="S304" s="648">
        <f t="shared" si="37"/>
        <v>17380</v>
      </c>
      <c r="T304" s="648">
        <f t="shared" si="37"/>
        <v>2695</v>
      </c>
      <c r="U304" s="648">
        <f t="shared" si="37"/>
        <v>-5727</v>
      </c>
      <c r="V304" s="119"/>
      <c r="W304" s="2"/>
      <c r="AD304" s="4">
        <f t="shared" si="34"/>
        <v>9851</v>
      </c>
      <c r="AI304" s="248" t="str">
        <f>IFERROR(INDEX($B$1:$AK$243,MATCH(W304,$B$1:$B$243,0),13),"")</f>
        <v/>
      </c>
      <c r="AJ304" s="248" t="str">
        <f>IFERROR(INDEX($B$1:$AK$243,MATCH(W304,$B$1:$B$243,0),15),"")</f>
        <v/>
      </c>
      <c r="AR304" t="str">
        <v>MN</v>
      </c>
    </row>
    <row r="305" spans="1:44" customFormat="1" ht="18" x14ac:dyDescent="0.4">
      <c r="B305" s="4"/>
      <c r="C305" s="4"/>
      <c r="D305" s="4"/>
      <c r="E305" s="4"/>
      <c r="F305" s="4"/>
      <c r="G305" s="4"/>
      <c r="K305" s="735"/>
      <c r="R305" s="28"/>
      <c r="T305" s="432"/>
      <c r="AR305">
        <v>0</v>
      </c>
    </row>
    <row r="313" spans="1:44" x14ac:dyDescent="0.35">
      <c r="B313"/>
      <c r="C313" s="28"/>
      <c r="D313"/>
      <c r="E313"/>
      <c r="F313"/>
    </row>
    <row r="314" spans="1:44" ht="15.5" x14ac:dyDescent="0.25">
      <c r="A314"/>
      <c r="B314"/>
      <c r="C314" s="28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 s="432"/>
      <c r="U314"/>
      <c r="V314"/>
      <c r="W314"/>
      <c r="X314"/>
      <c r="Y314"/>
      <c r="Z314"/>
      <c r="AA314"/>
      <c r="AB314"/>
      <c r="AD314"/>
    </row>
    <row r="315" spans="1:44" ht="15.5" x14ac:dyDescent="0.25">
      <c r="A315"/>
      <c r="B315"/>
      <c r="C315" s="28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 s="432"/>
      <c r="U315"/>
      <c r="V315"/>
      <c r="W315"/>
      <c r="X315"/>
      <c r="Y315"/>
      <c r="Z315"/>
      <c r="AA315"/>
      <c r="AB315"/>
      <c r="AD315"/>
    </row>
    <row r="316" spans="1:44" ht="15.5" x14ac:dyDescent="0.25">
      <c r="A316"/>
      <c r="B316"/>
      <c r="C316" s="28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 s="432"/>
      <c r="U316"/>
      <c r="V316"/>
      <c r="W316"/>
      <c r="X316"/>
      <c r="Y316"/>
      <c r="Z316"/>
      <c r="AA316"/>
      <c r="AB316"/>
      <c r="AD316"/>
    </row>
    <row r="317" spans="1:44" ht="15.5" x14ac:dyDescent="0.25">
      <c r="A317"/>
      <c r="B317"/>
      <c r="C317" s="28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 s="432"/>
      <c r="U317"/>
      <c r="V317"/>
      <c r="W317"/>
      <c r="X317"/>
      <c r="Y317"/>
      <c r="Z317"/>
      <c r="AA317"/>
      <c r="AB317"/>
      <c r="AD317"/>
    </row>
    <row r="318" spans="1:44" ht="15.5" x14ac:dyDescent="0.25">
      <c r="A318"/>
      <c r="B318"/>
      <c r="C318" s="2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 s="432"/>
      <c r="U318"/>
      <c r="V318"/>
      <c r="W318"/>
      <c r="X318"/>
      <c r="Y318"/>
      <c r="Z318"/>
      <c r="AA318"/>
      <c r="AB318"/>
      <c r="AD318"/>
    </row>
    <row r="319" spans="1:44" ht="15.5" x14ac:dyDescent="0.25">
      <c r="A319"/>
      <c r="B319"/>
      <c r="C319" s="28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 s="432"/>
      <c r="U319"/>
      <c r="V319"/>
      <c r="W319"/>
      <c r="X319"/>
      <c r="Y319"/>
      <c r="Z319"/>
      <c r="AA319"/>
      <c r="AB319"/>
      <c r="AD319"/>
    </row>
    <row r="320" spans="1:44" ht="15.5" x14ac:dyDescent="0.25">
      <c r="A320"/>
      <c r="B320"/>
      <c r="C320" s="28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 s="432"/>
      <c r="U320"/>
      <c r="V320"/>
      <c r="W320"/>
      <c r="X320"/>
      <c r="Y320"/>
      <c r="Z320"/>
      <c r="AA320"/>
      <c r="AB320"/>
      <c r="AD320"/>
    </row>
    <row r="321" spans="1:30" ht="15.5" x14ac:dyDescent="0.25">
      <c r="A321"/>
      <c r="B321"/>
      <c r="C321" s="28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 s="432"/>
      <c r="U321"/>
      <c r="V321"/>
      <c r="W321"/>
      <c r="X321"/>
      <c r="Y321"/>
      <c r="Z321"/>
      <c r="AA321"/>
      <c r="AB321"/>
      <c r="AD321"/>
    </row>
    <row r="322" spans="1:30" ht="15.5" x14ac:dyDescent="0.25">
      <c r="A322"/>
      <c r="B322"/>
      <c r="C322" s="28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 s="432"/>
      <c r="U322"/>
      <c r="V322"/>
      <c r="W322"/>
      <c r="X322"/>
      <c r="Y322"/>
      <c r="Z322"/>
      <c r="AA322"/>
      <c r="AB322"/>
      <c r="AD322"/>
    </row>
    <row r="323" spans="1:30" ht="15.5" x14ac:dyDescent="0.25">
      <c r="A323"/>
      <c r="B323"/>
      <c r="C323" s="28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 s="432"/>
      <c r="U323"/>
      <c r="V323"/>
      <c r="W323"/>
      <c r="X323"/>
      <c r="Y323"/>
      <c r="Z323"/>
      <c r="AA323"/>
      <c r="AB323"/>
      <c r="AD323"/>
    </row>
    <row r="324" spans="1:30" ht="15.5" x14ac:dyDescent="0.25">
      <c r="A324"/>
      <c r="B324"/>
      <c r="C324" s="28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 s="432"/>
      <c r="U324"/>
      <c r="V324"/>
      <c r="W324"/>
      <c r="X324"/>
      <c r="Y324"/>
      <c r="Z324"/>
      <c r="AA324"/>
      <c r="AB324"/>
      <c r="AD324"/>
    </row>
    <row r="325" spans="1:30" ht="15.5" x14ac:dyDescent="0.25">
      <c r="A325"/>
      <c r="B325"/>
      <c r="C325" s="28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 s="432"/>
      <c r="U325"/>
      <c r="V325"/>
      <c r="W325"/>
      <c r="X325"/>
      <c r="Y325"/>
      <c r="Z325"/>
      <c r="AA325"/>
      <c r="AB325"/>
      <c r="AD325"/>
    </row>
    <row r="326" spans="1:30" ht="15.5" x14ac:dyDescent="0.25">
      <c r="A326"/>
      <c r="B326"/>
      <c r="C326" s="28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 s="432"/>
      <c r="U326"/>
      <c r="V326"/>
      <c r="W326"/>
      <c r="X326"/>
      <c r="Y326"/>
      <c r="Z326"/>
      <c r="AA326"/>
      <c r="AB326"/>
      <c r="AD326"/>
    </row>
    <row r="327" spans="1:30" ht="15.5" x14ac:dyDescent="0.25">
      <c r="A327"/>
      <c r="B327"/>
      <c r="C327" s="28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 s="432"/>
      <c r="U327"/>
      <c r="V327"/>
      <c r="W327"/>
      <c r="X327"/>
      <c r="Y327"/>
      <c r="Z327"/>
      <c r="AA327"/>
      <c r="AB327"/>
      <c r="AD327"/>
    </row>
    <row r="328" spans="1:30" ht="15.5" x14ac:dyDescent="0.25">
      <c r="A328"/>
      <c r="B328"/>
      <c r="C328" s="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 s="432"/>
      <c r="U328"/>
      <c r="V328"/>
      <c r="W328"/>
      <c r="X328"/>
      <c r="Y328"/>
      <c r="Z328"/>
      <c r="AA328"/>
      <c r="AB328"/>
      <c r="AD328"/>
    </row>
    <row r="329" spans="1:30" ht="15.5" x14ac:dyDescent="0.25">
      <c r="A329"/>
      <c r="B329"/>
      <c r="C329" s="28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 s="432"/>
      <c r="U329"/>
      <c r="V329"/>
      <c r="W329"/>
      <c r="X329"/>
      <c r="Y329"/>
      <c r="Z329"/>
      <c r="AA329"/>
      <c r="AB329"/>
      <c r="AD329"/>
    </row>
    <row r="330" spans="1:30" ht="15.5" x14ac:dyDescent="0.25">
      <c r="A330"/>
      <c r="B330"/>
      <c r="C330" s="28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 s="432"/>
      <c r="U330"/>
      <c r="V330"/>
      <c r="W330"/>
      <c r="X330"/>
      <c r="Y330"/>
      <c r="Z330"/>
      <c r="AA330"/>
      <c r="AB330"/>
      <c r="AD330"/>
    </row>
    <row r="331" spans="1:30" ht="15.5" x14ac:dyDescent="0.25">
      <c r="A331"/>
      <c r="B331"/>
      <c r="C331" s="28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 s="432"/>
      <c r="U331"/>
      <c r="V331"/>
      <c r="W331"/>
      <c r="X331"/>
      <c r="Y331"/>
      <c r="Z331"/>
      <c r="AA331"/>
      <c r="AB331"/>
      <c r="AD331"/>
    </row>
    <row r="332" spans="1:30" ht="15.5" x14ac:dyDescent="0.25">
      <c r="A332"/>
      <c r="B332"/>
      <c r="C332" s="28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 s="432"/>
      <c r="U332"/>
      <c r="V332"/>
      <c r="W332"/>
      <c r="X332"/>
      <c r="Y332"/>
      <c r="Z332"/>
      <c r="AA332"/>
      <c r="AB332"/>
      <c r="AD332"/>
    </row>
    <row r="333" spans="1:30" ht="15.5" x14ac:dyDescent="0.25">
      <c r="A333"/>
      <c r="B333"/>
      <c r="C333" s="28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 s="432"/>
      <c r="U333"/>
      <c r="V333"/>
      <c r="W333"/>
      <c r="X333"/>
      <c r="Y333"/>
      <c r="Z333"/>
      <c r="AA333"/>
      <c r="AB333"/>
      <c r="AD333"/>
    </row>
    <row r="334" spans="1:30" ht="15.5" x14ac:dyDescent="0.25">
      <c r="A334"/>
      <c r="B334"/>
      <c r="C334" s="28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 s="432"/>
      <c r="U334"/>
      <c r="V334"/>
      <c r="W334"/>
      <c r="X334"/>
      <c r="Y334"/>
      <c r="Z334"/>
      <c r="AA334"/>
      <c r="AB334"/>
      <c r="AD334"/>
    </row>
    <row r="335" spans="1:30" ht="15.5" x14ac:dyDescent="0.25">
      <c r="A335"/>
      <c r="B335"/>
      <c r="C335" s="28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 s="432"/>
      <c r="U335"/>
      <c r="V335"/>
      <c r="W335"/>
      <c r="X335"/>
      <c r="Y335"/>
      <c r="Z335"/>
      <c r="AA335"/>
      <c r="AB335"/>
      <c r="AD335"/>
    </row>
    <row r="336" spans="1:30" ht="15.5" x14ac:dyDescent="0.25">
      <c r="A336"/>
      <c r="B336"/>
      <c r="C336" s="28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 s="432"/>
      <c r="U336"/>
      <c r="V336"/>
      <c r="W336"/>
      <c r="X336"/>
      <c r="Y336"/>
      <c r="Z336"/>
      <c r="AA336"/>
      <c r="AB336"/>
      <c r="AD336"/>
    </row>
    <row r="337" spans="1:30" ht="15.5" x14ac:dyDescent="0.25">
      <c r="A337"/>
      <c r="B337"/>
      <c r="C337" s="28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 s="432"/>
      <c r="U337"/>
      <c r="V337"/>
      <c r="W337"/>
      <c r="X337"/>
      <c r="Y337"/>
      <c r="Z337"/>
      <c r="AA337"/>
      <c r="AB337"/>
      <c r="AD337"/>
    </row>
    <row r="338" spans="1:30" ht="15.5" x14ac:dyDescent="0.25">
      <c r="A338"/>
      <c r="B338"/>
      <c r="C338" s="2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 s="432"/>
      <c r="U338"/>
      <c r="V338"/>
      <c r="W338"/>
      <c r="X338"/>
      <c r="Y338"/>
      <c r="Z338"/>
      <c r="AA338"/>
      <c r="AB338"/>
      <c r="AD338"/>
    </row>
    <row r="339" spans="1:30" ht="15.5" x14ac:dyDescent="0.25">
      <c r="A339"/>
      <c r="B339"/>
      <c r="C339" s="28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 s="432"/>
      <c r="U339"/>
      <c r="V339"/>
      <c r="W339"/>
      <c r="X339"/>
      <c r="Y339"/>
      <c r="Z339"/>
      <c r="AA339"/>
      <c r="AB339"/>
      <c r="AD339"/>
    </row>
    <row r="340" spans="1:30" ht="15.5" x14ac:dyDescent="0.25">
      <c r="A340"/>
      <c r="B340"/>
      <c r="C340" s="28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 s="432"/>
      <c r="U340"/>
      <c r="V340"/>
      <c r="W340"/>
      <c r="X340"/>
      <c r="Y340"/>
      <c r="Z340"/>
      <c r="AA340"/>
      <c r="AB340"/>
      <c r="AD340"/>
    </row>
    <row r="341" spans="1:30" ht="15.5" x14ac:dyDescent="0.25">
      <c r="A341"/>
      <c r="B341"/>
      <c r="C341" s="28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 s="432"/>
      <c r="U341"/>
      <c r="V341"/>
      <c r="W341"/>
      <c r="X341"/>
      <c r="Y341"/>
      <c r="Z341"/>
      <c r="AA341"/>
      <c r="AB341"/>
      <c r="AD341"/>
    </row>
    <row r="342" spans="1:30" ht="15.5" x14ac:dyDescent="0.25">
      <c r="A342"/>
      <c r="B342"/>
      <c r="C342" s="28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 s="432"/>
      <c r="U342"/>
      <c r="V342"/>
      <c r="W342"/>
      <c r="X342"/>
      <c r="Y342"/>
      <c r="Z342"/>
      <c r="AA342"/>
      <c r="AB342"/>
      <c r="AD342"/>
    </row>
    <row r="343" spans="1:30" ht="15.5" x14ac:dyDescent="0.25">
      <c r="A343"/>
      <c r="B343"/>
      <c r="C343" s="28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 s="432"/>
      <c r="U343"/>
      <c r="V343"/>
      <c r="W343"/>
      <c r="X343"/>
      <c r="Y343"/>
      <c r="Z343"/>
      <c r="AA343"/>
      <c r="AB343"/>
      <c r="AD343"/>
    </row>
    <row r="344" spans="1:30" ht="15.5" x14ac:dyDescent="0.25">
      <c r="A344"/>
      <c r="B344"/>
      <c r="C344" s="28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 s="432"/>
      <c r="U344"/>
      <c r="V344"/>
      <c r="W344"/>
      <c r="X344"/>
      <c r="Y344"/>
      <c r="Z344"/>
      <c r="AA344"/>
      <c r="AB344"/>
      <c r="AD344"/>
    </row>
    <row r="345" spans="1:30" ht="15.5" x14ac:dyDescent="0.25">
      <c r="A345"/>
      <c r="B345"/>
      <c r="C345" s="28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 s="432"/>
      <c r="U345"/>
      <c r="V345"/>
      <c r="W345"/>
      <c r="X345"/>
      <c r="Y345"/>
      <c r="Z345"/>
      <c r="AA345"/>
      <c r="AB345"/>
      <c r="AD345"/>
    </row>
    <row r="346" spans="1:30" ht="15.5" x14ac:dyDescent="0.25">
      <c r="A346"/>
      <c r="B346"/>
      <c r="C346" s="28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 s="432"/>
      <c r="U346"/>
      <c r="V346"/>
      <c r="W346"/>
      <c r="X346"/>
      <c r="Y346"/>
      <c r="Z346"/>
      <c r="AA346"/>
      <c r="AB346"/>
      <c r="AD346"/>
    </row>
    <row r="347" spans="1:30" ht="15.5" x14ac:dyDescent="0.25">
      <c r="A347"/>
      <c r="B347"/>
      <c r="C347" s="28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 s="432"/>
      <c r="U347"/>
      <c r="V347"/>
      <c r="W347"/>
      <c r="X347"/>
      <c r="Y347"/>
      <c r="Z347"/>
      <c r="AA347"/>
      <c r="AB347"/>
      <c r="AD347"/>
    </row>
    <row r="348" spans="1:30" ht="15.5" x14ac:dyDescent="0.25">
      <c r="A348"/>
      <c r="B348"/>
      <c r="C348" s="2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 s="432"/>
      <c r="U348"/>
      <c r="V348"/>
      <c r="W348"/>
      <c r="X348"/>
      <c r="Y348"/>
      <c r="Z348"/>
      <c r="AA348"/>
      <c r="AB348"/>
      <c r="AD348"/>
    </row>
    <row r="349" spans="1:30" ht="15.5" x14ac:dyDescent="0.25">
      <c r="A349"/>
      <c r="B349"/>
      <c r="C349" s="28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 s="432"/>
      <c r="U349"/>
      <c r="V349"/>
      <c r="W349"/>
      <c r="X349"/>
      <c r="Y349"/>
      <c r="Z349"/>
      <c r="AA349"/>
      <c r="AB349"/>
      <c r="AD349"/>
    </row>
    <row r="350" spans="1:30" ht="15.5" x14ac:dyDescent="0.25">
      <c r="A350"/>
      <c r="B350"/>
      <c r="C350" s="28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 s="432"/>
      <c r="U350"/>
      <c r="V350"/>
      <c r="W350"/>
      <c r="X350"/>
      <c r="Y350"/>
      <c r="Z350"/>
      <c r="AA350"/>
      <c r="AB350"/>
      <c r="AD350"/>
    </row>
    <row r="351" spans="1:30" ht="15.5" x14ac:dyDescent="0.25">
      <c r="A351"/>
      <c r="B351"/>
      <c r="C351" s="28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 s="432"/>
      <c r="U351"/>
      <c r="V351"/>
      <c r="W351"/>
      <c r="X351"/>
      <c r="Y351"/>
      <c r="Z351"/>
      <c r="AA351"/>
      <c r="AB351"/>
      <c r="AD351"/>
    </row>
    <row r="352" spans="1:30" ht="15.5" x14ac:dyDescent="0.25">
      <c r="A352"/>
      <c r="B352"/>
      <c r="C352" s="28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 s="432"/>
      <c r="U352"/>
      <c r="V352"/>
      <c r="W352"/>
      <c r="X352"/>
      <c r="Y352"/>
      <c r="Z352"/>
      <c r="AA352"/>
      <c r="AB352"/>
      <c r="AD352"/>
    </row>
    <row r="353" spans="1:30" ht="15.5" x14ac:dyDescent="0.25">
      <c r="A353"/>
      <c r="B353"/>
      <c r="C353" s="28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 s="432"/>
      <c r="U353"/>
      <c r="V353"/>
      <c r="W353"/>
      <c r="X353"/>
      <c r="Y353"/>
      <c r="Z353"/>
      <c r="AA353"/>
      <c r="AB353"/>
      <c r="AD353"/>
    </row>
    <row r="354" spans="1:30" ht="15.5" x14ac:dyDescent="0.25">
      <c r="A354"/>
      <c r="B354"/>
      <c r="C354" s="28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 s="432"/>
      <c r="U354"/>
      <c r="V354"/>
      <c r="W354"/>
      <c r="X354"/>
      <c r="Y354"/>
      <c r="Z354"/>
      <c r="AA354"/>
      <c r="AB354"/>
      <c r="AD354"/>
    </row>
    <row r="355" spans="1:30" ht="15.5" x14ac:dyDescent="0.25">
      <c r="A355"/>
      <c r="B355"/>
      <c r="C355" s="28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 s="432"/>
      <c r="U355"/>
      <c r="V355"/>
      <c r="W355"/>
      <c r="X355"/>
      <c r="Y355"/>
      <c r="Z355"/>
      <c r="AA355"/>
      <c r="AB355"/>
      <c r="AD355"/>
    </row>
    <row r="356" spans="1:30" ht="15.5" x14ac:dyDescent="0.25">
      <c r="A356"/>
      <c r="B356"/>
      <c r="C356" s="28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 s="432"/>
      <c r="U356"/>
      <c r="V356"/>
      <c r="W356"/>
      <c r="X356"/>
      <c r="Y356"/>
      <c r="Z356"/>
      <c r="AA356"/>
      <c r="AB356"/>
      <c r="AD356"/>
    </row>
    <row r="357" spans="1:30" ht="15.5" x14ac:dyDescent="0.25">
      <c r="A357"/>
      <c r="B357"/>
      <c r="C357" s="28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 s="432"/>
      <c r="U357"/>
      <c r="V357"/>
      <c r="W357"/>
      <c r="X357"/>
      <c r="Y357"/>
      <c r="Z357"/>
      <c r="AA357"/>
      <c r="AB357"/>
      <c r="AD357"/>
    </row>
    <row r="358" spans="1:30" ht="15.5" x14ac:dyDescent="0.25">
      <c r="A358"/>
      <c r="B358"/>
      <c r="C358" s="2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 s="432"/>
      <c r="U358"/>
      <c r="V358"/>
      <c r="W358"/>
      <c r="X358"/>
      <c r="Y358"/>
      <c r="Z358"/>
      <c r="AA358"/>
      <c r="AB358"/>
      <c r="AD358"/>
    </row>
    <row r="359" spans="1:30" ht="15.5" x14ac:dyDescent="0.25">
      <c r="A359"/>
      <c r="B359"/>
      <c r="C359" s="28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 s="432"/>
      <c r="U359"/>
      <c r="V359"/>
      <c r="W359"/>
      <c r="X359"/>
      <c r="Y359"/>
      <c r="Z359"/>
      <c r="AA359"/>
      <c r="AB359"/>
      <c r="AD359"/>
    </row>
    <row r="360" spans="1:30" ht="15.5" x14ac:dyDescent="0.25">
      <c r="A360"/>
      <c r="B360"/>
      <c r="C360" s="28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 s="432"/>
      <c r="U360"/>
      <c r="V360"/>
      <c r="W360"/>
      <c r="X360"/>
      <c r="Y360"/>
      <c r="Z360"/>
      <c r="AA360"/>
      <c r="AB360"/>
      <c r="AD360"/>
    </row>
    <row r="361" spans="1:30" ht="15.5" x14ac:dyDescent="0.25">
      <c r="A361"/>
      <c r="B361"/>
      <c r="C361" s="28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 s="432"/>
      <c r="U361"/>
      <c r="V361"/>
      <c r="W361"/>
      <c r="X361"/>
      <c r="Y361"/>
      <c r="Z361"/>
      <c r="AA361"/>
      <c r="AB361"/>
      <c r="AD361"/>
    </row>
    <row r="362" spans="1:30" ht="15.5" x14ac:dyDescent="0.25">
      <c r="A362"/>
      <c r="B362"/>
      <c r="C362" s="28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 s="432"/>
      <c r="U362"/>
      <c r="V362"/>
      <c r="W362"/>
      <c r="X362"/>
      <c r="Y362"/>
      <c r="Z362"/>
      <c r="AA362"/>
      <c r="AB362"/>
      <c r="AD362"/>
    </row>
    <row r="363" spans="1:30" ht="15.5" x14ac:dyDescent="0.25">
      <c r="A363"/>
      <c r="B363"/>
      <c r="C363" s="28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 s="432"/>
      <c r="U363"/>
      <c r="V363"/>
      <c r="W363"/>
      <c r="X363"/>
      <c r="Y363"/>
      <c r="Z363"/>
      <c r="AA363"/>
      <c r="AB363"/>
      <c r="AD363"/>
    </row>
    <row r="364" spans="1:30" ht="15.5" x14ac:dyDescent="0.25">
      <c r="A364"/>
      <c r="B364"/>
      <c r="C364" s="28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 s="432"/>
      <c r="U364"/>
      <c r="V364"/>
      <c r="W364"/>
      <c r="X364"/>
      <c r="Y364"/>
      <c r="Z364"/>
      <c r="AA364"/>
      <c r="AB364"/>
      <c r="AD364"/>
    </row>
    <row r="365" spans="1:30" ht="15.5" x14ac:dyDescent="0.25">
      <c r="A365"/>
      <c r="B365"/>
      <c r="C365" s="28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 s="432"/>
      <c r="U365"/>
      <c r="V365"/>
      <c r="W365"/>
      <c r="X365"/>
      <c r="Y365"/>
      <c r="Z365"/>
      <c r="AA365"/>
      <c r="AB365"/>
      <c r="AD365"/>
    </row>
    <row r="366" spans="1:30" ht="15.5" x14ac:dyDescent="0.25">
      <c r="A366"/>
      <c r="B366"/>
      <c r="C366" s="28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 s="432"/>
      <c r="U366"/>
      <c r="V366"/>
      <c r="W366"/>
      <c r="X366"/>
      <c r="Y366"/>
      <c r="Z366"/>
      <c r="AA366"/>
      <c r="AB366"/>
      <c r="AD366"/>
    </row>
    <row r="367" spans="1:30" ht="15.5" x14ac:dyDescent="0.25">
      <c r="A367"/>
      <c r="B367"/>
      <c r="C367" s="28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 s="432"/>
      <c r="U367"/>
      <c r="V367"/>
      <c r="W367"/>
      <c r="X367"/>
      <c r="Y367"/>
      <c r="Z367"/>
      <c r="AA367"/>
      <c r="AB367"/>
      <c r="AD367"/>
    </row>
    <row r="368" spans="1:30" ht="15.5" x14ac:dyDescent="0.25">
      <c r="A368"/>
      <c r="B368"/>
      <c r="C368" s="2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 s="432"/>
      <c r="U368"/>
      <c r="V368"/>
      <c r="W368"/>
      <c r="X368"/>
      <c r="Y368"/>
      <c r="Z368"/>
      <c r="AA368"/>
      <c r="AB368"/>
      <c r="AD368"/>
    </row>
    <row r="369" spans="1:30" ht="15.5" x14ac:dyDescent="0.25">
      <c r="A369"/>
      <c r="B369"/>
      <c r="C369" s="28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 s="432"/>
      <c r="U369"/>
      <c r="V369"/>
      <c r="W369"/>
      <c r="X369"/>
      <c r="Y369"/>
      <c r="Z369"/>
      <c r="AA369"/>
      <c r="AB369"/>
      <c r="AD369"/>
    </row>
    <row r="370" spans="1:30" ht="15.5" x14ac:dyDescent="0.25">
      <c r="A370"/>
      <c r="B370"/>
      <c r="C370" s="28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 s="432"/>
      <c r="U370"/>
      <c r="V370"/>
      <c r="W370"/>
      <c r="X370"/>
      <c r="Y370"/>
      <c r="Z370"/>
      <c r="AA370"/>
      <c r="AB370"/>
      <c r="AD370"/>
    </row>
    <row r="371" spans="1:30" ht="15.5" x14ac:dyDescent="0.25">
      <c r="A371"/>
      <c r="B371"/>
      <c r="C371" s="28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 s="432"/>
      <c r="U371"/>
      <c r="V371"/>
      <c r="W371"/>
      <c r="X371"/>
      <c r="Y371"/>
      <c r="Z371"/>
      <c r="AA371"/>
      <c r="AB371"/>
      <c r="AD371"/>
    </row>
    <row r="372" spans="1:30" ht="15.5" x14ac:dyDescent="0.25">
      <c r="A372"/>
      <c r="B372"/>
      <c r="C372" s="28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 s="432"/>
      <c r="U372"/>
      <c r="V372"/>
      <c r="W372"/>
      <c r="X372"/>
      <c r="Y372"/>
      <c r="Z372"/>
      <c r="AA372"/>
      <c r="AB372"/>
      <c r="AD372"/>
    </row>
    <row r="373" spans="1:30" ht="15.5" x14ac:dyDescent="0.25">
      <c r="A373"/>
      <c r="B373"/>
      <c r="C373" s="28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 s="432"/>
      <c r="U373"/>
      <c r="V373"/>
      <c r="W373"/>
      <c r="X373"/>
      <c r="Y373"/>
      <c r="Z373"/>
      <c r="AA373"/>
      <c r="AB373"/>
      <c r="AD373"/>
    </row>
    <row r="374" spans="1:30" ht="15.5" x14ac:dyDescent="0.25">
      <c r="A374"/>
      <c r="B374"/>
      <c r="C374" s="28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 s="432"/>
      <c r="U374"/>
      <c r="V374"/>
      <c r="W374"/>
      <c r="X374"/>
      <c r="Y374"/>
      <c r="Z374"/>
      <c r="AA374"/>
      <c r="AB374"/>
      <c r="AD374"/>
    </row>
    <row r="375" spans="1:30" ht="15.5" x14ac:dyDescent="0.25">
      <c r="A375"/>
      <c r="B375"/>
      <c r="C375" s="28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 s="432"/>
      <c r="U375"/>
      <c r="V375"/>
      <c r="W375"/>
      <c r="X375"/>
      <c r="Y375"/>
      <c r="Z375"/>
      <c r="AA375"/>
      <c r="AB375"/>
      <c r="AD375"/>
    </row>
    <row r="376" spans="1:30" ht="15.5" x14ac:dyDescent="0.25">
      <c r="A376"/>
      <c r="B376"/>
      <c r="C376" s="28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 s="432"/>
      <c r="U376"/>
      <c r="V376"/>
      <c r="W376"/>
      <c r="X376"/>
      <c r="Y376"/>
      <c r="Z376"/>
      <c r="AA376"/>
      <c r="AB376"/>
      <c r="AD376"/>
    </row>
    <row r="377" spans="1:30" ht="15.5" x14ac:dyDescent="0.25">
      <c r="A377"/>
      <c r="B377"/>
      <c r="C377" s="28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 s="432"/>
      <c r="U377"/>
      <c r="V377"/>
      <c r="W377"/>
      <c r="X377"/>
      <c r="Y377"/>
      <c r="Z377"/>
      <c r="AA377"/>
      <c r="AB377"/>
      <c r="AD377"/>
    </row>
    <row r="378" spans="1:30" ht="15.5" x14ac:dyDescent="0.25">
      <c r="A378"/>
      <c r="B378"/>
      <c r="C378" s="2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 s="432"/>
      <c r="U378"/>
      <c r="V378"/>
      <c r="W378"/>
      <c r="X378"/>
      <c r="Y378"/>
      <c r="Z378"/>
      <c r="AA378"/>
      <c r="AB378"/>
      <c r="AD378"/>
    </row>
    <row r="379" spans="1:30" ht="15.5" x14ac:dyDescent="0.25">
      <c r="A379"/>
      <c r="B379"/>
      <c r="C379" s="28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 s="432"/>
      <c r="U379"/>
      <c r="V379"/>
      <c r="W379"/>
      <c r="X379"/>
      <c r="Y379"/>
      <c r="Z379"/>
      <c r="AA379"/>
      <c r="AB379"/>
      <c r="AD379"/>
    </row>
    <row r="380" spans="1:30" ht="15.5" x14ac:dyDescent="0.25">
      <c r="A380"/>
      <c r="B380"/>
      <c r="C380" s="28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 s="432"/>
      <c r="U380"/>
      <c r="V380"/>
      <c r="W380"/>
      <c r="X380"/>
      <c r="Y380"/>
      <c r="Z380"/>
      <c r="AA380"/>
      <c r="AB380"/>
      <c r="AD380"/>
    </row>
    <row r="381" spans="1:30" ht="15.5" x14ac:dyDescent="0.25">
      <c r="A381"/>
      <c r="B381"/>
      <c r="C381" s="28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 s="432"/>
      <c r="U381"/>
      <c r="V381"/>
      <c r="W381"/>
      <c r="X381"/>
      <c r="Y381"/>
      <c r="Z381"/>
      <c r="AA381"/>
      <c r="AB381"/>
      <c r="AD381"/>
    </row>
    <row r="382" spans="1:30" ht="15.5" x14ac:dyDescent="0.25">
      <c r="A382"/>
      <c r="B382"/>
      <c r="C382" s="28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 s="432"/>
      <c r="U382"/>
      <c r="V382"/>
      <c r="W382"/>
      <c r="X382"/>
      <c r="Y382"/>
      <c r="Z382"/>
      <c r="AA382"/>
      <c r="AB382"/>
      <c r="AD382"/>
    </row>
    <row r="383" spans="1:30" ht="15.5" x14ac:dyDescent="0.25">
      <c r="A383"/>
      <c r="B383"/>
      <c r="C383" s="28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 s="432"/>
      <c r="U383"/>
      <c r="V383"/>
      <c r="W383"/>
      <c r="X383"/>
      <c r="Y383"/>
      <c r="Z383"/>
      <c r="AA383"/>
      <c r="AB383"/>
      <c r="AD383"/>
    </row>
    <row r="384" spans="1:30" ht="15.5" x14ac:dyDescent="0.25">
      <c r="A384"/>
      <c r="B384"/>
      <c r="C384" s="28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 s="432"/>
      <c r="U384"/>
      <c r="V384"/>
      <c r="W384"/>
      <c r="X384"/>
      <c r="Y384"/>
      <c r="Z384"/>
      <c r="AA384"/>
      <c r="AB384"/>
      <c r="AD384"/>
    </row>
    <row r="385" spans="1:30" ht="15.5" x14ac:dyDescent="0.25">
      <c r="A385"/>
      <c r="B385"/>
      <c r="C385" s="28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 s="432"/>
      <c r="U385"/>
      <c r="V385"/>
      <c r="W385"/>
      <c r="X385"/>
      <c r="Y385"/>
      <c r="Z385"/>
      <c r="AA385"/>
      <c r="AB385"/>
      <c r="AD385"/>
    </row>
    <row r="386" spans="1:30" ht="15.5" x14ac:dyDescent="0.25">
      <c r="A386"/>
      <c r="B386"/>
      <c r="C386" s="28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 s="432"/>
      <c r="U386"/>
      <c r="V386"/>
      <c r="W386"/>
      <c r="X386"/>
      <c r="Y386"/>
      <c r="Z386"/>
      <c r="AA386"/>
      <c r="AB386"/>
      <c r="AD386"/>
    </row>
    <row r="387" spans="1:30" ht="15.5" x14ac:dyDescent="0.25">
      <c r="A387"/>
      <c r="B387"/>
      <c r="C387" s="28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 s="432"/>
      <c r="U387"/>
      <c r="V387"/>
      <c r="W387"/>
      <c r="X387"/>
      <c r="Y387"/>
      <c r="Z387"/>
      <c r="AA387"/>
      <c r="AB387"/>
      <c r="AD387"/>
    </row>
    <row r="388" spans="1:30" ht="15.5" x14ac:dyDescent="0.25">
      <c r="A388"/>
      <c r="B388"/>
      <c r="C388" s="2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 s="432"/>
      <c r="U388"/>
      <c r="V388"/>
      <c r="W388"/>
      <c r="X388"/>
      <c r="Y388"/>
      <c r="Z388"/>
      <c r="AA388"/>
      <c r="AB388"/>
      <c r="AD388"/>
    </row>
    <row r="389" spans="1:30" ht="15.5" x14ac:dyDescent="0.25">
      <c r="A389"/>
      <c r="B389"/>
      <c r="C389" s="28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 s="432"/>
      <c r="U389"/>
      <c r="V389"/>
      <c r="W389"/>
      <c r="X389"/>
      <c r="Y389"/>
      <c r="Z389"/>
      <c r="AA389"/>
      <c r="AB389"/>
      <c r="AD389"/>
    </row>
    <row r="390" spans="1:30" ht="15.5" x14ac:dyDescent="0.25">
      <c r="A390"/>
      <c r="B390"/>
      <c r="C390" s="28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 s="432"/>
      <c r="U390"/>
      <c r="V390"/>
      <c r="W390"/>
      <c r="X390"/>
      <c r="Y390"/>
      <c r="Z390"/>
      <c r="AA390"/>
      <c r="AB390"/>
      <c r="AD390"/>
    </row>
    <row r="391" spans="1:30" ht="15.5" x14ac:dyDescent="0.25">
      <c r="A391"/>
      <c r="B391"/>
      <c r="C391" s="28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 s="432"/>
      <c r="U391"/>
      <c r="V391"/>
      <c r="W391"/>
      <c r="X391"/>
      <c r="Y391"/>
      <c r="Z391"/>
      <c r="AA391"/>
      <c r="AB391"/>
      <c r="AD391"/>
    </row>
    <row r="392" spans="1:30" ht="15.5" x14ac:dyDescent="0.25">
      <c r="A392"/>
      <c r="B392"/>
      <c r="C392" s="28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 s="432"/>
      <c r="U392"/>
      <c r="V392"/>
      <c r="W392"/>
      <c r="X392"/>
      <c r="Y392"/>
      <c r="Z392"/>
      <c r="AA392"/>
      <c r="AB392"/>
      <c r="AD392"/>
    </row>
    <row r="393" spans="1:30" ht="15.5" x14ac:dyDescent="0.25">
      <c r="A393"/>
      <c r="B393"/>
      <c r="C393" s="28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 s="432"/>
      <c r="U393"/>
      <c r="V393"/>
      <c r="W393"/>
      <c r="X393"/>
      <c r="Y393"/>
      <c r="Z393"/>
      <c r="AA393"/>
      <c r="AB393"/>
      <c r="AD393"/>
    </row>
    <row r="394" spans="1:30" ht="15.5" x14ac:dyDescent="0.25">
      <c r="A394"/>
      <c r="B394"/>
      <c r="C394" s="28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 s="432"/>
      <c r="U394"/>
      <c r="V394"/>
      <c r="W394"/>
      <c r="X394"/>
      <c r="Y394"/>
      <c r="Z394"/>
      <c r="AA394"/>
      <c r="AB394"/>
      <c r="AD394"/>
    </row>
    <row r="395" spans="1:30" ht="15.5" x14ac:dyDescent="0.25">
      <c r="A395"/>
      <c r="B395"/>
      <c r="C395" s="28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 s="432"/>
      <c r="U395"/>
      <c r="V395"/>
      <c r="W395"/>
      <c r="X395"/>
      <c r="Y395"/>
      <c r="Z395"/>
      <c r="AA395"/>
      <c r="AB395"/>
      <c r="AD395"/>
    </row>
    <row r="396" spans="1:30" ht="15.5" x14ac:dyDescent="0.25">
      <c r="A396"/>
      <c r="B396"/>
      <c r="C396" s="28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 s="432"/>
      <c r="U396"/>
      <c r="V396"/>
      <c r="W396"/>
      <c r="X396"/>
      <c r="Y396"/>
      <c r="Z396"/>
      <c r="AA396"/>
      <c r="AB396"/>
      <c r="AD396"/>
    </row>
    <row r="397" spans="1:30" ht="15.5" x14ac:dyDescent="0.25">
      <c r="A397"/>
      <c r="B397"/>
      <c r="C397" s="28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 s="432"/>
      <c r="U397"/>
      <c r="V397"/>
      <c r="W397"/>
      <c r="X397"/>
      <c r="Y397"/>
      <c r="Z397"/>
      <c r="AA397"/>
      <c r="AB397"/>
      <c r="AD397"/>
    </row>
    <row r="398" spans="1:30" ht="15.5" x14ac:dyDescent="0.25">
      <c r="A398"/>
      <c r="B398"/>
      <c r="C398" s="2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 s="432"/>
      <c r="U398"/>
      <c r="V398"/>
      <c r="W398"/>
      <c r="X398"/>
      <c r="Y398"/>
      <c r="Z398"/>
      <c r="AA398"/>
      <c r="AB398"/>
      <c r="AD398"/>
    </row>
    <row r="399" spans="1:30" ht="15.5" x14ac:dyDescent="0.25">
      <c r="A399"/>
      <c r="B399"/>
      <c r="C399" s="28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 s="432"/>
      <c r="U399"/>
      <c r="V399"/>
      <c r="W399"/>
      <c r="X399"/>
      <c r="Y399"/>
      <c r="Z399"/>
      <c r="AA399"/>
      <c r="AB399"/>
      <c r="AD399"/>
    </row>
    <row r="400" spans="1:30" ht="15.5" x14ac:dyDescent="0.25">
      <c r="A400"/>
      <c r="B400"/>
      <c r="C400" s="28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 s="432"/>
      <c r="U400"/>
      <c r="V400"/>
      <c r="W400"/>
      <c r="X400"/>
      <c r="Y400"/>
      <c r="Z400"/>
      <c r="AA400"/>
      <c r="AB400"/>
      <c r="AD400"/>
    </row>
    <row r="401" spans="1:30" ht="15.5" x14ac:dyDescent="0.25">
      <c r="A401"/>
      <c r="B401"/>
      <c r="C401" s="28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 s="432"/>
      <c r="U401"/>
      <c r="V401"/>
      <c r="W401"/>
      <c r="X401"/>
      <c r="Y401"/>
      <c r="Z401"/>
      <c r="AA401"/>
      <c r="AB401"/>
      <c r="AD401"/>
    </row>
    <row r="402" spans="1:30" ht="15.5" x14ac:dyDescent="0.25">
      <c r="A402"/>
      <c r="B402"/>
      <c r="C402" s="28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 s="432"/>
      <c r="U402"/>
      <c r="V402"/>
      <c r="W402"/>
      <c r="X402"/>
      <c r="Y402"/>
      <c r="Z402"/>
      <c r="AA402"/>
      <c r="AB402"/>
      <c r="AD402"/>
    </row>
    <row r="403" spans="1:30" ht="15.5" x14ac:dyDescent="0.25">
      <c r="A403"/>
      <c r="B403"/>
      <c r="C403" s="28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 s="432"/>
      <c r="U403"/>
      <c r="V403"/>
      <c r="W403"/>
      <c r="X403"/>
      <c r="Y403"/>
      <c r="Z403"/>
      <c r="AA403"/>
      <c r="AB403"/>
      <c r="AD403"/>
    </row>
    <row r="404" spans="1:30" ht="15.5" x14ac:dyDescent="0.25">
      <c r="A404"/>
      <c r="B404"/>
      <c r="C404" s="28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 s="432"/>
      <c r="U404"/>
      <c r="V404"/>
      <c r="W404"/>
      <c r="X404"/>
      <c r="Y404"/>
      <c r="Z404"/>
      <c r="AA404"/>
      <c r="AB404"/>
      <c r="AD404"/>
    </row>
    <row r="405" spans="1:30" ht="15.5" x14ac:dyDescent="0.25">
      <c r="A405"/>
      <c r="B405"/>
      <c r="C405" s="28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 s="432"/>
      <c r="U405"/>
      <c r="V405"/>
      <c r="W405"/>
      <c r="X405"/>
      <c r="Y405"/>
      <c r="Z405"/>
      <c r="AA405"/>
      <c r="AB405"/>
      <c r="AD405"/>
    </row>
    <row r="406" spans="1:30" ht="15.5" x14ac:dyDescent="0.25">
      <c r="A406"/>
      <c r="B406"/>
      <c r="C406" s="28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 s="432"/>
      <c r="U406"/>
      <c r="V406"/>
      <c r="W406"/>
      <c r="X406"/>
      <c r="Y406"/>
      <c r="Z406"/>
      <c r="AA406"/>
      <c r="AB406"/>
      <c r="AD406"/>
    </row>
    <row r="407" spans="1:30" ht="15.5" x14ac:dyDescent="0.25">
      <c r="A407"/>
      <c r="B407"/>
      <c r="C407" s="28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 s="432"/>
      <c r="U407"/>
      <c r="V407"/>
      <c r="W407"/>
      <c r="X407"/>
      <c r="Y407"/>
      <c r="Z407"/>
      <c r="AA407"/>
      <c r="AB407"/>
      <c r="AD407"/>
    </row>
    <row r="408" spans="1:30" ht="15.5" x14ac:dyDescent="0.25">
      <c r="A408"/>
      <c r="B408"/>
      <c r="C408" s="2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 s="432"/>
      <c r="U408"/>
      <c r="V408"/>
      <c r="W408"/>
      <c r="X408"/>
      <c r="Y408"/>
      <c r="Z408"/>
      <c r="AA408"/>
      <c r="AB408"/>
      <c r="AD408"/>
    </row>
    <row r="409" spans="1:30" ht="15.5" x14ac:dyDescent="0.25">
      <c r="A409"/>
      <c r="B409"/>
      <c r="C409" s="28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 s="432"/>
      <c r="U409"/>
      <c r="V409"/>
      <c r="W409"/>
      <c r="X409"/>
      <c r="Y409"/>
      <c r="Z409"/>
      <c r="AA409"/>
      <c r="AB409"/>
      <c r="AD409"/>
    </row>
    <row r="410" spans="1:30" ht="15.5" x14ac:dyDescent="0.25">
      <c r="A410"/>
      <c r="B410"/>
      <c r="C410" s="28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 s="432"/>
      <c r="U410"/>
      <c r="V410"/>
      <c r="W410"/>
      <c r="X410"/>
      <c r="Y410"/>
      <c r="Z410"/>
      <c r="AA410"/>
      <c r="AB410"/>
      <c r="AD410"/>
    </row>
    <row r="411" spans="1:30" ht="15.5" x14ac:dyDescent="0.25">
      <c r="A411"/>
      <c r="B411"/>
      <c r="C411" s="28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 s="432"/>
      <c r="U411"/>
      <c r="V411"/>
      <c r="W411"/>
      <c r="X411"/>
      <c r="Y411"/>
      <c r="Z411"/>
      <c r="AA411"/>
      <c r="AB411"/>
      <c r="AD411"/>
    </row>
    <row r="412" spans="1:30" ht="15.5" x14ac:dyDescent="0.25">
      <c r="A412"/>
      <c r="B412"/>
      <c r="C412" s="28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 s="432"/>
      <c r="U412"/>
      <c r="V412"/>
      <c r="W412"/>
      <c r="X412"/>
      <c r="Y412"/>
      <c r="Z412"/>
      <c r="AA412"/>
      <c r="AB412"/>
      <c r="AD412"/>
    </row>
    <row r="413" spans="1:30" ht="15.5" x14ac:dyDescent="0.25">
      <c r="A413"/>
      <c r="B413"/>
      <c r="C413" s="28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 s="432"/>
      <c r="U413"/>
      <c r="V413"/>
      <c r="W413"/>
      <c r="X413"/>
      <c r="Y413"/>
      <c r="Z413"/>
      <c r="AA413"/>
      <c r="AB413"/>
      <c r="AD413"/>
    </row>
    <row r="414" spans="1:30" ht="15.5" x14ac:dyDescent="0.25">
      <c r="A414"/>
      <c r="B414"/>
      <c r="C414" s="28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 s="432"/>
      <c r="U414"/>
      <c r="V414"/>
      <c r="W414"/>
      <c r="X414"/>
      <c r="Y414"/>
      <c r="Z414"/>
      <c r="AA414"/>
      <c r="AB414"/>
      <c r="AD414"/>
    </row>
    <row r="415" spans="1:30" ht="15.5" x14ac:dyDescent="0.25">
      <c r="A415"/>
      <c r="B415"/>
      <c r="C415" s="28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 s="432"/>
      <c r="U415"/>
      <c r="V415"/>
      <c r="W415"/>
      <c r="X415"/>
      <c r="Y415"/>
      <c r="Z415"/>
      <c r="AA415"/>
      <c r="AB415"/>
      <c r="AD415"/>
    </row>
    <row r="416" spans="1:30" ht="15.5" x14ac:dyDescent="0.25">
      <c r="A416"/>
      <c r="B416"/>
      <c r="C416" s="28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 s="432"/>
      <c r="U416"/>
      <c r="V416"/>
      <c r="W416"/>
      <c r="X416"/>
      <c r="Y416"/>
      <c r="Z416"/>
      <c r="AA416"/>
      <c r="AB416"/>
      <c r="AD416"/>
    </row>
    <row r="417" spans="1:30" ht="15.5" x14ac:dyDescent="0.25">
      <c r="A417"/>
      <c r="B417"/>
      <c r="C417" s="28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 s="432"/>
      <c r="U417"/>
      <c r="V417"/>
      <c r="W417"/>
      <c r="X417"/>
      <c r="Y417"/>
      <c r="Z417"/>
      <c r="AA417"/>
      <c r="AB417"/>
      <c r="AD417"/>
    </row>
    <row r="418" spans="1:30" ht="15.5" x14ac:dyDescent="0.25">
      <c r="A418"/>
      <c r="B418"/>
      <c r="C418" s="2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 s="432"/>
      <c r="U418"/>
      <c r="V418"/>
      <c r="W418"/>
      <c r="X418"/>
      <c r="Y418"/>
      <c r="Z418"/>
      <c r="AA418"/>
      <c r="AB418"/>
      <c r="AD418"/>
    </row>
    <row r="419" spans="1:30" ht="15.5" x14ac:dyDescent="0.25">
      <c r="A419"/>
      <c r="B419"/>
      <c r="C419" s="28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 s="432"/>
      <c r="U419"/>
      <c r="V419"/>
      <c r="W419"/>
      <c r="X419"/>
      <c r="Y419"/>
      <c r="Z419"/>
      <c r="AA419"/>
      <c r="AB419"/>
      <c r="AD419"/>
    </row>
    <row r="420" spans="1:30" ht="15.5" x14ac:dyDescent="0.25">
      <c r="A420"/>
      <c r="B420"/>
      <c r="C420" s="28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 s="432"/>
      <c r="U420"/>
      <c r="V420"/>
      <c r="W420"/>
      <c r="X420"/>
      <c r="Y420"/>
      <c r="Z420"/>
      <c r="AA420"/>
      <c r="AB420"/>
      <c r="AD420"/>
    </row>
    <row r="421" spans="1:30" ht="15.5" x14ac:dyDescent="0.25">
      <c r="A421"/>
      <c r="B421"/>
      <c r="C421" s="28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 s="432"/>
      <c r="U421"/>
      <c r="V421"/>
      <c r="W421"/>
      <c r="X421"/>
      <c r="Y421"/>
      <c r="Z421"/>
      <c r="AA421"/>
      <c r="AB421"/>
      <c r="AD421"/>
    </row>
    <row r="422" spans="1:30" ht="15.5" x14ac:dyDescent="0.25">
      <c r="A422"/>
      <c r="B422"/>
      <c r="C422" s="28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 s="432"/>
      <c r="U422"/>
      <c r="V422"/>
      <c r="W422"/>
      <c r="X422"/>
      <c r="Y422"/>
      <c r="Z422"/>
      <c r="AA422"/>
      <c r="AB422"/>
      <c r="AD422"/>
    </row>
    <row r="423" spans="1:30" ht="15.5" x14ac:dyDescent="0.25">
      <c r="A423"/>
      <c r="B423"/>
      <c r="C423" s="28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 s="432"/>
      <c r="U423"/>
      <c r="V423"/>
      <c r="W423"/>
      <c r="X423"/>
      <c r="Y423"/>
      <c r="Z423"/>
      <c r="AA423"/>
      <c r="AB423"/>
      <c r="AD423"/>
    </row>
    <row r="424" spans="1:30" ht="15.5" x14ac:dyDescent="0.25">
      <c r="A424"/>
      <c r="B424"/>
      <c r="C424" s="28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 s="432"/>
      <c r="U424"/>
      <c r="V424"/>
      <c r="W424"/>
      <c r="X424"/>
      <c r="Y424"/>
      <c r="Z424"/>
      <c r="AA424"/>
      <c r="AB424"/>
      <c r="AD424"/>
    </row>
    <row r="425" spans="1:30" ht="15.5" x14ac:dyDescent="0.25">
      <c r="A425"/>
      <c r="B425"/>
      <c r="C425" s="28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 s="432"/>
      <c r="U425"/>
      <c r="V425"/>
      <c r="W425"/>
      <c r="X425"/>
      <c r="Y425"/>
      <c r="Z425"/>
      <c r="AA425"/>
      <c r="AB425"/>
      <c r="AD425"/>
    </row>
    <row r="426" spans="1:30" ht="15.5" x14ac:dyDescent="0.25">
      <c r="A426"/>
      <c r="B426"/>
      <c r="C426" s="28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 s="432"/>
      <c r="U426"/>
      <c r="V426"/>
      <c r="W426"/>
      <c r="X426"/>
      <c r="Y426"/>
      <c r="Z426"/>
      <c r="AA426"/>
      <c r="AB426"/>
      <c r="AD426"/>
    </row>
    <row r="427" spans="1:30" ht="15.5" x14ac:dyDescent="0.25">
      <c r="A427"/>
      <c r="B427"/>
      <c r="C427" s="28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 s="432"/>
      <c r="U427"/>
      <c r="V427"/>
      <c r="W427"/>
      <c r="X427"/>
      <c r="Y427"/>
      <c r="Z427"/>
      <c r="AA427"/>
      <c r="AB427"/>
      <c r="AD427"/>
    </row>
    <row r="428" spans="1:30" ht="15.5" x14ac:dyDescent="0.25">
      <c r="A428"/>
      <c r="B428"/>
      <c r="C428" s="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 s="432"/>
      <c r="U428"/>
      <c r="V428"/>
      <c r="W428"/>
      <c r="X428"/>
      <c r="Y428"/>
      <c r="Z428"/>
      <c r="AA428"/>
      <c r="AB428"/>
      <c r="AD428"/>
    </row>
    <row r="429" spans="1:30" ht="15.5" x14ac:dyDescent="0.25">
      <c r="A429"/>
      <c r="B429"/>
      <c r="C429" s="28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 s="432"/>
      <c r="U429"/>
      <c r="V429"/>
      <c r="W429"/>
      <c r="X429"/>
      <c r="Y429"/>
      <c r="Z429"/>
      <c r="AA429"/>
      <c r="AB429"/>
      <c r="AD429"/>
    </row>
    <row r="430" spans="1:30" ht="15.5" x14ac:dyDescent="0.25">
      <c r="A430"/>
      <c r="B430"/>
      <c r="C430" s="28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 s="432"/>
      <c r="U430"/>
      <c r="V430"/>
      <c r="W430"/>
      <c r="X430"/>
      <c r="Y430"/>
      <c r="Z430"/>
      <c r="AA430"/>
      <c r="AB430"/>
      <c r="AD430"/>
    </row>
    <row r="431" spans="1:30" ht="15.5" x14ac:dyDescent="0.25">
      <c r="A431"/>
      <c r="B431"/>
      <c r="C431" s="28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 s="432"/>
      <c r="U431"/>
      <c r="V431"/>
      <c r="W431"/>
      <c r="X431"/>
      <c r="Y431"/>
      <c r="Z431"/>
      <c r="AA431"/>
      <c r="AB431"/>
      <c r="AD431"/>
    </row>
    <row r="432" spans="1:30" ht="15.5" x14ac:dyDescent="0.25">
      <c r="A432"/>
      <c r="B432"/>
      <c r="C432" s="28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 s="432"/>
      <c r="U432"/>
      <c r="V432"/>
      <c r="W432"/>
      <c r="X432"/>
      <c r="Y432"/>
      <c r="Z432"/>
      <c r="AA432"/>
      <c r="AB432"/>
      <c r="AD432"/>
    </row>
    <row r="433" spans="1:30" ht="15.5" x14ac:dyDescent="0.25">
      <c r="A433"/>
      <c r="B433"/>
      <c r="C433" s="28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 s="432"/>
      <c r="U433"/>
      <c r="V433"/>
      <c r="W433"/>
      <c r="X433"/>
      <c r="Y433"/>
      <c r="Z433"/>
      <c r="AA433"/>
      <c r="AB433"/>
      <c r="AD433"/>
    </row>
    <row r="434" spans="1:30" ht="15.5" x14ac:dyDescent="0.25">
      <c r="A434"/>
      <c r="B434"/>
      <c r="C434" s="28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 s="432"/>
      <c r="U434"/>
      <c r="V434"/>
      <c r="W434"/>
      <c r="X434"/>
      <c r="Y434"/>
      <c r="Z434"/>
      <c r="AA434"/>
      <c r="AB434"/>
      <c r="AD434"/>
    </row>
    <row r="435" spans="1:30" ht="15.5" x14ac:dyDescent="0.25">
      <c r="A435"/>
      <c r="B435"/>
      <c r="C435" s="28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 s="432"/>
      <c r="U435"/>
      <c r="V435"/>
      <c r="W435"/>
      <c r="X435"/>
      <c r="Y435"/>
      <c r="Z435"/>
      <c r="AA435"/>
      <c r="AB435"/>
      <c r="AD435"/>
    </row>
    <row r="436" spans="1:30" ht="15.5" x14ac:dyDescent="0.25">
      <c r="A436"/>
      <c r="B436"/>
      <c r="C436" s="28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 s="432"/>
      <c r="U436"/>
      <c r="V436"/>
      <c r="W436"/>
      <c r="X436"/>
      <c r="Y436"/>
      <c r="Z436"/>
      <c r="AA436"/>
      <c r="AB436"/>
      <c r="AD436"/>
    </row>
    <row r="437" spans="1:30" ht="15.5" x14ac:dyDescent="0.25">
      <c r="A437"/>
      <c r="B437"/>
      <c r="C437" s="28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 s="432"/>
      <c r="U437"/>
      <c r="V437"/>
      <c r="W437"/>
      <c r="X437"/>
      <c r="Y437"/>
      <c r="Z437"/>
      <c r="AA437"/>
      <c r="AB437"/>
      <c r="AD437"/>
    </row>
    <row r="438" spans="1:30" ht="15.5" x14ac:dyDescent="0.25">
      <c r="A438"/>
      <c r="B438"/>
      <c r="C438" s="2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 s="432"/>
      <c r="U438"/>
      <c r="V438"/>
      <c r="W438"/>
      <c r="X438"/>
      <c r="Y438"/>
      <c r="Z438"/>
      <c r="AA438"/>
      <c r="AB438"/>
      <c r="AD438"/>
    </row>
    <row r="439" spans="1:30" ht="15.5" x14ac:dyDescent="0.25">
      <c r="A439"/>
      <c r="B439"/>
      <c r="C439" s="28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 s="432"/>
      <c r="U439"/>
      <c r="V439"/>
      <c r="W439"/>
      <c r="X439"/>
      <c r="Y439"/>
      <c r="Z439"/>
      <c r="AA439"/>
      <c r="AB439"/>
      <c r="AD439"/>
    </row>
    <row r="440" spans="1:30" ht="15.5" x14ac:dyDescent="0.25">
      <c r="A440"/>
      <c r="B440"/>
      <c r="C440" s="28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 s="432"/>
      <c r="U440"/>
      <c r="V440"/>
      <c r="W440"/>
      <c r="X440"/>
      <c r="Y440"/>
      <c r="Z440"/>
      <c r="AA440"/>
      <c r="AB440"/>
      <c r="AD440"/>
    </row>
    <row r="441" spans="1:30" ht="15.5" x14ac:dyDescent="0.25">
      <c r="A441"/>
      <c r="B441"/>
      <c r="C441" s="28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 s="432"/>
      <c r="U441"/>
      <c r="V441"/>
      <c r="W441"/>
      <c r="X441"/>
      <c r="Y441"/>
      <c r="Z441"/>
      <c r="AA441"/>
      <c r="AB441"/>
      <c r="AD441"/>
    </row>
    <row r="442" spans="1:30" ht="15.5" x14ac:dyDescent="0.25">
      <c r="A442"/>
      <c r="B442"/>
      <c r="C442" s="28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 s="432"/>
      <c r="U442"/>
      <c r="V442"/>
      <c r="W442"/>
      <c r="X442"/>
      <c r="Y442"/>
      <c r="Z442"/>
      <c r="AA442"/>
      <c r="AB442"/>
      <c r="AD442"/>
    </row>
    <row r="443" spans="1:30" ht="15.5" x14ac:dyDescent="0.25">
      <c r="A443"/>
      <c r="B443"/>
      <c r="C443" s="28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 s="432"/>
      <c r="U443"/>
      <c r="V443"/>
      <c r="W443"/>
      <c r="X443"/>
      <c r="Y443"/>
      <c r="Z443"/>
      <c r="AA443"/>
      <c r="AB443"/>
      <c r="AD443"/>
    </row>
    <row r="444" spans="1:30" ht="15.5" x14ac:dyDescent="0.25">
      <c r="A444"/>
      <c r="B444"/>
      <c r="C444" s="28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 s="432"/>
      <c r="U444"/>
      <c r="V444"/>
      <c r="W444"/>
      <c r="X444"/>
      <c r="Y444"/>
      <c r="Z444"/>
      <c r="AA444"/>
      <c r="AB444"/>
      <c r="AD444"/>
    </row>
    <row r="445" spans="1:30" ht="15.5" x14ac:dyDescent="0.25">
      <c r="A445"/>
      <c r="B445"/>
      <c r="C445" s="28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 s="432"/>
      <c r="U445"/>
      <c r="V445"/>
      <c r="W445"/>
      <c r="X445"/>
      <c r="Y445"/>
      <c r="Z445"/>
      <c r="AA445"/>
      <c r="AB445"/>
      <c r="AD445"/>
    </row>
    <row r="446" spans="1:30" ht="15.5" x14ac:dyDescent="0.25">
      <c r="A446"/>
      <c r="B446"/>
      <c r="C446" s="28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 s="432"/>
      <c r="U446"/>
      <c r="V446"/>
      <c r="W446"/>
      <c r="X446"/>
      <c r="Y446"/>
      <c r="Z446"/>
      <c r="AA446"/>
      <c r="AB446"/>
      <c r="AD446"/>
    </row>
    <row r="447" spans="1:30" ht="15.5" x14ac:dyDescent="0.25">
      <c r="A447"/>
      <c r="B447"/>
      <c r="C447" s="28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 s="432"/>
      <c r="U447"/>
      <c r="V447"/>
      <c r="W447"/>
      <c r="X447"/>
      <c r="Y447"/>
      <c r="Z447"/>
      <c r="AA447"/>
      <c r="AB447"/>
      <c r="AD447"/>
    </row>
    <row r="448" spans="1:30" ht="15.5" x14ac:dyDescent="0.25">
      <c r="A448"/>
      <c r="B448"/>
      <c r="C448" s="2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 s="432"/>
      <c r="U448"/>
      <c r="V448"/>
      <c r="W448"/>
      <c r="X448"/>
      <c r="Y448"/>
      <c r="Z448"/>
      <c r="AA448"/>
      <c r="AB448"/>
      <c r="AD448"/>
    </row>
    <row r="449" spans="1:30" ht="15.5" x14ac:dyDescent="0.25">
      <c r="A449"/>
      <c r="B449"/>
      <c r="C449" s="28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 s="432"/>
      <c r="U449"/>
      <c r="V449"/>
      <c r="W449"/>
      <c r="X449"/>
      <c r="Y449"/>
      <c r="Z449"/>
      <c r="AA449"/>
      <c r="AB449"/>
      <c r="AD449"/>
    </row>
    <row r="450" spans="1:30" ht="15.5" x14ac:dyDescent="0.25">
      <c r="A450"/>
      <c r="B450"/>
      <c r="C450" s="28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 s="432"/>
      <c r="U450"/>
      <c r="V450"/>
      <c r="W450"/>
      <c r="X450"/>
      <c r="Y450"/>
      <c r="Z450"/>
      <c r="AA450"/>
      <c r="AB450"/>
      <c r="AD450"/>
    </row>
    <row r="451" spans="1:30" ht="15.5" x14ac:dyDescent="0.25">
      <c r="A451"/>
      <c r="B451"/>
      <c r="C451" s="28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 s="432"/>
      <c r="U451"/>
      <c r="V451"/>
      <c r="W451"/>
      <c r="X451"/>
      <c r="Y451"/>
      <c r="Z451"/>
      <c r="AA451"/>
      <c r="AB451"/>
      <c r="AD451"/>
    </row>
    <row r="452" spans="1:30" ht="15.5" x14ac:dyDescent="0.25">
      <c r="A452"/>
      <c r="B452"/>
      <c r="C452" s="28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 s="432"/>
      <c r="U452"/>
      <c r="V452"/>
      <c r="W452"/>
      <c r="X452"/>
      <c r="Y452"/>
      <c r="Z452"/>
      <c r="AA452"/>
      <c r="AB452"/>
      <c r="AD452"/>
    </row>
    <row r="453" spans="1:30" ht="15.5" x14ac:dyDescent="0.25">
      <c r="A453"/>
      <c r="B453"/>
      <c r="C453" s="28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 s="432"/>
      <c r="U453"/>
      <c r="V453"/>
      <c r="W453"/>
      <c r="X453"/>
      <c r="Y453"/>
      <c r="Z453"/>
      <c r="AA453"/>
      <c r="AB453"/>
      <c r="AD453"/>
    </row>
    <row r="454" spans="1:30" ht="15.5" x14ac:dyDescent="0.25">
      <c r="A454"/>
      <c r="B454"/>
      <c r="C454" s="28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 s="432"/>
      <c r="U454"/>
      <c r="V454"/>
      <c r="W454"/>
      <c r="X454"/>
      <c r="Y454"/>
      <c r="Z454"/>
      <c r="AA454"/>
      <c r="AB454"/>
      <c r="AD454"/>
    </row>
    <row r="455" spans="1:30" ht="15.5" x14ac:dyDescent="0.25">
      <c r="A455"/>
      <c r="B455"/>
      <c r="C455" s="28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 s="432"/>
      <c r="U455"/>
      <c r="V455"/>
      <c r="W455"/>
      <c r="X455"/>
      <c r="Y455"/>
      <c r="Z455"/>
      <c r="AA455"/>
      <c r="AB455"/>
      <c r="AD455"/>
    </row>
    <row r="456" spans="1:30" ht="15.5" x14ac:dyDescent="0.25">
      <c r="A456"/>
      <c r="B456"/>
      <c r="C456" s="28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 s="432"/>
      <c r="U456"/>
      <c r="V456"/>
      <c r="W456"/>
      <c r="X456"/>
      <c r="Y456"/>
      <c r="Z456"/>
      <c r="AA456"/>
      <c r="AB456"/>
      <c r="AD456"/>
    </row>
    <row r="457" spans="1:30" ht="15.5" x14ac:dyDescent="0.25">
      <c r="A457"/>
      <c r="B457"/>
      <c r="C457" s="28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 s="432"/>
      <c r="U457"/>
      <c r="V457"/>
      <c r="W457"/>
      <c r="X457"/>
      <c r="Y457"/>
      <c r="Z457"/>
      <c r="AA457"/>
      <c r="AB457"/>
      <c r="AD457"/>
    </row>
    <row r="458" spans="1:30" ht="15.5" x14ac:dyDescent="0.25">
      <c r="A458"/>
      <c r="B458"/>
      <c r="C458" s="2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 s="432"/>
      <c r="U458"/>
      <c r="V458"/>
      <c r="W458"/>
      <c r="X458"/>
      <c r="Y458"/>
      <c r="Z458"/>
      <c r="AA458"/>
      <c r="AB458"/>
      <c r="AD458"/>
    </row>
    <row r="459" spans="1:30" ht="15.5" x14ac:dyDescent="0.25">
      <c r="A459"/>
      <c r="B459"/>
      <c r="C459" s="28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 s="432"/>
      <c r="U459"/>
      <c r="V459"/>
      <c r="W459"/>
      <c r="X459"/>
      <c r="Y459"/>
      <c r="Z459"/>
      <c r="AA459"/>
      <c r="AB459"/>
      <c r="AD459"/>
    </row>
    <row r="460" spans="1:30" ht="15.5" x14ac:dyDescent="0.25">
      <c r="A460"/>
      <c r="B460"/>
      <c r="C460" s="28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 s="432"/>
      <c r="U460"/>
      <c r="V460"/>
      <c r="W460"/>
      <c r="X460"/>
      <c r="Y460"/>
      <c r="Z460"/>
      <c r="AA460"/>
      <c r="AB460"/>
      <c r="AD460"/>
    </row>
    <row r="461" spans="1:30" ht="15.5" x14ac:dyDescent="0.25">
      <c r="A461"/>
      <c r="B461"/>
      <c r="C461" s="28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 s="432"/>
      <c r="U461"/>
      <c r="V461"/>
      <c r="W461"/>
      <c r="X461"/>
      <c r="Y461"/>
      <c r="Z461"/>
      <c r="AA461"/>
      <c r="AB461"/>
      <c r="AD461"/>
    </row>
    <row r="462" spans="1:30" ht="15.5" x14ac:dyDescent="0.25">
      <c r="A462"/>
      <c r="B462"/>
      <c r="C462" s="28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 s="432"/>
      <c r="U462"/>
      <c r="V462"/>
      <c r="W462"/>
      <c r="X462"/>
      <c r="Y462"/>
      <c r="Z462"/>
      <c r="AA462"/>
      <c r="AB462"/>
      <c r="AD462"/>
    </row>
    <row r="463" spans="1:30" ht="15.5" x14ac:dyDescent="0.25">
      <c r="A463"/>
      <c r="B463"/>
      <c r="C463" s="28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 s="432"/>
      <c r="U463"/>
      <c r="V463"/>
      <c r="W463"/>
      <c r="X463"/>
      <c r="Y463"/>
      <c r="Z463"/>
      <c r="AA463"/>
      <c r="AB463"/>
      <c r="AD463"/>
    </row>
    <row r="464" spans="1:30" ht="15.5" x14ac:dyDescent="0.25">
      <c r="A464"/>
      <c r="B464"/>
      <c r="C464" s="28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 s="432"/>
      <c r="U464"/>
      <c r="V464"/>
      <c r="W464"/>
      <c r="X464"/>
      <c r="Y464"/>
      <c r="Z464"/>
      <c r="AA464"/>
      <c r="AB464"/>
      <c r="AD464"/>
    </row>
    <row r="465" spans="1:30" ht="15.5" x14ac:dyDescent="0.25">
      <c r="A465"/>
      <c r="B465"/>
      <c r="C465" s="28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 s="432"/>
      <c r="U465"/>
      <c r="V465"/>
      <c r="W465"/>
      <c r="X465"/>
      <c r="Y465"/>
      <c r="Z465"/>
      <c r="AA465"/>
      <c r="AB465"/>
      <c r="AD465"/>
    </row>
    <row r="466" spans="1:30" ht="15.5" x14ac:dyDescent="0.25">
      <c r="A466"/>
      <c r="B466"/>
      <c r="C466" s="28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 s="432"/>
      <c r="U466"/>
      <c r="V466"/>
      <c r="W466"/>
      <c r="X466"/>
      <c r="Y466"/>
      <c r="Z466"/>
      <c r="AA466"/>
      <c r="AB466"/>
      <c r="AD466"/>
    </row>
    <row r="467" spans="1:30" ht="15.5" x14ac:dyDescent="0.25">
      <c r="A467"/>
      <c r="B467"/>
      <c r="C467" s="28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 s="432"/>
      <c r="U467"/>
      <c r="V467"/>
      <c r="W467"/>
      <c r="X467"/>
      <c r="Y467"/>
      <c r="Z467"/>
      <c r="AA467"/>
      <c r="AB467"/>
      <c r="AD467"/>
    </row>
    <row r="468" spans="1:30" ht="15.5" x14ac:dyDescent="0.25">
      <c r="A468"/>
      <c r="B468"/>
      <c r="C468" s="2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 s="432"/>
      <c r="U468"/>
      <c r="V468"/>
      <c r="W468"/>
      <c r="X468"/>
      <c r="Y468"/>
      <c r="Z468"/>
      <c r="AA468"/>
      <c r="AB468"/>
      <c r="AD468"/>
    </row>
    <row r="469" spans="1:30" ht="15.5" x14ac:dyDescent="0.25">
      <c r="A469"/>
      <c r="B469"/>
      <c r="C469" s="28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 s="432"/>
      <c r="U469"/>
      <c r="V469"/>
      <c r="W469"/>
      <c r="X469"/>
      <c r="Y469"/>
      <c r="Z469"/>
      <c r="AA469"/>
      <c r="AB469"/>
      <c r="AD469"/>
    </row>
    <row r="470" spans="1:30" ht="15.5" x14ac:dyDescent="0.25">
      <c r="A470"/>
      <c r="B470"/>
      <c r="C470" s="28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 s="432"/>
      <c r="U470"/>
      <c r="V470"/>
      <c r="W470"/>
      <c r="X470"/>
      <c r="Y470"/>
      <c r="Z470"/>
      <c r="AA470"/>
      <c r="AB470"/>
      <c r="AD470"/>
    </row>
    <row r="471" spans="1:30" ht="15.5" x14ac:dyDescent="0.25">
      <c r="A471"/>
      <c r="B471"/>
      <c r="C471" s="28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 s="432"/>
      <c r="U471"/>
      <c r="V471"/>
      <c r="W471"/>
      <c r="X471"/>
      <c r="Y471"/>
      <c r="Z471"/>
      <c r="AA471"/>
      <c r="AB471"/>
      <c r="AD471"/>
    </row>
    <row r="472" spans="1:30" ht="15.5" x14ac:dyDescent="0.25">
      <c r="A472"/>
      <c r="B472"/>
      <c r="C472" s="28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 s="432"/>
      <c r="U472"/>
      <c r="V472"/>
      <c r="W472"/>
      <c r="X472"/>
      <c r="Y472"/>
      <c r="Z472"/>
      <c r="AA472"/>
      <c r="AB472"/>
      <c r="AD472"/>
    </row>
    <row r="473" spans="1:30" ht="15.5" x14ac:dyDescent="0.25">
      <c r="A473"/>
      <c r="B473"/>
      <c r="C473" s="28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 s="432"/>
      <c r="U473"/>
      <c r="V473"/>
      <c r="W473"/>
      <c r="X473"/>
      <c r="Y473"/>
      <c r="Z473"/>
      <c r="AA473"/>
      <c r="AB473"/>
      <c r="AD473"/>
    </row>
    <row r="474" spans="1:30" ht="15.5" x14ac:dyDescent="0.25">
      <c r="A474"/>
      <c r="B474"/>
      <c r="C474" s="28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 s="432"/>
      <c r="U474"/>
      <c r="V474"/>
      <c r="W474"/>
      <c r="X474"/>
      <c r="Y474"/>
      <c r="Z474"/>
      <c r="AA474"/>
      <c r="AB474"/>
      <c r="AD474"/>
    </row>
    <row r="475" spans="1:30" ht="15.5" x14ac:dyDescent="0.25">
      <c r="A475"/>
      <c r="B475"/>
      <c r="C475" s="28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 s="432"/>
      <c r="U475"/>
      <c r="V475"/>
      <c r="W475"/>
      <c r="X475"/>
      <c r="Y475"/>
      <c r="Z475"/>
      <c r="AA475"/>
      <c r="AB475"/>
      <c r="AD475"/>
    </row>
    <row r="476" spans="1:30" ht="15.5" x14ac:dyDescent="0.25">
      <c r="A476"/>
      <c r="B476"/>
      <c r="C476" s="28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 s="432"/>
      <c r="U476"/>
      <c r="V476"/>
      <c r="W476"/>
      <c r="X476"/>
      <c r="Y476"/>
      <c r="Z476"/>
      <c r="AA476"/>
      <c r="AB476"/>
      <c r="AD476"/>
    </row>
    <row r="477" spans="1:30" ht="15.5" x14ac:dyDescent="0.25">
      <c r="A477"/>
      <c r="B477"/>
      <c r="C477" s="28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 s="432"/>
      <c r="U477"/>
      <c r="V477"/>
      <c r="W477"/>
      <c r="X477"/>
      <c r="Y477"/>
      <c r="Z477"/>
      <c r="AA477"/>
      <c r="AB477"/>
      <c r="AD477"/>
    </row>
    <row r="478" spans="1:30" ht="15.5" x14ac:dyDescent="0.25">
      <c r="A478"/>
      <c r="B478"/>
      <c r="C478" s="2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 s="432"/>
      <c r="U478"/>
      <c r="V478"/>
      <c r="W478"/>
      <c r="X478"/>
      <c r="Y478"/>
      <c r="Z478"/>
      <c r="AA478"/>
      <c r="AB478"/>
      <c r="AD478"/>
    </row>
    <row r="479" spans="1:30" ht="15.5" x14ac:dyDescent="0.25">
      <c r="A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 s="432"/>
      <c r="U479"/>
      <c r="V479"/>
      <c r="W479"/>
      <c r="X479"/>
      <c r="Y479"/>
      <c r="Z479"/>
      <c r="AA479"/>
      <c r="AB479"/>
      <c r="AD479"/>
    </row>
  </sheetData>
  <autoFilter ref="A1:AM304" xr:uid="{00000000-0009-0000-0000-000000000000}">
    <sortState xmlns:xlrd2="http://schemas.microsoft.com/office/spreadsheetml/2017/richdata2" ref="A2:AM304">
      <sortCondition ref="A1:A304"/>
    </sortState>
  </autoFilter>
  <phoneticPr fontId="21" type="noConversion"/>
  <conditionalFormatting sqref="A2:A269">
    <cfRule type="duplicateValues" dxfId="789" priority="12637"/>
  </conditionalFormatting>
  <conditionalFormatting sqref="A270:A303">
    <cfRule type="duplicateValues" dxfId="788" priority="22"/>
    <cfRule type="duplicateValues" dxfId="787" priority="23"/>
    <cfRule type="duplicateValues" dxfId="786" priority="24"/>
    <cfRule type="duplicateValues" dxfId="785" priority="25"/>
    <cfRule type="duplicateValues" dxfId="784" priority="26"/>
    <cfRule type="duplicateValues" dxfId="783" priority="27"/>
    <cfRule type="duplicateValues" dxfId="782" priority="28"/>
    <cfRule type="duplicateValues" dxfId="781" priority="29"/>
    <cfRule type="duplicateValues" dxfId="780" priority="73"/>
    <cfRule type="duplicateValues" dxfId="779" priority="74"/>
    <cfRule type="duplicateValues" dxfId="778" priority="75"/>
    <cfRule type="duplicateValues" dxfId="777" priority="76"/>
    <cfRule type="duplicateValues" dxfId="776" priority="77"/>
    <cfRule type="duplicateValues" dxfId="775" priority="78"/>
    <cfRule type="duplicateValues" dxfId="774" priority="79"/>
  </conditionalFormatting>
  <conditionalFormatting sqref="A309 A480:A1048576 A1">
    <cfRule type="duplicateValues" dxfId="773" priority="98"/>
  </conditionalFormatting>
  <conditionalFormatting sqref="B1:B1048576">
    <cfRule type="duplicateValues" dxfId="772" priority="1"/>
  </conditionalFormatting>
  <conditionalFormatting sqref="B321:B1048576 B1:B314">
    <cfRule type="duplicateValues" dxfId="771" priority="2"/>
  </conditionalFormatting>
  <conditionalFormatting sqref="B479:B1048576 B1:B312">
    <cfRule type="duplicateValues" dxfId="770" priority="3"/>
    <cfRule type="duplicateValues" dxfId="769" priority="4"/>
    <cfRule type="duplicateValues" dxfId="768" priority="5"/>
    <cfRule type="duplicateValues" dxfId="767" priority="6"/>
    <cfRule type="duplicateValues" dxfId="766" priority="7"/>
    <cfRule type="duplicateValues" dxfId="765" priority="8"/>
  </conditionalFormatting>
  <conditionalFormatting sqref="H1:H285 U1:U303 I2:I285 H286:I303 H305:H307 H480:H1048576">
    <cfRule type="cellIs" dxfId="764" priority="84" operator="lessThan">
      <formula>0</formula>
    </cfRule>
  </conditionalFormatting>
  <conditionalFormatting sqref="L1">
    <cfRule type="cellIs" dxfId="763" priority="85" operator="lessThan">
      <formula>0</formula>
    </cfRule>
  </conditionalFormatting>
  <conditionalFormatting sqref="L305:L313 L480:L1048576">
    <cfRule type="cellIs" dxfId="762" priority="101" operator="lessThan">
      <formula>0</formula>
    </cfRule>
  </conditionalFormatting>
  <conditionalFormatting sqref="Q1:Q313 I304:U304 Q480:Q1048576">
    <cfRule type="expression" dxfId="761" priority="16">
      <formula>AND($Q1&lt;&gt;0,OR($Q1&gt;$M1/3,$Q1=$M1/3))</formula>
    </cfRule>
  </conditionalFormatting>
  <conditionalFormatting sqref="S2:S303">
    <cfRule type="expression" dxfId="760" priority="10629">
      <formula>$S2&gt;$M2</formula>
    </cfRule>
  </conditionalFormatting>
  <conditionalFormatting sqref="S2:U303 H304:U304">
    <cfRule type="cellIs" dxfId="759" priority="164" stopIfTrue="1" operator="equal">
      <formula>0</formula>
    </cfRule>
  </conditionalFormatting>
  <conditionalFormatting sqref="U559:U1048576">
    <cfRule type="cellIs" dxfId="758" priority="165" operator="lessThan">
      <formula>0</formula>
    </cfRule>
  </conditionalFormatting>
  <conditionalFormatting sqref="W2:W304">
    <cfRule type="expression" dxfId="757" priority="107">
      <formula>AJ2&lt;AI2</formula>
    </cfRule>
    <cfRule type="expression" dxfId="756" priority="108">
      <formula>AJ2&gt;AI2</formula>
    </cfRule>
  </conditionalFormatting>
  <conditionalFormatting sqref="X1">
    <cfRule type="expression" dxfId="755" priority="166">
      <formula>COUNTIF($AB$1,"THERE IS ERROR")</formula>
    </cfRule>
    <cfRule type="expression" dxfId="754" priority="167">
      <formula>COUNTIF($AB$1,"ITS OKAY")</formula>
    </cfRule>
  </conditionalFormatting>
  <conditionalFormatting sqref="AB1">
    <cfRule type="expression" dxfId="753" priority="169">
      <formula>COUNTIF($AB$1,"THERE IS ERROR")</formula>
    </cfRule>
    <cfRule type="expression" dxfId="752" priority="171">
      <formula>COUNTIF($AB$1,"ITS OKAY")</formula>
    </cfRule>
  </conditionalFormatting>
  <conditionalFormatting sqref="AK2:AK304">
    <cfRule type="cellIs" dxfId="751" priority="109" operator="equal">
      <formula>0</formula>
    </cfRule>
  </conditionalFormatting>
  <pageMargins left="0.25" right="0.25" top="0.75" bottom="0.75" header="0.3" footer="0.3"/>
  <pageSetup paperSize="9" scale="2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A7CE2891-AD5E-4036-86EC-BBCEA7C4AAA0}">
          <x14:formula1>
            <xm:f>'Categories Data'!$B$2:$B$33</xm:f>
          </x14:formula1>
          <xm:sqref>R2:R303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3"/>
  <dimension ref="A1:Q61"/>
  <sheetViews>
    <sheetView topLeftCell="C44" workbookViewId="0">
      <selection activeCell="E58" sqref="E58"/>
    </sheetView>
  </sheetViews>
  <sheetFormatPr defaultRowHeight="12.5" x14ac:dyDescent="0.25"/>
  <cols>
    <col min="2" max="2" width="12.7265625" bestFit="1" customWidth="1"/>
    <col min="3" max="3" width="10.26953125" bestFit="1" customWidth="1"/>
    <col min="4" max="4" width="1.7265625" bestFit="1" customWidth="1"/>
    <col min="10" max="10" width="59.26953125" bestFit="1" customWidth="1"/>
    <col min="13" max="13" width="8" bestFit="1" customWidth="1"/>
    <col min="14" max="14" width="8.7265625" bestFit="1" customWidth="1"/>
    <col min="15" max="15" width="12.7265625" bestFit="1" customWidth="1"/>
    <col min="16" max="16" width="9.54296875" bestFit="1" customWidth="1"/>
    <col min="17" max="17" width="7.7265625" bestFit="1" customWidth="1"/>
  </cols>
  <sheetData>
    <row r="1" spans="1:17" ht="15" thickBot="1" x14ac:dyDescent="0.3">
      <c r="B1" s="445" t="s">
        <v>255</v>
      </c>
      <c r="C1" s="445">
        <v>1160951</v>
      </c>
      <c r="K1" s="147"/>
    </row>
    <row r="2" spans="1:17" ht="15" thickBot="1" x14ac:dyDescent="0.3">
      <c r="A2" s="446">
        <v>6.125</v>
      </c>
      <c r="B2" s="446" t="s">
        <v>256</v>
      </c>
      <c r="C2" s="446" t="s">
        <v>257</v>
      </c>
      <c r="D2" s="446">
        <v>1</v>
      </c>
      <c r="E2" s="446">
        <v>1313</v>
      </c>
      <c r="F2" s="446" t="s">
        <v>248</v>
      </c>
      <c r="G2" s="446" t="s">
        <v>125</v>
      </c>
      <c r="H2" s="446">
        <v>13</v>
      </c>
      <c r="I2" s="446">
        <v>1136984</v>
      </c>
      <c r="K2" s="433" t="s">
        <v>258</v>
      </c>
      <c r="L2" s="434" t="s">
        <v>259</v>
      </c>
      <c r="M2" s="434" t="s">
        <v>260</v>
      </c>
      <c r="N2" s="434" t="s">
        <v>261</v>
      </c>
      <c r="O2" s="434" t="s">
        <v>262</v>
      </c>
      <c r="P2" s="435" t="s">
        <v>263</v>
      </c>
      <c r="Q2" s="436" t="s">
        <v>264</v>
      </c>
    </row>
    <row r="3" spans="1:17" ht="15" thickBot="1" x14ac:dyDescent="0.35">
      <c r="A3" s="446">
        <v>6.125</v>
      </c>
      <c r="B3" s="446" t="s">
        <v>256</v>
      </c>
      <c r="C3" s="446" t="s">
        <v>257</v>
      </c>
      <c r="D3" s="446">
        <v>2</v>
      </c>
      <c r="E3" s="446">
        <v>1313</v>
      </c>
      <c r="F3" s="446" t="s">
        <v>248</v>
      </c>
      <c r="G3" s="446" t="s">
        <v>111</v>
      </c>
      <c r="H3" s="447">
        <v>5</v>
      </c>
      <c r="I3" s="446">
        <v>1100696</v>
      </c>
      <c r="K3" s="437">
        <v>6.125</v>
      </c>
      <c r="L3" s="438" t="s">
        <v>256</v>
      </c>
      <c r="M3" s="438">
        <v>1198387</v>
      </c>
      <c r="N3" s="438">
        <v>14093067</v>
      </c>
      <c r="O3" s="438" t="s">
        <v>256</v>
      </c>
      <c r="P3" s="438" t="s">
        <v>257</v>
      </c>
      <c r="Q3" s="439">
        <v>1160951</v>
      </c>
    </row>
    <row r="4" spans="1:17" ht="15" thickBot="1" x14ac:dyDescent="0.3">
      <c r="A4" s="446">
        <v>6.125</v>
      </c>
      <c r="B4" s="446" t="s">
        <v>256</v>
      </c>
      <c r="C4" s="446" t="s">
        <v>257</v>
      </c>
      <c r="D4" s="446">
        <v>3</v>
      </c>
      <c r="E4" s="446">
        <v>1308</v>
      </c>
      <c r="F4" s="446" t="s">
        <v>265</v>
      </c>
      <c r="G4" s="446" t="s">
        <v>71</v>
      </c>
      <c r="H4" s="446">
        <v>6</v>
      </c>
      <c r="I4" s="446">
        <v>418525</v>
      </c>
      <c r="K4" s="437">
        <v>6.125</v>
      </c>
      <c r="L4" s="438" t="s">
        <v>256</v>
      </c>
      <c r="M4" s="438">
        <v>1198387</v>
      </c>
      <c r="N4" s="438">
        <v>14093068</v>
      </c>
      <c r="O4" s="438" t="s">
        <v>256</v>
      </c>
      <c r="P4" s="438" t="s">
        <v>257</v>
      </c>
      <c r="Q4" s="439">
        <v>1160951</v>
      </c>
    </row>
    <row r="5" spans="1:17" ht="15" thickBot="1" x14ac:dyDescent="0.3">
      <c r="A5" s="446">
        <v>6.125</v>
      </c>
      <c r="B5" s="446" t="s">
        <v>256</v>
      </c>
      <c r="C5" s="446" t="s">
        <v>257</v>
      </c>
      <c r="D5" s="446">
        <v>4</v>
      </c>
      <c r="E5" s="446" t="s">
        <v>266</v>
      </c>
      <c r="F5" s="446" t="s">
        <v>103</v>
      </c>
      <c r="G5" s="446" t="s">
        <v>267</v>
      </c>
      <c r="H5" s="446">
        <v>5</v>
      </c>
      <c r="I5" s="446">
        <v>1101509</v>
      </c>
      <c r="K5" s="437">
        <v>6.125</v>
      </c>
      <c r="L5" s="438" t="s">
        <v>256</v>
      </c>
      <c r="M5" s="438">
        <v>1198387</v>
      </c>
      <c r="N5" s="438">
        <v>14093064</v>
      </c>
      <c r="O5" s="438" t="s">
        <v>256</v>
      </c>
      <c r="P5" s="438" t="s">
        <v>257</v>
      </c>
      <c r="Q5" s="439">
        <v>1160951</v>
      </c>
    </row>
    <row r="6" spans="1:17" ht="15" thickBot="1" x14ac:dyDescent="0.3">
      <c r="A6" s="446">
        <v>6.125</v>
      </c>
      <c r="B6" s="446" t="s">
        <v>256</v>
      </c>
      <c r="C6" s="446" t="s">
        <v>257</v>
      </c>
      <c r="D6" s="446">
        <v>5</v>
      </c>
      <c r="E6" s="446">
        <v>1313</v>
      </c>
      <c r="F6" s="446" t="s">
        <v>248</v>
      </c>
      <c r="G6" s="446" t="s">
        <v>123</v>
      </c>
      <c r="H6" s="446">
        <v>1</v>
      </c>
      <c r="I6" s="446">
        <v>1104083</v>
      </c>
      <c r="K6" s="437">
        <v>6.125</v>
      </c>
      <c r="L6" s="438" t="s">
        <v>256</v>
      </c>
      <c r="M6" s="438">
        <v>1198387</v>
      </c>
      <c r="N6" s="438">
        <v>14093063</v>
      </c>
      <c r="O6" s="438" t="s">
        <v>256</v>
      </c>
      <c r="P6" s="438" t="s">
        <v>257</v>
      </c>
      <c r="Q6" s="439">
        <v>1160951</v>
      </c>
    </row>
    <row r="7" spans="1:17" ht="15" thickBot="1" x14ac:dyDescent="0.3">
      <c r="A7" s="247">
        <v>6.125</v>
      </c>
      <c r="B7" s="247" t="s">
        <v>256</v>
      </c>
      <c r="C7" s="247" t="s">
        <v>257</v>
      </c>
      <c r="D7" s="247">
        <v>6</v>
      </c>
      <c r="E7" s="247">
        <v>1313</v>
      </c>
      <c r="F7" s="247" t="s">
        <v>177</v>
      </c>
      <c r="G7" s="247" t="s">
        <v>111</v>
      </c>
      <c r="H7" s="247">
        <v>7</v>
      </c>
      <c r="I7" s="247">
        <v>1146346</v>
      </c>
      <c r="K7" s="437">
        <v>6.125</v>
      </c>
      <c r="L7" s="438" t="s">
        <v>256</v>
      </c>
      <c r="M7" s="438">
        <v>1198387</v>
      </c>
      <c r="N7" s="438">
        <v>14093062</v>
      </c>
      <c r="O7" s="438" t="s">
        <v>256</v>
      </c>
      <c r="P7" s="438" t="s">
        <v>257</v>
      </c>
      <c r="Q7" s="439">
        <v>1160951</v>
      </c>
    </row>
    <row r="8" spans="1:17" ht="15" thickBot="1" x14ac:dyDescent="0.3">
      <c r="K8" s="437">
        <v>6.125</v>
      </c>
      <c r="L8" s="438" t="s">
        <v>256</v>
      </c>
      <c r="M8" s="438">
        <v>1198387</v>
      </c>
      <c r="N8" s="438">
        <v>14093065</v>
      </c>
      <c r="O8" s="438" t="s">
        <v>256</v>
      </c>
      <c r="P8" s="438" t="s">
        <v>257</v>
      </c>
      <c r="Q8" s="439">
        <v>1160951</v>
      </c>
    </row>
    <row r="9" spans="1:17" ht="15" thickBot="1" x14ac:dyDescent="0.3">
      <c r="B9" s="450" t="s">
        <v>268</v>
      </c>
      <c r="C9" s="432" t="s">
        <v>269</v>
      </c>
      <c r="E9" t="s">
        <v>270</v>
      </c>
      <c r="F9" s="448">
        <v>14081143</v>
      </c>
      <c r="K9" s="437">
        <v>6.125</v>
      </c>
      <c r="L9" s="438" t="s">
        <v>256</v>
      </c>
      <c r="M9" s="438">
        <v>1198387</v>
      </c>
      <c r="N9" s="438">
        <v>14093066</v>
      </c>
      <c r="O9" s="438" t="s">
        <v>256</v>
      </c>
      <c r="P9" s="438" t="s">
        <v>257</v>
      </c>
      <c r="Q9" s="439">
        <v>1160951</v>
      </c>
    </row>
    <row r="10" spans="1:17" ht="15" thickBot="1" x14ac:dyDescent="0.3">
      <c r="A10">
        <v>8.375</v>
      </c>
      <c r="B10" t="s">
        <v>271</v>
      </c>
      <c r="C10" t="s">
        <v>269</v>
      </c>
      <c r="D10">
        <v>1</v>
      </c>
      <c r="E10">
        <v>1613</v>
      </c>
      <c r="F10" t="s">
        <v>253</v>
      </c>
      <c r="G10" t="s">
        <v>114</v>
      </c>
      <c r="H10">
        <v>33</v>
      </c>
      <c r="I10">
        <v>1130198</v>
      </c>
      <c r="K10" s="437">
        <v>8.375</v>
      </c>
      <c r="L10" s="438" t="s">
        <v>271</v>
      </c>
      <c r="M10" s="438">
        <v>1239176</v>
      </c>
      <c r="N10" s="448">
        <v>14081143</v>
      </c>
      <c r="O10" s="438" t="s">
        <v>271</v>
      </c>
      <c r="P10" s="438" t="s">
        <v>269</v>
      </c>
      <c r="Q10" s="439">
        <v>1239176</v>
      </c>
    </row>
    <row r="11" spans="1:17" ht="15" thickBot="1" x14ac:dyDescent="0.3">
      <c r="A11">
        <v>8.375</v>
      </c>
      <c r="B11" t="s">
        <v>271</v>
      </c>
      <c r="C11" t="s">
        <v>269</v>
      </c>
      <c r="D11">
        <v>2</v>
      </c>
      <c r="E11">
        <v>1608</v>
      </c>
      <c r="F11" t="s">
        <v>253</v>
      </c>
      <c r="G11" t="s">
        <v>51</v>
      </c>
      <c r="H11">
        <v>23</v>
      </c>
      <c r="I11">
        <v>647435</v>
      </c>
      <c r="K11" s="441">
        <v>8.375</v>
      </c>
      <c r="L11" s="442" t="s">
        <v>272</v>
      </c>
      <c r="M11" s="442">
        <v>1141517</v>
      </c>
      <c r="N11" s="442">
        <v>13807909</v>
      </c>
      <c r="O11" s="442" t="s">
        <v>273</v>
      </c>
      <c r="P11" s="442">
        <v>1092981</v>
      </c>
      <c r="Q11" s="443">
        <v>1092981</v>
      </c>
    </row>
    <row r="12" spans="1:17" ht="15" thickBot="1" x14ac:dyDescent="0.3">
      <c r="A12">
        <v>8.375</v>
      </c>
      <c r="B12" t="s">
        <v>271</v>
      </c>
      <c r="C12" t="s">
        <v>269</v>
      </c>
      <c r="D12">
        <v>3</v>
      </c>
      <c r="E12">
        <v>1313</v>
      </c>
      <c r="F12" t="s">
        <v>253</v>
      </c>
      <c r="G12" t="s">
        <v>51</v>
      </c>
      <c r="H12">
        <v>6</v>
      </c>
      <c r="I12">
        <v>871781</v>
      </c>
      <c r="K12" s="441">
        <v>8.375</v>
      </c>
      <c r="L12" s="442" t="s">
        <v>272</v>
      </c>
      <c r="M12" s="442">
        <v>1141517</v>
      </c>
      <c r="N12" s="442">
        <v>13791101</v>
      </c>
      <c r="O12" s="442" t="s">
        <v>273</v>
      </c>
      <c r="P12" s="442">
        <v>1092981</v>
      </c>
      <c r="Q12" s="443">
        <v>1092981</v>
      </c>
    </row>
    <row r="13" spans="1:17" ht="15" thickBot="1" x14ac:dyDescent="0.3">
      <c r="K13" s="437">
        <v>8.5</v>
      </c>
      <c r="L13" s="438" t="s">
        <v>274</v>
      </c>
      <c r="M13" s="438">
        <v>1158011</v>
      </c>
      <c r="N13" s="438">
        <v>14093070</v>
      </c>
      <c r="O13" s="438" t="s">
        <v>275</v>
      </c>
      <c r="P13" s="438">
        <v>1267829</v>
      </c>
      <c r="Q13" s="439">
        <v>1267829</v>
      </c>
    </row>
    <row r="14" spans="1:17" ht="15" thickBot="1" x14ac:dyDescent="0.3">
      <c r="B14" s="445" t="s">
        <v>276</v>
      </c>
      <c r="C14" s="445">
        <v>1267829</v>
      </c>
      <c r="K14" s="437">
        <v>8.5</v>
      </c>
      <c r="L14" s="438" t="s">
        <v>274</v>
      </c>
      <c r="M14" s="438">
        <v>1158011</v>
      </c>
      <c r="N14" s="438">
        <v>14093069</v>
      </c>
      <c r="O14" s="438" t="s">
        <v>275</v>
      </c>
      <c r="P14" s="438">
        <v>1267829</v>
      </c>
      <c r="Q14" s="439">
        <v>1267829</v>
      </c>
    </row>
    <row r="15" spans="1:17" ht="15" thickBot="1" x14ac:dyDescent="0.3">
      <c r="A15" s="247">
        <v>8.5</v>
      </c>
      <c r="B15" s="247" t="s">
        <v>274</v>
      </c>
      <c r="C15" s="247">
        <v>1267829</v>
      </c>
      <c r="D15" s="247">
        <v>1</v>
      </c>
      <c r="E15" s="247">
        <v>1613</v>
      </c>
      <c r="F15" s="247" t="s">
        <v>277</v>
      </c>
      <c r="G15" s="247" t="s">
        <v>195</v>
      </c>
      <c r="H15" s="247">
        <v>17</v>
      </c>
      <c r="I15" s="247">
        <v>1271790</v>
      </c>
      <c r="J15" t="s">
        <v>278</v>
      </c>
      <c r="K15" s="437">
        <v>8.5</v>
      </c>
      <c r="L15" s="438" t="s">
        <v>274</v>
      </c>
      <c r="M15" s="438">
        <v>1158011</v>
      </c>
      <c r="N15" s="438">
        <v>14081909</v>
      </c>
      <c r="O15" s="438" t="s">
        <v>275</v>
      </c>
      <c r="P15" s="438">
        <v>1267829</v>
      </c>
      <c r="Q15" s="439">
        <v>1267829</v>
      </c>
    </row>
    <row r="16" spans="1:17" ht="15" thickBot="1" x14ac:dyDescent="0.3">
      <c r="A16" s="446">
        <v>8.5</v>
      </c>
      <c r="B16" s="446" t="s">
        <v>274</v>
      </c>
      <c r="C16" s="446">
        <v>1267829</v>
      </c>
      <c r="D16" s="446">
        <v>2</v>
      </c>
      <c r="E16" s="446" t="s">
        <v>38</v>
      </c>
      <c r="F16" s="446" t="s">
        <v>243</v>
      </c>
      <c r="G16" s="446" t="s">
        <v>279</v>
      </c>
      <c r="H16" s="446">
        <v>15</v>
      </c>
      <c r="I16" s="446">
        <v>1078377</v>
      </c>
      <c r="K16" s="437">
        <v>8.5</v>
      </c>
      <c r="L16" s="438" t="s">
        <v>274</v>
      </c>
      <c r="M16" s="438">
        <v>1158011</v>
      </c>
      <c r="N16" s="438">
        <v>14081907</v>
      </c>
      <c r="O16" s="438" t="s">
        <v>275</v>
      </c>
      <c r="P16" s="438">
        <v>1267829</v>
      </c>
      <c r="Q16" s="439">
        <v>1267829</v>
      </c>
    </row>
    <row r="17" spans="1:17" ht="15" thickBot="1" x14ac:dyDescent="0.3">
      <c r="A17" s="446">
        <v>8.5</v>
      </c>
      <c r="B17" s="446" t="s">
        <v>274</v>
      </c>
      <c r="C17" s="446">
        <v>1267829</v>
      </c>
      <c r="D17" s="446">
        <v>3</v>
      </c>
      <c r="E17" s="446">
        <v>1613</v>
      </c>
      <c r="F17" s="446" t="s">
        <v>280</v>
      </c>
      <c r="G17" s="446" t="s">
        <v>111</v>
      </c>
      <c r="H17" s="446">
        <v>8</v>
      </c>
      <c r="I17" s="446">
        <v>1208601</v>
      </c>
      <c r="K17" s="437">
        <v>8.5</v>
      </c>
      <c r="L17" s="438" t="s">
        <v>281</v>
      </c>
      <c r="M17" s="438">
        <v>1267809</v>
      </c>
      <c r="N17" s="438">
        <v>14081901</v>
      </c>
      <c r="O17" s="438" t="s">
        <v>281</v>
      </c>
      <c r="P17" s="438">
        <v>1263805</v>
      </c>
      <c r="Q17" s="439">
        <v>1263805</v>
      </c>
    </row>
    <row r="18" spans="1:17" ht="15" thickBot="1" x14ac:dyDescent="0.3">
      <c r="A18" s="446">
        <v>8.5</v>
      </c>
      <c r="B18" s="446" t="s">
        <v>274</v>
      </c>
      <c r="C18" s="446">
        <v>1267829</v>
      </c>
      <c r="D18" s="446">
        <v>4</v>
      </c>
      <c r="E18" s="446">
        <v>1308</v>
      </c>
      <c r="F18" s="446" t="s">
        <v>265</v>
      </c>
      <c r="G18" s="446" t="s">
        <v>71</v>
      </c>
      <c r="H18" s="446">
        <v>6</v>
      </c>
      <c r="I18" s="446">
        <v>418525</v>
      </c>
      <c r="K18" s="437">
        <v>8.5</v>
      </c>
      <c r="L18" s="438" t="s">
        <v>281</v>
      </c>
      <c r="M18" s="438">
        <v>1267809</v>
      </c>
      <c r="N18" s="438">
        <v>14081899</v>
      </c>
      <c r="O18" s="438" t="s">
        <v>281</v>
      </c>
      <c r="P18" s="438">
        <v>1263805</v>
      </c>
      <c r="Q18" s="439">
        <v>1263805</v>
      </c>
    </row>
    <row r="19" spans="1:17" ht="15" thickBot="1" x14ac:dyDescent="0.3">
      <c r="A19" s="446">
        <v>8.5</v>
      </c>
      <c r="B19" s="446" t="s">
        <v>274</v>
      </c>
      <c r="C19" s="446">
        <v>1267829</v>
      </c>
      <c r="D19" s="446">
        <v>5</v>
      </c>
      <c r="E19" s="446">
        <v>1613</v>
      </c>
      <c r="F19" s="446" t="s">
        <v>277</v>
      </c>
      <c r="G19" s="446" t="s">
        <v>111</v>
      </c>
      <c r="H19" s="446">
        <v>6</v>
      </c>
      <c r="I19" s="446">
        <v>1146737</v>
      </c>
      <c r="K19" s="437">
        <v>8.5</v>
      </c>
      <c r="L19" s="438" t="s">
        <v>281</v>
      </c>
      <c r="M19" s="438">
        <v>1267809</v>
      </c>
      <c r="N19" s="438">
        <v>14081900</v>
      </c>
      <c r="O19" s="438" t="s">
        <v>281</v>
      </c>
      <c r="P19" s="438">
        <v>1263805</v>
      </c>
      <c r="Q19" s="439">
        <v>1263805</v>
      </c>
    </row>
    <row r="20" spans="1:17" ht="15" thickBot="1" x14ac:dyDescent="0.3">
      <c r="K20" s="441">
        <v>8.5</v>
      </c>
      <c r="L20" s="442" t="s">
        <v>282</v>
      </c>
      <c r="M20" s="442">
        <v>1228723</v>
      </c>
      <c r="N20" s="442">
        <v>13885235</v>
      </c>
      <c r="O20" s="442" t="s">
        <v>283</v>
      </c>
      <c r="P20" s="442">
        <v>1135558</v>
      </c>
      <c r="Q20" s="443">
        <v>1135558</v>
      </c>
    </row>
    <row r="21" spans="1:17" ht="15" thickBot="1" x14ac:dyDescent="0.3">
      <c r="B21" s="445" t="s">
        <v>276</v>
      </c>
      <c r="C21" s="445">
        <v>1263805</v>
      </c>
      <c r="K21" s="441">
        <v>8.5</v>
      </c>
      <c r="L21" s="442" t="s">
        <v>282</v>
      </c>
      <c r="M21" s="442">
        <v>1228723</v>
      </c>
      <c r="N21" s="442">
        <v>13885236</v>
      </c>
      <c r="O21" s="442" t="s">
        <v>283</v>
      </c>
      <c r="P21" s="442">
        <v>1135558</v>
      </c>
      <c r="Q21" s="443">
        <v>1135558</v>
      </c>
    </row>
    <row r="22" spans="1:17" ht="15" thickBot="1" x14ac:dyDescent="0.3">
      <c r="A22" s="446">
        <v>8.5</v>
      </c>
      <c r="B22" s="446" t="s">
        <v>281</v>
      </c>
      <c r="C22" s="446">
        <v>1263805</v>
      </c>
      <c r="D22" s="446">
        <v>1</v>
      </c>
      <c r="E22" s="446">
        <v>1613</v>
      </c>
      <c r="F22" s="446" t="s">
        <v>109</v>
      </c>
      <c r="G22" s="446" t="s">
        <v>174</v>
      </c>
      <c r="H22" s="446">
        <v>16</v>
      </c>
      <c r="I22" s="446">
        <v>1219562</v>
      </c>
      <c r="K22" s="444">
        <v>12</v>
      </c>
      <c r="L22" s="442" t="s">
        <v>284</v>
      </c>
      <c r="M22" s="442">
        <v>1234376</v>
      </c>
      <c r="N22" s="442">
        <v>14093077</v>
      </c>
      <c r="O22" s="442" t="s">
        <v>284</v>
      </c>
      <c r="P22" s="442">
        <v>1249569</v>
      </c>
      <c r="Q22" s="443">
        <v>1249569</v>
      </c>
    </row>
    <row r="23" spans="1:17" ht="15" thickBot="1" x14ac:dyDescent="0.35">
      <c r="A23" s="247">
        <v>8.5</v>
      </c>
      <c r="B23" s="247" t="s">
        <v>281</v>
      </c>
      <c r="C23" s="247">
        <v>1263805</v>
      </c>
      <c r="D23" s="247">
        <v>2</v>
      </c>
      <c r="E23" s="247">
        <v>1613</v>
      </c>
      <c r="F23" s="247" t="s">
        <v>285</v>
      </c>
      <c r="G23" s="247" t="s">
        <v>195</v>
      </c>
      <c r="H23" s="447">
        <v>6</v>
      </c>
      <c r="I23" s="247">
        <v>1271790</v>
      </c>
      <c r="K23" s="444">
        <v>12</v>
      </c>
      <c r="L23" s="442" t="s">
        <v>284</v>
      </c>
      <c r="M23" s="442">
        <v>1234376</v>
      </c>
      <c r="N23" s="442">
        <v>14093080</v>
      </c>
      <c r="O23" s="442" t="s">
        <v>284</v>
      </c>
      <c r="P23" s="442">
        <v>1249569</v>
      </c>
      <c r="Q23" s="443">
        <v>1249569</v>
      </c>
    </row>
    <row r="24" spans="1:17" ht="15" thickBot="1" x14ac:dyDescent="0.3">
      <c r="A24" s="247">
        <v>8.5</v>
      </c>
      <c r="B24" s="247" t="s">
        <v>281</v>
      </c>
      <c r="C24" s="247">
        <v>1263805</v>
      </c>
      <c r="D24" s="247">
        <v>3</v>
      </c>
      <c r="E24" s="247">
        <v>1613</v>
      </c>
      <c r="F24" s="247" t="s">
        <v>109</v>
      </c>
      <c r="G24" s="247" t="s">
        <v>133</v>
      </c>
      <c r="H24" s="247">
        <v>10</v>
      </c>
      <c r="I24" s="247">
        <v>1142711</v>
      </c>
      <c r="K24" s="440">
        <v>12</v>
      </c>
      <c r="L24" s="438" t="s">
        <v>286</v>
      </c>
      <c r="M24" s="438">
        <v>1245350</v>
      </c>
      <c r="N24" s="438">
        <v>14093076</v>
      </c>
      <c r="O24" s="438" t="s">
        <v>286</v>
      </c>
      <c r="P24" s="438">
        <v>1269308</v>
      </c>
      <c r="Q24" s="439">
        <v>1269308</v>
      </c>
    </row>
    <row r="25" spans="1:17" ht="15" thickBot="1" x14ac:dyDescent="0.3">
      <c r="A25" s="446">
        <v>8.5</v>
      </c>
      <c r="B25" s="446" t="s">
        <v>281</v>
      </c>
      <c r="C25" s="446">
        <v>1263805</v>
      </c>
      <c r="D25" s="446">
        <v>4</v>
      </c>
      <c r="E25" s="446">
        <v>1613</v>
      </c>
      <c r="F25" s="446" t="s">
        <v>280</v>
      </c>
      <c r="G25" s="446" t="s">
        <v>111</v>
      </c>
      <c r="H25" s="446">
        <v>7</v>
      </c>
      <c r="I25" s="446">
        <v>1208601</v>
      </c>
      <c r="K25" s="440">
        <v>12</v>
      </c>
      <c r="L25" s="438" t="s">
        <v>286</v>
      </c>
      <c r="M25" s="438">
        <v>1245350</v>
      </c>
      <c r="N25" s="438">
        <v>14093075</v>
      </c>
      <c r="O25" s="438" t="s">
        <v>286</v>
      </c>
      <c r="P25" s="438">
        <v>1269308</v>
      </c>
      <c r="Q25" s="439">
        <v>1269308</v>
      </c>
    </row>
    <row r="26" spans="1:17" ht="15" thickBot="1" x14ac:dyDescent="0.3">
      <c r="A26" s="446">
        <v>8.5</v>
      </c>
      <c r="B26" s="446" t="s">
        <v>281</v>
      </c>
      <c r="C26" s="446">
        <v>1263805</v>
      </c>
      <c r="D26" s="446">
        <v>5</v>
      </c>
      <c r="E26" s="446">
        <v>1313</v>
      </c>
      <c r="F26" s="446" t="s">
        <v>253</v>
      </c>
      <c r="G26" s="446" t="s">
        <v>51</v>
      </c>
      <c r="H26" s="446">
        <v>5</v>
      </c>
      <c r="I26" s="446">
        <v>871781</v>
      </c>
      <c r="K26" s="440">
        <v>12</v>
      </c>
      <c r="L26" s="438" t="s">
        <v>286</v>
      </c>
      <c r="M26" s="438">
        <v>1245350</v>
      </c>
      <c r="N26" s="438">
        <v>14093074</v>
      </c>
      <c r="O26" s="438" t="s">
        <v>286</v>
      </c>
      <c r="P26" s="438">
        <v>1269308</v>
      </c>
      <c r="Q26" s="439">
        <v>1269308</v>
      </c>
    </row>
    <row r="27" spans="1:17" ht="15" thickBot="1" x14ac:dyDescent="0.3">
      <c r="A27" s="446">
        <v>8.5</v>
      </c>
      <c r="B27" s="446" t="s">
        <v>281</v>
      </c>
      <c r="C27" s="446">
        <v>1263805</v>
      </c>
      <c r="D27" s="446">
        <v>6</v>
      </c>
      <c r="E27" s="446" t="s">
        <v>266</v>
      </c>
      <c r="F27" s="446" t="s">
        <v>243</v>
      </c>
      <c r="G27" s="446" t="s">
        <v>233</v>
      </c>
      <c r="H27" s="446">
        <v>5</v>
      </c>
      <c r="I27" s="446">
        <v>1200972</v>
      </c>
      <c r="K27" s="437">
        <v>12.25</v>
      </c>
      <c r="L27" s="438" t="s">
        <v>287</v>
      </c>
      <c r="M27" s="438">
        <v>1267122</v>
      </c>
      <c r="N27" s="438">
        <v>14081904</v>
      </c>
      <c r="O27" s="438" t="s">
        <v>287</v>
      </c>
      <c r="P27" s="438">
        <v>1257458</v>
      </c>
      <c r="Q27" s="439">
        <v>1257458</v>
      </c>
    </row>
    <row r="28" spans="1:17" ht="15" thickBot="1" x14ac:dyDescent="0.3">
      <c r="A28" s="446">
        <v>8.5</v>
      </c>
      <c r="B28" s="446" t="s">
        <v>281</v>
      </c>
      <c r="C28" s="446">
        <v>1263805</v>
      </c>
      <c r="D28" s="446">
        <v>7</v>
      </c>
      <c r="E28" s="446" t="s">
        <v>38</v>
      </c>
      <c r="F28" s="446" t="s">
        <v>243</v>
      </c>
      <c r="G28" s="446" t="s">
        <v>233</v>
      </c>
      <c r="H28" s="446">
        <v>3</v>
      </c>
      <c r="I28" s="446">
        <v>1234189</v>
      </c>
      <c r="K28" s="437">
        <v>12.25</v>
      </c>
      <c r="L28" s="438" t="s">
        <v>287</v>
      </c>
      <c r="M28" s="438">
        <v>1267122</v>
      </c>
      <c r="N28" s="438">
        <v>14081905</v>
      </c>
      <c r="O28" s="438" t="s">
        <v>287</v>
      </c>
      <c r="P28" s="438">
        <v>1257458</v>
      </c>
      <c r="Q28" s="439">
        <v>1257458</v>
      </c>
    </row>
    <row r="29" spans="1:17" ht="15" thickBot="1" x14ac:dyDescent="0.3">
      <c r="A29" s="247">
        <v>8.5</v>
      </c>
      <c r="B29" s="247" t="s">
        <v>281</v>
      </c>
      <c r="C29" s="247">
        <v>1263805</v>
      </c>
      <c r="D29" s="247">
        <v>8</v>
      </c>
      <c r="E29" s="247">
        <v>1613</v>
      </c>
      <c r="F29" s="247" t="s">
        <v>177</v>
      </c>
      <c r="G29" s="247" t="s">
        <v>111</v>
      </c>
      <c r="H29" s="247">
        <v>10</v>
      </c>
      <c r="I29" s="247">
        <v>1146737</v>
      </c>
      <c r="K29" s="437">
        <v>12.25</v>
      </c>
      <c r="L29" s="438" t="s">
        <v>287</v>
      </c>
      <c r="M29" s="438">
        <v>1267122</v>
      </c>
      <c r="N29" s="438">
        <v>14081906</v>
      </c>
      <c r="O29" s="438" t="s">
        <v>287</v>
      </c>
      <c r="P29" s="438">
        <v>1257458</v>
      </c>
      <c r="Q29" s="439">
        <v>1257458</v>
      </c>
    </row>
    <row r="30" spans="1:17" ht="29.5" thickBot="1" x14ac:dyDescent="0.3">
      <c r="K30" s="444">
        <v>16</v>
      </c>
      <c r="L30" s="442" t="s">
        <v>288</v>
      </c>
      <c r="M30" s="442">
        <v>1238258</v>
      </c>
      <c r="N30" s="442">
        <v>14081145</v>
      </c>
      <c r="O30" s="442" t="s">
        <v>288</v>
      </c>
      <c r="P30" s="442">
        <v>1058252</v>
      </c>
      <c r="Q30" s="449" t="s">
        <v>289</v>
      </c>
    </row>
    <row r="31" spans="1:17" ht="15" thickBot="1" x14ac:dyDescent="0.3">
      <c r="B31" s="445" t="s">
        <v>276</v>
      </c>
      <c r="C31" s="445">
        <v>1268728</v>
      </c>
      <c r="K31" s="444">
        <v>16</v>
      </c>
      <c r="L31" s="442" t="s">
        <v>290</v>
      </c>
      <c r="M31" s="442">
        <v>1228782</v>
      </c>
      <c r="N31" s="442">
        <v>14074751</v>
      </c>
      <c r="O31" s="442" t="s">
        <v>291</v>
      </c>
      <c r="P31" s="442">
        <v>1058252</v>
      </c>
      <c r="Q31" s="443">
        <v>1058252</v>
      </c>
    </row>
    <row r="32" spans="1:17" ht="15" thickBot="1" x14ac:dyDescent="0.3">
      <c r="A32" s="446">
        <v>16</v>
      </c>
      <c r="B32" s="446" t="s">
        <v>290</v>
      </c>
      <c r="C32" s="446">
        <v>1268728</v>
      </c>
      <c r="D32" s="446">
        <v>1</v>
      </c>
      <c r="E32" s="446">
        <v>1613</v>
      </c>
      <c r="F32" s="446" t="s">
        <v>253</v>
      </c>
      <c r="G32" s="446" t="s">
        <v>242</v>
      </c>
      <c r="H32" s="446">
        <v>64</v>
      </c>
      <c r="I32" s="446">
        <v>647436</v>
      </c>
      <c r="K32" s="444">
        <v>16</v>
      </c>
      <c r="L32" s="442" t="s">
        <v>290</v>
      </c>
      <c r="M32" s="442">
        <v>1228782</v>
      </c>
      <c r="N32" s="442">
        <v>14074750</v>
      </c>
      <c r="O32" s="442" t="s">
        <v>291</v>
      </c>
      <c r="P32" s="442">
        <v>1058252</v>
      </c>
      <c r="Q32" s="443">
        <v>1058252</v>
      </c>
    </row>
    <row r="33" spans="1:17" ht="15" thickBot="1" x14ac:dyDescent="0.3">
      <c r="A33" s="247">
        <v>16</v>
      </c>
      <c r="B33" s="247" t="s">
        <v>290</v>
      </c>
      <c r="C33" s="247">
        <v>1268728</v>
      </c>
      <c r="D33" s="247">
        <v>2</v>
      </c>
      <c r="E33" s="247">
        <v>1613</v>
      </c>
      <c r="F33" s="247" t="s">
        <v>277</v>
      </c>
      <c r="G33" s="247" t="s">
        <v>195</v>
      </c>
      <c r="H33" s="247">
        <v>53</v>
      </c>
      <c r="I33" s="247">
        <v>1271790</v>
      </c>
      <c r="K33" s="440">
        <v>16</v>
      </c>
      <c r="L33" s="438" t="s">
        <v>292</v>
      </c>
      <c r="M33" s="438">
        <v>1258119</v>
      </c>
      <c r="N33" s="438">
        <v>14073966</v>
      </c>
      <c r="O33" s="438" t="s">
        <v>292</v>
      </c>
      <c r="P33" s="438">
        <v>1254482</v>
      </c>
      <c r="Q33" s="439">
        <v>1254482</v>
      </c>
    </row>
    <row r="34" spans="1:17" ht="15" thickBot="1" x14ac:dyDescent="0.3">
      <c r="A34" s="446">
        <v>16</v>
      </c>
      <c r="B34" s="446" t="s">
        <v>290</v>
      </c>
      <c r="C34" s="446">
        <v>1268728</v>
      </c>
      <c r="D34" s="446">
        <v>3</v>
      </c>
      <c r="E34" s="446">
        <v>1613</v>
      </c>
      <c r="F34" s="446" t="s">
        <v>277</v>
      </c>
      <c r="G34" s="446" t="s">
        <v>111</v>
      </c>
      <c r="H34" s="446">
        <v>39</v>
      </c>
      <c r="I34" s="446">
        <v>1146737</v>
      </c>
      <c r="K34" s="440">
        <v>16</v>
      </c>
      <c r="L34" s="438" t="s">
        <v>292</v>
      </c>
      <c r="M34" s="438">
        <v>1258119</v>
      </c>
      <c r="N34" s="438">
        <v>14073965</v>
      </c>
      <c r="O34" s="438" t="s">
        <v>292</v>
      </c>
      <c r="P34" s="438">
        <v>1254482</v>
      </c>
      <c r="Q34" s="439">
        <v>1254482</v>
      </c>
    </row>
    <row r="35" spans="1:17" ht="15" thickBot="1" x14ac:dyDescent="0.3">
      <c r="A35" s="446">
        <v>16</v>
      </c>
      <c r="B35" s="446" t="s">
        <v>290</v>
      </c>
      <c r="C35" s="446">
        <v>1268728</v>
      </c>
      <c r="D35" s="446">
        <v>4</v>
      </c>
      <c r="E35" s="446">
        <v>1608</v>
      </c>
      <c r="F35" s="446" t="s">
        <v>253</v>
      </c>
      <c r="G35" s="446" t="s">
        <v>242</v>
      </c>
      <c r="H35" s="446">
        <v>16</v>
      </c>
      <c r="I35" s="446">
        <v>647435</v>
      </c>
      <c r="K35" s="440">
        <v>16</v>
      </c>
      <c r="L35" s="438" t="s">
        <v>292</v>
      </c>
      <c r="M35" s="438">
        <v>1258119</v>
      </c>
      <c r="N35" s="438">
        <v>14073969</v>
      </c>
      <c r="O35" s="438" t="s">
        <v>292</v>
      </c>
      <c r="P35" s="438">
        <v>1254482</v>
      </c>
      <c r="Q35" s="439">
        <v>1254482</v>
      </c>
    </row>
    <row r="36" spans="1:17" ht="15" thickBot="1" x14ac:dyDescent="0.3">
      <c r="A36" s="446">
        <v>16</v>
      </c>
      <c r="B36" s="446" t="s">
        <v>290</v>
      </c>
      <c r="C36" s="446">
        <v>1268728</v>
      </c>
      <c r="D36" s="446">
        <v>5</v>
      </c>
      <c r="E36" s="446">
        <v>1308</v>
      </c>
      <c r="F36" s="446" t="s">
        <v>265</v>
      </c>
      <c r="G36" s="446" t="s">
        <v>71</v>
      </c>
      <c r="H36" s="446">
        <v>8</v>
      </c>
      <c r="I36" s="446">
        <v>418525</v>
      </c>
      <c r="K36" s="440">
        <v>16</v>
      </c>
      <c r="L36" s="438" t="s">
        <v>292</v>
      </c>
      <c r="M36" s="438">
        <v>1258119</v>
      </c>
      <c r="N36" s="438">
        <v>14073968</v>
      </c>
      <c r="O36" s="438" t="s">
        <v>292</v>
      </c>
      <c r="P36" s="438">
        <v>1254482</v>
      </c>
      <c r="Q36" s="439">
        <v>1254482</v>
      </c>
    </row>
    <row r="37" spans="1:17" ht="15" thickBot="1" x14ac:dyDescent="0.3">
      <c r="K37" s="440">
        <v>16</v>
      </c>
      <c r="L37" s="438" t="s">
        <v>290</v>
      </c>
      <c r="M37" s="438">
        <v>1229187</v>
      </c>
      <c r="N37" s="438">
        <v>14074752</v>
      </c>
      <c r="O37" s="438" t="s">
        <v>290</v>
      </c>
      <c r="P37" s="438">
        <v>1268728</v>
      </c>
      <c r="Q37" s="439">
        <v>1268728</v>
      </c>
    </row>
    <row r="38" spans="1:17" ht="15" thickBot="1" x14ac:dyDescent="0.3">
      <c r="B38" s="445" t="s">
        <v>293</v>
      </c>
      <c r="C38" s="445">
        <v>1254482</v>
      </c>
      <c r="E38" t="s">
        <v>294</v>
      </c>
      <c r="F38" s="448">
        <v>14073967</v>
      </c>
      <c r="K38" s="440">
        <v>16</v>
      </c>
      <c r="L38" s="438" t="s">
        <v>290</v>
      </c>
      <c r="M38" s="438">
        <v>1229187</v>
      </c>
      <c r="N38" s="438">
        <v>14074753</v>
      </c>
      <c r="O38" s="438" t="s">
        <v>290</v>
      </c>
      <c r="P38" s="438">
        <v>1268728</v>
      </c>
      <c r="Q38" s="439">
        <v>1268728</v>
      </c>
    </row>
    <row r="39" spans="1:17" x14ac:dyDescent="0.25">
      <c r="A39" s="446">
        <v>16</v>
      </c>
      <c r="B39" s="446" t="s">
        <v>292</v>
      </c>
      <c r="C39" s="446">
        <v>1254482</v>
      </c>
      <c r="D39" s="446">
        <v>1</v>
      </c>
      <c r="E39" s="446">
        <v>1313</v>
      </c>
      <c r="F39" s="446" t="s">
        <v>253</v>
      </c>
      <c r="G39" s="446" t="s">
        <v>242</v>
      </c>
      <c r="H39" s="446">
        <v>42</v>
      </c>
      <c r="I39" s="446">
        <v>871781</v>
      </c>
    </row>
    <row r="40" spans="1:17" x14ac:dyDescent="0.25">
      <c r="A40" s="446">
        <v>16</v>
      </c>
      <c r="B40" s="446" t="s">
        <v>292</v>
      </c>
      <c r="C40" s="446">
        <v>1254482</v>
      </c>
      <c r="D40" s="446">
        <v>2</v>
      </c>
      <c r="E40" s="446">
        <v>1613</v>
      </c>
      <c r="F40" s="446" t="s">
        <v>109</v>
      </c>
      <c r="G40" s="446" t="s">
        <v>174</v>
      </c>
      <c r="H40" s="446">
        <v>42</v>
      </c>
      <c r="I40" s="446">
        <v>1219562</v>
      </c>
      <c r="N40">
        <v>14093069</v>
      </c>
    </row>
    <row r="41" spans="1:17" x14ac:dyDescent="0.25">
      <c r="A41" s="446">
        <v>16</v>
      </c>
      <c r="B41" s="446" t="s">
        <v>292</v>
      </c>
      <c r="C41" s="446">
        <v>1254482</v>
      </c>
      <c r="D41" s="446">
        <v>3</v>
      </c>
      <c r="E41" s="446">
        <v>1308</v>
      </c>
      <c r="F41" s="446" t="s">
        <v>243</v>
      </c>
      <c r="G41" s="446" t="s">
        <v>71</v>
      </c>
      <c r="H41" s="446">
        <v>28</v>
      </c>
      <c r="I41" s="446">
        <v>410851</v>
      </c>
      <c r="N41">
        <v>14093074</v>
      </c>
    </row>
    <row r="42" spans="1:17" x14ac:dyDescent="0.25">
      <c r="A42" s="446">
        <v>16</v>
      </c>
      <c r="B42" s="446" t="s">
        <v>292</v>
      </c>
      <c r="C42" s="446">
        <v>1254482</v>
      </c>
      <c r="D42" s="446">
        <v>4</v>
      </c>
      <c r="E42" s="446"/>
      <c r="F42" s="446" t="s">
        <v>243</v>
      </c>
      <c r="G42" s="446" t="s">
        <v>233</v>
      </c>
      <c r="H42" s="446">
        <v>22</v>
      </c>
      <c r="I42" s="446">
        <v>179734</v>
      </c>
      <c r="N42">
        <v>14093080</v>
      </c>
    </row>
    <row r="43" spans="1:17" x14ac:dyDescent="0.25">
      <c r="A43" s="247">
        <v>16</v>
      </c>
      <c r="B43" s="247" t="s">
        <v>292</v>
      </c>
      <c r="C43" s="247">
        <v>1254482</v>
      </c>
      <c r="D43" s="247">
        <v>5</v>
      </c>
      <c r="E43" s="247">
        <v>1613</v>
      </c>
      <c r="F43" s="247" t="s">
        <v>253</v>
      </c>
      <c r="G43" s="247" t="s">
        <v>114</v>
      </c>
      <c r="H43" s="247">
        <v>22</v>
      </c>
      <c r="I43" s="247">
        <v>1130198</v>
      </c>
      <c r="N43">
        <v>14093077</v>
      </c>
    </row>
    <row r="44" spans="1:17" x14ac:dyDescent="0.25">
      <c r="A44" s="446">
        <v>16</v>
      </c>
      <c r="B44" s="446" t="s">
        <v>292</v>
      </c>
      <c r="C44" s="446">
        <v>1254482</v>
      </c>
      <c r="D44" s="446">
        <v>6</v>
      </c>
      <c r="E44" s="446">
        <v>1613</v>
      </c>
      <c r="F44" s="446" t="s">
        <v>280</v>
      </c>
      <c r="G44" s="446" t="s">
        <v>111</v>
      </c>
      <c r="H44" s="446">
        <v>15</v>
      </c>
      <c r="I44" s="446">
        <v>1208601</v>
      </c>
    </row>
    <row r="45" spans="1:17" x14ac:dyDescent="0.25">
      <c r="A45" s="446">
        <v>16</v>
      </c>
      <c r="B45" s="446" t="s">
        <v>292</v>
      </c>
      <c r="C45" s="446">
        <v>1254482</v>
      </c>
      <c r="D45" s="446">
        <v>7</v>
      </c>
      <c r="E45" s="446">
        <v>1308</v>
      </c>
      <c r="F45" s="446" t="s">
        <v>265</v>
      </c>
      <c r="G45" s="446" t="s">
        <v>71</v>
      </c>
      <c r="H45" s="446">
        <v>7</v>
      </c>
      <c r="I45" s="446">
        <v>418525</v>
      </c>
    </row>
    <row r="47" spans="1:17" x14ac:dyDescent="0.25">
      <c r="B47" s="445" t="s">
        <v>276</v>
      </c>
      <c r="C47" s="445">
        <v>1257458</v>
      </c>
    </row>
    <row r="48" spans="1:17" x14ac:dyDescent="0.25">
      <c r="A48" s="446">
        <v>12.25</v>
      </c>
      <c r="B48" s="446" t="s">
        <v>287</v>
      </c>
      <c r="C48" s="446">
        <v>1257458</v>
      </c>
      <c r="D48" s="446">
        <v>1</v>
      </c>
      <c r="E48" s="446">
        <v>1613</v>
      </c>
      <c r="F48" s="446" t="s">
        <v>109</v>
      </c>
      <c r="G48" s="446" t="s">
        <v>176</v>
      </c>
      <c r="H48" s="446">
        <v>30</v>
      </c>
      <c r="I48" s="446">
        <v>1234679</v>
      </c>
    </row>
    <row r="49" spans="1:10" x14ac:dyDescent="0.25">
      <c r="A49" s="446">
        <v>12.25</v>
      </c>
      <c r="B49" s="446" t="s">
        <v>287</v>
      </c>
      <c r="C49" s="446">
        <v>1257458</v>
      </c>
      <c r="D49" s="446">
        <v>2</v>
      </c>
      <c r="E49" s="446">
        <v>1613</v>
      </c>
      <c r="F49" s="446" t="s">
        <v>253</v>
      </c>
      <c r="G49" s="446" t="s">
        <v>114</v>
      </c>
      <c r="H49" s="446">
        <v>21</v>
      </c>
      <c r="I49" s="446">
        <v>1130198</v>
      </c>
      <c r="J49">
        <f>21*3</f>
        <v>63</v>
      </c>
    </row>
    <row r="50" spans="1:10" x14ac:dyDescent="0.25">
      <c r="A50" s="446">
        <v>12.25</v>
      </c>
      <c r="B50" s="446" t="s">
        <v>287</v>
      </c>
      <c r="C50" s="446">
        <v>1257458</v>
      </c>
      <c r="D50" s="446">
        <v>3</v>
      </c>
      <c r="E50" s="446">
        <v>1613</v>
      </c>
      <c r="F50" s="446" t="s">
        <v>280</v>
      </c>
      <c r="G50" s="446" t="s">
        <v>111</v>
      </c>
      <c r="H50" s="446">
        <v>11</v>
      </c>
      <c r="I50" s="446">
        <v>1208601</v>
      </c>
    </row>
    <row r="51" spans="1:10" x14ac:dyDescent="0.25">
      <c r="A51" s="247">
        <v>12.25</v>
      </c>
      <c r="B51" s="247" t="s">
        <v>287</v>
      </c>
      <c r="C51" s="247">
        <v>1257458</v>
      </c>
      <c r="D51" s="247">
        <v>4</v>
      </c>
      <c r="E51" s="247">
        <v>1613</v>
      </c>
      <c r="F51" s="247" t="s">
        <v>295</v>
      </c>
      <c r="G51" s="247" t="s">
        <v>111</v>
      </c>
      <c r="H51" s="247">
        <v>8</v>
      </c>
      <c r="I51" s="247">
        <v>1244957</v>
      </c>
    </row>
    <row r="52" spans="1:10" x14ac:dyDescent="0.25">
      <c r="A52" s="446">
        <v>12.25</v>
      </c>
      <c r="B52" s="446" t="s">
        <v>287</v>
      </c>
      <c r="C52" s="446">
        <v>1257458</v>
      </c>
      <c r="D52" s="446">
        <v>5</v>
      </c>
      <c r="E52" s="446">
        <v>1313</v>
      </c>
      <c r="F52" s="446" t="s">
        <v>253</v>
      </c>
      <c r="G52" s="446" t="s">
        <v>51</v>
      </c>
      <c r="H52" s="446">
        <v>7</v>
      </c>
      <c r="I52" s="446">
        <v>871781</v>
      </c>
    </row>
    <row r="53" spans="1:10" x14ac:dyDescent="0.25">
      <c r="A53" s="446">
        <v>12.25</v>
      </c>
      <c r="B53" s="446" t="s">
        <v>287</v>
      </c>
      <c r="C53" s="446">
        <v>1257458</v>
      </c>
      <c r="D53" s="446">
        <v>6</v>
      </c>
      <c r="E53" s="446" t="s">
        <v>38</v>
      </c>
      <c r="F53" s="446" t="s">
        <v>243</v>
      </c>
      <c r="G53" s="446" t="s">
        <v>233</v>
      </c>
      <c r="H53" s="446">
        <v>6</v>
      </c>
      <c r="I53" s="446">
        <v>625854</v>
      </c>
    </row>
    <row r="54" spans="1:10" x14ac:dyDescent="0.25">
      <c r="A54" s="446">
        <v>12.25</v>
      </c>
      <c r="B54" s="446" t="s">
        <v>287</v>
      </c>
      <c r="C54" s="446">
        <v>1257458</v>
      </c>
      <c r="D54" s="446">
        <v>7</v>
      </c>
      <c r="E54" s="446">
        <v>1613</v>
      </c>
      <c r="F54" s="446" t="s">
        <v>109</v>
      </c>
      <c r="G54" s="446" t="s">
        <v>193</v>
      </c>
      <c r="H54" s="446">
        <v>6</v>
      </c>
      <c r="I54" s="446">
        <v>1231982</v>
      </c>
    </row>
    <row r="56" spans="1:10" x14ac:dyDescent="0.25">
      <c r="B56" s="445" t="s">
        <v>276</v>
      </c>
      <c r="C56" s="445">
        <v>1269308</v>
      </c>
    </row>
    <row r="57" spans="1:10" x14ac:dyDescent="0.25">
      <c r="A57" s="247">
        <v>12</v>
      </c>
      <c r="B57" s="247" t="s">
        <v>286</v>
      </c>
      <c r="C57" s="247">
        <v>1269308</v>
      </c>
      <c r="D57" s="247">
        <v>1</v>
      </c>
      <c r="E57" s="247">
        <v>1613</v>
      </c>
      <c r="F57" s="247" t="s">
        <v>277</v>
      </c>
      <c r="G57" s="247" t="s">
        <v>195</v>
      </c>
      <c r="H57" s="247">
        <v>30</v>
      </c>
      <c r="I57" s="247">
        <v>1271790</v>
      </c>
    </row>
    <row r="58" spans="1:10" x14ac:dyDescent="0.25">
      <c r="A58" s="247">
        <v>12</v>
      </c>
      <c r="B58" s="247" t="s">
        <v>286</v>
      </c>
      <c r="C58" s="247">
        <v>1269308</v>
      </c>
      <c r="D58" s="247">
        <v>2</v>
      </c>
      <c r="E58" s="247">
        <v>1313</v>
      </c>
      <c r="F58" s="247" t="s">
        <v>253</v>
      </c>
      <c r="G58" s="247" t="s">
        <v>114</v>
      </c>
      <c r="H58" s="247">
        <v>22</v>
      </c>
      <c r="I58" s="451">
        <v>1130196</v>
      </c>
    </row>
    <row r="59" spans="1:10" x14ac:dyDescent="0.25">
      <c r="A59" s="446">
        <v>12</v>
      </c>
      <c r="B59" s="446" t="s">
        <v>286</v>
      </c>
      <c r="C59" s="446">
        <v>1269308</v>
      </c>
      <c r="D59" s="446">
        <v>3</v>
      </c>
      <c r="E59" s="446">
        <v>1613</v>
      </c>
      <c r="F59" s="446" t="s">
        <v>277</v>
      </c>
      <c r="G59" s="446" t="s">
        <v>111</v>
      </c>
      <c r="H59" s="446">
        <v>10</v>
      </c>
      <c r="I59" s="446">
        <v>1146737</v>
      </c>
    </row>
    <row r="60" spans="1:10" x14ac:dyDescent="0.25">
      <c r="A60" s="446">
        <v>12</v>
      </c>
      <c r="B60" s="446" t="s">
        <v>286</v>
      </c>
      <c r="C60" s="446">
        <v>1269308</v>
      </c>
      <c r="D60" s="446">
        <v>4</v>
      </c>
      <c r="E60" s="446">
        <v>1613</v>
      </c>
      <c r="F60" s="446" t="s">
        <v>109</v>
      </c>
      <c r="G60" s="446" t="s">
        <v>157</v>
      </c>
      <c r="H60" s="446">
        <v>10</v>
      </c>
      <c r="I60" s="446">
        <v>1209410</v>
      </c>
    </row>
    <row r="61" spans="1:10" x14ac:dyDescent="0.25">
      <c r="A61" s="247">
        <v>12</v>
      </c>
      <c r="B61" s="247" t="s">
        <v>286</v>
      </c>
      <c r="C61" s="247">
        <v>1269308</v>
      </c>
      <c r="D61" s="247">
        <v>5</v>
      </c>
      <c r="E61" s="247">
        <v>1313</v>
      </c>
      <c r="F61" s="247" t="s">
        <v>253</v>
      </c>
      <c r="G61" s="247" t="s">
        <v>242</v>
      </c>
      <c r="H61" s="247">
        <v>5</v>
      </c>
      <c r="I61" s="247">
        <v>871781</v>
      </c>
    </row>
  </sheetData>
  <autoFilter ref="K2:Q45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4"/>
  <dimension ref="A1:T61"/>
  <sheetViews>
    <sheetView topLeftCell="A28" workbookViewId="0">
      <selection activeCell="E49" sqref="E49"/>
    </sheetView>
  </sheetViews>
  <sheetFormatPr defaultRowHeight="12.5" x14ac:dyDescent="0.25"/>
  <cols>
    <col min="2" max="2" width="12.7265625" bestFit="1" customWidth="1"/>
    <col min="3" max="3" width="10.26953125" bestFit="1" customWidth="1"/>
    <col min="4" max="4" width="1.7265625" bestFit="1" customWidth="1"/>
    <col min="13" max="13" width="12.7265625" bestFit="1" customWidth="1"/>
    <col min="14" max="14" width="10.26953125" bestFit="1" customWidth="1"/>
    <col min="15" max="15" width="1.7265625" bestFit="1" customWidth="1"/>
  </cols>
  <sheetData>
    <row r="1" spans="1:20" x14ac:dyDescent="0.25">
      <c r="B1" s="445" t="s">
        <v>255</v>
      </c>
      <c r="C1" s="445">
        <v>1160951</v>
      </c>
      <c r="L1" s="446">
        <v>6.125</v>
      </c>
      <c r="M1" s="446" t="s">
        <v>256</v>
      </c>
      <c r="N1" s="446" t="s">
        <v>257</v>
      </c>
      <c r="O1" s="446">
        <v>1</v>
      </c>
      <c r="P1" s="446">
        <v>1136984</v>
      </c>
      <c r="Q1" s="446">
        <v>13</v>
      </c>
      <c r="R1" s="446">
        <v>1313</v>
      </c>
      <c r="S1" s="446" t="s">
        <v>248</v>
      </c>
      <c r="T1" s="446" t="s">
        <v>125</v>
      </c>
    </row>
    <row r="2" spans="1:20" ht="13" x14ac:dyDescent="0.3">
      <c r="A2" s="446">
        <v>6.125</v>
      </c>
      <c r="B2" s="446" t="s">
        <v>256</v>
      </c>
      <c r="C2" s="446" t="s">
        <v>257</v>
      </c>
      <c r="D2" s="446">
        <v>1</v>
      </c>
      <c r="E2" s="446">
        <v>1136984</v>
      </c>
      <c r="F2" s="446">
        <v>13</v>
      </c>
      <c r="G2" s="446">
        <v>1313</v>
      </c>
      <c r="H2" s="446" t="s">
        <v>248</v>
      </c>
      <c r="I2" s="446" t="s">
        <v>125</v>
      </c>
      <c r="L2" s="446">
        <v>6.125</v>
      </c>
      <c r="M2" s="446" t="s">
        <v>256</v>
      </c>
      <c r="N2" s="446" t="s">
        <v>257</v>
      </c>
      <c r="O2" s="446">
        <v>2</v>
      </c>
      <c r="P2" s="446">
        <v>1100696</v>
      </c>
      <c r="Q2" s="447">
        <v>5</v>
      </c>
      <c r="R2" s="446">
        <v>1313</v>
      </c>
      <c r="S2" s="446" t="s">
        <v>248</v>
      </c>
      <c r="T2" s="446" t="s">
        <v>111</v>
      </c>
    </row>
    <row r="3" spans="1:20" ht="13" x14ac:dyDescent="0.3">
      <c r="A3" s="446">
        <v>6.125</v>
      </c>
      <c r="B3" s="446" t="s">
        <v>256</v>
      </c>
      <c r="C3" s="446" t="s">
        <v>257</v>
      </c>
      <c r="D3" s="446">
        <v>2</v>
      </c>
      <c r="E3" s="446">
        <v>1100696</v>
      </c>
      <c r="F3" s="447">
        <v>5</v>
      </c>
      <c r="G3" s="446">
        <v>1313</v>
      </c>
      <c r="H3" s="446" t="s">
        <v>248</v>
      </c>
      <c r="I3" s="446" t="s">
        <v>111</v>
      </c>
      <c r="L3" s="446">
        <v>6.125</v>
      </c>
      <c r="M3" s="446" t="s">
        <v>256</v>
      </c>
      <c r="N3" s="446" t="s">
        <v>257</v>
      </c>
      <c r="O3" s="446">
        <v>3</v>
      </c>
      <c r="P3" s="446">
        <v>418525</v>
      </c>
      <c r="Q3" s="446">
        <v>6</v>
      </c>
      <c r="R3" s="446">
        <v>1308</v>
      </c>
      <c r="S3" s="446" t="s">
        <v>265</v>
      </c>
      <c r="T3" s="446" t="s">
        <v>71</v>
      </c>
    </row>
    <row r="4" spans="1:20" x14ac:dyDescent="0.25">
      <c r="A4" s="446">
        <v>6.125</v>
      </c>
      <c r="B4" s="446" t="s">
        <v>256</v>
      </c>
      <c r="C4" s="446" t="s">
        <v>257</v>
      </c>
      <c r="D4" s="446">
        <v>3</v>
      </c>
      <c r="E4" s="446">
        <v>418525</v>
      </c>
      <c r="F4" s="446">
        <v>6</v>
      </c>
      <c r="G4" s="446">
        <v>1308</v>
      </c>
      <c r="H4" s="446" t="s">
        <v>265</v>
      </c>
      <c r="I4" s="446" t="s">
        <v>71</v>
      </c>
      <c r="L4" s="446">
        <v>6.125</v>
      </c>
      <c r="M4" s="446" t="s">
        <v>256</v>
      </c>
      <c r="N4" s="446" t="s">
        <v>257</v>
      </c>
      <c r="O4" s="446">
        <v>4</v>
      </c>
      <c r="P4" s="446">
        <v>1101509</v>
      </c>
      <c r="Q4" s="446">
        <v>5</v>
      </c>
      <c r="R4" s="446" t="s">
        <v>266</v>
      </c>
      <c r="S4" s="446" t="s">
        <v>103</v>
      </c>
      <c r="T4" s="446" t="s">
        <v>267</v>
      </c>
    </row>
    <row r="5" spans="1:20" x14ac:dyDescent="0.25">
      <c r="A5" s="446">
        <v>6.125</v>
      </c>
      <c r="B5" s="446" t="s">
        <v>256</v>
      </c>
      <c r="C5" s="446" t="s">
        <v>257</v>
      </c>
      <c r="D5" s="446">
        <v>4</v>
      </c>
      <c r="E5" s="446">
        <v>1101509</v>
      </c>
      <c r="F5" s="446">
        <v>5</v>
      </c>
      <c r="G5" s="446" t="s">
        <v>266</v>
      </c>
      <c r="H5" s="446" t="s">
        <v>103</v>
      </c>
      <c r="I5" s="446" t="s">
        <v>267</v>
      </c>
      <c r="L5" s="446">
        <v>6.125</v>
      </c>
      <c r="M5" s="446" t="s">
        <v>256</v>
      </c>
      <c r="N5" s="446" t="s">
        <v>257</v>
      </c>
      <c r="O5" s="446">
        <v>5</v>
      </c>
      <c r="P5" s="446">
        <v>1104083</v>
      </c>
      <c r="Q5" s="446">
        <v>1</v>
      </c>
      <c r="R5" s="446">
        <v>1313</v>
      </c>
      <c r="S5" s="446" t="s">
        <v>248</v>
      </c>
      <c r="T5" s="446" t="s">
        <v>123</v>
      </c>
    </row>
    <row r="6" spans="1:20" x14ac:dyDescent="0.25">
      <c r="A6" s="446">
        <v>6.125</v>
      </c>
      <c r="B6" s="446" t="s">
        <v>256</v>
      </c>
      <c r="C6" s="446" t="s">
        <v>257</v>
      </c>
      <c r="D6" s="446">
        <v>5</v>
      </c>
      <c r="E6" s="446">
        <v>1104083</v>
      </c>
      <c r="F6" s="446">
        <v>1</v>
      </c>
      <c r="G6" s="446">
        <v>1313</v>
      </c>
      <c r="H6" s="446" t="s">
        <v>248</v>
      </c>
      <c r="I6" s="446" t="s">
        <v>123</v>
      </c>
      <c r="L6" s="247">
        <v>6.125</v>
      </c>
      <c r="M6" s="247" t="s">
        <v>256</v>
      </c>
      <c r="N6" s="247" t="s">
        <v>257</v>
      </c>
      <c r="O6" s="247">
        <v>6</v>
      </c>
      <c r="P6" s="247">
        <v>1146346</v>
      </c>
      <c r="Q6" s="247">
        <v>7</v>
      </c>
      <c r="R6" s="247">
        <v>1313</v>
      </c>
      <c r="S6" s="247" t="s">
        <v>177</v>
      </c>
      <c r="T6" s="247" t="s">
        <v>111</v>
      </c>
    </row>
    <row r="7" spans="1:20" x14ac:dyDescent="0.25">
      <c r="A7" s="247">
        <v>6.125</v>
      </c>
      <c r="B7" s="247" t="s">
        <v>256</v>
      </c>
      <c r="C7" s="247" t="s">
        <v>257</v>
      </c>
      <c r="D7" s="247">
        <v>6</v>
      </c>
      <c r="E7" s="247">
        <v>1146346</v>
      </c>
      <c r="F7" s="247">
        <v>7</v>
      </c>
      <c r="G7" s="247">
        <v>1313</v>
      </c>
      <c r="H7" s="247" t="s">
        <v>177</v>
      </c>
      <c r="I7" s="247" t="s">
        <v>111</v>
      </c>
      <c r="L7">
        <v>8.375</v>
      </c>
      <c r="M7" t="s">
        <v>271</v>
      </c>
      <c r="N7" t="s">
        <v>269</v>
      </c>
      <c r="O7">
        <v>1</v>
      </c>
      <c r="P7">
        <v>1130198</v>
      </c>
      <c r="Q7">
        <v>33</v>
      </c>
      <c r="R7">
        <v>1613</v>
      </c>
      <c r="S7" t="s">
        <v>253</v>
      </c>
      <c r="T7" t="s">
        <v>114</v>
      </c>
    </row>
    <row r="8" spans="1:20" x14ac:dyDescent="0.25">
      <c r="L8">
        <v>8.375</v>
      </c>
      <c r="M8" t="s">
        <v>271</v>
      </c>
      <c r="N8" t="s">
        <v>269</v>
      </c>
      <c r="O8">
        <v>2</v>
      </c>
      <c r="P8">
        <v>647435</v>
      </c>
      <c r="Q8">
        <v>23</v>
      </c>
      <c r="R8">
        <v>1608</v>
      </c>
      <c r="S8" t="s">
        <v>253</v>
      </c>
      <c r="T8" t="s">
        <v>51</v>
      </c>
    </row>
    <row r="9" spans="1:20" ht="15" thickBot="1" x14ac:dyDescent="0.3">
      <c r="B9" s="450" t="s">
        <v>268</v>
      </c>
      <c r="C9" s="432" t="s">
        <v>269</v>
      </c>
      <c r="G9" t="s">
        <v>270</v>
      </c>
      <c r="H9" s="448">
        <v>14081143</v>
      </c>
      <c r="L9">
        <v>8.375</v>
      </c>
      <c r="M9" t="s">
        <v>271</v>
      </c>
      <c r="N9" t="s">
        <v>269</v>
      </c>
      <c r="O9">
        <v>3</v>
      </c>
      <c r="P9">
        <v>871781</v>
      </c>
      <c r="Q9">
        <v>6</v>
      </c>
      <c r="R9">
        <v>1313</v>
      </c>
      <c r="S9" t="s">
        <v>253</v>
      </c>
      <c r="T9" t="s">
        <v>51</v>
      </c>
    </row>
    <row r="10" spans="1:20" x14ac:dyDescent="0.25">
      <c r="A10">
        <v>8.375</v>
      </c>
      <c r="B10" t="s">
        <v>271</v>
      </c>
      <c r="C10" t="s">
        <v>269</v>
      </c>
      <c r="D10">
        <v>1</v>
      </c>
      <c r="E10">
        <v>1130198</v>
      </c>
      <c r="F10">
        <v>33</v>
      </c>
      <c r="G10">
        <v>1613</v>
      </c>
      <c r="H10" t="s">
        <v>253</v>
      </c>
      <c r="I10" t="s">
        <v>114</v>
      </c>
      <c r="L10" s="247">
        <v>8.5</v>
      </c>
      <c r="M10" s="247" t="s">
        <v>274</v>
      </c>
      <c r="N10" s="247">
        <v>1267829</v>
      </c>
      <c r="O10" s="247">
        <v>1</v>
      </c>
      <c r="P10" s="247">
        <v>1273019</v>
      </c>
      <c r="Q10" s="247">
        <v>17</v>
      </c>
      <c r="R10" s="247">
        <v>1613</v>
      </c>
      <c r="S10" s="247" t="s">
        <v>277</v>
      </c>
      <c r="T10" s="247" t="s">
        <v>296</v>
      </c>
    </row>
    <row r="11" spans="1:20" x14ac:dyDescent="0.25">
      <c r="A11">
        <v>8.375</v>
      </c>
      <c r="B11" t="s">
        <v>271</v>
      </c>
      <c r="C11" t="s">
        <v>269</v>
      </c>
      <c r="D11">
        <v>2</v>
      </c>
      <c r="E11">
        <v>647435</v>
      </c>
      <c r="F11">
        <v>23</v>
      </c>
      <c r="G11">
        <v>1608</v>
      </c>
      <c r="H11" t="s">
        <v>253</v>
      </c>
      <c r="I11" t="s">
        <v>51</v>
      </c>
      <c r="L11" s="446">
        <v>8.5</v>
      </c>
      <c r="M11" s="446" t="s">
        <v>274</v>
      </c>
      <c r="N11" s="446">
        <v>1267829</v>
      </c>
      <c r="O11" s="446">
        <v>2</v>
      </c>
      <c r="P11" s="446">
        <v>1078377</v>
      </c>
      <c r="Q11" s="446">
        <v>15</v>
      </c>
      <c r="R11" s="446" t="s">
        <v>38</v>
      </c>
      <c r="S11" s="446" t="s">
        <v>243</v>
      </c>
      <c r="T11" s="446" t="s">
        <v>279</v>
      </c>
    </row>
    <row r="12" spans="1:20" x14ac:dyDescent="0.25">
      <c r="A12">
        <v>8.375</v>
      </c>
      <c r="B12" t="s">
        <v>271</v>
      </c>
      <c r="C12" t="s">
        <v>269</v>
      </c>
      <c r="D12">
        <v>3</v>
      </c>
      <c r="E12">
        <v>871781</v>
      </c>
      <c r="F12">
        <v>6</v>
      </c>
      <c r="G12">
        <v>1313</v>
      </c>
      <c r="H12" t="s">
        <v>253</v>
      </c>
      <c r="I12" t="s">
        <v>51</v>
      </c>
      <c r="L12" s="446">
        <v>8.5</v>
      </c>
      <c r="M12" s="446" t="s">
        <v>274</v>
      </c>
      <c r="N12" s="446">
        <v>1267829</v>
      </c>
      <c r="O12" s="446">
        <v>3</v>
      </c>
      <c r="P12" s="446">
        <v>1208601</v>
      </c>
      <c r="Q12" s="446">
        <v>8</v>
      </c>
      <c r="R12" s="446">
        <v>1613</v>
      </c>
      <c r="S12" s="446" t="s">
        <v>280</v>
      </c>
      <c r="T12" s="446" t="s">
        <v>111</v>
      </c>
    </row>
    <row r="13" spans="1:20" x14ac:dyDescent="0.25">
      <c r="L13" s="446">
        <v>8.5</v>
      </c>
      <c r="M13" s="446" t="s">
        <v>274</v>
      </c>
      <c r="N13" s="446">
        <v>1267829</v>
      </c>
      <c r="O13" s="446">
        <v>4</v>
      </c>
      <c r="P13" s="446">
        <v>418525</v>
      </c>
      <c r="Q13" s="446">
        <v>6</v>
      </c>
      <c r="R13" s="446">
        <v>1308</v>
      </c>
      <c r="S13" s="446" t="s">
        <v>265</v>
      </c>
      <c r="T13" s="446" t="s">
        <v>71</v>
      </c>
    </row>
    <row r="14" spans="1:20" x14ac:dyDescent="0.25">
      <c r="B14" s="445" t="s">
        <v>276</v>
      </c>
      <c r="C14" s="445">
        <v>1267829</v>
      </c>
      <c r="L14" s="446">
        <v>8.5</v>
      </c>
      <c r="M14" s="446" t="s">
        <v>274</v>
      </c>
      <c r="N14" s="446">
        <v>1267829</v>
      </c>
      <c r="O14" s="446">
        <v>5</v>
      </c>
      <c r="P14" s="446">
        <v>1146737</v>
      </c>
      <c r="Q14" s="446">
        <v>6</v>
      </c>
      <c r="R14" s="446">
        <v>1613</v>
      </c>
      <c r="S14" s="446" t="s">
        <v>277</v>
      </c>
      <c r="T14" s="446" t="s">
        <v>111</v>
      </c>
    </row>
    <row r="15" spans="1:20" x14ac:dyDescent="0.25">
      <c r="A15" s="247">
        <v>8.5</v>
      </c>
      <c r="B15" s="247" t="s">
        <v>274</v>
      </c>
      <c r="C15" s="247">
        <v>1267829</v>
      </c>
      <c r="D15" s="247">
        <v>1</v>
      </c>
      <c r="E15" s="247">
        <v>1273019</v>
      </c>
      <c r="F15" s="247">
        <v>17</v>
      </c>
      <c r="G15" s="247">
        <v>1613</v>
      </c>
      <c r="H15" s="247" t="s">
        <v>277</v>
      </c>
      <c r="I15" s="247" t="s">
        <v>296</v>
      </c>
      <c r="L15" s="446">
        <v>8.5</v>
      </c>
      <c r="M15" s="446" t="s">
        <v>281</v>
      </c>
      <c r="N15" s="446">
        <v>1263805</v>
      </c>
      <c r="O15" s="446">
        <v>1</v>
      </c>
      <c r="P15" s="446">
        <v>1219562</v>
      </c>
      <c r="Q15" s="446">
        <v>16</v>
      </c>
      <c r="R15" s="446">
        <v>1613</v>
      </c>
      <c r="S15" s="446" t="s">
        <v>109</v>
      </c>
      <c r="T15" s="446" t="s">
        <v>174</v>
      </c>
    </row>
    <row r="16" spans="1:20" ht="13" x14ac:dyDescent="0.3">
      <c r="A16" s="446">
        <v>8.5</v>
      </c>
      <c r="B16" s="446" t="s">
        <v>274</v>
      </c>
      <c r="C16" s="446">
        <v>1267829</v>
      </c>
      <c r="D16" s="446">
        <v>2</v>
      </c>
      <c r="E16" s="446">
        <v>1078377</v>
      </c>
      <c r="F16" s="446">
        <v>15</v>
      </c>
      <c r="G16" s="446" t="s">
        <v>38</v>
      </c>
      <c r="H16" s="446" t="s">
        <v>243</v>
      </c>
      <c r="I16" s="446" t="s">
        <v>279</v>
      </c>
      <c r="L16" s="247">
        <v>8.5</v>
      </c>
      <c r="M16" s="247" t="s">
        <v>281</v>
      </c>
      <c r="N16" s="247">
        <v>1263805</v>
      </c>
      <c r="O16" s="247">
        <v>2</v>
      </c>
      <c r="P16" s="247">
        <v>1273019</v>
      </c>
      <c r="Q16" s="447">
        <v>6</v>
      </c>
      <c r="R16" s="247">
        <v>1613</v>
      </c>
      <c r="S16" s="247" t="s">
        <v>285</v>
      </c>
      <c r="T16" s="247" t="s">
        <v>296</v>
      </c>
    </row>
    <row r="17" spans="1:20" x14ac:dyDescent="0.25">
      <c r="A17" s="446">
        <v>8.5</v>
      </c>
      <c r="B17" s="446" t="s">
        <v>274</v>
      </c>
      <c r="C17" s="446">
        <v>1267829</v>
      </c>
      <c r="D17" s="446">
        <v>3</v>
      </c>
      <c r="E17" s="446">
        <v>1208601</v>
      </c>
      <c r="F17" s="446">
        <v>8</v>
      </c>
      <c r="G17" s="446">
        <v>1613</v>
      </c>
      <c r="H17" s="446" t="s">
        <v>280</v>
      </c>
      <c r="I17" s="446" t="s">
        <v>111</v>
      </c>
      <c r="L17" s="247">
        <v>8.5</v>
      </c>
      <c r="M17" s="247" t="s">
        <v>281</v>
      </c>
      <c r="N17" s="247">
        <v>1263805</v>
      </c>
      <c r="O17" s="247">
        <v>3</v>
      </c>
      <c r="P17" s="247">
        <v>1165800</v>
      </c>
      <c r="Q17" s="247">
        <v>10</v>
      </c>
      <c r="R17" s="247">
        <v>1613</v>
      </c>
      <c r="S17" s="247" t="s">
        <v>109</v>
      </c>
      <c r="T17" s="247" t="s">
        <v>297</v>
      </c>
    </row>
    <row r="18" spans="1:20" x14ac:dyDescent="0.25">
      <c r="A18" s="446">
        <v>8.5</v>
      </c>
      <c r="B18" s="446" t="s">
        <v>274</v>
      </c>
      <c r="C18" s="446">
        <v>1267829</v>
      </c>
      <c r="D18" s="446">
        <v>4</v>
      </c>
      <c r="E18" s="446">
        <v>418525</v>
      </c>
      <c r="F18" s="446">
        <v>6</v>
      </c>
      <c r="G18" s="446">
        <v>1308</v>
      </c>
      <c r="H18" s="446" t="s">
        <v>265</v>
      </c>
      <c r="I18" s="446" t="s">
        <v>71</v>
      </c>
      <c r="L18" s="446">
        <v>8.5</v>
      </c>
      <c r="M18" s="446" t="s">
        <v>281</v>
      </c>
      <c r="N18" s="446">
        <v>1263805</v>
      </c>
      <c r="O18" s="446">
        <v>4</v>
      </c>
      <c r="P18" s="446">
        <v>1208601</v>
      </c>
      <c r="Q18" s="446">
        <v>7</v>
      </c>
      <c r="R18" s="446">
        <v>1613</v>
      </c>
      <c r="S18" s="446" t="s">
        <v>280</v>
      </c>
      <c r="T18" s="446" t="s">
        <v>111</v>
      </c>
    </row>
    <row r="19" spans="1:20" x14ac:dyDescent="0.25">
      <c r="A19" s="446">
        <v>8.5</v>
      </c>
      <c r="B19" s="446" t="s">
        <v>274</v>
      </c>
      <c r="C19" s="446">
        <v>1267829</v>
      </c>
      <c r="D19" s="446">
        <v>5</v>
      </c>
      <c r="E19" s="446">
        <v>1146737</v>
      </c>
      <c r="F19" s="446">
        <v>6</v>
      </c>
      <c r="G19" s="446">
        <v>1613</v>
      </c>
      <c r="H19" s="446" t="s">
        <v>277</v>
      </c>
      <c r="I19" s="446" t="s">
        <v>111</v>
      </c>
      <c r="L19" s="446">
        <v>8.5</v>
      </c>
      <c r="M19" s="446" t="s">
        <v>281</v>
      </c>
      <c r="N19" s="446">
        <v>1263805</v>
      </c>
      <c r="O19" s="446">
        <v>5</v>
      </c>
      <c r="P19" s="446">
        <v>871781</v>
      </c>
      <c r="Q19" s="446">
        <v>5</v>
      </c>
      <c r="R19" s="446">
        <v>1313</v>
      </c>
      <c r="S19" s="446" t="s">
        <v>253</v>
      </c>
      <c r="T19" s="446" t="s">
        <v>51</v>
      </c>
    </row>
    <row r="20" spans="1:20" x14ac:dyDescent="0.25">
      <c r="L20" s="446">
        <v>8.5</v>
      </c>
      <c r="M20" s="446" t="s">
        <v>281</v>
      </c>
      <c r="N20" s="446">
        <v>1263805</v>
      </c>
      <c r="O20" s="446">
        <v>6</v>
      </c>
      <c r="P20" s="446">
        <v>1200972</v>
      </c>
      <c r="Q20" s="446">
        <v>5</v>
      </c>
      <c r="R20" s="446" t="s">
        <v>266</v>
      </c>
      <c r="S20" s="446" t="s">
        <v>243</v>
      </c>
      <c r="T20" s="446" t="s">
        <v>233</v>
      </c>
    </row>
    <row r="21" spans="1:20" x14ac:dyDescent="0.25">
      <c r="B21" s="445" t="s">
        <v>276</v>
      </c>
      <c r="C21" s="445">
        <v>1263805</v>
      </c>
      <c r="L21" s="446">
        <v>8.5</v>
      </c>
      <c r="M21" s="446" t="s">
        <v>281</v>
      </c>
      <c r="N21" s="446">
        <v>1263805</v>
      </c>
      <c r="O21" s="446">
        <v>7</v>
      </c>
      <c r="P21" s="446">
        <v>1234189</v>
      </c>
      <c r="Q21" s="446">
        <v>3</v>
      </c>
      <c r="R21" s="446" t="s">
        <v>38</v>
      </c>
      <c r="S21" s="446" t="s">
        <v>243</v>
      </c>
      <c r="T21" s="446" t="s">
        <v>233</v>
      </c>
    </row>
    <row r="22" spans="1:20" x14ac:dyDescent="0.25">
      <c r="A22" s="446">
        <v>8.5</v>
      </c>
      <c r="B22" s="446" t="s">
        <v>281</v>
      </c>
      <c r="C22" s="446">
        <v>1263805</v>
      </c>
      <c r="D22" s="446">
        <v>1</v>
      </c>
      <c r="E22" s="446">
        <v>1219562</v>
      </c>
      <c r="F22" s="446">
        <v>16</v>
      </c>
      <c r="G22" s="446">
        <v>1613</v>
      </c>
      <c r="H22" s="446" t="s">
        <v>109</v>
      </c>
      <c r="I22" s="446" t="s">
        <v>174</v>
      </c>
      <c r="L22" s="247">
        <v>8.5</v>
      </c>
      <c r="M22" s="247" t="s">
        <v>281</v>
      </c>
      <c r="N22" s="247">
        <v>1263805</v>
      </c>
      <c r="O22" s="247">
        <v>8</v>
      </c>
      <c r="P22" s="247">
        <v>1146737</v>
      </c>
      <c r="Q22" s="247">
        <v>10</v>
      </c>
      <c r="R22" s="247">
        <v>1613</v>
      </c>
      <c r="S22" s="247" t="s">
        <v>177</v>
      </c>
      <c r="T22" s="247" t="s">
        <v>111</v>
      </c>
    </row>
    <row r="23" spans="1:20" ht="13" x14ac:dyDescent="0.3">
      <c r="A23" s="247">
        <v>8.5</v>
      </c>
      <c r="B23" s="247" t="s">
        <v>281</v>
      </c>
      <c r="C23" s="247">
        <v>1263805</v>
      </c>
      <c r="D23" s="247">
        <v>2</v>
      </c>
      <c r="E23" s="247">
        <v>1273019</v>
      </c>
      <c r="F23" s="447">
        <v>6</v>
      </c>
      <c r="G23" s="247">
        <v>1613</v>
      </c>
      <c r="H23" s="247" t="s">
        <v>285</v>
      </c>
      <c r="I23" s="247" t="s">
        <v>296</v>
      </c>
      <c r="L23" s="446">
        <v>16</v>
      </c>
      <c r="M23" s="446" t="s">
        <v>290</v>
      </c>
      <c r="N23" s="446">
        <v>1268728</v>
      </c>
      <c r="O23" s="446">
        <v>1</v>
      </c>
      <c r="P23" s="446">
        <v>647436</v>
      </c>
      <c r="Q23" s="446">
        <v>64</v>
      </c>
      <c r="R23" s="446">
        <v>1613</v>
      </c>
      <c r="S23" s="446" t="s">
        <v>253</v>
      </c>
      <c r="T23" s="446" t="s">
        <v>242</v>
      </c>
    </row>
    <row r="24" spans="1:20" x14ac:dyDescent="0.25">
      <c r="A24" s="247">
        <v>8.5</v>
      </c>
      <c r="B24" s="247" t="s">
        <v>281</v>
      </c>
      <c r="C24" s="247">
        <v>1263805</v>
      </c>
      <c r="D24" s="247">
        <v>3</v>
      </c>
      <c r="E24" s="247">
        <v>1165800</v>
      </c>
      <c r="F24" s="247">
        <v>10</v>
      </c>
      <c r="G24" s="247">
        <v>1613</v>
      </c>
      <c r="H24" s="247" t="s">
        <v>109</v>
      </c>
      <c r="I24" s="247" t="s">
        <v>297</v>
      </c>
      <c r="L24" s="247">
        <v>16</v>
      </c>
      <c r="M24" s="247" t="s">
        <v>290</v>
      </c>
      <c r="N24" s="247">
        <v>1268728</v>
      </c>
      <c r="O24" s="247">
        <v>2</v>
      </c>
      <c r="P24" s="247">
        <v>1273019</v>
      </c>
      <c r="Q24" s="247">
        <v>53</v>
      </c>
      <c r="R24" s="247">
        <v>1613</v>
      </c>
      <c r="S24" s="247" t="s">
        <v>277</v>
      </c>
      <c r="T24" s="247" t="s">
        <v>296</v>
      </c>
    </row>
    <row r="25" spans="1:20" x14ac:dyDescent="0.25">
      <c r="A25" s="446">
        <v>8.5</v>
      </c>
      <c r="B25" s="446" t="s">
        <v>281</v>
      </c>
      <c r="C25" s="446">
        <v>1263805</v>
      </c>
      <c r="D25" s="446">
        <v>4</v>
      </c>
      <c r="E25" s="446">
        <v>1208601</v>
      </c>
      <c r="F25" s="446">
        <v>7</v>
      </c>
      <c r="G25" s="446">
        <v>1613</v>
      </c>
      <c r="H25" s="446" t="s">
        <v>280</v>
      </c>
      <c r="I25" s="446" t="s">
        <v>111</v>
      </c>
      <c r="L25" s="446">
        <v>16</v>
      </c>
      <c r="M25" s="446" t="s">
        <v>290</v>
      </c>
      <c r="N25" s="446">
        <v>1268728</v>
      </c>
      <c r="O25" s="446">
        <v>3</v>
      </c>
      <c r="P25" s="446">
        <v>1146737</v>
      </c>
      <c r="Q25" s="446">
        <v>39</v>
      </c>
      <c r="R25" s="446">
        <v>1613</v>
      </c>
      <c r="S25" s="446" t="s">
        <v>277</v>
      </c>
      <c r="T25" s="446" t="s">
        <v>111</v>
      </c>
    </row>
    <row r="26" spans="1:20" x14ac:dyDescent="0.25">
      <c r="A26" s="446">
        <v>8.5</v>
      </c>
      <c r="B26" s="446" t="s">
        <v>281</v>
      </c>
      <c r="C26" s="446">
        <v>1263805</v>
      </c>
      <c r="D26" s="446">
        <v>5</v>
      </c>
      <c r="E26" s="446">
        <v>871781</v>
      </c>
      <c r="F26" s="446">
        <v>5</v>
      </c>
      <c r="G26" s="446">
        <v>1313</v>
      </c>
      <c r="H26" s="446" t="s">
        <v>253</v>
      </c>
      <c r="I26" s="446" t="s">
        <v>51</v>
      </c>
      <c r="L26" s="446">
        <v>16</v>
      </c>
      <c r="M26" s="446" t="s">
        <v>290</v>
      </c>
      <c r="N26" s="446">
        <v>1268728</v>
      </c>
      <c r="O26" s="446">
        <v>4</v>
      </c>
      <c r="P26" s="446">
        <v>647435</v>
      </c>
      <c r="Q26" s="446">
        <v>16</v>
      </c>
      <c r="R26" s="446">
        <v>1608</v>
      </c>
      <c r="S26" s="446" t="s">
        <v>253</v>
      </c>
      <c r="T26" s="446" t="s">
        <v>242</v>
      </c>
    </row>
    <row r="27" spans="1:20" x14ac:dyDescent="0.25">
      <c r="A27" s="446">
        <v>8.5</v>
      </c>
      <c r="B27" s="446" t="s">
        <v>281</v>
      </c>
      <c r="C27" s="446">
        <v>1263805</v>
      </c>
      <c r="D27" s="446">
        <v>6</v>
      </c>
      <c r="E27" s="446">
        <v>1200972</v>
      </c>
      <c r="F27" s="446">
        <v>5</v>
      </c>
      <c r="G27" s="446" t="s">
        <v>266</v>
      </c>
      <c r="H27" s="446" t="s">
        <v>243</v>
      </c>
      <c r="I27" s="446" t="s">
        <v>233</v>
      </c>
      <c r="L27" s="446">
        <v>16</v>
      </c>
      <c r="M27" s="446" t="s">
        <v>290</v>
      </c>
      <c r="N27" s="446">
        <v>1268728</v>
      </c>
      <c r="O27" s="446">
        <v>5</v>
      </c>
      <c r="P27" s="446">
        <v>418525</v>
      </c>
      <c r="Q27" s="446">
        <v>8</v>
      </c>
      <c r="R27" s="446">
        <v>1308</v>
      </c>
      <c r="S27" s="446" t="s">
        <v>265</v>
      </c>
      <c r="T27" s="446" t="s">
        <v>71</v>
      </c>
    </row>
    <row r="28" spans="1:20" x14ac:dyDescent="0.25">
      <c r="A28" s="446">
        <v>8.5</v>
      </c>
      <c r="B28" s="446" t="s">
        <v>281</v>
      </c>
      <c r="C28" s="446">
        <v>1263805</v>
      </c>
      <c r="D28" s="446">
        <v>7</v>
      </c>
      <c r="E28" s="446">
        <v>1234189</v>
      </c>
      <c r="F28" s="446">
        <v>3</v>
      </c>
      <c r="G28" s="446" t="s">
        <v>38</v>
      </c>
      <c r="H28" s="446" t="s">
        <v>243</v>
      </c>
      <c r="I28" s="446" t="s">
        <v>233</v>
      </c>
      <c r="L28" s="446">
        <v>16</v>
      </c>
      <c r="M28" s="446" t="s">
        <v>292</v>
      </c>
      <c r="N28" s="446">
        <v>1254482</v>
      </c>
      <c r="O28" s="446">
        <v>1</v>
      </c>
      <c r="P28" s="446">
        <v>871781</v>
      </c>
      <c r="Q28" s="446">
        <v>42</v>
      </c>
      <c r="R28" s="446">
        <v>1313</v>
      </c>
      <c r="S28" s="446" t="s">
        <v>253</v>
      </c>
      <c r="T28" s="446" t="s">
        <v>242</v>
      </c>
    </row>
    <row r="29" spans="1:20" x14ac:dyDescent="0.25">
      <c r="A29" s="247">
        <v>8.5</v>
      </c>
      <c r="B29" s="247" t="s">
        <v>281</v>
      </c>
      <c r="C29" s="247">
        <v>1263805</v>
      </c>
      <c r="D29" s="247">
        <v>8</v>
      </c>
      <c r="E29" s="247">
        <v>1146737</v>
      </c>
      <c r="F29" s="247">
        <v>10</v>
      </c>
      <c r="G29" s="247">
        <v>1613</v>
      </c>
      <c r="H29" s="247" t="s">
        <v>177</v>
      </c>
      <c r="I29" s="247" t="s">
        <v>111</v>
      </c>
      <c r="L29" s="446">
        <v>16</v>
      </c>
      <c r="M29" s="446" t="s">
        <v>292</v>
      </c>
      <c r="N29" s="446">
        <v>1254482</v>
      </c>
      <c r="O29" s="446">
        <v>2</v>
      </c>
      <c r="P29" s="446">
        <v>1219562</v>
      </c>
      <c r="Q29" s="446">
        <v>42</v>
      </c>
      <c r="R29" s="446">
        <v>1613</v>
      </c>
      <c r="S29" s="446" t="s">
        <v>109</v>
      </c>
      <c r="T29" s="446" t="s">
        <v>174</v>
      </c>
    </row>
    <row r="30" spans="1:20" x14ac:dyDescent="0.25">
      <c r="L30" s="446">
        <v>16</v>
      </c>
      <c r="M30" s="446" t="s">
        <v>292</v>
      </c>
      <c r="N30" s="446">
        <v>1254482</v>
      </c>
      <c r="O30" s="446">
        <v>3</v>
      </c>
      <c r="P30" s="446">
        <v>410851</v>
      </c>
      <c r="Q30" s="446">
        <v>28</v>
      </c>
      <c r="R30" s="446">
        <v>1308</v>
      </c>
      <c r="S30" s="446" t="s">
        <v>243</v>
      </c>
      <c r="T30" s="446" t="s">
        <v>71</v>
      </c>
    </row>
    <row r="31" spans="1:20" x14ac:dyDescent="0.25">
      <c r="B31" s="445" t="s">
        <v>276</v>
      </c>
      <c r="C31" s="445">
        <v>1268728</v>
      </c>
      <c r="L31" s="446">
        <v>16</v>
      </c>
      <c r="M31" s="446" t="s">
        <v>292</v>
      </c>
      <c r="N31" s="446">
        <v>1254482</v>
      </c>
      <c r="O31" s="446">
        <v>4</v>
      </c>
      <c r="P31" s="446">
        <v>179734</v>
      </c>
      <c r="Q31" s="446">
        <v>22</v>
      </c>
      <c r="R31" s="446"/>
      <c r="S31" s="446" t="s">
        <v>243</v>
      </c>
      <c r="T31" s="446" t="s">
        <v>233</v>
      </c>
    </row>
    <row r="32" spans="1:20" x14ac:dyDescent="0.25">
      <c r="A32" s="446">
        <v>16</v>
      </c>
      <c r="B32" s="446" t="s">
        <v>290</v>
      </c>
      <c r="C32" s="446">
        <v>1268728</v>
      </c>
      <c r="D32" s="446">
        <v>1</v>
      </c>
      <c r="E32" s="446">
        <v>647436</v>
      </c>
      <c r="F32" s="446">
        <v>64</v>
      </c>
      <c r="G32" s="446">
        <v>1613</v>
      </c>
      <c r="H32" s="446" t="s">
        <v>253</v>
      </c>
      <c r="I32" s="446" t="s">
        <v>242</v>
      </c>
      <c r="L32" s="247">
        <v>16</v>
      </c>
      <c r="M32" s="247" t="s">
        <v>292</v>
      </c>
      <c r="N32" s="247">
        <v>1254482</v>
      </c>
      <c r="O32" s="247">
        <v>5</v>
      </c>
      <c r="P32" s="247">
        <v>1165786</v>
      </c>
      <c r="Q32" s="247">
        <v>22</v>
      </c>
      <c r="R32" s="247">
        <v>1613</v>
      </c>
      <c r="S32" s="247" t="s">
        <v>253</v>
      </c>
      <c r="T32" s="247" t="s">
        <v>297</v>
      </c>
    </row>
    <row r="33" spans="1:20" x14ac:dyDescent="0.25">
      <c r="A33" s="247">
        <v>16</v>
      </c>
      <c r="B33" s="247" t="s">
        <v>290</v>
      </c>
      <c r="C33" s="247">
        <v>1268728</v>
      </c>
      <c r="D33" s="247">
        <v>2</v>
      </c>
      <c r="E33" s="247">
        <v>1273019</v>
      </c>
      <c r="F33" s="247">
        <v>53</v>
      </c>
      <c r="G33" s="247">
        <v>1613</v>
      </c>
      <c r="H33" s="247" t="s">
        <v>277</v>
      </c>
      <c r="I33" s="247" t="s">
        <v>296</v>
      </c>
      <c r="L33" s="446">
        <v>16</v>
      </c>
      <c r="M33" s="446" t="s">
        <v>292</v>
      </c>
      <c r="N33" s="446">
        <v>1254482</v>
      </c>
      <c r="O33" s="446">
        <v>6</v>
      </c>
      <c r="P33" s="446">
        <v>1208601</v>
      </c>
      <c r="Q33" s="446">
        <v>15</v>
      </c>
      <c r="R33" s="446">
        <v>1613</v>
      </c>
      <c r="S33" s="446" t="s">
        <v>280</v>
      </c>
      <c r="T33" s="446" t="s">
        <v>111</v>
      </c>
    </row>
    <row r="34" spans="1:20" x14ac:dyDescent="0.25">
      <c r="A34" s="446">
        <v>16</v>
      </c>
      <c r="B34" s="446" t="s">
        <v>290</v>
      </c>
      <c r="C34" s="446">
        <v>1268728</v>
      </c>
      <c r="D34" s="446">
        <v>3</v>
      </c>
      <c r="E34" s="446">
        <v>1146737</v>
      </c>
      <c r="F34" s="446">
        <v>39</v>
      </c>
      <c r="G34" s="446">
        <v>1613</v>
      </c>
      <c r="H34" s="446" t="s">
        <v>277</v>
      </c>
      <c r="I34" s="446" t="s">
        <v>111</v>
      </c>
      <c r="L34" s="446">
        <v>16</v>
      </c>
      <c r="M34" s="446" t="s">
        <v>292</v>
      </c>
      <c r="N34" s="446">
        <v>1254482</v>
      </c>
      <c r="O34" s="446">
        <v>7</v>
      </c>
      <c r="P34" s="446">
        <v>418525</v>
      </c>
      <c r="Q34" s="446">
        <v>7</v>
      </c>
      <c r="R34" s="446">
        <v>1308</v>
      </c>
      <c r="S34" s="446" t="s">
        <v>265</v>
      </c>
      <c r="T34" s="446" t="s">
        <v>71</v>
      </c>
    </row>
    <row r="35" spans="1:20" x14ac:dyDescent="0.25">
      <c r="A35" s="446">
        <v>16</v>
      </c>
      <c r="B35" s="446" t="s">
        <v>290</v>
      </c>
      <c r="C35" s="446">
        <v>1268728</v>
      </c>
      <c r="D35" s="446">
        <v>4</v>
      </c>
      <c r="E35" s="446">
        <v>647435</v>
      </c>
      <c r="F35" s="446">
        <v>16</v>
      </c>
      <c r="G35" s="446">
        <v>1608</v>
      </c>
      <c r="H35" s="446" t="s">
        <v>253</v>
      </c>
      <c r="I35" s="446" t="s">
        <v>242</v>
      </c>
      <c r="L35" s="446">
        <v>12.25</v>
      </c>
      <c r="M35" s="446" t="s">
        <v>287</v>
      </c>
      <c r="N35" s="446">
        <v>1257458</v>
      </c>
      <c r="O35" s="446">
        <v>1</v>
      </c>
      <c r="P35" s="446">
        <v>1234679</v>
      </c>
      <c r="Q35" s="446">
        <v>30</v>
      </c>
      <c r="R35" s="446">
        <v>1613</v>
      </c>
      <c r="S35" s="446" t="s">
        <v>109</v>
      </c>
      <c r="T35" s="446" t="s">
        <v>176</v>
      </c>
    </row>
    <row r="36" spans="1:20" x14ac:dyDescent="0.25">
      <c r="A36" s="446">
        <v>16</v>
      </c>
      <c r="B36" s="446" t="s">
        <v>290</v>
      </c>
      <c r="C36" s="446">
        <v>1268728</v>
      </c>
      <c r="D36" s="446">
        <v>5</v>
      </c>
      <c r="E36" s="446">
        <v>418525</v>
      </c>
      <c r="F36" s="446">
        <v>8</v>
      </c>
      <c r="G36" s="446">
        <v>1308</v>
      </c>
      <c r="H36" s="446" t="s">
        <v>265</v>
      </c>
      <c r="I36" s="446" t="s">
        <v>71</v>
      </c>
      <c r="L36" s="446">
        <v>12.25</v>
      </c>
      <c r="M36" s="446" t="s">
        <v>287</v>
      </c>
      <c r="N36" s="446">
        <v>1257458</v>
      </c>
      <c r="O36" s="446">
        <v>2</v>
      </c>
      <c r="P36" s="446">
        <v>1165800</v>
      </c>
      <c r="Q36" s="446">
        <v>21</v>
      </c>
      <c r="R36" s="446">
        <v>1613</v>
      </c>
      <c r="S36" s="446" t="s">
        <v>109</v>
      </c>
      <c r="T36" s="446" t="s">
        <v>297</v>
      </c>
    </row>
    <row r="37" spans="1:20" x14ac:dyDescent="0.25">
      <c r="L37" s="446">
        <v>12.25</v>
      </c>
      <c r="M37" s="446" t="s">
        <v>287</v>
      </c>
      <c r="N37" s="446">
        <v>1257458</v>
      </c>
      <c r="O37" s="446">
        <v>3</v>
      </c>
      <c r="P37" s="446">
        <v>1208601</v>
      </c>
      <c r="Q37" s="446">
        <v>11</v>
      </c>
      <c r="R37" s="446">
        <v>1613</v>
      </c>
      <c r="S37" s="446" t="s">
        <v>280</v>
      </c>
      <c r="T37" s="446" t="s">
        <v>111</v>
      </c>
    </row>
    <row r="38" spans="1:20" ht="15" thickBot="1" x14ac:dyDescent="0.3">
      <c r="B38" s="445" t="s">
        <v>293</v>
      </c>
      <c r="C38" s="445">
        <v>1254482</v>
      </c>
      <c r="G38" t="s">
        <v>294</v>
      </c>
      <c r="H38" s="448">
        <v>14073967</v>
      </c>
      <c r="L38" s="247">
        <v>12.25</v>
      </c>
      <c r="M38" s="247" t="s">
        <v>287</v>
      </c>
      <c r="N38" s="247">
        <v>1257458</v>
      </c>
      <c r="O38" s="247">
        <v>4</v>
      </c>
      <c r="P38" s="247">
        <v>1244957</v>
      </c>
      <c r="Q38" s="247">
        <v>8</v>
      </c>
      <c r="R38" s="247">
        <v>1613</v>
      </c>
      <c r="S38" s="247" t="s">
        <v>295</v>
      </c>
      <c r="T38" s="247" t="s">
        <v>111</v>
      </c>
    </row>
    <row r="39" spans="1:20" x14ac:dyDescent="0.25">
      <c r="A39" s="446">
        <v>16</v>
      </c>
      <c r="B39" s="446" t="s">
        <v>292</v>
      </c>
      <c r="C39" s="446">
        <v>1254482</v>
      </c>
      <c r="D39" s="446">
        <v>1</v>
      </c>
      <c r="E39" s="446">
        <v>871781</v>
      </c>
      <c r="F39" s="446">
        <v>42</v>
      </c>
      <c r="G39" s="446">
        <v>1313</v>
      </c>
      <c r="H39" s="446" t="s">
        <v>253</v>
      </c>
      <c r="I39" s="446" t="s">
        <v>242</v>
      </c>
      <c r="L39" s="446">
        <v>12.25</v>
      </c>
      <c r="M39" s="446" t="s">
        <v>287</v>
      </c>
      <c r="N39" s="446">
        <v>1257458</v>
      </c>
      <c r="O39" s="446">
        <v>5</v>
      </c>
      <c r="P39" s="446">
        <v>871781</v>
      </c>
      <c r="Q39" s="446">
        <v>7</v>
      </c>
      <c r="R39" s="446">
        <v>1313</v>
      </c>
      <c r="S39" s="446" t="s">
        <v>253</v>
      </c>
      <c r="T39" s="446" t="s">
        <v>51</v>
      </c>
    </row>
    <row r="40" spans="1:20" x14ac:dyDescent="0.25">
      <c r="A40" s="446">
        <v>16</v>
      </c>
      <c r="B40" s="446" t="s">
        <v>292</v>
      </c>
      <c r="C40" s="446">
        <v>1254482</v>
      </c>
      <c r="D40" s="446">
        <v>2</v>
      </c>
      <c r="E40" s="446">
        <v>1219562</v>
      </c>
      <c r="F40" s="446">
        <v>42</v>
      </c>
      <c r="G40" s="446">
        <v>1613</v>
      </c>
      <c r="H40" s="446" t="s">
        <v>109</v>
      </c>
      <c r="I40" s="446" t="s">
        <v>174</v>
      </c>
      <c r="L40" s="446">
        <v>12.25</v>
      </c>
      <c r="M40" s="446" t="s">
        <v>287</v>
      </c>
      <c r="N40" s="446">
        <v>1257458</v>
      </c>
      <c r="O40" s="446">
        <v>6</v>
      </c>
      <c r="P40" s="446">
        <v>625854</v>
      </c>
      <c r="Q40" s="446">
        <v>6</v>
      </c>
      <c r="R40" s="446" t="s">
        <v>38</v>
      </c>
      <c r="S40" s="446" t="s">
        <v>243</v>
      </c>
      <c r="T40" s="446" t="s">
        <v>233</v>
      </c>
    </row>
    <row r="41" spans="1:20" x14ac:dyDescent="0.25">
      <c r="A41" s="446">
        <v>16</v>
      </c>
      <c r="B41" s="446" t="s">
        <v>292</v>
      </c>
      <c r="C41" s="446">
        <v>1254482</v>
      </c>
      <c r="D41" s="446">
        <v>3</v>
      </c>
      <c r="E41" s="446">
        <v>410851</v>
      </c>
      <c r="F41" s="446">
        <v>28</v>
      </c>
      <c r="G41" s="446">
        <v>1308</v>
      </c>
      <c r="H41" s="446" t="s">
        <v>243</v>
      </c>
      <c r="I41" s="446" t="s">
        <v>71</v>
      </c>
      <c r="L41" s="446">
        <v>12.25</v>
      </c>
      <c r="M41" s="446" t="s">
        <v>287</v>
      </c>
      <c r="N41" s="446">
        <v>1257458</v>
      </c>
      <c r="O41" s="446">
        <v>7</v>
      </c>
      <c r="P41" s="446">
        <v>1231982</v>
      </c>
      <c r="Q41" s="446">
        <v>6</v>
      </c>
      <c r="R41" s="446">
        <v>1613</v>
      </c>
      <c r="S41" s="446" t="s">
        <v>109</v>
      </c>
      <c r="T41" s="446" t="s">
        <v>193</v>
      </c>
    </row>
    <row r="42" spans="1:20" x14ac:dyDescent="0.25">
      <c r="A42" s="446">
        <v>16</v>
      </c>
      <c r="B42" s="446" t="s">
        <v>292</v>
      </c>
      <c r="C42" s="446">
        <v>1254482</v>
      </c>
      <c r="D42" s="446">
        <v>4</v>
      </c>
      <c r="E42" s="446">
        <v>179734</v>
      </c>
      <c r="F42" s="446">
        <v>22</v>
      </c>
      <c r="G42" s="446"/>
      <c r="H42" s="446" t="s">
        <v>243</v>
      </c>
      <c r="I42" s="446" t="s">
        <v>233</v>
      </c>
      <c r="L42" s="247">
        <v>12</v>
      </c>
      <c r="M42" s="247" t="s">
        <v>286</v>
      </c>
      <c r="N42" s="247">
        <v>1269308</v>
      </c>
      <c r="O42" s="247">
        <v>1</v>
      </c>
      <c r="P42" s="247">
        <v>1273019</v>
      </c>
      <c r="Q42" s="247">
        <v>30</v>
      </c>
      <c r="R42" s="247">
        <v>1613</v>
      </c>
      <c r="S42" s="247" t="s">
        <v>277</v>
      </c>
      <c r="T42" s="247" t="s">
        <v>296</v>
      </c>
    </row>
    <row r="43" spans="1:20" x14ac:dyDescent="0.25">
      <c r="A43" s="247">
        <v>16</v>
      </c>
      <c r="B43" s="247" t="s">
        <v>292</v>
      </c>
      <c r="C43" s="247">
        <v>1254482</v>
      </c>
      <c r="D43" s="247">
        <v>5</v>
      </c>
      <c r="E43" s="247">
        <v>1165786</v>
      </c>
      <c r="F43" s="247">
        <v>22</v>
      </c>
      <c r="G43" s="247">
        <v>1613</v>
      </c>
      <c r="H43" s="247" t="s">
        <v>253</v>
      </c>
      <c r="I43" s="247" t="s">
        <v>297</v>
      </c>
      <c r="L43" s="247">
        <v>12</v>
      </c>
      <c r="M43" s="247" t="s">
        <v>286</v>
      </c>
      <c r="N43" s="247">
        <v>1269308</v>
      </c>
      <c r="O43" s="247">
        <v>2</v>
      </c>
      <c r="P43" s="247">
        <v>1165784</v>
      </c>
      <c r="Q43" s="247">
        <v>22</v>
      </c>
      <c r="R43" s="247">
        <v>1313</v>
      </c>
      <c r="S43" s="247" t="s">
        <v>253</v>
      </c>
      <c r="T43" s="247" t="s">
        <v>297</v>
      </c>
    </row>
    <row r="44" spans="1:20" x14ac:dyDescent="0.25">
      <c r="A44" s="446">
        <v>16</v>
      </c>
      <c r="B44" s="446" t="s">
        <v>292</v>
      </c>
      <c r="C44" s="446">
        <v>1254482</v>
      </c>
      <c r="D44" s="446">
        <v>6</v>
      </c>
      <c r="E44" s="446">
        <v>1208601</v>
      </c>
      <c r="F44" s="446">
        <v>15</v>
      </c>
      <c r="G44" s="446">
        <v>1613</v>
      </c>
      <c r="H44" s="446" t="s">
        <v>280</v>
      </c>
      <c r="I44" s="446" t="s">
        <v>111</v>
      </c>
      <c r="L44" s="446">
        <v>12</v>
      </c>
      <c r="M44" s="446" t="s">
        <v>286</v>
      </c>
      <c r="N44" s="446">
        <v>1269308</v>
      </c>
      <c r="O44" s="446">
        <v>3</v>
      </c>
      <c r="P44" s="446">
        <v>1146737</v>
      </c>
      <c r="Q44" s="446">
        <v>10</v>
      </c>
      <c r="R44" s="446">
        <v>1613</v>
      </c>
      <c r="S44" s="446" t="s">
        <v>277</v>
      </c>
      <c r="T44" s="446" t="s">
        <v>111</v>
      </c>
    </row>
    <row r="45" spans="1:20" x14ac:dyDescent="0.25">
      <c r="A45" s="446">
        <v>16</v>
      </c>
      <c r="B45" s="446" t="s">
        <v>292</v>
      </c>
      <c r="C45" s="446">
        <v>1254482</v>
      </c>
      <c r="D45" s="446">
        <v>7</v>
      </c>
      <c r="E45" s="446">
        <v>418525</v>
      </c>
      <c r="F45" s="446">
        <v>7</v>
      </c>
      <c r="G45" s="446">
        <v>1308</v>
      </c>
      <c r="H45" s="446" t="s">
        <v>265</v>
      </c>
      <c r="I45" s="446" t="s">
        <v>71</v>
      </c>
      <c r="L45" s="446">
        <v>12</v>
      </c>
      <c r="M45" s="446" t="s">
        <v>286</v>
      </c>
      <c r="N45" s="446">
        <v>1269308</v>
      </c>
      <c r="O45" s="446">
        <v>4</v>
      </c>
      <c r="P45" s="446">
        <v>1209410</v>
      </c>
      <c r="Q45" s="446">
        <v>10</v>
      </c>
      <c r="R45" s="446">
        <v>1613</v>
      </c>
      <c r="S45" s="446" t="s">
        <v>109</v>
      </c>
      <c r="T45" s="446" t="s">
        <v>157</v>
      </c>
    </row>
    <row r="46" spans="1:20" x14ac:dyDescent="0.25">
      <c r="L46" s="247">
        <v>12</v>
      </c>
      <c r="M46" s="247" t="s">
        <v>286</v>
      </c>
      <c r="N46" s="247">
        <v>1269308</v>
      </c>
      <c r="O46" s="247">
        <v>5</v>
      </c>
      <c r="P46" s="247">
        <v>871781</v>
      </c>
      <c r="Q46" s="247">
        <v>5</v>
      </c>
      <c r="R46" s="247">
        <v>1313</v>
      </c>
      <c r="S46" s="247" t="s">
        <v>253</v>
      </c>
      <c r="T46" s="247" t="s">
        <v>242</v>
      </c>
    </row>
    <row r="47" spans="1:20" x14ac:dyDescent="0.25">
      <c r="B47" s="445" t="s">
        <v>276</v>
      </c>
      <c r="C47" s="445">
        <v>1257458</v>
      </c>
    </row>
    <row r="48" spans="1:20" x14ac:dyDescent="0.25">
      <c r="A48" s="446">
        <v>12.25</v>
      </c>
      <c r="B48" s="446" t="s">
        <v>287</v>
      </c>
      <c r="C48" s="446">
        <v>1257458</v>
      </c>
      <c r="D48" s="446">
        <v>1</v>
      </c>
      <c r="E48" s="446">
        <v>1234679</v>
      </c>
      <c r="F48" s="446">
        <v>30</v>
      </c>
      <c r="G48" s="446">
        <v>1613</v>
      </c>
      <c r="H48" s="446" t="s">
        <v>109</v>
      </c>
      <c r="I48" s="446" t="s">
        <v>176</v>
      </c>
    </row>
    <row r="49" spans="1:10" x14ac:dyDescent="0.25">
      <c r="A49" s="446">
        <v>12.25</v>
      </c>
      <c r="B49" s="446" t="s">
        <v>287</v>
      </c>
      <c r="C49" s="446">
        <v>1257458</v>
      </c>
      <c r="D49" s="446">
        <v>2</v>
      </c>
      <c r="E49" s="446">
        <v>1165800</v>
      </c>
      <c r="F49" s="446">
        <v>21</v>
      </c>
      <c r="G49" s="446">
        <v>1613</v>
      </c>
      <c r="H49" s="446" t="s">
        <v>253</v>
      </c>
      <c r="I49" s="446" t="s">
        <v>297</v>
      </c>
      <c r="J49">
        <f>21*3</f>
        <v>63</v>
      </c>
    </row>
    <row r="50" spans="1:10" x14ac:dyDescent="0.25">
      <c r="A50" s="446">
        <v>12.25</v>
      </c>
      <c r="B50" s="446" t="s">
        <v>287</v>
      </c>
      <c r="C50" s="446">
        <v>1257458</v>
      </c>
      <c r="D50" s="446">
        <v>3</v>
      </c>
      <c r="E50" s="446">
        <v>1208601</v>
      </c>
      <c r="F50" s="446">
        <v>11</v>
      </c>
      <c r="G50" s="446">
        <v>1613</v>
      </c>
      <c r="H50" s="446" t="s">
        <v>280</v>
      </c>
      <c r="I50" s="446" t="s">
        <v>111</v>
      </c>
    </row>
    <row r="51" spans="1:10" x14ac:dyDescent="0.25">
      <c r="A51" s="247">
        <v>12.25</v>
      </c>
      <c r="B51" s="247" t="s">
        <v>287</v>
      </c>
      <c r="C51" s="247">
        <v>1257458</v>
      </c>
      <c r="D51" s="247">
        <v>4</v>
      </c>
      <c r="E51" s="247">
        <v>1244957</v>
      </c>
      <c r="F51" s="247">
        <v>8</v>
      </c>
      <c r="G51" s="247">
        <v>1613</v>
      </c>
      <c r="H51" s="247" t="s">
        <v>295</v>
      </c>
      <c r="I51" s="247" t="s">
        <v>111</v>
      </c>
    </row>
    <row r="52" spans="1:10" x14ac:dyDescent="0.25">
      <c r="A52" s="446">
        <v>12.25</v>
      </c>
      <c r="B52" s="446" t="s">
        <v>287</v>
      </c>
      <c r="C52" s="446">
        <v>1257458</v>
      </c>
      <c r="D52" s="446">
        <v>5</v>
      </c>
      <c r="E52" s="446">
        <v>871781</v>
      </c>
      <c r="F52" s="446">
        <v>7</v>
      </c>
      <c r="G52" s="446">
        <v>1313</v>
      </c>
      <c r="H52" s="446" t="s">
        <v>253</v>
      </c>
      <c r="I52" s="446" t="s">
        <v>51</v>
      </c>
    </row>
    <row r="53" spans="1:10" x14ac:dyDescent="0.25">
      <c r="A53" s="446">
        <v>12.25</v>
      </c>
      <c r="B53" s="446" t="s">
        <v>287</v>
      </c>
      <c r="C53" s="446">
        <v>1257458</v>
      </c>
      <c r="D53" s="446">
        <v>6</v>
      </c>
      <c r="E53" s="446">
        <v>625854</v>
      </c>
      <c r="F53" s="446">
        <v>6</v>
      </c>
      <c r="G53" s="446" t="s">
        <v>38</v>
      </c>
      <c r="H53" s="446" t="s">
        <v>243</v>
      </c>
      <c r="I53" s="446" t="s">
        <v>233</v>
      </c>
    </row>
    <row r="54" spans="1:10" x14ac:dyDescent="0.25">
      <c r="A54" s="446">
        <v>12.25</v>
      </c>
      <c r="B54" s="446" t="s">
        <v>287</v>
      </c>
      <c r="C54" s="446">
        <v>1257458</v>
      </c>
      <c r="D54" s="446">
        <v>7</v>
      </c>
      <c r="E54" s="446">
        <v>1231982</v>
      </c>
      <c r="F54" s="446">
        <v>6</v>
      </c>
      <c r="G54" s="446">
        <v>1613</v>
      </c>
      <c r="H54" s="446" t="s">
        <v>109</v>
      </c>
      <c r="I54" s="446" t="s">
        <v>193</v>
      </c>
    </row>
    <row r="56" spans="1:10" x14ac:dyDescent="0.25">
      <c r="B56" s="445" t="s">
        <v>276</v>
      </c>
      <c r="C56" s="445">
        <v>1269308</v>
      </c>
    </row>
    <row r="57" spans="1:10" x14ac:dyDescent="0.25">
      <c r="A57" s="247">
        <v>12</v>
      </c>
      <c r="B57" s="247" t="s">
        <v>286</v>
      </c>
      <c r="C57" s="247">
        <v>1269308</v>
      </c>
      <c r="D57" s="247">
        <v>1</v>
      </c>
      <c r="E57" s="247">
        <v>1273019</v>
      </c>
      <c r="F57" s="247">
        <v>30</v>
      </c>
      <c r="G57" s="247">
        <v>1613</v>
      </c>
      <c r="H57" s="247" t="s">
        <v>277</v>
      </c>
      <c r="I57" s="247" t="s">
        <v>296</v>
      </c>
    </row>
    <row r="58" spans="1:10" x14ac:dyDescent="0.25">
      <c r="A58" s="247">
        <v>12</v>
      </c>
      <c r="B58" s="247" t="s">
        <v>286</v>
      </c>
      <c r="C58" s="247">
        <v>1269308</v>
      </c>
      <c r="D58" s="247">
        <v>2</v>
      </c>
      <c r="E58" s="247">
        <v>1165784</v>
      </c>
      <c r="F58" s="247">
        <v>22</v>
      </c>
      <c r="G58" s="247">
        <v>1313</v>
      </c>
      <c r="H58" s="247" t="s">
        <v>253</v>
      </c>
      <c r="I58" s="247" t="s">
        <v>297</v>
      </c>
    </row>
    <row r="59" spans="1:10" x14ac:dyDescent="0.25">
      <c r="A59" s="446">
        <v>12</v>
      </c>
      <c r="B59" s="446" t="s">
        <v>286</v>
      </c>
      <c r="C59" s="446">
        <v>1269308</v>
      </c>
      <c r="D59" s="446">
        <v>3</v>
      </c>
      <c r="E59" s="446">
        <v>1146737</v>
      </c>
      <c r="F59" s="446">
        <v>10</v>
      </c>
      <c r="G59" s="446">
        <v>1613</v>
      </c>
      <c r="H59" s="446" t="s">
        <v>277</v>
      </c>
      <c r="I59" s="446" t="s">
        <v>111</v>
      </c>
    </row>
    <row r="60" spans="1:10" x14ac:dyDescent="0.25">
      <c r="A60" s="446">
        <v>12</v>
      </c>
      <c r="B60" s="446" t="s">
        <v>286</v>
      </c>
      <c r="C60" s="446">
        <v>1269308</v>
      </c>
      <c r="D60" s="446">
        <v>4</v>
      </c>
      <c r="E60" s="446">
        <v>1209410</v>
      </c>
      <c r="F60" s="446">
        <v>10</v>
      </c>
      <c r="G60" s="446">
        <v>1613</v>
      </c>
      <c r="H60" s="446" t="s">
        <v>109</v>
      </c>
      <c r="I60" s="446" t="s">
        <v>157</v>
      </c>
    </row>
    <row r="61" spans="1:10" x14ac:dyDescent="0.25">
      <c r="A61" s="247">
        <v>12</v>
      </c>
      <c r="B61" s="247" t="s">
        <v>286</v>
      </c>
      <c r="C61" s="247">
        <v>1269308</v>
      </c>
      <c r="D61" s="247">
        <v>5</v>
      </c>
      <c r="E61" s="247">
        <v>871781</v>
      </c>
      <c r="F61" s="247">
        <v>5</v>
      </c>
      <c r="G61" s="247">
        <v>1313</v>
      </c>
      <c r="H61" s="247" t="s">
        <v>253</v>
      </c>
      <c r="I61" s="247" t="s">
        <v>242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:F15"/>
  <sheetViews>
    <sheetView workbookViewId="0">
      <selection activeCell="E15" sqref="E15"/>
    </sheetView>
  </sheetViews>
  <sheetFormatPr defaultRowHeight="12.5" x14ac:dyDescent="0.25"/>
  <sheetData>
    <row r="1" spans="1:6" ht="15.5" x14ac:dyDescent="0.25">
      <c r="A1" s="124" t="s">
        <v>298</v>
      </c>
    </row>
    <row r="2" spans="1:6" ht="16" thickBot="1" x14ac:dyDescent="0.3">
      <c r="A2" s="124" t="s">
        <v>299</v>
      </c>
    </row>
    <row r="3" spans="1:6" ht="29.5" thickBot="1" x14ac:dyDescent="0.3">
      <c r="A3" s="125" t="s">
        <v>258</v>
      </c>
      <c r="B3" s="126" t="s">
        <v>4</v>
      </c>
      <c r="C3" s="126" t="s">
        <v>300</v>
      </c>
      <c r="D3" s="126" t="s">
        <v>301</v>
      </c>
      <c r="E3" s="126" t="s">
        <v>302</v>
      </c>
      <c r="F3" s="126" t="s">
        <v>303</v>
      </c>
    </row>
    <row r="4" spans="1:6" ht="15" thickBot="1" x14ac:dyDescent="0.3">
      <c r="A4" s="127" t="s">
        <v>304</v>
      </c>
      <c r="B4" s="128" t="s">
        <v>305</v>
      </c>
      <c r="C4" s="128">
        <v>1145821</v>
      </c>
      <c r="D4" s="128">
        <v>1096183</v>
      </c>
      <c r="E4" s="128">
        <v>1</v>
      </c>
      <c r="F4" s="129" t="s">
        <v>306</v>
      </c>
    </row>
    <row r="5" spans="1:6" ht="15" thickBot="1" x14ac:dyDescent="0.3">
      <c r="A5" s="127" t="s">
        <v>307</v>
      </c>
      <c r="B5" s="128" t="s">
        <v>308</v>
      </c>
      <c r="C5" s="128">
        <v>1141549</v>
      </c>
      <c r="D5" s="128">
        <v>1059290</v>
      </c>
      <c r="E5" s="128">
        <v>2</v>
      </c>
      <c r="F5" s="129" t="s">
        <v>306</v>
      </c>
    </row>
    <row r="6" spans="1:6" ht="15" thickBot="1" x14ac:dyDescent="0.3">
      <c r="A6" s="130" t="s">
        <v>309</v>
      </c>
      <c r="B6" s="129" t="s">
        <v>310</v>
      </c>
      <c r="C6" s="128">
        <v>1149944</v>
      </c>
      <c r="D6" s="128">
        <v>1186699</v>
      </c>
      <c r="E6" s="128">
        <v>1</v>
      </c>
      <c r="F6" s="129" t="s">
        <v>306</v>
      </c>
    </row>
    <row r="7" spans="1:6" ht="15" thickBot="1" x14ac:dyDescent="0.3">
      <c r="A7" s="130" t="s">
        <v>309</v>
      </c>
      <c r="B7" s="129" t="s">
        <v>311</v>
      </c>
      <c r="C7" s="128">
        <v>1145824</v>
      </c>
      <c r="D7" s="128">
        <v>1137349</v>
      </c>
      <c r="E7" s="128">
        <v>3</v>
      </c>
      <c r="F7" s="129" t="s">
        <v>306</v>
      </c>
    </row>
    <row r="8" spans="1:6" ht="15" thickBot="1" x14ac:dyDescent="0.3">
      <c r="A8" s="130" t="s">
        <v>309</v>
      </c>
      <c r="B8" s="129" t="s">
        <v>312</v>
      </c>
      <c r="C8" s="128">
        <v>1145877</v>
      </c>
      <c r="D8" s="128">
        <v>1137348</v>
      </c>
      <c r="E8" s="128">
        <v>1</v>
      </c>
      <c r="F8" s="129" t="s">
        <v>306</v>
      </c>
    </row>
    <row r="9" spans="1:6" ht="15" thickBot="1" x14ac:dyDescent="0.3">
      <c r="A9" s="130" t="s">
        <v>313</v>
      </c>
      <c r="B9" s="129" t="s">
        <v>273</v>
      </c>
      <c r="C9" s="128">
        <v>1141517</v>
      </c>
      <c r="D9" s="128">
        <v>1083564</v>
      </c>
      <c r="E9" s="129">
        <v>3</v>
      </c>
      <c r="F9" s="129" t="s">
        <v>306</v>
      </c>
    </row>
    <row r="10" spans="1:6" ht="15" thickBot="1" x14ac:dyDescent="0.3">
      <c r="A10" s="130" t="s">
        <v>313</v>
      </c>
      <c r="B10" s="129" t="s">
        <v>273</v>
      </c>
      <c r="C10" s="128">
        <v>1141517</v>
      </c>
      <c r="D10" s="128">
        <v>1092981</v>
      </c>
      <c r="E10" s="129">
        <v>2</v>
      </c>
      <c r="F10" s="129" t="s">
        <v>306</v>
      </c>
    </row>
    <row r="11" spans="1:6" ht="15" thickBot="1" x14ac:dyDescent="0.3">
      <c r="A11" s="130" t="s">
        <v>313</v>
      </c>
      <c r="B11" s="129" t="s">
        <v>314</v>
      </c>
      <c r="C11" s="128">
        <v>1145826</v>
      </c>
      <c r="D11" s="128">
        <v>1061407</v>
      </c>
      <c r="E11" s="129">
        <v>2</v>
      </c>
      <c r="F11" s="129" t="s">
        <v>306</v>
      </c>
    </row>
    <row r="12" spans="1:6" ht="15" thickBot="1" x14ac:dyDescent="0.3">
      <c r="A12" s="130" t="s">
        <v>315</v>
      </c>
      <c r="B12" s="129" t="s">
        <v>284</v>
      </c>
      <c r="C12" s="128">
        <v>1145825</v>
      </c>
      <c r="D12" s="128">
        <v>1005462</v>
      </c>
      <c r="E12" s="129">
        <v>2</v>
      </c>
      <c r="F12" s="129" t="s">
        <v>306</v>
      </c>
    </row>
    <row r="13" spans="1:6" ht="15" thickBot="1" x14ac:dyDescent="0.3">
      <c r="A13" s="130" t="s">
        <v>316</v>
      </c>
      <c r="B13" s="129" t="s">
        <v>317</v>
      </c>
      <c r="C13" s="128">
        <v>1197910</v>
      </c>
      <c r="D13" s="128">
        <v>1190973</v>
      </c>
      <c r="E13" s="129">
        <v>1</v>
      </c>
      <c r="F13" s="129" t="s">
        <v>306</v>
      </c>
    </row>
    <row r="14" spans="1:6" ht="15" thickBot="1" x14ac:dyDescent="0.3">
      <c r="A14" s="130" t="s">
        <v>316</v>
      </c>
      <c r="B14" s="129" t="s">
        <v>318</v>
      </c>
      <c r="C14" s="128">
        <v>1145823</v>
      </c>
      <c r="D14" s="128">
        <v>1033011</v>
      </c>
      <c r="E14" s="129">
        <v>4</v>
      </c>
      <c r="F14" s="129" t="s">
        <v>306</v>
      </c>
    </row>
    <row r="15" spans="1:6" ht="15" thickBot="1" x14ac:dyDescent="0.3">
      <c r="A15" s="130" t="s">
        <v>319</v>
      </c>
      <c r="B15" s="129" t="s">
        <v>320</v>
      </c>
      <c r="C15" s="128">
        <v>1153090</v>
      </c>
      <c r="D15" s="128">
        <v>1162267</v>
      </c>
      <c r="E15" s="129">
        <v>2</v>
      </c>
      <c r="F15" s="129" t="s">
        <v>306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theme="3" tint="0.39997558519241921"/>
  </sheetPr>
  <dimension ref="A1:AP553"/>
  <sheetViews>
    <sheetView zoomScaleNormal="100" workbookViewId="0">
      <pane xSplit="6" ySplit="1" topLeftCell="G2" activePane="bottomRight" state="frozen"/>
      <selection pane="topRight" activeCell="C1" sqref="C1"/>
      <selection pane="bottomLeft" activeCell="A2" sqref="A2"/>
      <selection pane="bottomRight" activeCell="A2" sqref="A2:C2"/>
    </sheetView>
  </sheetViews>
  <sheetFormatPr defaultColWidth="9.26953125" defaultRowHeight="14.5" x14ac:dyDescent="0.35"/>
  <cols>
    <col min="1" max="1" width="12" style="63" customWidth="1"/>
    <col min="2" max="2" width="12.26953125" style="63" customWidth="1"/>
    <col min="3" max="4" width="5.7265625" style="63" customWidth="1"/>
    <col min="5" max="5" width="6.7265625" style="56" customWidth="1"/>
    <col min="6" max="6" width="13.26953125" style="56" bestFit="1" customWidth="1"/>
    <col min="7" max="7" width="10.26953125" style="56" customWidth="1"/>
    <col min="8" max="8" width="6.7265625" style="56" bestFit="1" customWidth="1"/>
    <col min="9" max="9" width="11" style="56" bestFit="1" customWidth="1"/>
    <col min="10" max="10" width="5.7265625" style="56" customWidth="1"/>
    <col min="11" max="11" width="9.7265625" style="56" bestFit="1" customWidth="1"/>
    <col min="12" max="12" width="10.7265625" style="56" bestFit="1" customWidth="1"/>
    <col min="13" max="13" width="14.26953125" style="56" customWidth="1"/>
    <col min="14" max="14" width="10" style="56" hidden="1" customWidth="1"/>
    <col min="15" max="15" width="9.453125" style="56" hidden="1" customWidth="1"/>
    <col min="16" max="16" width="7.26953125" style="56" hidden="1" customWidth="1"/>
    <col min="17" max="17" width="17.453125" style="56" hidden="1" customWidth="1"/>
    <col min="18" max="19" width="10.26953125" style="56" hidden="1" customWidth="1"/>
    <col min="20" max="20" width="11.7265625" style="56" hidden="1" customWidth="1"/>
    <col min="21" max="21" width="5.7265625" style="56" hidden="1" customWidth="1"/>
    <col min="22" max="22" width="3.7265625" style="56" customWidth="1"/>
    <col min="23" max="23" width="8.26953125" style="56" customWidth="1"/>
    <col min="24" max="24" width="10.7265625" style="56" customWidth="1"/>
    <col min="25" max="25" width="10.26953125" style="56" customWidth="1"/>
    <col min="26" max="26" width="10.7265625" style="56" bestFit="1" customWidth="1"/>
    <col min="27" max="27" width="6.26953125" style="84" customWidth="1"/>
    <col min="28" max="29" width="7.26953125" style="56" customWidth="1"/>
    <col min="30" max="30" width="4.7265625" style="56" customWidth="1"/>
    <col min="31" max="31" width="10.7265625" style="63" customWidth="1"/>
    <col min="32" max="32" width="8.26953125" style="63" customWidth="1"/>
    <col min="33" max="33" width="11.7265625" style="56" customWidth="1"/>
    <col min="34" max="34" width="11.7265625" style="56" bestFit="1" customWidth="1"/>
    <col min="35" max="16384" width="9.26953125" style="56"/>
  </cols>
  <sheetData>
    <row r="1" spans="1:42" ht="53.25" customHeight="1" thickBot="1" x14ac:dyDescent="0.4">
      <c r="A1" s="86" t="s">
        <v>321</v>
      </c>
      <c r="B1" s="86" t="s">
        <v>322</v>
      </c>
      <c r="C1" s="108" t="s">
        <v>323</v>
      </c>
      <c r="D1" s="107"/>
      <c r="E1" s="51" t="s">
        <v>324</v>
      </c>
      <c r="F1" s="51" t="s">
        <v>321</v>
      </c>
      <c r="G1" s="51" t="s">
        <v>322</v>
      </c>
      <c r="H1" s="51" t="s">
        <v>325</v>
      </c>
      <c r="I1" s="51" t="s">
        <v>326</v>
      </c>
      <c r="J1" s="51" t="s">
        <v>327</v>
      </c>
      <c r="K1" s="51" t="s">
        <v>328</v>
      </c>
      <c r="L1" s="51" t="s">
        <v>329</v>
      </c>
      <c r="M1" s="51" t="s">
        <v>330</v>
      </c>
      <c r="N1" s="51" t="s">
        <v>331</v>
      </c>
      <c r="O1" s="51" t="s">
        <v>332</v>
      </c>
      <c r="P1" s="51" t="s">
        <v>333</v>
      </c>
      <c r="Q1" s="52" t="s">
        <v>334</v>
      </c>
      <c r="R1" s="51" t="s">
        <v>335</v>
      </c>
      <c r="S1" s="51" t="s">
        <v>336</v>
      </c>
      <c r="T1" s="51" t="s">
        <v>337</v>
      </c>
      <c r="U1" s="51" t="s">
        <v>338</v>
      </c>
      <c r="V1" s="53" t="s">
        <v>339</v>
      </c>
      <c r="W1" s="53" t="s">
        <v>340</v>
      </c>
      <c r="X1" s="54" t="s">
        <v>341</v>
      </c>
      <c r="Y1" s="53" t="s">
        <v>342</v>
      </c>
      <c r="Z1" s="53" t="s">
        <v>343</v>
      </c>
      <c r="AA1" s="55" t="s">
        <v>344</v>
      </c>
      <c r="AB1" s="53" t="s">
        <v>345</v>
      </c>
      <c r="AC1" s="53" t="s">
        <v>346</v>
      </c>
      <c r="AE1" s="98" t="s">
        <v>347</v>
      </c>
      <c r="AF1" s="99" t="s">
        <v>348</v>
      </c>
      <c r="AG1" s="100" t="s">
        <v>349</v>
      </c>
    </row>
    <row r="2" spans="1:42" x14ac:dyDescent="0.35">
      <c r="A2" s="87" t="s">
        <v>350</v>
      </c>
      <c r="B2" s="88">
        <v>12896870</v>
      </c>
      <c r="C2" s="94"/>
      <c r="D2" s="57"/>
      <c r="E2" s="57">
        <v>3</v>
      </c>
      <c r="F2" s="58" t="s">
        <v>350</v>
      </c>
      <c r="G2" s="58">
        <v>12896870</v>
      </c>
      <c r="H2" s="58" t="s">
        <v>313</v>
      </c>
      <c r="I2" s="58" t="s">
        <v>351</v>
      </c>
      <c r="J2" s="58" t="s">
        <v>29</v>
      </c>
      <c r="K2" s="58">
        <v>1032643</v>
      </c>
      <c r="L2" s="59">
        <v>44473</v>
      </c>
      <c r="M2" s="58" t="s">
        <v>352</v>
      </c>
      <c r="N2" s="58" t="s">
        <v>29</v>
      </c>
      <c r="O2" s="58"/>
      <c r="P2" s="58"/>
      <c r="Q2" s="60" t="str">
        <f>IFERROR(ROUND(O2/P2*100,0)&amp;" %"&amp;IF(O2/P2&gt;0.6,", High Price",""),"")</f>
        <v/>
      </c>
      <c r="R2" s="58" t="s">
        <v>29</v>
      </c>
      <c r="S2" s="58" t="s">
        <v>29</v>
      </c>
      <c r="T2" s="58" t="s">
        <v>29</v>
      </c>
      <c r="U2" s="58" t="s">
        <v>29</v>
      </c>
      <c r="V2" s="58">
        <v>1</v>
      </c>
      <c r="W2" s="58">
        <v>744015</v>
      </c>
      <c r="X2" s="58"/>
      <c r="Y2" s="58">
        <v>34</v>
      </c>
      <c r="Z2" s="61" t="s">
        <v>29</v>
      </c>
      <c r="AA2" s="62">
        <f>IFERROR(X2/Y2,"")</f>
        <v>0</v>
      </c>
      <c r="AB2" s="91">
        <f t="shared" ref="AB2:AB65" si="0">IFERROR(INDEX($A$2:$C$553,MATCH($F2,$A$2:$A$553,0),3),0)</f>
        <v>0</v>
      </c>
      <c r="AC2" s="91">
        <f>IFERROR(Table16[[#This Row],[Quantity Needed for repair]]*Table16[[#This Row],[Evaluated]],"")</f>
        <v>0</v>
      </c>
      <c r="AE2" s="96">
        <v>375538</v>
      </c>
      <c r="AF2" s="85">
        <f t="shared" ref="AF2:AF33" si="1">SUMIFS(X:X,W:W,AE2,AB:AB,1)</f>
        <v>0</v>
      </c>
      <c r="AG2" s="97">
        <f>_xlfn.CEILING.MATH(AF2*1.1)</f>
        <v>0</v>
      </c>
    </row>
    <row r="3" spans="1:42" x14ac:dyDescent="0.35">
      <c r="A3" s="89" t="s">
        <v>353</v>
      </c>
      <c r="B3" s="90">
        <v>12914698</v>
      </c>
      <c r="C3" s="95">
        <v>0</v>
      </c>
      <c r="D3" s="64"/>
      <c r="E3" s="64">
        <v>3</v>
      </c>
      <c r="F3" s="56" t="s">
        <v>350</v>
      </c>
      <c r="G3" s="56">
        <v>12896870</v>
      </c>
      <c r="H3" s="56" t="s">
        <v>313</v>
      </c>
      <c r="I3" s="56" t="s">
        <v>351</v>
      </c>
      <c r="J3" s="56" t="s">
        <v>29</v>
      </c>
      <c r="K3" s="56">
        <v>1032643</v>
      </c>
      <c r="L3" s="65">
        <v>44473</v>
      </c>
      <c r="M3" s="56" t="s">
        <v>352</v>
      </c>
      <c r="N3" s="56" t="s">
        <v>29</v>
      </c>
      <c r="Q3" s="66" t="str">
        <f t="shared" ref="Q3:Q66" si="2">IFERROR(ROUND(O3/P3*100,0)&amp;" %"&amp;IF(O3/P3&gt;0.6,", High Price",""),"")</f>
        <v/>
      </c>
      <c r="R3" s="56" t="s">
        <v>29</v>
      </c>
      <c r="S3" s="56" t="s">
        <v>29</v>
      </c>
      <c r="T3" s="56" t="s">
        <v>29</v>
      </c>
      <c r="U3" s="56" t="s">
        <v>29</v>
      </c>
      <c r="V3" s="56">
        <v>2</v>
      </c>
      <c r="W3" s="56">
        <v>647435</v>
      </c>
      <c r="Y3" s="56">
        <v>24</v>
      </c>
      <c r="Z3" s="67" t="s">
        <v>29</v>
      </c>
      <c r="AA3" s="68">
        <f t="shared" ref="AA3:AA66" si="3">IFERROR(X3/Y3,"")</f>
        <v>0</v>
      </c>
      <c r="AB3" s="92">
        <f t="shared" si="0"/>
        <v>0</v>
      </c>
      <c r="AC3" s="92">
        <f>IFERROR(Table16[[#This Row],[Quantity Needed for repair]]*Table16[[#This Row],[Evaluated]],"")</f>
        <v>0</v>
      </c>
      <c r="AE3" s="96">
        <v>418525</v>
      </c>
      <c r="AF3" s="85">
        <f t="shared" si="1"/>
        <v>0</v>
      </c>
      <c r="AG3" s="97">
        <f t="shared" ref="AG3:AG33" si="4">_xlfn.CEILING.MATH(AF3*1.1)</f>
        <v>0</v>
      </c>
      <c r="AI3" s="56">
        <v>1096183</v>
      </c>
      <c r="AJ3" s="56">
        <v>1138896</v>
      </c>
      <c r="AK3" s="56">
        <v>1159702</v>
      </c>
      <c r="AL3" s="79">
        <v>1145826</v>
      </c>
      <c r="AM3" s="56">
        <v>1201087</v>
      </c>
      <c r="AN3" s="79">
        <v>1212043</v>
      </c>
      <c r="AO3" s="562" t="s">
        <v>354</v>
      </c>
      <c r="AP3" s="562" t="s">
        <v>355</v>
      </c>
    </row>
    <row r="4" spans="1:42" ht="15" thickBot="1" x14ac:dyDescent="0.4">
      <c r="A4" s="89" t="s">
        <v>356</v>
      </c>
      <c r="B4" s="90">
        <v>12904345</v>
      </c>
      <c r="C4" s="95">
        <v>0</v>
      </c>
      <c r="D4" s="64"/>
      <c r="E4" s="69">
        <v>3</v>
      </c>
      <c r="F4" s="70" t="s">
        <v>350</v>
      </c>
      <c r="G4" s="70">
        <v>12896870</v>
      </c>
      <c r="H4" s="70" t="s">
        <v>313</v>
      </c>
      <c r="I4" s="70" t="s">
        <v>351</v>
      </c>
      <c r="J4" s="70" t="s">
        <v>29</v>
      </c>
      <c r="K4" s="70">
        <v>1032643</v>
      </c>
      <c r="L4" s="71">
        <v>44473</v>
      </c>
      <c r="M4" s="70" t="s">
        <v>352</v>
      </c>
      <c r="N4" s="70" t="s">
        <v>29</v>
      </c>
      <c r="O4" s="70"/>
      <c r="P4" s="70"/>
      <c r="Q4" s="72" t="str">
        <f t="shared" si="2"/>
        <v/>
      </c>
      <c r="R4" s="70" t="s">
        <v>29</v>
      </c>
      <c r="S4" s="70" t="s">
        <v>29</v>
      </c>
      <c r="T4" s="70" t="s">
        <v>29</v>
      </c>
      <c r="U4" s="70" t="s">
        <v>29</v>
      </c>
      <c r="V4" s="70">
        <v>3</v>
      </c>
      <c r="W4" s="70">
        <v>418525</v>
      </c>
      <c r="X4" s="70"/>
      <c r="Y4" s="70">
        <v>6</v>
      </c>
      <c r="Z4" s="73" t="s">
        <v>29</v>
      </c>
      <c r="AA4" s="74">
        <f t="shared" si="3"/>
        <v>0</v>
      </c>
      <c r="AB4" s="93">
        <f t="shared" si="0"/>
        <v>0</v>
      </c>
      <c r="AC4" s="93">
        <f>IFERROR(Table16[[#This Row],[Quantity Needed for repair]]*Table16[[#This Row],[Evaluated]],"")</f>
        <v>0</v>
      </c>
      <c r="AE4" s="96">
        <v>625854</v>
      </c>
      <c r="AF4" s="85">
        <f t="shared" si="1"/>
        <v>0</v>
      </c>
      <c r="AG4" s="97">
        <f t="shared" si="4"/>
        <v>0</v>
      </c>
    </row>
    <row r="5" spans="1:42" x14ac:dyDescent="0.35">
      <c r="A5" s="89" t="s">
        <v>357</v>
      </c>
      <c r="B5" s="90">
        <v>12858235</v>
      </c>
      <c r="C5" s="95">
        <v>0</v>
      </c>
      <c r="D5" s="64"/>
      <c r="E5" s="57">
        <v>3</v>
      </c>
      <c r="F5" s="58" t="s">
        <v>353</v>
      </c>
      <c r="G5" s="58">
        <v>12914698</v>
      </c>
      <c r="H5" s="58" t="s">
        <v>313</v>
      </c>
      <c r="I5" s="58" t="s">
        <v>351</v>
      </c>
      <c r="J5" s="58" t="s">
        <v>29</v>
      </c>
      <c r="K5" s="58">
        <v>1005293</v>
      </c>
      <c r="L5" s="59">
        <v>44473</v>
      </c>
      <c r="M5" s="58" t="s">
        <v>352</v>
      </c>
      <c r="N5" s="58" t="s">
        <v>29</v>
      </c>
      <c r="O5" s="58" t="s">
        <v>29</v>
      </c>
      <c r="P5" s="58" t="s">
        <v>29</v>
      </c>
      <c r="Q5" s="60" t="str">
        <f t="shared" si="2"/>
        <v/>
      </c>
      <c r="R5" s="58" t="s">
        <v>29</v>
      </c>
      <c r="S5" s="58" t="s">
        <v>29</v>
      </c>
      <c r="T5" s="58" t="s">
        <v>29</v>
      </c>
      <c r="U5" s="58" t="s">
        <v>29</v>
      </c>
      <c r="V5" s="58">
        <v>1</v>
      </c>
      <c r="W5" s="58">
        <v>1130198</v>
      </c>
      <c r="X5" s="58">
        <v>13</v>
      </c>
      <c r="Y5" s="58">
        <v>33</v>
      </c>
      <c r="Z5" s="61" t="s">
        <v>29</v>
      </c>
      <c r="AA5" s="62">
        <f t="shared" si="3"/>
        <v>0.39393939393939392</v>
      </c>
      <c r="AB5" s="91">
        <f t="shared" si="0"/>
        <v>0</v>
      </c>
      <c r="AC5" s="91">
        <f>IFERROR(Table16[[#This Row],[Quantity Needed for repair]]*Table16[[#This Row],[Evaluated]],"")</f>
        <v>0</v>
      </c>
      <c r="AE5" s="96">
        <v>647435</v>
      </c>
      <c r="AF5" s="85">
        <f t="shared" si="1"/>
        <v>0</v>
      </c>
      <c r="AG5" s="97">
        <f t="shared" si="4"/>
        <v>0</v>
      </c>
    </row>
    <row r="6" spans="1:42" x14ac:dyDescent="0.35">
      <c r="A6" s="89" t="s">
        <v>358</v>
      </c>
      <c r="B6" s="90">
        <v>12896880</v>
      </c>
      <c r="C6" s="95"/>
      <c r="D6" s="64"/>
      <c r="E6" s="64">
        <v>3</v>
      </c>
      <c r="F6" s="56" t="s">
        <v>353</v>
      </c>
      <c r="G6" s="56">
        <v>12914698</v>
      </c>
      <c r="H6" s="56" t="s">
        <v>313</v>
      </c>
      <c r="I6" s="56" t="s">
        <v>351</v>
      </c>
      <c r="J6" s="56" t="s">
        <v>29</v>
      </c>
      <c r="K6" s="56">
        <v>1005293</v>
      </c>
      <c r="L6" s="65">
        <v>44473</v>
      </c>
      <c r="M6" s="56" t="s">
        <v>352</v>
      </c>
      <c r="N6" s="56" t="s">
        <v>29</v>
      </c>
      <c r="O6" s="56" t="s">
        <v>29</v>
      </c>
      <c r="P6" s="56" t="s">
        <v>29</v>
      </c>
      <c r="Q6" s="66" t="str">
        <f t="shared" si="2"/>
        <v/>
      </c>
      <c r="R6" s="56" t="s">
        <v>29</v>
      </c>
      <c r="S6" s="56" t="s">
        <v>29</v>
      </c>
      <c r="T6" s="56" t="s">
        <v>29</v>
      </c>
      <c r="U6" s="56" t="s">
        <v>29</v>
      </c>
      <c r="V6" s="56">
        <v>2</v>
      </c>
      <c r="W6" s="56">
        <v>647435</v>
      </c>
      <c r="X6" s="56">
        <v>11</v>
      </c>
      <c r="Y6" s="56">
        <v>23</v>
      </c>
      <c r="Z6" s="67" t="s">
        <v>29</v>
      </c>
      <c r="AA6" s="68">
        <f t="shared" si="3"/>
        <v>0.47826086956521741</v>
      </c>
      <c r="AB6" s="92">
        <f t="shared" si="0"/>
        <v>0</v>
      </c>
      <c r="AC6" s="92">
        <f>IFERROR(Table16[[#This Row],[Quantity Needed for repair]]*Table16[[#This Row],[Evaluated]],"")</f>
        <v>0</v>
      </c>
      <c r="AE6" s="96">
        <v>647436</v>
      </c>
      <c r="AF6" s="85">
        <f t="shared" si="1"/>
        <v>0</v>
      </c>
      <c r="AG6" s="97">
        <f t="shared" si="4"/>
        <v>0</v>
      </c>
    </row>
    <row r="7" spans="1:42" ht="15" thickBot="1" x14ac:dyDescent="0.4">
      <c r="A7" s="89" t="s">
        <v>359</v>
      </c>
      <c r="B7" s="90">
        <v>12896871</v>
      </c>
      <c r="C7" s="95">
        <v>0</v>
      </c>
      <c r="D7" s="64"/>
      <c r="E7" s="69">
        <v>3</v>
      </c>
      <c r="F7" s="70" t="s">
        <v>353</v>
      </c>
      <c r="G7" s="70">
        <v>12914698</v>
      </c>
      <c r="H7" s="70" t="s">
        <v>313</v>
      </c>
      <c r="I7" s="70" t="s">
        <v>351</v>
      </c>
      <c r="J7" s="70" t="s">
        <v>29</v>
      </c>
      <c r="K7" s="70">
        <v>1005293</v>
      </c>
      <c r="L7" s="71">
        <v>44473</v>
      </c>
      <c r="M7" s="70" t="s">
        <v>352</v>
      </c>
      <c r="N7" s="70" t="s">
        <v>29</v>
      </c>
      <c r="O7" s="70" t="s">
        <v>29</v>
      </c>
      <c r="P7" s="70" t="s">
        <v>29</v>
      </c>
      <c r="Q7" s="72" t="str">
        <f t="shared" si="2"/>
        <v/>
      </c>
      <c r="R7" s="70" t="s">
        <v>29</v>
      </c>
      <c r="S7" s="70" t="s">
        <v>29</v>
      </c>
      <c r="T7" s="70" t="s">
        <v>29</v>
      </c>
      <c r="U7" s="70" t="s">
        <v>29</v>
      </c>
      <c r="V7" s="70">
        <v>3</v>
      </c>
      <c r="W7" s="70">
        <v>418525</v>
      </c>
      <c r="X7" s="70">
        <v>6</v>
      </c>
      <c r="Y7" s="70">
        <v>6</v>
      </c>
      <c r="Z7" s="73" t="s">
        <v>29</v>
      </c>
      <c r="AA7" s="74">
        <f t="shared" si="3"/>
        <v>1</v>
      </c>
      <c r="AB7" s="93">
        <f t="shared" si="0"/>
        <v>0</v>
      </c>
      <c r="AC7" s="93">
        <f>IFERROR(Table16[[#This Row],[Quantity Needed for repair]]*Table16[[#This Row],[Evaluated]],"")</f>
        <v>0</v>
      </c>
      <c r="AE7" s="96">
        <v>708306</v>
      </c>
      <c r="AF7" s="85">
        <f t="shared" si="1"/>
        <v>0</v>
      </c>
      <c r="AG7" s="97">
        <f t="shared" si="4"/>
        <v>0</v>
      </c>
    </row>
    <row r="8" spans="1:42" x14ac:dyDescent="0.35">
      <c r="A8" s="89" t="s">
        <v>360</v>
      </c>
      <c r="B8" s="90">
        <v>12864039</v>
      </c>
      <c r="C8" s="95"/>
      <c r="D8" s="64"/>
      <c r="E8" s="57">
        <v>3</v>
      </c>
      <c r="F8" s="58" t="s">
        <v>356</v>
      </c>
      <c r="G8" s="58">
        <v>12904345</v>
      </c>
      <c r="H8" s="58" t="s">
        <v>313</v>
      </c>
      <c r="I8" s="58" t="s">
        <v>351</v>
      </c>
      <c r="J8" s="58" t="s">
        <v>29</v>
      </c>
      <c r="K8" s="58">
        <v>1005293</v>
      </c>
      <c r="L8" s="59">
        <v>44473</v>
      </c>
      <c r="M8" s="58" t="s">
        <v>352</v>
      </c>
      <c r="N8" s="58" t="s">
        <v>29</v>
      </c>
      <c r="O8" s="58" t="s">
        <v>29</v>
      </c>
      <c r="P8" s="58" t="s">
        <v>29</v>
      </c>
      <c r="Q8" s="60" t="str">
        <f t="shared" si="2"/>
        <v/>
      </c>
      <c r="R8" s="58" t="s">
        <v>29</v>
      </c>
      <c r="S8" s="58" t="s">
        <v>29</v>
      </c>
      <c r="T8" s="58" t="s">
        <v>29</v>
      </c>
      <c r="U8" s="58" t="s">
        <v>29</v>
      </c>
      <c r="V8" s="58">
        <v>1</v>
      </c>
      <c r="W8" s="58">
        <v>1130198</v>
      </c>
      <c r="X8" s="58">
        <v>2</v>
      </c>
      <c r="Y8" s="58">
        <v>33</v>
      </c>
      <c r="Z8" s="61" t="s">
        <v>29</v>
      </c>
      <c r="AA8" s="62">
        <f t="shared" si="3"/>
        <v>6.0606060606060608E-2</v>
      </c>
      <c r="AB8" s="91">
        <f t="shared" si="0"/>
        <v>0</v>
      </c>
      <c r="AC8" s="91">
        <f>IFERROR(Table16[[#This Row],[Quantity Needed for repair]]*Table16[[#This Row],[Evaluated]],"")</f>
        <v>0</v>
      </c>
      <c r="AE8" s="96">
        <v>729690</v>
      </c>
      <c r="AF8" s="85">
        <f t="shared" si="1"/>
        <v>0</v>
      </c>
      <c r="AG8" s="97">
        <f t="shared" si="4"/>
        <v>0</v>
      </c>
    </row>
    <row r="9" spans="1:42" x14ac:dyDescent="0.35">
      <c r="A9" s="89" t="s">
        <v>361</v>
      </c>
      <c r="B9" s="90">
        <v>12831837</v>
      </c>
      <c r="C9" s="95">
        <v>0</v>
      </c>
      <c r="D9" s="64"/>
      <c r="E9" s="64">
        <v>3</v>
      </c>
      <c r="F9" s="56" t="s">
        <v>356</v>
      </c>
      <c r="G9" s="56">
        <v>12904345</v>
      </c>
      <c r="H9" s="56" t="s">
        <v>313</v>
      </c>
      <c r="I9" s="56" t="s">
        <v>351</v>
      </c>
      <c r="J9" s="56" t="s">
        <v>29</v>
      </c>
      <c r="K9" s="56">
        <v>1005293</v>
      </c>
      <c r="L9" s="65">
        <v>44473</v>
      </c>
      <c r="M9" s="56" t="s">
        <v>352</v>
      </c>
      <c r="N9" s="56" t="s">
        <v>29</v>
      </c>
      <c r="O9" s="56" t="s">
        <v>29</v>
      </c>
      <c r="P9" s="56" t="s">
        <v>29</v>
      </c>
      <c r="Q9" s="66" t="str">
        <f t="shared" si="2"/>
        <v/>
      </c>
      <c r="R9" s="56" t="s">
        <v>29</v>
      </c>
      <c r="S9" s="56" t="s">
        <v>29</v>
      </c>
      <c r="T9" s="56" t="s">
        <v>29</v>
      </c>
      <c r="U9" s="56" t="s">
        <v>29</v>
      </c>
      <c r="V9" s="56">
        <v>2</v>
      </c>
      <c r="W9" s="56">
        <v>647435</v>
      </c>
      <c r="X9" s="56">
        <v>3</v>
      </c>
      <c r="Y9" s="56">
        <v>23</v>
      </c>
      <c r="Z9" s="67" t="s">
        <v>29</v>
      </c>
      <c r="AA9" s="68">
        <f t="shared" si="3"/>
        <v>0.13043478260869565</v>
      </c>
      <c r="AB9" s="92">
        <f t="shared" si="0"/>
        <v>0</v>
      </c>
      <c r="AC9" s="92">
        <f>IFERROR(Table16[[#This Row],[Quantity Needed for repair]]*Table16[[#This Row],[Evaluated]],"")</f>
        <v>0</v>
      </c>
      <c r="AE9" s="96">
        <v>729691</v>
      </c>
      <c r="AF9" s="85">
        <f t="shared" si="1"/>
        <v>0</v>
      </c>
      <c r="AG9" s="97">
        <f t="shared" si="4"/>
        <v>0</v>
      </c>
    </row>
    <row r="10" spans="1:42" ht="15" thickBot="1" x14ac:dyDescent="0.4">
      <c r="A10" s="89" t="s">
        <v>362</v>
      </c>
      <c r="B10" s="90">
        <v>12896865</v>
      </c>
      <c r="C10" s="95">
        <v>0</v>
      </c>
      <c r="D10" s="64"/>
      <c r="E10" s="69">
        <v>3</v>
      </c>
      <c r="F10" s="70" t="s">
        <v>356</v>
      </c>
      <c r="G10" s="70">
        <v>12904345</v>
      </c>
      <c r="H10" s="70" t="s">
        <v>313</v>
      </c>
      <c r="I10" s="70" t="s">
        <v>351</v>
      </c>
      <c r="J10" s="70" t="s">
        <v>29</v>
      </c>
      <c r="K10" s="70">
        <v>1005293</v>
      </c>
      <c r="L10" s="71">
        <v>44473</v>
      </c>
      <c r="M10" s="70" t="s">
        <v>352</v>
      </c>
      <c r="N10" s="70" t="s">
        <v>29</v>
      </c>
      <c r="O10" s="70" t="s">
        <v>29</v>
      </c>
      <c r="P10" s="70" t="s">
        <v>29</v>
      </c>
      <c r="Q10" s="72" t="str">
        <f t="shared" si="2"/>
        <v/>
      </c>
      <c r="R10" s="70" t="s">
        <v>29</v>
      </c>
      <c r="S10" s="70" t="s">
        <v>29</v>
      </c>
      <c r="T10" s="70" t="s">
        <v>29</v>
      </c>
      <c r="U10" s="70" t="s">
        <v>29</v>
      </c>
      <c r="V10" s="70">
        <v>3</v>
      </c>
      <c r="W10" s="70">
        <v>418525</v>
      </c>
      <c r="X10" s="70">
        <v>6</v>
      </c>
      <c r="Y10" s="70">
        <v>6</v>
      </c>
      <c r="Z10" s="73" t="s">
        <v>29</v>
      </c>
      <c r="AA10" s="74">
        <f t="shared" si="3"/>
        <v>1</v>
      </c>
      <c r="AB10" s="93">
        <f t="shared" si="0"/>
        <v>0</v>
      </c>
      <c r="AC10" s="93">
        <f>IFERROR(Table16[[#This Row],[Quantity Needed for repair]]*Table16[[#This Row],[Evaluated]],"")</f>
        <v>0</v>
      </c>
      <c r="AE10" s="96">
        <v>744015</v>
      </c>
      <c r="AF10" s="85">
        <f t="shared" si="1"/>
        <v>0</v>
      </c>
      <c r="AG10" s="97">
        <f t="shared" si="4"/>
        <v>0</v>
      </c>
    </row>
    <row r="11" spans="1:42" x14ac:dyDescent="0.35">
      <c r="A11" s="89" t="s">
        <v>363</v>
      </c>
      <c r="B11" s="90">
        <v>12904353</v>
      </c>
      <c r="C11" s="95">
        <v>0</v>
      </c>
      <c r="D11" s="64"/>
      <c r="E11" s="57">
        <v>3</v>
      </c>
      <c r="F11" s="58" t="s">
        <v>357</v>
      </c>
      <c r="G11" s="58">
        <v>12858235</v>
      </c>
      <c r="H11" s="58" t="s">
        <v>313</v>
      </c>
      <c r="I11" s="58" t="s">
        <v>351</v>
      </c>
      <c r="J11" s="58" t="s">
        <v>29</v>
      </c>
      <c r="K11" s="75">
        <v>1020985</v>
      </c>
      <c r="L11" s="59">
        <v>44473</v>
      </c>
      <c r="M11" s="58" t="s">
        <v>352</v>
      </c>
      <c r="N11" s="58" t="s">
        <v>29</v>
      </c>
      <c r="O11" s="58" t="s">
        <v>29</v>
      </c>
      <c r="P11" s="58" t="s">
        <v>29</v>
      </c>
      <c r="Q11" s="60" t="str">
        <f t="shared" si="2"/>
        <v/>
      </c>
      <c r="R11" s="58" t="s">
        <v>29</v>
      </c>
      <c r="S11" s="58" t="s">
        <v>29</v>
      </c>
      <c r="T11" s="58" t="s">
        <v>29</v>
      </c>
      <c r="U11" s="58" t="s">
        <v>29</v>
      </c>
      <c r="V11" s="58">
        <v>1</v>
      </c>
      <c r="W11" s="58">
        <v>744015</v>
      </c>
      <c r="X11" s="58">
        <v>1</v>
      </c>
      <c r="Y11" s="58">
        <v>33</v>
      </c>
      <c r="Z11" s="61" t="s">
        <v>29</v>
      </c>
      <c r="AA11" s="62">
        <f t="shared" si="3"/>
        <v>3.0303030303030304E-2</v>
      </c>
      <c r="AB11" s="91">
        <f t="shared" si="0"/>
        <v>0</v>
      </c>
      <c r="AC11" s="91">
        <f>IFERROR(Table16[[#This Row],[Quantity Needed for repair]]*Table16[[#This Row],[Evaluated]],"")</f>
        <v>0</v>
      </c>
      <c r="AE11" s="96">
        <v>745174</v>
      </c>
      <c r="AF11" s="85">
        <f t="shared" si="1"/>
        <v>0</v>
      </c>
      <c r="AG11" s="97">
        <f t="shared" si="4"/>
        <v>0</v>
      </c>
    </row>
    <row r="12" spans="1:42" x14ac:dyDescent="0.35">
      <c r="A12" s="89" t="s">
        <v>364</v>
      </c>
      <c r="B12" s="90">
        <v>12831836</v>
      </c>
      <c r="C12" s="95">
        <v>0</v>
      </c>
      <c r="D12" s="64"/>
      <c r="E12" s="64">
        <v>3</v>
      </c>
      <c r="F12" s="56" t="s">
        <v>357</v>
      </c>
      <c r="G12" s="56">
        <v>12858235</v>
      </c>
      <c r="H12" s="56" t="s">
        <v>313</v>
      </c>
      <c r="I12" s="56" t="s">
        <v>351</v>
      </c>
      <c r="J12" s="56" t="s">
        <v>29</v>
      </c>
      <c r="K12" s="76">
        <v>1020985</v>
      </c>
      <c r="L12" s="65">
        <v>44473</v>
      </c>
      <c r="M12" s="56" t="s">
        <v>352</v>
      </c>
      <c r="N12" s="56" t="s">
        <v>29</v>
      </c>
      <c r="O12" s="56" t="s">
        <v>29</v>
      </c>
      <c r="P12" s="56" t="s">
        <v>29</v>
      </c>
      <c r="Q12" s="66" t="str">
        <f t="shared" si="2"/>
        <v/>
      </c>
      <c r="R12" s="56" t="s">
        <v>29</v>
      </c>
      <c r="S12" s="56" t="s">
        <v>29</v>
      </c>
      <c r="T12" s="56" t="s">
        <v>29</v>
      </c>
      <c r="U12" s="56" t="s">
        <v>29</v>
      </c>
      <c r="V12" s="56">
        <v>2</v>
      </c>
      <c r="W12" s="56">
        <v>647435</v>
      </c>
      <c r="X12" s="56" t="s">
        <v>29</v>
      </c>
      <c r="Y12" s="56">
        <v>23</v>
      </c>
      <c r="Z12" s="67" t="s">
        <v>29</v>
      </c>
      <c r="AA12" s="68" t="str">
        <f t="shared" si="3"/>
        <v/>
      </c>
      <c r="AB12" s="92">
        <f t="shared" si="0"/>
        <v>0</v>
      </c>
      <c r="AC12" s="92" t="str">
        <f>IFERROR(Table16[[#This Row],[Quantity Needed for repair]]*Table16[[#This Row],[Evaluated]],"")</f>
        <v/>
      </c>
      <c r="AE12" s="96">
        <v>745338</v>
      </c>
      <c r="AF12" s="85">
        <f t="shared" si="1"/>
        <v>0</v>
      </c>
      <c r="AG12" s="97">
        <f t="shared" si="4"/>
        <v>0</v>
      </c>
    </row>
    <row r="13" spans="1:42" ht="15" thickBot="1" x14ac:dyDescent="0.4">
      <c r="A13" s="89" t="s">
        <v>365</v>
      </c>
      <c r="B13" s="90">
        <v>12904355</v>
      </c>
      <c r="C13" s="95">
        <v>0</v>
      </c>
      <c r="D13" s="64"/>
      <c r="E13" s="69">
        <v>3</v>
      </c>
      <c r="F13" s="70" t="s">
        <v>357</v>
      </c>
      <c r="G13" s="70">
        <v>12858235</v>
      </c>
      <c r="H13" s="70" t="s">
        <v>313</v>
      </c>
      <c r="I13" s="70" t="s">
        <v>351</v>
      </c>
      <c r="J13" s="70" t="s">
        <v>29</v>
      </c>
      <c r="K13" s="77">
        <v>1020985</v>
      </c>
      <c r="L13" s="71">
        <v>44473</v>
      </c>
      <c r="M13" s="70" t="s">
        <v>352</v>
      </c>
      <c r="N13" s="70" t="s">
        <v>29</v>
      </c>
      <c r="O13" s="70" t="s">
        <v>29</v>
      </c>
      <c r="P13" s="70" t="s">
        <v>29</v>
      </c>
      <c r="Q13" s="72" t="str">
        <f t="shared" si="2"/>
        <v/>
      </c>
      <c r="R13" s="70" t="s">
        <v>29</v>
      </c>
      <c r="S13" s="70" t="s">
        <v>29</v>
      </c>
      <c r="T13" s="70" t="s">
        <v>29</v>
      </c>
      <c r="U13" s="70" t="s">
        <v>29</v>
      </c>
      <c r="V13" s="70">
        <v>3</v>
      </c>
      <c r="W13" s="70">
        <v>418525</v>
      </c>
      <c r="X13" s="70" t="s">
        <v>29</v>
      </c>
      <c r="Y13" s="70">
        <v>6</v>
      </c>
      <c r="Z13" s="73" t="s">
        <v>29</v>
      </c>
      <c r="AA13" s="74" t="str">
        <f t="shared" si="3"/>
        <v/>
      </c>
      <c r="AB13" s="93">
        <f t="shared" si="0"/>
        <v>0</v>
      </c>
      <c r="AC13" s="93" t="str">
        <f>IFERROR(Table16[[#This Row],[Quantity Needed for repair]]*Table16[[#This Row],[Evaluated]],"")</f>
        <v/>
      </c>
      <c r="AE13" s="96">
        <v>745576</v>
      </c>
      <c r="AF13" s="85">
        <f t="shared" si="1"/>
        <v>0</v>
      </c>
      <c r="AG13" s="97">
        <f t="shared" si="4"/>
        <v>0</v>
      </c>
    </row>
    <row r="14" spans="1:42" x14ac:dyDescent="0.35">
      <c r="A14" s="89" t="s">
        <v>366</v>
      </c>
      <c r="B14" s="90">
        <v>12925425</v>
      </c>
      <c r="C14" s="95"/>
      <c r="D14" s="64"/>
      <c r="E14" s="57">
        <v>3</v>
      </c>
      <c r="F14" s="58" t="s">
        <v>358</v>
      </c>
      <c r="G14" s="58">
        <v>12896880</v>
      </c>
      <c r="H14" s="58" t="s">
        <v>315</v>
      </c>
      <c r="I14" s="58" t="s">
        <v>367</v>
      </c>
      <c r="J14" s="58" t="s">
        <v>29</v>
      </c>
      <c r="K14" s="58">
        <v>1005462</v>
      </c>
      <c r="L14" s="59">
        <v>44473</v>
      </c>
      <c r="M14" s="58" t="s">
        <v>352</v>
      </c>
      <c r="N14" s="58" t="s">
        <v>29</v>
      </c>
      <c r="O14" s="58" t="s">
        <v>29</v>
      </c>
      <c r="P14" s="58" t="s">
        <v>29</v>
      </c>
      <c r="Q14" s="60" t="str">
        <f t="shared" si="2"/>
        <v/>
      </c>
      <c r="R14" s="58" t="s">
        <v>29</v>
      </c>
      <c r="S14" s="58" t="s">
        <v>29</v>
      </c>
      <c r="T14" s="58" t="s">
        <v>29</v>
      </c>
      <c r="U14" s="58" t="s">
        <v>29</v>
      </c>
      <c r="V14" s="58">
        <v>1</v>
      </c>
      <c r="W14" s="58">
        <v>1130200</v>
      </c>
      <c r="X14" s="58"/>
      <c r="Y14" s="58">
        <v>48</v>
      </c>
      <c r="Z14" s="61" t="s">
        <v>29</v>
      </c>
      <c r="AA14" s="62">
        <f t="shared" si="3"/>
        <v>0</v>
      </c>
      <c r="AB14" s="91">
        <f t="shared" si="0"/>
        <v>0</v>
      </c>
      <c r="AC14" s="91">
        <f>IFERROR(Table16[[#This Row],[Quantity Needed for repair]]*Table16[[#This Row],[Evaluated]],"")</f>
        <v>0</v>
      </c>
      <c r="AE14" s="96">
        <v>752555</v>
      </c>
      <c r="AF14" s="85">
        <f t="shared" si="1"/>
        <v>0</v>
      </c>
      <c r="AG14" s="97">
        <f t="shared" si="4"/>
        <v>0</v>
      </c>
    </row>
    <row r="15" spans="1:42" x14ac:dyDescent="0.35">
      <c r="A15" s="89" t="s">
        <v>368</v>
      </c>
      <c r="B15" s="90">
        <v>12887963</v>
      </c>
      <c r="C15" s="95"/>
      <c r="D15" s="64"/>
      <c r="E15" s="64">
        <v>3</v>
      </c>
      <c r="F15" s="56" t="s">
        <v>358</v>
      </c>
      <c r="G15" s="56">
        <v>12896880</v>
      </c>
      <c r="H15" s="56" t="s">
        <v>315</v>
      </c>
      <c r="I15" s="56" t="s">
        <v>367</v>
      </c>
      <c r="J15" s="56" t="s">
        <v>29</v>
      </c>
      <c r="K15" s="56">
        <v>1005462</v>
      </c>
      <c r="L15" s="65">
        <v>44473</v>
      </c>
      <c r="M15" s="56" t="s">
        <v>352</v>
      </c>
      <c r="N15" s="56" t="s">
        <v>29</v>
      </c>
      <c r="O15" s="56" t="s">
        <v>29</v>
      </c>
      <c r="P15" s="56" t="s">
        <v>29</v>
      </c>
      <c r="Q15" s="66" t="str">
        <f t="shared" si="2"/>
        <v/>
      </c>
      <c r="R15" s="56" t="s">
        <v>29</v>
      </c>
      <c r="S15" s="56" t="s">
        <v>29</v>
      </c>
      <c r="T15" s="56" t="s">
        <v>29</v>
      </c>
      <c r="U15" s="56" t="s">
        <v>29</v>
      </c>
      <c r="V15" s="56">
        <v>2</v>
      </c>
      <c r="W15" s="56">
        <v>1130198</v>
      </c>
      <c r="Y15" s="56">
        <v>9</v>
      </c>
      <c r="Z15" s="67" t="s">
        <v>29</v>
      </c>
      <c r="AA15" s="68">
        <f t="shared" si="3"/>
        <v>0</v>
      </c>
      <c r="AB15" s="92">
        <f t="shared" si="0"/>
        <v>0</v>
      </c>
      <c r="AC15" s="92">
        <f>IFERROR(Table16[[#This Row],[Quantity Needed for repair]]*Table16[[#This Row],[Evaluated]],"")</f>
        <v>0</v>
      </c>
      <c r="AE15" s="96">
        <v>871781</v>
      </c>
      <c r="AF15" s="85">
        <f t="shared" si="1"/>
        <v>0</v>
      </c>
      <c r="AG15" s="97">
        <f t="shared" si="4"/>
        <v>0</v>
      </c>
    </row>
    <row r="16" spans="1:42" x14ac:dyDescent="0.35">
      <c r="A16" s="89" t="s">
        <v>369</v>
      </c>
      <c r="B16" s="90">
        <v>12887961</v>
      </c>
      <c r="C16" s="95">
        <v>0</v>
      </c>
      <c r="D16" s="64"/>
      <c r="E16" s="64">
        <v>3</v>
      </c>
      <c r="F16" s="56" t="s">
        <v>358</v>
      </c>
      <c r="G16" s="56">
        <v>12896880</v>
      </c>
      <c r="H16" s="56" t="s">
        <v>315</v>
      </c>
      <c r="I16" s="56" t="s">
        <v>367</v>
      </c>
      <c r="J16" s="56" t="s">
        <v>29</v>
      </c>
      <c r="K16" s="56">
        <v>1005462</v>
      </c>
      <c r="L16" s="65">
        <v>44473</v>
      </c>
      <c r="M16" s="56" t="s">
        <v>352</v>
      </c>
      <c r="N16" s="56" t="s">
        <v>29</v>
      </c>
      <c r="O16" s="56" t="s">
        <v>29</v>
      </c>
      <c r="P16" s="56" t="s">
        <v>29</v>
      </c>
      <c r="Q16" s="66" t="str">
        <f t="shared" si="2"/>
        <v/>
      </c>
      <c r="R16" s="56" t="s">
        <v>29</v>
      </c>
      <c r="S16" s="56" t="s">
        <v>29</v>
      </c>
      <c r="T16" s="56" t="s">
        <v>29</v>
      </c>
      <c r="U16" s="56" t="s">
        <v>29</v>
      </c>
      <c r="V16" s="56">
        <v>3</v>
      </c>
      <c r="W16" s="56">
        <v>708306</v>
      </c>
      <c r="Y16" s="56">
        <v>34</v>
      </c>
      <c r="Z16" s="67" t="s">
        <v>29</v>
      </c>
      <c r="AA16" s="68">
        <f t="shared" si="3"/>
        <v>0</v>
      </c>
      <c r="AB16" s="92">
        <f t="shared" si="0"/>
        <v>0</v>
      </c>
      <c r="AC16" s="92">
        <f>IFERROR(Table16[[#This Row],[Quantity Needed for repair]]*Table16[[#This Row],[Evaluated]],"")</f>
        <v>0</v>
      </c>
      <c r="AE16" s="96">
        <v>983148</v>
      </c>
      <c r="AF16" s="85">
        <f t="shared" si="1"/>
        <v>0</v>
      </c>
      <c r="AG16" s="97">
        <f t="shared" si="4"/>
        <v>0</v>
      </c>
    </row>
    <row r="17" spans="1:33" x14ac:dyDescent="0.35">
      <c r="A17" s="89" t="s">
        <v>370</v>
      </c>
      <c r="B17" s="90">
        <v>12896861</v>
      </c>
      <c r="C17" s="95">
        <v>0</v>
      </c>
      <c r="D17" s="64"/>
      <c r="E17" s="64">
        <v>3</v>
      </c>
      <c r="F17" s="56" t="s">
        <v>358</v>
      </c>
      <c r="G17" s="56">
        <v>12896880</v>
      </c>
      <c r="H17" s="56" t="s">
        <v>315</v>
      </c>
      <c r="I17" s="56" t="s">
        <v>367</v>
      </c>
      <c r="J17" s="56" t="s">
        <v>29</v>
      </c>
      <c r="K17" s="56">
        <v>1005462</v>
      </c>
      <c r="L17" s="65">
        <v>44473</v>
      </c>
      <c r="M17" s="56" t="s">
        <v>352</v>
      </c>
      <c r="N17" s="56" t="s">
        <v>29</v>
      </c>
      <c r="O17" s="56" t="s">
        <v>29</v>
      </c>
      <c r="P17" s="56" t="s">
        <v>29</v>
      </c>
      <c r="Q17" s="66" t="str">
        <f t="shared" si="2"/>
        <v/>
      </c>
      <c r="R17" s="56" t="s">
        <v>29</v>
      </c>
      <c r="S17" s="56" t="s">
        <v>29</v>
      </c>
      <c r="T17" s="56" t="s">
        <v>29</v>
      </c>
      <c r="U17" s="56" t="s">
        <v>29</v>
      </c>
      <c r="V17" s="56">
        <v>4</v>
      </c>
      <c r="W17" s="56">
        <v>871781</v>
      </c>
      <c r="Y17" s="56">
        <v>4</v>
      </c>
      <c r="Z17" s="67" t="s">
        <v>29</v>
      </c>
      <c r="AA17" s="68">
        <f t="shared" si="3"/>
        <v>0</v>
      </c>
      <c r="AB17" s="92">
        <f t="shared" si="0"/>
        <v>0</v>
      </c>
      <c r="AC17" s="92">
        <f>IFERROR(Table16[[#This Row],[Quantity Needed for repair]]*Table16[[#This Row],[Evaluated]],"")</f>
        <v>0</v>
      </c>
      <c r="AE17" s="96">
        <v>983150</v>
      </c>
      <c r="AF17" s="85">
        <f t="shared" si="1"/>
        <v>0</v>
      </c>
      <c r="AG17" s="97">
        <f t="shared" si="4"/>
        <v>0</v>
      </c>
    </row>
    <row r="18" spans="1:33" ht="15" thickBot="1" x14ac:dyDescent="0.4">
      <c r="A18" s="89" t="s">
        <v>371</v>
      </c>
      <c r="B18" s="90">
        <v>12706617</v>
      </c>
      <c r="C18" s="95">
        <v>0</v>
      </c>
      <c r="D18" s="64"/>
      <c r="E18" s="69">
        <v>3</v>
      </c>
      <c r="F18" s="70" t="s">
        <v>358</v>
      </c>
      <c r="G18" s="70">
        <v>12896880</v>
      </c>
      <c r="H18" s="70" t="s">
        <v>315</v>
      </c>
      <c r="I18" s="70" t="s">
        <v>367</v>
      </c>
      <c r="J18" s="70" t="s">
        <v>29</v>
      </c>
      <c r="K18" s="70">
        <v>1005462</v>
      </c>
      <c r="L18" s="71">
        <v>44473</v>
      </c>
      <c r="M18" s="70" t="s">
        <v>352</v>
      </c>
      <c r="N18" s="70" t="s">
        <v>29</v>
      </c>
      <c r="O18" s="70" t="s">
        <v>29</v>
      </c>
      <c r="P18" s="70" t="s">
        <v>29</v>
      </c>
      <c r="Q18" s="72" t="str">
        <f t="shared" si="2"/>
        <v/>
      </c>
      <c r="R18" s="70" t="s">
        <v>29</v>
      </c>
      <c r="S18" s="70" t="s">
        <v>29</v>
      </c>
      <c r="T18" s="70" t="s">
        <v>29</v>
      </c>
      <c r="U18" s="70" t="s">
        <v>29</v>
      </c>
      <c r="V18" s="70">
        <v>5</v>
      </c>
      <c r="W18" s="70">
        <v>418525</v>
      </c>
      <c r="X18" s="70"/>
      <c r="Y18" s="70">
        <v>4</v>
      </c>
      <c r="Z18" s="73" t="s">
        <v>29</v>
      </c>
      <c r="AA18" s="74">
        <f t="shared" si="3"/>
        <v>0</v>
      </c>
      <c r="AB18" s="93">
        <f t="shared" si="0"/>
        <v>0</v>
      </c>
      <c r="AC18" s="93">
        <f>IFERROR(Table16[[#This Row],[Quantity Needed for repair]]*Table16[[#This Row],[Evaluated]],"")</f>
        <v>0</v>
      </c>
      <c r="AE18" s="96">
        <v>983152</v>
      </c>
      <c r="AF18" s="85">
        <f t="shared" si="1"/>
        <v>0</v>
      </c>
      <c r="AG18" s="97">
        <f t="shared" si="4"/>
        <v>0</v>
      </c>
    </row>
    <row r="19" spans="1:33" x14ac:dyDescent="0.35">
      <c r="A19" s="89" t="s">
        <v>372</v>
      </c>
      <c r="B19" s="90">
        <v>12812785</v>
      </c>
      <c r="C19" s="95">
        <v>0</v>
      </c>
      <c r="D19" s="64"/>
      <c r="E19" s="57">
        <v>3</v>
      </c>
      <c r="F19" s="58" t="s">
        <v>359</v>
      </c>
      <c r="G19" s="58">
        <v>12896871</v>
      </c>
      <c r="H19" s="58" t="s">
        <v>313</v>
      </c>
      <c r="I19" s="58" t="s">
        <v>351</v>
      </c>
      <c r="J19" s="58" t="s">
        <v>29</v>
      </c>
      <c r="K19" s="58">
        <v>882281</v>
      </c>
      <c r="L19" s="59">
        <v>44473</v>
      </c>
      <c r="M19" s="58" t="s">
        <v>352</v>
      </c>
      <c r="N19" s="58" t="s">
        <v>29</v>
      </c>
      <c r="O19" s="58" t="s">
        <v>29</v>
      </c>
      <c r="P19" s="58" t="s">
        <v>29</v>
      </c>
      <c r="Q19" s="60" t="str">
        <f t="shared" si="2"/>
        <v/>
      </c>
      <c r="R19" s="58" t="s">
        <v>29</v>
      </c>
      <c r="S19" s="58" t="s">
        <v>29</v>
      </c>
      <c r="T19" s="58" t="s">
        <v>29</v>
      </c>
      <c r="U19" s="58" t="s">
        <v>29</v>
      </c>
      <c r="V19" s="58">
        <v>1</v>
      </c>
      <c r="W19" s="58">
        <v>1130198</v>
      </c>
      <c r="X19" s="58" t="s">
        <v>29</v>
      </c>
      <c r="Y19" s="58">
        <v>33</v>
      </c>
      <c r="Z19" s="61" t="s">
        <v>29</v>
      </c>
      <c r="AA19" s="62" t="str">
        <f t="shared" si="3"/>
        <v/>
      </c>
      <c r="AB19" s="91">
        <f t="shared" si="0"/>
        <v>0</v>
      </c>
      <c r="AC19" s="91" t="str">
        <f>IFERROR(Table16[[#This Row],[Quantity Needed for repair]]*Table16[[#This Row],[Evaluated]],"")</f>
        <v/>
      </c>
      <c r="AE19" s="96">
        <v>1014939</v>
      </c>
      <c r="AF19" s="85">
        <f t="shared" si="1"/>
        <v>0</v>
      </c>
      <c r="AG19" s="97">
        <f t="shared" si="4"/>
        <v>0</v>
      </c>
    </row>
    <row r="20" spans="1:33" x14ac:dyDescent="0.35">
      <c r="A20" s="89" t="s">
        <v>373</v>
      </c>
      <c r="B20" s="90">
        <v>13080019</v>
      </c>
      <c r="C20" s="95">
        <v>0</v>
      </c>
      <c r="D20" s="64"/>
      <c r="E20" s="64">
        <v>3</v>
      </c>
      <c r="F20" s="56" t="s">
        <v>359</v>
      </c>
      <c r="G20" s="56">
        <v>12896871</v>
      </c>
      <c r="H20" s="56" t="s">
        <v>313</v>
      </c>
      <c r="I20" s="56" t="s">
        <v>351</v>
      </c>
      <c r="J20" s="56" t="s">
        <v>29</v>
      </c>
      <c r="K20" s="56">
        <v>882281</v>
      </c>
      <c r="L20" s="65">
        <v>44473</v>
      </c>
      <c r="M20" s="56" t="s">
        <v>352</v>
      </c>
      <c r="N20" s="56" t="s">
        <v>29</v>
      </c>
      <c r="O20" s="56" t="s">
        <v>29</v>
      </c>
      <c r="P20" s="56" t="s">
        <v>29</v>
      </c>
      <c r="Q20" s="66" t="str">
        <f t="shared" si="2"/>
        <v/>
      </c>
      <c r="R20" s="56" t="s">
        <v>29</v>
      </c>
      <c r="S20" s="56" t="s">
        <v>29</v>
      </c>
      <c r="T20" s="56" t="s">
        <v>29</v>
      </c>
      <c r="U20" s="56" t="s">
        <v>29</v>
      </c>
      <c r="V20" s="56">
        <v>2</v>
      </c>
      <c r="W20" s="56">
        <v>1130197</v>
      </c>
      <c r="X20" s="56" t="s">
        <v>29</v>
      </c>
      <c r="Y20" s="56">
        <v>23</v>
      </c>
      <c r="Z20" s="67" t="s">
        <v>29</v>
      </c>
      <c r="AA20" s="68" t="str">
        <f t="shared" si="3"/>
        <v/>
      </c>
      <c r="AB20" s="92">
        <f t="shared" si="0"/>
        <v>0</v>
      </c>
      <c r="AC20" s="92" t="str">
        <f>IFERROR(Table16[[#This Row],[Quantity Needed for repair]]*Table16[[#This Row],[Evaluated]],"")</f>
        <v/>
      </c>
      <c r="AE20" s="96">
        <v>1014941</v>
      </c>
      <c r="AF20" s="85">
        <f t="shared" si="1"/>
        <v>0</v>
      </c>
      <c r="AG20" s="97">
        <f t="shared" si="4"/>
        <v>0</v>
      </c>
    </row>
    <row r="21" spans="1:33" ht="15" thickBot="1" x14ac:dyDescent="0.4">
      <c r="A21" s="89" t="s">
        <v>374</v>
      </c>
      <c r="B21" s="90">
        <v>13131336</v>
      </c>
      <c r="C21" s="95">
        <v>0</v>
      </c>
      <c r="D21" s="64"/>
      <c r="E21" s="69">
        <v>3</v>
      </c>
      <c r="F21" s="70" t="s">
        <v>359</v>
      </c>
      <c r="G21" s="70">
        <v>12896871</v>
      </c>
      <c r="H21" s="70" t="s">
        <v>313</v>
      </c>
      <c r="I21" s="70" t="s">
        <v>351</v>
      </c>
      <c r="J21" s="70" t="s">
        <v>29</v>
      </c>
      <c r="K21" s="70">
        <v>882281</v>
      </c>
      <c r="L21" s="71">
        <v>44473</v>
      </c>
      <c r="M21" s="70" t="s">
        <v>352</v>
      </c>
      <c r="N21" s="70" t="s">
        <v>29</v>
      </c>
      <c r="O21" s="70" t="s">
        <v>29</v>
      </c>
      <c r="P21" s="70" t="s">
        <v>29</v>
      </c>
      <c r="Q21" s="72" t="str">
        <f t="shared" si="2"/>
        <v/>
      </c>
      <c r="R21" s="70" t="s">
        <v>29</v>
      </c>
      <c r="S21" s="70" t="s">
        <v>29</v>
      </c>
      <c r="T21" s="70" t="s">
        <v>29</v>
      </c>
      <c r="U21" s="70" t="s">
        <v>29</v>
      </c>
      <c r="V21" s="70">
        <v>3</v>
      </c>
      <c r="W21" s="70">
        <v>418525</v>
      </c>
      <c r="X21" s="70">
        <v>12</v>
      </c>
      <c r="Y21" s="70">
        <v>12</v>
      </c>
      <c r="Z21" s="73" t="s">
        <v>29</v>
      </c>
      <c r="AA21" s="74">
        <f t="shared" si="3"/>
        <v>1</v>
      </c>
      <c r="AB21" s="93">
        <f t="shared" si="0"/>
        <v>0</v>
      </c>
      <c r="AC21" s="93">
        <f>IFERROR(Table16[[#This Row],[Quantity Needed for repair]]*Table16[[#This Row],[Evaluated]],"")</f>
        <v>0</v>
      </c>
      <c r="AE21" s="96">
        <v>1039033</v>
      </c>
      <c r="AF21" s="85">
        <f t="shared" si="1"/>
        <v>0</v>
      </c>
      <c r="AG21" s="97">
        <f t="shared" si="4"/>
        <v>0</v>
      </c>
    </row>
    <row r="22" spans="1:33" x14ac:dyDescent="0.35">
      <c r="A22" s="89" t="s">
        <v>375</v>
      </c>
      <c r="B22" s="90">
        <v>13131343</v>
      </c>
      <c r="C22" s="95">
        <v>0</v>
      </c>
      <c r="D22" s="64"/>
      <c r="E22" s="57">
        <v>3</v>
      </c>
      <c r="F22" s="58" t="s">
        <v>360</v>
      </c>
      <c r="G22" s="58">
        <v>12864039</v>
      </c>
      <c r="H22" s="58" t="s">
        <v>315</v>
      </c>
      <c r="I22" s="58" t="s">
        <v>367</v>
      </c>
      <c r="J22" s="58" t="s">
        <v>29</v>
      </c>
      <c r="K22" s="58">
        <v>780769</v>
      </c>
      <c r="L22" s="59">
        <v>44473</v>
      </c>
      <c r="M22" s="58" t="s">
        <v>352</v>
      </c>
      <c r="N22" s="58" t="s">
        <v>29</v>
      </c>
      <c r="O22" s="58" t="s">
        <v>29</v>
      </c>
      <c r="P22" s="58" t="s">
        <v>29</v>
      </c>
      <c r="Q22" s="60" t="str">
        <f t="shared" si="2"/>
        <v/>
      </c>
      <c r="R22" s="58" t="s">
        <v>29</v>
      </c>
      <c r="S22" s="58" t="s">
        <v>29</v>
      </c>
      <c r="T22" s="58" t="s">
        <v>29</v>
      </c>
      <c r="U22" s="58" t="s">
        <v>29</v>
      </c>
      <c r="V22" s="58">
        <v>1</v>
      </c>
      <c r="W22" s="58">
        <v>745576</v>
      </c>
      <c r="X22" s="58"/>
      <c r="Y22" s="58">
        <v>36</v>
      </c>
      <c r="Z22" s="61" t="s">
        <v>29</v>
      </c>
      <c r="AA22" s="62">
        <f t="shared" si="3"/>
        <v>0</v>
      </c>
      <c r="AB22" s="91">
        <f t="shared" si="0"/>
        <v>0</v>
      </c>
      <c r="AC22" s="91">
        <f>IFERROR(Table16[[#This Row],[Quantity Needed for repair]]*Table16[[#This Row],[Evaluated]],"")</f>
        <v>0</v>
      </c>
      <c r="AE22" s="96">
        <v>1039034</v>
      </c>
      <c r="AF22" s="85">
        <f t="shared" si="1"/>
        <v>0</v>
      </c>
      <c r="AG22" s="97">
        <f t="shared" si="4"/>
        <v>0</v>
      </c>
    </row>
    <row r="23" spans="1:33" x14ac:dyDescent="0.35">
      <c r="A23" s="89" t="s">
        <v>376</v>
      </c>
      <c r="B23" s="90">
        <v>13172280</v>
      </c>
      <c r="C23" s="95">
        <v>0</v>
      </c>
      <c r="D23" s="64"/>
      <c r="E23" s="64">
        <v>3</v>
      </c>
      <c r="F23" s="56" t="s">
        <v>360</v>
      </c>
      <c r="G23" s="56">
        <v>12864039</v>
      </c>
      <c r="H23" s="56" t="s">
        <v>315</v>
      </c>
      <c r="I23" s="56" t="s">
        <v>367</v>
      </c>
      <c r="J23" s="56" t="s">
        <v>29</v>
      </c>
      <c r="K23" s="56">
        <v>780769</v>
      </c>
      <c r="L23" s="65">
        <v>44473</v>
      </c>
      <c r="M23" s="56" t="s">
        <v>352</v>
      </c>
      <c r="N23" s="56" t="s">
        <v>29</v>
      </c>
      <c r="O23" s="56" t="s">
        <v>29</v>
      </c>
      <c r="P23" s="56" t="s">
        <v>29</v>
      </c>
      <c r="Q23" s="66" t="str">
        <f t="shared" si="2"/>
        <v/>
      </c>
      <c r="R23" s="56" t="s">
        <v>29</v>
      </c>
      <c r="S23" s="56" t="s">
        <v>29</v>
      </c>
      <c r="T23" s="56" t="s">
        <v>29</v>
      </c>
      <c r="U23" s="56" t="s">
        <v>29</v>
      </c>
      <c r="V23" s="56">
        <v>2</v>
      </c>
      <c r="W23" s="56">
        <v>729691</v>
      </c>
      <c r="Y23" s="56">
        <v>13</v>
      </c>
      <c r="Z23" s="67" t="s">
        <v>29</v>
      </c>
      <c r="AA23" s="68">
        <f t="shared" si="3"/>
        <v>0</v>
      </c>
      <c r="AB23" s="92">
        <f t="shared" si="0"/>
        <v>0</v>
      </c>
      <c r="AC23" s="92">
        <f>IFERROR(Table16[[#This Row],[Quantity Needed for repair]]*Table16[[#This Row],[Evaluated]],"")</f>
        <v>0</v>
      </c>
      <c r="AE23" s="96">
        <v>1039058</v>
      </c>
      <c r="AF23" s="85">
        <f t="shared" si="1"/>
        <v>0</v>
      </c>
      <c r="AG23" s="97">
        <f t="shared" si="4"/>
        <v>0</v>
      </c>
    </row>
    <row r="24" spans="1:33" x14ac:dyDescent="0.35">
      <c r="A24" s="89" t="s">
        <v>377</v>
      </c>
      <c r="B24" s="90">
        <v>13172301</v>
      </c>
      <c r="C24" s="95">
        <v>0</v>
      </c>
      <c r="D24" s="64"/>
      <c r="E24" s="64">
        <v>3</v>
      </c>
      <c r="F24" s="56" t="s">
        <v>360</v>
      </c>
      <c r="G24" s="56">
        <v>12864039</v>
      </c>
      <c r="H24" s="56" t="s">
        <v>315</v>
      </c>
      <c r="I24" s="56" t="s">
        <v>367</v>
      </c>
      <c r="J24" s="56" t="s">
        <v>29</v>
      </c>
      <c r="K24" s="56">
        <v>780769</v>
      </c>
      <c r="L24" s="65">
        <v>44473</v>
      </c>
      <c r="M24" s="56" t="s">
        <v>352</v>
      </c>
      <c r="N24" s="56" t="s">
        <v>29</v>
      </c>
      <c r="O24" s="56" t="s">
        <v>29</v>
      </c>
      <c r="P24" s="56" t="s">
        <v>29</v>
      </c>
      <c r="Q24" s="66" t="str">
        <f t="shared" si="2"/>
        <v/>
      </c>
      <c r="R24" s="56" t="s">
        <v>29</v>
      </c>
      <c r="S24" s="56" t="s">
        <v>29</v>
      </c>
      <c r="T24" s="56" t="s">
        <v>29</v>
      </c>
      <c r="U24" s="56" t="s">
        <v>29</v>
      </c>
      <c r="V24" s="56">
        <v>3</v>
      </c>
      <c r="W24" s="56">
        <v>375538</v>
      </c>
      <c r="Y24" s="56">
        <v>16</v>
      </c>
      <c r="Z24" s="67" t="s">
        <v>29</v>
      </c>
      <c r="AA24" s="68">
        <f t="shared" si="3"/>
        <v>0</v>
      </c>
      <c r="AB24" s="92">
        <f t="shared" si="0"/>
        <v>0</v>
      </c>
      <c r="AC24" s="92">
        <f>IFERROR(Table16[[#This Row],[Quantity Needed for repair]]*Table16[[#This Row],[Evaluated]],"")</f>
        <v>0</v>
      </c>
      <c r="AE24" s="96">
        <v>1039060</v>
      </c>
      <c r="AF24" s="85">
        <f t="shared" si="1"/>
        <v>0</v>
      </c>
      <c r="AG24" s="97">
        <f t="shared" si="4"/>
        <v>0</v>
      </c>
    </row>
    <row r="25" spans="1:33" x14ac:dyDescent="0.35">
      <c r="A25" s="89" t="s">
        <v>378</v>
      </c>
      <c r="B25" s="90">
        <v>13187236</v>
      </c>
      <c r="C25" s="95">
        <v>0</v>
      </c>
      <c r="D25" s="64"/>
      <c r="E25" s="64">
        <v>3</v>
      </c>
      <c r="F25" s="56" t="s">
        <v>360</v>
      </c>
      <c r="G25" s="56">
        <v>12864039</v>
      </c>
      <c r="H25" s="56" t="s">
        <v>315</v>
      </c>
      <c r="I25" s="56" t="s">
        <v>367</v>
      </c>
      <c r="J25" s="56" t="s">
        <v>29</v>
      </c>
      <c r="K25" s="56">
        <v>780769</v>
      </c>
      <c r="L25" s="65">
        <v>44473</v>
      </c>
      <c r="M25" s="56" t="s">
        <v>352</v>
      </c>
      <c r="N25" s="56" t="s">
        <v>29</v>
      </c>
      <c r="O25" s="56" t="s">
        <v>29</v>
      </c>
      <c r="P25" s="56" t="s">
        <v>29</v>
      </c>
      <c r="Q25" s="66" t="str">
        <f t="shared" si="2"/>
        <v/>
      </c>
      <c r="R25" s="56" t="s">
        <v>29</v>
      </c>
      <c r="S25" s="56" t="s">
        <v>29</v>
      </c>
      <c r="T25" s="56" t="s">
        <v>29</v>
      </c>
      <c r="U25" s="56" t="s">
        <v>29</v>
      </c>
      <c r="V25" s="56">
        <v>4</v>
      </c>
      <c r="W25" s="56">
        <v>418525</v>
      </c>
      <c r="Y25" s="56">
        <v>8</v>
      </c>
      <c r="Z25" s="67" t="s">
        <v>29</v>
      </c>
      <c r="AA25" s="68">
        <f t="shared" si="3"/>
        <v>0</v>
      </c>
      <c r="AB25" s="92">
        <f t="shared" si="0"/>
        <v>0</v>
      </c>
      <c r="AC25" s="92">
        <f>IFERROR(Table16[[#This Row],[Quantity Needed for repair]]*Table16[[#This Row],[Evaluated]],"")</f>
        <v>0</v>
      </c>
      <c r="AE25" s="96">
        <v>1039064</v>
      </c>
      <c r="AF25" s="85">
        <f t="shared" si="1"/>
        <v>0</v>
      </c>
      <c r="AG25" s="97">
        <f t="shared" si="4"/>
        <v>0</v>
      </c>
    </row>
    <row r="26" spans="1:33" x14ac:dyDescent="0.35">
      <c r="A26" s="89" t="s">
        <v>379</v>
      </c>
      <c r="B26" s="90">
        <v>13186641</v>
      </c>
      <c r="C26" s="95">
        <v>0</v>
      </c>
      <c r="D26" s="64"/>
      <c r="E26" s="64">
        <v>3</v>
      </c>
      <c r="F26" s="56" t="s">
        <v>360</v>
      </c>
      <c r="G26" s="56">
        <v>12864039</v>
      </c>
      <c r="H26" s="56" t="s">
        <v>315</v>
      </c>
      <c r="I26" s="56" t="s">
        <v>367</v>
      </c>
      <c r="J26" s="56" t="s">
        <v>29</v>
      </c>
      <c r="K26" s="56">
        <v>780769</v>
      </c>
      <c r="L26" s="65">
        <v>44473</v>
      </c>
      <c r="M26" s="56" t="s">
        <v>352</v>
      </c>
      <c r="N26" s="56" t="s">
        <v>29</v>
      </c>
      <c r="O26" s="56" t="s">
        <v>29</v>
      </c>
      <c r="P26" s="56" t="s">
        <v>29</v>
      </c>
      <c r="Q26" s="66" t="str">
        <f t="shared" si="2"/>
        <v/>
      </c>
      <c r="R26" s="56" t="s">
        <v>29</v>
      </c>
      <c r="S26" s="56" t="s">
        <v>29</v>
      </c>
      <c r="T26" s="56" t="s">
        <v>29</v>
      </c>
      <c r="U26" s="56" t="s">
        <v>29</v>
      </c>
      <c r="V26" s="56">
        <v>5</v>
      </c>
      <c r="W26" s="56">
        <v>647436</v>
      </c>
      <c r="Y26" s="56">
        <v>8</v>
      </c>
      <c r="Z26" s="67" t="s">
        <v>29</v>
      </c>
      <c r="AA26" s="68">
        <f t="shared" si="3"/>
        <v>0</v>
      </c>
      <c r="AB26" s="92">
        <f t="shared" si="0"/>
        <v>0</v>
      </c>
      <c r="AC26" s="92">
        <f>IFERROR(Table16[[#This Row],[Quantity Needed for repair]]*Table16[[#This Row],[Evaluated]],"")</f>
        <v>0</v>
      </c>
      <c r="AE26" s="96">
        <v>1100741</v>
      </c>
      <c r="AF26" s="85">
        <f t="shared" si="1"/>
        <v>0</v>
      </c>
      <c r="AG26" s="97">
        <f t="shared" si="4"/>
        <v>0</v>
      </c>
    </row>
    <row r="27" spans="1:33" ht="15" thickBot="1" x14ac:dyDescent="0.4">
      <c r="A27" s="89" t="s">
        <v>380</v>
      </c>
      <c r="B27" s="90">
        <v>13186642</v>
      </c>
      <c r="C27" s="95">
        <v>0</v>
      </c>
      <c r="D27" s="64"/>
      <c r="E27" s="69">
        <v>3</v>
      </c>
      <c r="F27" s="70" t="s">
        <v>360</v>
      </c>
      <c r="G27" s="70">
        <v>12864039</v>
      </c>
      <c r="H27" s="70" t="s">
        <v>315</v>
      </c>
      <c r="I27" s="70" t="s">
        <v>367</v>
      </c>
      <c r="J27" s="70" t="s">
        <v>29</v>
      </c>
      <c r="K27" s="70">
        <v>780769</v>
      </c>
      <c r="L27" s="71">
        <v>44473</v>
      </c>
      <c r="M27" s="70" t="s">
        <v>352</v>
      </c>
      <c r="N27" s="70" t="s">
        <v>29</v>
      </c>
      <c r="O27" s="70" t="s">
        <v>29</v>
      </c>
      <c r="P27" s="70" t="s">
        <v>29</v>
      </c>
      <c r="Q27" s="72" t="str">
        <f t="shared" si="2"/>
        <v/>
      </c>
      <c r="R27" s="70" t="s">
        <v>29</v>
      </c>
      <c r="S27" s="70" t="s">
        <v>29</v>
      </c>
      <c r="T27" s="70" t="s">
        <v>29</v>
      </c>
      <c r="U27" s="70" t="s">
        <v>29</v>
      </c>
      <c r="V27" s="70">
        <v>6</v>
      </c>
      <c r="W27" s="70">
        <v>871781</v>
      </c>
      <c r="X27" s="70" t="s">
        <v>29</v>
      </c>
      <c r="Y27" s="70">
        <v>8</v>
      </c>
      <c r="Z27" s="73" t="s">
        <v>29</v>
      </c>
      <c r="AA27" s="74" t="str">
        <f t="shared" si="3"/>
        <v/>
      </c>
      <c r="AB27" s="93">
        <f t="shared" si="0"/>
        <v>0</v>
      </c>
      <c r="AC27" s="93" t="str">
        <f>IFERROR(Table16[[#This Row],[Quantity Needed for repair]]*Table16[[#This Row],[Evaluated]],"")</f>
        <v/>
      </c>
      <c r="AE27" s="96">
        <v>1130196</v>
      </c>
      <c r="AF27" s="85">
        <f t="shared" si="1"/>
        <v>0</v>
      </c>
      <c r="AG27" s="97">
        <f t="shared" si="4"/>
        <v>0</v>
      </c>
    </row>
    <row r="28" spans="1:33" x14ac:dyDescent="0.35">
      <c r="A28" s="89" t="s">
        <v>381</v>
      </c>
      <c r="B28" s="90">
        <v>13202090</v>
      </c>
      <c r="C28" s="95">
        <v>0</v>
      </c>
      <c r="D28" s="64"/>
      <c r="E28" s="57">
        <v>3</v>
      </c>
      <c r="F28" s="58" t="s">
        <v>361</v>
      </c>
      <c r="G28" s="58">
        <v>12831837</v>
      </c>
      <c r="H28" s="58" t="s">
        <v>315</v>
      </c>
      <c r="I28" s="58" t="s">
        <v>367</v>
      </c>
      <c r="J28" s="58" t="s">
        <v>29</v>
      </c>
      <c r="K28" s="58">
        <v>780769</v>
      </c>
      <c r="L28" s="59">
        <v>44473</v>
      </c>
      <c r="M28" s="58" t="s">
        <v>352</v>
      </c>
      <c r="N28" s="58" t="s">
        <v>29</v>
      </c>
      <c r="O28" s="58" t="s">
        <v>29</v>
      </c>
      <c r="P28" s="58" t="s">
        <v>29</v>
      </c>
      <c r="Q28" s="60" t="str">
        <f t="shared" si="2"/>
        <v/>
      </c>
      <c r="R28" s="58" t="s">
        <v>29</v>
      </c>
      <c r="S28" s="58" t="s">
        <v>29</v>
      </c>
      <c r="T28" s="58" t="s">
        <v>29</v>
      </c>
      <c r="U28" s="58" t="s">
        <v>29</v>
      </c>
      <c r="V28" s="58">
        <v>1</v>
      </c>
      <c r="W28" s="58">
        <v>745576</v>
      </c>
      <c r="X28" s="58">
        <v>10</v>
      </c>
      <c r="Y28" s="58">
        <v>36</v>
      </c>
      <c r="Z28" s="61" t="s">
        <v>29</v>
      </c>
      <c r="AA28" s="62">
        <f t="shared" si="3"/>
        <v>0.27777777777777779</v>
      </c>
      <c r="AB28" s="91">
        <f t="shared" si="0"/>
        <v>0</v>
      </c>
      <c r="AC28" s="91">
        <f>IFERROR(Table16[[#This Row],[Quantity Needed for repair]]*Table16[[#This Row],[Evaluated]],"")</f>
        <v>0</v>
      </c>
      <c r="AE28" s="96">
        <v>1130197</v>
      </c>
      <c r="AF28" s="85">
        <f t="shared" si="1"/>
        <v>0</v>
      </c>
      <c r="AG28" s="97">
        <f t="shared" si="4"/>
        <v>0</v>
      </c>
    </row>
    <row r="29" spans="1:33" x14ac:dyDescent="0.35">
      <c r="A29" s="89" t="s">
        <v>382</v>
      </c>
      <c r="B29" s="90">
        <v>13224450</v>
      </c>
      <c r="C29" s="95">
        <v>0</v>
      </c>
      <c r="D29" s="64"/>
      <c r="E29" s="64">
        <v>3</v>
      </c>
      <c r="F29" s="56" t="s">
        <v>361</v>
      </c>
      <c r="G29" s="56">
        <v>12831837</v>
      </c>
      <c r="H29" s="56" t="s">
        <v>315</v>
      </c>
      <c r="I29" s="56" t="s">
        <v>367</v>
      </c>
      <c r="J29" s="56" t="s">
        <v>29</v>
      </c>
      <c r="K29" s="56">
        <v>780769</v>
      </c>
      <c r="L29" s="65">
        <v>44473</v>
      </c>
      <c r="M29" s="56" t="s">
        <v>352</v>
      </c>
      <c r="N29" s="56" t="s">
        <v>29</v>
      </c>
      <c r="O29" s="56" t="s">
        <v>29</v>
      </c>
      <c r="P29" s="56" t="s">
        <v>29</v>
      </c>
      <c r="Q29" s="66" t="str">
        <f t="shared" si="2"/>
        <v/>
      </c>
      <c r="R29" s="56" t="s">
        <v>29</v>
      </c>
      <c r="S29" s="56" t="s">
        <v>29</v>
      </c>
      <c r="T29" s="56" t="s">
        <v>29</v>
      </c>
      <c r="U29" s="56" t="s">
        <v>29</v>
      </c>
      <c r="V29" s="56">
        <v>2</v>
      </c>
      <c r="W29" s="56">
        <v>729691</v>
      </c>
      <c r="X29" s="56">
        <v>11</v>
      </c>
      <c r="Y29" s="56">
        <v>13</v>
      </c>
      <c r="Z29" s="67" t="s">
        <v>29</v>
      </c>
      <c r="AA29" s="68">
        <f t="shared" si="3"/>
        <v>0.84615384615384615</v>
      </c>
      <c r="AB29" s="92">
        <f t="shared" si="0"/>
        <v>0</v>
      </c>
      <c r="AC29" s="92">
        <f>IFERROR(Table16[[#This Row],[Quantity Needed for repair]]*Table16[[#This Row],[Evaluated]],"")</f>
        <v>0</v>
      </c>
      <c r="AE29" s="96">
        <v>1130198</v>
      </c>
      <c r="AF29" s="85">
        <f t="shared" si="1"/>
        <v>0</v>
      </c>
      <c r="AG29" s="97">
        <f t="shared" si="4"/>
        <v>0</v>
      </c>
    </row>
    <row r="30" spans="1:33" x14ac:dyDescent="0.35">
      <c r="A30" s="89" t="s">
        <v>383</v>
      </c>
      <c r="B30" s="90">
        <v>13096213</v>
      </c>
      <c r="C30" s="95">
        <v>0</v>
      </c>
      <c r="D30" s="64"/>
      <c r="E30" s="64">
        <v>3</v>
      </c>
      <c r="F30" s="56" t="s">
        <v>361</v>
      </c>
      <c r="G30" s="56">
        <v>12831837</v>
      </c>
      <c r="H30" s="56" t="s">
        <v>315</v>
      </c>
      <c r="I30" s="56" t="s">
        <v>367</v>
      </c>
      <c r="J30" s="56" t="s">
        <v>29</v>
      </c>
      <c r="K30" s="56">
        <v>780769</v>
      </c>
      <c r="L30" s="65">
        <v>44473</v>
      </c>
      <c r="M30" s="56" t="s">
        <v>352</v>
      </c>
      <c r="N30" s="56" t="s">
        <v>29</v>
      </c>
      <c r="O30" s="56" t="s">
        <v>29</v>
      </c>
      <c r="P30" s="56" t="s">
        <v>29</v>
      </c>
      <c r="Q30" s="66" t="str">
        <f t="shared" si="2"/>
        <v/>
      </c>
      <c r="R30" s="56" t="s">
        <v>29</v>
      </c>
      <c r="S30" s="56" t="s">
        <v>29</v>
      </c>
      <c r="T30" s="56" t="s">
        <v>29</v>
      </c>
      <c r="U30" s="56" t="s">
        <v>29</v>
      </c>
      <c r="V30" s="56">
        <v>3</v>
      </c>
      <c r="W30" s="56">
        <v>375538</v>
      </c>
      <c r="X30" s="56" t="s">
        <v>29</v>
      </c>
      <c r="Y30" s="56">
        <v>16</v>
      </c>
      <c r="Z30" s="67" t="s">
        <v>29</v>
      </c>
      <c r="AA30" s="68" t="str">
        <f t="shared" si="3"/>
        <v/>
      </c>
      <c r="AB30" s="92">
        <f t="shared" si="0"/>
        <v>0</v>
      </c>
      <c r="AC30" s="92" t="str">
        <f>IFERROR(Table16[[#This Row],[Quantity Needed for repair]]*Table16[[#This Row],[Evaluated]],"")</f>
        <v/>
      </c>
      <c r="AE30" s="96">
        <v>1130200</v>
      </c>
      <c r="AF30" s="85">
        <f t="shared" si="1"/>
        <v>0</v>
      </c>
      <c r="AG30" s="97">
        <f t="shared" si="4"/>
        <v>0</v>
      </c>
    </row>
    <row r="31" spans="1:33" x14ac:dyDescent="0.35">
      <c r="A31" s="89" t="s">
        <v>384</v>
      </c>
      <c r="B31" s="90">
        <v>13186638</v>
      </c>
      <c r="C31" s="95">
        <v>0</v>
      </c>
      <c r="D31" s="64"/>
      <c r="E31" s="64">
        <v>3</v>
      </c>
      <c r="F31" s="56" t="s">
        <v>361</v>
      </c>
      <c r="G31" s="56">
        <v>12831837</v>
      </c>
      <c r="H31" s="56" t="s">
        <v>315</v>
      </c>
      <c r="I31" s="56" t="s">
        <v>367</v>
      </c>
      <c r="J31" s="56" t="s">
        <v>29</v>
      </c>
      <c r="K31" s="56">
        <v>780769</v>
      </c>
      <c r="L31" s="65">
        <v>44473</v>
      </c>
      <c r="M31" s="56" t="s">
        <v>352</v>
      </c>
      <c r="N31" s="56" t="s">
        <v>29</v>
      </c>
      <c r="O31" s="56" t="s">
        <v>29</v>
      </c>
      <c r="P31" s="56" t="s">
        <v>29</v>
      </c>
      <c r="Q31" s="66" t="str">
        <f t="shared" si="2"/>
        <v/>
      </c>
      <c r="R31" s="56" t="s">
        <v>29</v>
      </c>
      <c r="S31" s="56" t="s">
        <v>29</v>
      </c>
      <c r="T31" s="56" t="s">
        <v>29</v>
      </c>
      <c r="U31" s="56" t="s">
        <v>29</v>
      </c>
      <c r="V31" s="56">
        <v>4</v>
      </c>
      <c r="W31" s="56">
        <v>418525</v>
      </c>
      <c r="X31" s="56">
        <v>4</v>
      </c>
      <c r="Y31" s="56">
        <v>8</v>
      </c>
      <c r="Z31" s="67" t="s">
        <v>29</v>
      </c>
      <c r="AA31" s="68">
        <f t="shared" si="3"/>
        <v>0.5</v>
      </c>
      <c r="AB31" s="92">
        <f t="shared" si="0"/>
        <v>0</v>
      </c>
      <c r="AC31" s="92">
        <f>IFERROR(Table16[[#This Row],[Quantity Needed for repair]]*Table16[[#This Row],[Evaluated]],"")</f>
        <v>0</v>
      </c>
      <c r="AE31" s="96">
        <v>1130219</v>
      </c>
      <c r="AF31" s="85">
        <f t="shared" si="1"/>
        <v>0</v>
      </c>
      <c r="AG31" s="97">
        <f t="shared" si="4"/>
        <v>0</v>
      </c>
    </row>
    <row r="32" spans="1:33" x14ac:dyDescent="0.35">
      <c r="A32" s="89" t="s">
        <v>385</v>
      </c>
      <c r="B32" s="90">
        <v>13143135</v>
      </c>
      <c r="C32" s="95">
        <v>0</v>
      </c>
      <c r="D32" s="64"/>
      <c r="E32" s="64">
        <v>3</v>
      </c>
      <c r="F32" s="56" t="s">
        <v>361</v>
      </c>
      <c r="G32" s="56">
        <v>12831837</v>
      </c>
      <c r="H32" s="56" t="s">
        <v>315</v>
      </c>
      <c r="I32" s="56" t="s">
        <v>367</v>
      </c>
      <c r="J32" s="56" t="s">
        <v>29</v>
      </c>
      <c r="K32" s="56">
        <v>780769</v>
      </c>
      <c r="L32" s="65">
        <v>44473</v>
      </c>
      <c r="M32" s="56" t="s">
        <v>352</v>
      </c>
      <c r="N32" s="56" t="s">
        <v>29</v>
      </c>
      <c r="O32" s="56" t="s">
        <v>29</v>
      </c>
      <c r="P32" s="56" t="s">
        <v>29</v>
      </c>
      <c r="Q32" s="66" t="str">
        <f t="shared" si="2"/>
        <v/>
      </c>
      <c r="R32" s="56" t="s">
        <v>29</v>
      </c>
      <c r="S32" s="56" t="s">
        <v>29</v>
      </c>
      <c r="T32" s="56" t="s">
        <v>29</v>
      </c>
      <c r="U32" s="56" t="s">
        <v>29</v>
      </c>
      <c r="V32" s="56">
        <v>5</v>
      </c>
      <c r="W32" s="56">
        <v>647436</v>
      </c>
      <c r="X32" s="56">
        <v>8</v>
      </c>
      <c r="Y32" s="56">
        <v>8</v>
      </c>
      <c r="Z32" s="67" t="s">
        <v>29</v>
      </c>
      <c r="AA32" s="68">
        <f t="shared" si="3"/>
        <v>1</v>
      </c>
      <c r="AB32" s="92">
        <f t="shared" si="0"/>
        <v>0</v>
      </c>
      <c r="AC32" s="92">
        <f>IFERROR(Table16[[#This Row],[Quantity Needed for repair]]*Table16[[#This Row],[Evaluated]],"")</f>
        <v>0</v>
      </c>
      <c r="AE32" s="96">
        <v>1130221</v>
      </c>
      <c r="AF32" s="85">
        <f t="shared" si="1"/>
        <v>0</v>
      </c>
      <c r="AG32" s="97">
        <f t="shared" si="4"/>
        <v>0</v>
      </c>
    </row>
    <row r="33" spans="1:33" ht="15" thickBot="1" x14ac:dyDescent="0.4">
      <c r="A33" s="89" t="s">
        <v>386</v>
      </c>
      <c r="B33" s="90">
        <v>13143136</v>
      </c>
      <c r="C33" s="95">
        <v>0</v>
      </c>
      <c r="D33" s="64"/>
      <c r="E33" s="69">
        <v>3</v>
      </c>
      <c r="F33" s="70" t="s">
        <v>361</v>
      </c>
      <c r="G33" s="70">
        <v>12831837</v>
      </c>
      <c r="H33" s="70" t="s">
        <v>315</v>
      </c>
      <c r="I33" s="70" t="s">
        <v>367</v>
      </c>
      <c r="J33" s="70" t="s">
        <v>29</v>
      </c>
      <c r="K33" s="70">
        <v>780769</v>
      </c>
      <c r="L33" s="71">
        <v>44473</v>
      </c>
      <c r="M33" s="70" t="s">
        <v>352</v>
      </c>
      <c r="N33" s="70" t="s">
        <v>29</v>
      </c>
      <c r="O33" s="70" t="s">
        <v>29</v>
      </c>
      <c r="P33" s="70" t="s">
        <v>29</v>
      </c>
      <c r="Q33" s="72" t="str">
        <f t="shared" si="2"/>
        <v/>
      </c>
      <c r="R33" s="70" t="s">
        <v>29</v>
      </c>
      <c r="S33" s="70" t="s">
        <v>29</v>
      </c>
      <c r="T33" s="70" t="s">
        <v>29</v>
      </c>
      <c r="U33" s="70" t="s">
        <v>29</v>
      </c>
      <c r="V33" s="70">
        <v>6</v>
      </c>
      <c r="W33" s="70">
        <v>871781</v>
      </c>
      <c r="X33" s="70" t="s">
        <v>29</v>
      </c>
      <c r="Y33" s="70">
        <v>8</v>
      </c>
      <c r="Z33" s="73" t="s">
        <v>29</v>
      </c>
      <c r="AA33" s="74" t="str">
        <f t="shared" si="3"/>
        <v/>
      </c>
      <c r="AB33" s="93">
        <f t="shared" si="0"/>
        <v>0</v>
      </c>
      <c r="AC33" s="93" t="str">
        <f>IFERROR(Table16[[#This Row],[Quantity Needed for repair]]*Table16[[#This Row],[Evaluated]],"")</f>
        <v/>
      </c>
      <c r="AE33" s="101">
        <v>1134751</v>
      </c>
      <c r="AF33" s="102">
        <f t="shared" si="1"/>
        <v>0</v>
      </c>
      <c r="AG33" s="103">
        <f t="shared" si="4"/>
        <v>0</v>
      </c>
    </row>
    <row r="34" spans="1:33" x14ac:dyDescent="0.35">
      <c r="A34" s="89" t="s">
        <v>387</v>
      </c>
      <c r="B34" s="90">
        <v>13187237</v>
      </c>
      <c r="C34" s="95"/>
      <c r="D34" s="64"/>
      <c r="E34" s="57">
        <v>3</v>
      </c>
      <c r="F34" s="58" t="s">
        <v>362</v>
      </c>
      <c r="G34" s="58">
        <v>12896865</v>
      </c>
      <c r="H34" s="58" t="s">
        <v>315</v>
      </c>
      <c r="I34" s="58" t="s">
        <v>367</v>
      </c>
      <c r="J34" s="58" t="s">
        <v>29</v>
      </c>
      <c r="K34" s="58">
        <v>1005462</v>
      </c>
      <c r="L34" s="59">
        <v>44473</v>
      </c>
      <c r="M34" s="58" t="s">
        <v>352</v>
      </c>
      <c r="N34" s="58" t="s">
        <v>29</v>
      </c>
      <c r="O34" s="58" t="s">
        <v>29</v>
      </c>
      <c r="P34" s="58" t="s">
        <v>29</v>
      </c>
      <c r="Q34" s="60" t="str">
        <f t="shared" si="2"/>
        <v/>
      </c>
      <c r="R34" s="58" t="s">
        <v>29</v>
      </c>
      <c r="S34" s="58" t="s">
        <v>29</v>
      </c>
      <c r="T34" s="58" t="s">
        <v>29</v>
      </c>
      <c r="U34" s="58" t="s">
        <v>29</v>
      </c>
      <c r="V34" s="58">
        <v>1</v>
      </c>
      <c r="W34" s="58">
        <v>1130200</v>
      </c>
      <c r="X34" s="58">
        <v>10</v>
      </c>
      <c r="Y34" s="58">
        <v>48</v>
      </c>
      <c r="Z34" s="61" t="s">
        <v>29</v>
      </c>
      <c r="AA34" s="62">
        <f t="shared" si="3"/>
        <v>0.20833333333333334</v>
      </c>
      <c r="AB34" s="91">
        <f t="shared" si="0"/>
        <v>0</v>
      </c>
      <c r="AC34" s="91">
        <f>IFERROR(Table16[[#This Row],[Quantity Needed for repair]]*Table16[[#This Row],[Evaluated]],"")</f>
        <v>0</v>
      </c>
      <c r="AF34" s="56"/>
    </row>
    <row r="35" spans="1:33" x14ac:dyDescent="0.35">
      <c r="A35" s="89" t="s">
        <v>388</v>
      </c>
      <c r="B35" s="90">
        <v>13220349</v>
      </c>
      <c r="C35" s="95">
        <v>0</v>
      </c>
      <c r="D35" s="64"/>
      <c r="E35" s="64">
        <v>3</v>
      </c>
      <c r="F35" s="56" t="s">
        <v>362</v>
      </c>
      <c r="G35" s="56">
        <v>12896865</v>
      </c>
      <c r="H35" s="56" t="s">
        <v>315</v>
      </c>
      <c r="I35" s="56" t="s">
        <v>367</v>
      </c>
      <c r="J35" s="56" t="s">
        <v>29</v>
      </c>
      <c r="K35" s="56">
        <v>1005462</v>
      </c>
      <c r="L35" s="65">
        <v>44473</v>
      </c>
      <c r="M35" s="56" t="s">
        <v>352</v>
      </c>
      <c r="N35" s="56" t="s">
        <v>29</v>
      </c>
      <c r="O35" s="56" t="s">
        <v>29</v>
      </c>
      <c r="P35" s="56" t="s">
        <v>29</v>
      </c>
      <c r="Q35" s="66" t="str">
        <f t="shared" si="2"/>
        <v/>
      </c>
      <c r="R35" s="56" t="s">
        <v>29</v>
      </c>
      <c r="S35" s="56" t="s">
        <v>29</v>
      </c>
      <c r="T35" s="56" t="s">
        <v>29</v>
      </c>
      <c r="U35" s="56" t="s">
        <v>29</v>
      </c>
      <c r="V35" s="56">
        <v>2</v>
      </c>
      <c r="W35" s="56">
        <v>1130198</v>
      </c>
      <c r="X35" s="56">
        <v>1</v>
      </c>
      <c r="Y35" s="56">
        <v>9</v>
      </c>
      <c r="Z35" s="67" t="s">
        <v>29</v>
      </c>
      <c r="AA35" s="68">
        <f t="shared" si="3"/>
        <v>0.1111111111111111</v>
      </c>
      <c r="AB35" s="92">
        <f t="shared" si="0"/>
        <v>0</v>
      </c>
      <c r="AC35" s="92">
        <f>IFERROR(Table16[[#This Row],[Quantity Needed for repair]]*Table16[[#This Row],[Evaluated]],"")</f>
        <v>0</v>
      </c>
      <c r="AF35" s="56"/>
    </row>
    <row r="36" spans="1:33" x14ac:dyDescent="0.35">
      <c r="A36" s="89" t="s">
        <v>389</v>
      </c>
      <c r="B36" s="90">
        <v>13261210</v>
      </c>
      <c r="C36" s="95">
        <v>0</v>
      </c>
      <c r="D36" s="64"/>
      <c r="E36" s="64">
        <v>3</v>
      </c>
      <c r="F36" s="56" t="s">
        <v>362</v>
      </c>
      <c r="G36" s="56">
        <v>12896865</v>
      </c>
      <c r="H36" s="56" t="s">
        <v>315</v>
      </c>
      <c r="I36" s="56" t="s">
        <v>367</v>
      </c>
      <c r="J36" s="56" t="s">
        <v>29</v>
      </c>
      <c r="K36" s="56">
        <v>1005462</v>
      </c>
      <c r="L36" s="65">
        <v>44473</v>
      </c>
      <c r="M36" s="56" t="s">
        <v>352</v>
      </c>
      <c r="N36" s="56" t="s">
        <v>29</v>
      </c>
      <c r="O36" s="56" t="s">
        <v>29</v>
      </c>
      <c r="P36" s="56" t="s">
        <v>29</v>
      </c>
      <c r="Q36" s="66" t="str">
        <f t="shared" si="2"/>
        <v/>
      </c>
      <c r="R36" s="56" t="s">
        <v>29</v>
      </c>
      <c r="S36" s="56" t="s">
        <v>29</v>
      </c>
      <c r="T36" s="56" t="s">
        <v>29</v>
      </c>
      <c r="U36" s="56" t="s">
        <v>29</v>
      </c>
      <c r="V36" s="56">
        <v>3</v>
      </c>
      <c r="W36" s="56">
        <v>708306</v>
      </c>
      <c r="X36" s="56">
        <v>6</v>
      </c>
      <c r="Y36" s="56">
        <v>34</v>
      </c>
      <c r="Z36" s="67" t="s">
        <v>29</v>
      </c>
      <c r="AA36" s="68">
        <f t="shared" si="3"/>
        <v>0.17647058823529413</v>
      </c>
      <c r="AB36" s="92">
        <f t="shared" si="0"/>
        <v>0</v>
      </c>
      <c r="AC36" s="92">
        <f>IFERROR(Table16[[#This Row],[Quantity Needed for repair]]*Table16[[#This Row],[Evaluated]],"")</f>
        <v>0</v>
      </c>
    </row>
    <row r="37" spans="1:33" x14ac:dyDescent="0.35">
      <c r="A37" s="89" t="s">
        <v>390</v>
      </c>
      <c r="B37" s="90">
        <v>13172299</v>
      </c>
      <c r="C37" s="95"/>
      <c r="D37" s="64"/>
      <c r="E37" s="64">
        <v>3</v>
      </c>
      <c r="F37" s="56" t="s">
        <v>362</v>
      </c>
      <c r="G37" s="56">
        <v>12896865</v>
      </c>
      <c r="H37" s="56" t="s">
        <v>315</v>
      </c>
      <c r="I37" s="56" t="s">
        <v>367</v>
      </c>
      <c r="J37" s="56" t="s">
        <v>29</v>
      </c>
      <c r="K37" s="56">
        <v>1005462</v>
      </c>
      <c r="L37" s="65">
        <v>44473</v>
      </c>
      <c r="M37" s="56" t="s">
        <v>352</v>
      </c>
      <c r="N37" s="56" t="s">
        <v>29</v>
      </c>
      <c r="O37" s="56" t="s">
        <v>29</v>
      </c>
      <c r="P37" s="56" t="s">
        <v>29</v>
      </c>
      <c r="Q37" s="66" t="str">
        <f t="shared" si="2"/>
        <v/>
      </c>
      <c r="R37" s="56" t="s">
        <v>29</v>
      </c>
      <c r="S37" s="56" t="s">
        <v>29</v>
      </c>
      <c r="T37" s="56" t="s">
        <v>29</v>
      </c>
      <c r="U37" s="56" t="s">
        <v>29</v>
      </c>
      <c r="V37" s="56">
        <v>4</v>
      </c>
      <c r="W37" s="56">
        <v>871781</v>
      </c>
      <c r="X37" s="56" t="s">
        <v>29</v>
      </c>
      <c r="Y37" s="56">
        <v>4</v>
      </c>
      <c r="Z37" s="67" t="s">
        <v>29</v>
      </c>
      <c r="AA37" s="68" t="str">
        <f t="shared" si="3"/>
        <v/>
      </c>
      <c r="AB37" s="92">
        <f t="shared" si="0"/>
        <v>0</v>
      </c>
      <c r="AC37" s="92" t="str">
        <f>IFERROR(Table16[[#This Row],[Quantity Needed for repair]]*Table16[[#This Row],[Evaluated]],"")</f>
        <v/>
      </c>
    </row>
    <row r="38" spans="1:33" ht="15" thickBot="1" x14ac:dyDescent="0.4">
      <c r="A38" s="89" t="s">
        <v>391</v>
      </c>
      <c r="B38" s="90">
        <v>13149235</v>
      </c>
      <c r="C38" s="95">
        <v>0</v>
      </c>
      <c r="D38" s="64"/>
      <c r="E38" s="69">
        <v>3</v>
      </c>
      <c r="F38" s="70" t="s">
        <v>362</v>
      </c>
      <c r="G38" s="70">
        <v>12896865</v>
      </c>
      <c r="H38" s="70" t="s">
        <v>315</v>
      </c>
      <c r="I38" s="70" t="s">
        <v>367</v>
      </c>
      <c r="J38" s="70" t="s">
        <v>29</v>
      </c>
      <c r="K38" s="70">
        <v>1005462</v>
      </c>
      <c r="L38" s="71">
        <v>44473</v>
      </c>
      <c r="M38" s="70" t="s">
        <v>352</v>
      </c>
      <c r="N38" s="70" t="s">
        <v>29</v>
      </c>
      <c r="O38" s="70" t="s">
        <v>29</v>
      </c>
      <c r="P38" s="70" t="s">
        <v>29</v>
      </c>
      <c r="Q38" s="72" t="str">
        <f t="shared" si="2"/>
        <v/>
      </c>
      <c r="R38" s="70" t="s">
        <v>29</v>
      </c>
      <c r="S38" s="70" t="s">
        <v>29</v>
      </c>
      <c r="T38" s="70" t="s">
        <v>29</v>
      </c>
      <c r="U38" s="70" t="s">
        <v>29</v>
      </c>
      <c r="V38" s="70">
        <v>5</v>
      </c>
      <c r="W38" s="70">
        <v>418525</v>
      </c>
      <c r="X38" s="70">
        <v>4</v>
      </c>
      <c r="Y38" s="70">
        <v>4</v>
      </c>
      <c r="Z38" s="73" t="s">
        <v>29</v>
      </c>
      <c r="AA38" s="74">
        <f t="shared" si="3"/>
        <v>1</v>
      </c>
      <c r="AB38" s="93">
        <f t="shared" si="0"/>
        <v>0</v>
      </c>
      <c r="AC38" s="93">
        <f>IFERROR(Table16[[#This Row],[Quantity Needed for repair]]*Table16[[#This Row],[Evaluated]],"")</f>
        <v>0</v>
      </c>
    </row>
    <row r="39" spans="1:33" x14ac:dyDescent="0.35">
      <c r="A39" s="89" t="s">
        <v>392</v>
      </c>
      <c r="B39" s="90">
        <v>13243098</v>
      </c>
      <c r="C39" s="95"/>
      <c r="D39" s="64"/>
      <c r="E39" s="57">
        <v>3</v>
      </c>
      <c r="F39" s="58" t="s">
        <v>363</v>
      </c>
      <c r="G39" s="58">
        <v>12904353</v>
      </c>
      <c r="H39" s="58" t="s">
        <v>315</v>
      </c>
      <c r="I39" s="58" t="s">
        <v>367</v>
      </c>
      <c r="J39" s="58" t="s">
        <v>29</v>
      </c>
      <c r="K39" s="58">
        <v>1005462</v>
      </c>
      <c r="L39" s="59">
        <v>44473</v>
      </c>
      <c r="M39" s="58" t="s">
        <v>352</v>
      </c>
      <c r="N39" s="58" t="s">
        <v>29</v>
      </c>
      <c r="O39" s="58" t="s">
        <v>29</v>
      </c>
      <c r="P39" s="58" t="s">
        <v>29</v>
      </c>
      <c r="Q39" s="60" t="str">
        <f t="shared" si="2"/>
        <v/>
      </c>
      <c r="R39" s="58" t="s">
        <v>29</v>
      </c>
      <c r="S39" s="58" t="s">
        <v>29</v>
      </c>
      <c r="T39" s="58" t="s">
        <v>29</v>
      </c>
      <c r="U39" s="58" t="s">
        <v>29</v>
      </c>
      <c r="V39" s="58">
        <v>1</v>
      </c>
      <c r="W39" s="58">
        <v>1130200</v>
      </c>
      <c r="X39" s="78">
        <v>14</v>
      </c>
      <c r="Y39" s="58">
        <v>48</v>
      </c>
      <c r="Z39" s="61" t="s">
        <v>29</v>
      </c>
      <c r="AA39" s="62">
        <f t="shared" si="3"/>
        <v>0.29166666666666669</v>
      </c>
      <c r="AB39" s="91">
        <f t="shared" si="0"/>
        <v>0</v>
      </c>
      <c r="AC39" s="91">
        <f>IFERROR(Table16[[#This Row],[Quantity Needed for repair]]*Table16[[#This Row],[Evaluated]],"")</f>
        <v>0</v>
      </c>
    </row>
    <row r="40" spans="1:33" x14ac:dyDescent="0.35">
      <c r="A40" s="89" t="s">
        <v>393</v>
      </c>
      <c r="B40" s="90">
        <v>13034644</v>
      </c>
      <c r="C40" s="95"/>
      <c r="D40" s="64"/>
      <c r="E40" s="64">
        <v>3</v>
      </c>
      <c r="F40" s="56" t="s">
        <v>363</v>
      </c>
      <c r="G40" s="56">
        <v>12904353</v>
      </c>
      <c r="H40" s="56" t="s">
        <v>315</v>
      </c>
      <c r="I40" s="56" t="s">
        <v>367</v>
      </c>
      <c r="J40" s="56" t="s">
        <v>29</v>
      </c>
      <c r="K40" s="56">
        <v>1005462</v>
      </c>
      <c r="L40" s="65">
        <v>44473</v>
      </c>
      <c r="M40" s="56" t="s">
        <v>352</v>
      </c>
      <c r="N40" s="56" t="s">
        <v>29</v>
      </c>
      <c r="O40" s="56" t="s">
        <v>29</v>
      </c>
      <c r="P40" s="56" t="s">
        <v>29</v>
      </c>
      <c r="Q40" s="66" t="str">
        <f t="shared" si="2"/>
        <v/>
      </c>
      <c r="R40" s="56" t="s">
        <v>29</v>
      </c>
      <c r="S40" s="56" t="s">
        <v>29</v>
      </c>
      <c r="T40" s="56" t="s">
        <v>29</v>
      </c>
      <c r="U40" s="56" t="s">
        <v>29</v>
      </c>
      <c r="V40" s="56">
        <v>2</v>
      </c>
      <c r="W40" s="56">
        <v>1130198</v>
      </c>
      <c r="X40" s="79" t="s">
        <v>29</v>
      </c>
      <c r="Y40" s="56">
        <v>9</v>
      </c>
      <c r="Z40" s="67" t="s">
        <v>29</v>
      </c>
      <c r="AA40" s="68" t="str">
        <f t="shared" si="3"/>
        <v/>
      </c>
      <c r="AB40" s="92">
        <f t="shared" si="0"/>
        <v>0</v>
      </c>
      <c r="AC40" s="92" t="str">
        <f>IFERROR(Table16[[#This Row],[Quantity Needed for repair]]*Table16[[#This Row],[Evaluated]],"")</f>
        <v/>
      </c>
    </row>
    <row r="41" spans="1:33" x14ac:dyDescent="0.35">
      <c r="A41" s="89" t="s">
        <v>394</v>
      </c>
      <c r="B41" s="90">
        <v>13082603</v>
      </c>
      <c r="C41" s="95">
        <v>0</v>
      </c>
      <c r="D41" s="64"/>
      <c r="E41" s="64">
        <v>3</v>
      </c>
      <c r="F41" s="56" t="s">
        <v>363</v>
      </c>
      <c r="G41" s="56">
        <v>12904353</v>
      </c>
      <c r="H41" s="56" t="s">
        <v>315</v>
      </c>
      <c r="I41" s="56" t="s">
        <v>367</v>
      </c>
      <c r="J41" s="56" t="s">
        <v>29</v>
      </c>
      <c r="K41" s="56">
        <v>1005462</v>
      </c>
      <c r="L41" s="65">
        <v>44473</v>
      </c>
      <c r="M41" s="56" t="s">
        <v>352</v>
      </c>
      <c r="N41" s="56" t="s">
        <v>29</v>
      </c>
      <c r="O41" s="56" t="s">
        <v>29</v>
      </c>
      <c r="P41" s="56" t="s">
        <v>29</v>
      </c>
      <c r="Q41" s="66" t="str">
        <f t="shared" si="2"/>
        <v/>
      </c>
      <c r="R41" s="56" t="s">
        <v>29</v>
      </c>
      <c r="S41" s="56" t="s">
        <v>29</v>
      </c>
      <c r="T41" s="56" t="s">
        <v>29</v>
      </c>
      <c r="U41" s="56" t="s">
        <v>29</v>
      </c>
      <c r="V41" s="56">
        <v>3</v>
      </c>
      <c r="W41" s="56">
        <v>708306</v>
      </c>
      <c r="X41" s="79">
        <v>14</v>
      </c>
      <c r="Y41" s="56">
        <v>34</v>
      </c>
      <c r="Z41" s="67" t="s">
        <v>29</v>
      </c>
      <c r="AA41" s="68">
        <f t="shared" si="3"/>
        <v>0.41176470588235292</v>
      </c>
      <c r="AB41" s="92">
        <f t="shared" si="0"/>
        <v>0</v>
      </c>
      <c r="AC41" s="92">
        <f>IFERROR(Table16[[#This Row],[Quantity Needed for repair]]*Table16[[#This Row],[Evaluated]],"")</f>
        <v>0</v>
      </c>
    </row>
    <row r="42" spans="1:33" x14ac:dyDescent="0.35">
      <c r="A42" s="89" t="s">
        <v>395</v>
      </c>
      <c r="B42" s="90">
        <v>13172294</v>
      </c>
      <c r="C42" s="95"/>
      <c r="D42" s="64"/>
      <c r="E42" s="64">
        <v>3</v>
      </c>
      <c r="F42" s="56" t="s">
        <v>363</v>
      </c>
      <c r="G42" s="56">
        <v>12904353</v>
      </c>
      <c r="H42" s="56" t="s">
        <v>315</v>
      </c>
      <c r="I42" s="56" t="s">
        <v>367</v>
      </c>
      <c r="J42" s="56" t="s">
        <v>29</v>
      </c>
      <c r="K42" s="56">
        <v>1005462</v>
      </c>
      <c r="L42" s="65">
        <v>44473</v>
      </c>
      <c r="M42" s="56" t="s">
        <v>352</v>
      </c>
      <c r="N42" s="56" t="s">
        <v>29</v>
      </c>
      <c r="O42" s="56" t="s">
        <v>29</v>
      </c>
      <c r="P42" s="56" t="s">
        <v>29</v>
      </c>
      <c r="Q42" s="66" t="str">
        <f t="shared" si="2"/>
        <v/>
      </c>
      <c r="R42" s="56" t="s">
        <v>29</v>
      </c>
      <c r="S42" s="56" t="s">
        <v>29</v>
      </c>
      <c r="T42" s="56" t="s">
        <v>29</v>
      </c>
      <c r="U42" s="56" t="s">
        <v>29</v>
      </c>
      <c r="V42" s="56">
        <v>4</v>
      </c>
      <c r="W42" s="56">
        <v>871781</v>
      </c>
      <c r="X42" s="79" t="s">
        <v>29</v>
      </c>
      <c r="Y42" s="56">
        <v>4</v>
      </c>
      <c r="Z42" s="67" t="s">
        <v>29</v>
      </c>
      <c r="AA42" s="68" t="str">
        <f t="shared" si="3"/>
        <v/>
      </c>
      <c r="AB42" s="92">
        <f t="shared" si="0"/>
        <v>0</v>
      </c>
      <c r="AC42" s="92" t="str">
        <f>IFERROR(Table16[[#This Row],[Quantity Needed for repair]]*Table16[[#This Row],[Evaluated]],"")</f>
        <v/>
      </c>
    </row>
    <row r="43" spans="1:33" ht="15" thickBot="1" x14ac:dyDescent="0.4">
      <c r="A43" s="89" t="s">
        <v>396</v>
      </c>
      <c r="B43" s="90">
        <v>13206943</v>
      </c>
      <c r="C43" s="95">
        <v>0</v>
      </c>
      <c r="D43" s="64"/>
      <c r="E43" s="69">
        <v>3</v>
      </c>
      <c r="F43" s="70" t="s">
        <v>363</v>
      </c>
      <c r="G43" s="70">
        <v>12904353</v>
      </c>
      <c r="H43" s="70" t="s">
        <v>315</v>
      </c>
      <c r="I43" s="70" t="s">
        <v>367</v>
      </c>
      <c r="J43" s="70" t="s">
        <v>29</v>
      </c>
      <c r="K43" s="70">
        <v>1005462</v>
      </c>
      <c r="L43" s="71">
        <v>44473</v>
      </c>
      <c r="M43" s="70" t="s">
        <v>352</v>
      </c>
      <c r="N43" s="70" t="s">
        <v>29</v>
      </c>
      <c r="O43" s="70" t="s">
        <v>29</v>
      </c>
      <c r="P43" s="70" t="s">
        <v>29</v>
      </c>
      <c r="Q43" s="72" t="str">
        <f t="shared" si="2"/>
        <v/>
      </c>
      <c r="R43" s="70" t="s">
        <v>29</v>
      </c>
      <c r="S43" s="70" t="s">
        <v>29</v>
      </c>
      <c r="T43" s="70" t="s">
        <v>29</v>
      </c>
      <c r="U43" s="70" t="s">
        <v>29</v>
      </c>
      <c r="V43" s="70">
        <v>5</v>
      </c>
      <c r="W43" s="70">
        <v>418525</v>
      </c>
      <c r="X43" s="80">
        <v>4</v>
      </c>
      <c r="Y43" s="70">
        <v>4</v>
      </c>
      <c r="Z43" s="73" t="s">
        <v>29</v>
      </c>
      <c r="AA43" s="74">
        <f t="shared" si="3"/>
        <v>1</v>
      </c>
      <c r="AB43" s="93">
        <f t="shared" si="0"/>
        <v>0</v>
      </c>
      <c r="AC43" s="93">
        <f>IFERROR(Table16[[#This Row],[Quantity Needed for repair]]*Table16[[#This Row],[Evaluated]],"")</f>
        <v>0</v>
      </c>
    </row>
    <row r="44" spans="1:33" x14ac:dyDescent="0.35">
      <c r="A44" s="89" t="s">
        <v>397</v>
      </c>
      <c r="B44" s="90">
        <v>13261211</v>
      </c>
      <c r="C44" s="95">
        <v>0</v>
      </c>
      <c r="D44" s="64"/>
      <c r="E44" s="57">
        <v>3</v>
      </c>
      <c r="F44" s="58" t="s">
        <v>364</v>
      </c>
      <c r="G44" s="58">
        <v>12831836</v>
      </c>
      <c r="H44" s="58" t="s">
        <v>315</v>
      </c>
      <c r="I44" s="58" t="s">
        <v>367</v>
      </c>
      <c r="J44" s="58" t="s">
        <v>29</v>
      </c>
      <c r="K44" s="58">
        <v>780769</v>
      </c>
      <c r="L44" s="59">
        <v>44473</v>
      </c>
      <c r="M44" s="58" t="s">
        <v>352</v>
      </c>
      <c r="N44" s="58" t="s">
        <v>29</v>
      </c>
      <c r="O44" s="58" t="s">
        <v>29</v>
      </c>
      <c r="P44" s="58" t="s">
        <v>29</v>
      </c>
      <c r="Q44" s="60" t="str">
        <f t="shared" si="2"/>
        <v/>
      </c>
      <c r="R44" s="58" t="s">
        <v>29</v>
      </c>
      <c r="S44" s="58" t="s">
        <v>29</v>
      </c>
      <c r="T44" s="58" t="s">
        <v>29</v>
      </c>
      <c r="U44" s="58" t="s">
        <v>29</v>
      </c>
      <c r="V44" s="58">
        <v>1</v>
      </c>
      <c r="W44" s="58">
        <v>745576</v>
      </c>
      <c r="X44" s="78">
        <v>5</v>
      </c>
      <c r="Y44" s="58">
        <v>36</v>
      </c>
      <c r="Z44" s="61" t="s">
        <v>29</v>
      </c>
      <c r="AA44" s="62">
        <f t="shared" si="3"/>
        <v>0.1388888888888889</v>
      </c>
      <c r="AB44" s="91">
        <f t="shared" si="0"/>
        <v>0</v>
      </c>
      <c r="AC44" s="91">
        <f>IFERROR(Table16[[#This Row],[Quantity Needed for repair]]*Table16[[#This Row],[Evaluated]],"")</f>
        <v>0</v>
      </c>
    </row>
    <row r="45" spans="1:33" x14ac:dyDescent="0.35">
      <c r="A45" s="89" t="s">
        <v>398</v>
      </c>
      <c r="B45" s="90">
        <v>13249607</v>
      </c>
      <c r="C45" s="95">
        <v>0</v>
      </c>
      <c r="D45" s="64"/>
      <c r="E45" s="64">
        <v>3</v>
      </c>
      <c r="F45" s="56" t="s">
        <v>364</v>
      </c>
      <c r="G45" s="56">
        <v>12831836</v>
      </c>
      <c r="H45" s="56" t="s">
        <v>315</v>
      </c>
      <c r="I45" s="56" t="s">
        <v>367</v>
      </c>
      <c r="J45" s="56" t="s">
        <v>29</v>
      </c>
      <c r="K45" s="56">
        <v>780769</v>
      </c>
      <c r="L45" s="65">
        <v>44473</v>
      </c>
      <c r="M45" s="56" t="s">
        <v>352</v>
      </c>
      <c r="N45" s="56" t="s">
        <v>29</v>
      </c>
      <c r="O45" s="56" t="s">
        <v>29</v>
      </c>
      <c r="P45" s="56" t="s">
        <v>29</v>
      </c>
      <c r="Q45" s="66" t="str">
        <f t="shared" si="2"/>
        <v/>
      </c>
      <c r="R45" s="56" t="s">
        <v>29</v>
      </c>
      <c r="S45" s="56" t="s">
        <v>29</v>
      </c>
      <c r="T45" s="56" t="s">
        <v>29</v>
      </c>
      <c r="U45" s="56" t="s">
        <v>29</v>
      </c>
      <c r="V45" s="56">
        <v>2</v>
      </c>
      <c r="W45" s="56">
        <v>729691</v>
      </c>
      <c r="X45" s="79">
        <v>4</v>
      </c>
      <c r="Y45" s="56">
        <v>13</v>
      </c>
      <c r="Z45" s="67" t="s">
        <v>29</v>
      </c>
      <c r="AA45" s="68">
        <f t="shared" si="3"/>
        <v>0.30769230769230771</v>
      </c>
      <c r="AB45" s="92">
        <f t="shared" si="0"/>
        <v>0</v>
      </c>
      <c r="AC45" s="92">
        <f>IFERROR(Table16[[#This Row],[Quantity Needed for repair]]*Table16[[#This Row],[Evaluated]],"")</f>
        <v>0</v>
      </c>
    </row>
    <row r="46" spans="1:33" x14ac:dyDescent="0.35">
      <c r="A46" s="89" t="s">
        <v>399</v>
      </c>
      <c r="B46" s="90">
        <v>13220346</v>
      </c>
      <c r="C46" s="95"/>
      <c r="D46" s="64"/>
      <c r="E46" s="64">
        <v>3</v>
      </c>
      <c r="F46" s="56" t="s">
        <v>364</v>
      </c>
      <c r="G46" s="56">
        <v>12831836</v>
      </c>
      <c r="H46" s="56" t="s">
        <v>315</v>
      </c>
      <c r="I46" s="56" t="s">
        <v>367</v>
      </c>
      <c r="J46" s="56" t="s">
        <v>29</v>
      </c>
      <c r="K46" s="56">
        <v>780769</v>
      </c>
      <c r="L46" s="65">
        <v>44473</v>
      </c>
      <c r="M46" s="56" t="s">
        <v>352</v>
      </c>
      <c r="N46" s="56" t="s">
        <v>29</v>
      </c>
      <c r="O46" s="56" t="s">
        <v>29</v>
      </c>
      <c r="P46" s="56" t="s">
        <v>29</v>
      </c>
      <c r="Q46" s="66" t="str">
        <f t="shared" si="2"/>
        <v/>
      </c>
      <c r="R46" s="56" t="s">
        <v>29</v>
      </c>
      <c r="S46" s="56" t="s">
        <v>29</v>
      </c>
      <c r="T46" s="56" t="s">
        <v>29</v>
      </c>
      <c r="U46" s="56" t="s">
        <v>29</v>
      </c>
      <c r="V46" s="56">
        <v>3</v>
      </c>
      <c r="W46" s="56">
        <v>375538</v>
      </c>
      <c r="X46" s="79">
        <v>1</v>
      </c>
      <c r="Y46" s="56">
        <v>16</v>
      </c>
      <c r="Z46" s="67" t="s">
        <v>29</v>
      </c>
      <c r="AA46" s="68">
        <f t="shared" si="3"/>
        <v>6.25E-2</v>
      </c>
      <c r="AB46" s="92">
        <f t="shared" si="0"/>
        <v>0</v>
      </c>
      <c r="AC46" s="92">
        <f>IFERROR(Table16[[#This Row],[Quantity Needed for repair]]*Table16[[#This Row],[Evaluated]],"")</f>
        <v>0</v>
      </c>
    </row>
    <row r="47" spans="1:33" x14ac:dyDescent="0.35">
      <c r="A47" s="89" t="s">
        <v>400</v>
      </c>
      <c r="B47" s="90">
        <v>13235598</v>
      </c>
      <c r="C47" s="95"/>
      <c r="D47" s="64"/>
      <c r="E47" s="64">
        <v>3</v>
      </c>
      <c r="F47" s="56" t="s">
        <v>364</v>
      </c>
      <c r="G47" s="56">
        <v>12831836</v>
      </c>
      <c r="H47" s="56" t="s">
        <v>315</v>
      </c>
      <c r="I47" s="56" t="s">
        <v>367</v>
      </c>
      <c r="J47" s="56" t="s">
        <v>29</v>
      </c>
      <c r="K47" s="56">
        <v>780769</v>
      </c>
      <c r="L47" s="65">
        <v>44473</v>
      </c>
      <c r="M47" s="56" t="s">
        <v>352</v>
      </c>
      <c r="N47" s="56" t="s">
        <v>29</v>
      </c>
      <c r="O47" s="56" t="s">
        <v>29</v>
      </c>
      <c r="P47" s="56" t="s">
        <v>29</v>
      </c>
      <c r="Q47" s="66" t="str">
        <f t="shared" si="2"/>
        <v/>
      </c>
      <c r="R47" s="56" t="s">
        <v>29</v>
      </c>
      <c r="S47" s="56" t="s">
        <v>29</v>
      </c>
      <c r="T47" s="56" t="s">
        <v>29</v>
      </c>
      <c r="U47" s="56" t="s">
        <v>29</v>
      </c>
      <c r="V47" s="56">
        <v>4</v>
      </c>
      <c r="W47" s="56">
        <v>418525</v>
      </c>
      <c r="X47" s="79">
        <v>8</v>
      </c>
      <c r="Y47" s="56">
        <v>8</v>
      </c>
      <c r="Z47" s="67" t="s">
        <v>29</v>
      </c>
      <c r="AA47" s="68">
        <f t="shared" si="3"/>
        <v>1</v>
      </c>
      <c r="AB47" s="92">
        <f t="shared" si="0"/>
        <v>0</v>
      </c>
      <c r="AC47" s="92">
        <f>IFERROR(Table16[[#This Row],[Quantity Needed for repair]]*Table16[[#This Row],[Evaluated]],"")</f>
        <v>0</v>
      </c>
    </row>
    <row r="48" spans="1:33" x14ac:dyDescent="0.35">
      <c r="A48" s="89" t="s">
        <v>401</v>
      </c>
      <c r="B48" s="90">
        <v>13220350</v>
      </c>
      <c r="C48" s="95">
        <v>0</v>
      </c>
      <c r="D48" s="64"/>
      <c r="E48" s="64">
        <v>3</v>
      </c>
      <c r="F48" s="56" t="s">
        <v>364</v>
      </c>
      <c r="G48" s="56">
        <v>12831836</v>
      </c>
      <c r="H48" s="56" t="s">
        <v>315</v>
      </c>
      <c r="I48" s="56" t="s">
        <v>367</v>
      </c>
      <c r="J48" s="56" t="s">
        <v>29</v>
      </c>
      <c r="K48" s="56">
        <v>780769</v>
      </c>
      <c r="L48" s="65">
        <v>44473</v>
      </c>
      <c r="M48" s="56" t="s">
        <v>352</v>
      </c>
      <c r="N48" s="56" t="s">
        <v>29</v>
      </c>
      <c r="O48" s="56" t="s">
        <v>29</v>
      </c>
      <c r="P48" s="56" t="s">
        <v>29</v>
      </c>
      <c r="Q48" s="66" t="str">
        <f t="shared" si="2"/>
        <v/>
      </c>
      <c r="R48" s="56" t="s">
        <v>29</v>
      </c>
      <c r="S48" s="56" t="s">
        <v>29</v>
      </c>
      <c r="T48" s="56" t="s">
        <v>29</v>
      </c>
      <c r="U48" s="56" t="s">
        <v>29</v>
      </c>
      <c r="V48" s="56">
        <v>5</v>
      </c>
      <c r="W48" s="56">
        <v>647436</v>
      </c>
      <c r="X48" s="79">
        <v>8</v>
      </c>
      <c r="Y48" s="56">
        <v>8</v>
      </c>
      <c r="Z48" s="67" t="s">
        <v>29</v>
      </c>
      <c r="AA48" s="68">
        <f t="shared" si="3"/>
        <v>1</v>
      </c>
      <c r="AB48" s="92">
        <f t="shared" si="0"/>
        <v>0</v>
      </c>
      <c r="AC48" s="92">
        <f>IFERROR(Table16[[#This Row],[Quantity Needed for repair]]*Table16[[#This Row],[Evaluated]],"")</f>
        <v>0</v>
      </c>
    </row>
    <row r="49" spans="1:29" ht="15" thickBot="1" x14ac:dyDescent="0.4">
      <c r="A49" s="89" t="s">
        <v>402</v>
      </c>
      <c r="B49" s="90">
        <v>13261207</v>
      </c>
      <c r="C49" s="95">
        <v>0</v>
      </c>
      <c r="D49" s="64"/>
      <c r="E49" s="69">
        <v>3</v>
      </c>
      <c r="F49" s="70" t="s">
        <v>364</v>
      </c>
      <c r="G49" s="70">
        <v>12831836</v>
      </c>
      <c r="H49" s="70" t="s">
        <v>315</v>
      </c>
      <c r="I49" s="70" t="s">
        <v>367</v>
      </c>
      <c r="J49" s="70" t="s">
        <v>29</v>
      </c>
      <c r="K49" s="70">
        <v>780769</v>
      </c>
      <c r="L49" s="71">
        <v>44473</v>
      </c>
      <c r="M49" s="70" t="s">
        <v>352</v>
      </c>
      <c r="N49" s="70" t="s">
        <v>29</v>
      </c>
      <c r="O49" s="70" t="s">
        <v>29</v>
      </c>
      <c r="P49" s="70" t="s">
        <v>29</v>
      </c>
      <c r="Q49" s="72" t="str">
        <f t="shared" si="2"/>
        <v/>
      </c>
      <c r="R49" s="70" t="s">
        <v>29</v>
      </c>
      <c r="S49" s="70" t="s">
        <v>29</v>
      </c>
      <c r="T49" s="70" t="s">
        <v>29</v>
      </c>
      <c r="U49" s="70" t="s">
        <v>29</v>
      </c>
      <c r="V49" s="70">
        <v>6</v>
      </c>
      <c r="W49" s="70">
        <v>871781</v>
      </c>
      <c r="X49" s="80">
        <v>2</v>
      </c>
      <c r="Y49" s="70">
        <v>8</v>
      </c>
      <c r="Z49" s="73" t="s">
        <v>29</v>
      </c>
      <c r="AA49" s="74">
        <f t="shared" si="3"/>
        <v>0.25</v>
      </c>
      <c r="AB49" s="93">
        <f t="shared" si="0"/>
        <v>0</v>
      </c>
      <c r="AC49" s="93">
        <f>IFERROR(Table16[[#This Row],[Quantity Needed for repair]]*Table16[[#This Row],[Evaluated]],"")</f>
        <v>0</v>
      </c>
    </row>
    <row r="50" spans="1:29" x14ac:dyDescent="0.35">
      <c r="A50" s="89" t="s">
        <v>403</v>
      </c>
      <c r="B50" s="90">
        <v>13264301</v>
      </c>
      <c r="C50" s="95"/>
      <c r="D50" s="64"/>
      <c r="E50" s="57">
        <v>3</v>
      </c>
      <c r="F50" s="58" t="s">
        <v>365</v>
      </c>
      <c r="G50" s="58">
        <v>12904355</v>
      </c>
      <c r="H50" s="58" t="s">
        <v>315</v>
      </c>
      <c r="I50" s="58" t="s">
        <v>367</v>
      </c>
      <c r="J50" s="58" t="s">
        <v>29</v>
      </c>
      <c r="K50" s="58">
        <v>1005462</v>
      </c>
      <c r="L50" s="59">
        <v>44473</v>
      </c>
      <c r="M50" s="58" t="s">
        <v>352</v>
      </c>
      <c r="N50" s="58" t="s">
        <v>29</v>
      </c>
      <c r="O50" s="58" t="s">
        <v>29</v>
      </c>
      <c r="P50" s="58" t="s">
        <v>29</v>
      </c>
      <c r="Q50" s="60" t="str">
        <f t="shared" si="2"/>
        <v/>
      </c>
      <c r="R50" s="58" t="s">
        <v>29</v>
      </c>
      <c r="S50" s="58" t="s">
        <v>29</v>
      </c>
      <c r="T50" s="58" t="s">
        <v>29</v>
      </c>
      <c r="U50" s="58" t="s">
        <v>29</v>
      </c>
      <c r="V50" s="58">
        <v>1</v>
      </c>
      <c r="W50" s="58">
        <v>1130200</v>
      </c>
      <c r="X50" s="78">
        <v>13</v>
      </c>
      <c r="Y50" s="58">
        <v>48</v>
      </c>
      <c r="Z50" s="61" t="s">
        <v>29</v>
      </c>
      <c r="AA50" s="62">
        <f t="shared" si="3"/>
        <v>0.27083333333333331</v>
      </c>
      <c r="AB50" s="91">
        <f t="shared" si="0"/>
        <v>0</v>
      </c>
      <c r="AC50" s="91">
        <f>IFERROR(Table16[[#This Row],[Quantity Needed for repair]]*Table16[[#This Row],[Evaluated]],"")</f>
        <v>0</v>
      </c>
    </row>
    <row r="51" spans="1:29" x14ac:dyDescent="0.35">
      <c r="A51" s="89" t="s">
        <v>404</v>
      </c>
      <c r="B51" s="90">
        <v>12819980</v>
      </c>
      <c r="C51" s="95"/>
      <c r="D51" s="64"/>
      <c r="E51" s="64">
        <v>3</v>
      </c>
      <c r="F51" s="56" t="s">
        <v>365</v>
      </c>
      <c r="G51" s="56">
        <v>12904355</v>
      </c>
      <c r="H51" s="56" t="s">
        <v>315</v>
      </c>
      <c r="I51" s="56" t="s">
        <v>367</v>
      </c>
      <c r="J51" s="56" t="s">
        <v>29</v>
      </c>
      <c r="K51" s="56">
        <v>1005462</v>
      </c>
      <c r="L51" s="65">
        <v>44473</v>
      </c>
      <c r="M51" s="56" t="s">
        <v>352</v>
      </c>
      <c r="N51" s="56" t="s">
        <v>29</v>
      </c>
      <c r="O51" s="56" t="s">
        <v>29</v>
      </c>
      <c r="P51" s="56" t="s">
        <v>29</v>
      </c>
      <c r="Q51" s="66" t="str">
        <f t="shared" si="2"/>
        <v/>
      </c>
      <c r="R51" s="56" t="s">
        <v>29</v>
      </c>
      <c r="S51" s="56" t="s">
        <v>29</v>
      </c>
      <c r="T51" s="56" t="s">
        <v>29</v>
      </c>
      <c r="U51" s="56" t="s">
        <v>29</v>
      </c>
      <c r="V51" s="56">
        <v>2</v>
      </c>
      <c r="W51" s="56">
        <v>1130198</v>
      </c>
      <c r="X51" s="79" t="s">
        <v>29</v>
      </c>
      <c r="Y51" s="56">
        <v>9</v>
      </c>
      <c r="Z51" s="67" t="s">
        <v>29</v>
      </c>
      <c r="AA51" s="68" t="str">
        <f t="shared" si="3"/>
        <v/>
      </c>
      <c r="AB51" s="92">
        <f t="shared" si="0"/>
        <v>0</v>
      </c>
      <c r="AC51" s="92" t="str">
        <f>IFERROR(Table16[[#This Row],[Quantity Needed for repair]]*Table16[[#This Row],[Evaluated]],"")</f>
        <v/>
      </c>
    </row>
    <row r="52" spans="1:29" x14ac:dyDescent="0.35">
      <c r="A52" s="89" t="s">
        <v>405</v>
      </c>
      <c r="B52" s="90">
        <v>12801307</v>
      </c>
      <c r="C52" s="95">
        <v>0</v>
      </c>
      <c r="D52" s="64"/>
      <c r="E52" s="64">
        <v>3</v>
      </c>
      <c r="F52" s="56" t="s">
        <v>365</v>
      </c>
      <c r="G52" s="56">
        <v>12904355</v>
      </c>
      <c r="H52" s="56" t="s">
        <v>315</v>
      </c>
      <c r="I52" s="56" t="s">
        <v>367</v>
      </c>
      <c r="J52" s="56" t="s">
        <v>29</v>
      </c>
      <c r="K52" s="56">
        <v>1005462</v>
      </c>
      <c r="L52" s="65">
        <v>44473</v>
      </c>
      <c r="M52" s="56" t="s">
        <v>352</v>
      </c>
      <c r="N52" s="56" t="s">
        <v>29</v>
      </c>
      <c r="O52" s="56" t="s">
        <v>29</v>
      </c>
      <c r="P52" s="56" t="s">
        <v>29</v>
      </c>
      <c r="Q52" s="66" t="str">
        <f t="shared" si="2"/>
        <v/>
      </c>
      <c r="R52" s="56" t="s">
        <v>29</v>
      </c>
      <c r="S52" s="56" t="s">
        <v>29</v>
      </c>
      <c r="T52" s="56" t="s">
        <v>29</v>
      </c>
      <c r="U52" s="56" t="s">
        <v>29</v>
      </c>
      <c r="V52" s="56">
        <v>3</v>
      </c>
      <c r="W52" s="56">
        <v>708306</v>
      </c>
      <c r="X52" s="79">
        <v>5</v>
      </c>
      <c r="Y52" s="56">
        <v>34</v>
      </c>
      <c r="Z52" s="67" t="s">
        <v>29</v>
      </c>
      <c r="AA52" s="68">
        <f t="shared" si="3"/>
        <v>0.14705882352941177</v>
      </c>
      <c r="AB52" s="92">
        <f t="shared" si="0"/>
        <v>0</v>
      </c>
      <c r="AC52" s="92">
        <f>IFERROR(Table16[[#This Row],[Quantity Needed for repair]]*Table16[[#This Row],[Evaluated]],"")</f>
        <v>0</v>
      </c>
    </row>
    <row r="53" spans="1:29" x14ac:dyDescent="0.35">
      <c r="A53" s="89" t="s">
        <v>406</v>
      </c>
      <c r="B53" s="90">
        <v>12801309</v>
      </c>
      <c r="C53" s="95"/>
      <c r="D53" s="64"/>
      <c r="E53" s="64">
        <v>3</v>
      </c>
      <c r="F53" s="56" t="s">
        <v>365</v>
      </c>
      <c r="G53" s="56">
        <v>12904355</v>
      </c>
      <c r="H53" s="56" t="s">
        <v>315</v>
      </c>
      <c r="I53" s="56" t="s">
        <v>367</v>
      </c>
      <c r="J53" s="56" t="s">
        <v>29</v>
      </c>
      <c r="K53" s="56">
        <v>1005462</v>
      </c>
      <c r="L53" s="65">
        <v>44473</v>
      </c>
      <c r="M53" s="56" t="s">
        <v>352</v>
      </c>
      <c r="N53" s="56" t="s">
        <v>29</v>
      </c>
      <c r="O53" s="56" t="s">
        <v>29</v>
      </c>
      <c r="P53" s="56" t="s">
        <v>29</v>
      </c>
      <c r="Q53" s="66" t="str">
        <f t="shared" si="2"/>
        <v/>
      </c>
      <c r="R53" s="56" t="s">
        <v>29</v>
      </c>
      <c r="S53" s="56" t="s">
        <v>29</v>
      </c>
      <c r="T53" s="56" t="s">
        <v>29</v>
      </c>
      <c r="U53" s="56" t="s">
        <v>29</v>
      </c>
      <c r="V53" s="56">
        <v>4</v>
      </c>
      <c r="W53" s="56">
        <v>871781</v>
      </c>
      <c r="X53" s="79" t="s">
        <v>29</v>
      </c>
      <c r="Y53" s="56">
        <v>4</v>
      </c>
      <c r="Z53" s="67" t="s">
        <v>29</v>
      </c>
      <c r="AA53" s="68" t="str">
        <f t="shared" si="3"/>
        <v/>
      </c>
      <c r="AB53" s="92">
        <f t="shared" si="0"/>
        <v>0</v>
      </c>
      <c r="AC53" s="92" t="str">
        <f>IFERROR(Table16[[#This Row],[Quantity Needed for repair]]*Table16[[#This Row],[Evaluated]],"")</f>
        <v/>
      </c>
    </row>
    <row r="54" spans="1:29" ht="15" thickBot="1" x14ac:dyDescent="0.4">
      <c r="A54" s="89" t="s">
        <v>407</v>
      </c>
      <c r="B54" s="90">
        <v>12877917</v>
      </c>
      <c r="C54" s="95"/>
      <c r="D54" s="64"/>
      <c r="E54" s="69">
        <v>3</v>
      </c>
      <c r="F54" s="70" t="s">
        <v>365</v>
      </c>
      <c r="G54" s="70">
        <v>12904355</v>
      </c>
      <c r="H54" s="70" t="s">
        <v>315</v>
      </c>
      <c r="I54" s="70" t="s">
        <v>367</v>
      </c>
      <c r="J54" s="70" t="s">
        <v>29</v>
      </c>
      <c r="K54" s="70">
        <v>1005462</v>
      </c>
      <c r="L54" s="71">
        <v>44473</v>
      </c>
      <c r="M54" s="70" t="s">
        <v>352</v>
      </c>
      <c r="N54" s="70" t="s">
        <v>29</v>
      </c>
      <c r="O54" s="70" t="s">
        <v>29</v>
      </c>
      <c r="P54" s="70" t="s">
        <v>29</v>
      </c>
      <c r="Q54" s="72" t="str">
        <f t="shared" si="2"/>
        <v/>
      </c>
      <c r="R54" s="70" t="s">
        <v>29</v>
      </c>
      <c r="S54" s="70" t="s">
        <v>29</v>
      </c>
      <c r="T54" s="70" t="s">
        <v>29</v>
      </c>
      <c r="U54" s="70" t="s">
        <v>29</v>
      </c>
      <c r="V54" s="70">
        <v>5</v>
      </c>
      <c r="W54" s="70">
        <v>418525</v>
      </c>
      <c r="X54" s="80">
        <v>4</v>
      </c>
      <c r="Y54" s="70">
        <v>4</v>
      </c>
      <c r="Z54" s="73" t="s">
        <v>29</v>
      </c>
      <c r="AA54" s="74">
        <f t="shared" si="3"/>
        <v>1</v>
      </c>
      <c r="AB54" s="93">
        <f t="shared" si="0"/>
        <v>0</v>
      </c>
      <c r="AC54" s="93">
        <f>IFERROR(Table16[[#This Row],[Quantity Needed for repair]]*Table16[[#This Row],[Evaluated]],"")</f>
        <v>0</v>
      </c>
    </row>
    <row r="55" spans="1:29" x14ac:dyDescent="0.35">
      <c r="A55" s="89" t="s">
        <v>408</v>
      </c>
      <c r="B55" s="90">
        <v>12925390</v>
      </c>
      <c r="C55" s="95">
        <v>0</v>
      </c>
      <c r="D55" s="64"/>
      <c r="E55" s="57">
        <v>3</v>
      </c>
      <c r="F55" s="58" t="s">
        <v>366</v>
      </c>
      <c r="G55" s="58">
        <v>12925425</v>
      </c>
      <c r="H55" s="58" t="s">
        <v>315</v>
      </c>
      <c r="I55" s="58" t="s">
        <v>367</v>
      </c>
      <c r="J55" s="58" t="s">
        <v>29</v>
      </c>
      <c r="K55" s="58">
        <v>1005462</v>
      </c>
      <c r="L55" s="59">
        <v>44473</v>
      </c>
      <c r="M55" s="58" t="s">
        <v>352</v>
      </c>
      <c r="N55" s="58" t="s">
        <v>29</v>
      </c>
      <c r="O55" s="58" t="s">
        <v>29</v>
      </c>
      <c r="P55" s="58" t="s">
        <v>29</v>
      </c>
      <c r="Q55" s="60" t="str">
        <f t="shared" si="2"/>
        <v/>
      </c>
      <c r="R55" s="58" t="s">
        <v>29</v>
      </c>
      <c r="S55" s="58" t="s">
        <v>29</v>
      </c>
      <c r="T55" s="58" t="s">
        <v>29</v>
      </c>
      <c r="U55" s="58" t="s">
        <v>29</v>
      </c>
      <c r="V55" s="58">
        <v>1</v>
      </c>
      <c r="W55" s="58">
        <v>1130200</v>
      </c>
      <c r="X55" s="58"/>
      <c r="Y55" s="58">
        <v>48</v>
      </c>
      <c r="Z55" s="61" t="s">
        <v>29</v>
      </c>
      <c r="AA55" s="62">
        <f t="shared" si="3"/>
        <v>0</v>
      </c>
      <c r="AB55" s="91">
        <f t="shared" si="0"/>
        <v>0</v>
      </c>
      <c r="AC55" s="91">
        <f>IFERROR(Table16[[#This Row],[Quantity Needed for repair]]*Table16[[#This Row],[Evaluated]],"")</f>
        <v>0</v>
      </c>
    </row>
    <row r="56" spans="1:29" x14ac:dyDescent="0.35">
      <c r="A56" s="89" t="s">
        <v>409</v>
      </c>
      <c r="B56" s="90">
        <v>12955818</v>
      </c>
      <c r="C56" s="95"/>
      <c r="D56" s="64"/>
      <c r="E56" s="64">
        <v>3</v>
      </c>
      <c r="F56" s="56" t="s">
        <v>366</v>
      </c>
      <c r="G56" s="56">
        <v>12925425</v>
      </c>
      <c r="H56" s="56" t="s">
        <v>315</v>
      </c>
      <c r="I56" s="56" t="s">
        <v>367</v>
      </c>
      <c r="J56" s="56" t="s">
        <v>29</v>
      </c>
      <c r="K56" s="56">
        <v>1005462</v>
      </c>
      <c r="L56" s="65">
        <v>44473</v>
      </c>
      <c r="M56" s="56" t="s">
        <v>352</v>
      </c>
      <c r="N56" s="56" t="s">
        <v>29</v>
      </c>
      <c r="O56" s="56" t="s">
        <v>29</v>
      </c>
      <c r="P56" s="56" t="s">
        <v>29</v>
      </c>
      <c r="Q56" s="66" t="str">
        <f t="shared" si="2"/>
        <v/>
      </c>
      <c r="R56" s="56" t="s">
        <v>29</v>
      </c>
      <c r="S56" s="56" t="s">
        <v>29</v>
      </c>
      <c r="T56" s="56" t="s">
        <v>29</v>
      </c>
      <c r="U56" s="56" t="s">
        <v>29</v>
      </c>
      <c r="V56" s="56">
        <v>2</v>
      </c>
      <c r="W56" s="56">
        <v>1130198</v>
      </c>
      <c r="Y56" s="56">
        <v>9</v>
      </c>
      <c r="Z56" s="67" t="s">
        <v>29</v>
      </c>
      <c r="AA56" s="68">
        <f t="shared" si="3"/>
        <v>0</v>
      </c>
      <c r="AB56" s="92">
        <f t="shared" si="0"/>
        <v>0</v>
      </c>
      <c r="AC56" s="92">
        <f>IFERROR(Table16[[#This Row],[Quantity Needed for repair]]*Table16[[#This Row],[Evaluated]],"")</f>
        <v>0</v>
      </c>
    </row>
    <row r="57" spans="1:29" x14ac:dyDescent="0.35">
      <c r="A57" s="89" t="s">
        <v>410</v>
      </c>
      <c r="B57" s="90">
        <v>13015735</v>
      </c>
      <c r="C57" s="95">
        <v>0</v>
      </c>
      <c r="D57" s="64"/>
      <c r="E57" s="64">
        <v>3</v>
      </c>
      <c r="F57" s="56" t="s">
        <v>366</v>
      </c>
      <c r="G57" s="56">
        <v>12925425</v>
      </c>
      <c r="H57" s="56" t="s">
        <v>315</v>
      </c>
      <c r="I57" s="56" t="s">
        <v>367</v>
      </c>
      <c r="J57" s="56" t="s">
        <v>29</v>
      </c>
      <c r="K57" s="56">
        <v>1005462</v>
      </c>
      <c r="L57" s="65">
        <v>44473</v>
      </c>
      <c r="M57" s="56" t="s">
        <v>352</v>
      </c>
      <c r="N57" s="56" t="s">
        <v>29</v>
      </c>
      <c r="O57" s="56" t="s">
        <v>29</v>
      </c>
      <c r="P57" s="56" t="s">
        <v>29</v>
      </c>
      <c r="Q57" s="66" t="str">
        <f t="shared" si="2"/>
        <v/>
      </c>
      <c r="R57" s="56" t="s">
        <v>29</v>
      </c>
      <c r="S57" s="56" t="s">
        <v>29</v>
      </c>
      <c r="T57" s="56" t="s">
        <v>29</v>
      </c>
      <c r="U57" s="56" t="s">
        <v>29</v>
      </c>
      <c r="V57" s="56">
        <v>3</v>
      </c>
      <c r="W57" s="56">
        <v>708306</v>
      </c>
      <c r="Y57" s="56">
        <v>34</v>
      </c>
      <c r="Z57" s="67" t="s">
        <v>29</v>
      </c>
      <c r="AA57" s="68">
        <f t="shared" si="3"/>
        <v>0</v>
      </c>
      <c r="AB57" s="92">
        <f t="shared" si="0"/>
        <v>0</v>
      </c>
      <c r="AC57" s="92">
        <f>IFERROR(Table16[[#This Row],[Quantity Needed for repair]]*Table16[[#This Row],[Evaluated]],"")</f>
        <v>0</v>
      </c>
    </row>
    <row r="58" spans="1:29" x14ac:dyDescent="0.35">
      <c r="A58" s="89" t="s">
        <v>411</v>
      </c>
      <c r="B58" s="90">
        <v>12871286</v>
      </c>
      <c r="C58" s="95">
        <v>0</v>
      </c>
      <c r="D58" s="64"/>
      <c r="E58" s="64">
        <v>3</v>
      </c>
      <c r="F58" s="56" t="s">
        <v>366</v>
      </c>
      <c r="G58" s="56">
        <v>12925425</v>
      </c>
      <c r="H58" s="56" t="s">
        <v>315</v>
      </c>
      <c r="I58" s="56" t="s">
        <v>367</v>
      </c>
      <c r="J58" s="56" t="s">
        <v>29</v>
      </c>
      <c r="K58" s="56">
        <v>1005462</v>
      </c>
      <c r="L58" s="65">
        <v>44473</v>
      </c>
      <c r="M58" s="56" t="s">
        <v>352</v>
      </c>
      <c r="N58" s="56" t="s">
        <v>29</v>
      </c>
      <c r="O58" s="56" t="s">
        <v>29</v>
      </c>
      <c r="P58" s="56" t="s">
        <v>29</v>
      </c>
      <c r="Q58" s="66" t="str">
        <f t="shared" si="2"/>
        <v/>
      </c>
      <c r="R58" s="56" t="s">
        <v>29</v>
      </c>
      <c r="S58" s="56" t="s">
        <v>29</v>
      </c>
      <c r="T58" s="56" t="s">
        <v>29</v>
      </c>
      <c r="U58" s="56" t="s">
        <v>29</v>
      </c>
      <c r="V58" s="56">
        <v>4</v>
      </c>
      <c r="W58" s="56">
        <v>871781</v>
      </c>
      <c r="Y58" s="56">
        <v>4</v>
      </c>
      <c r="Z58" s="67" t="s">
        <v>29</v>
      </c>
      <c r="AA58" s="68">
        <f t="shared" si="3"/>
        <v>0</v>
      </c>
      <c r="AB58" s="92">
        <f t="shared" si="0"/>
        <v>0</v>
      </c>
      <c r="AC58" s="92">
        <f>IFERROR(Table16[[#This Row],[Quantity Needed for repair]]*Table16[[#This Row],[Evaluated]],"")</f>
        <v>0</v>
      </c>
    </row>
    <row r="59" spans="1:29" ht="15" thickBot="1" x14ac:dyDescent="0.4">
      <c r="A59" s="89" t="s">
        <v>412</v>
      </c>
      <c r="B59" s="90">
        <v>12904341</v>
      </c>
      <c r="C59" s="95">
        <v>0</v>
      </c>
      <c r="D59" s="64"/>
      <c r="E59" s="69">
        <v>3</v>
      </c>
      <c r="F59" s="70" t="s">
        <v>366</v>
      </c>
      <c r="G59" s="70">
        <v>12925425</v>
      </c>
      <c r="H59" s="70" t="s">
        <v>315</v>
      </c>
      <c r="I59" s="70" t="s">
        <v>367</v>
      </c>
      <c r="J59" s="70" t="s">
        <v>29</v>
      </c>
      <c r="K59" s="70">
        <v>1005462</v>
      </c>
      <c r="L59" s="71">
        <v>44473</v>
      </c>
      <c r="M59" s="70" t="s">
        <v>352</v>
      </c>
      <c r="N59" s="70" t="s">
        <v>29</v>
      </c>
      <c r="O59" s="70" t="s">
        <v>29</v>
      </c>
      <c r="P59" s="70" t="s">
        <v>29</v>
      </c>
      <c r="Q59" s="72" t="str">
        <f t="shared" si="2"/>
        <v/>
      </c>
      <c r="R59" s="70" t="s">
        <v>29</v>
      </c>
      <c r="S59" s="70" t="s">
        <v>29</v>
      </c>
      <c r="T59" s="70" t="s">
        <v>29</v>
      </c>
      <c r="U59" s="70" t="s">
        <v>29</v>
      </c>
      <c r="V59" s="70">
        <v>5</v>
      </c>
      <c r="W59" s="70">
        <v>418525</v>
      </c>
      <c r="X59" s="70"/>
      <c r="Y59" s="70">
        <v>4</v>
      </c>
      <c r="Z59" s="73" t="s">
        <v>29</v>
      </c>
      <c r="AA59" s="74">
        <f t="shared" si="3"/>
        <v>0</v>
      </c>
      <c r="AB59" s="93">
        <f t="shared" si="0"/>
        <v>0</v>
      </c>
      <c r="AC59" s="93">
        <f>IFERROR(Table16[[#This Row],[Quantity Needed for repair]]*Table16[[#This Row],[Evaluated]],"")</f>
        <v>0</v>
      </c>
    </row>
    <row r="60" spans="1:29" x14ac:dyDescent="0.35">
      <c r="A60" s="89" t="s">
        <v>413</v>
      </c>
      <c r="B60" s="90">
        <v>12947667</v>
      </c>
      <c r="C60" s="95">
        <v>0</v>
      </c>
      <c r="D60" s="64"/>
      <c r="E60" s="57">
        <v>3</v>
      </c>
      <c r="F60" s="58" t="s">
        <v>368</v>
      </c>
      <c r="G60" s="58">
        <v>12887963</v>
      </c>
      <c r="H60" s="58" t="s">
        <v>315</v>
      </c>
      <c r="I60" s="58" t="s">
        <v>367</v>
      </c>
      <c r="J60" s="58" t="s">
        <v>29</v>
      </c>
      <c r="K60" s="58">
        <v>1005462</v>
      </c>
      <c r="L60" s="59">
        <v>44473</v>
      </c>
      <c r="M60" s="58" t="s">
        <v>352</v>
      </c>
      <c r="N60" s="58" t="s">
        <v>29</v>
      </c>
      <c r="O60" s="58" t="s">
        <v>29</v>
      </c>
      <c r="P60" s="58" t="s">
        <v>29</v>
      </c>
      <c r="Q60" s="60" t="str">
        <f t="shared" si="2"/>
        <v/>
      </c>
      <c r="R60" s="58" t="s">
        <v>29</v>
      </c>
      <c r="S60" s="58" t="s">
        <v>29</v>
      </c>
      <c r="T60" s="58" t="s">
        <v>29</v>
      </c>
      <c r="U60" s="58" t="s">
        <v>29</v>
      </c>
      <c r="V60" s="58">
        <v>1</v>
      </c>
      <c r="W60" s="58">
        <v>1130200</v>
      </c>
      <c r="X60" s="81"/>
      <c r="Y60" s="58">
        <v>48</v>
      </c>
      <c r="Z60" s="61" t="s">
        <v>29</v>
      </c>
      <c r="AA60" s="62">
        <f t="shared" si="3"/>
        <v>0</v>
      </c>
      <c r="AB60" s="91">
        <f t="shared" si="0"/>
        <v>0</v>
      </c>
      <c r="AC60" s="91">
        <f>IFERROR(Table16[[#This Row],[Quantity Needed for repair]]*Table16[[#This Row],[Evaluated]],"")</f>
        <v>0</v>
      </c>
    </row>
    <row r="61" spans="1:29" x14ac:dyDescent="0.35">
      <c r="A61" s="89" t="s">
        <v>414</v>
      </c>
      <c r="B61" s="90">
        <v>12991814</v>
      </c>
      <c r="C61" s="95"/>
      <c r="D61" s="64"/>
      <c r="E61" s="64">
        <v>3</v>
      </c>
      <c r="F61" s="56" t="s">
        <v>368</v>
      </c>
      <c r="G61" s="56">
        <v>12887963</v>
      </c>
      <c r="H61" s="56" t="s">
        <v>315</v>
      </c>
      <c r="I61" s="56" t="s">
        <v>367</v>
      </c>
      <c r="J61" s="56" t="s">
        <v>29</v>
      </c>
      <c r="K61" s="56">
        <v>1005462</v>
      </c>
      <c r="L61" s="65">
        <v>44473</v>
      </c>
      <c r="M61" s="56" t="s">
        <v>352</v>
      </c>
      <c r="N61" s="56" t="s">
        <v>29</v>
      </c>
      <c r="O61" s="56" t="s">
        <v>29</v>
      </c>
      <c r="P61" s="56" t="s">
        <v>29</v>
      </c>
      <c r="Q61" s="66" t="str">
        <f t="shared" si="2"/>
        <v/>
      </c>
      <c r="R61" s="56" t="s">
        <v>29</v>
      </c>
      <c r="S61" s="56" t="s">
        <v>29</v>
      </c>
      <c r="T61" s="56" t="s">
        <v>29</v>
      </c>
      <c r="U61" s="56" t="s">
        <v>29</v>
      </c>
      <c r="V61" s="56">
        <v>2</v>
      </c>
      <c r="W61" s="56">
        <v>1130198</v>
      </c>
      <c r="X61" s="82"/>
      <c r="Y61" s="56">
        <v>9</v>
      </c>
      <c r="Z61" s="67" t="s">
        <v>29</v>
      </c>
      <c r="AA61" s="68">
        <f t="shared" si="3"/>
        <v>0</v>
      </c>
      <c r="AB61" s="92">
        <f t="shared" si="0"/>
        <v>0</v>
      </c>
      <c r="AC61" s="92">
        <f>IFERROR(Table16[[#This Row],[Quantity Needed for repair]]*Table16[[#This Row],[Evaluated]],"")</f>
        <v>0</v>
      </c>
    </row>
    <row r="62" spans="1:29" x14ac:dyDescent="0.35">
      <c r="A62" s="89" t="s">
        <v>415</v>
      </c>
      <c r="B62" s="90">
        <v>13015736</v>
      </c>
      <c r="C62" s="95">
        <v>0</v>
      </c>
      <c r="D62" s="64"/>
      <c r="E62" s="64">
        <v>3</v>
      </c>
      <c r="F62" s="56" t="s">
        <v>368</v>
      </c>
      <c r="G62" s="56">
        <v>12887963</v>
      </c>
      <c r="H62" s="56" t="s">
        <v>315</v>
      </c>
      <c r="I62" s="56" t="s">
        <v>367</v>
      </c>
      <c r="J62" s="56" t="s">
        <v>29</v>
      </c>
      <c r="K62" s="56">
        <v>1005462</v>
      </c>
      <c r="L62" s="65">
        <v>44473</v>
      </c>
      <c r="M62" s="56" t="s">
        <v>352</v>
      </c>
      <c r="N62" s="56" t="s">
        <v>29</v>
      </c>
      <c r="O62" s="56" t="s">
        <v>29</v>
      </c>
      <c r="P62" s="56" t="s">
        <v>29</v>
      </c>
      <c r="Q62" s="66" t="str">
        <f t="shared" si="2"/>
        <v/>
      </c>
      <c r="R62" s="56" t="s">
        <v>29</v>
      </c>
      <c r="S62" s="56" t="s">
        <v>29</v>
      </c>
      <c r="T62" s="56" t="s">
        <v>29</v>
      </c>
      <c r="U62" s="56" t="s">
        <v>29</v>
      </c>
      <c r="V62" s="56">
        <v>3</v>
      </c>
      <c r="W62" s="56">
        <v>708306</v>
      </c>
      <c r="X62" s="82"/>
      <c r="Y62" s="56">
        <v>34</v>
      </c>
      <c r="Z62" s="67" t="s">
        <v>29</v>
      </c>
      <c r="AA62" s="68">
        <f t="shared" si="3"/>
        <v>0</v>
      </c>
      <c r="AB62" s="92">
        <f t="shared" si="0"/>
        <v>0</v>
      </c>
      <c r="AC62" s="92">
        <f>IFERROR(Table16[[#This Row],[Quantity Needed for repair]]*Table16[[#This Row],[Evaluated]],"")</f>
        <v>0</v>
      </c>
    </row>
    <row r="63" spans="1:29" x14ac:dyDescent="0.35">
      <c r="A63" s="89" t="s">
        <v>416</v>
      </c>
      <c r="B63" s="90">
        <v>12887962</v>
      </c>
      <c r="C63" s="95">
        <v>0</v>
      </c>
      <c r="D63" s="64"/>
      <c r="E63" s="64">
        <v>3</v>
      </c>
      <c r="F63" s="56" t="s">
        <v>368</v>
      </c>
      <c r="G63" s="56">
        <v>12887963</v>
      </c>
      <c r="H63" s="56" t="s">
        <v>315</v>
      </c>
      <c r="I63" s="56" t="s">
        <v>367</v>
      </c>
      <c r="J63" s="56" t="s">
        <v>29</v>
      </c>
      <c r="K63" s="56">
        <v>1005462</v>
      </c>
      <c r="L63" s="65">
        <v>44473</v>
      </c>
      <c r="M63" s="56" t="s">
        <v>352</v>
      </c>
      <c r="N63" s="56" t="s">
        <v>29</v>
      </c>
      <c r="O63" s="56" t="s">
        <v>29</v>
      </c>
      <c r="P63" s="56" t="s">
        <v>29</v>
      </c>
      <c r="Q63" s="66" t="str">
        <f t="shared" si="2"/>
        <v/>
      </c>
      <c r="R63" s="56" t="s">
        <v>29</v>
      </c>
      <c r="S63" s="56" t="s">
        <v>29</v>
      </c>
      <c r="T63" s="56" t="s">
        <v>29</v>
      </c>
      <c r="U63" s="56" t="s">
        <v>29</v>
      </c>
      <c r="V63" s="56">
        <v>4</v>
      </c>
      <c r="W63" s="56">
        <v>871781</v>
      </c>
      <c r="X63" s="82"/>
      <c r="Y63" s="56">
        <v>4</v>
      </c>
      <c r="Z63" s="67" t="s">
        <v>29</v>
      </c>
      <c r="AA63" s="68">
        <f t="shared" si="3"/>
        <v>0</v>
      </c>
      <c r="AB63" s="92">
        <f t="shared" si="0"/>
        <v>0</v>
      </c>
      <c r="AC63" s="92">
        <f>IFERROR(Table16[[#This Row],[Quantity Needed for repair]]*Table16[[#This Row],[Evaluated]],"")</f>
        <v>0</v>
      </c>
    </row>
    <row r="64" spans="1:29" ht="15" thickBot="1" x14ac:dyDescent="0.4">
      <c r="A64" s="89" t="s">
        <v>417</v>
      </c>
      <c r="B64" s="90">
        <v>12967026</v>
      </c>
      <c r="C64" s="95">
        <v>0</v>
      </c>
      <c r="D64" s="64"/>
      <c r="E64" s="69">
        <v>3</v>
      </c>
      <c r="F64" s="70" t="s">
        <v>368</v>
      </c>
      <c r="G64" s="70">
        <v>12887963</v>
      </c>
      <c r="H64" s="70" t="s">
        <v>315</v>
      </c>
      <c r="I64" s="70" t="s">
        <v>367</v>
      </c>
      <c r="J64" s="70" t="s">
        <v>29</v>
      </c>
      <c r="K64" s="70">
        <v>1005462</v>
      </c>
      <c r="L64" s="71">
        <v>44473</v>
      </c>
      <c r="M64" s="70" t="s">
        <v>352</v>
      </c>
      <c r="N64" s="70" t="s">
        <v>29</v>
      </c>
      <c r="O64" s="70" t="s">
        <v>29</v>
      </c>
      <c r="P64" s="70" t="s">
        <v>29</v>
      </c>
      <c r="Q64" s="72" t="str">
        <f t="shared" si="2"/>
        <v/>
      </c>
      <c r="R64" s="70" t="s">
        <v>29</v>
      </c>
      <c r="S64" s="70" t="s">
        <v>29</v>
      </c>
      <c r="T64" s="70" t="s">
        <v>29</v>
      </c>
      <c r="U64" s="70" t="s">
        <v>29</v>
      </c>
      <c r="V64" s="70">
        <v>5</v>
      </c>
      <c r="W64" s="70">
        <v>418525</v>
      </c>
      <c r="X64" s="83"/>
      <c r="Y64" s="70">
        <v>4</v>
      </c>
      <c r="Z64" s="73" t="s">
        <v>29</v>
      </c>
      <c r="AA64" s="74">
        <f t="shared" si="3"/>
        <v>0</v>
      </c>
      <c r="AB64" s="93">
        <f t="shared" si="0"/>
        <v>0</v>
      </c>
      <c r="AC64" s="93">
        <f>IFERROR(Table16[[#This Row],[Quantity Needed for repair]]*Table16[[#This Row],[Evaluated]],"")</f>
        <v>0</v>
      </c>
    </row>
    <row r="65" spans="1:29" x14ac:dyDescent="0.35">
      <c r="A65" s="89" t="s">
        <v>418</v>
      </c>
      <c r="B65" s="90">
        <v>12831835</v>
      </c>
      <c r="C65" s="95">
        <v>0</v>
      </c>
      <c r="D65" s="64"/>
      <c r="E65" s="57">
        <v>3</v>
      </c>
      <c r="F65" s="58" t="s">
        <v>369</v>
      </c>
      <c r="G65" s="58">
        <v>12887961</v>
      </c>
      <c r="H65" s="58" t="s">
        <v>315</v>
      </c>
      <c r="I65" s="58" t="s">
        <v>367</v>
      </c>
      <c r="J65" s="58" t="s">
        <v>29</v>
      </c>
      <c r="K65" s="58">
        <v>1005462</v>
      </c>
      <c r="L65" s="59">
        <v>44473</v>
      </c>
      <c r="M65" s="58" t="s">
        <v>352</v>
      </c>
      <c r="N65" s="58" t="s">
        <v>29</v>
      </c>
      <c r="O65" s="58" t="s">
        <v>29</v>
      </c>
      <c r="P65" s="58" t="s">
        <v>29</v>
      </c>
      <c r="Q65" s="60" t="str">
        <f t="shared" si="2"/>
        <v/>
      </c>
      <c r="R65" s="58" t="s">
        <v>29</v>
      </c>
      <c r="S65" s="58" t="s">
        <v>29</v>
      </c>
      <c r="T65" s="58" t="s">
        <v>29</v>
      </c>
      <c r="U65" s="58" t="s">
        <v>29</v>
      </c>
      <c r="V65" s="58">
        <v>1</v>
      </c>
      <c r="W65" s="58">
        <v>1130200</v>
      </c>
      <c r="X65" s="58">
        <v>14</v>
      </c>
      <c r="Y65" s="58">
        <v>48</v>
      </c>
      <c r="Z65" s="61" t="s">
        <v>29</v>
      </c>
      <c r="AA65" s="62">
        <f t="shared" si="3"/>
        <v>0.29166666666666669</v>
      </c>
      <c r="AB65" s="91">
        <f t="shared" si="0"/>
        <v>0</v>
      </c>
      <c r="AC65" s="91">
        <f>IFERROR(Table16[[#This Row],[Quantity Needed for repair]]*Table16[[#This Row],[Evaluated]],"")</f>
        <v>0</v>
      </c>
    </row>
    <row r="66" spans="1:29" x14ac:dyDescent="0.35">
      <c r="A66" s="89" t="s">
        <v>419</v>
      </c>
      <c r="B66" s="90">
        <v>12457416</v>
      </c>
      <c r="C66" s="95">
        <v>0</v>
      </c>
      <c r="D66" s="64"/>
      <c r="E66" s="64">
        <v>3</v>
      </c>
      <c r="F66" s="56" t="s">
        <v>369</v>
      </c>
      <c r="G66" s="56">
        <v>12887961</v>
      </c>
      <c r="H66" s="56" t="s">
        <v>315</v>
      </c>
      <c r="I66" s="56" t="s">
        <v>367</v>
      </c>
      <c r="J66" s="56" t="s">
        <v>29</v>
      </c>
      <c r="K66" s="56">
        <v>1005462</v>
      </c>
      <c r="L66" s="65">
        <v>44473</v>
      </c>
      <c r="M66" s="56" t="s">
        <v>352</v>
      </c>
      <c r="N66" s="56" t="s">
        <v>29</v>
      </c>
      <c r="O66" s="56" t="s">
        <v>29</v>
      </c>
      <c r="P66" s="56" t="s">
        <v>29</v>
      </c>
      <c r="Q66" s="66" t="str">
        <f t="shared" si="2"/>
        <v/>
      </c>
      <c r="R66" s="56" t="s">
        <v>29</v>
      </c>
      <c r="S66" s="56" t="s">
        <v>29</v>
      </c>
      <c r="T66" s="56" t="s">
        <v>29</v>
      </c>
      <c r="U66" s="56" t="s">
        <v>29</v>
      </c>
      <c r="V66" s="56">
        <v>2</v>
      </c>
      <c r="W66" s="56">
        <v>1130198</v>
      </c>
      <c r="X66" s="56" t="s">
        <v>29</v>
      </c>
      <c r="Y66" s="56">
        <v>9</v>
      </c>
      <c r="Z66" s="67" t="s">
        <v>29</v>
      </c>
      <c r="AA66" s="68" t="str">
        <f t="shared" si="3"/>
        <v/>
      </c>
      <c r="AB66" s="92">
        <f t="shared" ref="AB66:AB129" si="5">IFERROR(INDEX($A$2:$C$553,MATCH($F66,$A$2:$A$553,0),3),0)</f>
        <v>0</v>
      </c>
      <c r="AC66" s="92" t="str">
        <f>IFERROR(Table16[[#This Row],[Quantity Needed for repair]]*Table16[[#This Row],[Evaluated]],"")</f>
        <v/>
      </c>
    </row>
    <row r="67" spans="1:29" x14ac:dyDescent="0.35">
      <c r="A67" s="89" t="s">
        <v>420</v>
      </c>
      <c r="B67" s="90">
        <v>12967021</v>
      </c>
      <c r="C67" s="95"/>
      <c r="D67" s="64"/>
      <c r="E67" s="64">
        <v>3</v>
      </c>
      <c r="F67" s="56" t="s">
        <v>369</v>
      </c>
      <c r="G67" s="56">
        <v>12887961</v>
      </c>
      <c r="H67" s="56" t="s">
        <v>315</v>
      </c>
      <c r="I67" s="56" t="s">
        <v>367</v>
      </c>
      <c r="J67" s="56" t="s">
        <v>29</v>
      </c>
      <c r="K67" s="56">
        <v>1005462</v>
      </c>
      <c r="L67" s="65">
        <v>44473</v>
      </c>
      <c r="M67" s="56" t="s">
        <v>352</v>
      </c>
      <c r="N67" s="56" t="s">
        <v>29</v>
      </c>
      <c r="O67" s="56" t="s">
        <v>29</v>
      </c>
      <c r="P67" s="56" t="s">
        <v>29</v>
      </c>
      <c r="Q67" s="66" t="str">
        <f t="shared" ref="Q67:Q130" si="6">IFERROR(ROUND(O67/P67*100,0)&amp;" %"&amp;IF(O67/P67&gt;0.6,", High Price",""),"")</f>
        <v/>
      </c>
      <c r="R67" s="56" t="s">
        <v>29</v>
      </c>
      <c r="S67" s="56" t="s">
        <v>29</v>
      </c>
      <c r="T67" s="56" t="s">
        <v>29</v>
      </c>
      <c r="U67" s="56" t="s">
        <v>29</v>
      </c>
      <c r="V67" s="56">
        <v>3</v>
      </c>
      <c r="W67" s="56">
        <v>708306</v>
      </c>
      <c r="X67" s="56">
        <v>4</v>
      </c>
      <c r="Y67" s="56">
        <v>34</v>
      </c>
      <c r="Z67" s="67" t="s">
        <v>29</v>
      </c>
      <c r="AA67" s="68">
        <f t="shared" ref="AA67:AA130" si="7">IFERROR(X67/Y67,"")</f>
        <v>0.11764705882352941</v>
      </c>
      <c r="AB67" s="92">
        <f t="shared" si="5"/>
        <v>0</v>
      </c>
      <c r="AC67" s="92">
        <f>IFERROR(Table16[[#This Row],[Quantity Needed for repair]]*Table16[[#This Row],[Evaluated]],"")</f>
        <v>0</v>
      </c>
    </row>
    <row r="68" spans="1:29" x14ac:dyDescent="0.35">
      <c r="A68" s="89" t="s">
        <v>421</v>
      </c>
      <c r="B68" s="90">
        <v>12904349</v>
      </c>
      <c r="C68" s="95">
        <v>0</v>
      </c>
      <c r="D68" s="64"/>
      <c r="E68" s="64">
        <v>3</v>
      </c>
      <c r="F68" s="56" t="s">
        <v>369</v>
      </c>
      <c r="G68" s="56">
        <v>12887961</v>
      </c>
      <c r="H68" s="56" t="s">
        <v>315</v>
      </c>
      <c r="I68" s="56" t="s">
        <v>367</v>
      </c>
      <c r="J68" s="56" t="s">
        <v>29</v>
      </c>
      <c r="K68" s="56">
        <v>1005462</v>
      </c>
      <c r="L68" s="65">
        <v>44473</v>
      </c>
      <c r="M68" s="56" t="s">
        <v>352</v>
      </c>
      <c r="N68" s="56" t="s">
        <v>29</v>
      </c>
      <c r="O68" s="56" t="s">
        <v>29</v>
      </c>
      <c r="P68" s="56" t="s">
        <v>29</v>
      </c>
      <c r="Q68" s="66" t="str">
        <f t="shared" si="6"/>
        <v/>
      </c>
      <c r="R68" s="56" t="s">
        <v>29</v>
      </c>
      <c r="S68" s="56" t="s">
        <v>29</v>
      </c>
      <c r="T68" s="56" t="s">
        <v>29</v>
      </c>
      <c r="U68" s="56" t="s">
        <v>29</v>
      </c>
      <c r="V68" s="56">
        <v>4</v>
      </c>
      <c r="W68" s="56">
        <v>871781</v>
      </c>
      <c r="X68" s="56">
        <v>1</v>
      </c>
      <c r="Y68" s="56">
        <v>4</v>
      </c>
      <c r="Z68" s="67" t="s">
        <v>29</v>
      </c>
      <c r="AA68" s="68">
        <f t="shared" si="7"/>
        <v>0.25</v>
      </c>
      <c r="AB68" s="92">
        <f t="shared" si="5"/>
        <v>0</v>
      </c>
      <c r="AC68" s="92">
        <f>IFERROR(Table16[[#This Row],[Quantity Needed for repair]]*Table16[[#This Row],[Evaluated]],"")</f>
        <v>0</v>
      </c>
    </row>
    <row r="69" spans="1:29" ht="15" thickBot="1" x14ac:dyDescent="0.4">
      <c r="A69" s="89" t="s">
        <v>422</v>
      </c>
      <c r="B69" s="90">
        <v>12947676</v>
      </c>
      <c r="C69" s="95"/>
      <c r="D69" s="64"/>
      <c r="E69" s="69">
        <v>3</v>
      </c>
      <c r="F69" s="70" t="s">
        <v>369</v>
      </c>
      <c r="G69" s="70">
        <v>12887961</v>
      </c>
      <c r="H69" s="70" t="s">
        <v>315</v>
      </c>
      <c r="I69" s="70" t="s">
        <v>367</v>
      </c>
      <c r="J69" s="70" t="s">
        <v>29</v>
      </c>
      <c r="K69" s="70">
        <v>1005462</v>
      </c>
      <c r="L69" s="71">
        <v>44473</v>
      </c>
      <c r="M69" s="70" t="s">
        <v>352</v>
      </c>
      <c r="N69" s="70" t="s">
        <v>29</v>
      </c>
      <c r="O69" s="70" t="s">
        <v>29</v>
      </c>
      <c r="P69" s="70" t="s">
        <v>29</v>
      </c>
      <c r="Q69" s="72" t="str">
        <f t="shared" si="6"/>
        <v/>
      </c>
      <c r="R69" s="70" t="s">
        <v>29</v>
      </c>
      <c r="S69" s="70" t="s">
        <v>29</v>
      </c>
      <c r="T69" s="70" t="s">
        <v>29</v>
      </c>
      <c r="U69" s="70" t="s">
        <v>29</v>
      </c>
      <c r="V69" s="70">
        <v>5</v>
      </c>
      <c r="W69" s="70">
        <v>418525</v>
      </c>
      <c r="X69" s="70">
        <v>4</v>
      </c>
      <c r="Y69" s="70">
        <v>4</v>
      </c>
      <c r="Z69" s="73" t="s">
        <v>29</v>
      </c>
      <c r="AA69" s="74">
        <f t="shared" si="7"/>
        <v>1</v>
      </c>
      <c r="AB69" s="93">
        <f t="shared" si="5"/>
        <v>0</v>
      </c>
      <c r="AC69" s="93">
        <f>IFERROR(Table16[[#This Row],[Quantity Needed for repair]]*Table16[[#This Row],[Evaluated]],"")</f>
        <v>0</v>
      </c>
    </row>
    <row r="70" spans="1:29" x14ac:dyDescent="0.35">
      <c r="A70" s="89" t="s">
        <v>423</v>
      </c>
      <c r="B70" s="90">
        <v>12925404</v>
      </c>
      <c r="C70" s="95">
        <v>0</v>
      </c>
      <c r="D70" s="64"/>
      <c r="E70" s="57">
        <v>3</v>
      </c>
      <c r="F70" s="58" t="s">
        <v>370</v>
      </c>
      <c r="G70" s="58">
        <v>12896861</v>
      </c>
      <c r="H70" s="58" t="s">
        <v>315</v>
      </c>
      <c r="I70" s="58" t="s">
        <v>367</v>
      </c>
      <c r="J70" s="58" t="s">
        <v>29</v>
      </c>
      <c r="K70" s="58">
        <v>1005462</v>
      </c>
      <c r="L70" s="59">
        <v>44473</v>
      </c>
      <c r="M70" s="58" t="s">
        <v>352</v>
      </c>
      <c r="N70" s="58" t="s">
        <v>29</v>
      </c>
      <c r="O70" s="58" t="s">
        <v>29</v>
      </c>
      <c r="P70" s="58" t="s">
        <v>29</v>
      </c>
      <c r="Q70" s="60" t="str">
        <f t="shared" si="6"/>
        <v/>
      </c>
      <c r="R70" s="58" t="s">
        <v>29</v>
      </c>
      <c r="S70" s="58" t="s">
        <v>29</v>
      </c>
      <c r="T70" s="58" t="s">
        <v>29</v>
      </c>
      <c r="U70" s="58" t="s">
        <v>29</v>
      </c>
      <c r="V70" s="58">
        <v>1</v>
      </c>
      <c r="W70" s="58">
        <v>1130200</v>
      </c>
      <c r="X70" s="78">
        <v>36</v>
      </c>
      <c r="Y70" s="58">
        <v>48</v>
      </c>
      <c r="Z70" s="61" t="s">
        <v>29</v>
      </c>
      <c r="AA70" s="62">
        <f t="shared" si="7"/>
        <v>0.75</v>
      </c>
      <c r="AB70" s="91">
        <f t="shared" si="5"/>
        <v>0</v>
      </c>
      <c r="AC70" s="91">
        <f>IFERROR(Table16[[#This Row],[Quantity Needed for repair]]*Table16[[#This Row],[Evaluated]],"")</f>
        <v>0</v>
      </c>
    </row>
    <row r="71" spans="1:29" x14ac:dyDescent="0.35">
      <c r="A71" s="89" t="s">
        <v>424</v>
      </c>
      <c r="B71" s="90">
        <v>12925402</v>
      </c>
      <c r="C71" s="95">
        <v>0</v>
      </c>
      <c r="D71" s="64"/>
      <c r="E71" s="64">
        <v>3</v>
      </c>
      <c r="F71" s="56" t="s">
        <v>370</v>
      </c>
      <c r="G71" s="56">
        <v>12896861</v>
      </c>
      <c r="H71" s="56" t="s">
        <v>315</v>
      </c>
      <c r="I71" s="56" t="s">
        <v>367</v>
      </c>
      <c r="J71" s="56" t="s">
        <v>29</v>
      </c>
      <c r="K71" s="56">
        <v>1005462</v>
      </c>
      <c r="L71" s="65">
        <v>44473</v>
      </c>
      <c r="M71" s="56" t="s">
        <v>352</v>
      </c>
      <c r="N71" s="56" t="s">
        <v>29</v>
      </c>
      <c r="O71" s="56" t="s">
        <v>29</v>
      </c>
      <c r="P71" s="56" t="s">
        <v>29</v>
      </c>
      <c r="Q71" s="66" t="str">
        <f t="shared" si="6"/>
        <v/>
      </c>
      <c r="R71" s="56" t="s">
        <v>29</v>
      </c>
      <c r="S71" s="56" t="s">
        <v>29</v>
      </c>
      <c r="T71" s="56" t="s">
        <v>29</v>
      </c>
      <c r="U71" s="56" t="s">
        <v>29</v>
      </c>
      <c r="V71" s="56">
        <v>2</v>
      </c>
      <c r="W71" s="56">
        <v>1130198</v>
      </c>
      <c r="X71" s="79" t="s">
        <v>29</v>
      </c>
      <c r="Y71" s="56">
        <v>9</v>
      </c>
      <c r="Z71" s="67" t="s">
        <v>29</v>
      </c>
      <c r="AA71" s="68" t="str">
        <f t="shared" si="7"/>
        <v/>
      </c>
      <c r="AB71" s="92">
        <f t="shared" si="5"/>
        <v>0</v>
      </c>
      <c r="AC71" s="92" t="str">
        <f>IFERROR(Table16[[#This Row],[Quantity Needed for repair]]*Table16[[#This Row],[Evaluated]],"")</f>
        <v/>
      </c>
    </row>
    <row r="72" spans="1:29" x14ac:dyDescent="0.35">
      <c r="A72" s="89" t="s">
        <v>425</v>
      </c>
      <c r="B72" s="90">
        <v>12947677</v>
      </c>
      <c r="C72" s="95">
        <v>0</v>
      </c>
      <c r="D72" s="64"/>
      <c r="E72" s="64">
        <v>3</v>
      </c>
      <c r="F72" s="56" t="s">
        <v>370</v>
      </c>
      <c r="G72" s="56">
        <v>12896861</v>
      </c>
      <c r="H72" s="56" t="s">
        <v>315</v>
      </c>
      <c r="I72" s="56" t="s">
        <v>367</v>
      </c>
      <c r="J72" s="56" t="s">
        <v>29</v>
      </c>
      <c r="K72" s="56">
        <v>1005462</v>
      </c>
      <c r="L72" s="65">
        <v>44473</v>
      </c>
      <c r="M72" s="56" t="s">
        <v>352</v>
      </c>
      <c r="N72" s="56" t="s">
        <v>29</v>
      </c>
      <c r="O72" s="56" t="s">
        <v>29</v>
      </c>
      <c r="P72" s="56" t="s">
        <v>29</v>
      </c>
      <c r="Q72" s="66" t="str">
        <f t="shared" si="6"/>
        <v/>
      </c>
      <c r="R72" s="56" t="s">
        <v>29</v>
      </c>
      <c r="S72" s="56" t="s">
        <v>29</v>
      </c>
      <c r="T72" s="56" t="s">
        <v>29</v>
      </c>
      <c r="U72" s="56" t="s">
        <v>29</v>
      </c>
      <c r="V72" s="56">
        <v>3</v>
      </c>
      <c r="W72" s="56">
        <v>708306</v>
      </c>
      <c r="X72" s="79">
        <v>12</v>
      </c>
      <c r="Y72" s="56">
        <v>34</v>
      </c>
      <c r="Z72" s="67" t="s">
        <v>29</v>
      </c>
      <c r="AA72" s="68">
        <f t="shared" si="7"/>
        <v>0.35294117647058826</v>
      </c>
      <c r="AB72" s="92">
        <f t="shared" si="5"/>
        <v>0</v>
      </c>
      <c r="AC72" s="92">
        <f>IFERROR(Table16[[#This Row],[Quantity Needed for repair]]*Table16[[#This Row],[Evaluated]],"")</f>
        <v>0</v>
      </c>
    </row>
    <row r="73" spans="1:29" x14ac:dyDescent="0.35">
      <c r="A73" s="89" t="s">
        <v>426</v>
      </c>
      <c r="B73" s="90">
        <v>12825647</v>
      </c>
      <c r="C73" s="95">
        <v>0</v>
      </c>
      <c r="D73" s="64"/>
      <c r="E73" s="64">
        <v>3</v>
      </c>
      <c r="F73" s="56" t="s">
        <v>370</v>
      </c>
      <c r="G73" s="56">
        <v>12896861</v>
      </c>
      <c r="H73" s="56" t="s">
        <v>315</v>
      </c>
      <c r="I73" s="56" t="s">
        <v>367</v>
      </c>
      <c r="J73" s="56" t="s">
        <v>29</v>
      </c>
      <c r="K73" s="56">
        <v>1005462</v>
      </c>
      <c r="L73" s="65">
        <v>44473</v>
      </c>
      <c r="M73" s="56" t="s">
        <v>352</v>
      </c>
      <c r="N73" s="56" t="s">
        <v>29</v>
      </c>
      <c r="O73" s="56" t="s">
        <v>29</v>
      </c>
      <c r="P73" s="56" t="s">
        <v>29</v>
      </c>
      <c r="Q73" s="66" t="str">
        <f t="shared" si="6"/>
        <v/>
      </c>
      <c r="R73" s="56" t="s">
        <v>29</v>
      </c>
      <c r="S73" s="56" t="s">
        <v>29</v>
      </c>
      <c r="T73" s="56" t="s">
        <v>29</v>
      </c>
      <c r="U73" s="56" t="s">
        <v>29</v>
      </c>
      <c r="V73" s="56">
        <v>4</v>
      </c>
      <c r="W73" s="56">
        <v>871781</v>
      </c>
      <c r="X73" s="79" t="s">
        <v>29</v>
      </c>
      <c r="Y73" s="56">
        <v>4</v>
      </c>
      <c r="Z73" s="67" t="s">
        <v>29</v>
      </c>
      <c r="AA73" s="68" t="str">
        <f t="shared" si="7"/>
        <v/>
      </c>
      <c r="AB73" s="92">
        <f t="shared" si="5"/>
        <v>0</v>
      </c>
      <c r="AC73" s="92" t="str">
        <f>IFERROR(Table16[[#This Row],[Quantity Needed for repair]]*Table16[[#This Row],[Evaluated]],"")</f>
        <v/>
      </c>
    </row>
    <row r="74" spans="1:29" ht="15" thickBot="1" x14ac:dyDescent="0.4">
      <c r="A74" s="89" t="s">
        <v>427</v>
      </c>
      <c r="B74" s="90">
        <v>13022897</v>
      </c>
      <c r="C74" s="95">
        <v>0</v>
      </c>
      <c r="D74" s="64"/>
      <c r="E74" s="69">
        <v>3</v>
      </c>
      <c r="F74" s="70" t="s">
        <v>370</v>
      </c>
      <c r="G74" s="70">
        <v>12896861</v>
      </c>
      <c r="H74" s="70" t="s">
        <v>315</v>
      </c>
      <c r="I74" s="70" t="s">
        <v>367</v>
      </c>
      <c r="J74" s="70" t="s">
        <v>29</v>
      </c>
      <c r="K74" s="70">
        <v>1005462</v>
      </c>
      <c r="L74" s="71">
        <v>44473</v>
      </c>
      <c r="M74" s="70" t="s">
        <v>352</v>
      </c>
      <c r="N74" s="70" t="s">
        <v>29</v>
      </c>
      <c r="O74" s="70" t="s">
        <v>29</v>
      </c>
      <c r="P74" s="70" t="s">
        <v>29</v>
      </c>
      <c r="Q74" s="72" t="str">
        <f t="shared" si="6"/>
        <v/>
      </c>
      <c r="R74" s="70" t="s">
        <v>29</v>
      </c>
      <c r="S74" s="70" t="s">
        <v>29</v>
      </c>
      <c r="T74" s="70" t="s">
        <v>29</v>
      </c>
      <c r="U74" s="70" t="s">
        <v>29</v>
      </c>
      <c r="V74" s="70">
        <v>5</v>
      </c>
      <c r="W74" s="70">
        <v>418525</v>
      </c>
      <c r="X74" s="80">
        <v>4</v>
      </c>
      <c r="Y74" s="70">
        <v>4</v>
      </c>
      <c r="Z74" s="73" t="s">
        <v>29</v>
      </c>
      <c r="AA74" s="74">
        <f t="shared" si="7"/>
        <v>1</v>
      </c>
      <c r="AB74" s="93">
        <f t="shared" si="5"/>
        <v>0</v>
      </c>
      <c r="AC74" s="93">
        <f>IFERROR(Table16[[#This Row],[Quantity Needed for repair]]*Table16[[#This Row],[Evaluated]],"")</f>
        <v>0</v>
      </c>
    </row>
    <row r="75" spans="1:29" x14ac:dyDescent="0.35">
      <c r="A75" s="89" t="s">
        <v>428</v>
      </c>
      <c r="B75" s="90">
        <v>12864038</v>
      </c>
      <c r="C75" s="95"/>
      <c r="D75" s="64"/>
      <c r="E75" s="57">
        <v>3</v>
      </c>
      <c r="F75" s="58" t="s">
        <v>371</v>
      </c>
      <c r="G75" s="58">
        <v>12706617</v>
      </c>
      <c r="H75" s="58" t="s">
        <v>313</v>
      </c>
      <c r="I75" s="58" t="s">
        <v>351</v>
      </c>
      <c r="J75" s="58" t="s">
        <v>29</v>
      </c>
      <c r="K75" s="58">
        <v>756447</v>
      </c>
      <c r="L75" s="59">
        <v>44473</v>
      </c>
      <c r="M75" s="58" t="s">
        <v>352</v>
      </c>
      <c r="N75" s="58" t="s">
        <v>29</v>
      </c>
      <c r="O75" s="58" t="s">
        <v>29</v>
      </c>
      <c r="P75" s="58" t="s">
        <v>29</v>
      </c>
      <c r="Q75" s="60" t="str">
        <f t="shared" si="6"/>
        <v/>
      </c>
      <c r="R75" s="58" t="s">
        <v>29</v>
      </c>
      <c r="S75" s="58" t="s">
        <v>29</v>
      </c>
      <c r="T75" s="58" t="s">
        <v>29</v>
      </c>
      <c r="U75" s="58" t="s">
        <v>29</v>
      </c>
      <c r="V75" s="58">
        <v>1</v>
      </c>
      <c r="W75" s="58">
        <v>1130198</v>
      </c>
      <c r="X75" s="58">
        <v>1</v>
      </c>
      <c r="Y75" s="58">
        <v>58</v>
      </c>
      <c r="Z75" s="61" t="s">
        <v>29</v>
      </c>
      <c r="AA75" s="62">
        <f t="shared" si="7"/>
        <v>1.7241379310344827E-2</v>
      </c>
      <c r="AB75" s="91">
        <f t="shared" si="5"/>
        <v>0</v>
      </c>
      <c r="AC75" s="91">
        <f>IFERROR(Table16[[#This Row],[Quantity Needed for repair]]*Table16[[#This Row],[Evaluated]],"")</f>
        <v>0</v>
      </c>
    </row>
    <row r="76" spans="1:29" x14ac:dyDescent="0.35">
      <c r="A76" s="89" t="s">
        <v>429</v>
      </c>
      <c r="B76" s="90">
        <v>12871295</v>
      </c>
      <c r="C76" s="95"/>
      <c r="D76" s="64"/>
      <c r="E76" s="64">
        <v>3</v>
      </c>
      <c r="F76" s="56" t="s">
        <v>371</v>
      </c>
      <c r="G76" s="56">
        <v>12706617</v>
      </c>
      <c r="H76" s="56" t="s">
        <v>313</v>
      </c>
      <c r="I76" s="56" t="s">
        <v>351</v>
      </c>
      <c r="J76" s="56" t="s">
        <v>29</v>
      </c>
      <c r="K76" s="56">
        <v>756447</v>
      </c>
      <c r="L76" s="65">
        <v>44473</v>
      </c>
      <c r="M76" s="56" t="s">
        <v>352</v>
      </c>
      <c r="N76" s="56" t="s">
        <v>29</v>
      </c>
      <c r="O76" s="56" t="s">
        <v>29</v>
      </c>
      <c r="P76" s="56" t="s">
        <v>29</v>
      </c>
      <c r="Q76" s="66" t="str">
        <f t="shared" si="6"/>
        <v/>
      </c>
      <c r="R76" s="56" t="s">
        <v>29</v>
      </c>
      <c r="S76" s="56" t="s">
        <v>29</v>
      </c>
      <c r="T76" s="56" t="s">
        <v>29</v>
      </c>
      <c r="U76" s="56" t="s">
        <v>29</v>
      </c>
      <c r="V76" s="56">
        <v>2</v>
      </c>
      <c r="W76" s="56">
        <v>1130196</v>
      </c>
      <c r="X76" s="56" t="s">
        <v>29</v>
      </c>
      <c r="Y76" s="56">
        <v>7</v>
      </c>
      <c r="Z76" s="67" t="s">
        <v>29</v>
      </c>
      <c r="AA76" s="68" t="str">
        <f t="shared" si="7"/>
        <v/>
      </c>
      <c r="AB76" s="92">
        <f t="shared" si="5"/>
        <v>0</v>
      </c>
      <c r="AC76" s="92" t="str">
        <f>IFERROR(Table16[[#This Row],[Quantity Needed for repair]]*Table16[[#This Row],[Evaluated]],"")</f>
        <v/>
      </c>
    </row>
    <row r="77" spans="1:29" ht="15" thickBot="1" x14ac:dyDescent="0.4">
      <c r="A77" s="89" t="s">
        <v>430</v>
      </c>
      <c r="B77" s="90">
        <v>12847535</v>
      </c>
      <c r="C77" s="95"/>
      <c r="D77" s="64"/>
      <c r="E77" s="69">
        <v>3</v>
      </c>
      <c r="F77" s="70" t="s">
        <v>371</v>
      </c>
      <c r="G77" s="70">
        <v>12706617</v>
      </c>
      <c r="H77" s="70" t="s">
        <v>313</v>
      </c>
      <c r="I77" s="70" t="s">
        <v>351</v>
      </c>
      <c r="J77" s="70" t="s">
        <v>29</v>
      </c>
      <c r="K77" s="70">
        <v>756447</v>
      </c>
      <c r="L77" s="71">
        <v>44473</v>
      </c>
      <c r="M77" s="70" t="s">
        <v>352</v>
      </c>
      <c r="N77" s="70" t="s">
        <v>29</v>
      </c>
      <c r="O77" s="70" t="s">
        <v>29</v>
      </c>
      <c r="P77" s="70" t="s">
        <v>29</v>
      </c>
      <c r="Q77" s="72" t="str">
        <f t="shared" si="6"/>
        <v/>
      </c>
      <c r="R77" s="70" t="s">
        <v>29</v>
      </c>
      <c r="S77" s="70" t="s">
        <v>29</v>
      </c>
      <c r="T77" s="70" t="s">
        <v>29</v>
      </c>
      <c r="U77" s="70" t="s">
        <v>29</v>
      </c>
      <c r="V77" s="70">
        <v>3</v>
      </c>
      <c r="W77" s="70">
        <v>418525</v>
      </c>
      <c r="X77" s="70">
        <v>12</v>
      </c>
      <c r="Y77" s="70">
        <v>12</v>
      </c>
      <c r="Z77" s="73" t="s">
        <v>29</v>
      </c>
      <c r="AA77" s="74">
        <f t="shared" si="7"/>
        <v>1</v>
      </c>
      <c r="AB77" s="93">
        <f t="shared" si="5"/>
        <v>0</v>
      </c>
      <c r="AC77" s="93">
        <f>IFERROR(Table16[[#This Row],[Quantity Needed for repair]]*Table16[[#This Row],[Evaluated]],"")</f>
        <v>0</v>
      </c>
    </row>
    <row r="78" spans="1:29" x14ac:dyDescent="0.35">
      <c r="A78" s="89" t="s">
        <v>431</v>
      </c>
      <c r="B78" s="90">
        <v>12861083</v>
      </c>
      <c r="C78" s="95"/>
      <c r="D78" s="64"/>
      <c r="E78" s="57">
        <v>3</v>
      </c>
      <c r="F78" s="58" t="s">
        <v>372</v>
      </c>
      <c r="G78" s="58">
        <v>12812785</v>
      </c>
      <c r="H78" s="58" t="s">
        <v>313</v>
      </c>
      <c r="I78" s="58" t="s">
        <v>351</v>
      </c>
      <c r="J78" s="58" t="s">
        <v>29</v>
      </c>
      <c r="K78" s="58">
        <v>882281</v>
      </c>
      <c r="L78" s="59">
        <v>44473</v>
      </c>
      <c r="M78" s="58" t="s">
        <v>352</v>
      </c>
      <c r="N78" s="58" t="s">
        <v>29</v>
      </c>
      <c r="O78" s="58" t="s">
        <v>29</v>
      </c>
      <c r="P78" s="58" t="s">
        <v>29</v>
      </c>
      <c r="Q78" s="60" t="str">
        <f t="shared" si="6"/>
        <v/>
      </c>
      <c r="R78" s="58" t="s">
        <v>29</v>
      </c>
      <c r="S78" s="58" t="s">
        <v>29</v>
      </c>
      <c r="T78" s="58" t="s">
        <v>29</v>
      </c>
      <c r="U78" s="58" t="s">
        <v>29</v>
      </c>
      <c r="V78" s="58">
        <v>1</v>
      </c>
      <c r="W78" s="58">
        <v>1130198</v>
      </c>
      <c r="X78" s="58">
        <v>12</v>
      </c>
      <c r="Y78" s="58">
        <v>33</v>
      </c>
      <c r="Z78" s="61" t="s">
        <v>29</v>
      </c>
      <c r="AA78" s="62">
        <f t="shared" si="7"/>
        <v>0.36363636363636365</v>
      </c>
      <c r="AB78" s="91">
        <f t="shared" si="5"/>
        <v>0</v>
      </c>
      <c r="AC78" s="91">
        <f>IFERROR(Table16[[#This Row],[Quantity Needed for repair]]*Table16[[#This Row],[Evaluated]],"")</f>
        <v>0</v>
      </c>
    </row>
    <row r="79" spans="1:29" x14ac:dyDescent="0.35">
      <c r="A79" s="89" t="s">
        <v>432</v>
      </c>
      <c r="B79" s="90">
        <v>12871294</v>
      </c>
      <c r="C79" s="95"/>
      <c r="D79" s="64"/>
      <c r="E79" s="64">
        <v>3</v>
      </c>
      <c r="F79" s="56" t="s">
        <v>372</v>
      </c>
      <c r="G79" s="56">
        <v>12812785</v>
      </c>
      <c r="H79" s="56" t="s">
        <v>313</v>
      </c>
      <c r="I79" s="56" t="s">
        <v>351</v>
      </c>
      <c r="J79" s="56" t="s">
        <v>29</v>
      </c>
      <c r="K79" s="56">
        <v>882281</v>
      </c>
      <c r="L79" s="65">
        <v>44473</v>
      </c>
      <c r="M79" s="56" t="s">
        <v>352</v>
      </c>
      <c r="N79" s="56" t="s">
        <v>29</v>
      </c>
      <c r="O79" s="56" t="s">
        <v>29</v>
      </c>
      <c r="P79" s="56" t="s">
        <v>29</v>
      </c>
      <c r="Q79" s="66" t="str">
        <f t="shared" si="6"/>
        <v/>
      </c>
      <c r="R79" s="56" t="s">
        <v>29</v>
      </c>
      <c r="S79" s="56" t="s">
        <v>29</v>
      </c>
      <c r="T79" s="56" t="s">
        <v>29</v>
      </c>
      <c r="U79" s="56" t="s">
        <v>29</v>
      </c>
      <c r="V79" s="56">
        <v>2</v>
      </c>
      <c r="W79" s="56">
        <v>1130197</v>
      </c>
      <c r="X79" s="56">
        <v>4</v>
      </c>
      <c r="Y79" s="56">
        <v>23</v>
      </c>
      <c r="Z79" s="67" t="s">
        <v>29</v>
      </c>
      <c r="AA79" s="68">
        <f t="shared" si="7"/>
        <v>0.17391304347826086</v>
      </c>
      <c r="AB79" s="92">
        <f t="shared" si="5"/>
        <v>0</v>
      </c>
      <c r="AC79" s="92">
        <f>IFERROR(Table16[[#This Row],[Quantity Needed for repair]]*Table16[[#This Row],[Evaluated]],"")</f>
        <v>0</v>
      </c>
    </row>
    <row r="80" spans="1:29" ht="15" thickBot="1" x14ac:dyDescent="0.4">
      <c r="A80" s="89" t="s">
        <v>433</v>
      </c>
      <c r="B80" s="90">
        <v>12877916</v>
      </c>
      <c r="C80" s="95"/>
      <c r="D80" s="64"/>
      <c r="E80" s="69">
        <v>3</v>
      </c>
      <c r="F80" s="70" t="s">
        <v>372</v>
      </c>
      <c r="G80" s="70">
        <v>12812785</v>
      </c>
      <c r="H80" s="70" t="s">
        <v>313</v>
      </c>
      <c r="I80" s="70" t="s">
        <v>351</v>
      </c>
      <c r="J80" s="70" t="s">
        <v>29</v>
      </c>
      <c r="K80" s="70">
        <v>882281</v>
      </c>
      <c r="L80" s="71">
        <v>44473</v>
      </c>
      <c r="M80" s="70" t="s">
        <v>352</v>
      </c>
      <c r="N80" s="70" t="s">
        <v>29</v>
      </c>
      <c r="O80" s="70" t="s">
        <v>29</v>
      </c>
      <c r="P80" s="70" t="s">
        <v>29</v>
      </c>
      <c r="Q80" s="72" t="str">
        <f t="shared" si="6"/>
        <v/>
      </c>
      <c r="R80" s="70" t="s">
        <v>29</v>
      </c>
      <c r="S80" s="70" t="s">
        <v>29</v>
      </c>
      <c r="T80" s="70" t="s">
        <v>29</v>
      </c>
      <c r="U80" s="70" t="s">
        <v>29</v>
      </c>
      <c r="V80" s="70">
        <v>3</v>
      </c>
      <c r="W80" s="70">
        <v>418525</v>
      </c>
      <c r="X80" s="70">
        <v>12</v>
      </c>
      <c r="Y80" s="70">
        <v>12</v>
      </c>
      <c r="Z80" s="73" t="s">
        <v>29</v>
      </c>
      <c r="AA80" s="74">
        <f t="shared" si="7"/>
        <v>1</v>
      </c>
      <c r="AB80" s="93">
        <f t="shared" si="5"/>
        <v>0</v>
      </c>
      <c r="AC80" s="93">
        <f>IFERROR(Table16[[#This Row],[Quantity Needed for repair]]*Table16[[#This Row],[Evaluated]],"")</f>
        <v>0</v>
      </c>
    </row>
    <row r="81" spans="1:29" x14ac:dyDescent="0.35">
      <c r="A81" s="89" t="s">
        <v>434</v>
      </c>
      <c r="B81" s="90">
        <v>12680215</v>
      </c>
      <c r="C81" s="95"/>
      <c r="D81" s="64"/>
      <c r="E81" s="57">
        <v>3</v>
      </c>
      <c r="F81" s="58" t="s">
        <v>373</v>
      </c>
      <c r="G81" s="58">
        <v>13080019</v>
      </c>
      <c r="H81" s="58" t="s">
        <v>313</v>
      </c>
      <c r="I81" s="58" t="s">
        <v>351</v>
      </c>
      <c r="J81" s="58" t="s">
        <v>29</v>
      </c>
      <c r="K81" s="58">
        <v>882281</v>
      </c>
      <c r="L81" s="59">
        <v>44473</v>
      </c>
      <c r="M81" s="58" t="s">
        <v>352</v>
      </c>
      <c r="N81" s="58" t="s">
        <v>29</v>
      </c>
      <c r="O81" s="58" t="s">
        <v>29</v>
      </c>
      <c r="P81" s="58" t="s">
        <v>29</v>
      </c>
      <c r="Q81" s="60" t="str">
        <f t="shared" si="6"/>
        <v/>
      </c>
      <c r="R81" s="58" t="s">
        <v>29</v>
      </c>
      <c r="S81" s="58" t="s">
        <v>29</v>
      </c>
      <c r="T81" s="58" t="s">
        <v>29</v>
      </c>
      <c r="U81" s="58" t="s">
        <v>29</v>
      </c>
      <c r="V81" s="58">
        <v>1</v>
      </c>
      <c r="W81" s="58">
        <v>1130198</v>
      </c>
      <c r="X81" s="78">
        <v>2</v>
      </c>
      <c r="Y81" s="58">
        <v>33</v>
      </c>
      <c r="Z81" s="61" t="s">
        <v>29</v>
      </c>
      <c r="AA81" s="62">
        <f t="shared" si="7"/>
        <v>6.0606060606060608E-2</v>
      </c>
      <c r="AB81" s="91">
        <f t="shared" si="5"/>
        <v>0</v>
      </c>
      <c r="AC81" s="91">
        <f>IFERROR(Table16[[#This Row],[Quantity Needed for repair]]*Table16[[#This Row],[Evaluated]],"")</f>
        <v>0</v>
      </c>
    </row>
    <row r="82" spans="1:29" x14ac:dyDescent="0.35">
      <c r="A82" s="89" t="s">
        <v>435</v>
      </c>
      <c r="B82" s="90">
        <v>12494775</v>
      </c>
      <c r="C82" s="95"/>
      <c r="D82" s="64"/>
      <c r="E82" s="64">
        <v>3</v>
      </c>
      <c r="F82" s="56" t="s">
        <v>373</v>
      </c>
      <c r="G82" s="56">
        <v>13080019</v>
      </c>
      <c r="H82" s="56" t="s">
        <v>313</v>
      </c>
      <c r="I82" s="56" t="s">
        <v>351</v>
      </c>
      <c r="J82" s="56" t="s">
        <v>29</v>
      </c>
      <c r="K82" s="56">
        <v>882281</v>
      </c>
      <c r="L82" s="65">
        <v>44473</v>
      </c>
      <c r="M82" s="56" t="s">
        <v>352</v>
      </c>
      <c r="N82" s="56" t="s">
        <v>29</v>
      </c>
      <c r="O82" s="56" t="s">
        <v>29</v>
      </c>
      <c r="P82" s="56" t="s">
        <v>29</v>
      </c>
      <c r="Q82" s="66" t="str">
        <f t="shared" si="6"/>
        <v/>
      </c>
      <c r="R82" s="56" t="s">
        <v>29</v>
      </c>
      <c r="S82" s="56" t="s">
        <v>29</v>
      </c>
      <c r="T82" s="56" t="s">
        <v>29</v>
      </c>
      <c r="U82" s="56" t="s">
        <v>29</v>
      </c>
      <c r="V82" s="56">
        <v>2</v>
      </c>
      <c r="W82" s="56">
        <v>1130197</v>
      </c>
      <c r="X82" s="79" t="s">
        <v>29</v>
      </c>
      <c r="Y82" s="56">
        <v>23</v>
      </c>
      <c r="Z82" s="67" t="s">
        <v>29</v>
      </c>
      <c r="AA82" s="68" t="str">
        <f t="shared" si="7"/>
        <v/>
      </c>
      <c r="AB82" s="92">
        <f t="shared" si="5"/>
        <v>0</v>
      </c>
      <c r="AC82" s="92" t="str">
        <f>IFERROR(Table16[[#This Row],[Quantity Needed for repair]]*Table16[[#This Row],[Evaluated]],"")</f>
        <v/>
      </c>
    </row>
    <row r="83" spans="1:29" ht="15" thickBot="1" x14ac:dyDescent="0.4">
      <c r="A83" s="89" t="s">
        <v>436</v>
      </c>
      <c r="B83" s="90">
        <v>12801308</v>
      </c>
      <c r="C83" s="95">
        <v>0</v>
      </c>
      <c r="D83" s="64"/>
      <c r="E83" s="69">
        <v>3</v>
      </c>
      <c r="F83" s="70" t="s">
        <v>373</v>
      </c>
      <c r="G83" s="70">
        <v>13080019</v>
      </c>
      <c r="H83" s="70" t="s">
        <v>313</v>
      </c>
      <c r="I83" s="70" t="s">
        <v>351</v>
      </c>
      <c r="J83" s="70" t="s">
        <v>29</v>
      </c>
      <c r="K83" s="70">
        <v>882281</v>
      </c>
      <c r="L83" s="71">
        <v>44473</v>
      </c>
      <c r="M83" s="70" t="s">
        <v>352</v>
      </c>
      <c r="N83" s="70" t="s">
        <v>29</v>
      </c>
      <c r="O83" s="70" t="s">
        <v>29</v>
      </c>
      <c r="P83" s="70" t="s">
        <v>29</v>
      </c>
      <c r="Q83" s="72" t="str">
        <f t="shared" si="6"/>
        <v/>
      </c>
      <c r="R83" s="70" t="s">
        <v>29</v>
      </c>
      <c r="S83" s="70" t="s">
        <v>29</v>
      </c>
      <c r="T83" s="70" t="s">
        <v>29</v>
      </c>
      <c r="U83" s="70" t="s">
        <v>29</v>
      </c>
      <c r="V83" s="70">
        <v>3</v>
      </c>
      <c r="W83" s="70">
        <v>418525</v>
      </c>
      <c r="X83" s="80">
        <v>12</v>
      </c>
      <c r="Y83" s="70">
        <v>12</v>
      </c>
      <c r="Z83" s="73" t="s">
        <v>29</v>
      </c>
      <c r="AA83" s="74">
        <f t="shared" si="7"/>
        <v>1</v>
      </c>
      <c r="AB83" s="93">
        <f t="shared" si="5"/>
        <v>0</v>
      </c>
      <c r="AC83" s="93">
        <f>IFERROR(Table16[[#This Row],[Quantity Needed for repair]]*Table16[[#This Row],[Evaluated]],"")</f>
        <v>0</v>
      </c>
    </row>
    <row r="84" spans="1:29" x14ac:dyDescent="0.35">
      <c r="A84" s="89" t="s">
        <v>437</v>
      </c>
      <c r="B84" s="90">
        <v>12745098</v>
      </c>
      <c r="C84" s="95"/>
      <c r="D84" s="64"/>
      <c r="E84" s="57">
        <v>3</v>
      </c>
      <c r="F84" s="58" t="s">
        <v>374</v>
      </c>
      <c r="G84" s="58">
        <v>13131336</v>
      </c>
      <c r="H84" s="58" t="s">
        <v>313</v>
      </c>
      <c r="I84" s="58" t="s">
        <v>351</v>
      </c>
      <c r="J84" s="58" t="s">
        <v>29</v>
      </c>
      <c r="K84" s="58">
        <v>882281</v>
      </c>
      <c r="L84" s="59">
        <v>44473</v>
      </c>
      <c r="M84" s="58" t="s">
        <v>352</v>
      </c>
      <c r="N84" s="58" t="s">
        <v>29</v>
      </c>
      <c r="O84" s="58" t="s">
        <v>29</v>
      </c>
      <c r="P84" s="58" t="s">
        <v>29</v>
      </c>
      <c r="Q84" s="60" t="str">
        <f t="shared" si="6"/>
        <v/>
      </c>
      <c r="R84" s="58" t="s">
        <v>29</v>
      </c>
      <c r="S84" s="58" t="s">
        <v>29</v>
      </c>
      <c r="T84" s="58" t="s">
        <v>29</v>
      </c>
      <c r="U84" s="58" t="s">
        <v>29</v>
      </c>
      <c r="V84" s="58">
        <v>1</v>
      </c>
      <c r="W84" s="58">
        <v>1130198</v>
      </c>
      <c r="X84" s="81">
        <v>3</v>
      </c>
      <c r="Y84" s="58">
        <v>33</v>
      </c>
      <c r="Z84" s="61" t="s">
        <v>29</v>
      </c>
      <c r="AA84" s="62">
        <f t="shared" si="7"/>
        <v>9.0909090909090912E-2</v>
      </c>
      <c r="AB84" s="91">
        <f t="shared" si="5"/>
        <v>0</v>
      </c>
      <c r="AC84" s="91">
        <f>IFERROR(Table16[[#This Row],[Quantity Needed for repair]]*Table16[[#This Row],[Evaluated]],"")</f>
        <v>0</v>
      </c>
    </row>
    <row r="85" spans="1:29" x14ac:dyDescent="0.35">
      <c r="A85" s="89" t="s">
        <v>438</v>
      </c>
      <c r="B85" s="90">
        <v>12819961</v>
      </c>
      <c r="C85" s="95">
        <v>0</v>
      </c>
      <c r="D85" s="64"/>
      <c r="E85" s="64">
        <v>3</v>
      </c>
      <c r="F85" s="56" t="s">
        <v>374</v>
      </c>
      <c r="G85" s="56">
        <v>13131336</v>
      </c>
      <c r="H85" s="56" t="s">
        <v>313</v>
      </c>
      <c r="I85" s="56" t="s">
        <v>351</v>
      </c>
      <c r="J85" s="56" t="s">
        <v>29</v>
      </c>
      <c r="K85" s="56">
        <v>882281</v>
      </c>
      <c r="L85" s="65">
        <v>44473</v>
      </c>
      <c r="M85" s="56" t="s">
        <v>352</v>
      </c>
      <c r="N85" s="56" t="s">
        <v>29</v>
      </c>
      <c r="O85" s="56" t="s">
        <v>29</v>
      </c>
      <c r="P85" s="56" t="s">
        <v>29</v>
      </c>
      <c r="Q85" s="66" t="str">
        <f t="shared" si="6"/>
        <v/>
      </c>
      <c r="R85" s="56" t="s">
        <v>29</v>
      </c>
      <c r="S85" s="56" t="s">
        <v>29</v>
      </c>
      <c r="T85" s="56" t="s">
        <v>29</v>
      </c>
      <c r="U85" s="56" t="s">
        <v>29</v>
      </c>
      <c r="V85" s="56">
        <v>2</v>
      </c>
      <c r="W85" s="56">
        <v>1130197</v>
      </c>
      <c r="X85" s="82" t="s">
        <v>29</v>
      </c>
      <c r="Y85" s="56">
        <v>23</v>
      </c>
      <c r="Z85" s="67" t="s">
        <v>29</v>
      </c>
      <c r="AA85" s="68" t="str">
        <f t="shared" si="7"/>
        <v/>
      </c>
      <c r="AB85" s="92">
        <f t="shared" si="5"/>
        <v>0</v>
      </c>
      <c r="AC85" s="92" t="str">
        <f>IFERROR(Table16[[#This Row],[Quantity Needed for repair]]*Table16[[#This Row],[Evaluated]],"")</f>
        <v/>
      </c>
    </row>
    <row r="86" spans="1:29" ht="15" thickBot="1" x14ac:dyDescent="0.4">
      <c r="A86" s="89" t="s">
        <v>439</v>
      </c>
      <c r="B86" s="90">
        <v>12693576</v>
      </c>
      <c r="C86" s="95">
        <v>0</v>
      </c>
      <c r="D86" s="64"/>
      <c r="E86" s="69">
        <v>3</v>
      </c>
      <c r="F86" s="70" t="s">
        <v>374</v>
      </c>
      <c r="G86" s="70">
        <v>13131336</v>
      </c>
      <c r="H86" s="70" t="s">
        <v>313</v>
      </c>
      <c r="I86" s="70" t="s">
        <v>351</v>
      </c>
      <c r="J86" s="70" t="s">
        <v>29</v>
      </c>
      <c r="K86" s="70">
        <v>882281</v>
      </c>
      <c r="L86" s="71">
        <v>44473</v>
      </c>
      <c r="M86" s="70" t="s">
        <v>352</v>
      </c>
      <c r="N86" s="70" t="s">
        <v>29</v>
      </c>
      <c r="O86" s="70" t="s">
        <v>29</v>
      </c>
      <c r="P86" s="70" t="s">
        <v>29</v>
      </c>
      <c r="Q86" s="72" t="str">
        <f t="shared" si="6"/>
        <v/>
      </c>
      <c r="R86" s="70" t="s">
        <v>29</v>
      </c>
      <c r="S86" s="70" t="s">
        <v>29</v>
      </c>
      <c r="T86" s="70" t="s">
        <v>29</v>
      </c>
      <c r="U86" s="70" t="s">
        <v>29</v>
      </c>
      <c r="V86" s="70">
        <v>3</v>
      </c>
      <c r="W86" s="70">
        <v>418525</v>
      </c>
      <c r="X86" s="83">
        <v>11</v>
      </c>
      <c r="Y86" s="70">
        <v>12</v>
      </c>
      <c r="Z86" s="73" t="s">
        <v>29</v>
      </c>
      <c r="AA86" s="74">
        <f t="shared" si="7"/>
        <v>0.91666666666666663</v>
      </c>
      <c r="AB86" s="93">
        <f t="shared" si="5"/>
        <v>0</v>
      </c>
      <c r="AC86" s="93">
        <f>IFERROR(Table16[[#This Row],[Quantity Needed for repair]]*Table16[[#This Row],[Evaluated]],"")</f>
        <v>0</v>
      </c>
    </row>
    <row r="87" spans="1:29" x14ac:dyDescent="0.35">
      <c r="A87" s="89" t="s">
        <v>440</v>
      </c>
      <c r="B87" s="90">
        <v>12819749</v>
      </c>
      <c r="C87" s="95">
        <v>0</v>
      </c>
      <c r="D87" s="64"/>
      <c r="E87" s="57">
        <v>3</v>
      </c>
      <c r="F87" s="58" t="s">
        <v>375</v>
      </c>
      <c r="G87" s="58">
        <v>13131343</v>
      </c>
      <c r="H87" s="58" t="s">
        <v>313</v>
      </c>
      <c r="I87" s="58" t="s">
        <v>351</v>
      </c>
      <c r="J87" s="58" t="s">
        <v>29</v>
      </c>
      <c r="K87" s="58">
        <v>1080537</v>
      </c>
      <c r="L87" s="59">
        <v>44473</v>
      </c>
      <c r="M87" s="58" t="s">
        <v>352</v>
      </c>
      <c r="N87" s="58" t="s">
        <v>29</v>
      </c>
      <c r="O87" s="58" t="s">
        <v>29</v>
      </c>
      <c r="P87" s="58" t="s">
        <v>29</v>
      </c>
      <c r="Q87" s="60" t="str">
        <f t="shared" si="6"/>
        <v/>
      </c>
      <c r="R87" s="58" t="s">
        <v>29</v>
      </c>
      <c r="S87" s="58" t="s">
        <v>29</v>
      </c>
      <c r="T87" s="58" t="s">
        <v>29</v>
      </c>
      <c r="U87" s="58" t="s">
        <v>29</v>
      </c>
      <c r="V87" s="58">
        <v>1</v>
      </c>
      <c r="W87" s="58">
        <v>1130198</v>
      </c>
      <c r="X87" s="78">
        <v>4</v>
      </c>
      <c r="Y87" s="58">
        <v>33</v>
      </c>
      <c r="Z87" s="61" t="s">
        <v>29</v>
      </c>
      <c r="AA87" s="62">
        <f t="shared" si="7"/>
        <v>0.12121212121212122</v>
      </c>
      <c r="AB87" s="91">
        <f t="shared" si="5"/>
        <v>0</v>
      </c>
      <c r="AC87" s="91">
        <f>IFERROR(Table16[[#This Row],[Quantity Needed for repair]]*Table16[[#This Row],[Evaluated]],"")</f>
        <v>0</v>
      </c>
    </row>
    <row r="88" spans="1:29" x14ac:dyDescent="0.35">
      <c r="A88" s="89" t="s">
        <v>441</v>
      </c>
      <c r="B88" s="90">
        <v>13076733</v>
      </c>
      <c r="C88" s="95"/>
      <c r="D88" s="64"/>
      <c r="E88" s="64">
        <v>3</v>
      </c>
      <c r="F88" s="56" t="s">
        <v>375</v>
      </c>
      <c r="G88" s="56">
        <v>13131343</v>
      </c>
      <c r="H88" s="56" t="s">
        <v>313</v>
      </c>
      <c r="I88" s="56" t="s">
        <v>351</v>
      </c>
      <c r="J88" s="56" t="s">
        <v>29</v>
      </c>
      <c r="K88" s="56">
        <v>1080537</v>
      </c>
      <c r="L88" s="65">
        <v>44473</v>
      </c>
      <c r="M88" s="56" t="s">
        <v>352</v>
      </c>
      <c r="N88" s="56" t="s">
        <v>29</v>
      </c>
      <c r="O88" s="56" t="s">
        <v>29</v>
      </c>
      <c r="P88" s="56" t="s">
        <v>29</v>
      </c>
      <c r="Q88" s="66" t="str">
        <f t="shared" si="6"/>
        <v/>
      </c>
      <c r="R88" s="56" t="s">
        <v>29</v>
      </c>
      <c r="S88" s="56" t="s">
        <v>29</v>
      </c>
      <c r="T88" s="56" t="s">
        <v>29</v>
      </c>
      <c r="U88" s="56" t="s">
        <v>29</v>
      </c>
      <c r="V88" s="56">
        <v>2</v>
      </c>
      <c r="W88" s="56">
        <v>647435</v>
      </c>
      <c r="X88" s="79">
        <v>1</v>
      </c>
      <c r="Y88" s="56">
        <v>23</v>
      </c>
      <c r="Z88" s="67" t="s">
        <v>29</v>
      </c>
      <c r="AA88" s="68">
        <f t="shared" si="7"/>
        <v>4.3478260869565216E-2</v>
      </c>
      <c r="AB88" s="92">
        <f t="shared" si="5"/>
        <v>0</v>
      </c>
      <c r="AC88" s="92">
        <f>IFERROR(Table16[[#This Row],[Quantity Needed for repair]]*Table16[[#This Row],[Evaluated]],"")</f>
        <v>0</v>
      </c>
    </row>
    <row r="89" spans="1:29" ht="15" thickBot="1" x14ac:dyDescent="0.4">
      <c r="A89" s="89" t="s">
        <v>442</v>
      </c>
      <c r="B89" s="90">
        <v>12844563</v>
      </c>
      <c r="C89" s="95">
        <v>0</v>
      </c>
      <c r="D89" s="64"/>
      <c r="E89" s="69">
        <v>3</v>
      </c>
      <c r="F89" s="70" t="s">
        <v>375</v>
      </c>
      <c r="G89" s="70">
        <v>13131343</v>
      </c>
      <c r="H89" s="70" t="s">
        <v>313</v>
      </c>
      <c r="I89" s="70" t="s">
        <v>351</v>
      </c>
      <c r="J89" s="70" t="s">
        <v>29</v>
      </c>
      <c r="K89" s="70">
        <v>1080537</v>
      </c>
      <c r="L89" s="71">
        <v>44473</v>
      </c>
      <c r="M89" s="70" t="s">
        <v>352</v>
      </c>
      <c r="N89" s="70" t="s">
        <v>29</v>
      </c>
      <c r="O89" s="70" t="s">
        <v>29</v>
      </c>
      <c r="P89" s="70" t="s">
        <v>29</v>
      </c>
      <c r="Q89" s="72" t="str">
        <f t="shared" si="6"/>
        <v/>
      </c>
      <c r="R89" s="70" t="s">
        <v>29</v>
      </c>
      <c r="S89" s="70" t="s">
        <v>29</v>
      </c>
      <c r="T89" s="70" t="s">
        <v>29</v>
      </c>
      <c r="U89" s="70" t="s">
        <v>29</v>
      </c>
      <c r="V89" s="70">
        <v>3</v>
      </c>
      <c r="W89" s="70">
        <v>418525</v>
      </c>
      <c r="X89" s="80">
        <v>2</v>
      </c>
      <c r="Y89" s="70">
        <v>6</v>
      </c>
      <c r="Z89" s="73" t="s">
        <v>29</v>
      </c>
      <c r="AA89" s="74">
        <f t="shared" si="7"/>
        <v>0.33333333333333331</v>
      </c>
      <c r="AB89" s="93">
        <f t="shared" si="5"/>
        <v>0</v>
      </c>
      <c r="AC89" s="93">
        <f>IFERROR(Table16[[#This Row],[Quantity Needed for repair]]*Table16[[#This Row],[Evaluated]],"")</f>
        <v>0</v>
      </c>
    </row>
    <row r="90" spans="1:29" x14ac:dyDescent="0.35">
      <c r="A90" s="89" t="s">
        <v>443</v>
      </c>
      <c r="B90" s="90">
        <v>13082601</v>
      </c>
      <c r="C90" s="95"/>
      <c r="D90" s="64"/>
      <c r="E90" s="57">
        <v>3</v>
      </c>
      <c r="F90" s="58" t="s">
        <v>376</v>
      </c>
      <c r="G90" s="58">
        <v>13172280</v>
      </c>
      <c r="H90" s="58" t="s">
        <v>315</v>
      </c>
      <c r="I90" s="563" t="s">
        <v>444</v>
      </c>
      <c r="J90" s="58" t="s">
        <v>29</v>
      </c>
      <c r="K90" s="75">
        <v>1097591</v>
      </c>
      <c r="L90" s="59">
        <v>44473</v>
      </c>
      <c r="M90" s="58" t="s">
        <v>352</v>
      </c>
      <c r="N90" s="58" t="s">
        <v>29</v>
      </c>
      <c r="O90" s="58" t="s">
        <v>29</v>
      </c>
      <c r="P90" s="58" t="s">
        <v>29</v>
      </c>
      <c r="Q90" s="60" t="str">
        <f t="shared" si="6"/>
        <v/>
      </c>
      <c r="R90" s="58" t="s">
        <v>29</v>
      </c>
      <c r="S90" s="58" t="s">
        <v>29</v>
      </c>
      <c r="T90" s="58" t="s">
        <v>29</v>
      </c>
      <c r="U90" s="58" t="s">
        <v>29</v>
      </c>
      <c r="V90" s="58">
        <v>1</v>
      </c>
      <c r="W90" s="58">
        <v>1039064</v>
      </c>
      <c r="X90" s="78">
        <v>20</v>
      </c>
      <c r="Y90" s="58">
        <v>43</v>
      </c>
      <c r="Z90" s="61" t="s">
        <v>29</v>
      </c>
      <c r="AA90" s="62">
        <f t="shared" si="7"/>
        <v>0.46511627906976744</v>
      </c>
      <c r="AB90" s="91">
        <f t="shared" si="5"/>
        <v>0</v>
      </c>
      <c r="AC90" s="91">
        <f>IFERROR(Table16[[#This Row],[Quantity Needed for repair]]*Table16[[#This Row],[Evaluated]],"")</f>
        <v>0</v>
      </c>
    </row>
    <row r="91" spans="1:29" x14ac:dyDescent="0.35">
      <c r="A91" s="89" t="s">
        <v>445</v>
      </c>
      <c r="B91" s="90">
        <v>12967022</v>
      </c>
      <c r="C91" s="95">
        <v>0</v>
      </c>
      <c r="D91" s="64"/>
      <c r="E91" s="64">
        <v>3</v>
      </c>
      <c r="F91" s="56" t="s">
        <v>376</v>
      </c>
      <c r="G91" s="56">
        <v>13172280</v>
      </c>
      <c r="H91" s="56" t="s">
        <v>315</v>
      </c>
      <c r="I91" s="56" t="s">
        <v>444</v>
      </c>
      <c r="J91" s="56" t="s">
        <v>29</v>
      </c>
      <c r="K91" s="76">
        <v>1097591</v>
      </c>
      <c r="L91" s="65">
        <v>44473</v>
      </c>
      <c r="M91" s="56" t="s">
        <v>352</v>
      </c>
      <c r="N91" s="56" t="s">
        <v>29</v>
      </c>
      <c r="O91" s="56" t="s">
        <v>29</v>
      </c>
      <c r="P91" s="56" t="s">
        <v>29</v>
      </c>
      <c r="Q91" s="66" t="str">
        <f t="shared" si="6"/>
        <v/>
      </c>
      <c r="R91" s="56" t="s">
        <v>29</v>
      </c>
      <c r="S91" s="56" t="s">
        <v>29</v>
      </c>
      <c r="T91" s="56" t="s">
        <v>29</v>
      </c>
      <c r="U91" s="56" t="s">
        <v>29</v>
      </c>
      <c r="V91" s="56">
        <v>2</v>
      </c>
      <c r="W91" s="56">
        <v>983152</v>
      </c>
      <c r="X91" s="79">
        <v>5</v>
      </c>
      <c r="Y91" s="56">
        <v>46</v>
      </c>
      <c r="Z91" s="67" t="s">
        <v>29</v>
      </c>
      <c r="AA91" s="68">
        <f t="shared" si="7"/>
        <v>0.10869565217391304</v>
      </c>
      <c r="AB91" s="92">
        <f t="shared" si="5"/>
        <v>0</v>
      </c>
      <c r="AC91" s="92">
        <f>IFERROR(Table16[[#This Row],[Quantity Needed for repair]]*Table16[[#This Row],[Evaluated]],"")</f>
        <v>0</v>
      </c>
    </row>
    <row r="92" spans="1:29" x14ac:dyDescent="0.35">
      <c r="A92" s="89" t="s">
        <v>446</v>
      </c>
      <c r="B92" s="90">
        <v>13015732</v>
      </c>
      <c r="C92" s="95"/>
      <c r="D92" s="64"/>
      <c r="E92" s="64">
        <v>3</v>
      </c>
      <c r="F92" s="56" t="s">
        <v>376</v>
      </c>
      <c r="G92" s="56">
        <v>13172280</v>
      </c>
      <c r="H92" s="56" t="s">
        <v>315</v>
      </c>
      <c r="I92" s="56" t="s">
        <v>444</v>
      </c>
      <c r="J92" s="56" t="s">
        <v>29</v>
      </c>
      <c r="K92" s="76">
        <v>1097591</v>
      </c>
      <c r="L92" s="65">
        <v>44473</v>
      </c>
      <c r="M92" s="56" t="s">
        <v>352</v>
      </c>
      <c r="N92" s="56" t="s">
        <v>29</v>
      </c>
      <c r="O92" s="56" t="s">
        <v>29</v>
      </c>
      <c r="P92" s="56" t="s">
        <v>29</v>
      </c>
      <c r="Q92" s="66" t="str">
        <f t="shared" si="6"/>
        <v/>
      </c>
      <c r="R92" s="56" t="s">
        <v>29</v>
      </c>
      <c r="S92" s="56" t="s">
        <v>29</v>
      </c>
      <c r="T92" s="56" t="s">
        <v>29</v>
      </c>
      <c r="U92" s="56" t="s">
        <v>29</v>
      </c>
      <c r="V92" s="56">
        <v>3</v>
      </c>
      <c r="W92" s="56">
        <v>1039060</v>
      </c>
      <c r="X92" s="79">
        <v>2</v>
      </c>
      <c r="Y92" s="56">
        <v>9</v>
      </c>
      <c r="Z92" s="67" t="s">
        <v>29</v>
      </c>
      <c r="AA92" s="68">
        <f t="shared" si="7"/>
        <v>0.22222222222222221</v>
      </c>
      <c r="AB92" s="92">
        <f t="shared" si="5"/>
        <v>0</v>
      </c>
      <c r="AC92" s="92">
        <f>IFERROR(Table16[[#This Row],[Quantity Needed for repair]]*Table16[[#This Row],[Evaluated]],"")</f>
        <v>0</v>
      </c>
    </row>
    <row r="93" spans="1:29" x14ac:dyDescent="0.35">
      <c r="A93" s="89" t="s">
        <v>447</v>
      </c>
      <c r="B93" s="90">
        <v>13064093</v>
      </c>
      <c r="C93" s="95">
        <v>0</v>
      </c>
      <c r="D93" s="64"/>
      <c r="E93" s="64">
        <v>3</v>
      </c>
      <c r="F93" s="56" t="s">
        <v>376</v>
      </c>
      <c r="G93" s="56">
        <v>13172280</v>
      </c>
      <c r="H93" s="56" t="s">
        <v>315</v>
      </c>
      <c r="I93" s="56" t="s">
        <v>444</v>
      </c>
      <c r="J93" s="56" t="s">
        <v>29</v>
      </c>
      <c r="K93" s="76">
        <v>1097591</v>
      </c>
      <c r="L93" s="65">
        <v>44473</v>
      </c>
      <c r="M93" s="56" t="s">
        <v>352</v>
      </c>
      <c r="N93" s="56" t="s">
        <v>29</v>
      </c>
      <c r="O93" s="56" t="s">
        <v>29</v>
      </c>
      <c r="P93" s="56" t="s">
        <v>29</v>
      </c>
      <c r="Q93" s="66" t="str">
        <f t="shared" si="6"/>
        <v/>
      </c>
      <c r="R93" s="56" t="s">
        <v>29</v>
      </c>
      <c r="S93" s="56" t="s">
        <v>29</v>
      </c>
      <c r="T93" s="56" t="s">
        <v>29</v>
      </c>
      <c r="U93" s="56" t="s">
        <v>29</v>
      </c>
      <c r="V93" s="56">
        <v>4</v>
      </c>
      <c r="W93" s="56">
        <v>871781</v>
      </c>
      <c r="X93" s="79" t="s">
        <v>29</v>
      </c>
      <c r="Y93" s="56">
        <v>4</v>
      </c>
      <c r="Z93" s="67" t="s">
        <v>29</v>
      </c>
      <c r="AA93" s="68" t="str">
        <f t="shared" si="7"/>
        <v/>
      </c>
      <c r="AB93" s="92">
        <f t="shared" si="5"/>
        <v>0</v>
      </c>
      <c r="AC93" s="92" t="str">
        <f>IFERROR(Table16[[#This Row],[Quantity Needed for repair]]*Table16[[#This Row],[Evaluated]],"")</f>
        <v/>
      </c>
    </row>
    <row r="94" spans="1:29" ht="15" thickBot="1" x14ac:dyDescent="0.4">
      <c r="A94" s="89" t="s">
        <v>448</v>
      </c>
      <c r="B94" s="90">
        <v>13080018</v>
      </c>
      <c r="C94" s="95">
        <v>0</v>
      </c>
      <c r="D94" s="64"/>
      <c r="E94" s="69">
        <v>3</v>
      </c>
      <c r="F94" s="70" t="s">
        <v>376</v>
      </c>
      <c r="G94" s="70">
        <v>13172280</v>
      </c>
      <c r="H94" s="70" t="s">
        <v>315</v>
      </c>
      <c r="I94" s="70" t="s">
        <v>444</v>
      </c>
      <c r="J94" s="70" t="s">
        <v>29</v>
      </c>
      <c r="K94" s="77">
        <v>1097591</v>
      </c>
      <c r="L94" s="71">
        <v>44473</v>
      </c>
      <c r="M94" s="70" t="s">
        <v>352</v>
      </c>
      <c r="N94" s="70" t="s">
        <v>29</v>
      </c>
      <c r="O94" s="70" t="s">
        <v>29</v>
      </c>
      <c r="P94" s="70" t="s">
        <v>29</v>
      </c>
      <c r="Q94" s="72" t="str">
        <f t="shared" si="6"/>
        <v/>
      </c>
      <c r="R94" s="70" t="s">
        <v>29</v>
      </c>
      <c r="S94" s="70" t="s">
        <v>29</v>
      </c>
      <c r="T94" s="70" t="s">
        <v>29</v>
      </c>
      <c r="U94" s="70" t="s">
        <v>29</v>
      </c>
      <c r="V94" s="70">
        <v>5</v>
      </c>
      <c r="W94" s="70">
        <v>418525</v>
      </c>
      <c r="X94" s="80">
        <v>4</v>
      </c>
      <c r="Y94" s="70">
        <v>4</v>
      </c>
      <c r="Z94" s="73" t="s">
        <v>29</v>
      </c>
      <c r="AA94" s="74">
        <f t="shared" si="7"/>
        <v>1</v>
      </c>
      <c r="AB94" s="93">
        <f t="shared" si="5"/>
        <v>0</v>
      </c>
      <c r="AC94" s="93">
        <f>IFERROR(Table16[[#This Row],[Quantity Needed for repair]]*Table16[[#This Row],[Evaluated]],"")</f>
        <v>0</v>
      </c>
    </row>
    <row r="95" spans="1:29" x14ac:dyDescent="0.35">
      <c r="A95" s="89" t="s">
        <v>449</v>
      </c>
      <c r="B95" s="90">
        <v>13080025</v>
      </c>
      <c r="C95" s="95"/>
      <c r="D95" s="64"/>
      <c r="E95" s="57">
        <v>3</v>
      </c>
      <c r="F95" s="58" t="s">
        <v>377</v>
      </c>
      <c r="G95" s="58">
        <v>13172301</v>
      </c>
      <c r="H95" s="58" t="s">
        <v>313</v>
      </c>
      <c r="I95" s="58" t="s">
        <v>351</v>
      </c>
      <c r="J95" s="58" t="s">
        <v>29</v>
      </c>
      <c r="K95" s="58">
        <v>1080537</v>
      </c>
      <c r="L95" s="59">
        <v>44473</v>
      </c>
      <c r="M95" s="58" t="s">
        <v>352</v>
      </c>
      <c r="N95" s="58" t="s">
        <v>29</v>
      </c>
      <c r="O95" s="58" t="s">
        <v>29</v>
      </c>
      <c r="P95" s="58" t="s">
        <v>29</v>
      </c>
      <c r="Q95" s="60" t="str">
        <f t="shared" si="6"/>
        <v/>
      </c>
      <c r="R95" s="58" t="s">
        <v>29</v>
      </c>
      <c r="S95" s="58" t="s">
        <v>29</v>
      </c>
      <c r="T95" s="58" t="s">
        <v>29</v>
      </c>
      <c r="U95" s="58" t="s">
        <v>29</v>
      </c>
      <c r="V95" s="58">
        <v>1</v>
      </c>
      <c r="W95" s="58">
        <v>1130198</v>
      </c>
      <c r="X95" s="81">
        <v>4</v>
      </c>
      <c r="Y95" s="58">
        <v>33</v>
      </c>
      <c r="Z95" s="61" t="s">
        <v>29</v>
      </c>
      <c r="AA95" s="62">
        <f t="shared" si="7"/>
        <v>0.12121212121212122</v>
      </c>
      <c r="AB95" s="91">
        <f t="shared" si="5"/>
        <v>0</v>
      </c>
      <c r="AC95" s="91">
        <f>IFERROR(Table16[[#This Row],[Quantity Needed for repair]]*Table16[[#This Row],[Evaluated]],"")</f>
        <v>0</v>
      </c>
    </row>
    <row r="96" spans="1:29" x14ac:dyDescent="0.35">
      <c r="A96" s="89" t="s">
        <v>450</v>
      </c>
      <c r="B96" s="90">
        <v>13094650</v>
      </c>
      <c r="C96" s="95"/>
      <c r="D96" s="64"/>
      <c r="E96" s="64">
        <v>3</v>
      </c>
      <c r="F96" s="56" t="s">
        <v>377</v>
      </c>
      <c r="G96" s="56">
        <v>13172301</v>
      </c>
      <c r="H96" s="56" t="s">
        <v>313</v>
      </c>
      <c r="I96" s="56" t="s">
        <v>351</v>
      </c>
      <c r="J96" s="56" t="s">
        <v>29</v>
      </c>
      <c r="K96" s="56">
        <v>1080537</v>
      </c>
      <c r="L96" s="65">
        <v>44473</v>
      </c>
      <c r="M96" s="56" t="s">
        <v>352</v>
      </c>
      <c r="N96" s="56" t="s">
        <v>29</v>
      </c>
      <c r="O96" s="56" t="s">
        <v>29</v>
      </c>
      <c r="P96" s="56" t="s">
        <v>29</v>
      </c>
      <c r="Q96" s="66" t="str">
        <f t="shared" si="6"/>
        <v/>
      </c>
      <c r="R96" s="56" t="s">
        <v>29</v>
      </c>
      <c r="S96" s="56" t="s">
        <v>29</v>
      </c>
      <c r="T96" s="56" t="s">
        <v>29</v>
      </c>
      <c r="U96" s="56" t="s">
        <v>29</v>
      </c>
      <c r="V96" s="56">
        <v>2</v>
      </c>
      <c r="W96" s="56">
        <v>647435</v>
      </c>
      <c r="X96" s="82">
        <v>4</v>
      </c>
      <c r="Y96" s="56">
        <v>23</v>
      </c>
      <c r="Z96" s="67" t="s">
        <v>29</v>
      </c>
      <c r="AA96" s="68">
        <f t="shared" si="7"/>
        <v>0.17391304347826086</v>
      </c>
      <c r="AB96" s="92">
        <f t="shared" si="5"/>
        <v>0</v>
      </c>
      <c r="AC96" s="92">
        <f>IFERROR(Table16[[#This Row],[Quantity Needed for repair]]*Table16[[#This Row],[Evaluated]],"")</f>
        <v>0</v>
      </c>
    </row>
    <row r="97" spans="1:29" ht="15" thickBot="1" x14ac:dyDescent="0.4">
      <c r="A97" s="89" t="s">
        <v>451</v>
      </c>
      <c r="B97" s="90">
        <v>12998447</v>
      </c>
      <c r="C97" s="95"/>
      <c r="D97" s="64"/>
      <c r="E97" s="69">
        <v>3</v>
      </c>
      <c r="F97" s="70" t="s">
        <v>377</v>
      </c>
      <c r="G97" s="70">
        <v>13172301</v>
      </c>
      <c r="H97" s="70" t="s">
        <v>313</v>
      </c>
      <c r="I97" s="70" t="s">
        <v>351</v>
      </c>
      <c r="J97" s="70" t="s">
        <v>29</v>
      </c>
      <c r="K97" s="70">
        <v>1080537</v>
      </c>
      <c r="L97" s="71">
        <v>44473</v>
      </c>
      <c r="M97" s="70" t="s">
        <v>352</v>
      </c>
      <c r="N97" s="70" t="s">
        <v>29</v>
      </c>
      <c r="O97" s="70" t="s">
        <v>29</v>
      </c>
      <c r="P97" s="70" t="s">
        <v>29</v>
      </c>
      <c r="Q97" s="72" t="str">
        <f t="shared" si="6"/>
        <v/>
      </c>
      <c r="R97" s="70" t="s">
        <v>29</v>
      </c>
      <c r="S97" s="70" t="s">
        <v>29</v>
      </c>
      <c r="T97" s="70" t="s">
        <v>29</v>
      </c>
      <c r="U97" s="70" t="s">
        <v>29</v>
      </c>
      <c r="V97" s="70">
        <v>3</v>
      </c>
      <c r="W97" s="70">
        <v>418525</v>
      </c>
      <c r="X97" s="83">
        <v>6</v>
      </c>
      <c r="Y97" s="70">
        <v>6</v>
      </c>
      <c r="Z97" s="73" t="s">
        <v>29</v>
      </c>
      <c r="AA97" s="74">
        <f t="shared" si="7"/>
        <v>1</v>
      </c>
      <c r="AB97" s="93">
        <f t="shared" si="5"/>
        <v>0</v>
      </c>
      <c r="AC97" s="93">
        <f>IFERROR(Table16[[#This Row],[Quantity Needed for repair]]*Table16[[#This Row],[Evaluated]],"")</f>
        <v>0</v>
      </c>
    </row>
    <row r="98" spans="1:29" x14ac:dyDescent="0.35">
      <c r="A98" s="89" t="s">
        <v>452</v>
      </c>
      <c r="B98" s="90">
        <v>13030682</v>
      </c>
      <c r="C98" s="95">
        <v>0</v>
      </c>
      <c r="D98" s="64"/>
      <c r="E98" s="57">
        <v>3</v>
      </c>
      <c r="F98" s="58" t="s">
        <v>378</v>
      </c>
      <c r="G98" s="58">
        <v>13187236</v>
      </c>
      <c r="H98" s="58" t="s">
        <v>313</v>
      </c>
      <c r="I98" s="58" t="s">
        <v>351</v>
      </c>
      <c r="J98" s="58" t="s">
        <v>29</v>
      </c>
      <c r="K98" s="58">
        <v>1080537</v>
      </c>
      <c r="L98" s="59">
        <v>44473</v>
      </c>
      <c r="M98" s="58" t="s">
        <v>352</v>
      </c>
      <c r="N98" s="58" t="s">
        <v>29</v>
      </c>
      <c r="O98" s="58" t="s">
        <v>29</v>
      </c>
      <c r="P98" s="58" t="s">
        <v>29</v>
      </c>
      <c r="Q98" s="60" t="str">
        <f t="shared" si="6"/>
        <v/>
      </c>
      <c r="R98" s="58" t="s">
        <v>29</v>
      </c>
      <c r="S98" s="58" t="s">
        <v>29</v>
      </c>
      <c r="T98" s="58" t="s">
        <v>29</v>
      </c>
      <c r="U98" s="58" t="s">
        <v>29</v>
      </c>
      <c r="V98" s="58">
        <v>1</v>
      </c>
      <c r="W98" s="58">
        <v>1130198</v>
      </c>
      <c r="X98" s="78">
        <v>7</v>
      </c>
      <c r="Y98" s="58">
        <v>33</v>
      </c>
      <c r="Z98" s="61" t="s">
        <v>29</v>
      </c>
      <c r="AA98" s="62">
        <f t="shared" si="7"/>
        <v>0.21212121212121213</v>
      </c>
      <c r="AB98" s="91">
        <f t="shared" si="5"/>
        <v>0</v>
      </c>
      <c r="AC98" s="91">
        <f>IFERROR(Table16[[#This Row],[Quantity Needed for repair]]*Table16[[#This Row],[Evaluated]],"")</f>
        <v>0</v>
      </c>
    </row>
    <row r="99" spans="1:29" x14ac:dyDescent="0.35">
      <c r="A99" s="89" t="s">
        <v>453</v>
      </c>
      <c r="B99" s="90">
        <v>13062479</v>
      </c>
      <c r="C99" s="95">
        <v>0</v>
      </c>
      <c r="D99" s="64"/>
      <c r="E99" s="64">
        <v>3</v>
      </c>
      <c r="F99" s="56" t="s">
        <v>378</v>
      </c>
      <c r="G99" s="56">
        <v>13187236</v>
      </c>
      <c r="H99" s="56" t="s">
        <v>313</v>
      </c>
      <c r="I99" s="56" t="s">
        <v>351</v>
      </c>
      <c r="J99" s="56" t="s">
        <v>29</v>
      </c>
      <c r="K99" s="56">
        <v>1080537</v>
      </c>
      <c r="L99" s="65">
        <v>44473</v>
      </c>
      <c r="M99" s="56" t="s">
        <v>352</v>
      </c>
      <c r="N99" s="56" t="s">
        <v>29</v>
      </c>
      <c r="O99" s="56" t="s">
        <v>29</v>
      </c>
      <c r="P99" s="56" t="s">
        <v>29</v>
      </c>
      <c r="Q99" s="66" t="str">
        <f t="shared" si="6"/>
        <v/>
      </c>
      <c r="R99" s="56" t="s">
        <v>29</v>
      </c>
      <c r="S99" s="56" t="s">
        <v>29</v>
      </c>
      <c r="T99" s="56" t="s">
        <v>29</v>
      </c>
      <c r="U99" s="56" t="s">
        <v>29</v>
      </c>
      <c r="V99" s="56">
        <v>2</v>
      </c>
      <c r="W99" s="56">
        <v>647435</v>
      </c>
      <c r="X99" s="79">
        <v>1</v>
      </c>
      <c r="Y99" s="56">
        <v>23</v>
      </c>
      <c r="Z99" s="67" t="s">
        <v>29</v>
      </c>
      <c r="AA99" s="68">
        <f t="shared" si="7"/>
        <v>4.3478260869565216E-2</v>
      </c>
      <c r="AB99" s="92">
        <f t="shared" si="5"/>
        <v>0</v>
      </c>
      <c r="AC99" s="92">
        <f>IFERROR(Table16[[#This Row],[Quantity Needed for repair]]*Table16[[#This Row],[Evaluated]],"")</f>
        <v>0</v>
      </c>
    </row>
    <row r="100" spans="1:29" ht="15" thickBot="1" x14ac:dyDescent="0.4">
      <c r="A100" s="89" t="s">
        <v>454</v>
      </c>
      <c r="B100" s="90">
        <v>13080017</v>
      </c>
      <c r="C100" s="95">
        <v>0</v>
      </c>
      <c r="D100" s="64"/>
      <c r="E100" s="69">
        <v>3</v>
      </c>
      <c r="F100" s="70" t="s">
        <v>378</v>
      </c>
      <c r="G100" s="70">
        <v>13187236</v>
      </c>
      <c r="H100" s="70" t="s">
        <v>313</v>
      </c>
      <c r="I100" s="70" t="s">
        <v>351</v>
      </c>
      <c r="J100" s="70" t="s">
        <v>29</v>
      </c>
      <c r="K100" s="70">
        <v>1080537</v>
      </c>
      <c r="L100" s="71">
        <v>44473</v>
      </c>
      <c r="M100" s="70" t="s">
        <v>352</v>
      </c>
      <c r="N100" s="70" t="s">
        <v>29</v>
      </c>
      <c r="O100" s="70" t="s">
        <v>29</v>
      </c>
      <c r="P100" s="70" t="s">
        <v>29</v>
      </c>
      <c r="Q100" s="72" t="str">
        <f t="shared" si="6"/>
        <v/>
      </c>
      <c r="R100" s="70" t="s">
        <v>29</v>
      </c>
      <c r="S100" s="70" t="s">
        <v>29</v>
      </c>
      <c r="T100" s="70" t="s">
        <v>29</v>
      </c>
      <c r="U100" s="70" t="s">
        <v>29</v>
      </c>
      <c r="V100" s="70">
        <v>3</v>
      </c>
      <c r="W100" s="70">
        <v>418525</v>
      </c>
      <c r="X100" s="80">
        <v>1</v>
      </c>
      <c r="Y100" s="70">
        <v>6</v>
      </c>
      <c r="Z100" s="73" t="s">
        <v>29</v>
      </c>
      <c r="AA100" s="74">
        <f t="shared" si="7"/>
        <v>0.16666666666666666</v>
      </c>
      <c r="AB100" s="93">
        <f t="shared" si="5"/>
        <v>0</v>
      </c>
      <c r="AC100" s="93">
        <f>IFERROR(Table16[[#This Row],[Quantity Needed for repair]]*Table16[[#This Row],[Evaluated]],"")</f>
        <v>0</v>
      </c>
    </row>
    <row r="101" spans="1:29" x14ac:dyDescent="0.35">
      <c r="A101" s="89" t="s">
        <v>455</v>
      </c>
      <c r="B101" s="90">
        <v>13075173</v>
      </c>
      <c r="C101" s="95">
        <v>0</v>
      </c>
      <c r="D101" s="64"/>
      <c r="E101" s="57">
        <v>3</v>
      </c>
      <c r="F101" s="58" t="s">
        <v>379</v>
      </c>
      <c r="G101" s="58">
        <v>13186641</v>
      </c>
      <c r="H101" s="58" t="s">
        <v>313</v>
      </c>
      <c r="I101" s="58" t="s">
        <v>351</v>
      </c>
      <c r="J101" s="58" t="s">
        <v>29</v>
      </c>
      <c r="K101" s="58">
        <v>882281</v>
      </c>
      <c r="L101" s="59">
        <v>44473</v>
      </c>
      <c r="M101" s="58" t="s">
        <v>352</v>
      </c>
      <c r="N101" s="58" t="s">
        <v>29</v>
      </c>
      <c r="O101" s="58" t="s">
        <v>29</v>
      </c>
      <c r="P101" s="58" t="s">
        <v>29</v>
      </c>
      <c r="Q101" s="60" t="str">
        <f t="shared" si="6"/>
        <v/>
      </c>
      <c r="R101" s="58" t="s">
        <v>29</v>
      </c>
      <c r="S101" s="58" t="s">
        <v>29</v>
      </c>
      <c r="T101" s="58" t="s">
        <v>29</v>
      </c>
      <c r="U101" s="58" t="s">
        <v>29</v>
      </c>
      <c r="V101" s="58">
        <v>1</v>
      </c>
      <c r="W101" s="58">
        <v>1130198</v>
      </c>
      <c r="X101" s="58">
        <v>16</v>
      </c>
      <c r="Y101" s="58">
        <v>33</v>
      </c>
      <c r="Z101" s="61" t="s">
        <v>29</v>
      </c>
      <c r="AA101" s="62">
        <f t="shared" si="7"/>
        <v>0.48484848484848486</v>
      </c>
      <c r="AB101" s="91">
        <f t="shared" si="5"/>
        <v>0</v>
      </c>
      <c r="AC101" s="91">
        <f>IFERROR(Table16[[#This Row],[Quantity Needed for repair]]*Table16[[#This Row],[Evaluated]],"")</f>
        <v>0</v>
      </c>
    </row>
    <row r="102" spans="1:29" x14ac:dyDescent="0.35">
      <c r="A102" s="89" t="s">
        <v>456</v>
      </c>
      <c r="B102" s="90">
        <v>13082602</v>
      </c>
      <c r="C102" s="95">
        <v>0</v>
      </c>
      <c r="D102" s="64"/>
      <c r="E102" s="64">
        <v>3</v>
      </c>
      <c r="F102" s="56" t="s">
        <v>379</v>
      </c>
      <c r="G102" s="56">
        <v>13186641</v>
      </c>
      <c r="H102" s="56" t="s">
        <v>313</v>
      </c>
      <c r="I102" s="56" t="s">
        <v>351</v>
      </c>
      <c r="J102" s="56" t="s">
        <v>29</v>
      </c>
      <c r="K102" s="56">
        <v>882281</v>
      </c>
      <c r="L102" s="65">
        <v>44473</v>
      </c>
      <c r="M102" s="56" t="s">
        <v>352</v>
      </c>
      <c r="N102" s="56" t="s">
        <v>29</v>
      </c>
      <c r="O102" s="56" t="s">
        <v>29</v>
      </c>
      <c r="P102" s="56" t="s">
        <v>29</v>
      </c>
      <c r="Q102" s="66" t="str">
        <f t="shared" si="6"/>
        <v/>
      </c>
      <c r="R102" s="56" t="s">
        <v>29</v>
      </c>
      <c r="S102" s="56" t="s">
        <v>29</v>
      </c>
      <c r="T102" s="56" t="s">
        <v>29</v>
      </c>
      <c r="U102" s="56" t="s">
        <v>29</v>
      </c>
      <c r="V102" s="56">
        <v>2</v>
      </c>
      <c r="W102" s="56">
        <v>1130197</v>
      </c>
      <c r="X102" s="56">
        <v>2</v>
      </c>
      <c r="Y102" s="56">
        <v>23</v>
      </c>
      <c r="Z102" s="67" t="s">
        <v>29</v>
      </c>
      <c r="AA102" s="68">
        <f t="shared" si="7"/>
        <v>8.6956521739130432E-2</v>
      </c>
      <c r="AB102" s="92">
        <f t="shared" si="5"/>
        <v>0</v>
      </c>
      <c r="AC102" s="92">
        <f>IFERROR(Table16[[#This Row],[Quantity Needed for repair]]*Table16[[#This Row],[Evaluated]],"")</f>
        <v>0</v>
      </c>
    </row>
    <row r="103" spans="1:29" ht="15" thickBot="1" x14ac:dyDescent="0.4">
      <c r="A103" s="89" t="s">
        <v>457</v>
      </c>
      <c r="B103" s="90">
        <v>12998449</v>
      </c>
      <c r="C103" s="95">
        <v>0</v>
      </c>
      <c r="D103" s="64"/>
      <c r="E103" s="69">
        <v>3</v>
      </c>
      <c r="F103" s="70" t="s">
        <v>379</v>
      </c>
      <c r="G103" s="70">
        <v>13186641</v>
      </c>
      <c r="H103" s="70" t="s">
        <v>313</v>
      </c>
      <c r="I103" s="70" t="s">
        <v>351</v>
      </c>
      <c r="J103" s="70" t="s">
        <v>29</v>
      </c>
      <c r="K103" s="70">
        <v>882281</v>
      </c>
      <c r="L103" s="71">
        <v>44473</v>
      </c>
      <c r="M103" s="70" t="s">
        <v>352</v>
      </c>
      <c r="N103" s="70" t="s">
        <v>29</v>
      </c>
      <c r="O103" s="70" t="s">
        <v>29</v>
      </c>
      <c r="P103" s="70" t="s">
        <v>29</v>
      </c>
      <c r="Q103" s="72" t="str">
        <f t="shared" si="6"/>
        <v/>
      </c>
      <c r="R103" s="70" t="s">
        <v>29</v>
      </c>
      <c r="S103" s="70" t="s">
        <v>29</v>
      </c>
      <c r="T103" s="70" t="s">
        <v>29</v>
      </c>
      <c r="U103" s="70" t="s">
        <v>29</v>
      </c>
      <c r="V103" s="70">
        <v>3</v>
      </c>
      <c r="W103" s="70">
        <v>418525</v>
      </c>
      <c r="X103" s="70">
        <v>12</v>
      </c>
      <c r="Y103" s="70">
        <v>12</v>
      </c>
      <c r="Z103" s="73" t="s">
        <v>29</v>
      </c>
      <c r="AA103" s="74">
        <f t="shared" si="7"/>
        <v>1</v>
      </c>
      <c r="AB103" s="93">
        <f t="shared" si="5"/>
        <v>0</v>
      </c>
      <c r="AC103" s="93">
        <f>IFERROR(Table16[[#This Row],[Quantity Needed for repair]]*Table16[[#This Row],[Evaluated]],"")</f>
        <v>0</v>
      </c>
    </row>
    <row r="104" spans="1:29" x14ac:dyDescent="0.35">
      <c r="A104" s="89" t="s">
        <v>458</v>
      </c>
      <c r="B104" s="90">
        <v>13022896</v>
      </c>
      <c r="C104" s="95"/>
      <c r="D104" s="64"/>
      <c r="E104" s="57">
        <v>3</v>
      </c>
      <c r="F104" s="58" t="s">
        <v>380</v>
      </c>
      <c r="G104" s="58">
        <v>13186642</v>
      </c>
      <c r="H104" s="58" t="s">
        <v>313</v>
      </c>
      <c r="I104" s="58" t="s">
        <v>351</v>
      </c>
      <c r="J104" s="58" t="s">
        <v>29</v>
      </c>
      <c r="K104" s="58">
        <v>882281</v>
      </c>
      <c r="L104" s="59">
        <v>44473</v>
      </c>
      <c r="M104" s="58" t="s">
        <v>352</v>
      </c>
      <c r="N104" s="58" t="s">
        <v>29</v>
      </c>
      <c r="O104" s="58" t="s">
        <v>29</v>
      </c>
      <c r="P104" s="58" t="s">
        <v>29</v>
      </c>
      <c r="Q104" s="60" t="str">
        <f t="shared" si="6"/>
        <v/>
      </c>
      <c r="R104" s="58" t="s">
        <v>29</v>
      </c>
      <c r="S104" s="58" t="s">
        <v>29</v>
      </c>
      <c r="T104" s="58" t="s">
        <v>29</v>
      </c>
      <c r="U104" s="58" t="s">
        <v>29</v>
      </c>
      <c r="V104" s="58">
        <v>1</v>
      </c>
      <c r="W104" s="58">
        <v>1130198</v>
      </c>
      <c r="X104" s="58">
        <v>1</v>
      </c>
      <c r="Y104" s="58">
        <v>33</v>
      </c>
      <c r="Z104" s="61" t="s">
        <v>29</v>
      </c>
      <c r="AA104" s="62">
        <f t="shared" si="7"/>
        <v>3.0303030303030304E-2</v>
      </c>
      <c r="AB104" s="91">
        <f t="shared" si="5"/>
        <v>0</v>
      </c>
      <c r="AC104" s="91">
        <f>IFERROR(Table16[[#This Row],[Quantity Needed for repair]]*Table16[[#This Row],[Evaluated]],"")</f>
        <v>0</v>
      </c>
    </row>
    <row r="105" spans="1:29" x14ac:dyDescent="0.35">
      <c r="A105" s="89" t="s">
        <v>459</v>
      </c>
      <c r="B105" s="90">
        <v>12896869</v>
      </c>
      <c r="C105" s="95">
        <v>0</v>
      </c>
      <c r="D105" s="64"/>
      <c r="E105" s="64">
        <v>3</v>
      </c>
      <c r="F105" s="56" t="s">
        <v>380</v>
      </c>
      <c r="G105" s="56">
        <v>13186642</v>
      </c>
      <c r="H105" s="56" t="s">
        <v>313</v>
      </c>
      <c r="I105" s="56" t="s">
        <v>351</v>
      </c>
      <c r="J105" s="56" t="s">
        <v>29</v>
      </c>
      <c r="K105" s="56">
        <v>882281</v>
      </c>
      <c r="L105" s="65">
        <v>44473</v>
      </c>
      <c r="M105" s="56" t="s">
        <v>352</v>
      </c>
      <c r="N105" s="56" t="s">
        <v>29</v>
      </c>
      <c r="O105" s="56" t="s">
        <v>29</v>
      </c>
      <c r="P105" s="56" t="s">
        <v>29</v>
      </c>
      <c r="Q105" s="66" t="str">
        <f t="shared" si="6"/>
        <v/>
      </c>
      <c r="R105" s="56" t="s">
        <v>29</v>
      </c>
      <c r="S105" s="56" t="s">
        <v>29</v>
      </c>
      <c r="T105" s="56" t="s">
        <v>29</v>
      </c>
      <c r="U105" s="56" t="s">
        <v>29</v>
      </c>
      <c r="V105" s="56">
        <v>2</v>
      </c>
      <c r="W105" s="56">
        <v>1130197</v>
      </c>
      <c r="X105" s="56" t="s">
        <v>29</v>
      </c>
      <c r="Y105" s="56">
        <v>23</v>
      </c>
      <c r="Z105" s="67" t="s">
        <v>29</v>
      </c>
      <c r="AA105" s="68" t="str">
        <f t="shared" si="7"/>
        <v/>
      </c>
      <c r="AB105" s="92">
        <f t="shared" si="5"/>
        <v>0</v>
      </c>
      <c r="AC105" s="92" t="str">
        <f>IFERROR(Table16[[#This Row],[Quantity Needed for repair]]*Table16[[#This Row],[Evaluated]],"")</f>
        <v/>
      </c>
    </row>
    <row r="106" spans="1:29" ht="15" thickBot="1" x14ac:dyDescent="0.4">
      <c r="A106" s="89" t="s">
        <v>460</v>
      </c>
      <c r="B106" s="90">
        <v>12934756</v>
      </c>
      <c r="C106" s="95">
        <v>0</v>
      </c>
      <c r="D106" s="64"/>
      <c r="E106" s="69">
        <v>3</v>
      </c>
      <c r="F106" s="70" t="s">
        <v>380</v>
      </c>
      <c r="G106" s="70">
        <v>13186642</v>
      </c>
      <c r="H106" s="70" t="s">
        <v>313</v>
      </c>
      <c r="I106" s="70" t="s">
        <v>351</v>
      </c>
      <c r="J106" s="70" t="s">
        <v>29</v>
      </c>
      <c r="K106" s="70">
        <v>882281</v>
      </c>
      <c r="L106" s="71">
        <v>44473</v>
      </c>
      <c r="M106" s="70" t="s">
        <v>352</v>
      </c>
      <c r="N106" s="70" t="s">
        <v>29</v>
      </c>
      <c r="O106" s="70" t="s">
        <v>29</v>
      </c>
      <c r="P106" s="70" t="s">
        <v>29</v>
      </c>
      <c r="Q106" s="72" t="str">
        <f t="shared" si="6"/>
        <v/>
      </c>
      <c r="R106" s="70" t="s">
        <v>29</v>
      </c>
      <c r="S106" s="70" t="s">
        <v>29</v>
      </c>
      <c r="T106" s="70" t="s">
        <v>29</v>
      </c>
      <c r="U106" s="70" t="s">
        <v>29</v>
      </c>
      <c r="V106" s="70">
        <v>3</v>
      </c>
      <c r="W106" s="70">
        <v>418525</v>
      </c>
      <c r="X106" s="70">
        <v>12</v>
      </c>
      <c r="Y106" s="70">
        <v>12</v>
      </c>
      <c r="Z106" s="73" t="s">
        <v>29</v>
      </c>
      <c r="AA106" s="74">
        <f t="shared" si="7"/>
        <v>1</v>
      </c>
      <c r="AB106" s="93">
        <f t="shared" si="5"/>
        <v>0</v>
      </c>
      <c r="AC106" s="93">
        <f>IFERROR(Table16[[#This Row],[Quantity Needed for repair]]*Table16[[#This Row],[Evaluated]],"")</f>
        <v>0</v>
      </c>
    </row>
    <row r="107" spans="1:29" x14ac:dyDescent="0.35">
      <c r="A107" s="89" t="s">
        <v>461</v>
      </c>
      <c r="B107" s="90">
        <v>13034642</v>
      </c>
      <c r="C107" s="95">
        <v>0</v>
      </c>
      <c r="D107" s="64"/>
      <c r="E107" s="57">
        <v>3</v>
      </c>
      <c r="F107" s="58" t="s">
        <v>381</v>
      </c>
      <c r="G107" s="58">
        <v>13202090</v>
      </c>
      <c r="H107" s="58" t="s">
        <v>313</v>
      </c>
      <c r="I107" s="58" t="s">
        <v>351</v>
      </c>
      <c r="J107" s="58" t="s">
        <v>29</v>
      </c>
      <c r="K107" s="58">
        <v>1080537</v>
      </c>
      <c r="L107" s="59">
        <v>44473</v>
      </c>
      <c r="M107" s="58" t="s">
        <v>352</v>
      </c>
      <c r="N107" s="58" t="s">
        <v>29</v>
      </c>
      <c r="O107" s="58" t="s">
        <v>29</v>
      </c>
      <c r="P107" s="58" t="s">
        <v>29</v>
      </c>
      <c r="Q107" s="60" t="str">
        <f t="shared" si="6"/>
        <v/>
      </c>
      <c r="R107" s="58" t="s">
        <v>29</v>
      </c>
      <c r="S107" s="58" t="s">
        <v>29</v>
      </c>
      <c r="T107" s="58" t="s">
        <v>29</v>
      </c>
      <c r="U107" s="58" t="s">
        <v>29</v>
      </c>
      <c r="V107" s="58">
        <v>1</v>
      </c>
      <c r="W107" s="58">
        <v>1130198</v>
      </c>
      <c r="X107" s="58">
        <v>13</v>
      </c>
      <c r="Y107" s="58">
        <v>33</v>
      </c>
      <c r="Z107" s="61" t="s">
        <v>29</v>
      </c>
      <c r="AA107" s="62">
        <f t="shared" si="7"/>
        <v>0.39393939393939392</v>
      </c>
      <c r="AB107" s="91">
        <f t="shared" si="5"/>
        <v>0</v>
      </c>
      <c r="AC107" s="91">
        <f>IFERROR(Table16[[#This Row],[Quantity Needed for repair]]*Table16[[#This Row],[Evaluated]],"")</f>
        <v>0</v>
      </c>
    </row>
    <row r="108" spans="1:29" x14ac:dyDescent="0.35">
      <c r="A108" s="89" t="s">
        <v>462</v>
      </c>
      <c r="B108" s="90">
        <v>13044607</v>
      </c>
      <c r="C108" s="95">
        <v>0</v>
      </c>
      <c r="D108" s="64"/>
      <c r="E108" s="64">
        <v>3</v>
      </c>
      <c r="F108" s="56" t="s">
        <v>381</v>
      </c>
      <c r="G108" s="56">
        <v>13202090</v>
      </c>
      <c r="H108" s="56" t="s">
        <v>313</v>
      </c>
      <c r="I108" s="56" t="s">
        <v>351</v>
      </c>
      <c r="J108" s="56" t="s">
        <v>29</v>
      </c>
      <c r="K108" s="56">
        <v>1080537</v>
      </c>
      <c r="L108" s="65">
        <v>44473</v>
      </c>
      <c r="M108" s="56" t="s">
        <v>352</v>
      </c>
      <c r="N108" s="56" t="s">
        <v>29</v>
      </c>
      <c r="O108" s="56" t="s">
        <v>29</v>
      </c>
      <c r="P108" s="56" t="s">
        <v>29</v>
      </c>
      <c r="Q108" s="66" t="str">
        <f t="shared" si="6"/>
        <v/>
      </c>
      <c r="R108" s="56" t="s">
        <v>29</v>
      </c>
      <c r="S108" s="56" t="s">
        <v>29</v>
      </c>
      <c r="T108" s="56" t="s">
        <v>29</v>
      </c>
      <c r="U108" s="56" t="s">
        <v>29</v>
      </c>
      <c r="V108" s="56">
        <v>2</v>
      </c>
      <c r="W108" s="56">
        <v>647435</v>
      </c>
      <c r="X108" s="56">
        <v>15</v>
      </c>
      <c r="Y108" s="56">
        <v>23</v>
      </c>
      <c r="Z108" s="67" t="s">
        <v>29</v>
      </c>
      <c r="AA108" s="68">
        <f t="shared" si="7"/>
        <v>0.65217391304347827</v>
      </c>
      <c r="AB108" s="92">
        <f t="shared" si="5"/>
        <v>0</v>
      </c>
      <c r="AC108" s="92">
        <f>IFERROR(Table16[[#This Row],[Quantity Needed for repair]]*Table16[[#This Row],[Evaluated]],"")</f>
        <v>0</v>
      </c>
    </row>
    <row r="109" spans="1:29" ht="15" thickBot="1" x14ac:dyDescent="0.4">
      <c r="A109" s="89" t="s">
        <v>463</v>
      </c>
      <c r="B109" s="90">
        <v>12914962</v>
      </c>
      <c r="C109" s="95">
        <v>0</v>
      </c>
      <c r="D109" s="64"/>
      <c r="E109" s="69">
        <v>3</v>
      </c>
      <c r="F109" s="70" t="s">
        <v>381</v>
      </c>
      <c r="G109" s="70">
        <v>13202090</v>
      </c>
      <c r="H109" s="70" t="s">
        <v>313</v>
      </c>
      <c r="I109" s="70" t="s">
        <v>351</v>
      </c>
      <c r="J109" s="70" t="s">
        <v>29</v>
      </c>
      <c r="K109" s="70">
        <v>1080537</v>
      </c>
      <c r="L109" s="71">
        <v>44473</v>
      </c>
      <c r="M109" s="70" t="s">
        <v>352</v>
      </c>
      <c r="N109" s="70" t="s">
        <v>29</v>
      </c>
      <c r="O109" s="70" t="s">
        <v>29</v>
      </c>
      <c r="P109" s="70" t="s">
        <v>29</v>
      </c>
      <c r="Q109" s="72" t="str">
        <f t="shared" si="6"/>
        <v/>
      </c>
      <c r="R109" s="70" t="s">
        <v>29</v>
      </c>
      <c r="S109" s="70" t="s">
        <v>29</v>
      </c>
      <c r="T109" s="70" t="s">
        <v>29</v>
      </c>
      <c r="U109" s="70" t="s">
        <v>29</v>
      </c>
      <c r="V109" s="70">
        <v>3</v>
      </c>
      <c r="W109" s="70">
        <v>418525</v>
      </c>
      <c r="X109" s="70">
        <v>6</v>
      </c>
      <c r="Y109" s="70">
        <v>6</v>
      </c>
      <c r="Z109" s="73" t="s">
        <v>29</v>
      </c>
      <c r="AA109" s="74">
        <f t="shared" si="7"/>
        <v>1</v>
      </c>
      <c r="AB109" s="93">
        <f t="shared" si="5"/>
        <v>0</v>
      </c>
      <c r="AC109" s="93">
        <f>IFERROR(Table16[[#This Row],[Quantity Needed for repair]]*Table16[[#This Row],[Evaluated]],"")</f>
        <v>0</v>
      </c>
    </row>
    <row r="110" spans="1:29" x14ac:dyDescent="0.35">
      <c r="A110" s="89" t="s">
        <v>464</v>
      </c>
      <c r="B110" s="90">
        <v>12947675</v>
      </c>
      <c r="C110" s="95"/>
      <c r="D110" s="64"/>
      <c r="E110" s="57">
        <v>3</v>
      </c>
      <c r="F110" s="58" t="s">
        <v>382</v>
      </c>
      <c r="G110" s="58">
        <v>13224450</v>
      </c>
      <c r="H110" s="58" t="s">
        <v>313</v>
      </c>
      <c r="I110" s="58" t="s">
        <v>465</v>
      </c>
      <c r="J110" s="58" t="s">
        <v>29</v>
      </c>
      <c r="K110" s="58">
        <v>1056029</v>
      </c>
      <c r="L110" s="59">
        <v>44473</v>
      </c>
      <c r="M110" s="58" t="s">
        <v>352</v>
      </c>
      <c r="N110" s="58" t="s">
        <v>29</v>
      </c>
      <c r="O110" s="58" t="s">
        <v>29</v>
      </c>
      <c r="P110" s="58" t="s">
        <v>29</v>
      </c>
      <c r="Q110" s="60" t="str">
        <f t="shared" si="6"/>
        <v/>
      </c>
      <c r="R110" s="58" t="s">
        <v>29</v>
      </c>
      <c r="S110" s="58" t="s">
        <v>29</v>
      </c>
      <c r="T110" s="58" t="s">
        <v>29</v>
      </c>
      <c r="U110" s="58" t="s">
        <v>29</v>
      </c>
      <c r="V110" s="58">
        <v>1</v>
      </c>
      <c r="W110" s="58">
        <v>1039034</v>
      </c>
      <c r="X110" s="81">
        <v>19</v>
      </c>
      <c r="Y110" s="58">
        <v>32</v>
      </c>
      <c r="Z110" s="61" t="s">
        <v>29</v>
      </c>
      <c r="AA110" s="62">
        <f t="shared" si="7"/>
        <v>0.59375</v>
      </c>
      <c r="AB110" s="91">
        <f t="shared" si="5"/>
        <v>0</v>
      </c>
      <c r="AC110" s="91">
        <f>IFERROR(Table16[[#This Row],[Quantity Needed for repair]]*Table16[[#This Row],[Evaluated]],"")</f>
        <v>0</v>
      </c>
    </row>
    <row r="111" spans="1:29" x14ac:dyDescent="0.35">
      <c r="A111" s="89" t="s">
        <v>466</v>
      </c>
      <c r="B111" s="90">
        <v>12955825</v>
      </c>
      <c r="C111" s="95"/>
      <c r="D111" s="64"/>
      <c r="E111" s="64">
        <v>3</v>
      </c>
      <c r="F111" s="56" t="s">
        <v>382</v>
      </c>
      <c r="G111" s="56">
        <v>13224450</v>
      </c>
      <c r="H111" s="56" t="s">
        <v>313</v>
      </c>
      <c r="I111" s="56" t="s">
        <v>465</v>
      </c>
      <c r="J111" s="56" t="s">
        <v>29</v>
      </c>
      <c r="K111" s="56">
        <v>1056029</v>
      </c>
      <c r="L111" s="65">
        <v>44473</v>
      </c>
      <c r="M111" s="56" t="s">
        <v>352</v>
      </c>
      <c r="N111" s="56" t="s">
        <v>29</v>
      </c>
      <c r="O111" s="56" t="s">
        <v>29</v>
      </c>
      <c r="P111" s="56" t="s">
        <v>29</v>
      </c>
      <c r="Q111" s="66" t="str">
        <f t="shared" si="6"/>
        <v/>
      </c>
      <c r="R111" s="56" t="s">
        <v>29</v>
      </c>
      <c r="S111" s="56" t="s">
        <v>29</v>
      </c>
      <c r="T111" s="56" t="s">
        <v>29</v>
      </c>
      <c r="U111" s="56" t="s">
        <v>29</v>
      </c>
      <c r="V111" s="56">
        <v>2</v>
      </c>
      <c r="W111" s="56">
        <v>1039058</v>
      </c>
      <c r="X111" s="82">
        <v>5</v>
      </c>
      <c r="Y111" s="56">
        <v>15</v>
      </c>
      <c r="Z111" s="67" t="s">
        <v>29</v>
      </c>
      <c r="AA111" s="68">
        <f t="shared" si="7"/>
        <v>0.33333333333333331</v>
      </c>
      <c r="AB111" s="92">
        <f t="shared" si="5"/>
        <v>0</v>
      </c>
      <c r="AC111" s="92">
        <f>IFERROR(Table16[[#This Row],[Quantity Needed for repair]]*Table16[[#This Row],[Evaluated]],"")</f>
        <v>0</v>
      </c>
    </row>
    <row r="112" spans="1:29" x14ac:dyDescent="0.35">
      <c r="A112" s="89" t="s">
        <v>467</v>
      </c>
      <c r="B112" s="90">
        <v>12925421</v>
      </c>
      <c r="C112" s="95"/>
      <c r="D112" s="64"/>
      <c r="E112" s="64">
        <v>3</v>
      </c>
      <c r="F112" s="56" t="s">
        <v>382</v>
      </c>
      <c r="G112" s="56">
        <v>13224450</v>
      </c>
      <c r="H112" s="56" t="s">
        <v>313</v>
      </c>
      <c r="I112" s="56" t="s">
        <v>465</v>
      </c>
      <c r="J112" s="56" t="s">
        <v>29</v>
      </c>
      <c r="K112" s="56">
        <v>1056029</v>
      </c>
      <c r="L112" s="65">
        <v>44473</v>
      </c>
      <c r="M112" s="56" t="s">
        <v>352</v>
      </c>
      <c r="N112" s="56" t="s">
        <v>29</v>
      </c>
      <c r="O112" s="56" t="s">
        <v>29</v>
      </c>
      <c r="P112" s="56" t="s">
        <v>29</v>
      </c>
      <c r="Q112" s="66" t="str">
        <f t="shared" si="6"/>
        <v/>
      </c>
      <c r="R112" s="56" t="s">
        <v>29</v>
      </c>
      <c r="S112" s="56" t="s">
        <v>29</v>
      </c>
      <c r="T112" s="56" t="s">
        <v>29</v>
      </c>
      <c r="U112" s="56" t="s">
        <v>29</v>
      </c>
      <c r="V112" s="56">
        <v>3</v>
      </c>
      <c r="W112" s="56">
        <v>1039033</v>
      </c>
      <c r="X112" s="82" t="s">
        <v>29</v>
      </c>
      <c r="Y112" s="56">
        <v>28</v>
      </c>
      <c r="Z112" s="67" t="s">
        <v>29</v>
      </c>
      <c r="AA112" s="68" t="str">
        <f t="shared" si="7"/>
        <v/>
      </c>
      <c r="AB112" s="92">
        <f t="shared" si="5"/>
        <v>0</v>
      </c>
      <c r="AC112" s="92" t="str">
        <f>IFERROR(Table16[[#This Row],[Quantity Needed for repair]]*Table16[[#This Row],[Evaluated]],"")</f>
        <v/>
      </c>
    </row>
    <row r="113" spans="1:29" ht="15" thickBot="1" x14ac:dyDescent="0.4">
      <c r="A113" s="89" t="s">
        <v>468</v>
      </c>
      <c r="B113" s="90">
        <v>12936208</v>
      </c>
      <c r="C113" s="95"/>
      <c r="D113" s="64"/>
      <c r="E113" s="69">
        <v>3</v>
      </c>
      <c r="F113" s="70" t="s">
        <v>382</v>
      </c>
      <c r="G113" s="70">
        <v>13224450</v>
      </c>
      <c r="H113" s="70" t="s">
        <v>313</v>
      </c>
      <c r="I113" s="70" t="s">
        <v>465</v>
      </c>
      <c r="J113" s="70" t="s">
        <v>29</v>
      </c>
      <c r="K113" s="70">
        <v>1056029</v>
      </c>
      <c r="L113" s="71">
        <v>44473</v>
      </c>
      <c r="M113" s="70" t="s">
        <v>352</v>
      </c>
      <c r="N113" s="70" t="s">
        <v>29</v>
      </c>
      <c r="O113" s="70" t="s">
        <v>29</v>
      </c>
      <c r="P113" s="70" t="s">
        <v>29</v>
      </c>
      <c r="Q113" s="72" t="str">
        <f t="shared" si="6"/>
        <v/>
      </c>
      <c r="R113" s="70" t="s">
        <v>29</v>
      </c>
      <c r="S113" s="70" t="s">
        <v>29</v>
      </c>
      <c r="T113" s="70" t="s">
        <v>29</v>
      </c>
      <c r="U113" s="70" t="s">
        <v>29</v>
      </c>
      <c r="V113" s="70">
        <v>4</v>
      </c>
      <c r="W113" s="70">
        <v>418525</v>
      </c>
      <c r="X113" s="83">
        <v>2</v>
      </c>
      <c r="Y113" s="70">
        <v>7</v>
      </c>
      <c r="Z113" s="73" t="s">
        <v>29</v>
      </c>
      <c r="AA113" s="74">
        <f t="shared" si="7"/>
        <v>0.2857142857142857</v>
      </c>
      <c r="AB113" s="93">
        <f t="shared" si="5"/>
        <v>0</v>
      </c>
      <c r="AC113" s="93">
        <f>IFERROR(Table16[[#This Row],[Quantity Needed for repair]]*Table16[[#This Row],[Evaluated]],"")</f>
        <v>0</v>
      </c>
    </row>
    <row r="114" spans="1:29" x14ac:dyDescent="0.35">
      <c r="A114" s="89" t="s">
        <v>469</v>
      </c>
      <c r="B114" s="90">
        <v>12936207</v>
      </c>
      <c r="C114" s="95">
        <v>0</v>
      </c>
      <c r="D114" s="64"/>
      <c r="E114" s="57">
        <v>3</v>
      </c>
      <c r="F114" s="58" t="s">
        <v>383</v>
      </c>
      <c r="G114" s="58">
        <v>13096213</v>
      </c>
      <c r="H114" s="58" t="s">
        <v>313</v>
      </c>
      <c r="I114" s="58" t="s">
        <v>273</v>
      </c>
      <c r="J114" s="58" t="s">
        <v>29</v>
      </c>
      <c r="K114" s="58">
        <v>1083564</v>
      </c>
      <c r="L114" s="59">
        <v>44473</v>
      </c>
      <c r="M114" s="58" t="s">
        <v>352</v>
      </c>
      <c r="N114" s="58" t="s">
        <v>29</v>
      </c>
      <c r="O114" s="58" t="s">
        <v>29</v>
      </c>
      <c r="P114" s="58" t="s">
        <v>29</v>
      </c>
      <c r="Q114" s="60" t="str">
        <f t="shared" si="6"/>
        <v/>
      </c>
      <c r="R114" s="58" t="s">
        <v>29</v>
      </c>
      <c r="S114" s="58" t="s">
        <v>29</v>
      </c>
      <c r="T114" s="58" t="s">
        <v>29</v>
      </c>
      <c r="U114" s="58" t="s">
        <v>29</v>
      </c>
      <c r="V114" s="58">
        <v>1</v>
      </c>
      <c r="W114" s="58">
        <v>1039060</v>
      </c>
      <c r="X114" s="58">
        <v>14</v>
      </c>
      <c r="Y114" s="58">
        <v>24</v>
      </c>
      <c r="Z114" s="61" t="s">
        <v>29</v>
      </c>
      <c r="AA114" s="62">
        <f t="shared" si="7"/>
        <v>0.58333333333333337</v>
      </c>
      <c r="AB114" s="91">
        <f t="shared" si="5"/>
        <v>0</v>
      </c>
      <c r="AC114" s="91">
        <f>IFERROR(Table16[[#This Row],[Quantity Needed for repair]]*Table16[[#This Row],[Evaluated]],"")</f>
        <v>0</v>
      </c>
    </row>
    <row r="115" spans="1:29" x14ac:dyDescent="0.35">
      <c r="A115" s="89" t="s">
        <v>470</v>
      </c>
      <c r="B115" s="90">
        <v>12967029</v>
      </c>
      <c r="C115" s="95"/>
      <c r="D115" s="64"/>
      <c r="E115" s="64">
        <v>3</v>
      </c>
      <c r="F115" s="56" t="s">
        <v>383</v>
      </c>
      <c r="G115" s="56">
        <v>13096213</v>
      </c>
      <c r="H115" s="56" t="s">
        <v>313</v>
      </c>
      <c r="I115" s="56" t="s">
        <v>273</v>
      </c>
      <c r="J115" s="56" t="s">
        <v>29</v>
      </c>
      <c r="K115" s="56">
        <v>1083564</v>
      </c>
      <c r="L115" s="65">
        <v>44473</v>
      </c>
      <c r="M115" s="56" t="s">
        <v>352</v>
      </c>
      <c r="N115" s="56" t="s">
        <v>29</v>
      </c>
      <c r="O115" s="56" t="s">
        <v>29</v>
      </c>
      <c r="P115" s="56" t="s">
        <v>29</v>
      </c>
      <c r="Q115" s="66" t="str">
        <f t="shared" si="6"/>
        <v/>
      </c>
      <c r="R115" s="56" t="s">
        <v>29</v>
      </c>
      <c r="S115" s="56" t="s">
        <v>29</v>
      </c>
      <c r="T115" s="56" t="s">
        <v>29</v>
      </c>
      <c r="U115" s="56" t="s">
        <v>29</v>
      </c>
      <c r="V115" s="56">
        <v>2</v>
      </c>
      <c r="W115" s="56">
        <v>1014939</v>
      </c>
      <c r="X115" s="56">
        <v>4</v>
      </c>
      <c r="Y115" s="56">
        <v>23</v>
      </c>
      <c r="Z115" s="67" t="s">
        <v>29</v>
      </c>
      <c r="AA115" s="68">
        <f t="shared" si="7"/>
        <v>0.17391304347826086</v>
      </c>
      <c r="AB115" s="92">
        <f t="shared" si="5"/>
        <v>0</v>
      </c>
      <c r="AC115" s="92">
        <f>IFERROR(Table16[[#This Row],[Quantity Needed for repair]]*Table16[[#This Row],[Evaluated]],"")</f>
        <v>0</v>
      </c>
    </row>
    <row r="116" spans="1:29" x14ac:dyDescent="0.35">
      <c r="A116" s="89" t="s">
        <v>471</v>
      </c>
      <c r="B116" s="90">
        <v>12955814</v>
      </c>
      <c r="C116" s="95">
        <v>0</v>
      </c>
      <c r="D116" s="64"/>
      <c r="E116" s="64">
        <v>3</v>
      </c>
      <c r="F116" s="56" t="s">
        <v>383</v>
      </c>
      <c r="G116" s="56">
        <v>13096213</v>
      </c>
      <c r="H116" s="56" t="s">
        <v>313</v>
      </c>
      <c r="I116" s="56" t="s">
        <v>273</v>
      </c>
      <c r="J116" s="56" t="s">
        <v>29</v>
      </c>
      <c r="K116" s="56">
        <v>1083564</v>
      </c>
      <c r="L116" s="65">
        <v>44473</v>
      </c>
      <c r="M116" s="56" t="s">
        <v>352</v>
      </c>
      <c r="N116" s="56" t="s">
        <v>29</v>
      </c>
      <c r="O116" s="56" t="s">
        <v>29</v>
      </c>
      <c r="P116" s="56" t="s">
        <v>29</v>
      </c>
      <c r="Q116" s="66" t="str">
        <f t="shared" si="6"/>
        <v/>
      </c>
      <c r="R116" s="56" t="s">
        <v>29</v>
      </c>
      <c r="S116" s="56" t="s">
        <v>29</v>
      </c>
      <c r="T116" s="56" t="s">
        <v>29</v>
      </c>
      <c r="U116" s="56" t="s">
        <v>29</v>
      </c>
      <c r="V116" s="56">
        <v>3</v>
      </c>
      <c r="W116" s="56">
        <v>1014941</v>
      </c>
      <c r="X116" s="56">
        <v>2</v>
      </c>
      <c r="Y116" s="56">
        <v>9</v>
      </c>
      <c r="Z116" s="67" t="s">
        <v>29</v>
      </c>
      <c r="AA116" s="68">
        <f t="shared" si="7"/>
        <v>0.22222222222222221</v>
      </c>
      <c r="AB116" s="92">
        <f t="shared" si="5"/>
        <v>0</v>
      </c>
      <c r="AC116" s="92">
        <f>IFERROR(Table16[[#This Row],[Quantity Needed for repair]]*Table16[[#This Row],[Evaluated]],"")</f>
        <v>0</v>
      </c>
    </row>
    <row r="117" spans="1:29" ht="15" thickBot="1" x14ac:dyDescent="0.4">
      <c r="A117" s="89" t="s">
        <v>472</v>
      </c>
      <c r="B117" s="90">
        <v>13052787</v>
      </c>
      <c r="C117" s="95"/>
      <c r="D117" s="64"/>
      <c r="E117" s="69">
        <v>3</v>
      </c>
      <c r="F117" s="70" t="s">
        <v>383</v>
      </c>
      <c r="G117" s="70">
        <v>13096213</v>
      </c>
      <c r="H117" s="70" t="s">
        <v>313</v>
      </c>
      <c r="I117" s="70" t="s">
        <v>273</v>
      </c>
      <c r="J117" s="70" t="s">
        <v>29</v>
      </c>
      <c r="K117" s="70">
        <v>1083564</v>
      </c>
      <c r="L117" s="71">
        <v>44473</v>
      </c>
      <c r="M117" s="70" t="s">
        <v>352</v>
      </c>
      <c r="N117" s="70" t="s">
        <v>29</v>
      </c>
      <c r="O117" s="70" t="s">
        <v>29</v>
      </c>
      <c r="P117" s="70" t="s">
        <v>29</v>
      </c>
      <c r="Q117" s="72" t="str">
        <f t="shared" si="6"/>
        <v/>
      </c>
      <c r="R117" s="70" t="s">
        <v>29</v>
      </c>
      <c r="S117" s="70" t="s">
        <v>29</v>
      </c>
      <c r="T117" s="70" t="s">
        <v>29</v>
      </c>
      <c r="U117" s="70" t="s">
        <v>29</v>
      </c>
      <c r="V117" s="70">
        <v>4</v>
      </c>
      <c r="W117" s="70">
        <v>418525</v>
      </c>
      <c r="X117" s="70">
        <v>5</v>
      </c>
      <c r="Y117" s="70">
        <v>6</v>
      </c>
      <c r="Z117" s="73" t="s">
        <v>29</v>
      </c>
      <c r="AA117" s="74">
        <f t="shared" si="7"/>
        <v>0.83333333333333337</v>
      </c>
      <c r="AB117" s="93">
        <f t="shared" si="5"/>
        <v>0</v>
      </c>
      <c r="AC117" s="93">
        <f>IFERROR(Table16[[#This Row],[Quantity Needed for repair]]*Table16[[#This Row],[Evaluated]],"")</f>
        <v>0</v>
      </c>
    </row>
    <row r="118" spans="1:29" x14ac:dyDescent="0.35">
      <c r="A118" s="89" t="s">
        <v>473</v>
      </c>
      <c r="B118" s="90">
        <v>13094654</v>
      </c>
      <c r="C118" s="95">
        <v>0</v>
      </c>
      <c r="D118" s="64"/>
      <c r="E118" s="57">
        <v>3</v>
      </c>
      <c r="F118" s="58" t="s">
        <v>384</v>
      </c>
      <c r="G118" s="58">
        <v>13186638</v>
      </c>
      <c r="H118" s="58" t="s">
        <v>313</v>
      </c>
      <c r="I118" s="58" t="s">
        <v>351</v>
      </c>
      <c r="J118" s="58" t="s">
        <v>29</v>
      </c>
      <c r="K118" s="58">
        <v>882281</v>
      </c>
      <c r="L118" s="59">
        <v>44473</v>
      </c>
      <c r="M118" s="58" t="s">
        <v>352</v>
      </c>
      <c r="N118" s="58" t="s">
        <v>29</v>
      </c>
      <c r="O118" s="58" t="s">
        <v>29</v>
      </c>
      <c r="P118" s="58" t="s">
        <v>29</v>
      </c>
      <c r="Q118" s="60" t="str">
        <f t="shared" si="6"/>
        <v/>
      </c>
      <c r="R118" s="58" t="s">
        <v>29</v>
      </c>
      <c r="S118" s="58" t="s">
        <v>29</v>
      </c>
      <c r="T118" s="58" t="s">
        <v>29</v>
      </c>
      <c r="U118" s="58" t="s">
        <v>29</v>
      </c>
      <c r="V118" s="58">
        <v>1</v>
      </c>
      <c r="W118" s="58">
        <v>1130198</v>
      </c>
      <c r="X118" s="78">
        <v>2</v>
      </c>
      <c r="Y118" s="58">
        <v>33</v>
      </c>
      <c r="Z118" s="61" t="s">
        <v>29</v>
      </c>
      <c r="AA118" s="62">
        <f t="shared" si="7"/>
        <v>6.0606060606060608E-2</v>
      </c>
      <c r="AB118" s="91">
        <f t="shared" si="5"/>
        <v>0</v>
      </c>
      <c r="AC118" s="91">
        <f>IFERROR(Table16[[#This Row],[Quantity Needed for repair]]*Table16[[#This Row],[Evaluated]],"")</f>
        <v>0</v>
      </c>
    </row>
    <row r="119" spans="1:29" x14ac:dyDescent="0.35">
      <c r="A119" s="89" t="s">
        <v>474</v>
      </c>
      <c r="B119" s="90">
        <v>13111896</v>
      </c>
      <c r="C119" s="95">
        <v>0</v>
      </c>
      <c r="D119" s="64"/>
      <c r="E119" s="64">
        <v>3</v>
      </c>
      <c r="F119" s="56" t="s">
        <v>384</v>
      </c>
      <c r="G119" s="56">
        <v>13186638</v>
      </c>
      <c r="H119" s="56" t="s">
        <v>313</v>
      </c>
      <c r="I119" s="56" t="s">
        <v>351</v>
      </c>
      <c r="J119" s="56" t="s">
        <v>29</v>
      </c>
      <c r="K119" s="56">
        <v>882281</v>
      </c>
      <c r="L119" s="65">
        <v>44473</v>
      </c>
      <c r="M119" s="56" t="s">
        <v>352</v>
      </c>
      <c r="N119" s="56" t="s">
        <v>29</v>
      </c>
      <c r="O119" s="56" t="s">
        <v>29</v>
      </c>
      <c r="P119" s="56" t="s">
        <v>29</v>
      </c>
      <c r="Q119" s="66" t="str">
        <f t="shared" si="6"/>
        <v/>
      </c>
      <c r="R119" s="56" t="s">
        <v>29</v>
      </c>
      <c r="S119" s="56" t="s">
        <v>29</v>
      </c>
      <c r="T119" s="56" t="s">
        <v>29</v>
      </c>
      <c r="U119" s="56" t="s">
        <v>29</v>
      </c>
      <c r="V119" s="56">
        <v>2</v>
      </c>
      <c r="W119" s="56">
        <v>1130197</v>
      </c>
      <c r="X119" s="79">
        <v>1</v>
      </c>
      <c r="Y119" s="56">
        <v>23</v>
      </c>
      <c r="Z119" s="67" t="s">
        <v>29</v>
      </c>
      <c r="AA119" s="68">
        <f t="shared" si="7"/>
        <v>4.3478260869565216E-2</v>
      </c>
      <c r="AB119" s="92">
        <f t="shared" si="5"/>
        <v>0</v>
      </c>
      <c r="AC119" s="92">
        <f>IFERROR(Table16[[#This Row],[Quantity Needed for repair]]*Table16[[#This Row],[Evaluated]],"")</f>
        <v>0</v>
      </c>
    </row>
    <row r="120" spans="1:29" ht="15" thickBot="1" x14ac:dyDescent="0.4">
      <c r="A120" s="89" t="s">
        <v>475</v>
      </c>
      <c r="B120" s="90">
        <v>13131338</v>
      </c>
      <c r="C120" s="95"/>
      <c r="D120" s="64"/>
      <c r="E120" s="69">
        <v>3</v>
      </c>
      <c r="F120" s="70" t="s">
        <v>384</v>
      </c>
      <c r="G120" s="70">
        <v>13186638</v>
      </c>
      <c r="H120" s="70" t="s">
        <v>313</v>
      </c>
      <c r="I120" s="70" t="s">
        <v>351</v>
      </c>
      <c r="J120" s="70" t="s">
        <v>29</v>
      </c>
      <c r="K120" s="70">
        <v>882281</v>
      </c>
      <c r="L120" s="71">
        <v>44473</v>
      </c>
      <c r="M120" s="70" t="s">
        <v>352</v>
      </c>
      <c r="N120" s="70" t="s">
        <v>29</v>
      </c>
      <c r="O120" s="70" t="s">
        <v>29</v>
      </c>
      <c r="P120" s="70" t="s">
        <v>29</v>
      </c>
      <c r="Q120" s="72" t="str">
        <f t="shared" si="6"/>
        <v/>
      </c>
      <c r="R120" s="70" t="s">
        <v>29</v>
      </c>
      <c r="S120" s="70" t="s">
        <v>29</v>
      </c>
      <c r="T120" s="70" t="s">
        <v>29</v>
      </c>
      <c r="U120" s="70" t="s">
        <v>29</v>
      </c>
      <c r="V120" s="70">
        <v>3</v>
      </c>
      <c r="W120" s="70">
        <v>418525</v>
      </c>
      <c r="X120" s="80">
        <v>12</v>
      </c>
      <c r="Y120" s="70">
        <v>12</v>
      </c>
      <c r="Z120" s="73" t="s">
        <v>29</v>
      </c>
      <c r="AA120" s="74">
        <f t="shared" si="7"/>
        <v>1</v>
      </c>
      <c r="AB120" s="93">
        <f t="shared" si="5"/>
        <v>0</v>
      </c>
      <c r="AC120" s="93">
        <f>IFERROR(Table16[[#This Row],[Quantity Needed for repair]]*Table16[[#This Row],[Evaluated]],"")</f>
        <v>0</v>
      </c>
    </row>
    <row r="121" spans="1:29" x14ac:dyDescent="0.35">
      <c r="A121" s="89" t="s">
        <v>476</v>
      </c>
      <c r="B121" s="90">
        <v>13131342</v>
      </c>
      <c r="C121" s="95"/>
      <c r="D121" s="64"/>
      <c r="E121" s="57">
        <v>3</v>
      </c>
      <c r="F121" s="58" t="s">
        <v>385</v>
      </c>
      <c r="G121" s="58">
        <v>13143135</v>
      </c>
      <c r="H121" s="58" t="s">
        <v>313</v>
      </c>
      <c r="I121" s="58" t="s">
        <v>273</v>
      </c>
      <c r="J121" s="58" t="s">
        <v>29</v>
      </c>
      <c r="K121" s="58">
        <v>1092981</v>
      </c>
      <c r="L121" s="59">
        <v>44473</v>
      </c>
      <c r="M121" s="58" t="s">
        <v>352</v>
      </c>
      <c r="N121" s="58" t="s">
        <v>29</v>
      </c>
      <c r="O121" s="58" t="s">
        <v>29</v>
      </c>
      <c r="P121" s="58" t="s">
        <v>29</v>
      </c>
      <c r="Q121" s="60" t="str">
        <f t="shared" si="6"/>
        <v/>
      </c>
      <c r="R121" s="58" t="s">
        <v>29</v>
      </c>
      <c r="S121" s="58" t="s">
        <v>29</v>
      </c>
      <c r="T121" s="58" t="s">
        <v>29</v>
      </c>
      <c r="U121" s="58" t="s">
        <v>29</v>
      </c>
      <c r="V121" s="58">
        <v>1</v>
      </c>
      <c r="W121" s="58">
        <v>1130198</v>
      </c>
      <c r="X121" s="58">
        <v>19</v>
      </c>
      <c r="Y121" s="58">
        <v>33</v>
      </c>
      <c r="Z121" s="61" t="s">
        <v>29</v>
      </c>
      <c r="AA121" s="62">
        <f t="shared" si="7"/>
        <v>0.5757575757575758</v>
      </c>
      <c r="AB121" s="91">
        <f t="shared" si="5"/>
        <v>0</v>
      </c>
      <c r="AC121" s="91">
        <f>IFERROR(Table16[[#This Row],[Quantity Needed for repair]]*Table16[[#This Row],[Evaluated]],"")</f>
        <v>0</v>
      </c>
    </row>
    <row r="122" spans="1:29" x14ac:dyDescent="0.35">
      <c r="A122" s="89" t="s">
        <v>477</v>
      </c>
      <c r="B122" s="90">
        <v>13034646</v>
      </c>
      <c r="C122" s="95">
        <v>0</v>
      </c>
      <c r="D122" s="64"/>
      <c r="E122" s="64">
        <v>3</v>
      </c>
      <c r="F122" s="56" t="s">
        <v>385</v>
      </c>
      <c r="G122" s="56">
        <v>13143135</v>
      </c>
      <c r="H122" s="56" t="s">
        <v>313</v>
      </c>
      <c r="I122" s="56" t="s">
        <v>273</v>
      </c>
      <c r="J122" s="56" t="s">
        <v>29</v>
      </c>
      <c r="K122" s="56">
        <v>1092981</v>
      </c>
      <c r="L122" s="65">
        <v>44473</v>
      </c>
      <c r="M122" s="56" t="s">
        <v>352</v>
      </c>
      <c r="N122" s="56" t="s">
        <v>29</v>
      </c>
      <c r="O122" s="56" t="s">
        <v>29</v>
      </c>
      <c r="P122" s="56" t="s">
        <v>29</v>
      </c>
      <c r="Q122" s="66" t="str">
        <f t="shared" si="6"/>
        <v/>
      </c>
      <c r="R122" s="56" t="s">
        <v>29</v>
      </c>
      <c r="S122" s="56" t="s">
        <v>29</v>
      </c>
      <c r="T122" s="56" t="s">
        <v>29</v>
      </c>
      <c r="U122" s="56" t="s">
        <v>29</v>
      </c>
      <c r="V122" s="56">
        <v>2</v>
      </c>
      <c r="W122" s="56">
        <v>647435</v>
      </c>
      <c r="X122" s="56">
        <v>7</v>
      </c>
      <c r="Y122" s="56">
        <v>23</v>
      </c>
      <c r="Z122" s="67" t="s">
        <v>29</v>
      </c>
      <c r="AA122" s="68">
        <f t="shared" si="7"/>
        <v>0.30434782608695654</v>
      </c>
      <c r="AB122" s="92">
        <f t="shared" si="5"/>
        <v>0</v>
      </c>
      <c r="AC122" s="92">
        <f>IFERROR(Table16[[#This Row],[Quantity Needed for repair]]*Table16[[#This Row],[Evaluated]],"")</f>
        <v>0</v>
      </c>
    </row>
    <row r="123" spans="1:29" ht="15" thickBot="1" x14ac:dyDescent="0.4">
      <c r="A123" s="89" t="s">
        <v>478</v>
      </c>
      <c r="B123" s="90">
        <v>13080022</v>
      </c>
      <c r="C123" s="95">
        <v>0</v>
      </c>
      <c r="D123" s="64"/>
      <c r="E123" s="69">
        <v>3</v>
      </c>
      <c r="F123" s="70" t="s">
        <v>385</v>
      </c>
      <c r="G123" s="70">
        <v>13143135</v>
      </c>
      <c r="H123" s="70" t="s">
        <v>313</v>
      </c>
      <c r="I123" s="70" t="s">
        <v>273</v>
      </c>
      <c r="J123" s="70" t="s">
        <v>29</v>
      </c>
      <c r="K123" s="70">
        <v>1092981</v>
      </c>
      <c r="L123" s="71">
        <v>44473</v>
      </c>
      <c r="M123" s="70" t="s">
        <v>352</v>
      </c>
      <c r="N123" s="70" t="s">
        <v>29</v>
      </c>
      <c r="O123" s="70" t="s">
        <v>29</v>
      </c>
      <c r="P123" s="70" t="s">
        <v>29</v>
      </c>
      <c r="Q123" s="72" t="str">
        <f t="shared" si="6"/>
        <v/>
      </c>
      <c r="R123" s="70" t="s">
        <v>29</v>
      </c>
      <c r="S123" s="70" t="s">
        <v>29</v>
      </c>
      <c r="T123" s="70" t="s">
        <v>29</v>
      </c>
      <c r="U123" s="70" t="s">
        <v>29</v>
      </c>
      <c r="V123" s="70">
        <v>3</v>
      </c>
      <c r="W123" s="70">
        <v>418525</v>
      </c>
      <c r="X123" s="70">
        <v>6</v>
      </c>
      <c r="Y123" s="70">
        <v>6</v>
      </c>
      <c r="Z123" s="73" t="s">
        <v>29</v>
      </c>
      <c r="AA123" s="74">
        <f t="shared" si="7"/>
        <v>1</v>
      </c>
      <c r="AB123" s="93">
        <f t="shared" si="5"/>
        <v>0</v>
      </c>
      <c r="AC123" s="93">
        <f>IFERROR(Table16[[#This Row],[Quantity Needed for repair]]*Table16[[#This Row],[Evaluated]],"")</f>
        <v>0</v>
      </c>
    </row>
    <row r="124" spans="1:29" x14ac:dyDescent="0.35">
      <c r="A124" s="89" t="s">
        <v>479</v>
      </c>
      <c r="B124" s="90">
        <v>13094649</v>
      </c>
      <c r="C124" s="95"/>
      <c r="D124" s="64"/>
      <c r="E124" s="57">
        <v>3</v>
      </c>
      <c r="F124" s="58" t="s">
        <v>386</v>
      </c>
      <c r="G124" s="58">
        <v>13143136</v>
      </c>
      <c r="H124" s="58" t="s">
        <v>313</v>
      </c>
      <c r="I124" s="58" t="s">
        <v>273</v>
      </c>
      <c r="J124" s="58" t="s">
        <v>29</v>
      </c>
      <c r="K124" s="58">
        <v>1092981</v>
      </c>
      <c r="L124" s="59">
        <v>44473</v>
      </c>
      <c r="M124" s="58" t="s">
        <v>352</v>
      </c>
      <c r="N124" s="58" t="s">
        <v>29</v>
      </c>
      <c r="O124" s="58" t="s">
        <v>29</v>
      </c>
      <c r="P124" s="58" t="s">
        <v>29</v>
      </c>
      <c r="Q124" s="60" t="str">
        <f t="shared" si="6"/>
        <v/>
      </c>
      <c r="R124" s="58" t="s">
        <v>29</v>
      </c>
      <c r="S124" s="58" t="s">
        <v>29</v>
      </c>
      <c r="T124" s="58" t="s">
        <v>29</v>
      </c>
      <c r="U124" s="58" t="s">
        <v>29</v>
      </c>
      <c r="V124" s="58">
        <v>1</v>
      </c>
      <c r="W124" s="58">
        <v>1130198</v>
      </c>
      <c r="X124" s="81">
        <v>10</v>
      </c>
      <c r="Y124" s="58">
        <v>33</v>
      </c>
      <c r="Z124" s="61" t="s">
        <v>29</v>
      </c>
      <c r="AA124" s="62">
        <f t="shared" si="7"/>
        <v>0.30303030303030304</v>
      </c>
      <c r="AB124" s="91">
        <f t="shared" si="5"/>
        <v>0</v>
      </c>
      <c r="AC124" s="91">
        <f>IFERROR(Table16[[#This Row],[Quantity Needed for repair]]*Table16[[#This Row],[Evaluated]],"")</f>
        <v>0</v>
      </c>
    </row>
    <row r="125" spans="1:29" x14ac:dyDescent="0.35">
      <c r="A125" s="89" t="s">
        <v>480</v>
      </c>
      <c r="B125" s="90">
        <v>13080026</v>
      </c>
      <c r="C125" s="95">
        <v>0</v>
      </c>
      <c r="D125" s="64"/>
      <c r="E125" s="64">
        <v>3</v>
      </c>
      <c r="F125" s="56" t="s">
        <v>386</v>
      </c>
      <c r="G125" s="56">
        <v>13143136</v>
      </c>
      <c r="H125" s="56" t="s">
        <v>313</v>
      </c>
      <c r="I125" s="56" t="s">
        <v>273</v>
      </c>
      <c r="J125" s="56" t="s">
        <v>29</v>
      </c>
      <c r="K125" s="56">
        <v>1092981</v>
      </c>
      <c r="L125" s="65">
        <v>44473</v>
      </c>
      <c r="M125" s="56" t="s">
        <v>352</v>
      </c>
      <c r="N125" s="56" t="s">
        <v>29</v>
      </c>
      <c r="O125" s="56" t="s">
        <v>29</v>
      </c>
      <c r="P125" s="56" t="s">
        <v>29</v>
      </c>
      <c r="Q125" s="66" t="str">
        <f t="shared" si="6"/>
        <v/>
      </c>
      <c r="R125" s="56" t="s">
        <v>29</v>
      </c>
      <c r="S125" s="56" t="s">
        <v>29</v>
      </c>
      <c r="T125" s="56" t="s">
        <v>29</v>
      </c>
      <c r="U125" s="56" t="s">
        <v>29</v>
      </c>
      <c r="V125" s="56">
        <v>2</v>
      </c>
      <c r="W125" s="56">
        <v>647435</v>
      </c>
      <c r="X125" s="82">
        <v>7</v>
      </c>
      <c r="Y125" s="56">
        <v>23</v>
      </c>
      <c r="Z125" s="67" t="s">
        <v>29</v>
      </c>
      <c r="AA125" s="68">
        <f t="shared" si="7"/>
        <v>0.30434782608695654</v>
      </c>
      <c r="AB125" s="92">
        <f t="shared" si="5"/>
        <v>0</v>
      </c>
      <c r="AC125" s="92">
        <f>IFERROR(Table16[[#This Row],[Quantity Needed for repair]]*Table16[[#This Row],[Evaluated]],"")</f>
        <v>0</v>
      </c>
    </row>
    <row r="126" spans="1:29" ht="15" thickBot="1" x14ac:dyDescent="0.4">
      <c r="A126" s="89" t="s">
        <v>481</v>
      </c>
      <c r="B126" s="90">
        <v>13131337</v>
      </c>
      <c r="C126" s="95"/>
      <c r="D126" s="64"/>
      <c r="E126" s="69">
        <v>3</v>
      </c>
      <c r="F126" s="70" t="s">
        <v>386</v>
      </c>
      <c r="G126" s="70">
        <v>13143136</v>
      </c>
      <c r="H126" s="70" t="s">
        <v>313</v>
      </c>
      <c r="I126" s="70" t="s">
        <v>273</v>
      </c>
      <c r="J126" s="70" t="s">
        <v>29</v>
      </c>
      <c r="K126" s="70">
        <v>1092981</v>
      </c>
      <c r="L126" s="71">
        <v>44473</v>
      </c>
      <c r="M126" s="70" t="s">
        <v>352</v>
      </c>
      <c r="N126" s="70" t="s">
        <v>29</v>
      </c>
      <c r="O126" s="70" t="s">
        <v>29</v>
      </c>
      <c r="P126" s="70" t="s">
        <v>29</v>
      </c>
      <c r="Q126" s="72" t="str">
        <f t="shared" si="6"/>
        <v/>
      </c>
      <c r="R126" s="70" t="s">
        <v>29</v>
      </c>
      <c r="S126" s="70" t="s">
        <v>29</v>
      </c>
      <c r="T126" s="70" t="s">
        <v>29</v>
      </c>
      <c r="U126" s="70" t="s">
        <v>29</v>
      </c>
      <c r="V126" s="70">
        <v>3</v>
      </c>
      <c r="W126" s="70">
        <v>418525</v>
      </c>
      <c r="X126" s="83">
        <v>6</v>
      </c>
      <c r="Y126" s="70">
        <v>6</v>
      </c>
      <c r="Z126" s="73" t="s">
        <v>29</v>
      </c>
      <c r="AA126" s="74">
        <f t="shared" si="7"/>
        <v>1</v>
      </c>
      <c r="AB126" s="93">
        <f t="shared" si="5"/>
        <v>0</v>
      </c>
      <c r="AC126" s="93">
        <f>IFERROR(Table16[[#This Row],[Quantity Needed for repair]]*Table16[[#This Row],[Evaluated]],"")</f>
        <v>0</v>
      </c>
    </row>
    <row r="127" spans="1:29" x14ac:dyDescent="0.35">
      <c r="A127" s="89" t="s">
        <v>482</v>
      </c>
      <c r="B127" s="90">
        <v>13111899</v>
      </c>
      <c r="C127" s="95">
        <v>0</v>
      </c>
      <c r="D127" s="64"/>
      <c r="E127" s="57">
        <v>3</v>
      </c>
      <c r="F127" s="58" t="s">
        <v>387</v>
      </c>
      <c r="G127" s="58">
        <v>13187237</v>
      </c>
      <c r="H127" s="58" t="s">
        <v>313</v>
      </c>
      <c r="I127" s="58" t="s">
        <v>351</v>
      </c>
      <c r="J127" s="58" t="s">
        <v>29</v>
      </c>
      <c r="K127" s="58">
        <v>1080537</v>
      </c>
      <c r="L127" s="59">
        <v>44473</v>
      </c>
      <c r="M127" s="58" t="s">
        <v>352</v>
      </c>
      <c r="N127" s="58" t="s">
        <v>29</v>
      </c>
      <c r="O127" s="58" t="s">
        <v>29</v>
      </c>
      <c r="P127" s="58" t="s">
        <v>29</v>
      </c>
      <c r="Q127" s="60" t="str">
        <f t="shared" si="6"/>
        <v/>
      </c>
      <c r="R127" s="58" t="s">
        <v>29</v>
      </c>
      <c r="S127" s="58" t="s">
        <v>29</v>
      </c>
      <c r="T127" s="58" t="s">
        <v>29</v>
      </c>
      <c r="U127" s="58" t="s">
        <v>29</v>
      </c>
      <c r="V127" s="58">
        <v>1</v>
      </c>
      <c r="W127" s="58">
        <v>1130198</v>
      </c>
      <c r="X127" s="78"/>
      <c r="Y127" s="58">
        <v>33</v>
      </c>
      <c r="Z127" s="61" t="s">
        <v>29</v>
      </c>
      <c r="AA127" s="62">
        <f t="shared" si="7"/>
        <v>0</v>
      </c>
      <c r="AB127" s="91">
        <f t="shared" si="5"/>
        <v>0</v>
      </c>
      <c r="AC127" s="91">
        <f>IFERROR(Table16[[#This Row],[Quantity Needed for repair]]*Table16[[#This Row],[Evaluated]],"")</f>
        <v>0</v>
      </c>
    </row>
    <row r="128" spans="1:29" x14ac:dyDescent="0.35">
      <c r="A128" s="89" t="s">
        <v>483</v>
      </c>
      <c r="B128" s="90">
        <v>12706614</v>
      </c>
      <c r="C128" s="95">
        <v>0</v>
      </c>
      <c r="D128" s="64"/>
      <c r="E128" s="64">
        <v>3</v>
      </c>
      <c r="F128" s="56" t="s">
        <v>387</v>
      </c>
      <c r="G128" s="56">
        <v>13187237</v>
      </c>
      <c r="H128" s="56" t="s">
        <v>313</v>
      </c>
      <c r="I128" s="56" t="s">
        <v>351</v>
      </c>
      <c r="J128" s="56" t="s">
        <v>29</v>
      </c>
      <c r="K128" s="56">
        <v>1080537</v>
      </c>
      <c r="L128" s="65">
        <v>44473</v>
      </c>
      <c r="M128" s="56" t="s">
        <v>352</v>
      </c>
      <c r="N128" s="56" t="s">
        <v>29</v>
      </c>
      <c r="O128" s="56" t="s">
        <v>29</v>
      </c>
      <c r="P128" s="56" t="s">
        <v>29</v>
      </c>
      <c r="Q128" s="66" t="str">
        <f t="shared" si="6"/>
        <v/>
      </c>
      <c r="R128" s="56" t="s">
        <v>29</v>
      </c>
      <c r="S128" s="56" t="s">
        <v>29</v>
      </c>
      <c r="T128" s="56" t="s">
        <v>29</v>
      </c>
      <c r="U128" s="56" t="s">
        <v>29</v>
      </c>
      <c r="V128" s="56">
        <v>2</v>
      </c>
      <c r="W128" s="56">
        <v>647435</v>
      </c>
      <c r="X128" s="79"/>
      <c r="Y128" s="56">
        <v>23</v>
      </c>
      <c r="Z128" s="67" t="s">
        <v>29</v>
      </c>
      <c r="AA128" s="68">
        <f t="shared" si="7"/>
        <v>0</v>
      </c>
      <c r="AB128" s="92">
        <f t="shared" si="5"/>
        <v>0</v>
      </c>
      <c r="AC128" s="92">
        <f>IFERROR(Table16[[#This Row],[Quantity Needed for repair]]*Table16[[#This Row],[Evaluated]],"")</f>
        <v>0</v>
      </c>
    </row>
    <row r="129" spans="1:29" ht="15" thickBot="1" x14ac:dyDescent="0.4">
      <c r="A129" s="89" t="s">
        <v>484</v>
      </c>
      <c r="B129" s="90">
        <v>13034639</v>
      </c>
      <c r="C129" s="95"/>
      <c r="D129" s="64"/>
      <c r="E129" s="69">
        <v>3</v>
      </c>
      <c r="F129" s="70" t="s">
        <v>387</v>
      </c>
      <c r="G129" s="70">
        <v>13187237</v>
      </c>
      <c r="H129" s="70" t="s">
        <v>313</v>
      </c>
      <c r="I129" s="70" t="s">
        <v>351</v>
      </c>
      <c r="J129" s="70" t="s">
        <v>29</v>
      </c>
      <c r="K129" s="70">
        <v>1080537</v>
      </c>
      <c r="L129" s="71">
        <v>44473</v>
      </c>
      <c r="M129" s="70" t="s">
        <v>352</v>
      </c>
      <c r="N129" s="70" t="s">
        <v>29</v>
      </c>
      <c r="O129" s="70" t="s">
        <v>29</v>
      </c>
      <c r="P129" s="70" t="s">
        <v>29</v>
      </c>
      <c r="Q129" s="72" t="str">
        <f t="shared" si="6"/>
        <v/>
      </c>
      <c r="R129" s="70" t="s">
        <v>29</v>
      </c>
      <c r="S129" s="70" t="s">
        <v>29</v>
      </c>
      <c r="T129" s="70" t="s">
        <v>29</v>
      </c>
      <c r="U129" s="70" t="s">
        <v>29</v>
      </c>
      <c r="V129" s="70">
        <v>3</v>
      </c>
      <c r="W129" s="70">
        <v>418525</v>
      </c>
      <c r="X129" s="80"/>
      <c r="Y129" s="70">
        <v>6</v>
      </c>
      <c r="Z129" s="73" t="s">
        <v>29</v>
      </c>
      <c r="AA129" s="74">
        <f t="shared" si="7"/>
        <v>0</v>
      </c>
      <c r="AB129" s="93">
        <f t="shared" si="5"/>
        <v>0</v>
      </c>
      <c r="AC129" s="93">
        <f>IFERROR(Table16[[#This Row],[Quantity Needed for repair]]*Table16[[#This Row],[Evaluated]],"")</f>
        <v>0</v>
      </c>
    </row>
    <row r="130" spans="1:29" x14ac:dyDescent="0.35">
      <c r="A130" s="89" t="s">
        <v>485</v>
      </c>
      <c r="B130" s="90">
        <v>13044609</v>
      </c>
      <c r="C130" s="95">
        <v>0</v>
      </c>
      <c r="D130" s="64"/>
      <c r="E130" s="57">
        <v>3</v>
      </c>
      <c r="F130" s="58" t="s">
        <v>388</v>
      </c>
      <c r="G130" s="58">
        <v>13220349</v>
      </c>
      <c r="H130" s="58" t="s">
        <v>313</v>
      </c>
      <c r="I130" s="58" t="s">
        <v>351</v>
      </c>
      <c r="J130" s="58" t="s">
        <v>29</v>
      </c>
      <c r="K130" s="58">
        <v>1080537</v>
      </c>
      <c r="L130" s="59">
        <v>44473</v>
      </c>
      <c r="M130" s="58" t="s">
        <v>352</v>
      </c>
      <c r="N130" s="58" t="s">
        <v>29</v>
      </c>
      <c r="O130" s="58" t="s">
        <v>29</v>
      </c>
      <c r="P130" s="58" t="s">
        <v>29</v>
      </c>
      <c r="Q130" s="60" t="str">
        <f t="shared" si="6"/>
        <v/>
      </c>
      <c r="R130" s="58" t="s">
        <v>29</v>
      </c>
      <c r="S130" s="58" t="s">
        <v>29</v>
      </c>
      <c r="T130" s="58" t="s">
        <v>29</v>
      </c>
      <c r="U130" s="58" t="s">
        <v>29</v>
      </c>
      <c r="V130" s="58">
        <v>1</v>
      </c>
      <c r="W130" s="58">
        <v>1130198</v>
      </c>
      <c r="X130" s="81">
        <v>3</v>
      </c>
      <c r="Y130" s="58">
        <v>33</v>
      </c>
      <c r="Z130" s="61" t="s">
        <v>29</v>
      </c>
      <c r="AA130" s="62">
        <f t="shared" si="7"/>
        <v>9.0909090909090912E-2</v>
      </c>
      <c r="AB130" s="91">
        <f t="shared" ref="AB130:AB193" si="8">IFERROR(INDEX($A$2:$C$553,MATCH($F130,$A$2:$A$553,0),3),0)</f>
        <v>0</v>
      </c>
      <c r="AC130" s="91">
        <f>IFERROR(Table16[[#This Row],[Quantity Needed for repair]]*Table16[[#This Row],[Evaluated]],"")</f>
        <v>0</v>
      </c>
    </row>
    <row r="131" spans="1:29" x14ac:dyDescent="0.35">
      <c r="A131" s="89" t="s">
        <v>486</v>
      </c>
      <c r="B131" s="90">
        <v>13079332</v>
      </c>
      <c r="C131" s="95">
        <v>0</v>
      </c>
      <c r="D131" s="64"/>
      <c r="E131" s="64">
        <v>3</v>
      </c>
      <c r="F131" s="56" t="s">
        <v>388</v>
      </c>
      <c r="G131" s="56">
        <v>13220349</v>
      </c>
      <c r="H131" s="56" t="s">
        <v>313</v>
      </c>
      <c r="I131" s="56" t="s">
        <v>351</v>
      </c>
      <c r="J131" s="56" t="s">
        <v>29</v>
      </c>
      <c r="K131" s="56">
        <v>1080537</v>
      </c>
      <c r="L131" s="65">
        <v>44473</v>
      </c>
      <c r="M131" s="56" t="s">
        <v>352</v>
      </c>
      <c r="N131" s="56" t="s">
        <v>29</v>
      </c>
      <c r="O131" s="56" t="s">
        <v>29</v>
      </c>
      <c r="P131" s="56" t="s">
        <v>29</v>
      </c>
      <c r="Q131" s="66" t="str">
        <f t="shared" ref="Q131:Q194" si="9">IFERROR(ROUND(O131/P131*100,0)&amp;" %"&amp;IF(O131/P131&gt;0.6,", High Price",""),"")</f>
        <v/>
      </c>
      <c r="R131" s="56" t="s">
        <v>29</v>
      </c>
      <c r="S131" s="56" t="s">
        <v>29</v>
      </c>
      <c r="T131" s="56" t="s">
        <v>29</v>
      </c>
      <c r="U131" s="56" t="s">
        <v>29</v>
      </c>
      <c r="V131" s="56">
        <v>2</v>
      </c>
      <c r="W131" s="56">
        <v>647435</v>
      </c>
      <c r="X131" s="82" t="s">
        <v>29</v>
      </c>
      <c r="Y131" s="56">
        <v>23</v>
      </c>
      <c r="Z131" s="67" t="s">
        <v>29</v>
      </c>
      <c r="AA131" s="68" t="str">
        <f t="shared" ref="AA131:AA194" si="10">IFERROR(X131/Y131,"")</f>
        <v/>
      </c>
      <c r="AB131" s="92">
        <f t="shared" si="8"/>
        <v>0</v>
      </c>
      <c r="AC131" s="92" t="str">
        <f>IFERROR(Table16[[#This Row],[Quantity Needed for repair]]*Table16[[#This Row],[Evaluated]],"")</f>
        <v/>
      </c>
    </row>
    <row r="132" spans="1:29" ht="15" thickBot="1" x14ac:dyDescent="0.4">
      <c r="A132" s="89" t="s">
        <v>487</v>
      </c>
      <c r="B132" s="90">
        <v>13111895</v>
      </c>
      <c r="C132" s="95"/>
      <c r="D132" s="64"/>
      <c r="E132" s="69">
        <v>3</v>
      </c>
      <c r="F132" s="70" t="s">
        <v>388</v>
      </c>
      <c r="G132" s="70">
        <v>13220349</v>
      </c>
      <c r="H132" s="70" t="s">
        <v>313</v>
      </c>
      <c r="I132" s="70" t="s">
        <v>351</v>
      </c>
      <c r="J132" s="70" t="s">
        <v>29</v>
      </c>
      <c r="K132" s="70">
        <v>1080537</v>
      </c>
      <c r="L132" s="71">
        <v>44473</v>
      </c>
      <c r="M132" s="70" t="s">
        <v>352</v>
      </c>
      <c r="N132" s="70" t="s">
        <v>29</v>
      </c>
      <c r="O132" s="70" t="s">
        <v>29</v>
      </c>
      <c r="P132" s="70" t="s">
        <v>29</v>
      </c>
      <c r="Q132" s="72" t="str">
        <f t="shared" si="9"/>
        <v/>
      </c>
      <c r="R132" s="70" t="s">
        <v>29</v>
      </c>
      <c r="S132" s="70" t="s">
        <v>29</v>
      </c>
      <c r="T132" s="70" t="s">
        <v>29</v>
      </c>
      <c r="U132" s="70" t="s">
        <v>29</v>
      </c>
      <c r="V132" s="70">
        <v>3</v>
      </c>
      <c r="W132" s="70">
        <v>418525</v>
      </c>
      <c r="X132" s="83">
        <v>1</v>
      </c>
      <c r="Y132" s="70">
        <v>6</v>
      </c>
      <c r="Z132" s="73" t="s">
        <v>29</v>
      </c>
      <c r="AA132" s="74">
        <f t="shared" si="10"/>
        <v>0.16666666666666666</v>
      </c>
      <c r="AB132" s="93">
        <f t="shared" si="8"/>
        <v>0</v>
      </c>
      <c r="AC132" s="93">
        <f>IFERROR(Table16[[#This Row],[Quantity Needed for repair]]*Table16[[#This Row],[Evaluated]],"")</f>
        <v>0</v>
      </c>
    </row>
    <row r="133" spans="1:29" x14ac:dyDescent="0.35">
      <c r="A133" s="89" t="s">
        <v>488</v>
      </c>
      <c r="B133" s="90">
        <v>12947665</v>
      </c>
      <c r="C133" s="95">
        <v>0</v>
      </c>
      <c r="D133" s="64"/>
      <c r="E133" s="57">
        <v>3</v>
      </c>
      <c r="F133" s="58" t="s">
        <v>389</v>
      </c>
      <c r="G133" s="58">
        <v>13261210</v>
      </c>
      <c r="H133" s="58" t="s">
        <v>313</v>
      </c>
      <c r="I133" s="58" t="s">
        <v>351</v>
      </c>
      <c r="J133" s="58" t="s">
        <v>29</v>
      </c>
      <c r="K133" s="58">
        <v>1080537</v>
      </c>
      <c r="L133" s="59">
        <v>44473</v>
      </c>
      <c r="M133" s="58" t="s">
        <v>352</v>
      </c>
      <c r="N133" s="58" t="s">
        <v>29</v>
      </c>
      <c r="O133" s="58" t="s">
        <v>29</v>
      </c>
      <c r="P133" s="58" t="s">
        <v>29</v>
      </c>
      <c r="Q133" s="60" t="str">
        <f t="shared" si="9"/>
        <v/>
      </c>
      <c r="R133" s="58" t="s">
        <v>29</v>
      </c>
      <c r="S133" s="58" t="s">
        <v>29</v>
      </c>
      <c r="T133" s="58" t="s">
        <v>29</v>
      </c>
      <c r="U133" s="58" t="s">
        <v>29</v>
      </c>
      <c r="V133" s="58">
        <v>1</v>
      </c>
      <c r="W133" s="58">
        <v>1130198</v>
      </c>
      <c r="X133" s="78">
        <v>13</v>
      </c>
      <c r="Y133" s="58">
        <v>33</v>
      </c>
      <c r="Z133" s="61" t="s">
        <v>29</v>
      </c>
      <c r="AA133" s="62">
        <f t="shared" si="10"/>
        <v>0.39393939393939392</v>
      </c>
      <c r="AB133" s="91">
        <f t="shared" si="8"/>
        <v>0</v>
      </c>
      <c r="AC133" s="91">
        <f>IFERROR(Table16[[#This Row],[Quantity Needed for repair]]*Table16[[#This Row],[Evaluated]],"")</f>
        <v>0</v>
      </c>
    </row>
    <row r="134" spans="1:29" x14ac:dyDescent="0.35">
      <c r="A134" s="89" t="s">
        <v>489</v>
      </c>
      <c r="B134" s="90">
        <v>13022899</v>
      </c>
      <c r="C134" s="95"/>
      <c r="D134" s="64"/>
      <c r="E134" s="64">
        <v>3</v>
      </c>
      <c r="F134" s="56" t="s">
        <v>389</v>
      </c>
      <c r="G134" s="56">
        <v>13261210</v>
      </c>
      <c r="H134" s="56" t="s">
        <v>313</v>
      </c>
      <c r="I134" s="56" t="s">
        <v>351</v>
      </c>
      <c r="J134" s="56" t="s">
        <v>29</v>
      </c>
      <c r="K134" s="56">
        <v>1080537</v>
      </c>
      <c r="L134" s="65">
        <v>44473</v>
      </c>
      <c r="M134" s="56" t="s">
        <v>352</v>
      </c>
      <c r="N134" s="56" t="s">
        <v>29</v>
      </c>
      <c r="O134" s="56" t="s">
        <v>29</v>
      </c>
      <c r="P134" s="56" t="s">
        <v>29</v>
      </c>
      <c r="Q134" s="66" t="str">
        <f t="shared" si="9"/>
        <v/>
      </c>
      <c r="R134" s="56" t="s">
        <v>29</v>
      </c>
      <c r="S134" s="56" t="s">
        <v>29</v>
      </c>
      <c r="T134" s="56" t="s">
        <v>29</v>
      </c>
      <c r="U134" s="56" t="s">
        <v>29</v>
      </c>
      <c r="V134" s="56">
        <v>2</v>
      </c>
      <c r="W134" s="56">
        <v>647435</v>
      </c>
      <c r="X134" s="79">
        <v>7</v>
      </c>
      <c r="Y134" s="56">
        <v>23</v>
      </c>
      <c r="Z134" s="67" t="s">
        <v>29</v>
      </c>
      <c r="AA134" s="68">
        <f t="shared" si="10"/>
        <v>0.30434782608695654</v>
      </c>
      <c r="AB134" s="92">
        <f t="shared" si="8"/>
        <v>0</v>
      </c>
      <c r="AC134" s="92">
        <f>IFERROR(Table16[[#This Row],[Quantity Needed for repair]]*Table16[[#This Row],[Evaluated]],"")</f>
        <v>0</v>
      </c>
    </row>
    <row r="135" spans="1:29" ht="15" thickBot="1" x14ac:dyDescent="0.4">
      <c r="A135" s="89" t="s">
        <v>490</v>
      </c>
      <c r="B135" s="90">
        <v>13022895</v>
      </c>
      <c r="C135" s="95">
        <v>0</v>
      </c>
      <c r="D135" s="64"/>
      <c r="E135" s="69">
        <v>3</v>
      </c>
      <c r="F135" s="70" t="s">
        <v>389</v>
      </c>
      <c r="G135" s="70">
        <v>13261210</v>
      </c>
      <c r="H135" s="70" t="s">
        <v>313</v>
      </c>
      <c r="I135" s="70" t="s">
        <v>351</v>
      </c>
      <c r="J135" s="70" t="s">
        <v>29</v>
      </c>
      <c r="K135" s="70">
        <v>1080537</v>
      </c>
      <c r="L135" s="71">
        <v>44473</v>
      </c>
      <c r="M135" s="70" t="s">
        <v>352</v>
      </c>
      <c r="N135" s="70" t="s">
        <v>29</v>
      </c>
      <c r="O135" s="70" t="s">
        <v>29</v>
      </c>
      <c r="P135" s="70" t="s">
        <v>29</v>
      </c>
      <c r="Q135" s="72" t="str">
        <f t="shared" si="9"/>
        <v/>
      </c>
      <c r="R135" s="70" t="s">
        <v>29</v>
      </c>
      <c r="S135" s="70" t="s">
        <v>29</v>
      </c>
      <c r="T135" s="70" t="s">
        <v>29</v>
      </c>
      <c r="U135" s="70" t="s">
        <v>29</v>
      </c>
      <c r="V135" s="70">
        <v>3</v>
      </c>
      <c r="W135" s="70">
        <v>418525</v>
      </c>
      <c r="X135" s="80">
        <v>2</v>
      </c>
      <c r="Y135" s="70">
        <v>6</v>
      </c>
      <c r="Z135" s="73" t="s">
        <v>29</v>
      </c>
      <c r="AA135" s="74">
        <f t="shared" si="10"/>
        <v>0.33333333333333331</v>
      </c>
      <c r="AB135" s="93">
        <f t="shared" si="8"/>
        <v>0</v>
      </c>
      <c r="AC135" s="93">
        <f>IFERROR(Table16[[#This Row],[Quantity Needed for repair]]*Table16[[#This Row],[Evaluated]],"")</f>
        <v>0</v>
      </c>
    </row>
    <row r="136" spans="1:29" x14ac:dyDescent="0.35">
      <c r="A136" s="89" t="s">
        <v>491</v>
      </c>
      <c r="B136" s="90">
        <v>13052781</v>
      </c>
      <c r="C136" s="95"/>
      <c r="D136" s="64"/>
      <c r="E136" s="57">
        <v>3</v>
      </c>
      <c r="F136" s="58" t="s">
        <v>390</v>
      </c>
      <c r="G136" s="58">
        <v>13172299</v>
      </c>
      <c r="H136" s="58" t="s">
        <v>313</v>
      </c>
      <c r="I136" s="58" t="s">
        <v>351</v>
      </c>
      <c r="J136" s="58" t="s">
        <v>29</v>
      </c>
      <c r="K136" s="58">
        <v>1080537</v>
      </c>
      <c r="L136" s="59">
        <v>44473</v>
      </c>
      <c r="M136" s="58" t="s">
        <v>352</v>
      </c>
      <c r="N136" s="58" t="s">
        <v>29</v>
      </c>
      <c r="O136" s="58" t="s">
        <v>29</v>
      </c>
      <c r="P136" s="58" t="s">
        <v>29</v>
      </c>
      <c r="Q136" s="60" t="str">
        <f t="shared" si="9"/>
        <v/>
      </c>
      <c r="R136" s="58" t="s">
        <v>29</v>
      </c>
      <c r="S136" s="58" t="s">
        <v>29</v>
      </c>
      <c r="T136" s="58" t="s">
        <v>29</v>
      </c>
      <c r="U136" s="58" t="s">
        <v>29</v>
      </c>
      <c r="V136" s="58">
        <v>1</v>
      </c>
      <c r="W136" s="58">
        <v>1130198</v>
      </c>
      <c r="X136" s="81"/>
      <c r="Y136" s="58">
        <v>33</v>
      </c>
      <c r="Z136" s="61" t="s">
        <v>29</v>
      </c>
      <c r="AA136" s="62">
        <f t="shared" si="10"/>
        <v>0</v>
      </c>
      <c r="AB136" s="91">
        <f t="shared" si="8"/>
        <v>0</v>
      </c>
      <c r="AC136" s="91">
        <f>IFERROR(Table16[[#This Row],[Quantity Needed for repair]]*Table16[[#This Row],[Evaluated]],"")</f>
        <v>0</v>
      </c>
    </row>
    <row r="137" spans="1:29" x14ac:dyDescent="0.35">
      <c r="A137" s="89" t="s">
        <v>492</v>
      </c>
      <c r="B137" s="90">
        <v>13064090</v>
      </c>
      <c r="C137" s="95">
        <v>0</v>
      </c>
      <c r="D137" s="64"/>
      <c r="E137" s="64">
        <v>3</v>
      </c>
      <c r="F137" s="56" t="s">
        <v>390</v>
      </c>
      <c r="G137" s="56">
        <v>13172299</v>
      </c>
      <c r="H137" s="56" t="s">
        <v>313</v>
      </c>
      <c r="I137" s="56" t="s">
        <v>351</v>
      </c>
      <c r="J137" s="56" t="s">
        <v>29</v>
      </c>
      <c r="K137" s="56">
        <v>1080537</v>
      </c>
      <c r="L137" s="65">
        <v>44473</v>
      </c>
      <c r="M137" s="56" t="s">
        <v>352</v>
      </c>
      <c r="N137" s="56" t="s">
        <v>29</v>
      </c>
      <c r="O137" s="56" t="s">
        <v>29</v>
      </c>
      <c r="P137" s="56" t="s">
        <v>29</v>
      </c>
      <c r="Q137" s="66" t="str">
        <f t="shared" si="9"/>
        <v/>
      </c>
      <c r="R137" s="56" t="s">
        <v>29</v>
      </c>
      <c r="S137" s="56" t="s">
        <v>29</v>
      </c>
      <c r="T137" s="56" t="s">
        <v>29</v>
      </c>
      <c r="U137" s="56" t="s">
        <v>29</v>
      </c>
      <c r="V137" s="56">
        <v>2</v>
      </c>
      <c r="W137" s="56">
        <v>647435</v>
      </c>
      <c r="X137" s="82"/>
      <c r="Y137" s="56">
        <v>23</v>
      </c>
      <c r="Z137" s="67" t="s">
        <v>29</v>
      </c>
      <c r="AA137" s="68">
        <f t="shared" si="10"/>
        <v>0</v>
      </c>
      <c r="AB137" s="92">
        <f t="shared" si="8"/>
        <v>0</v>
      </c>
      <c r="AC137" s="92">
        <f>IFERROR(Table16[[#This Row],[Quantity Needed for repair]]*Table16[[#This Row],[Evaluated]],"")</f>
        <v>0</v>
      </c>
    </row>
    <row r="138" spans="1:29" ht="15" thickBot="1" x14ac:dyDescent="0.4">
      <c r="A138" s="89" t="s">
        <v>493</v>
      </c>
      <c r="B138" s="90">
        <v>12971932</v>
      </c>
      <c r="C138" s="95">
        <v>0</v>
      </c>
      <c r="D138" s="64"/>
      <c r="E138" s="69">
        <v>3</v>
      </c>
      <c r="F138" s="70" t="s">
        <v>390</v>
      </c>
      <c r="G138" s="70">
        <v>13172299</v>
      </c>
      <c r="H138" s="70" t="s">
        <v>313</v>
      </c>
      <c r="I138" s="70" t="s">
        <v>351</v>
      </c>
      <c r="J138" s="70" t="s">
        <v>29</v>
      </c>
      <c r="K138" s="70">
        <v>1080537</v>
      </c>
      <c r="L138" s="71">
        <v>44473</v>
      </c>
      <c r="M138" s="70" t="s">
        <v>352</v>
      </c>
      <c r="N138" s="70" t="s">
        <v>29</v>
      </c>
      <c r="O138" s="70" t="s">
        <v>29</v>
      </c>
      <c r="P138" s="70" t="s">
        <v>29</v>
      </c>
      <c r="Q138" s="72" t="str">
        <f t="shared" si="9"/>
        <v/>
      </c>
      <c r="R138" s="70" t="s">
        <v>29</v>
      </c>
      <c r="S138" s="70" t="s">
        <v>29</v>
      </c>
      <c r="T138" s="70" t="s">
        <v>29</v>
      </c>
      <c r="U138" s="70" t="s">
        <v>29</v>
      </c>
      <c r="V138" s="70">
        <v>3</v>
      </c>
      <c r="W138" s="70">
        <v>418525</v>
      </c>
      <c r="X138" s="83"/>
      <c r="Y138" s="70">
        <v>6</v>
      </c>
      <c r="Z138" s="73" t="s">
        <v>29</v>
      </c>
      <c r="AA138" s="74">
        <f t="shared" si="10"/>
        <v>0</v>
      </c>
      <c r="AB138" s="93">
        <f t="shared" si="8"/>
        <v>0</v>
      </c>
      <c r="AC138" s="93">
        <f>IFERROR(Table16[[#This Row],[Quantity Needed for repair]]*Table16[[#This Row],[Evaluated]],"")</f>
        <v>0</v>
      </c>
    </row>
    <row r="139" spans="1:29" x14ac:dyDescent="0.35">
      <c r="A139" s="89" t="s">
        <v>494</v>
      </c>
      <c r="B139" s="90">
        <v>13062477</v>
      </c>
      <c r="C139" s="95"/>
      <c r="D139" s="64"/>
      <c r="E139" s="57">
        <v>3</v>
      </c>
      <c r="F139" s="58" t="s">
        <v>391</v>
      </c>
      <c r="G139" s="58">
        <v>13149235</v>
      </c>
      <c r="H139" s="58" t="s">
        <v>313</v>
      </c>
      <c r="I139" s="58" t="s">
        <v>273</v>
      </c>
      <c r="J139" s="58" t="s">
        <v>29</v>
      </c>
      <c r="K139" s="58">
        <v>1083564</v>
      </c>
      <c r="L139" s="59">
        <v>44473</v>
      </c>
      <c r="M139" s="58" t="s">
        <v>352</v>
      </c>
      <c r="N139" s="58" t="s">
        <v>29</v>
      </c>
      <c r="O139" s="58" t="s">
        <v>29</v>
      </c>
      <c r="P139" s="58" t="s">
        <v>29</v>
      </c>
      <c r="Q139" s="60" t="str">
        <f t="shared" si="9"/>
        <v/>
      </c>
      <c r="R139" s="58" t="s">
        <v>29</v>
      </c>
      <c r="S139" s="58" t="s">
        <v>29</v>
      </c>
      <c r="T139" s="58" t="s">
        <v>29</v>
      </c>
      <c r="U139" s="58" t="s">
        <v>29</v>
      </c>
      <c r="V139" s="58">
        <v>1</v>
      </c>
      <c r="W139" s="58">
        <v>1039060</v>
      </c>
      <c r="X139" s="78">
        <v>13</v>
      </c>
      <c r="Y139" s="58">
        <v>24</v>
      </c>
      <c r="Z139" s="61" t="s">
        <v>29</v>
      </c>
      <c r="AA139" s="62">
        <f t="shared" si="10"/>
        <v>0.54166666666666663</v>
      </c>
      <c r="AB139" s="91">
        <f t="shared" si="8"/>
        <v>0</v>
      </c>
      <c r="AC139" s="91">
        <f>IFERROR(Table16[[#This Row],[Quantity Needed for repair]]*Table16[[#This Row],[Evaluated]],"")</f>
        <v>0</v>
      </c>
    </row>
    <row r="140" spans="1:29" x14ac:dyDescent="0.35">
      <c r="A140" s="89" t="s">
        <v>495</v>
      </c>
      <c r="B140" s="90">
        <v>13079333</v>
      </c>
      <c r="C140" s="95">
        <v>0</v>
      </c>
      <c r="D140" s="64"/>
      <c r="E140" s="64">
        <v>3</v>
      </c>
      <c r="F140" s="56" t="s">
        <v>391</v>
      </c>
      <c r="G140" s="56">
        <v>13149235</v>
      </c>
      <c r="H140" s="56" t="s">
        <v>313</v>
      </c>
      <c r="I140" s="56" t="s">
        <v>273</v>
      </c>
      <c r="J140" s="56" t="s">
        <v>29</v>
      </c>
      <c r="K140" s="56">
        <v>1083564</v>
      </c>
      <c r="L140" s="65">
        <v>44473</v>
      </c>
      <c r="M140" s="56" t="s">
        <v>352</v>
      </c>
      <c r="N140" s="56" t="s">
        <v>29</v>
      </c>
      <c r="O140" s="56" t="s">
        <v>29</v>
      </c>
      <c r="P140" s="56" t="s">
        <v>29</v>
      </c>
      <c r="Q140" s="66" t="str">
        <f t="shared" si="9"/>
        <v/>
      </c>
      <c r="R140" s="56" t="s">
        <v>29</v>
      </c>
      <c r="S140" s="56" t="s">
        <v>29</v>
      </c>
      <c r="T140" s="56" t="s">
        <v>29</v>
      </c>
      <c r="U140" s="56" t="s">
        <v>29</v>
      </c>
      <c r="V140" s="56">
        <v>2</v>
      </c>
      <c r="W140" s="56">
        <v>1014939</v>
      </c>
      <c r="X140" s="79">
        <v>2</v>
      </c>
      <c r="Y140" s="56">
        <v>23</v>
      </c>
      <c r="Z140" s="67" t="s">
        <v>29</v>
      </c>
      <c r="AA140" s="68">
        <f t="shared" si="10"/>
        <v>8.6956521739130432E-2</v>
      </c>
      <c r="AB140" s="92">
        <f t="shared" si="8"/>
        <v>0</v>
      </c>
      <c r="AC140" s="92">
        <f>IFERROR(Table16[[#This Row],[Quantity Needed for repair]]*Table16[[#This Row],[Evaluated]],"")</f>
        <v>0</v>
      </c>
    </row>
    <row r="141" spans="1:29" x14ac:dyDescent="0.35">
      <c r="A141" s="89" t="s">
        <v>496</v>
      </c>
      <c r="B141" s="90">
        <v>13080024</v>
      </c>
      <c r="C141" s="95"/>
      <c r="D141" s="64"/>
      <c r="E141" s="64">
        <v>3</v>
      </c>
      <c r="F141" s="56" t="s">
        <v>391</v>
      </c>
      <c r="G141" s="56">
        <v>13149235</v>
      </c>
      <c r="H141" s="56" t="s">
        <v>313</v>
      </c>
      <c r="I141" s="56" t="s">
        <v>273</v>
      </c>
      <c r="J141" s="56" t="s">
        <v>29</v>
      </c>
      <c r="K141" s="56">
        <v>1083564</v>
      </c>
      <c r="L141" s="65">
        <v>44473</v>
      </c>
      <c r="M141" s="56" t="s">
        <v>352</v>
      </c>
      <c r="N141" s="56" t="s">
        <v>29</v>
      </c>
      <c r="O141" s="56" t="s">
        <v>29</v>
      </c>
      <c r="P141" s="56" t="s">
        <v>29</v>
      </c>
      <c r="Q141" s="66" t="str">
        <f t="shared" si="9"/>
        <v/>
      </c>
      <c r="R141" s="56" t="s">
        <v>29</v>
      </c>
      <c r="S141" s="56" t="s">
        <v>29</v>
      </c>
      <c r="T141" s="56" t="s">
        <v>29</v>
      </c>
      <c r="U141" s="56" t="s">
        <v>29</v>
      </c>
      <c r="V141" s="56">
        <v>3</v>
      </c>
      <c r="W141" s="56">
        <v>1014941</v>
      </c>
      <c r="X141" s="79" t="s">
        <v>29</v>
      </c>
      <c r="Y141" s="56">
        <v>9</v>
      </c>
      <c r="Z141" s="67" t="s">
        <v>29</v>
      </c>
      <c r="AA141" s="68" t="str">
        <f t="shared" si="10"/>
        <v/>
      </c>
      <c r="AB141" s="92">
        <f t="shared" si="8"/>
        <v>0</v>
      </c>
      <c r="AC141" s="92" t="str">
        <f>IFERROR(Table16[[#This Row],[Quantity Needed for repair]]*Table16[[#This Row],[Evaluated]],"")</f>
        <v/>
      </c>
    </row>
    <row r="142" spans="1:29" ht="15" thickBot="1" x14ac:dyDescent="0.4">
      <c r="A142" s="89" t="s">
        <v>497</v>
      </c>
      <c r="B142" s="90">
        <v>12826265</v>
      </c>
      <c r="C142" s="95"/>
      <c r="D142" s="64"/>
      <c r="E142" s="69">
        <v>3</v>
      </c>
      <c r="F142" s="70" t="s">
        <v>391</v>
      </c>
      <c r="G142" s="70">
        <v>13149235</v>
      </c>
      <c r="H142" s="70" t="s">
        <v>313</v>
      </c>
      <c r="I142" s="70" t="s">
        <v>273</v>
      </c>
      <c r="J142" s="70" t="s">
        <v>29</v>
      </c>
      <c r="K142" s="70">
        <v>1083564</v>
      </c>
      <c r="L142" s="71">
        <v>44473</v>
      </c>
      <c r="M142" s="70" t="s">
        <v>352</v>
      </c>
      <c r="N142" s="70" t="s">
        <v>29</v>
      </c>
      <c r="O142" s="70" t="s">
        <v>29</v>
      </c>
      <c r="P142" s="70" t="s">
        <v>29</v>
      </c>
      <c r="Q142" s="72" t="str">
        <f t="shared" si="9"/>
        <v/>
      </c>
      <c r="R142" s="70" t="s">
        <v>29</v>
      </c>
      <c r="S142" s="70" t="s">
        <v>29</v>
      </c>
      <c r="T142" s="70" t="s">
        <v>29</v>
      </c>
      <c r="U142" s="70" t="s">
        <v>29</v>
      </c>
      <c r="V142" s="70">
        <v>4</v>
      </c>
      <c r="W142" s="70">
        <v>418525</v>
      </c>
      <c r="X142" s="80">
        <v>6</v>
      </c>
      <c r="Y142" s="70">
        <v>6</v>
      </c>
      <c r="Z142" s="73" t="s">
        <v>29</v>
      </c>
      <c r="AA142" s="74">
        <f t="shared" si="10"/>
        <v>1</v>
      </c>
      <c r="AB142" s="93">
        <f t="shared" si="8"/>
        <v>0</v>
      </c>
      <c r="AC142" s="93">
        <f>IFERROR(Table16[[#This Row],[Quantity Needed for repair]]*Table16[[#This Row],[Evaluated]],"")</f>
        <v>0</v>
      </c>
    </row>
    <row r="143" spans="1:29" x14ac:dyDescent="0.35">
      <c r="A143" s="89" t="s">
        <v>498</v>
      </c>
      <c r="B143" s="90">
        <v>12830123</v>
      </c>
      <c r="C143" s="95">
        <v>0</v>
      </c>
      <c r="D143" s="64"/>
      <c r="E143" s="57">
        <v>3</v>
      </c>
      <c r="F143" s="58" t="s">
        <v>392</v>
      </c>
      <c r="G143" s="58">
        <v>13243098</v>
      </c>
      <c r="H143" s="58" t="s">
        <v>313</v>
      </c>
      <c r="I143" s="58" t="s">
        <v>351</v>
      </c>
      <c r="J143" s="58" t="s">
        <v>29</v>
      </c>
      <c r="K143" s="58">
        <v>882281</v>
      </c>
      <c r="L143" s="59">
        <v>44473</v>
      </c>
      <c r="M143" s="58" t="s">
        <v>352</v>
      </c>
      <c r="N143" s="58" t="s">
        <v>29</v>
      </c>
      <c r="O143" s="58" t="s">
        <v>29</v>
      </c>
      <c r="P143" s="58" t="s">
        <v>29</v>
      </c>
      <c r="Q143" s="60" t="str">
        <f t="shared" si="9"/>
        <v/>
      </c>
      <c r="R143" s="58" t="s">
        <v>29</v>
      </c>
      <c r="S143" s="58" t="s">
        <v>29</v>
      </c>
      <c r="T143" s="58" t="s">
        <v>29</v>
      </c>
      <c r="U143" s="58" t="s">
        <v>29</v>
      </c>
      <c r="V143" s="58">
        <v>1</v>
      </c>
      <c r="W143" s="58">
        <v>1130198</v>
      </c>
      <c r="X143" s="81"/>
      <c r="Y143" s="58">
        <v>33</v>
      </c>
      <c r="Z143" s="61" t="s">
        <v>29</v>
      </c>
      <c r="AA143" s="62">
        <f t="shared" si="10"/>
        <v>0</v>
      </c>
      <c r="AB143" s="91">
        <f t="shared" si="8"/>
        <v>0</v>
      </c>
      <c r="AC143" s="91">
        <f>IFERROR(Table16[[#This Row],[Quantity Needed for repair]]*Table16[[#This Row],[Evaluated]],"")</f>
        <v>0</v>
      </c>
    </row>
    <row r="144" spans="1:29" x14ac:dyDescent="0.35">
      <c r="A144" s="89" t="s">
        <v>499</v>
      </c>
      <c r="B144" s="90">
        <v>12991812</v>
      </c>
      <c r="C144" s="95"/>
      <c r="D144" s="64"/>
      <c r="E144" s="64">
        <v>3</v>
      </c>
      <c r="F144" s="56" t="s">
        <v>392</v>
      </c>
      <c r="G144" s="56">
        <v>13243098</v>
      </c>
      <c r="H144" s="56" t="s">
        <v>313</v>
      </c>
      <c r="I144" s="56" t="s">
        <v>351</v>
      </c>
      <c r="J144" s="56" t="s">
        <v>29</v>
      </c>
      <c r="K144" s="56">
        <v>882281</v>
      </c>
      <c r="L144" s="65">
        <v>44473</v>
      </c>
      <c r="M144" s="56" t="s">
        <v>352</v>
      </c>
      <c r="N144" s="56" t="s">
        <v>29</v>
      </c>
      <c r="O144" s="56" t="s">
        <v>29</v>
      </c>
      <c r="P144" s="56" t="s">
        <v>29</v>
      </c>
      <c r="Q144" s="66" t="str">
        <f t="shared" si="9"/>
        <v/>
      </c>
      <c r="R144" s="56" t="s">
        <v>29</v>
      </c>
      <c r="S144" s="56" t="s">
        <v>29</v>
      </c>
      <c r="T144" s="56" t="s">
        <v>29</v>
      </c>
      <c r="U144" s="56" t="s">
        <v>29</v>
      </c>
      <c r="V144" s="56">
        <v>2</v>
      </c>
      <c r="W144" s="56">
        <v>1130197</v>
      </c>
      <c r="X144" s="82"/>
      <c r="Y144" s="56">
        <v>23</v>
      </c>
      <c r="Z144" s="67" t="s">
        <v>29</v>
      </c>
      <c r="AA144" s="68">
        <f t="shared" si="10"/>
        <v>0</v>
      </c>
      <c r="AB144" s="92">
        <f t="shared" si="8"/>
        <v>0</v>
      </c>
      <c r="AC144" s="92">
        <f>IFERROR(Table16[[#This Row],[Quantity Needed for repair]]*Table16[[#This Row],[Evaluated]],"")</f>
        <v>0</v>
      </c>
    </row>
    <row r="145" spans="1:29" ht="15" thickBot="1" x14ac:dyDescent="0.4">
      <c r="A145" s="89" t="s">
        <v>500</v>
      </c>
      <c r="B145" s="90">
        <v>13079331</v>
      </c>
      <c r="C145" s="95">
        <v>0</v>
      </c>
      <c r="D145" s="64"/>
      <c r="E145" s="69">
        <v>3</v>
      </c>
      <c r="F145" s="70" t="s">
        <v>392</v>
      </c>
      <c r="G145" s="70">
        <v>13243098</v>
      </c>
      <c r="H145" s="70" t="s">
        <v>313</v>
      </c>
      <c r="I145" s="70" t="s">
        <v>351</v>
      </c>
      <c r="J145" s="70" t="s">
        <v>29</v>
      </c>
      <c r="K145" s="70">
        <v>882281</v>
      </c>
      <c r="L145" s="71">
        <v>44473</v>
      </c>
      <c r="M145" s="70" t="s">
        <v>352</v>
      </c>
      <c r="N145" s="70" t="s">
        <v>29</v>
      </c>
      <c r="O145" s="70" t="s">
        <v>29</v>
      </c>
      <c r="P145" s="70" t="s">
        <v>29</v>
      </c>
      <c r="Q145" s="72" t="str">
        <f t="shared" si="9"/>
        <v/>
      </c>
      <c r="R145" s="70" t="s">
        <v>29</v>
      </c>
      <c r="S145" s="70" t="s">
        <v>29</v>
      </c>
      <c r="T145" s="70" t="s">
        <v>29</v>
      </c>
      <c r="U145" s="70" t="s">
        <v>29</v>
      </c>
      <c r="V145" s="70">
        <v>3</v>
      </c>
      <c r="W145" s="70">
        <v>418525</v>
      </c>
      <c r="X145" s="83"/>
      <c r="Y145" s="70">
        <v>12</v>
      </c>
      <c r="Z145" s="73" t="s">
        <v>29</v>
      </c>
      <c r="AA145" s="74">
        <f t="shared" si="10"/>
        <v>0</v>
      </c>
      <c r="AB145" s="93">
        <f t="shared" si="8"/>
        <v>0</v>
      </c>
      <c r="AC145" s="93">
        <f>IFERROR(Table16[[#This Row],[Quantity Needed for repair]]*Table16[[#This Row],[Evaluated]],"")</f>
        <v>0</v>
      </c>
    </row>
    <row r="146" spans="1:29" x14ac:dyDescent="0.35">
      <c r="A146" s="89" t="s">
        <v>501</v>
      </c>
      <c r="B146" s="90">
        <v>13080023</v>
      </c>
      <c r="C146" s="95">
        <v>0</v>
      </c>
      <c r="D146" s="64"/>
      <c r="E146" s="57">
        <v>3</v>
      </c>
      <c r="F146" s="58" t="s">
        <v>393</v>
      </c>
      <c r="G146" s="58">
        <v>13034644</v>
      </c>
      <c r="H146" s="58" t="s">
        <v>313</v>
      </c>
      <c r="I146" s="58" t="s">
        <v>351</v>
      </c>
      <c r="J146" s="58" t="s">
        <v>29</v>
      </c>
      <c r="K146" s="58">
        <v>1005293</v>
      </c>
      <c r="L146" s="59">
        <v>44473</v>
      </c>
      <c r="M146" s="58" t="s">
        <v>352</v>
      </c>
      <c r="N146" s="58" t="s">
        <v>29</v>
      </c>
      <c r="O146" s="58" t="s">
        <v>29</v>
      </c>
      <c r="P146" s="58" t="s">
        <v>29</v>
      </c>
      <c r="Q146" s="60" t="str">
        <f t="shared" si="9"/>
        <v/>
      </c>
      <c r="R146" s="58" t="s">
        <v>29</v>
      </c>
      <c r="S146" s="58" t="s">
        <v>29</v>
      </c>
      <c r="T146" s="58" t="s">
        <v>29</v>
      </c>
      <c r="U146" s="58" t="s">
        <v>29</v>
      </c>
      <c r="V146" s="58">
        <v>1</v>
      </c>
      <c r="W146" s="58">
        <v>1130198</v>
      </c>
      <c r="X146" s="78"/>
      <c r="Y146" s="58">
        <v>33</v>
      </c>
      <c r="Z146" s="61" t="s">
        <v>29</v>
      </c>
      <c r="AA146" s="62">
        <f t="shared" si="10"/>
        <v>0</v>
      </c>
      <c r="AB146" s="91">
        <f t="shared" si="8"/>
        <v>0</v>
      </c>
      <c r="AC146" s="91">
        <f>IFERROR(Table16[[#This Row],[Quantity Needed for repair]]*Table16[[#This Row],[Evaluated]],"")</f>
        <v>0</v>
      </c>
    </row>
    <row r="147" spans="1:29" x14ac:dyDescent="0.35">
      <c r="A147" s="89" t="s">
        <v>502</v>
      </c>
      <c r="B147" s="90">
        <v>13082604</v>
      </c>
      <c r="C147" s="95">
        <v>0</v>
      </c>
      <c r="D147" s="64"/>
      <c r="E147" s="64">
        <v>3</v>
      </c>
      <c r="F147" s="56" t="s">
        <v>393</v>
      </c>
      <c r="G147" s="56">
        <v>13034644</v>
      </c>
      <c r="H147" s="56" t="s">
        <v>313</v>
      </c>
      <c r="I147" s="56" t="s">
        <v>351</v>
      </c>
      <c r="J147" s="56" t="s">
        <v>29</v>
      </c>
      <c r="K147" s="56">
        <v>1005293</v>
      </c>
      <c r="L147" s="65">
        <v>44473</v>
      </c>
      <c r="M147" s="56" t="s">
        <v>352</v>
      </c>
      <c r="N147" s="56" t="s">
        <v>29</v>
      </c>
      <c r="O147" s="56" t="s">
        <v>29</v>
      </c>
      <c r="P147" s="56" t="s">
        <v>29</v>
      </c>
      <c r="Q147" s="66" t="str">
        <f t="shared" si="9"/>
        <v/>
      </c>
      <c r="R147" s="56" t="s">
        <v>29</v>
      </c>
      <c r="S147" s="56" t="s">
        <v>29</v>
      </c>
      <c r="T147" s="56" t="s">
        <v>29</v>
      </c>
      <c r="U147" s="56" t="s">
        <v>29</v>
      </c>
      <c r="V147" s="56">
        <v>2</v>
      </c>
      <c r="W147" s="56">
        <v>647435</v>
      </c>
      <c r="X147" s="79"/>
      <c r="Y147" s="56">
        <v>23</v>
      </c>
      <c r="Z147" s="67" t="s">
        <v>29</v>
      </c>
      <c r="AA147" s="68">
        <f t="shared" si="10"/>
        <v>0</v>
      </c>
      <c r="AB147" s="92">
        <f t="shared" si="8"/>
        <v>0</v>
      </c>
      <c r="AC147" s="92">
        <f>IFERROR(Table16[[#This Row],[Quantity Needed for repair]]*Table16[[#This Row],[Evaluated]],"")</f>
        <v>0</v>
      </c>
    </row>
    <row r="148" spans="1:29" ht="15" thickBot="1" x14ac:dyDescent="0.4">
      <c r="A148" s="89" t="s">
        <v>503</v>
      </c>
      <c r="B148" s="90">
        <v>13094651</v>
      </c>
      <c r="C148" s="95">
        <v>0</v>
      </c>
      <c r="D148" s="64"/>
      <c r="E148" s="69">
        <v>3</v>
      </c>
      <c r="F148" s="70" t="s">
        <v>393</v>
      </c>
      <c r="G148" s="70">
        <v>13034644</v>
      </c>
      <c r="H148" s="70" t="s">
        <v>313</v>
      </c>
      <c r="I148" s="70" t="s">
        <v>351</v>
      </c>
      <c r="J148" s="70" t="s">
        <v>29</v>
      </c>
      <c r="K148" s="70">
        <v>1005293</v>
      </c>
      <c r="L148" s="71">
        <v>44473</v>
      </c>
      <c r="M148" s="70" t="s">
        <v>352</v>
      </c>
      <c r="N148" s="70" t="s">
        <v>29</v>
      </c>
      <c r="O148" s="70" t="s">
        <v>29</v>
      </c>
      <c r="P148" s="70" t="s">
        <v>29</v>
      </c>
      <c r="Q148" s="72" t="str">
        <f t="shared" si="9"/>
        <v/>
      </c>
      <c r="R148" s="70" t="s">
        <v>29</v>
      </c>
      <c r="S148" s="70" t="s">
        <v>29</v>
      </c>
      <c r="T148" s="70" t="s">
        <v>29</v>
      </c>
      <c r="U148" s="70" t="s">
        <v>29</v>
      </c>
      <c r="V148" s="70">
        <v>3</v>
      </c>
      <c r="W148" s="70">
        <v>418525</v>
      </c>
      <c r="X148" s="80"/>
      <c r="Y148" s="70">
        <v>6</v>
      </c>
      <c r="Z148" s="73" t="s">
        <v>29</v>
      </c>
      <c r="AA148" s="74">
        <f t="shared" si="10"/>
        <v>0</v>
      </c>
      <c r="AB148" s="93">
        <f t="shared" si="8"/>
        <v>0</v>
      </c>
      <c r="AC148" s="93">
        <f>IFERROR(Table16[[#This Row],[Quantity Needed for repair]]*Table16[[#This Row],[Evaluated]],"")</f>
        <v>0</v>
      </c>
    </row>
    <row r="149" spans="1:29" x14ac:dyDescent="0.35">
      <c r="A149" s="89" t="s">
        <v>504</v>
      </c>
      <c r="B149" s="90">
        <v>13094648</v>
      </c>
      <c r="C149" s="95">
        <v>0</v>
      </c>
      <c r="D149" s="64"/>
      <c r="E149" s="57">
        <v>3</v>
      </c>
      <c r="F149" s="58" t="s">
        <v>394</v>
      </c>
      <c r="G149" s="58">
        <v>13082603</v>
      </c>
      <c r="H149" s="58" t="s">
        <v>313</v>
      </c>
      <c r="I149" s="58" t="s">
        <v>351</v>
      </c>
      <c r="J149" s="58" t="s">
        <v>29</v>
      </c>
      <c r="K149" s="58">
        <v>882281</v>
      </c>
      <c r="L149" s="59">
        <v>44473</v>
      </c>
      <c r="M149" s="58" t="s">
        <v>352</v>
      </c>
      <c r="N149" s="58" t="s">
        <v>29</v>
      </c>
      <c r="O149" s="58" t="s">
        <v>29</v>
      </c>
      <c r="P149" s="58" t="s">
        <v>29</v>
      </c>
      <c r="Q149" s="60" t="str">
        <f t="shared" si="9"/>
        <v/>
      </c>
      <c r="R149" s="58" t="s">
        <v>29</v>
      </c>
      <c r="S149" s="58" t="s">
        <v>29</v>
      </c>
      <c r="T149" s="58" t="s">
        <v>29</v>
      </c>
      <c r="U149" s="58" t="s">
        <v>29</v>
      </c>
      <c r="V149" s="58">
        <v>1</v>
      </c>
      <c r="W149" s="58">
        <v>1130198</v>
      </c>
      <c r="X149" s="78" t="s">
        <v>29</v>
      </c>
      <c r="Y149" s="58">
        <v>33</v>
      </c>
      <c r="Z149" s="61" t="s">
        <v>29</v>
      </c>
      <c r="AA149" s="62" t="str">
        <f t="shared" si="10"/>
        <v/>
      </c>
      <c r="AB149" s="91">
        <f t="shared" si="8"/>
        <v>0</v>
      </c>
      <c r="AC149" s="91" t="str">
        <f>IFERROR(Table16[[#This Row],[Quantity Needed for repair]]*Table16[[#This Row],[Evaluated]],"")</f>
        <v/>
      </c>
    </row>
    <row r="150" spans="1:29" x14ac:dyDescent="0.35">
      <c r="A150" s="89" t="s">
        <v>505</v>
      </c>
      <c r="B150" s="90">
        <v>13111866</v>
      </c>
      <c r="C150" s="95">
        <v>0</v>
      </c>
      <c r="D150" s="64"/>
      <c r="E150" s="64">
        <v>3</v>
      </c>
      <c r="F150" s="56" t="s">
        <v>394</v>
      </c>
      <c r="G150" s="56">
        <v>13082603</v>
      </c>
      <c r="H150" s="56" t="s">
        <v>313</v>
      </c>
      <c r="I150" s="56" t="s">
        <v>351</v>
      </c>
      <c r="J150" s="56" t="s">
        <v>29</v>
      </c>
      <c r="K150" s="56">
        <v>882281</v>
      </c>
      <c r="L150" s="65">
        <v>44473</v>
      </c>
      <c r="M150" s="56" t="s">
        <v>352</v>
      </c>
      <c r="N150" s="56" t="s">
        <v>29</v>
      </c>
      <c r="O150" s="56" t="s">
        <v>29</v>
      </c>
      <c r="P150" s="56" t="s">
        <v>29</v>
      </c>
      <c r="Q150" s="66" t="str">
        <f t="shared" si="9"/>
        <v/>
      </c>
      <c r="R150" s="56" t="s">
        <v>29</v>
      </c>
      <c r="S150" s="56" t="s">
        <v>29</v>
      </c>
      <c r="T150" s="56" t="s">
        <v>29</v>
      </c>
      <c r="U150" s="56" t="s">
        <v>29</v>
      </c>
      <c r="V150" s="56">
        <v>2</v>
      </c>
      <c r="W150" s="56">
        <v>1130197</v>
      </c>
      <c r="X150" s="79">
        <v>1</v>
      </c>
      <c r="Y150" s="56">
        <v>23</v>
      </c>
      <c r="Z150" s="67" t="s">
        <v>29</v>
      </c>
      <c r="AA150" s="68">
        <f t="shared" si="10"/>
        <v>4.3478260869565216E-2</v>
      </c>
      <c r="AB150" s="92">
        <f t="shared" si="8"/>
        <v>0</v>
      </c>
      <c r="AC150" s="92">
        <f>IFERROR(Table16[[#This Row],[Quantity Needed for repair]]*Table16[[#This Row],[Evaluated]],"")</f>
        <v>0</v>
      </c>
    </row>
    <row r="151" spans="1:29" ht="15" thickBot="1" x14ac:dyDescent="0.4">
      <c r="A151" s="89" t="s">
        <v>506</v>
      </c>
      <c r="B151" s="90">
        <v>13111897</v>
      </c>
      <c r="C151" s="95">
        <v>0</v>
      </c>
      <c r="D151" s="64"/>
      <c r="E151" s="69">
        <v>3</v>
      </c>
      <c r="F151" s="70" t="s">
        <v>394</v>
      </c>
      <c r="G151" s="70">
        <v>13082603</v>
      </c>
      <c r="H151" s="70" t="s">
        <v>313</v>
      </c>
      <c r="I151" s="70" t="s">
        <v>351</v>
      </c>
      <c r="J151" s="70" t="s">
        <v>29</v>
      </c>
      <c r="K151" s="70">
        <v>882281</v>
      </c>
      <c r="L151" s="71">
        <v>44473</v>
      </c>
      <c r="M151" s="70" t="s">
        <v>352</v>
      </c>
      <c r="N151" s="70" t="s">
        <v>29</v>
      </c>
      <c r="O151" s="70" t="s">
        <v>29</v>
      </c>
      <c r="P151" s="70" t="s">
        <v>29</v>
      </c>
      <c r="Q151" s="72" t="str">
        <f t="shared" si="9"/>
        <v/>
      </c>
      <c r="R151" s="70" t="s">
        <v>29</v>
      </c>
      <c r="S151" s="70" t="s">
        <v>29</v>
      </c>
      <c r="T151" s="70" t="s">
        <v>29</v>
      </c>
      <c r="U151" s="70" t="s">
        <v>29</v>
      </c>
      <c r="V151" s="70">
        <v>3</v>
      </c>
      <c r="W151" s="70">
        <v>418525</v>
      </c>
      <c r="X151" s="80">
        <v>12</v>
      </c>
      <c r="Y151" s="70">
        <v>12</v>
      </c>
      <c r="Z151" s="73" t="s">
        <v>29</v>
      </c>
      <c r="AA151" s="74">
        <f t="shared" si="10"/>
        <v>1</v>
      </c>
      <c r="AB151" s="93">
        <f t="shared" si="8"/>
        <v>0</v>
      </c>
      <c r="AC151" s="93">
        <f>IFERROR(Table16[[#This Row],[Quantity Needed for repair]]*Table16[[#This Row],[Evaluated]],"")</f>
        <v>0</v>
      </c>
    </row>
    <row r="152" spans="1:29" x14ac:dyDescent="0.35">
      <c r="A152" s="89" t="s">
        <v>507</v>
      </c>
      <c r="B152" s="90">
        <v>13131341</v>
      </c>
      <c r="C152" s="95">
        <v>0</v>
      </c>
      <c r="D152" s="64"/>
      <c r="E152" s="57">
        <v>3</v>
      </c>
      <c r="F152" s="58" t="s">
        <v>395</v>
      </c>
      <c r="G152" s="58">
        <v>13172294</v>
      </c>
      <c r="H152" s="58" t="s">
        <v>313</v>
      </c>
      <c r="I152" s="58" t="s">
        <v>351</v>
      </c>
      <c r="J152" s="58" t="s">
        <v>29</v>
      </c>
      <c r="K152" s="58">
        <v>882281</v>
      </c>
      <c r="L152" s="59">
        <v>44473</v>
      </c>
      <c r="M152" s="58" t="s">
        <v>352</v>
      </c>
      <c r="N152" s="58" t="s">
        <v>29</v>
      </c>
      <c r="O152" s="58" t="s">
        <v>29</v>
      </c>
      <c r="P152" s="58" t="s">
        <v>29</v>
      </c>
      <c r="Q152" s="60" t="str">
        <f t="shared" si="9"/>
        <v/>
      </c>
      <c r="R152" s="58" t="s">
        <v>29</v>
      </c>
      <c r="S152" s="58" t="s">
        <v>29</v>
      </c>
      <c r="T152" s="58" t="s">
        <v>29</v>
      </c>
      <c r="U152" s="58" t="s">
        <v>29</v>
      </c>
      <c r="V152" s="58">
        <v>1</v>
      </c>
      <c r="W152" s="58">
        <v>1130198</v>
      </c>
      <c r="X152" s="81"/>
      <c r="Y152" s="58">
        <v>33</v>
      </c>
      <c r="Z152" s="61" t="s">
        <v>29</v>
      </c>
      <c r="AA152" s="62">
        <f t="shared" si="10"/>
        <v>0</v>
      </c>
      <c r="AB152" s="91">
        <f t="shared" si="8"/>
        <v>0</v>
      </c>
      <c r="AC152" s="91">
        <f>IFERROR(Table16[[#This Row],[Quantity Needed for repair]]*Table16[[#This Row],[Evaluated]],"")</f>
        <v>0</v>
      </c>
    </row>
    <row r="153" spans="1:29" x14ac:dyDescent="0.35">
      <c r="A153" s="89" t="s">
        <v>508</v>
      </c>
      <c r="B153" s="90">
        <v>13172292</v>
      </c>
      <c r="C153" s="95"/>
      <c r="D153" s="64"/>
      <c r="E153" s="64">
        <v>3</v>
      </c>
      <c r="F153" s="56" t="s">
        <v>395</v>
      </c>
      <c r="G153" s="56">
        <v>13172294</v>
      </c>
      <c r="H153" s="56" t="s">
        <v>313</v>
      </c>
      <c r="I153" s="56" t="s">
        <v>351</v>
      </c>
      <c r="J153" s="56" t="s">
        <v>29</v>
      </c>
      <c r="K153" s="56">
        <v>882281</v>
      </c>
      <c r="L153" s="65">
        <v>44473</v>
      </c>
      <c r="M153" s="56" t="s">
        <v>352</v>
      </c>
      <c r="N153" s="56" t="s">
        <v>29</v>
      </c>
      <c r="O153" s="56" t="s">
        <v>29</v>
      </c>
      <c r="P153" s="56" t="s">
        <v>29</v>
      </c>
      <c r="Q153" s="66" t="str">
        <f t="shared" si="9"/>
        <v/>
      </c>
      <c r="R153" s="56" t="s">
        <v>29</v>
      </c>
      <c r="S153" s="56" t="s">
        <v>29</v>
      </c>
      <c r="T153" s="56" t="s">
        <v>29</v>
      </c>
      <c r="U153" s="56" t="s">
        <v>29</v>
      </c>
      <c r="V153" s="56">
        <v>2</v>
      </c>
      <c r="W153" s="56">
        <v>1130197</v>
      </c>
      <c r="X153" s="82"/>
      <c r="Y153" s="56">
        <v>23</v>
      </c>
      <c r="Z153" s="67" t="s">
        <v>29</v>
      </c>
      <c r="AA153" s="68">
        <f t="shared" si="10"/>
        <v>0</v>
      </c>
      <c r="AB153" s="92">
        <f t="shared" si="8"/>
        <v>0</v>
      </c>
      <c r="AC153" s="92">
        <f>IFERROR(Table16[[#This Row],[Quantity Needed for repair]]*Table16[[#This Row],[Evaluated]],"")</f>
        <v>0</v>
      </c>
    </row>
    <row r="154" spans="1:29" ht="15" thickBot="1" x14ac:dyDescent="0.4">
      <c r="A154" s="89" t="s">
        <v>509</v>
      </c>
      <c r="B154" s="90">
        <v>13075174</v>
      </c>
      <c r="C154" s="95">
        <v>0</v>
      </c>
      <c r="D154" s="64"/>
      <c r="E154" s="69">
        <v>3</v>
      </c>
      <c r="F154" s="70" t="s">
        <v>395</v>
      </c>
      <c r="G154" s="70">
        <v>13172294</v>
      </c>
      <c r="H154" s="70" t="s">
        <v>313</v>
      </c>
      <c r="I154" s="70" t="s">
        <v>351</v>
      </c>
      <c r="J154" s="70" t="s">
        <v>29</v>
      </c>
      <c r="K154" s="70">
        <v>882281</v>
      </c>
      <c r="L154" s="71">
        <v>44473</v>
      </c>
      <c r="M154" s="70" t="s">
        <v>352</v>
      </c>
      <c r="N154" s="70" t="s">
        <v>29</v>
      </c>
      <c r="O154" s="70" t="s">
        <v>29</v>
      </c>
      <c r="P154" s="70" t="s">
        <v>29</v>
      </c>
      <c r="Q154" s="72" t="str">
        <f t="shared" si="9"/>
        <v/>
      </c>
      <c r="R154" s="70" t="s">
        <v>29</v>
      </c>
      <c r="S154" s="70" t="s">
        <v>29</v>
      </c>
      <c r="T154" s="70" t="s">
        <v>29</v>
      </c>
      <c r="U154" s="70" t="s">
        <v>29</v>
      </c>
      <c r="V154" s="70">
        <v>3</v>
      </c>
      <c r="W154" s="70">
        <v>418525</v>
      </c>
      <c r="X154" s="83"/>
      <c r="Y154" s="70">
        <v>12</v>
      </c>
      <c r="Z154" s="73" t="s">
        <v>29</v>
      </c>
      <c r="AA154" s="74">
        <f t="shared" si="10"/>
        <v>0</v>
      </c>
      <c r="AB154" s="93">
        <f t="shared" si="8"/>
        <v>0</v>
      </c>
      <c r="AC154" s="93">
        <f>IFERROR(Table16[[#This Row],[Quantity Needed for repair]]*Table16[[#This Row],[Evaluated]],"")</f>
        <v>0</v>
      </c>
    </row>
    <row r="155" spans="1:29" x14ac:dyDescent="0.35">
      <c r="A155" s="105" t="s">
        <v>510</v>
      </c>
      <c r="B155" s="106">
        <v>13172302</v>
      </c>
      <c r="C155" s="104">
        <v>0</v>
      </c>
      <c r="D155" s="64"/>
      <c r="E155" s="57">
        <v>3</v>
      </c>
      <c r="F155" s="58" t="s">
        <v>396</v>
      </c>
      <c r="G155" s="58">
        <v>13206943</v>
      </c>
      <c r="H155" s="58" t="s">
        <v>313</v>
      </c>
      <c r="I155" s="58" t="s">
        <v>351</v>
      </c>
      <c r="J155" s="58" t="s">
        <v>29</v>
      </c>
      <c r="K155" s="58">
        <v>1080537</v>
      </c>
      <c r="L155" s="59">
        <v>44473</v>
      </c>
      <c r="M155" s="58" t="s">
        <v>352</v>
      </c>
      <c r="N155" s="58" t="s">
        <v>29</v>
      </c>
      <c r="O155" s="58" t="s">
        <v>29</v>
      </c>
      <c r="P155" s="58" t="s">
        <v>29</v>
      </c>
      <c r="Q155" s="60" t="str">
        <f t="shared" si="9"/>
        <v/>
      </c>
      <c r="R155" s="58" t="s">
        <v>29</v>
      </c>
      <c r="S155" s="58" t="s">
        <v>29</v>
      </c>
      <c r="T155" s="58" t="s">
        <v>29</v>
      </c>
      <c r="U155" s="58" t="s">
        <v>29</v>
      </c>
      <c r="V155" s="58">
        <v>1</v>
      </c>
      <c r="W155" s="58">
        <v>1130198</v>
      </c>
      <c r="X155" s="81">
        <v>19</v>
      </c>
      <c r="Y155" s="58">
        <v>33</v>
      </c>
      <c r="Z155" s="61" t="s">
        <v>29</v>
      </c>
      <c r="AA155" s="62">
        <f t="shared" si="10"/>
        <v>0.5757575757575758</v>
      </c>
      <c r="AB155" s="91">
        <f t="shared" si="8"/>
        <v>0</v>
      </c>
      <c r="AC155" s="91">
        <f>IFERROR(Table16[[#This Row],[Quantity Needed for repair]]*Table16[[#This Row],[Evaluated]],"")</f>
        <v>0</v>
      </c>
    </row>
    <row r="156" spans="1:29" x14ac:dyDescent="0.35">
      <c r="A156"/>
      <c r="B156"/>
      <c r="C156"/>
      <c r="D156"/>
      <c r="E156" s="64">
        <v>3</v>
      </c>
      <c r="F156" s="56" t="s">
        <v>396</v>
      </c>
      <c r="G156" s="56">
        <v>13206943</v>
      </c>
      <c r="H156" s="56" t="s">
        <v>313</v>
      </c>
      <c r="I156" s="56" t="s">
        <v>351</v>
      </c>
      <c r="J156" s="56" t="s">
        <v>29</v>
      </c>
      <c r="K156" s="56">
        <v>1080537</v>
      </c>
      <c r="L156" s="65">
        <v>44473</v>
      </c>
      <c r="M156" s="56" t="s">
        <v>352</v>
      </c>
      <c r="N156" s="56" t="s">
        <v>29</v>
      </c>
      <c r="O156" s="56" t="s">
        <v>29</v>
      </c>
      <c r="P156" s="56" t="s">
        <v>29</v>
      </c>
      <c r="Q156" s="66" t="str">
        <f t="shared" si="9"/>
        <v/>
      </c>
      <c r="R156" s="56" t="s">
        <v>29</v>
      </c>
      <c r="S156" s="56" t="s">
        <v>29</v>
      </c>
      <c r="T156" s="56" t="s">
        <v>29</v>
      </c>
      <c r="U156" s="56" t="s">
        <v>29</v>
      </c>
      <c r="V156" s="56">
        <v>2</v>
      </c>
      <c r="W156" s="56">
        <v>647435</v>
      </c>
      <c r="X156" s="82">
        <v>11</v>
      </c>
      <c r="Y156" s="56">
        <v>23</v>
      </c>
      <c r="Z156" s="67" t="s">
        <v>29</v>
      </c>
      <c r="AA156" s="68">
        <f t="shared" si="10"/>
        <v>0.47826086956521741</v>
      </c>
      <c r="AB156" s="92">
        <f t="shared" si="8"/>
        <v>0</v>
      </c>
      <c r="AC156" s="92">
        <f>IFERROR(Table16[[#This Row],[Quantity Needed for repair]]*Table16[[#This Row],[Evaluated]],"")</f>
        <v>0</v>
      </c>
    </row>
    <row r="157" spans="1:29" ht="15" thickBot="1" x14ac:dyDescent="0.4">
      <c r="A157"/>
      <c r="B157"/>
      <c r="C157"/>
      <c r="D157"/>
      <c r="E157" s="69">
        <v>3</v>
      </c>
      <c r="F157" s="70" t="s">
        <v>396</v>
      </c>
      <c r="G157" s="70">
        <v>13206943</v>
      </c>
      <c r="H157" s="70" t="s">
        <v>313</v>
      </c>
      <c r="I157" s="70" t="s">
        <v>351</v>
      </c>
      <c r="J157" s="70" t="s">
        <v>29</v>
      </c>
      <c r="K157" s="70">
        <v>1080537</v>
      </c>
      <c r="L157" s="71">
        <v>44473</v>
      </c>
      <c r="M157" s="70" t="s">
        <v>352</v>
      </c>
      <c r="N157" s="70" t="s">
        <v>29</v>
      </c>
      <c r="O157" s="70" t="s">
        <v>29</v>
      </c>
      <c r="P157" s="70" t="s">
        <v>29</v>
      </c>
      <c r="Q157" s="72" t="str">
        <f t="shared" si="9"/>
        <v/>
      </c>
      <c r="R157" s="70" t="s">
        <v>29</v>
      </c>
      <c r="S157" s="70" t="s">
        <v>29</v>
      </c>
      <c r="T157" s="70" t="s">
        <v>29</v>
      </c>
      <c r="U157" s="70" t="s">
        <v>29</v>
      </c>
      <c r="V157" s="70">
        <v>3</v>
      </c>
      <c r="W157" s="70">
        <v>418525</v>
      </c>
      <c r="X157" s="83">
        <v>6</v>
      </c>
      <c r="Y157" s="70">
        <v>6</v>
      </c>
      <c r="Z157" s="73" t="s">
        <v>29</v>
      </c>
      <c r="AA157" s="74">
        <f t="shared" si="10"/>
        <v>1</v>
      </c>
      <c r="AB157" s="93">
        <f t="shared" si="8"/>
        <v>0</v>
      </c>
      <c r="AC157" s="93">
        <f>IFERROR(Table16[[#This Row],[Quantity Needed for repair]]*Table16[[#This Row],[Evaluated]],"")</f>
        <v>0</v>
      </c>
    </row>
    <row r="158" spans="1:29" x14ac:dyDescent="0.35">
      <c r="A158"/>
      <c r="B158"/>
      <c r="C158"/>
      <c r="D158"/>
      <c r="E158" s="57">
        <v>3</v>
      </c>
      <c r="F158" s="58" t="s">
        <v>397</v>
      </c>
      <c r="G158" s="58">
        <v>13261211</v>
      </c>
      <c r="H158" s="58" t="s">
        <v>313</v>
      </c>
      <c r="I158" s="58" t="s">
        <v>351</v>
      </c>
      <c r="J158" s="58" t="s">
        <v>29</v>
      </c>
      <c r="K158" s="58">
        <v>1080537</v>
      </c>
      <c r="L158" s="59">
        <v>44473</v>
      </c>
      <c r="M158" s="58" t="s">
        <v>352</v>
      </c>
      <c r="N158" s="58" t="s">
        <v>29</v>
      </c>
      <c r="O158" s="58" t="s">
        <v>29</v>
      </c>
      <c r="P158" s="58" t="s">
        <v>29</v>
      </c>
      <c r="Q158" s="60" t="str">
        <f t="shared" si="9"/>
        <v/>
      </c>
      <c r="R158" s="58" t="s">
        <v>29</v>
      </c>
      <c r="S158" s="58" t="s">
        <v>29</v>
      </c>
      <c r="T158" s="58" t="s">
        <v>29</v>
      </c>
      <c r="U158" s="58" t="s">
        <v>29</v>
      </c>
      <c r="V158" s="58">
        <v>1</v>
      </c>
      <c r="W158" s="58">
        <v>1130198</v>
      </c>
      <c r="X158" s="78">
        <v>4</v>
      </c>
      <c r="Y158" s="58">
        <v>33</v>
      </c>
      <c r="Z158" s="61" t="s">
        <v>29</v>
      </c>
      <c r="AA158" s="62">
        <f t="shared" si="10"/>
        <v>0.12121212121212122</v>
      </c>
      <c r="AB158" s="91">
        <f t="shared" si="8"/>
        <v>0</v>
      </c>
      <c r="AC158" s="91">
        <f>IFERROR(Table16[[#This Row],[Quantity Needed for repair]]*Table16[[#This Row],[Evaluated]],"")</f>
        <v>0</v>
      </c>
    </row>
    <row r="159" spans="1:29" x14ac:dyDescent="0.35">
      <c r="A159"/>
      <c r="B159"/>
      <c r="C159"/>
      <c r="D159"/>
      <c r="E159" s="64">
        <v>3</v>
      </c>
      <c r="F159" s="56" t="s">
        <v>397</v>
      </c>
      <c r="G159" s="56">
        <v>13261211</v>
      </c>
      <c r="H159" s="56" t="s">
        <v>313</v>
      </c>
      <c r="I159" s="56" t="s">
        <v>351</v>
      </c>
      <c r="J159" s="56" t="s">
        <v>29</v>
      </c>
      <c r="K159" s="56">
        <v>1080537</v>
      </c>
      <c r="L159" s="65">
        <v>44473</v>
      </c>
      <c r="M159" s="56" t="s">
        <v>352</v>
      </c>
      <c r="N159" s="56" t="s">
        <v>29</v>
      </c>
      <c r="O159" s="56" t="s">
        <v>29</v>
      </c>
      <c r="P159" s="56" t="s">
        <v>29</v>
      </c>
      <c r="Q159" s="66" t="str">
        <f t="shared" si="9"/>
        <v/>
      </c>
      <c r="R159" s="56" t="s">
        <v>29</v>
      </c>
      <c r="S159" s="56" t="s">
        <v>29</v>
      </c>
      <c r="T159" s="56" t="s">
        <v>29</v>
      </c>
      <c r="U159" s="56" t="s">
        <v>29</v>
      </c>
      <c r="V159" s="56">
        <v>2</v>
      </c>
      <c r="W159" s="56">
        <v>647435</v>
      </c>
      <c r="X159" s="79">
        <v>2</v>
      </c>
      <c r="Y159" s="56">
        <v>23</v>
      </c>
      <c r="Z159" s="67" t="s">
        <v>29</v>
      </c>
      <c r="AA159" s="68">
        <f t="shared" si="10"/>
        <v>8.6956521739130432E-2</v>
      </c>
      <c r="AB159" s="92">
        <f t="shared" si="8"/>
        <v>0</v>
      </c>
      <c r="AC159" s="92">
        <f>IFERROR(Table16[[#This Row],[Quantity Needed for repair]]*Table16[[#This Row],[Evaluated]],"")</f>
        <v>0</v>
      </c>
    </row>
    <row r="160" spans="1:29" ht="15" thickBot="1" x14ac:dyDescent="0.4">
      <c r="A160"/>
      <c r="B160"/>
      <c r="C160"/>
      <c r="D160"/>
      <c r="E160" s="69">
        <v>3</v>
      </c>
      <c r="F160" s="70" t="s">
        <v>397</v>
      </c>
      <c r="G160" s="70">
        <v>13261211</v>
      </c>
      <c r="H160" s="70" t="s">
        <v>313</v>
      </c>
      <c r="I160" s="70" t="s">
        <v>351</v>
      </c>
      <c r="J160" s="70" t="s">
        <v>29</v>
      </c>
      <c r="K160" s="70">
        <v>1080537</v>
      </c>
      <c r="L160" s="71">
        <v>44473</v>
      </c>
      <c r="M160" s="70" t="s">
        <v>352</v>
      </c>
      <c r="N160" s="70" t="s">
        <v>29</v>
      </c>
      <c r="O160" s="70" t="s">
        <v>29</v>
      </c>
      <c r="P160" s="70" t="s">
        <v>29</v>
      </c>
      <c r="Q160" s="72" t="str">
        <f t="shared" si="9"/>
        <v/>
      </c>
      <c r="R160" s="70" t="s">
        <v>29</v>
      </c>
      <c r="S160" s="70" t="s">
        <v>29</v>
      </c>
      <c r="T160" s="70" t="s">
        <v>29</v>
      </c>
      <c r="U160" s="70" t="s">
        <v>29</v>
      </c>
      <c r="V160" s="70">
        <v>3</v>
      </c>
      <c r="W160" s="70">
        <v>418525</v>
      </c>
      <c r="X160" s="80">
        <v>3</v>
      </c>
      <c r="Y160" s="70">
        <v>6</v>
      </c>
      <c r="Z160" s="73" t="s">
        <v>29</v>
      </c>
      <c r="AA160" s="74">
        <f t="shared" si="10"/>
        <v>0.5</v>
      </c>
      <c r="AB160" s="93">
        <f t="shared" si="8"/>
        <v>0</v>
      </c>
      <c r="AC160" s="93">
        <f>IFERROR(Table16[[#This Row],[Quantity Needed for repair]]*Table16[[#This Row],[Evaluated]],"")</f>
        <v>0</v>
      </c>
    </row>
    <row r="161" spans="5:29" x14ac:dyDescent="0.35">
      <c r="E161" s="57">
        <v>3</v>
      </c>
      <c r="F161" s="58" t="s">
        <v>398</v>
      </c>
      <c r="G161" s="58">
        <v>13249607</v>
      </c>
      <c r="H161" s="58" t="s">
        <v>313</v>
      </c>
      <c r="I161" s="58" t="s">
        <v>465</v>
      </c>
      <c r="J161" s="58" t="s">
        <v>29</v>
      </c>
      <c r="K161" s="58">
        <v>1056029</v>
      </c>
      <c r="L161" s="59">
        <v>44473</v>
      </c>
      <c r="M161" s="58" t="s">
        <v>352</v>
      </c>
      <c r="N161" s="58" t="s">
        <v>29</v>
      </c>
      <c r="O161" s="58" t="s">
        <v>29</v>
      </c>
      <c r="P161" s="58" t="s">
        <v>29</v>
      </c>
      <c r="Q161" s="60" t="str">
        <f t="shared" si="9"/>
        <v/>
      </c>
      <c r="R161" s="58" t="s">
        <v>29</v>
      </c>
      <c r="S161" s="58" t="s">
        <v>29</v>
      </c>
      <c r="T161" s="58" t="s">
        <v>29</v>
      </c>
      <c r="U161" s="58" t="s">
        <v>29</v>
      </c>
      <c r="V161" s="58">
        <v>1</v>
      </c>
      <c r="W161" s="58">
        <v>1039034</v>
      </c>
      <c r="X161" s="81" t="s">
        <v>29</v>
      </c>
      <c r="Y161" s="58">
        <v>32</v>
      </c>
      <c r="Z161" s="61" t="s">
        <v>29</v>
      </c>
      <c r="AA161" s="62" t="str">
        <f t="shared" si="10"/>
        <v/>
      </c>
      <c r="AB161" s="91">
        <f t="shared" si="8"/>
        <v>0</v>
      </c>
      <c r="AC161" s="91" t="str">
        <f>IFERROR(Table16[[#This Row],[Quantity Needed for repair]]*Table16[[#This Row],[Evaluated]],"")</f>
        <v/>
      </c>
    </row>
    <row r="162" spans="5:29" x14ac:dyDescent="0.35">
      <c r="E162" s="64">
        <v>3</v>
      </c>
      <c r="F162" s="56" t="s">
        <v>398</v>
      </c>
      <c r="G162" s="56">
        <v>13249607</v>
      </c>
      <c r="H162" s="56" t="s">
        <v>313</v>
      </c>
      <c r="I162" s="56" t="s">
        <v>465</v>
      </c>
      <c r="J162" s="56" t="s">
        <v>29</v>
      </c>
      <c r="K162" s="56">
        <v>1056029</v>
      </c>
      <c r="L162" s="65">
        <v>44473</v>
      </c>
      <c r="M162" s="56" t="s">
        <v>352</v>
      </c>
      <c r="N162" s="56" t="s">
        <v>29</v>
      </c>
      <c r="O162" s="56" t="s">
        <v>29</v>
      </c>
      <c r="P162" s="56" t="s">
        <v>29</v>
      </c>
      <c r="Q162" s="66" t="str">
        <f t="shared" si="9"/>
        <v/>
      </c>
      <c r="R162" s="56" t="s">
        <v>29</v>
      </c>
      <c r="S162" s="56" t="s">
        <v>29</v>
      </c>
      <c r="T162" s="56" t="s">
        <v>29</v>
      </c>
      <c r="U162" s="56" t="s">
        <v>29</v>
      </c>
      <c r="V162" s="56">
        <v>2</v>
      </c>
      <c r="W162" s="56">
        <v>1039058</v>
      </c>
      <c r="X162" s="82">
        <v>7</v>
      </c>
      <c r="Y162" s="56">
        <v>15</v>
      </c>
      <c r="Z162" s="67" t="s">
        <v>29</v>
      </c>
      <c r="AA162" s="68">
        <f t="shared" si="10"/>
        <v>0.46666666666666667</v>
      </c>
      <c r="AB162" s="92">
        <f t="shared" si="8"/>
        <v>0</v>
      </c>
      <c r="AC162" s="92">
        <f>IFERROR(Table16[[#This Row],[Quantity Needed for repair]]*Table16[[#This Row],[Evaluated]],"")</f>
        <v>0</v>
      </c>
    </row>
    <row r="163" spans="5:29" x14ac:dyDescent="0.35">
      <c r="E163" s="64">
        <v>3</v>
      </c>
      <c r="F163" s="56" t="s">
        <v>398</v>
      </c>
      <c r="G163" s="56">
        <v>13249607</v>
      </c>
      <c r="H163" s="56" t="s">
        <v>313</v>
      </c>
      <c r="I163" s="56" t="s">
        <v>465</v>
      </c>
      <c r="J163" s="56" t="s">
        <v>29</v>
      </c>
      <c r="K163" s="56">
        <v>1056029</v>
      </c>
      <c r="L163" s="65">
        <v>44473</v>
      </c>
      <c r="M163" s="56" t="s">
        <v>352</v>
      </c>
      <c r="N163" s="56" t="s">
        <v>29</v>
      </c>
      <c r="O163" s="56" t="s">
        <v>29</v>
      </c>
      <c r="P163" s="56" t="s">
        <v>29</v>
      </c>
      <c r="Q163" s="66" t="str">
        <f t="shared" si="9"/>
        <v/>
      </c>
      <c r="R163" s="56" t="s">
        <v>29</v>
      </c>
      <c r="S163" s="56" t="s">
        <v>29</v>
      </c>
      <c r="T163" s="56" t="s">
        <v>29</v>
      </c>
      <c r="U163" s="56" t="s">
        <v>29</v>
      </c>
      <c r="V163" s="56">
        <v>3</v>
      </c>
      <c r="W163" s="56">
        <v>1039033</v>
      </c>
      <c r="X163" s="82" t="s">
        <v>29</v>
      </c>
      <c r="Y163" s="56">
        <v>28</v>
      </c>
      <c r="Z163" s="67" t="s">
        <v>29</v>
      </c>
      <c r="AA163" s="68" t="str">
        <f t="shared" si="10"/>
        <v/>
      </c>
      <c r="AB163" s="92">
        <f t="shared" si="8"/>
        <v>0</v>
      </c>
      <c r="AC163" s="92" t="str">
        <f>IFERROR(Table16[[#This Row],[Quantity Needed for repair]]*Table16[[#This Row],[Evaluated]],"")</f>
        <v/>
      </c>
    </row>
    <row r="164" spans="5:29" ht="15" thickBot="1" x14ac:dyDescent="0.4">
      <c r="E164" s="69">
        <v>3</v>
      </c>
      <c r="F164" s="70" t="s">
        <v>398</v>
      </c>
      <c r="G164" s="70">
        <v>13249607</v>
      </c>
      <c r="H164" s="70" t="s">
        <v>313</v>
      </c>
      <c r="I164" s="70" t="s">
        <v>465</v>
      </c>
      <c r="J164" s="70" t="s">
        <v>29</v>
      </c>
      <c r="K164" s="70">
        <v>1056029</v>
      </c>
      <c r="L164" s="71">
        <v>44473</v>
      </c>
      <c r="M164" s="70" t="s">
        <v>352</v>
      </c>
      <c r="N164" s="70" t="s">
        <v>29</v>
      </c>
      <c r="O164" s="70" t="s">
        <v>29</v>
      </c>
      <c r="P164" s="70" t="s">
        <v>29</v>
      </c>
      <c r="Q164" s="72" t="str">
        <f t="shared" si="9"/>
        <v/>
      </c>
      <c r="R164" s="70" t="s">
        <v>29</v>
      </c>
      <c r="S164" s="70" t="s">
        <v>29</v>
      </c>
      <c r="T164" s="70" t="s">
        <v>29</v>
      </c>
      <c r="U164" s="70" t="s">
        <v>29</v>
      </c>
      <c r="V164" s="70">
        <v>4</v>
      </c>
      <c r="W164" s="70">
        <v>418525</v>
      </c>
      <c r="X164" s="83">
        <v>7</v>
      </c>
      <c r="Y164" s="70">
        <v>7</v>
      </c>
      <c r="Z164" s="73" t="s">
        <v>29</v>
      </c>
      <c r="AA164" s="74">
        <f t="shared" si="10"/>
        <v>1</v>
      </c>
      <c r="AB164" s="93">
        <f t="shared" si="8"/>
        <v>0</v>
      </c>
      <c r="AC164" s="93">
        <f>IFERROR(Table16[[#This Row],[Quantity Needed for repair]]*Table16[[#This Row],[Evaluated]],"")</f>
        <v>0</v>
      </c>
    </row>
    <row r="165" spans="5:29" x14ac:dyDescent="0.35">
      <c r="E165" s="57">
        <v>3</v>
      </c>
      <c r="F165" s="58" t="s">
        <v>399</v>
      </c>
      <c r="G165" s="58">
        <v>13220346</v>
      </c>
      <c r="H165" s="58" t="s">
        <v>313</v>
      </c>
      <c r="I165" s="58" t="s">
        <v>351</v>
      </c>
      <c r="J165" s="58" t="s">
        <v>29</v>
      </c>
      <c r="K165" s="58">
        <v>882281</v>
      </c>
      <c r="L165" s="59">
        <v>44473</v>
      </c>
      <c r="M165" s="58" t="s">
        <v>352</v>
      </c>
      <c r="N165" s="58" t="s">
        <v>29</v>
      </c>
      <c r="O165" s="58" t="s">
        <v>29</v>
      </c>
      <c r="P165" s="58" t="s">
        <v>29</v>
      </c>
      <c r="Q165" s="60" t="str">
        <f t="shared" si="9"/>
        <v/>
      </c>
      <c r="R165" s="58" t="s">
        <v>29</v>
      </c>
      <c r="S165" s="58" t="s">
        <v>29</v>
      </c>
      <c r="T165" s="58" t="s">
        <v>29</v>
      </c>
      <c r="U165" s="58" t="s">
        <v>29</v>
      </c>
      <c r="V165" s="58">
        <v>1</v>
      </c>
      <c r="W165" s="58">
        <v>1130198</v>
      </c>
      <c r="X165" s="81"/>
      <c r="Y165" s="58">
        <v>33</v>
      </c>
      <c r="Z165" s="61" t="s">
        <v>29</v>
      </c>
      <c r="AA165" s="62">
        <f t="shared" si="10"/>
        <v>0</v>
      </c>
      <c r="AB165" s="91">
        <f t="shared" si="8"/>
        <v>0</v>
      </c>
      <c r="AC165" s="91">
        <f>IFERROR(Table16[[#This Row],[Quantity Needed for repair]]*Table16[[#This Row],[Evaluated]],"")</f>
        <v>0</v>
      </c>
    </row>
    <row r="166" spans="5:29" x14ac:dyDescent="0.35">
      <c r="E166" s="64">
        <v>3</v>
      </c>
      <c r="F166" s="56" t="s">
        <v>399</v>
      </c>
      <c r="G166" s="56">
        <v>13220346</v>
      </c>
      <c r="H166" s="56" t="s">
        <v>313</v>
      </c>
      <c r="I166" s="56" t="s">
        <v>351</v>
      </c>
      <c r="J166" s="56" t="s">
        <v>29</v>
      </c>
      <c r="K166" s="56">
        <v>882281</v>
      </c>
      <c r="L166" s="65">
        <v>44473</v>
      </c>
      <c r="M166" s="56" t="s">
        <v>352</v>
      </c>
      <c r="N166" s="56" t="s">
        <v>29</v>
      </c>
      <c r="O166" s="56" t="s">
        <v>29</v>
      </c>
      <c r="P166" s="56" t="s">
        <v>29</v>
      </c>
      <c r="Q166" s="66" t="str">
        <f t="shared" si="9"/>
        <v/>
      </c>
      <c r="R166" s="56" t="s">
        <v>29</v>
      </c>
      <c r="S166" s="56" t="s">
        <v>29</v>
      </c>
      <c r="T166" s="56" t="s">
        <v>29</v>
      </c>
      <c r="U166" s="56" t="s">
        <v>29</v>
      </c>
      <c r="V166" s="56">
        <v>2</v>
      </c>
      <c r="W166" s="56">
        <v>1130197</v>
      </c>
      <c r="X166" s="82"/>
      <c r="Y166" s="56">
        <v>23</v>
      </c>
      <c r="Z166" s="67" t="s">
        <v>29</v>
      </c>
      <c r="AA166" s="68">
        <f t="shared" si="10"/>
        <v>0</v>
      </c>
      <c r="AB166" s="92">
        <f t="shared" si="8"/>
        <v>0</v>
      </c>
      <c r="AC166" s="92">
        <f>IFERROR(Table16[[#This Row],[Quantity Needed for repair]]*Table16[[#This Row],[Evaluated]],"")</f>
        <v>0</v>
      </c>
    </row>
    <row r="167" spans="5:29" ht="15" thickBot="1" x14ac:dyDescent="0.4">
      <c r="E167" s="69">
        <v>3</v>
      </c>
      <c r="F167" s="70" t="s">
        <v>399</v>
      </c>
      <c r="G167" s="70">
        <v>13220346</v>
      </c>
      <c r="H167" s="70" t="s">
        <v>313</v>
      </c>
      <c r="I167" s="70" t="s">
        <v>351</v>
      </c>
      <c r="J167" s="70" t="s">
        <v>29</v>
      </c>
      <c r="K167" s="70">
        <v>882281</v>
      </c>
      <c r="L167" s="71">
        <v>44473</v>
      </c>
      <c r="M167" s="70" t="s">
        <v>352</v>
      </c>
      <c r="N167" s="70" t="s">
        <v>29</v>
      </c>
      <c r="O167" s="70" t="s">
        <v>29</v>
      </c>
      <c r="P167" s="70" t="s">
        <v>29</v>
      </c>
      <c r="Q167" s="72" t="str">
        <f t="shared" si="9"/>
        <v/>
      </c>
      <c r="R167" s="70" t="s">
        <v>29</v>
      </c>
      <c r="S167" s="70" t="s">
        <v>29</v>
      </c>
      <c r="T167" s="70" t="s">
        <v>29</v>
      </c>
      <c r="U167" s="70" t="s">
        <v>29</v>
      </c>
      <c r="V167" s="70">
        <v>3</v>
      </c>
      <c r="W167" s="70">
        <v>418525</v>
      </c>
      <c r="X167" s="83"/>
      <c r="Y167" s="70">
        <v>12</v>
      </c>
      <c r="Z167" s="73" t="s">
        <v>29</v>
      </c>
      <c r="AA167" s="74">
        <f t="shared" si="10"/>
        <v>0</v>
      </c>
      <c r="AB167" s="93">
        <f t="shared" si="8"/>
        <v>0</v>
      </c>
      <c r="AC167" s="93">
        <f>IFERROR(Table16[[#This Row],[Quantity Needed for repair]]*Table16[[#This Row],[Evaluated]],"")</f>
        <v>0</v>
      </c>
    </row>
    <row r="168" spans="5:29" x14ac:dyDescent="0.35">
      <c r="E168" s="57">
        <v>3</v>
      </c>
      <c r="F168" s="58" t="s">
        <v>400</v>
      </c>
      <c r="G168" s="58">
        <v>13235598</v>
      </c>
      <c r="H168" s="58" t="s">
        <v>313</v>
      </c>
      <c r="I168" s="58" t="s">
        <v>351</v>
      </c>
      <c r="J168" s="58" t="s">
        <v>29</v>
      </c>
      <c r="K168" s="58">
        <v>1061407</v>
      </c>
      <c r="L168" s="59">
        <v>44473</v>
      </c>
      <c r="M168" s="58" t="s">
        <v>352</v>
      </c>
      <c r="N168" s="58" t="s">
        <v>29</v>
      </c>
      <c r="O168" s="58" t="s">
        <v>29</v>
      </c>
      <c r="P168" s="58" t="s">
        <v>29</v>
      </c>
      <c r="Q168" s="60" t="str">
        <f t="shared" si="9"/>
        <v/>
      </c>
      <c r="R168" s="58" t="s">
        <v>29</v>
      </c>
      <c r="S168" s="58" t="s">
        <v>29</v>
      </c>
      <c r="T168" s="58" t="s">
        <v>29</v>
      </c>
      <c r="U168" s="58" t="s">
        <v>29</v>
      </c>
      <c r="V168" s="58">
        <v>1</v>
      </c>
      <c r="W168" s="58">
        <v>1039060</v>
      </c>
      <c r="X168" s="81"/>
      <c r="Y168" s="58">
        <v>33</v>
      </c>
      <c r="Z168" s="61" t="s">
        <v>29</v>
      </c>
      <c r="AA168" s="62">
        <f t="shared" si="10"/>
        <v>0</v>
      </c>
      <c r="AB168" s="91">
        <f t="shared" si="8"/>
        <v>0</v>
      </c>
      <c r="AC168" s="91">
        <f>IFERROR(Table16[[#This Row],[Quantity Needed for repair]]*Table16[[#This Row],[Evaluated]],"")</f>
        <v>0</v>
      </c>
    </row>
    <row r="169" spans="5:29" x14ac:dyDescent="0.35">
      <c r="E169" s="64">
        <v>3</v>
      </c>
      <c r="F169" s="56" t="s">
        <v>400</v>
      </c>
      <c r="G169" s="56">
        <v>13235598</v>
      </c>
      <c r="H169" s="56" t="s">
        <v>313</v>
      </c>
      <c r="I169" s="56" t="s">
        <v>351</v>
      </c>
      <c r="J169" s="56" t="s">
        <v>29</v>
      </c>
      <c r="K169" s="56">
        <v>1061407</v>
      </c>
      <c r="L169" s="65">
        <v>44473</v>
      </c>
      <c r="M169" s="56" t="s">
        <v>352</v>
      </c>
      <c r="N169" s="56" t="s">
        <v>29</v>
      </c>
      <c r="O169" s="56" t="s">
        <v>29</v>
      </c>
      <c r="P169" s="56" t="s">
        <v>29</v>
      </c>
      <c r="Q169" s="66" t="str">
        <f t="shared" si="9"/>
        <v/>
      </c>
      <c r="R169" s="56" t="s">
        <v>29</v>
      </c>
      <c r="S169" s="56" t="s">
        <v>29</v>
      </c>
      <c r="T169" s="56" t="s">
        <v>29</v>
      </c>
      <c r="U169" s="56" t="s">
        <v>29</v>
      </c>
      <c r="V169" s="56">
        <v>2</v>
      </c>
      <c r="W169" s="56">
        <v>983148</v>
      </c>
      <c r="X169" s="82"/>
      <c r="Y169" s="56">
        <v>23</v>
      </c>
      <c r="Z169" s="67" t="s">
        <v>29</v>
      </c>
      <c r="AA169" s="68">
        <f t="shared" si="10"/>
        <v>0</v>
      </c>
      <c r="AB169" s="92">
        <f t="shared" si="8"/>
        <v>0</v>
      </c>
      <c r="AC169" s="92">
        <f>IFERROR(Table16[[#This Row],[Quantity Needed for repair]]*Table16[[#This Row],[Evaluated]],"")</f>
        <v>0</v>
      </c>
    </row>
    <row r="170" spans="5:29" ht="15" thickBot="1" x14ac:dyDescent="0.4">
      <c r="E170" s="69">
        <v>3</v>
      </c>
      <c r="F170" s="70" t="s">
        <v>400</v>
      </c>
      <c r="G170" s="70">
        <v>13235598</v>
      </c>
      <c r="H170" s="70" t="s">
        <v>313</v>
      </c>
      <c r="I170" s="70" t="s">
        <v>351</v>
      </c>
      <c r="J170" s="70" t="s">
        <v>29</v>
      </c>
      <c r="K170" s="70">
        <v>1061407</v>
      </c>
      <c r="L170" s="71">
        <v>44473</v>
      </c>
      <c r="M170" s="70" t="s">
        <v>352</v>
      </c>
      <c r="N170" s="70" t="s">
        <v>29</v>
      </c>
      <c r="O170" s="70" t="s">
        <v>29</v>
      </c>
      <c r="P170" s="70" t="s">
        <v>29</v>
      </c>
      <c r="Q170" s="72" t="str">
        <f t="shared" si="9"/>
        <v/>
      </c>
      <c r="R170" s="70" t="s">
        <v>29</v>
      </c>
      <c r="S170" s="70" t="s">
        <v>29</v>
      </c>
      <c r="T170" s="70" t="s">
        <v>29</v>
      </c>
      <c r="U170" s="70" t="s">
        <v>29</v>
      </c>
      <c r="V170" s="70">
        <v>3</v>
      </c>
      <c r="W170" s="70">
        <v>418525</v>
      </c>
      <c r="X170" s="83"/>
      <c r="Y170" s="70">
        <v>6</v>
      </c>
      <c r="Z170" s="73" t="s">
        <v>29</v>
      </c>
      <c r="AA170" s="74">
        <f t="shared" si="10"/>
        <v>0</v>
      </c>
      <c r="AB170" s="93">
        <f t="shared" si="8"/>
        <v>0</v>
      </c>
      <c r="AC170" s="93">
        <f>IFERROR(Table16[[#This Row],[Quantity Needed for repair]]*Table16[[#This Row],[Evaluated]],"")</f>
        <v>0</v>
      </c>
    </row>
    <row r="171" spans="5:29" x14ac:dyDescent="0.35">
      <c r="E171" s="57">
        <v>3</v>
      </c>
      <c r="F171" s="58" t="s">
        <v>401</v>
      </c>
      <c r="G171" s="58">
        <v>13220350</v>
      </c>
      <c r="H171" s="58" t="s">
        <v>313</v>
      </c>
      <c r="I171" s="58" t="s">
        <v>351</v>
      </c>
      <c r="J171" s="58" t="s">
        <v>29</v>
      </c>
      <c r="K171" s="58">
        <v>1080537</v>
      </c>
      <c r="L171" s="59">
        <v>44473</v>
      </c>
      <c r="M171" s="58" t="s">
        <v>352</v>
      </c>
      <c r="N171" s="58" t="s">
        <v>29</v>
      </c>
      <c r="O171" s="58" t="s">
        <v>29</v>
      </c>
      <c r="P171" s="58" t="s">
        <v>29</v>
      </c>
      <c r="Q171" s="60" t="str">
        <f t="shared" si="9"/>
        <v/>
      </c>
      <c r="R171" s="58" t="s">
        <v>29</v>
      </c>
      <c r="S171" s="58" t="s">
        <v>29</v>
      </c>
      <c r="T171" s="58" t="s">
        <v>29</v>
      </c>
      <c r="U171" s="58" t="s">
        <v>29</v>
      </c>
      <c r="V171" s="58">
        <v>1</v>
      </c>
      <c r="W171" s="58">
        <v>1130198</v>
      </c>
      <c r="X171" s="81">
        <v>5</v>
      </c>
      <c r="Y171" s="58">
        <v>33</v>
      </c>
      <c r="Z171" s="61" t="s">
        <v>29</v>
      </c>
      <c r="AA171" s="62">
        <f t="shared" si="10"/>
        <v>0.15151515151515152</v>
      </c>
      <c r="AB171" s="91">
        <f t="shared" si="8"/>
        <v>0</v>
      </c>
      <c r="AC171" s="91">
        <f>IFERROR(Table16[[#This Row],[Quantity Needed for repair]]*Table16[[#This Row],[Evaluated]],"")</f>
        <v>0</v>
      </c>
    </row>
    <row r="172" spans="5:29" x14ac:dyDescent="0.35">
      <c r="E172" s="64">
        <v>3</v>
      </c>
      <c r="F172" s="56" t="s">
        <v>401</v>
      </c>
      <c r="G172" s="56">
        <v>13220350</v>
      </c>
      <c r="H172" s="56" t="s">
        <v>313</v>
      </c>
      <c r="I172" s="56" t="s">
        <v>351</v>
      </c>
      <c r="J172" s="56" t="s">
        <v>29</v>
      </c>
      <c r="K172" s="56">
        <v>1080537</v>
      </c>
      <c r="L172" s="65">
        <v>44473</v>
      </c>
      <c r="M172" s="56" t="s">
        <v>352</v>
      </c>
      <c r="N172" s="56" t="s">
        <v>29</v>
      </c>
      <c r="O172" s="56" t="s">
        <v>29</v>
      </c>
      <c r="P172" s="56" t="s">
        <v>29</v>
      </c>
      <c r="Q172" s="66" t="str">
        <f t="shared" si="9"/>
        <v/>
      </c>
      <c r="R172" s="56" t="s">
        <v>29</v>
      </c>
      <c r="S172" s="56" t="s">
        <v>29</v>
      </c>
      <c r="T172" s="56" t="s">
        <v>29</v>
      </c>
      <c r="U172" s="56" t="s">
        <v>29</v>
      </c>
      <c r="V172" s="56">
        <v>2</v>
      </c>
      <c r="W172" s="56">
        <v>647435</v>
      </c>
      <c r="X172" s="82">
        <v>1</v>
      </c>
      <c r="Y172" s="56">
        <v>23</v>
      </c>
      <c r="Z172" s="67" t="s">
        <v>29</v>
      </c>
      <c r="AA172" s="68">
        <f t="shared" si="10"/>
        <v>4.3478260869565216E-2</v>
      </c>
      <c r="AB172" s="92">
        <f t="shared" si="8"/>
        <v>0</v>
      </c>
      <c r="AC172" s="92">
        <f>IFERROR(Table16[[#This Row],[Quantity Needed for repair]]*Table16[[#This Row],[Evaluated]],"")</f>
        <v>0</v>
      </c>
    </row>
    <row r="173" spans="5:29" ht="15" thickBot="1" x14ac:dyDescent="0.4">
      <c r="E173" s="69">
        <v>3</v>
      </c>
      <c r="F173" s="70" t="s">
        <v>401</v>
      </c>
      <c r="G173" s="70">
        <v>13220350</v>
      </c>
      <c r="H173" s="70" t="s">
        <v>313</v>
      </c>
      <c r="I173" s="70" t="s">
        <v>351</v>
      </c>
      <c r="J173" s="70" t="s">
        <v>29</v>
      </c>
      <c r="K173" s="70">
        <v>1080537</v>
      </c>
      <c r="L173" s="71">
        <v>44473</v>
      </c>
      <c r="M173" s="70" t="s">
        <v>352</v>
      </c>
      <c r="N173" s="70" t="s">
        <v>29</v>
      </c>
      <c r="O173" s="70" t="s">
        <v>29</v>
      </c>
      <c r="P173" s="70" t="s">
        <v>29</v>
      </c>
      <c r="Q173" s="72" t="str">
        <f t="shared" si="9"/>
        <v/>
      </c>
      <c r="R173" s="70" t="s">
        <v>29</v>
      </c>
      <c r="S173" s="70" t="s">
        <v>29</v>
      </c>
      <c r="T173" s="70" t="s">
        <v>29</v>
      </c>
      <c r="U173" s="70" t="s">
        <v>29</v>
      </c>
      <c r="V173" s="70">
        <v>3</v>
      </c>
      <c r="W173" s="70">
        <v>418525</v>
      </c>
      <c r="X173" s="83">
        <v>6</v>
      </c>
      <c r="Y173" s="70">
        <v>6</v>
      </c>
      <c r="Z173" s="73" t="s">
        <v>29</v>
      </c>
      <c r="AA173" s="74">
        <f t="shared" si="10"/>
        <v>1</v>
      </c>
      <c r="AB173" s="93">
        <f t="shared" si="8"/>
        <v>0</v>
      </c>
      <c r="AC173" s="93">
        <f>IFERROR(Table16[[#This Row],[Quantity Needed for repair]]*Table16[[#This Row],[Evaluated]],"")</f>
        <v>0</v>
      </c>
    </row>
    <row r="174" spans="5:29" x14ac:dyDescent="0.35">
      <c r="E174" s="57">
        <v>3</v>
      </c>
      <c r="F174" s="58" t="s">
        <v>402</v>
      </c>
      <c r="G174" s="58">
        <v>13261207</v>
      </c>
      <c r="H174" s="58" t="s">
        <v>313</v>
      </c>
      <c r="I174" s="58" t="s">
        <v>351</v>
      </c>
      <c r="J174" s="58" t="s">
        <v>29</v>
      </c>
      <c r="K174" s="58">
        <v>1080537</v>
      </c>
      <c r="L174" s="59">
        <v>44473</v>
      </c>
      <c r="M174" s="58" t="s">
        <v>352</v>
      </c>
      <c r="N174" s="58" t="s">
        <v>29</v>
      </c>
      <c r="O174" s="58" t="s">
        <v>29</v>
      </c>
      <c r="P174" s="58" t="s">
        <v>29</v>
      </c>
      <c r="Q174" s="60" t="str">
        <f t="shared" si="9"/>
        <v/>
      </c>
      <c r="R174" s="58" t="s">
        <v>29</v>
      </c>
      <c r="S174" s="58" t="s">
        <v>29</v>
      </c>
      <c r="T174" s="58" t="s">
        <v>29</v>
      </c>
      <c r="U174" s="58" t="s">
        <v>29</v>
      </c>
      <c r="V174" s="58">
        <v>1</v>
      </c>
      <c r="W174" s="58">
        <v>1130198</v>
      </c>
      <c r="X174" s="81">
        <v>7</v>
      </c>
      <c r="Y174" s="58">
        <v>33</v>
      </c>
      <c r="Z174" s="61" t="s">
        <v>29</v>
      </c>
      <c r="AA174" s="62">
        <f t="shared" si="10"/>
        <v>0.21212121212121213</v>
      </c>
      <c r="AB174" s="91">
        <f t="shared" si="8"/>
        <v>0</v>
      </c>
      <c r="AC174" s="91">
        <f>IFERROR(Table16[[#This Row],[Quantity Needed for repair]]*Table16[[#This Row],[Evaluated]],"")</f>
        <v>0</v>
      </c>
    </row>
    <row r="175" spans="5:29" x14ac:dyDescent="0.35">
      <c r="E175" s="64">
        <v>3</v>
      </c>
      <c r="F175" s="56" t="s">
        <v>402</v>
      </c>
      <c r="G175" s="56">
        <v>13261207</v>
      </c>
      <c r="H175" s="56" t="s">
        <v>313</v>
      </c>
      <c r="I175" s="56" t="s">
        <v>351</v>
      </c>
      <c r="J175" s="56" t="s">
        <v>29</v>
      </c>
      <c r="K175" s="56">
        <v>1080537</v>
      </c>
      <c r="L175" s="65">
        <v>44473</v>
      </c>
      <c r="M175" s="56" t="s">
        <v>352</v>
      </c>
      <c r="N175" s="56" t="s">
        <v>29</v>
      </c>
      <c r="O175" s="56" t="s">
        <v>29</v>
      </c>
      <c r="P175" s="56" t="s">
        <v>29</v>
      </c>
      <c r="Q175" s="66" t="str">
        <f t="shared" si="9"/>
        <v/>
      </c>
      <c r="R175" s="56" t="s">
        <v>29</v>
      </c>
      <c r="S175" s="56" t="s">
        <v>29</v>
      </c>
      <c r="T175" s="56" t="s">
        <v>29</v>
      </c>
      <c r="U175" s="56" t="s">
        <v>29</v>
      </c>
      <c r="V175" s="56">
        <v>2</v>
      </c>
      <c r="W175" s="56">
        <v>647435</v>
      </c>
      <c r="X175" s="82">
        <v>2</v>
      </c>
      <c r="Y175" s="56">
        <v>23</v>
      </c>
      <c r="Z175" s="67" t="s">
        <v>29</v>
      </c>
      <c r="AA175" s="68">
        <f t="shared" si="10"/>
        <v>8.6956521739130432E-2</v>
      </c>
      <c r="AB175" s="92">
        <f t="shared" si="8"/>
        <v>0</v>
      </c>
      <c r="AC175" s="92">
        <f>IFERROR(Table16[[#This Row],[Quantity Needed for repair]]*Table16[[#This Row],[Evaluated]],"")</f>
        <v>0</v>
      </c>
    </row>
    <row r="176" spans="5:29" ht="15" thickBot="1" x14ac:dyDescent="0.4">
      <c r="E176" s="69">
        <v>3</v>
      </c>
      <c r="F176" s="70" t="s">
        <v>402</v>
      </c>
      <c r="G176" s="70">
        <v>13261207</v>
      </c>
      <c r="H176" s="70" t="s">
        <v>313</v>
      </c>
      <c r="I176" s="70" t="s">
        <v>351</v>
      </c>
      <c r="J176" s="70" t="s">
        <v>29</v>
      </c>
      <c r="K176" s="70">
        <v>1080537</v>
      </c>
      <c r="L176" s="71">
        <v>44473</v>
      </c>
      <c r="M176" s="70" t="s">
        <v>352</v>
      </c>
      <c r="N176" s="70" t="s">
        <v>29</v>
      </c>
      <c r="O176" s="70" t="s">
        <v>29</v>
      </c>
      <c r="P176" s="70" t="s">
        <v>29</v>
      </c>
      <c r="Q176" s="72" t="str">
        <f t="shared" si="9"/>
        <v/>
      </c>
      <c r="R176" s="70" t="s">
        <v>29</v>
      </c>
      <c r="S176" s="70" t="s">
        <v>29</v>
      </c>
      <c r="T176" s="70" t="s">
        <v>29</v>
      </c>
      <c r="U176" s="70" t="s">
        <v>29</v>
      </c>
      <c r="V176" s="70">
        <v>3</v>
      </c>
      <c r="W176" s="70">
        <v>418525</v>
      </c>
      <c r="X176" s="83">
        <v>5</v>
      </c>
      <c r="Y176" s="70">
        <v>6</v>
      </c>
      <c r="Z176" s="73" t="s">
        <v>29</v>
      </c>
      <c r="AA176" s="74">
        <f t="shared" si="10"/>
        <v>0.83333333333333337</v>
      </c>
      <c r="AB176" s="93">
        <f t="shared" si="8"/>
        <v>0</v>
      </c>
      <c r="AC176" s="93">
        <f>IFERROR(Table16[[#This Row],[Quantity Needed for repair]]*Table16[[#This Row],[Evaluated]],"")</f>
        <v>0</v>
      </c>
    </row>
    <row r="177" spans="5:29" x14ac:dyDescent="0.35">
      <c r="E177" s="57">
        <v>3</v>
      </c>
      <c r="F177" s="58" t="s">
        <v>403</v>
      </c>
      <c r="G177" s="58">
        <v>13264301</v>
      </c>
      <c r="H177" s="58" t="s">
        <v>313</v>
      </c>
      <c r="I177" s="58" t="s">
        <v>273</v>
      </c>
      <c r="J177" s="58" t="s">
        <v>29</v>
      </c>
      <c r="K177" s="58">
        <v>1092981</v>
      </c>
      <c r="L177" s="59">
        <v>44473</v>
      </c>
      <c r="M177" s="58" t="s">
        <v>352</v>
      </c>
      <c r="N177" s="58" t="s">
        <v>29</v>
      </c>
      <c r="O177" s="58" t="s">
        <v>29</v>
      </c>
      <c r="P177" s="58" t="s">
        <v>29</v>
      </c>
      <c r="Q177" s="60" t="str">
        <f t="shared" si="9"/>
        <v/>
      </c>
      <c r="R177" s="58" t="s">
        <v>29</v>
      </c>
      <c r="S177" s="58" t="s">
        <v>29</v>
      </c>
      <c r="T177" s="58" t="s">
        <v>29</v>
      </c>
      <c r="U177" s="58" t="s">
        <v>29</v>
      </c>
      <c r="V177" s="58">
        <v>1</v>
      </c>
      <c r="W177" s="58">
        <v>1130198</v>
      </c>
      <c r="X177" s="78"/>
      <c r="Y177" s="58">
        <v>33</v>
      </c>
      <c r="Z177" s="61" t="s">
        <v>29</v>
      </c>
      <c r="AA177" s="62">
        <f t="shared" si="10"/>
        <v>0</v>
      </c>
      <c r="AB177" s="91">
        <f t="shared" si="8"/>
        <v>0</v>
      </c>
      <c r="AC177" s="91">
        <f>IFERROR(Table16[[#This Row],[Quantity Needed for repair]]*Table16[[#This Row],[Evaluated]],"")</f>
        <v>0</v>
      </c>
    </row>
    <row r="178" spans="5:29" x14ac:dyDescent="0.35">
      <c r="E178" s="64">
        <v>3</v>
      </c>
      <c r="F178" s="56" t="s">
        <v>403</v>
      </c>
      <c r="G178" s="56">
        <v>13264301</v>
      </c>
      <c r="H178" s="56" t="s">
        <v>313</v>
      </c>
      <c r="I178" s="56" t="s">
        <v>273</v>
      </c>
      <c r="J178" s="56" t="s">
        <v>29</v>
      </c>
      <c r="K178" s="56">
        <v>1092981</v>
      </c>
      <c r="L178" s="65">
        <v>44473</v>
      </c>
      <c r="M178" s="56" t="s">
        <v>352</v>
      </c>
      <c r="N178" s="56" t="s">
        <v>29</v>
      </c>
      <c r="O178" s="56" t="s">
        <v>29</v>
      </c>
      <c r="P178" s="56" t="s">
        <v>29</v>
      </c>
      <c r="Q178" s="66" t="str">
        <f t="shared" si="9"/>
        <v/>
      </c>
      <c r="R178" s="56" t="s">
        <v>29</v>
      </c>
      <c r="S178" s="56" t="s">
        <v>29</v>
      </c>
      <c r="T178" s="56" t="s">
        <v>29</v>
      </c>
      <c r="U178" s="56" t="s">
        <v>29</v>
      </c>
      <c r="V178" s="56">
        <v>2</v>
      </c>
      <c r="W178" s="56">
        <v>647435</v>
      </c>
      <c r="X178" s="79"/>
      <c r="Y178" s="56">
        <v>23</v>
      </c>
      <c r="Z178" s="67" t="s">
        <v>29</v>
      </c>
      <c r="AA178" s="68">
        <f t="shared" si="10"/>
        <v>0</v>
      </c>
      <c r="AB178" s="92">
        <f t="shared" si="8"/>
        <v>0</v>
      </c>
      <c r="AC178" s="92">
        <f>IFERROR(Table16[[#This Row],[Quantity Needed for repair]]*Table16[[#This Row],[Evaluated]],"")</f>
        <v>0</v>
      </c>
    </row>
    <row r="179" spans="5:29" ht="15" thickBot="1" x14ac:dyDescent="0.4">
      <c r="E179" s="69">
        <v>3</v>
      </c>
      <c r="F179" s="70" t="s">
        <v>403</v>
      </c>
      <c r="G179" s="70">
        <v>13264301</v>
      </c>
      <c r="H179" s="70" t="s">
        <v>313</v>
      </c>
      <c r="I179" s="70" t="s">
        <v>273</v>
      </c>
      <c r="J179" s="70" t="s">
        <v>29</v>
      </c>
      <c r="K179" s="70">
        <v>1092981</v>
      </c>
      <c r="L179" s="71">
        <v>44473</v>
      </c>
      <c r="M179" s="70" t="s">
        <v>352</v>
      </c>
      <c r="N179" s="70" t="s">
        <v>29</v>
      </c>
      <c r="O179" s="70" t="s">
        <v>29</v>
      </c>
      <c r="P179" s="70" t="s">
        <v>29</v>
      </c>
      <c r="Q179" s="72" t="str">
        <f t="shared" si="9"/>
        <v/>
      </c>
      <c r="R179" s="70" t="s">
        <v>29</v>
      </c>
      <c r="S179" s="70" t="s">
        <v>29</v>
      </c>
      <c r="T179" s="70" t="s">
        <v>29</v>
      </c>
      <c r="U179" s="70" t="s">
        <v>29</v>
      </c>
      <c r="V179" s="70">
        <v>3</v>
      </c>
      <c r="W179" s="70">
        <v>418525</v>
      </c>
      <c r="X179" s="80"/>
      <c r="Y179" s="70">
        <v>6</v>
      </c>
      <c r="Z179" s="73" t="s">
        <v>29</v>
      </c>
      <c r="AA179" s="74">
        <f t="shared" si="10"/>
        <v>0</v>
      </c>
      <c r="AB179" s="93">
        <f t="shared" si="8"/>
        <v>0</v>
      </c>
      <c r="AC179" s="93">
        <f>IFERROR(Table16[[#This Row],[Quantity Needed for repair]]*Table16[[#This Row],[Evaluated]],"")</f>
        <v>0</v>
      </c>
    </row>
    <row r="180" spans="5:29" x14ac:dyDescent="0.35">
      <c r="E180" s="57">
        <v>3</v>
      </c>
      <c r="F180" s="58" t="s">
        <v>404</v>
      </c>
      <c r="G180" s="58">
        <v>12819980</v>
      </c>
      <c r="H180" s="58" t="s">
        <v>313</v>
      </c>
      <c r="I180" s="58" t="s">
        <v>351</v>
      </c>
      <c r="J180" s="58" t="s">
        <v>29</v>
      </c>
      <c r="K180" s="58">
        <v>756447</v>
      </c>
      <c r="L180" s="59">
        <v>44473</v>
      </c>
      <c r="M180" s="58" t="s">
        <v>352</v>
      </c>
      <c r="N180" s="58" t="s">
        <v>29</v>
      </c>
      <c r="O180" s="58" t="s">
        <v>29</v>
      </c>
      <c r="P180" s="58" t="s">
        <v>29</v>
      </c>
      <c r="Q180" s="60" t="str">
        <f t="shared" si="9"/>
        <v/>
      </c>
      <c r="R180" s="58" t="s">
        <v>29</v>
      </c>
      <c r="S180" s="58" t="s">
        <v>29</v>
      </c>
      <c r="T180" s="58" t="s">
        <v>29</v>
      </c>
      <c r="U180" s="58" t="s">
        <v>29</v>
      </c>
      <c r="V180" s="58">
        <v>1</v>
      </c>
      <c r="W180" s="58">
        <v>1130198</v>
      </c>
      <c r="X180" s="81"/>
      <c r="Y180" s="58">
        <v>58</v>
      </c>
      <c r="Z180" s="61" t="s">
        <v>29</v>
      </c>
      <c r="AA180" s="62">
        <f t="shared" si="10"/>
        <v>0</v>
      </c>
      <c r="AB180" s="91">
        <f t="shared" si="8"/>
        <v>0</v>
      </c>
      <c r="AC180" s="91">
        <f>IFERROR(Table16[[#This Row],[Quantity Needed for repair]]*Table16[[#This Row],[Evaluated]],"")</f>
        <v>0</v>
      </c>
    </row>
    <row r="181" spans="5:29" x14ac:dyDescent="0.35">
      <c r="E181" s="64">
        <v>3</v>
      </c>
      <c r="F181" s="56" t="s">
        <v>404</v>
      </c>
      <c r="G181" s="56">
        <v>12819980</v>
      </c>
      <c r="H181" s="56" t="s">
        <v>313</v>
      </c>
      <c r="I181" s="56" t="s">
        <v>351</v>
      </c>
      <c r="J181" s="56" t="s">
        <v>29</v>
      </c>
      <c r="K181" s="56">
        <v>756447</v>
      </c>
      <c r="L181" s="65">
        <v>44473</v>
      </c>
      <c r="M181" s="56" t="s">
        <v>352</v>
      </c>
      <c r="N181" s="56" t="s">
        <v>29</v>
      </c>
      <c r="O181" s="56" t="s">
        <v>29</v>
      </c>
      <c r="P181" s="56" t="s">
        <v>29</v>
      </c>
      <c r="Q181" s="66" t="str">
        <f t="shared" si="9"/>
        <v/>
      </c>
      <c r="R181" s="56" t="s">
        <v>29</v>
      </c>
      <c r="S181" s="56" t="s">
        <v>29</v>
      </c>
      <c r="T181" s="56" t="s">
        <v>29</v>
      </c>
      <c r="U181" s="56" t="s">
        <v>29</v>
      </c>
      <c r="V181" s="56">
        <v>2</v>
      </c>
      <c r="W181" s="56">
        <v>1130196</v>
      </c>
      <c r="X181" s="82"/>
      <c r="Y181" s="56">
        <v>7</v>
      </c>
      <c r="Z181" s="67" t="s">
        <v>29</v>
      </c>
      <c r="AA181" s="68">
        <f t="shared" si="10"/>
        <v>0</v>
      </c>
      <c r="AB181" s="92">
        <f t="shared" si="8"/>
        <v>0</v>
      </c>
      <c r="AC181" s="92">
        <f>IFERROR(Table16[[#This Row],[Quantity Needed for repair]]*Table16[[#This Row],[Evaluated]],"")</f>
        <v>0</v>
      </c>
    </row>
    <row r="182" spans="5:29" ht="15" thickBot="1" x14ac:dyDescent="0.4">
      <c r="E182" s="69">
        <v>3</v>
      </c>
      <c r="F182" s="70" t="s">
        <v>404</v>
      </c>
      <c r="G182" s="70">
        <v>12819980</v>
      </c>
      <c r="H182" s="70" t="s">
        <v>313</v>
      </c>
      <c r="I182" s="70" t="s">
        <v>351</v>
      </c>
      <c r="J182" s="70" t="s">
        <v>29</v>
      </c>
      <c r="K182" s="70">
        <v>756447</v>
      </c>
      <c r="L182" s="71">
        <v>44473</v>
      </c>
      <c r="M182" s="70" t="s">
        <v>352</v>
      </c>
      <c r="N182" s="70" t="s">
        <v>29</v>
      </c>
      <c r="O182" s="70" t="s">
        <v>29</v>
      </c>
      <c r="P182" s="70" t="s">
        <v>29</v>
      </c>
      <c r="Q182" s="72" t="str">
        <f t="shared" si="9"/>
        <v/>
      </c>
      <c r="R182" s="70" t="s">
        <v>29</v>
      </c>
      <c r="S182" s="70" t="s">
        <v>29</v>
      </c>
      <c r="T182" s="70" t="s">
        <v>29</v>
      </c>
      <c r="U182" s="70" t="s">
        <v>29</v>
      </c>
      <c r="V182" s="70">
        <v>3</v>
      </c>
      <c r="W182" s="70">
        <v>418525</v>
      </c>
      <c r="X182" s="83"/>
      <c r="Y182" s="70">
        <v>12</v>
      </c>
      <c r="Z182" s="73" t="s">
        <v>29</v>
      </c>
      <c r="AA182" s="74">
        <f t="shared" si="10"/>
        <v>0</v>
      </c>
      <c r="AB182" s="93">
        <f t="shared" si="8"/>
        <v>0</v>
      </c>
      <c r="AC182" s="93">
        <f>IFERROR(Table16[[#This Row],[Quantity Needed for repair]]*Table16[[#This Row],[Evaluated]],"")</f>
        <v>0</v>
      </c>
    </row>
    <row r="183" spans="5:29" x14ac:dyDescent="0.35">
      <c r="E183" s="57">
        <v>3</v>
      </c>
      <c r="F183" s="58" t="s">
        <v>405</v>
      </c>
      <c r="G183" s="58">
        <v>12801307</v>
      </c>
      <c r="H183" s="58" t="s">
        <v>313</v>
      </c>
      <c r="I183" s="58" t="s">
        <v>351</v>
      </c>
      <c r="J183" s="58" t="s">
        <v>29</v>
      </c>
      <c r="K183" s="58">
        <v>756447</v>
      </c>
      <c r="L183" s="59">
        <v>44473</v>
      </c>
      <c r="M183" s="58" t="s">
        <v>352</v>
      </c>
      <c r="N183" s="58" t="s">
        <v>29</v>
      </c>
      <c r="O183" s="58" t="s">
        <v>29</v>
      </c>
      <c r="P183" s="58" t="s">
        <v>29</v>
      </c>
      <c r="Q183" s="60" t="str">
        <f t="shared" si="9"/>
        <v/>
      </c>
      <c r="R183" s="58" t="s">
        <v>29</v>
      </c>
      <c r="S183" s="58" t="s">
        <v>29</v>
      </c>
      <c r="T183" s="58" t="s">
        <v>29</v>
      </c>
      <c r="U183" s="58" t="s">
        <v>29</v>
      </c>
      <c r="V183" s="58">
        <v>1</v>
      </c>
      <c r="W183" s="58">
        <v>1130198</v>
      </c>
      <c r="X183" s="58" t="s">
        <v>29</v>
      </c>
      <c r="Y183" s="58">
        <v>58</v>
      </c>
      <c r="Z183" s="61" t="s">
        <v>29</v>
      </c>
      <c r="AA183" s="62" t="str">
        <f t="shared" si="10"/>
        <v/>
      </c>
      <c r="AB183" s="91">
        <f t="shared" si="8"/>
        <v>0</v>
      </c>
      <c r="AC183" s="91" t="str">
        <f>IFERROR(Table16[[#This Row],[Quantity Needed for repair]]*Table16[[#This Row],[Evaluated]],"")</f>
        <v/>
      </c>
    </row>
    <row r="184" spans="5:29" x14ac:dyDescent="0.35">
      <c r="E184" s="64">
        <v>3</v>
      </c>
      <c r="F184" s="56" t="s">
        <v>405</v>
      </c>
      <c r="G184" s="56">
        <v>12801307</v>
      </c>
      <c r="H184" s="56" t="s">
        <v>313</v>
      </c>
      <c r="I184" s="56" t="s">
        <v>351</v>
      </c>
      <c r="J184" s="56" t="s">
        <v>29</v>
      </c>
      <c r="K184" s="56">
        <v>756447</v>
      </c>
      <c r="L184" s="65">
        <v>44473</v>
      </c>
      <c r="M184" s="56" t="s">
        <v>352</v>
      </c>
      <c r="N184" s="56" t="s">
        <v>29</v>
      </c>
      <c r="O184" s="56" t="s">
        <v>29</v>
      </c>
      <c r="P184" s="56" t="s">
        <v>29</v>
      </c>
      <c r="Q184" s="66" t="str">
        <f t="shared" si="9"/>
        <v/>
      </c>
      <c r="R184" s="56" t="s">
        <v>29</v>
      </c>
      <c r="S184" s="56" t="s">
        <v>29</v>
      </c>
      <c r="T184" s="56" t="s">
        <v>29</v>
      </c>
      <c r="U184" s="56" t="s">
        <v>29</v>
      </c>
      <c r="V184" s="56">
        <v>2</v>
      </c>
      <c r="W184" s="56">
        <v>1130196</v>
      </c>
      <c r="X184" s="56" t="s">
        <v>29</v>
      </c>
      <c r="Y184" s="56">
        <v>7</v>
      </c>
      <c r="Z184" s="67" t="s">
        <v>29</v>
      </c>
      <c r="AA184" s="68" t="str">
        <f t="shared" si="10"/>
        <v/>
      </c>
      <c r="AB184" s="92">
        <f t="shared" si="8"/>
        <v>0</v>
      </c>
      <c r="AC184" s="92" t="str">
        <f>IFERROR(Table16[[#This Row],[Quantity Needed for repair]]*Table16[[#This Row],[Evaluated]],"")</f>
        <v/>
      </c>
    </row>
    <row r="185" spans="5:29" ht="15" thickBot="1" x14ac:dyDescent="0.4">
      <c r="E185" s="69">
        <v>3</v>
      </c>
      <c r="F185" s="70" t="s">
        <v>405</v>
      </c>
      <c r="G185" s="70">
        <v>12801307</v>
      </c>
      <c r="H185" s="70" t="s">
        <v>313</v>
      </c>
      <c r="I185" s="70" t="s">
        <v>351</v>
      </c>
      <c r="J185" s="70" t="s">
        <v>29</v>
      </c>
      <c r="K185" s="70">
        <v>756447</v>
      </c>
      <c r="L185" s="71">
        <v>44473</v>
      </c>
      <c r="M185" s="70" t="s">
        <v>352</v>
      </c>
      <c r="N185" s="70" t="s">
        <v>29</v>
      </c>
      <c r="O185" s="70" t="s">
        <v>29</v>
      </c>
      <c r="P185" s="70" t="s">
        <v>29</v>
      </c>
      <c r="Q185" s="72" t="str">
        <f t="shared" si="9"/>
        <v/>
      </c>
      <c r="R185" s="70" t="s">
        <v>29</v>
      </c>
      <c r="S185" s="70" t="s">
        <v>29</v>
      </c>
      <c r="T185" s="70" t="s">
        <v>29</v>
      </c>
      <c r="U185" s="70" t="s">
        <v>29</v>
      </c>
      <c r="V185" s="70">
        <v>3</v>
      </c>
      <c r="W185" s="70">
        <v>418525</v>
      </c>
      <c r="X185" s="70">
        <v>12</v>
      </c>
      <c r="Y185" s="70">
        <v>12</v>
      </c>
      <c r="Z185" s="73" t="s">
        <v>29</v>
      </c>
      <c r="AA185" s="74">
        <f t="shared" si="10"/>
        <v>1</v>
      </c>
      <c r="AB185" s="93">
        <f t="shared" si="8"/>
        <v>0</v>
      </c>
      <c r="AC185" s="93">
        <f>IFERROR(Table16[[#This Row],[Quantity Needed for repair]]*Table16[[#This Row],[Evaluated]],"")</f>
        <v>0</v>
      </c>
    </row>
    <row r="186" spans="5:29" x14ac:dyDescent="0.35">
      <c r="E186" s="57">
        <v>3</v>
      </c>
      <c r="F186" s="58" t="s">
        <v>406</v>
      </c>
      <c r="G186" s="58">
        <v>12801309</v>
      </c>
      <c r="H186" s="58" t="s">
        <v>313</v>
      </c>
      <c r="I186" s="58" t="s">
        <v>351</v>
      </c>
      <c r="J186" s="58" t="s">
        <v>29</v>
      </c>
      <c r="K186" s="58">
        <v>756447</v>
      </c>
      <c r="L186" s="59">
        <v>44473</v>
      </c>
      <c r="M186" s="58" t="s">
        <v>352</v>
      </c>
      <c r="N186" s="58" t="s">
        <v>29</v>
      </c>
      <c r="O186" s="58" t="s">
        <v>29</v>
      </c>
      <c r="P186" s="58" t="s">
        <v>29</v>
      </c>
      <c r="Q186" s="60" t="str">
        <f t="shared" si="9"/>
        <v/>
      </c>
      <c r="R186" s="58" t="s">
        <v>29</v>
      </c>
      <c r="S186" s="58" t="s">
        <v>29</v>
      </c>
      <c r="T186" s="58" t="s">
        <v>29</v>
      </c>
      <c r="U186" s="58" t="s">
        <v>29</v>
      </c>
      <c r="V186" s="58">
        <v>1</v>
      </c>
      <c r="W186" s="58">
        <v>1130198</v>
      </c>
      <c r="X186" s="58">
        <v>23</v>
      </c>
      <c r="Y186" s="58">
        <v>58</v>
      </c>
      <c r="Z186" s="61" t="s">
        <v>29</v>
      </c>
      <c r="AA186" s="62">
        <f t="shared" si="10"/>
        <v>0.39655172413793105</v>
      </c>
      <c r="AB186" s="91">
        <f t="shared" si="8"/>
        <v>0</v>
      </c>
      <c r="AC186" s="91">
        <f>IFERROR(Table16[[#This Row],[Quantity Needed for repair]]*Table16[[#This Row],[Evaluated]],"")</f>
        <v>0</v>
      </c>
    </row>
    <row r="187" spans="5:29" x14ac:dyDescent="0.35">
      <c r="E187" s="64">
        <v>3</v>
      </c>
      <c r="F187" s="56" t="s">
        <v>406</v>
      </c>
      <c r="G187" s="56">
        <v>12801309</v>
      </c>
      <c r="H187" s="56" t="s">
        <v>313</v>
      </c>
      <c r="I187" s="56" t="s">
        <v>351</v>
      </c>
      <c r="J187" s="56" t="s">
        <v>29</v>
      </c>
      <c r="K187" s="56">
        <v>756447</v>
      </c>
      <c r="L187" s="65">
        <v>44473</v>
      </c>
      <c r="M187" s="56" t="s">
        <v>352</v>
      </c>
      <c r="N187" s="56" t="s">
        <v>29</v>
      </c>
      <c r="O187" s="56" t="s">
        <v>29</v>
      </c>
      <c r="P187" s="56" t="s">
        <v>29</v>
      </c>
      <c r="Q187" s="66" t="str">
        <f t="shared" si="9"/>
        <v/>
      </c>
      <c r="R187" s="56" t="s">
        <v>29</v>
      </c>
      <c r="S187" s="56" t="s">
        <v>29</v>
      </c>
      <c r="T187" s="56" t="s">
        <v>29</v>
      </c>
      <c r="U187" s="56" t="s">
        <v>29</v>
      </c>
      <c r="V187" s="56">
        <v>2</v>
      </c>
      <c r="W187" s="56">
        <v>1130196</v>
      </c>
      <c r="X187" s="56">
        <v>1</v>
      </c>
      <c r="Y187" s="56">
        <v>7</v>
      </c>
      <c r="Z187" s="67" t="s">
        <v>29</v>
      </c>
      <c r="AA187" s="68">
        <f t="shared" si="10"/>
        <v>0.14285714285714285</v>
      </c>
      <c r="AB187" s="92">
        <f t="shared" si="8"/>
        <v>0</v>
      </c>
      <c r="AC187" s="92">
        <f>IFERROR(Table16[[#This Row],[Quantity Needed for repair]]*Table16[[#This Row],[Evaluated]],"")</f>
        <v>0</v>
      </c>
    </row>
    <row r="188" spans="5:29" ht="15" thickBot="1" x14ac:dyDescent="0.4">
      <c r="E188" s="69">
        <v>3</v>
      </c>
      <c r="F188" s="70" t="s">
        <v>406</v>
      </c>
      <c r="G188" s="70">
        <v>12801309</v>
      </c>
      <c r="H188" s="70" t="s">
        <v>313</v>
      </c>
      <c r="I188" s="70" t="s">
        <v>351</v>
      </c>
      <c r="J188" s="70" t="s">
        <v>29</v>
      </c>
      <c r="K188" s="70">
        <v>756447</v>
      </c>
      <c r="L188" s="71">
        <v>44473</v>
      </c>
      <c r="M188" s="70" t="s">
        <v>352</v>
      </c>
      <c r="N188" s="70" t="s">
        <v>29</v>
      </c>
      <c r="O188" s="70" t="s">
        <v>29</v>
      </c>
      <c r="P188" s="70" t="s">
        <v>29</v>
      </c>
      <c r="Q188" s="72" t="str">
        <f t="shared" si="9"/>
        <v/>
      </c>
      <c r="R188" s="70" t="s">
        <v>29</v>
      </c>
      <c r="S188" s="70" t="s">
        <v>29</v>
      </c>
      <c r="T188" s="70" t="s">
        <v>29</v>
      </c>
      <c r="U188" s="70" t="s">
        <v>29</v>
      </c>
      <c r="V188" s="70">
        <v>3</v>
      </c>
      <c r="W188" s="70">
        <v>418525</v>
      </c>
      <c r="X188" s="70">
        <v>12</v>
      </c>
      <c r="Y188" s="70">
        <v>12</v>
      </c>
      <c r="Z188" s="73" t="s">
        <v>29</v>
      </c>
      <c r="AA188" s="74">
        <f t="shared" si="10"/>
        <v>1</v>
      </c>
      <c r="AB188" s="93">
        <f t="shared" si="8"/>
        <v>0</v>
      </c>
      <c r="AC188" s="93">
        <f>IFERROR(Table16[[#This Row],[Quantity Needed for repair]]*Table16[[#This Row],[Evaluated]],"")</f>
        <v>0</v>
      </c>
    </row>
    <row r="189" spans="5:29" x14ac:dyDescent="0.35">
      <c r="E189" s="57">
        <v>3</v>
      </c>
      <c r="F189" s="58" t="s">
        <v>407</v>
      </c>
      <c r="G189" s="58">
        <v>12877917</v>
      </c>
      <c r="H189" s="58" t="s">
        <v>315</v>
      </c>
      <c r="I189" s="58" t="s">
        <v>367</v>
      </c>
      <c r="J189" s="58" t="s">
        <v>29</v>
      </c>
      <c r="K189" s="58">
        <v>1005462</v>
      </c>
      <c r="L189" s="59">
        <v>44473</v>
      </c>
      <c r="M189" s="58" t="s">
        <v>352</v>
      </c>
      <c r="N189" s="58" t="s">
        <v>29</v>
      </c>
      <c r="O189" s="58" t="s">
        <v>29</v>
      </c>
      <c r="P189" s="58" t="s">
        <v>29</v>
      </c>
      <c r="Q189" s="60" t="str">
        <f t="shared" si="9"/>
        <v/>
      </c>
      <c r="R189" s="58" t="s">
        <v>29</v>
      </c>
      <c r="S189" s="58" t="s">
        <v>29</v>
      </c>
      <c r="T189" s="58" t="s">
        <v>29</v>
      </c>
      <c r="U189" s="58" t="s">
        <v>29</v>
      </c>
      <c r="V189" s="58">
        <v>1</v>
      </c>
      <c r="W189" s="58">
        <v>1130200</v>
      </c>
      <c r="X189" s="58">
        <v>21</v>
      </c>
      <c r="Y189" s="58">
        <v>48</v>
      </c>
      <c r="Z189" s="61" t="s">
        <v>29</v>
      </c>
      <c r="AA189" s="62">
        <f t="shared" si="10"/>
        <v>0.4375</v>
      </c>
      <c r="AB189" s="91">
        <f t="shared" si="8"/>
        <v>0</v>
      </c>
      <c r="AC189" s="91">
        <f>IFERROR(Table16[[#This Row],[Quantity Needed for repair]]*Table16[[#This Row],[Evaluated]],"")</f>
        <v>0</v>
      </c>
    </row>
    <row r="190" spans="5:29" x14ac:dyDescent="0.35">
      <c r="E190" s="64">
        <v>3</v>
      </c>
      <c r="F190" s="56" t="s">
        <v>407</v>
      </c>
      <c r="G190" s="56">
        <v>12877917</v>
      </c>
      <c r="H190" s="56" t="s">
        <v>315</v>
      </c>
      <c r="I190" s="56" t="s">
        <v>367</v>
      </c>
      <c r="J190" s="56" t="s">
        <v>29</v>
      </c>
      <c r="K190" s="56">
        <v>1005462</v>
      </c>
      <c r="L190" s="65">
        <v>44473</v>
      </c>
      <c r="M190" s="56" t="s">
        <v>352</v>
      </c>
      <c r="N190" s="56" t="s">
        <v>29</v>
      </c>
      <c r="O190" s="56" t="s">
        <v>29</v>
      </c>
      <c r="P190" s="56" t="s">
        <v>29</v>
      </c>
      <c r="Q190" s="66" t="str">
        <f t="shared" si="9"/>
        <v/>
      </c>
      <c r="R190" s="56" t="s">
        <v>29</v>
      </c>
      <c r="S190" s="56" t="s">
        <v>29</v>
      </c>
      <c r="T190" s="56" t="s">
        <v>29</v>
      </c>
      <c r="U190" s="56" t="s">
        <v>29</v>
      </c>
      <c r="V190" s="56">
        <v>2</v>
      </c>
      <c r="W190" s="56">
        <v>1130198</v>
      </c>
      <c r="X190" s="56" t="s">
        <v>29</v>
      </c>
      <c r="Y190" s="56">
        <v>9</v>
      </c>
      <c r="Z190" s="67" t="s">
        <v>29</v>
      </c>
      <c r="AA190" s="68" t="str">
        <f t="shared" si="10"/>
        <v/>
      </c>
      <c r="AB190" s="92">
        <f t="shared" si="8"/>
        <v>0</v>
      </c>
      <c r="AC190" s="92" t="str">
        <f>IFERROR(Table16[[#This Row],[Quantity Needed for repair]]*Table16[[#This Row],[Evaluated]],"")</f>
        <v/>
      </c>
    </row>
    <row r="191" spans="5:29" x14ac:dyDescent="0.35">
      <c r="E191" s="64">
        <v>3</v>
      </c>
      <c r="F191" s="56" t="s">
        <v>407</v>
      </c>
      <c r="G191" s="56">
        <v>12877917</v>
      </c>
      <c r="H191" s="56" t="s">
        <v>315</v>
      </c>
      <c r="I191" s="56" t="s">
        <v>367</v>
      </c>
      <c r="J191" s="56" t="s">
        <v>29</v>
      </c>
      <c r="K191" s="56">
        <v>1005462</v>
      </c>
      <c r="L191" s="65">
        <v>44473</v>
      </c>
      <c r="M191" s="56" t="s">
        <v>352</v>
      </c>
      <c r="N191" s="56" t="s">
        <v>29</v>
      </c>
      <c r="O191" s="56" t="s">
        <v>29</v>
      </c>
      <c r="P191" s="56" t="s">
        <v>29</v>
      </c>
      <c r="Q191" s="66" t="str">
        <f t="shared" si="9"/>
        <v/>
      </c>
      <c r="R191" s="56" t="s">
        <v>29</v>
      </c>
      <c r="S191" s="56" t="s">
        <v>29</v>
      </c>
      <c r="T191" s="56" t="s">
        <v>29</v>
      </c>
      <c r="U191" s="56" t="s">
        <v>29</v>
      </c>
      <c r="V191" s="56">
        <v>3</v>
      </c>
      <c r="W191" s="56">
        <v>708306</v>
      </c>
      <c r="X191" s="56">
        <v>7</v>
      </c>
      <c r="Y191" s="56">
        <v>34</v>
      </c>
      <c r="Z191" s="67" t="s">
        <v>29</v>
      </c>
      <c r="AA191" s="68">
        <f t="shared" si="10"/>
        <v>0.20588235294117646</v>
      </c>
      <c r="AB191" s="92">
        <f t="shared" si="8"/>
        <v>0</v>
      </c>
      <c r="AC191" s="92">
        <f>IFERROR(Table16[[#This Row],[Quantity Needed for repair]]*Table16[[#This Row],[Evaluated]],"")</f>
        <v>0</v>
      </c>
    </row>
    <row r="192" spans="5:29" x14ac:dyDescent="0.35">
      <c r="E192" s="64">
        <v>3</v>
      </c>
      <c r="F192" s="56" t="s">
        <v>407</v>
      </c>
      <c r="G192" s="56">
        <v>12877917</v>
      </c>
      <c r="H192" s="56" t="s">
        <v>315</v>
      </c>
      <c r="I192" s="56" t="s">
        <v>367</v>
      </c>
      <c r="J192" s="56" t="s">
        <v>29</v>
      </c>
      <c r="K192" s="56">
        <v>1005462</v>
      </c>
      <c r="L192" s="65">
        <v>44473</v>
      </c>
      <c r="M192" s="56" t="s">
        <v>352</v>
      </c>
      <c r="N192" s="56" t="s">
        <v>29</v>
      </c>
      <c r="O192" s="56" t="s">
        <v>29</v>
      </c>
      <c r="P192" s="56" t="s">
        <v>29</v>
      </c>
      <c r="Q192" s="66" t="str">
        <f t="shared" si="9"/>
        <v/>
      </c>
      <c r="R192" s="56" t="s">
        <v>29</v>
      </c>
      <c r="S192" s="56" t="s">
        <v>29</v>
      </c>
      <c r="T192" s="56" t="s">
        <v>29</v>
      </c>
      <c r="U192" s="56" t="s">
        <v>29</v>
      </c>
      <c r="V192" s="56">
        <v>4</v>
      </c>
      <c r="W192" s="56">
        <v>871781</v>
      </c>
      <c r="X192" s="56" t="s">
        <v>29</v>
      </c>
      <c r="Y192" s="56">
        <v>4</v>
      </c>
      <c r="Z192" s="67" t="s">
        <v>29</v>
      </c>
      <c r="AA192" s="68" t="str">
        <f t="shared" si="10"/>
        <v/>
      </c>
      <c r="AB192" s="92">
        <f t="shared" si="8"/>
        <v>0</v>
      </c>
      <c r="AC192" s="92" t="str">
        <f>IFERROR(Table16[[#This Row],[Quantity Needed for repair]]*Table16[[#This Row],[Evaluated]],"")</f>
        <v/>
      </c>
    </row>
    <row r="193" spans="5:29" ht="15" thickBot="1" x14ac:dyDescent="0.4">
      <c r="E193" s="69">
        <v>3</v>
      </c>
      <c r="F193" s="70" t="s">
        <v>407</v>
      </c>
      <c r="G193" s="70">
        <v>12877917</v>
      </c>
      <c r="H193" s="70" t="s">
        <v>315</v>
      </c>
      <c r="I193" s="70" t="s">
        <v>367</v>
      </c>
      <c r="J193" s="70" t="s">
        <v>29</v>
      </c>
      <c r="K193" s="70">
        <v>1005462</v>
      </c>
      <c r="L193" s="71">
        <v>44473</v>
      </c>
      <c r="M193" s="70" t="s">
        <v>352</v>
      </c>
      <c r="N193" s="70" t="s">
        <v>29</v>
      </c>
      <c r="O193" s="70" t="s">
        <v>29</v>
      </c>
      <c r="P193" s="70" t="s">
        <v>29</v>
      </c>
      <c r="Q193" s="72" t="str">
        <f t="shared" si="9"/>
        <v/>
      </c>
      <c r="R193" s="70" t="s">
        <v>29</v>
      </c>
      <c r="S193" s="70" t="s">
        <v>29</v>
      </c>
      <c r="T193" s="70" t="s">
        <v>29</v>
      </c>
      <c r="U193" s="70" t="s">
        <v>29</v>
      </c>
      <c r="V193" s="70">
        <v>5</v>
      </c>
      <c r="W193" s="70">
        <v>418525</v>
      </c>
      <c r="X193" s="70">
        <v>4</v>
      </c>
      <c r="Y193" s="70">
        <v>4</v>
      </c>
      <c r="Z193" s="73" t="s">
        <v>29</v>
      </c>
      <c r="AA193" s="74">
        <f t="shared" si="10"/>
        <v>1</v>
      </c>
      <c r="AB193" s="93">
        <f t="shared" si="8"/>
        <v>0</v>
      </c>
      <c r="AC193" s="93">
        <f>IFERROR(Table16[[#This Row],[Quantity Needed for repair]]*Table16[[#This Row],[Evaluated]],"")</f>
        <v>0</v>
      </c>
    </row>
    <row r="194" spans="5:29" x14ac:dyDescent="0.35">
      <c r="E194" s="57">
        <v>3</v>
      </c>
      <c r="F194" s="58" t="s">
        <v>408</v>
      </c>
      <c r="G194" s="58">
        <v>12925390</v>
      </c>
      <c r="H194" s="58" t="s">
        <v>313</v>
      </c>
      <c r="I194" s="58" t="s">
        <v>351</v>
      </c>
      <c r="J194" s="58" t="s">
        <v>29</v>
      </c>
      <c r="K194" s="58">
        <v>756447</v>
      </c>
      <c r="L194" s="59">
        <v>44473</v>
      </c>
      <c r="M194" s="58" t="s">
        <v>352</v>
      </c>
      <c r="N194" s="58" t="s">
        <v>29</v>
      </c>
      <c r="O194" s="58" t="s">
        <v>29</v>
      </c>
      <c r="P194" s="58" t="s">
        <v>29</v>
      </c>
      <c r="Q194" s="60" t="str">
        <f t="shared" si="9"/>
        <v/>
      </c>
      <c r="R194" s="58" t="s">
        <v>29</v>
      </c>
      <c r="S194" s="58" t="s">
        <v>29</v>
      </c>
      <c r="T194" s="58" t="s">
        <v>29</v>
      </c>
      <c r="U194" s="58" t="s">
        <v>29</v>
      </c>
      <c r="V194" s="58">
        <v>1</v>
      </c>
      <c r="W194" s="58">
        <v>1130198</v>
      </c>
      <c r="X194" s="58">
        <v>24</v>
      </c>
      <c r="Y194" s="58">
        <v>58</v>
      </c>
      <c r="Z194" s="61" t="s">
        <v>29</v>
      </c>
      <c r="AA194" s="62">
        <f t="shared" si="10"/>
        <v>0.41379310344827586</v>
      </c>
      <c r="AB194" s="91">
        <f t="shared" ref="AB194:AB257" si="11">IFERROR(INDEX($A$2:$C$553,MATCH($F194,$A$2:$A$553,0),3),0)</f>
        <v>0</v>
      </c>
      <c r="AC194" s="91">
        <f>IFERROR(Table16[[#This Row],[Quantity Needed for repair]]*Table16[[#This Row],[Evaluated]],"")</f>
        <v>0</v>
      </c>
    </row>
    <row r="195" spans="5:29" x14ac:dyDescent="0.35">
      <c r="E195" s="64">
        <v>3</v>
      </c>
      <c r="F195" s="56" t="s">
        <v>408</v>
      </c>
      <c r="G195" s="56">
        <v>12925390</v>
      </c>
      <c r="H195" s="56" t="s">
        <v>313</v>
      </c>
      <c r="I195" s="56" t="s">
        <v>351</v>
      </c>
      <c r="J195" s="56" t="s">
        <v>29</v>
      </c>
      <c r="K195" s="56">
        <v>756447</v>
      </c>
      <c r="L195" s="65">
        <v>44473</v>
      </c>
      <c r="M195" s="56" t="s">
        <v>352</v>
      </c>
      <c r="N195" s="56" t="s">
        <v>29</v>
      </c>
      <c r="O195" s="56" t="s">
        <v>29</v>
      </c>
      <c r="P195" s="56" t="s">
        <v>29</v>
      </c>
      <c r="Q195" s="66" t="str">
        <f t="shared" ref="Q195:Q258" si="12">IFERROR(ROUND(O195/P195*100,0)&amp;" %"&amp;IF(O195/P195&gt;0.6,", High Price",""),"")</f>
        <v/>
      </c>
      <c r="R195" s="56" t="s">
        <v>29</v>
      </c>
      <c r="S195" s="56" t="s">
        <v>29</v>
      </c>
      <c r="T195" s="56" t="s">
        <v>29</v>
      </c>
      <c r="U195" s="56" t="s">
        <v>29</v>
      </c>
      <c r="V195" s="56">
        <v>2</v>
      </c>
      <c r="W195" s="56">
        <v>1130196</v>
      </c>
      <c r="X195" s="56">
        <v>4</v>
      </c>
      <c r="Y195" s="56">
        <v>7</v>
      </c>
      <c r="Z195" s="67" t="s">
        <v>29</v>
      </c>
      <c r="AA195" s="68">
        <f t="shared" ref="AA195:AA258" si="13">IFERROR(X195/Y195,"")</f>
        <v>0.5714285714285714</v>
      </c>
      <c r="AB195" s="92">
        <f t="shared" si="11"/>
        <v>0</v>
      </c>
      <c r="AC195" s="92">
        <f>IFERROR(Table16[[#This Row],[Quantity Needed for repair]]*Table16[[#This Row],[Evaluated]],"")</f>
        <v>0</v>
      </c>
    </row>
    <row r="196" spans="5:29" ht="15" thickBot="1" x14ac:dyDescent="0.4">
      <c r="E196" s="69">
        <v>3</v>
      </c>
      <c r="F196" s="70" t="s">
        <v>408</v>
      </c>
      <c r="G196" s="70">
        <v>12925390</v>
      </c>
      <c r="H196" s="70" t="s">
        <v>313</v>
      </c>
      <c r="I196" s="70" t="s">
        <v>351</v>
      </c>
      <c r="J196" s="70" t="s">
        <v>29</v>
      </c>
      <c r="K196" s="70">
        <v>756447</v>
      </c>
      <c r="L196" s="71">
        <v>44473</v>
      </c>
      <c r="M196" s="70" t="s">
        <v>352</v>
      </c>
      <c r="N196" s="70" t="s">
        <v>29</v>
      </c>
      <c r="O196" s="70" t="s">
        <v>29</v>
      </c>
      <c r="P196" s="70" t="s">
        <v>29</v>
      </c>
      <c r="Q196" s="72" t="str">
        <f t="shared" si="12"/>
        <v/>
      </c>
      <c r="R196" s="70" t="s">
        <v>29</v>
      </c>
      <c r="S196" s="70" t="s">
        <v>29</v>
      </c>
      <c r="T196" s="70" t="s">
        <v>29</v>
      </c>
      <c r="U196" s="70" t="s">
        <v>29</v>
      </c>
      <c r="V196" s="70">
        <v>3</v>
      </c>
      <c r="W196" s="70">
        <v>418525</v>
      </c>
      <c r="X196" s="70">
        <v>12</v>
      </c>
      <c r="Y196" s="70">
        <v>12</v>
      </c>
      <c r="Z196" s="73" t="s">
        <v>29</v>
      </c>
      <c r="AA196" s="74">
        <f t="shared" si="13"/>
        <v>1</v>
      </c>
      <c r="AB196" s="93">
        <f t="shared" si="11"/>
        <v>0</v>
      </c>
      <c r="AC196" s="93">
        <f>IFERROR(Table16[[#This Row],[Quantity Needed for repair]]*Table16[[#This Row],[Evaluated]],"")</f>
        <v>0</v>
      </c>
    </row>
    <row r="197" spans="5:29" x14ac:dyDescent="0.35">
      <c r="E197" s="57">
        <v>3</v>
      </c>
      <c r="F197" s="58" t="s">
        <v>409</v>
      </c>
      <c r="G197" s="58">
        <v>12955818</v>
      </c>
      <c r="H197" s="58" t="s">
        <v>313</v>
      </c>
      <c r="I197" s="58" t="s">
        <v>351</v>
      </c>
      <c r="J197" s="58" t="s">
        <v>29</v>
      </c>
      <c r="K197" s="58">
        <v>1006037</v>
      </c>
      <c r="L197" s="59">
        <v>44473</v>
      </c>
      <c r="M197" s="58" t="s">
        <v>352</v>
      </c>
      <c r="N197" s="58" t="s">
        <v>29</v>
      </c>
      <c r="O197" s="58" t="s">
        <v>29</v>
      </c>
      <c r="P197" s="58" t="s">
        <v>29</v>
      </c>
      <c r="Q197" s="60" t="str">
        <f t="shared" si="12"/>
        <v/>
      </c>
      <c r="R197" s="58" t="s">
        <v>29</v>
      </c>
      <c r="S197" s="58" t="s">
        <v>29</v>
      </c>
      <c r="T197" s="58" t="s">
        <v>29</v>
      </c>
      <c r="U197" s="58" t="s">
        <v>29</v>
      </c>
      <c r="V197" s="58">
        <v>1</v>
      </c>
      <c r="W197" s="58">
        <v>1130198</v>
      </c>
      <c r="X197" s="58">
        <v>3</v>
      </c>
      <c r="Y197" s="58">
        <v>30</v>
      </c>
      <c r="Z197" s="61" t="s">
        <v>29</v>
      </c>
      <c r="AA197" s="62">
        <f t="shared" si="13"/>
        <v>0.1</v>
      </c>
      <c r="AB197" s="91">
        <f t="shared" si="11"/>
        <v>0</v>
      </c>
      <c r="AC197" s="91">
        <f>IFERROR(Table16[[#This Row],[Quantity Needed for repair]]*Table16[[#This Row],[Evaluated]],"")</f>
        <v>0</v>
      </c>
    </row>
    <row r="198" spans="5:29" x14ac:dyDescent="0.35">
      <c r="E198" s="64">
        <v>3</v>
      </c>
      <c r="F198" s="56" t="s">
        <v>409</v>
      </c>
      <c r="G198" s="56">
        <v>12955818</v>
      </c>
      <c r="H198" s="56" t="s">
        <v>313</v>
      </c>
      <c r="I198" s="56" t="s">
        <v>351</v>
      </c>
      <c r="J198" s="56" t="s">
        <v>29</v>
      </c>
      <c r="K198" s="56">
        <v>1006037</v>
      </c>
      <c r="L198" s="65">
        <v>44473</v>
      </c>
      <c r="M198" s="56" t="s">
        <v>352</v>
      </c>
      <c r="N198" s="56" t="s">
        <v>29</v>
      </c>
      <c r="O198" s="56" t="s">
        <v>29</v>
      </c>
      <c r="P198" s="56" t="s">
        <v>29</v>
      </c>
      <c r="Q198" s="66" t="str">
        <f t="shared" si="12"/>
        <v/>
      </c>
      <c r="R198" s="56" t="s">
        <v>29</v>
      </c>
      <c r="S198" s="56" t="s">
        <v>29</v>
      </c>
      <c r="T198" s="56" t="s">
        <v>29</v>
      </c>
      <c r="U198" s="56" t="s">
        <v>29</v>
      </c>
      <c r="V198" s="56">
        <v>2</v>
      </c>
      <c r="W198" s="56">
        <v>647436</v>
      </c>
      <c r="X198" s="56" t="s">
        <v>29</v>
      </c>
      <c r="Y198" s="56">
        <v>28</v>
      </c>
      <c r="Z198" s="67" t="s">
        <v>29</v>
      </c>
      <c r="AA198" s="68" t="str">
        <f t="shared" si="13"/>
        <v/>
      </c>
      <c r="AB198" s="92">
        <f t="shared" si="11"/>
        <v>0</v>
      </c>
      <c r="AC198" s="92" t="str">
        <f>IFERROR(Table16[[#This Row],[Quantity Needed for repair]]*Table16[[#This Row],[Evaluated]],"")</f>
        <v/>
      </c>
    </row>
    <row r="199" spans="5:29" x14ac:dyDescent="0.35">
      <c r="E199" s="64">
        <v>3</v>
      </c>
      <c r="F199" s="56" t="s">
        <v>409</v>
      </c>
      <c r="G199" s="56">
        <v>12955818</v>
      </c>
      <c r="H199" s="56" t="s">
        <v>313</v>
      </c>
      <c r="I199" s="56" t="s">
        <v>351</v>
      </c>
      <c r="J199" s="56" t="s">
        <v>29</v>
      </c>
      <c r="K199" s="56">
        <v>1006037</v>
      </c>
      <c r="L199" s="65">
        <v>44473</v>
      </c>
      <c r="M199" s="56" t="s">
        <v>352</v>
      </c>
      <c r="N199" s="56" t="s">
        <v>29</v>
      </c>
      <c r="O199" s="56" t="s">
        <v>29</v>
      </c>
      <c r="P199" s="56" t="s">
        <v>29</v>
      </c>
      <c r="Q199" s="66" t="str">
        <f t="shared" si="12"/>
        <v/>
      </c>
      <c r="R199" s="56" t="s">
        <v>29</v>
      </c>
      <c r="S199" s="56" t="s">
        <v>29</v>
      </c>
      <c r="T199" s="56" t="s">
        <v>29</v>
      </c>
      <c r="U199" s="56" t="s">
        <v>29</v>
      </c>
      <c r="V199" s="56">
        <v>3</v>
      </c>
      <c r="W199" s="56">
        <v>1130196</v>
      </c>
      <c r="X199" s="56">
        <v>1</v>
      </c>
      <c r="Y199" s="56">
        <v>7</v>
      </c>
      <c r="Z199" s="67" t="s">
        <v>29</v>
      </c>
      <c r="AA199" s="68">
        <f t="shared" si="13"/>
        <v>0.14285714285714285</v>
      </c>
      <c r="AB199" s="92">
        <f t="shared" si="11"/>
        <v>0</v>
      </c>
      <c r="AC199" s="92">
        <f>IFERROR(Table16[[#This Row],[Quantity Needed for repair]]*Table16[[#This Row],[Evaluated]],"")</f>
        <v>0</v>
      </c>
    </row>
    <row r="200" spans="5:29" ht="15" thickBot="1" x14ac:dyDescent="0.4">
      <c r="E200" s="69">
        <v>3</v>
      </c>
      <c r="F200" s="70" t="s">
        <v>409</v>
      </c>
      <c r="G200" s="70">
        <v>12955818</v>
      </c>
      <c r="H200" s="70" t="s">
        <v>313</v>
      </c>
      <c r="I200" s="70" t="s">
        <v>351</v>
      </c>
      <c r="J200" s="70" t="s">
        <v>29</v>
      </c>
      <c r="K200" s="70">
        <v>1006037</v>
      </c>
      <c r="L200" s="71">
        <v>44473</v>
      </c>
      <c r="M200" s="70" t="s">
        <v>352</v>
      </c>
      <c r="N200" s="70" t="s">
        <v>29</v>
      </c>
      <c r="O200" s="70" t="s">
        <v>29</v>
      </c>
      <c r="P200" s="70" t="s">
        <v>29</v>
      </c>
      <c r="Q200" s="72" t="str">
        <f t="shared" si="12"/>
        <v/>
      </c>
      <c r="R200" s="70" t="s">
        <v>29</v>
      </c>
      <c r="S200" s="70" t="s">
        <v>29</v>
      </c>
      <c r="T200" s="70" t="s">
        <v>29</v>
      </c>
      <c r="U200" s="70" t="s">
        <v>29</v>
      </c>
      <c r="V200" s="70">
        <v>4</v>
      </c>
      <c r="W200" s="70">
        <v>418525</v>
      </c>
      <c r="X200" s="70">
        <v>6</v>
      </c>
      <c r="Y200" s="70">
        <v>6</v>
      </c>
      <c r="Z200" s="73" t="s">
        <v>29</v>
      </c>
      <c r="AA200" s="74">
        <f t="shared" si="13"/>
        <v>1</v>
      </c>
      <c r="AB200" s="93">
        <f t="shared" si="11"/>
        <v>0</v>
      </c>
      <c r="AC200" s="93">
        <f>IFERROR(Table16[[#This Row],[Quantity Needed for repair]]*Table16[[#This Row],[Evaluated]],"")</f>
        <v>0</v>
      </c>
    </row>
    <row r="201" spans="5:29" x14ac:dyDescent="0.35">
      <c r="E201" s="57">
        <v>3</v>
      </c>
      <c r="F201" s="58" t="s">
        <v>410</v>
      </c>
      <c r="G201" s="58">
        <v>13015735</v>
      </c>
      <c r="H201" s="58" t="s">
        <v>313</v>
      </c>
      <c r="I201" s="58" t="s">
        <v>351</v>
      </c>
      <c r="J201" s="58" t="s">
        <v>29</v>
      </c>
      <c r="K201" s="58">
        <v>1005293</v>
      </c>
      <c r="L201" s="59">
        <v>44473</v>
      </c>
      <c r="M201" s="58" t="s">
        <v>352</v>
      </c>
      <c r="N201" s="58" t="s">
        <v>29</v>
      </c>
      <c r="O201" s="58" t="s">
        <v>29</v>
      </c>
      <c r="P201" s="58" t="s">
        <v>29</v>
      </c>
      <c r="Q201" s="60" t="str">
        <f t="shared" si="12"/>
        <v/>
      </c>
      <c r="R201" s="58" t="s">
        <v>29</v>
      </c>
      <c r="S201" s="58" t="s">
        <v>29</v>
      </c>
      <c r="T201" s="58" t="s">
        <v>29</v>
      </c>
      <c r="U201" s="58" t="s">
        <v>29</v>
      </c>
      <c r="V201" s="58">
        <v>1</v>
      </c>
      <c r="W201" s="58">
        <v>1130198</v>
      </c>
      <c r="X201" s="58">
        <v>16</v>
      </c>
      <c r="Y201" s="58">
        <v>33</v>
      </c>
      <c r="Z201" s="61" t="s">
        <v>29</v>
      </c>
      <c r="AA201" s="62">
        <f t="shared" si="13"/>
        <v>0.48484848484848486</v>
      </c>
      <c r="AB201" s="91">
        <f t="shared" si="11"/>
        <v>0</v>
      </c>
      <c r="AC201" s="91">
        <f>IFERROR(Table16[[#This Row],[Quantity Needed for repair]]*Table16[[#This Row],[Evaluated]],"")</f>
        <v>0</v>
      </c>
    </row>
    <row r="202" spans="5:29" x14ac:dyDescent="0.35">
      <c r="E202" s="64">
        <v>3</v>
      </c>
      <c r="F202" s="56" t="s">
        <v>410</v>
      </c>
      <c r="G202" s="56">
        <v>13015735</v>
      </c>
      <c r="H202" s="56" t="s">
        <v>313</v>
      </c>
      <c r="I202" s="56" t="s">
        <v>351</v>
      </c>
      <c r="J202" s="56" t="s">
        <v>29</v>
      </c>
      <c r="K202" s="56">
        <v>1005293</v>
      </c>
      <c r="L202" s="65">
        <v>44473</v>
      </c>
      <c r="M202" s="56" t="s">
        <v>352</v>
      </c>
      <c r="N202" s="56" t="s">
        <v>29</v>
      </c>
      <c r="O202" s="56" t="s">
        <v>29</v>
      </c>
      <c r="P202" s="56" t="s">
        <v>29</v>
      </c>
      <c r="Q202" s="66" t="str">
        <f t="shared" si="12"/>
        <v/>
      </c>
      <c r="R202" s="56" t="s">
        <v>29</v>
      </c>
      <c r="S202" s="56" t="s">
        <v>29</v>
      </c>
      <c r="T202" s="56" t="s">
        <v>29</v>
      </c>
      <c r="U202" s="56" t="s">
        <v>29</v>
      </c>
      <c r="V202" s="56">
        <v>2</v>
      </c>
      <c r="W202" s="56">
        <v>647435</v>
      </c>
      <c r="X202" s="56">
        <v>15</v>
      </c>
      <c r="Y202" s="56">
        <v>23</v>
      </c>
      <c r="Z202" s="67" t="s">
        <v>29</v>
      </c>
      <c r="AA202" s="68">
        <f t="shared" si="13"/>
        <v>0.65217391304347827</v>
      </c>
      <c r="AB202" s="92">
        <f t="shared" si="11"/>
        <v>0</v>
      </c>
      <c r="AC202" s="92">
        <f>IFERROR(Table16[[#This Row],[Quantity Needed for repair]]*Table16[[#This Row],[Evaluated]],"")</f>
        <v>0</v>
      </c>
    </row>
    <row r="203" spans="5:29" ht="15" thickBot="1" x14ac:dyDescent="0.4">
      <c r="E203" s="69">
        <v>3</v>
      </c>
      <c r="F203" s="70" t="s">
        <v>410</v>
      </c>
      <c r="G203" s="70">
        <v>13015735</v>
      </c>
      <c r="H203" s="70" t="s">
        <v>313</v>
      </c>
      <c r="I203" s="70" t="s">
        <v>351</v>
      </c>
      <c r="J203" s="70" t="s">
        <v>29</v>
      </c>
      <c r="K203" s="70">
        <v>1005293</v>
      </c>
      <c r="L203" s="71">
        <v>44473</v>
      </c>
      <c r="M203" s="70" t="s">
        <v>352</v>
      </c>
      <c r="N203" s="70" t="s">
        <v>29</v>
      </c>
      <c r="O203" s="70" t="s">
        <v>29</v>
      </c>
      <c r="P203" s="70" t="s">
        <v>29</v>
      </c>
      <c r="Q203" s="72" t="str">
        <f t="shared" si="12"/>
        <v/>
      </c>
      <c r="R203" s="70" t="s">
        <v>29</v>
      </c>
      <c r="S203" s="70" t="s">
        <v>29</v>
      </c>
      <c r="T203" s="70" t="s">
        <v>29</v>
      </c>
      <c r="U203" s="70" t="s">
        <v>29</v>
      </c>
      <c r="V203" s="70">
        <v>3</v>
      </c>
      <c r="W203" s="70">
        <v>418525</v>
      </c>
      <c r="X203" s="70">
        <v>6</v>
      </c>
      <c r="Y203" s="70">
        <v>6</v>
      </c>
      <c r="Z203" s="73" t="s">
        <v>29</v>
      </c>
      <c r="AA203" s="74">
        <f t="shared" si="13"/>
        <v>1</v>
      </c>
      <c r="AB203" s="93">
        <f t="shared" si="11"/>
        <v>0</v>
      </c>
      <c r="AC203" s="93">
        <f>IFERROR(Table16[[#This Row],[Quantity Needed for repair]]*Table16[[#This Row],[Evaluated]],"")</f>
        <v>0</v>
      </c>
    </row>
    <row r="204" spans="5:29" x14ac:dyDescent="0.35">
      <c r="E204" s="57">
        <v>3</v>
      </c>
      <c r="F204" s="58" t="s">
        <v>411</v>
      </c>
      <c r="G204" s="58">
        <v>12871286</v>
      </c>
      <c r="H204" s="58" t="s">
        <v>313</v>
      </c>
      <c r="I204" s="58" t="s">
        <v>351</v>
      </c>
      <c r="J204" s="58" t="s">
        <v>29</v>
      </c>
      <c r="K204" s="58">
        <v>1005293</v>
      </c>
      <c r="L204" s="59">
        <v>44473</v>
      </c>
      <c r="M204" s="58" t="s">
        <v>352</v>
      </c>
      <c r="N204" s="58" t="s">
        <v>29</v>
      </c>
      <c r="O204" s="58" t="s">
        <v>29</v>
      </c>
      <c r="P204" s="58" t="s">
        <v>29</v>
      </c>
      <c r="Q204" s="60" t="str">
        <f t="shared" si="12"/>
        <v/>
      </c>
      <c r="R204" s="58" t="s">
        <v>29</v>
      </c>
      <c r="S204" s="58" t="s">
        <v>29</v>
      </c>
      <c r="T204" s="58" t="s">
        <v>29</v>
      </c>
      <c r="U204" s="58" t="s">
        <v>29</v>
      </c>
      <c r="V204" s="58">
        <v>1</v>
      </c>
      <c r="W204" s="58">
        <v>1130198</v>
      </c>
      <c r="X204" s="58"/>
      <c r="Y204" s="58">
        <v>33</v>
      </c>
      <c r="Z204" s="61" t="s">
        <v>29</v>
      </c>
      <c r="AA204" s="62">
        <f t="shared" si="13"/>
        <v>0</v>
      </c>
      <c r="AB204" s="91">
        <f t="shared" si="11"/>
        <v>0</v>
      </c>
      <c r="AC204" s="91">
        <f>IFERROR(Table16[[#This Row],[Quantity Needed for repair]]*Table16[[#This Row],[Evaluated]],"")</f>
        <v>0</v>
      </c>
    </row>
    <row r="205" spans="5:29" x14ac:dyDescent="0.35">
      <c r="E205" s="64">
        <v>3</v>
      </c>
      <c r="F205" s="56" t="s">
        <v>411</v>
      </c>
      <c r="G205" s="56">
        <v>12871286</v>
      </c>
      <c r="H205" s="56" t="s">
        <v>313</v>
      </c>
      <c r="I205" s="56" t="s">
        <v>351</v>
      </c>
      <c r="J205" s="56" t="s">
        <v>29</v>
      </c>
      <c r="K205" s="56">
        <v>1005293</v>
      </c>
      <c r="L205" s="65">
        <v>44473</v>
      </c>
      <c r="M205" s="56" t="s">
        <v>352</v>
      </c>
      <c r="N205" s="56" t="s">
        <v>29</v>
      </c>
      <c r="O205" s="56" t="s">
        <v>29</v>
      </c>
      <c r="P205" s="56" t="s">
        <v>29</v>
      </c>
      <c r="Q205" s="66" t="str">
        <f t="shared" si="12"/>
        <v/>
      </c>
      <c r="R205" s="56" t="s">
        <v>29</v>
      </c>
      <c r="S205" s="56" t="s">
        <v>29</v>
      </c>
      <c r="T205" s="56" t="s">
        <v>29</v>
      </c>
      <c r="U205" s="56" t="s">
        <v>29</v>
      </c>
      <c r="V205" s="56">
        <v>2</v>
      </c>
      <c r="W205" s="56">
        <v>647435</v>
      </c>
      <c r="Y205" s="56">
        <v>23</v>
      </c>
      <c r="Z205" s="67" t="s">
        <v>29</v>
      </c>
      <c r="AA205" s="68">
        <f t="shared" si="13"/>
        <v>0</v>
      </c>
      <c r="AB205" s="92">
        <f t="shared" si="11"/>
        <v>0</v>
      </c>
      <c r="AC205" s="92">
        <f>IFERROR(Table16[[#This Row],[Quantity Needed for repair]]*Table16[[#This Row],[Evaluated]],"")</f>
        <v>0</v>
      </c>
    </row>
    <row r="206" spans="5:29" ht="15" thickBot="1" x14ac:dyDescent="0.4">
      <c r="E206" s="69">
        <v>3</v>
      </c>
      <c r="F206" s="70" t="s">
        <v>411</v>
      </c>
      <c r="G206" s="70">
        <v>12871286</v>
      </c>
      <c r="H206" s="70" t="s">
        <v>313</v>
      </c>
      <c r="I206" s="70" t="s">
        <v>351</v>
      </c>
      <c r="J206" s="70" t="s">
        <v>29</v>
      </c>
      <c r="K206" s="70">
        <v>1005293</v>
      </c>
      <c r="L206" s="71">
        <v>44473</v>
      </c>
      <c r="M206" s="70" t="s">
        <v>352</v>
      </c>
      <c r="N206" s="70" t="s">
        <v>29</v>
      </c>
      <c r="O206" s="70" t="s">
        <v>29</v>
      </c>
      <c r="P206" s="70" t="s">
        <v>29</v>
      </c>
      <c r="Q206" s="72" t="str">
        <f t="shared" si="12"/>
        <v/>
      </c>
      <c r="R206" s="70" t="s">
        <v>29</v>
      </c>
      <c r="S206" s="70" t="s">
        <v>29</v>
      </c>
      <c r="T206" s="70" t="s">
        <v>29</v>
      </c>
      <c r="U206" s="70" t="s">
        <v>29</v>
      </c>
      <c r="V206" s="70">
        <v>3</v>
      </c>
      <c r="W206" s="70">
        <v>418525</v>
      </c>
      <c r="X206" s="70">
        <v>6</v>
      </c>
      <c r="Y206" s="70">
        <v>6</v>
      </c>
      <c r="Z206" s="73" t="s">
        <v>29</v>
      </c>
      <c r="AA206" s="74">
        <f t="shared" si="13"/>
        <v>1</v>
      </c>
      <c r="AB206" s="93">
        <f t="shared" si="11"/>
        <v>0</v>
      </c>
      <c r="AC206" s="93">
        <f>IFERROR(Table16[[#This Row],[Quantity Needed for repair]]*Table16[[#This Row],[Evaluated]],"")</f>
        <v>0</v>
      </c>
    </row>
    <row r="207" spans="5:29" x14ac:dyDescent="0.35">
      <c r="E207" s="57">
        <v>3</v>
      </c>
      <c r="F207" s="58" t="s">
        <v>412</v>
      </c>
      <c r="G207" s="58">
        <v>12904341</v>
      </c>
      <c r="H207" s="58" t="s">
        <v>313</v>
      </c>
      <c r="I207" s="58" t="s">
        <v>351</v>
      </c>
      <c r="J207" s="58" t="s">
        <v>29</v>
      </c>
      <c r="K207" s="58">
        <v>756447</v>
      </c>
      <c r="L207" s="59">
        <v>44473</v>
      </c>
      <c r="M207" s="58" t="s">
        <v>352</v>
      </c>
      <c r="N207" s="58" t="s">
        <v>29</v>
      </c>
      <c r="O207" s="58" t="s">
        <v>29</v>
      </c>
      <c r="P207" s="58" t="s">
        <v>29</v>
      </c>
      <c r="Q207" s="60" t="str">
        <f t="shared" si="12"/>
        <v/>
      </c>
      <c r="R207" s="58" t="s">
        <v>29</v>
      </c>
      <c r="S207" s="58" t="s">
        <v>29</v>
      </c>
      <c r="T207" s="58" t="s">
        <v>29</v>
      </c>
      <c r="U207" s="58" t="s">
        <v>29</v>
      </c>
      <c r="V207" s="58">
        <v>1</v>
      </c>
      <c r="W207" s="58">
        <v>1130198</v>
      </c>
      <c r="X207" s="58">
        <v>28</v>
      </c>
      <c r="Y207" s="58">
        <v>58</v>
      </c>
      <c r="Z207" s="61" t="s">
        <v>29</v>
      </c>
      <c r="AA207" s="62">
        <f t="shared" si="13"/>
        <v>0.48275862068965519</v>
      </c>
      <c r="AB207" s="91">
        <f t="shared" si="11"/>
        <v>0</v>
      </c>
      <c r="AC207" s="91">
        <f>IFERROR(Table16[[#This Row],[Quantity Needed for repair]]*Table16[[#This Row],[Evaluated]],"")</f>
        <v>0</v>
      </c>
    </row>
    <row r="208" spans="5:29" x14ac:dyDescent="0.35">
      <c r="E208" s="64">
        <v>3</v>
      </c>
      <c r="F208" s="56" t="s">
        <v>412</v>
      </c>
      <c r="G208" s="56">
        <v>12904341</v>
      </c>
      <c r="H208" s="56" t="s">
        <v>313</v>
      </c>
      <c r="I208" s="56" t="s">
        <v>351</v>
      </c>
      <c r="J208" s="56" t="s">
        <v>29</v>
      </c>
      <c r="K208" s="56">
        <v>756447</v>
      </c>
      <c r="L208" s="65">
        <v>44473</v>
      </c>
      <c r="M208" s="56" t="s">
        <v>352</v>
      </c>
      <c r="N208" s="56" t="s">
        <v>29</v>
      </c>
      <c r="O208" s="56" t="s">
        <v>29</v>
      </c>
      <c r="P208" s="56" t="s">
        <v>29</v>
      </c>
      <c r="Q208" s="66" t="str">
        <f t="shared" si="12"/>
        <v/>
      </c>
      <c r="R208" s="56" t="s">
        <v>29</v>
      </c>
      <c r="S208" s="56" t="s">
        <v>29</v>
      </c>
      <c r="T208" s="56" t="s">
        <v>29</v>
      </c>
      <c r="U208" s="56" t="s">
        <v>29</v>
      </c>
      <c r="V208" s="56">
        <v>2</v>
      </c>
      <c r="W208" s="56">
        <v>1130196</v>
      </c>
      <c r="X208" s="56" t="s">
        <v>29</v>
      </c>
      <c r="Y208" s="56">
        <v>7</v>
      </c>
      <c r="Z208" s="67" t="s">
        <v>29</v>
      </c>
      <c r="AA208" s="68" t="str">
        <f t="shared" si="13"/>
        <v/>
      </c>
      <c r="AB208" s="92">
        <f t="shared" si="11"/>
        <v>0</v>
      </c>
      <c r="AC208" s="92" t="str">
        <f>IFERROR(Table16[[#This Row],[Quantity Needed for repair]]*Table16[[#This Row],[Evaluated]],"")</f>
        <v/>
      </c>
    </row>
    <row r="209" spans="5:29" ht="15" thickBot="1" x14ac:dyDescent="0.4">
      <c r="E209" s="69">
        <v>3</v>
      </c>
      <c r="F209" s="70" t="s">
        <v>412</v>
      </c>
      <c r="G209" s="70">
        <v>12904341</v>
      </c>
      <c r="H209" s="70" t="s">
        <v>313</v>
      </c>
      <c r="I209" s="70" t="s">
        <v>351</v>
      </c>
      <c r="J209" s="70" t="s">
        <v>29</v>
      </c>
      <c r="K209" s="70">
        <v>756447</v>
      </c>
      <c r="L209" s="71">
        <v>44473</v>
      </c>
      <c r="M209" s="70" t="s">
        <v>352</v>
      </c>
      <c r="N209" s="70" t="s">
        <v>29</v>
      </c>
      <c r="O209" s="70" t="s">
        <v>29</v>
      </c>
      <c r="P209" s="70" t="s">
        <v>29</v>
      </c>
      <c r="Q209" s="72" t="str">
        <f t="shared" si="12"/>
        <v/>
      </c>
      <c r="R209" s="70" t="s">
        <v>29</v>
      </c>
      <c r="S209" s="70" t="s">
        <v>29</v>
      </c>
      <c r="T209" s="70" t="s">
        <v>29</v>
      </c>
      <c r="U209" s="70" t="s">
        <v>29</v>
      </c>
      <c r="V209" s="70">
        <v>3</v>
      </c>
      <c r="W209" s="70">
        <v>418525</v>
      </c>
      <c r="X209" s="70">
        <v>11</v>
      </c>
      <c r="Y209" s="70">
        <v>12</v>
      </c>
      <c r="Z209" s="73" t="s">
        <v>29</v>
      </c>
      <c r="AA209" s="74">
        <f t="shared" si="13"/>
        <v>0.91666666666666663</v>
      </c>
      <c r="AB209" s="93">
        <f t="shared" si="11"/>
        <v>0</v>
      </c>
      <c r="AC209" s="93">
        <f>IFERROR(Table16[[#This Row],[Quantity Needed for repair]]*Table16[[#This Row],[Evaluated]],"")</f>
        <v>0</v>
      </c>
    </row>
    <row r="210" spans="5:29" x14ac:dyDescent="0.35">
      <c r="E210" s="57">
        <v>3</v>
      </c>
      <c r="F210" s="58" t="s">
        <v>413</v>
      </c>
      <c r="G210" s="58">
        <v>12947667</v>
      </c>
      <c r="H210" s="58" t="s">
        <v>313</v>
      </c>
      <c r="I210" s="58" t="s">
        <v>351</v>
      </c>
      <c r="J210" s="58" t="s">
        <v>29</v>
      </c>
      <c r="K210" s="58">
        <v>1005293</v>
      </c>
      <c r="L210" s="59">
        <v>44473</v>
      </c>
      <c r="M210" s="58" t="s">
        <v>352</v>
      </c>
      <c r="N210" s="58" t="s">
        <v>29</v>
      </c>
      <c r="O210" s="58" t="s">
        <v>29</v>
      </c>
      <c r="P210" s="58" t="s">
        <v>29</v>
      </c>
      <c r="Q210" s="60" t="str">
        <f t="shared" si="12"/>
        <v/>
      </c>
      <c r="R210" s="58" t="s">
        <v>29</v>
      </c>
      <c r="S210" s="58" t="s">
        <v>29</v>
      </c>
      <c r="T210" s="58" t="s">
        <v>29</v>
      </c>
      <c r="U210" s="58" t="s">
        <v>29</v>
      </c>
      <c r="V210" s="58">
        <v>1</v>
      </c>
      <c r="W210" s="58">
        <v>1130198</v>
      </c>
      <c r="X210" s="58">
        <v>10</v>
      </c>
      <c r="Y210" s="58">
        <v>33</v>
      </c>
      <c r="Z210" s="61" t="s">
        <v>29</v>
      </c>
      <c r="AA210" s="62">
        <f t="shared" si="13"/>
        <v>0.30303030303030304</v>
      </c>
      <c r="AB210" s="91">
        <f t="shared" si="11"/>
        <v>0</v>
      </c>
      <c r="AC210" s="91">
        <f>IFERROR(Table16[[#This Row],[Quantity Needed for repair]]*Table16[[#This Row],[Evaluated]],"")</f>
        <v>0</v>
      </c>
    </row>
    <row r="211" spans="5:29" x14ac:dyDescent="0.35">
      <c r="E211" s="64">
        <v>3</v>
      </c>
      <c r="F211" s="56" t="s">
        <v>413</v>
      </c>
      <c r="G211" s="56">
        <v>12947667</v>
      </c>
      <c r="H211" s="56" t="s">
        <v>313</v>
      </c>
      <c r="I211" s="56" t="s">
        <v>351</v>
      </c>
      <c r="J211" s="56" t="s">
        <v>29</v>
      </c>
      <c r="K211" s="56">
        <v>1005293</v>
      </c>
      <c r="L211" s="65">
        <v>44473</v>
      </c>
      <c r="M211" s="56" t="s">
        <v>352</v>
      </c>
      <c r="N211" s="56" t="s">
        <v>29</v>
      </c>
      <c r="O211" s="56" t="s">
        <v>29</v>
      </c>
      <c r="P211" s="56" t="s">
        <v>29</v>
      </c>
      <c r="Q211" s="66" t="str">
        <f t="shared" si="12"/>
        <v/>
      </c>
      <c r="R211" s="56" t="s">
        <v>29</v>
      </c>
      <c r="S211" s="56" t="s">
        <v>29</v>
      </c>
      <c r="T211" s="56" t="s">
        <v>29</v>
      </c>
      <c r="U211" s="56" t="s">
        <v>29</v>
      </c>
      <c r="V211" s="56">
        <v>2</v>
      </c>
      <c r="W211" s="56">
        <v>647435</v>
      </c>
      <c r="X211" s="56">
        <v>7</v>
      </c>
      <c r="Y211" s="56">
        <v>23</v>
      </c>
      <c r="Z211" s="67" t="s">
        <v>29</v>
      </c>
      <c r="AA211" s="68">
        <f t="shared" si="13"/>
        <v>0.30434782608695654</v>
      </c>
      <c r="AB211" s="92">
        <f t="shared" si="11"/>
        <v>0</v>
      </c>
      <c r="AC211" s="92">
        <f>IFERROR(Table16[[#This Row],[Quantity Needed for repair]]*Table16[[#This Row],[Evaluated]],"")</f>
        <v>0</v>
      </c>
    </row>
    <row r="212" spans="5:29" ht="15" thickBot="1" x14ac:dyDescent="0.4">
      <c r="E212" s="69">
        <v>3</v>
      </c>
      <c r="F212" s="70" t="s">
        <v>413</v>
      </c>
      <c r="G212" s="70">
        <v>12947667</v>
      </c>
      <c r="H212" s="70" t="s">
        <v>313</v>
      </c>
      <c r="I212" s="70" t="s">
        <v>351</v>
      </c>
      <c r="J212" s="70" t="s">
        <v>29</v>
      </c>
      <c r="K212" s="70">
        <v>1005293</v>
      </c>
      <c r="L212" s="71">
        <v>44473</v>
      </c>
      <c r="M212" s="70" t="s">
        <v>352</v>
      </c>
      <c r="N212" s="70" t="s">
        <v>29</v>
      </c>
      <c r="O212" s="70" t="s">
        <v>29</v>
      </c>
      <c r="P212" s="70" t="s">
        <v>29</v>
      </c>
      <c r="Q212" s="72" t="str">
        <f t="shared" si="12"/>
        <v/>
      </c>
      <c r="R212" s="70" t="s">
        <v>29</v>
      </c>
      <c r="S212" s="70" t="s">
        <v>29</v>
      </c>
      <c r="T212" s="70" t="s">
        <v>29</v>
      </c>
      <c r="U212" s="70" t="s">
        <v>29</v>
      </c>
      <c r="V212" s="70">
        <v>3</v>
      </c>
      <c r="W212" s="70">
        <v>418525</v>
      </c>
      <c r="X212" s="70">
        <v>2</v>
      </c>
      <c r="Y212" s="70">
        <v>6</v>
      </c>
      <c r="Z212" s="73" t="s">
        <v>29</v>
      </c>
      <c r="AA212" s="74">
        <f t="shared" si="13"/>
        <v>0.33333333333333331</v>
      </c>
      <c r="AB212" s="93">
        <f t="shared" si="11"/>
        <v>0</v>
      </c>
      <c r="AC212" s="93">
        <f>IFERROR(Table16[[#This Row],[Quantity Needed for repair]]*Table16[[#This Row],[Evaluated]],"")</f>
        <v>0</v>
      </c>
    </row>
    <row r="213" spans="5:29" x14ac:dyDescent="0.35">
      <c r="E213" s="57">
        <v>3</v>
      </c>
      <c r="F213" s="58" t="s">
        <v>414</v>
      </c>
      <c r="G213" s="58">
        <v>12991814</v>
      </c>
      <c r="H213" s="58" t="s">
        <v>313</v>
      </c>
      <c r="I213" s="58" t="s">
        <v>351</v>
      </c>
      <c r="J213" s="58" t="s">
        <v>29</v>
      </c>
      <c r="K213" s="58">
        <v>1005293</v>
      </c>
      <c r="L213" s="59">
        <v>44473</v>
      </c>
      <c r="M213" s="58" t="s">
        <v>352</v>
      </c>
      <c r="N213" s="58" t="s">
        <v>29</v>
      </c>
      <c r="O213" s="58" t="s">
        <v>29</v>
      </c>
      <c r="P213" s="58" t="s">
        <v>29</v>
      </c>
      <c r="Q213" s="60" t="str">
        <f t="shared" si="12"/>
        <v/>
      </c>
      <c r="R213" s="58" t="s">
        <v>29</v>
      </c>
      <c r="S213" s="58" t="s">
        <v>29</v>
      </c>
      <c r="T213" s="58" t="s">
        <v>29</v>
      </c>
      <c r="U213" s="58" t="s">
        <v>29</v>
      </c>
      <c r="V213" s="58">
        <v>1</v>
      </c>
      <c r="W213" s="58">
        <v>1130198</v>
      </c>
      <c r="X213" s="58">
        <v>5</v>
      </c>
      <c r="Y213" s="58">
        <v>33</v>
      </c>
      <c r="Z213" s="61" t="s">
        <v>29</v>
      </c>
      <c r="AA213" s="62">
        <f t="shared" si="13"/>
        <v>0.15151515151515152</v>
      </c>
      <c r="AB213" s="91">
        <f t="shared" si="11"/>
        <v>0</v>
      </c>
      <c r="AC213" s="91">
        <f>IFERROR(Table16[[#This Row],[Quantity Needed for repair]]*Table16[[#This Row],[Evaluated]],"")</f>
        <v>0</v>
      </c>
    </row>
    <row r="214" spans="5:29" x14ac:dyDescent="0.35">
      <c r="E214" s="64">
        <v>3</v>
      </c>
      <c r="F214" s="56" t="s">
        <v>414</v>
      </c>
      <c r="G214" s="56">
        <v>12991814</v>
      </c>
      <c r="H214" s="56" t="s">
        <v>313</v>
      </c>
      <c r="I214" s="56" t="s">
        <v>351</v>
      </c>
      <c r="J214" s="56" t="s">
        <v>29</v>
      </c>
      <c r="K214" s="56">
        <v>1005293</v>
      </c>
      <c r="L214" s="65">
        <v>44473</v>
      </c>
      <c r="M214" s="56" t="s">
        <v>352</v>
      </c>
      <c r="N214" s="56" t="s">
        <v>29</v>
      </c>
      <c r="O214" s="56" t="s">
        <v>29</v>
      </c>
      <c r="P214" s="56" t="s">
        <v>29</v>
      </c>
      <c r="Q214" s="66" t="str">
        <f t="shared" si="12"/>
        <v/>
      </c>
      <c r="R214" s="56" t="s">
        <v>29</v>
      </c>
      <c r="S214" s="56" t="s">
        <v>29</v>
      </c>
      <c r="T214" s="56" t="s">
        <v>29</v>
      </c>
      <c r="U214" s="56" t="s">
        <v>29</v>
      </c>
      <c r="V214" s="56">
        <v>2</v>
      </c>
      <c r="W214" s="56">
        <v>647435</v>
      </c>
      <c r="X214" s="56">
        <v>4</v>
      </c>
      <c r="Y214" s="56">
        <v>23</v>
      </c>
      <c r="Z214" s="67" t="s">
        <v>29</v>
      </c>
      <c r="AA214" s="68">
        <f t="shared" si="13"/>
        <v>0.17391304347826086</v>
      </c>
      <c r="AB214" s="92">
        <f t="shared" si="11"/>
        <v>0</v>
      </c>
      <c r="AC214" s="92">
        <f>IFERROR(Table16[[#This Row],[Quantity Needed for repair]]*Table16[[#This Row],[Evaluated]],"")</f>
        <v>0</v>
      </c>
    </row>
    <row r="215" spans="5:29" ht="15" thickBot="1" x14ac:dyDescent="0.4">
      <c r="E215" s="69">
        <v>3</v>
      </c>
      <c r="F215" s="70" t="s">
        <v>414</v>
      </c>
      <c r="G215" s="70">
        <v>12991814</v>
      </c>
      <c r="H215" s="70" t="s">
        <v>313</v>
      </c>
      <c r="I215" s="70" t="s">
        <v>351</v>
      </c>
      <c r="J215" s="70" t="s">
        <v>29</v>
      </c>
      <c r="K215" s="70">
        <v>1005293</v>
      </c>
      <c r="L215" s="71">
        <v>44473</v>
      </c>
      <c r="M215" s="70" t="s">
        <v>352</v>
      </c>
      <c r="N215" s="70" t="s">
        <v>29</v>
      </c>
      <c r="O215" s="70" t="s">
        <v>29</v>
      </c>
      <c r="P215" s="70" t="s">
        <v>29</v>
      </c>
      <c r="Q215" s="72" t="str">
        <f t="shared" si="12"/>
        <v/>
      </c>
      <c r="R215" s="70" t="s">
        <v>29</v>
      </c>
      <c r="S215" s="70" t="s">
        <v>29</v>
      </c>
      <c r="T215" s="70" t="s">
        <v>29</v>
      </c>
      <c r="U215" s="70" t="s">
        <v>29</v>
      </c>
      <c r="V215" s="70">
        <v>3</v>
      </c>
      <c r="W215" s="70">
        <v>418525</v>
      </c>
      <c r="X215" s="70">
        <v>6</v>
      </c>
      <c r="Y215" s="70">
        <v>6</v>
      </c>
      <c r="Z215" s="73" t="s">
        <v>29</v>
      </c>
      <c r="AA215" s="74">
        <f t="shared" si="13"/>
        <v>1</v>
      </c>
      <c r="AB215" s="93">
        <f t="shared" si="11"/>
        <v>0</v>
      </c>
      <c r="AC215" s="93">
        <f>IFERROR(Table16[[#This Row],[Quantity Needed for repair]]*Table16[[#This Row],[Evaluated]],"")</f>
        <v>0</v>
      </c>
    </row>
    <row r="216" spans="5:29" x14ac:dyDescent="0.35">
      <c r="E216" s="57">
        <v>3</v>
      </c>
      <c r="F216" s="58" t="s">
        <v>415</v>
      </c>
      <c r="G216" s="58">
        <v>13015736</v>
      </c>
      <c r="H216" s="58" t="s">
        <v>313</v>
      </c>
      <c r="I216" s="58" t="s">
        <v>351</v>
      </c>
      <c r="J216" s="58" t="s">
        <v>29</v>
      </c>
      <c r="K216" s="58">
        <v>1019988</v>
      </c>
      <c r="L216" s="59">
        <v>44473</v>
      </c>
      <c r="M216" s="58" t="s">
        <v>352</v>
      </c>
      <c r="N216" s="58" t="s">
        <v>29</v>
      </c>
      <c r="O216" s="58" t="s">
        <v>29</v>
      </c>
      <c r="P216" s="58" t="s">
        <v>29</v>
      </c>
      <c r="Q216" s="60" t="str">
        <f t="shared" si="12"/>
        <v/>
      </c>
      <c r="R216" s="58" t="s">
        <v>29</v>
      </c>
      <c r="S216" s="58" t="s">
        <v>29</v>
      </c>
      <c r="T216" s="58" t="s">
        <v>29</v>
      </c>
      <c r="U216" s="58" t="s">
        <v>29</v>
      </c>
      <c r="V216" s="58">
        <v>1</v>
      </c>
      <c r="W216" s="58">
        <v>744015</v>
      </c>
      <c r="X216" s="58">
        <v>2</v>
      </c>
      <c r="Y216" s="58">
        <v>30</v>
      </c>
      <c r="Z216" s="61" t="s">
        <v>29</v>
      </c>
      <c r="AA216" s="62">
        <f t="shared" si="13"/>
        <v>6.6666666666666666E-2</v>
      </c>
      <c r="AB216" s="91">
        <f t="shared" si="11"/>
        <v>0</v>
      </c>
      <c r="AC216" s="91">
        <f>IFERROR(Table16[[#This Row],[Quantity Needed for repair]]*Table16[[#This Row],[Evaluated]],"")</f>
        <v>0</v>
      </c>
    </row>
    <row r="217" spans="5:29" x14ac:dyDescent="0.35">
      <c r="E217" s="64">
        <v>3</v>
      </c>
      <c r="F217" s="56" t="s">
        <v>415</v>
      </c>
      <c r="G217" s="56">
        <v>13015736</v>
      </c>
      <c r="H217" s="56" t="s">
        <v>313</v>
      </c>
      <c r="I217" s="56" t="s">
        <v>351</v>
      </c>
      <c r="J217" s="56" t="s">
        <v>29</v>
      </c>
      <c r="K217" s="56">
        <v>1019988</v>
      </c>
      <c r="L217" s="65">
        <v>44473</v>
      </c>
      <c r="M217" s="56" t="s">
        <v>352</v>
      </c>
      <c r="N217" s="56" t="s">
        <v>29</v>
      </c>
      <c r="O217" s="56" t="s">
        <v>29</v>
      </c>
      <c r="P217" s="56" t="s">
        <v>29</v>
      </c>
      <c r="Q217" s="66" t="str">
        <f t="shared" si="12"/>
        <v/>
      </c>
      <c r="R217" s="56" t="s">
        <v>29</v>
      </c>
      <c r="S217" s="56" t="s">
        <v>29</v>
      </c>
      <c r="T217" s="56" t="s">
        <v>29</v>
      </c>
      <c r="U217" s="56" t="s">
        <v>29</v>
      </c>
      <c r="V217" s="56">
        <v>2</v>
      </c>
      <c r="W217" s="56">
        <v>647436</v>
      </c>
      <c r="X217" s="56">
        <v>2</v>
      </c>
      <c r="Y217" s="56">
        <v>28</v>
      </c>
      <c r="Z217" s="67" t="s">
        <v>29</v>
      </c>
      <c r="AA217" s="68">
        <f t="shared" si="13"/>
        <v>7.1428571428571425E-2</v>
      </c>
      <c r="AB217" s="92">
        <f t="shared" si="11"/>
        <v>0</v>
      </c>
      <c r="AC217" s="92">
        <f>IFERROR(Table16[[#This Row],[Quantity Needed for repair]]*Table16[[#This Row],[Evaluated]],"")</f>
        <v>0</v>
      </c>
    </row>
    <row r="218" spans="5:29" x14ac:dyDescent="0.35">
      <c r="E218" s="64">
        <v>3</v>
      </c>
      <c r="F218" s="56" t="s">
        <v>415</v>
      </c>
      <c r="G218" s="56">
        <v>13015736</v>
      </c>
      <c r="H218" s="56" t="s">
        <v>313</v>
      </c>
      <c r="I218" s="56" t="s">
        <v>351</v>
      </c>
      <c r="J218" s="56" t="s">
        <v>29</v>
      </c>
      <c r="K218" s="56">
        <v>1019988</v>
      </c>
      <c r="L218" s="65">
        <v>44473</v>
      </c>
      <c r="M218" s="56" t="s">
        <v>352</v>
      </c>
      <c r="N218" s="56" t="s">
        <v>29</v>
      </c>
      <c r="O218" s="56" t="s">
        <v>29</v>
      </c>
      <c r="P218" s="56" t="s">
        <v>29</v>
      </c>
      <c r="Q218" s="66" t="str">
        <f t="shared" si="12"/>
        <v/>
      </c>
      <c r="R218" s="56" t="s">
        <v>29</v>
      </c>
      <c r="S218" s="56" t="s">
        <v>29</v>
      </c>
      <c r="T218" s="56" t="s">
        <v>29</v>
      </c>
      <c r="U218" s="56" t="s">
        <v>29</v>
      </c>
      <c r="V218" s="56">
        <v>3</v>
      </c>
      <c r="W218" s="56">
        <v>752555</v>
      </c>
      <c r="X218" s="56">
        <v>2</v>
      </c>
      <c r="Y218" s="56">
        <v>7</v>
      </c>
      <c r="Z218" s="67" t="s">
        <v>29</v>
      </c>
      <c r="AA218" s="68">
        <f t="shared" si="13"/>
        <v>0.2857142857142857</v>
      </c>
      <c r="AB218" s="92">
        <f t="shared" si="11"/>
        <v>0</v>
      </c>
      <c r="AC218" s="92">
        <f>IFERROR(Table16[[#This Row],[Quantity Needed for repair]]*Table16[[#This Row],[Evaluated]],"")</f>
        <v>0</v>
      </c>
    </row>
    <row r="219" spans="5:29" ht="15" thickBot="1" x14ac:dyDescent="0.4">
      <c r="E219" s="69">
        <v>3</v>
      </c>
      <c r="F219" s="70" t="s">
        <v>415</v>
      </c>
      <c r="G219" s="70">
        <v>13015736</v>
      </c>
      <c r="H219" s="70" t="s">
        <v>313</v>
      </c>
      <c r="I219" s="70" t="s">
        <v>351</v>
      </c>
      <c r="J219" s="70" t="s">
        <v>29</v>
      </c>
      <c r="K219" s="70">
        <v>1019988</v>
      </c>
      <c r="L219" s="71">
        <v>44473</v>
      </c>
      <c r="M219" s="70" t="s">
        <v>352</v>
      </c>
      <c r="N219" s="70" t="s">
        <v>29</v>
      </c>
      <c r="O219" s="70" t="s">
        <v>29</v>
      </c>
      <c r="P219" s="70" t="s">
        <v>29</v>
      </c>
      <c r="Q219" s="72" t="str">
        <f t="shared" si="12"/>
        <v/>
      </c>
      <c r="R219" s="70" t="s">
        <v>29</v>
      </c>
      <c r="S219" s="70" t="s">
        <v>29</v>
      </c>
      <c r="T219" s="70" t="s">
        <v>29</v>
      </c>
      <c r="U219" s="70" t="s">
        <v>29</v>
      </c>
      <c r="V219" s="70">
        <v>4</v>
      </c>
      <c r="W219" s="70">
        <v>418525</v>
      </c>
      <c r="X219" s="70">
        <v>5</v>
      </c>
      <c r="Y219" s="70">
        <v>6</v>
      </c>
      <c r="Z219" s="73" t="s">
        <v>29</v>
      </c>
      <c r="AA219" s="74">
        <f t="shared" si="13"/>
        <v>0.83333333333333337</v>
      </c>
      <c r="AB219" s="93">
        <f t="shared" si="11"/>
        <v>0</v>
      </c>
      <c r="AC219" s="93">
        <f>IFERROR(Table16[[#This Row],[Quantity Needed for repair]]*Table16[[#This Row],[Evaluated]],"")</f>
        <v>0</v>
      </c>
    </row>
    <row r="220" spans="5:29" x14ac:dyDescent="0.35">
      <c r="E220" s="57">
        <v>3</v>
      </c>
      <c r="F220" s="58" t="s">
        <v>416</v>
      </c>
      <c r="G220" s="58">
        <v>12887962</v>
      </c>
      <c r="H220" s="58" t="s">
        <v>315</v>
      </c>
      <c r="I220" s="58" t="s">
        <v>367</v>
      </c>
      <c r="J220" s="58" t="s">
        <v>29</v>
      </c>
      <c r="K220" s="58">
        <v>1005462</v>
      </c>
      <c r="L220" s="59">
        <v>44473</v>
      </c>
      <c r="M220" s="58" t="s">
        <v>352</v>
      </c>
      <c r="N220" s="58" t="s">
        <v>29</v>
      </c>
      <c r="O220" s="58" t="s">
        <v>29</v>
      </c>
      <c r="P220" s="58" t="s">
        <v>29</v>
      </c>
      <c r="Q220" s="60" t="str">
        <f t="shared" si="12"/>
        <v/>
      </c>
      <c r="R220" s="58" t="s">
        <v>29</v>
      </c>
      <c r="S220" s="58" t="s">
        <v>29</v>
      </c>
      <c r="T220" s="58" t="s">
        <v>29</v>
      </c>
      <c r="U220" s="58" t="s">
        <v>29</v>
      </c>
      <c r="V220" s="58">
        <v>1</v>
      </c>
      <c r="W220" s="58">
        <v>1130200</v>
      </c>
      <c r="X220" s="58">
        <v>23</v>
      </c>
      <c r="Y220" s="58">
        <v>48</v>
      </c>
      <c r="Z220" s="61" t="s">
        <v>29</v>
      </c>
      <c r="AA220" s="62">
        <f t="shared" si="13"/>
        <v>0.47916666666666669</v>
      </c>
      <c r="AB220" s="91">
        <f t="shared" si="11"/>
        <v>0</v>
      </c>
      <c r="AC220" s="91">
        <f>IFERROR(Table16[[#This Row],[Quantity Needed for repair]]*Table16[[#This Row],[Evaluated]],"")</f>
        <v>0</v>
      </c>
    </row>
    <row r="221" spans="5:29" x14ac:dyDescent="0.35">
      <c r="E221" s="64">
        <v>3</v>
      </c>
      <c r="F221" s="56" t="s">
        <v>416</v>
      </c>
      <c r="G221" s="56">
        <v>12887962</v>
      </c>
      <c r="H221" s="56" t="s">
        <v>315</v>
      </c>
      <c r="I221" s="56" t="s">
        <v>367</v>
      </c>
      <c r="J221" s="56" t="s">
        <v>29</v>
      </c>
      <c r="K221" s="56">
        <v>1005462</v>
      </c>
      <c r="L221" s="65">
        <v>44473</v>
      </c>
      <c r="M221" s="56" t="s">
        <v>352</v>
      </c>
      <c r="N221" s="56" t="s">
        <v>29</v>
      </c>
      <c r="O221" s="56" t="s">
        <v>29</v>
      </c>
      <c r="P221" s="56" t="s">
        <v>29</v>
      </c>
      <c r="Q221" s="66" t="str">
        <f t="shared" si="12"/>
        <v/>
      </c>
      <c r="R221" s="56" t="s">
        <v>29</v>
      </c>
      <c r="S221" s="56" t="s">
        <v>29</v>
      </c>
      <c r="T221" s="56" t="s">
        <v>29</v>
      </c>
      <c r="U221" s="56" t="s">
        <v>29</v>
      </c>
      <c r="V221" s="56">
        <v>2</v>
      </c>
      <c r="W221" s="56">
        <v>1130198</v>
      </c>
      <c r="X221" s="56">
        <v>2</v>
      </c>
      <c r="Y221" s="56">
        <v>9</v>
      </c>
      <c r="Z221" s="67" t="s">
        <v>29</v>
      </c>
      <c r="AA221" s="68">
        <f t="shared" si="13"/>
        <v>0.22222222222222221</v>
      </c>
      <c r="AB221" s="92">
        <f t="shared" si="11"/>
        <v>0</v>
      </c>
      <c r="AC221" s="92">
        <f>IFERROR(Table16[[#This Row],[Quantity Needed for repair]]*Table16[[#This Row],[Evaluated]],"")</f>
        <v>0</v>
      </c>
    </row>
    <row r="222" spans="5:29" x14ac:dyDescent="0.35">
      <c r="E222" s="64">
        <v>3</v>
      </c>
      <c r="F222" s="56" t="s">
        <v>416</v>
      </c>
      <c r="G222" s="56">
        <v>12887962</v>
      </c>
      <c r="H222" s="56" t="s">
        <v>315</v>
      </c>
      <c r="I222" s="56" t="s">
        <v>367</v>
      </c>
      <c r="J222" s="56" t="s">
        <v>29</v>
      </c>
      <c r="K222" s="56">
        <v>1005462</v>
      </c>
      <c r="L222" s="65">
        <v>44473</v>
      </c>
      <c r="M222" s="56" t="s">
        <v>352</v>
      </c>
      <c r="N222" s="56" t="s">
        <v>29</v>
      </c>
      <c r="O222" s="56" t="s">
        <v>29</v>
      </c>
      <c r="P222" s="56" t="s">
        <v>29</v>
      </c>
      <c r="Q222" s="66" t="str">
        <f t="shared" si="12"/>
        <v/>
      </c>
      <c r="R222" s="56" t="s">
        <v>29</v>
      </c>
      <c r="S222" s="56" t="s">
        <v>29</v>
      </c>
      <c r="T222" s="56" t="s">
        <v>29</v>
      </c>
      <c r="U222" s="56" t="s">
        <v>29</v>
      </c>
      <c r="V222" s="56">
        <v>3</v>
      </c>
      <c r="W222" s="56">
        <v>708306</v>
      </c>
      <c r="X222" s="56">
        <v>14</v>
      </c>
      <c r="Y222" s="56">
        <v>34</v>
      </c>
      <c r="Z222" s="67" t="s">
        <v>29</v>
      </c>
      <c r="AA222" s="68">
        <f t="shared" si="13"/>
        <v>0.41176470588235292</v>
      </c>
      <c r="AB222" s="92">
        <f t="shared" si="11"/>
        <v>0</v>
      </c>
      <c r="AC222" s="92">
        <f>IFERROR(Table16[[#This Row],[Quantity Needed for repair]]*Table16[[#This Row],[Evaluated]],"")</f>
        <v>0</v>
      </c>
    </row>
    <row r="223" spans="5:29" x14ac:dyDescent="0.35">
      <c r="E223" s="64">
        <v>3</v>
      </c>
      <c r="F223" s="56" t="s">
        <v>416</v>
      </c>
      <c r="G223" s="56">
        <v>12887962</v>
      </c>
      <c r="H223" s="56" t="s">
        <v>315</v>
      </c>
      <c r="I223" s="56" t="s">
        <v>367</v>
      </c>
      <c r="J223" s="56" t="s">
        <v>29</v>
      </c>
      <c r="K223" s="56">
        <v>1005462</v>
      </c>
      <c r="L223" s="65">
        <v>44473</v>
      </c>
      <c r="M223" s="56" t="s">
        <v>352</v>
      </c>
      <c r="N223" s="56" t="s">
        <v>29</v>
      </c>
      <c r="O223" s="56" t="s">
        <v>29</v>
      </c>
      <c r="P223" s="56" t="s">
        <v>29</v>
      </c>
      <c r="Q223" s="66" t="str">
        <f t="shared" si="12"/>
        <v/>
      </c>
      <c r="R223" s="56" t="s">
        <v>29</v>
      </c>
      <c r="S223" s="56" t="s">
        <v>29</v>
      </c>
      <c r="T223" s="56" t="s">
        <v>29</v>
      </c>
      <c r="U223" s="56" t="s">
        <v>29</v>
      </c>
      <c r="V223" s="56">
        <v>4</v>
      </c>
      <c r="W223" s="56">
        <v>871781</v>
      </c>
      <c r="X223" s="56" t="s">
        <v>29</v>
      </c>
      <c r="Y223" s="56">
        <v>4</v>
      </c>
      <c r="Z223" s="67" t="s">
        <v>29</v>
      </c>
      <c r="AA223" s="68" t="str">
        <f t="shared" si="13"/>
        <v/>
      </c>
      <c r="AB223" s="92">
        <f t="shared" si="11"/>
        <v>0</v>
      </c>
      <c r="AC223" s="92" t="str">
        <f>IFERROR(Table16[[#This Row],[Quantity Needed for repair]]*Table16[[#This Row],[Evaluated]],"")</f>
        <v/>
      </c>
    </row>
    <row r="224" spans="5:29" ht="15" thickBot="1" x14ac:dyDescent="0.4">
      <c r="E224" s="69">
        <v>3</v>
      </c>
      <c r="F224" s="70" t="s">
        <v>416</v>
      </c>
      <c r="G224" s="70">
        <v>12887962</v>
      </c>
      <c r="H224" s="70" t="s">
        <v>315</v>
      </c>
      <c r="I224" s="70" t="s">
        <v>367</v>
      </c>
      <c r="J224" s="70" t="s">
        <v>29</v>
      </c>
      <c r="K224" s="70">
        <v>1005462</v>
      </c>
      <c r="L224" s="71">
        <v>44473</v>
      </c>
      <c r="M224" s="70" t="s">
        <v>352</v>
      </c>
      <c r="N224" s="70" t="s">
        <v>29</v>
      </c>
      <c r="O224" s="70" t="s">
        <v>29</v>
      </c>
      <c r="P224" s="70" t="s">
        <v>29</v>
      </c>
      <c r="Q224" s="72" t="str">
        <f t="shared" si="12"/>
        <v/>
      </c>
      <c r="R224" s="70" t="s">
        <v>29</v>
      </c>
      <c r="S224" s="70" t="s">
        <v>29</v>
      </c>
      <c r="T224" s="70" t="s">
        <v>29</v>
      </c>
      <c r="U224" s="70" t="s">
        <v>29</v>
      </c>
      <c r="V224" s="70">
        <v>5</v>
      </c>
      <c r="W224" s="70">
        <v>418525</v>
      </c>
      <c r="X224" s="70">
        <v>4</v>
      </c>
      <c r="Y224" s="70">
        <v>4</v>
      </c>
      <c r="Z224" s="73" t="s">
        <v>29</v>
      </c>
      <c r="AA224" s="74">
        <f t="shared" si="13"/>
        <v>1</v>
      </c>
      <c r="AB224" s="93">
        <f t="shared" si="11"/>
        <v>0</v>
      </c>
      <c r="AC224" s="93">
        <f>IFERROR(Table16[[#This Row],[Quantity Needed for repair]]*Table16[[#This Row],[Evaluated]],"")</f>
        <v>0</v>
      </c>
    </row>
    <row r="225" spans="5:29" x14ac:dyDescent="0.35">
      <c r="E225" s="57">
        <v>3</v>
      </c>
      <c r="F225" s="58" t="s">
        <v>417</v>
      </c>
      <c r="G225" s="58">
        <v>12967026</v>
      </c>
      <c r="H225" s="58" t="s">
        <v>315</v>
      </c>
      <c r="I225" s="58" t="s">
        <v>367</v>
      </c>
      <c r="J225" s="58" t="s">
        <v>29</v>
      </c>
      <c r="K225" s="58">
        <v>1005462</v>
      </c>
      <c r="L225" s="59">
        <v>44473</v>
      </c>
      <c r="M225" s="58" t="s">
        <v>352</v>
      </c>
      <c r="N225" s="58" t="s">
        <v>29</v>
      </c>
      <c r="O225" s="58" t="s">
        <v>29</v>
      </c>
      <c r="P225" s="58" t="s">
        <v>29</v>
      </c>
      <c r="Q225" s="60" t="str">
        <f t="shared" si="12"/>
        <v/>
      </c>
      <c r="R225" s="58" t="s">
        <v>29</v>
      </c>
      <c r="S225" s="58" t="s">
        <v>29</v>
      </c>
      <c r="T225" s="58" t="s">
        <v>29</v>
      </c>
      <c r="U225" s="58" t="s">
        <v>29</v>
      </c>
      <c r="V225" s="58">
        <v>1</v>
      </c>
      <c r="W225" s="58">
        <v>1130200</v>
      </c>
      <c r="X225" s="58">
        <v>38</v>
      </c>
      <c r="Y225" s="58">
        <v>48</v>
      </c>
      <c r="Z225" s="61" t="s">
        <v>29</v>
      </c>
      <c r="AA225" s="62">
        <f t="shared" si="13"/>
        <v>0.79166666666666663</v>
      </c>
      <c r="AB225" s="91">
        <f t="shared" si="11"/>
        <v>0</v>
      </c>
      <c r="AC225" s="91">
        <f>IFERROR(Table16[[#This Row],[Quantity Needed for repair]]*Table16[[#This Row],[Evaluated]],"")</f>
        <v>0</v>
      </c>
    </row>
    <row r="226" spans="5:29" x14ac:dyDescent="0.35">
      <c r="E226" s="64">
        <v>3</v>
      </c>
      <c r="F226" s="56" t="s">
        <v>417</v>
      </c>
      <c r="G226" s="56">
        <v>12967026</v>
      </c>
      <c r="H226" s="56" t="s">
        <v>315</v>
      </c>
      <c r="I226" s="56" t="s">
        <v>367</v>
      </c>
      <c r="J226" s="56" t="s">
        <v>29</v>
      </c>
      <c r="K226" s="56">
        <v>1005462</v>
      </c>
      <c r="L226" s="65">
        <v>44473</v>
      </c>
      <c r="M226" s="56" t="s">
        <v>352</v>
      </c>
      <c r="N226" s="56" t="s">
        <v>29</v>
      </c>
      <c r="O226" s="56" t="s">
        <v>29</v>
      </c>
      <c r="P226" s="56" t="s">
        <v>29</v>
      </c>
      <c r="Q226" s="66" t="str">
        <f t="shared" si="12"/>
        <v/>
      </c>
      <c r="R226" s="56" t="s">
        <v>29</v>
      </c>
      <c r="S226" s="56" t="s">
        <v>29</v>
      </c>
      <c r="T226" s="56" t="s">
        <v>29</v>
      </c>
      <c r="U226" s="56" t="s">
        <v>29</v>
      </c>
      <c r="V226" s="56">
        <v>2</v>
      </c>
      <c r="W226" s="56">
        <v>1130198</v>
      </c>
      <c r="X226" s="56">
        <v>1</v>
      </c>
      <c r="Y226" s="56">
        <v>9</v>
      </c>
      <c r="Z226" s="67" t="s">
        <v>29</v>
      </c>
      <c r="AA226" s="68">
        <f t="shared" si="13"/>
        <v>0.1111111111111111</v>
      </c>
      <c r="AB226" s="92">
        <f t="shared" si="11"/>
        <v>0</v>
      </c>
      <c r="AC226" s="92">
        <f>IFERROR(Table16[[#This Row],[Quantity Needed for repair]]*Table16[[#This Row],[Evaluated]],"")</f>
        <v>0</v>
      </c>
    </row>
    <row r="227" spans="5:29" x14ac:dyDescent="0.35">
      <c r="E227" s="64">
        <v>3</v>
      </c>
      <c r="F227" s="56" t="s">
        <v>417</v>
      </c>
      <c r="G227" s="56">
        <v>12967026</v>
      </c>
      <c r="H227" s="56" t="s">
        <v>315</v>
      </c>
      <c r="I227" s="56" t="s">
        <v>367</v>
      </c>
      <c r="J227" s="56" t="s">
        <v>29</v>
      </c>
      <c r="K227" s="56">
        <v>1005462</v>
      </c>
      <c r="L227" s="65">
        <v>44473</v>
      </c>
      <c r="M227" s="56" t="s">
        <v>352</v>
      </c>
      <c r="N227" s="56" t="s">
        <v>29</v>
      </c>
      <c r="O227" s="56" t="s">
        <v>29</v>
      </c>
      <c r="P227" s="56" t="s">
        <v>29</v>
      </c>
      <c r="Q227" s="66" t="str">
        <f t="shared" si="12"/>
        <v/>
      </c>
      <c r="R227" s="56" t="s">
        <v>29</v>
      </c>
      <c r="S227" s="56" t="s">
        <v>29</v>
      </c>
      <c r="T227" s="56" t="s">
        <v>29</v>
      </c>
      <c r="U227" s="56" t="s">
        <v>29</v>
      </c>
      <c r="V227" s="56">
        <v>3</v>
      </c>
      <c r="W227" s="56">
        <v>708306</v>
      </c>
      <c r="X227" s="56">
        <v>4</v>
      </c>
      <c r="Y227" s="56">
        <v>34</v>
      </c>
      <c r="Z227" s="67" t="s">
        <v>29</v>
      </c>
      <c r="AA227" s="68">
        <f t="shared" si="13"/>
        <v>0.11764705882352941</v>
      </c>
      <c r="AB227" s="92">
        <f t="shared" si="11"/>
        <v>0</v>
      </c>
      <c r="AC227" s="92">
        <f>IFERROR(Table16[[#This Row],[Quantity Needed for repair]]*Table16[[#This Row],[Evaluated]],"")</f>
        <v>0</v>
      </c>
    </row>
    <row r="228" spans="5:29" x14ac:dyDescent="0.35">
      <c r="E228" s="64">
        <v>3</v>
      </c>
      <c r="F228" s="56" t="s">
        <v>417</v>
      </c>
      <c r="G228" s="56">
        <v>12967026</v>
      </c>
      <c r="H228" s="56" t="s">
        <v>315</v>
      </c>
      <c r="I228" s="56" t="s">
        <v>367</v>
      </c>
      <c r="J228" s="56" t="s">
        <v>29</v>
      </c>
      <c r="K228" s="56">
        <v>1005462</v>
      </c>
      <c r="L228" s="65">
        <v>44473</v>
      </c>
      <c r="M228" s="56" t="s">
        <v>352</v>
      </c>
      <c r="N228" s="56" t="s">
        <v>29</v>
      </c>
      <c r="O228" s="56" t="s">
        <v>29</v>
      </c>
      <c r="P228" s="56" t="s">
        <v>29</v>
      </c>
      <c r="Q228" s="66" t="str">
        <f t="shared" si="12"/>
        <v/>
      </c>
      <c r="R228" s="56" t="s">
        <v>29</v>
      </c>
      <c r="S228" s="56" t="s">
        <v>29</v>
      </c>
      <c r="T228" s="56" t="s">
        <v>29</v>
      </c>
      <c r="U228" s="56" t="s">
        <v>29</v>
      </c>
      <c r="V228" s="56">
        <v>4</v>
      </c>
      <c r="W228" s="56">
        <v>871781</v>
      </c>
      <c r="X228" s="56">
        <v>1</v>
      </c>
      <c r="Y228" s="56">
        <v>4</v>
      </c>
      <c r="Z228" s="67" t="s">
        <v>29</v>
      </c>
      <c r="AA228" s="68">
        <f t="shared" si="13"/>
        <v>0.25</v>
      </c>
      <c r="AB228" s="92">
        <f t="shared" si="11"/>
        <v>0</v>
      </c>
      <c r="AC228" s="92">
        <f>IFERROR(Table16[[#This Row],[Quantity Needed for repair]]*Table16[[#This Row],[Evaluated]],"")</f>
        <v>0</v>
      </c>
    </row>
    <row r="229" spans="5:29" ht="15" thickBot="1" x14ac:dyDescent="0.4">
      <c r="E229" s="69">
        <v>3</v>
      </c>
      <c r="F229" s="70" t="s">
        <v>417</v>
      </c>
      <c r="G229" s="70">
        <v>12967026</v>
      </c>
      <c r="H229" s="70" t="s">
        <v>315</v>
      </c>
      <c r="I229" s="70" t="s">
        <v>367</v>
      </c>
      <c r="J229" s="70" t="s">
        <v>29</v>
      </c>
      <c r="K229" s="70">
        <v>1005462</v>
      </c>
      <c r="L229" s="71">
        <v>44473</v>
      </c>
      <c r="M229" s="70" t="s">
        <v>352</v>
      </c>
      <c r="N229" s="70" t="s">
        <v>29</v>
      </c>
      <c r="O229" s="70" t="s">
        <v>29</v>
      </c>
      <c r="P229" s="70" t="s">
        <v>29</v>
      </c>
      <c r="Q229" s="72" t="str">
        <f t="shared" si="12"/>
        <v/>
      </c>
      <c r="R229" s="70" t="s">
        <v>29</v>
      </c>
      <c r="S229" s="70" t="s">
        <v>29</v>
      </c>
      <c r="T229" s="70" t="s">
        <v>29</v>
      </c>
      <c r="U229" s="70" t="s">
        <v>29</v>
      </c>
      <c r="V229" s="70">
        <v>5</v>
      </c>
      <c r="W229" s="70">
        <v>418525</v>
      </c>
      <c r="X229" s="70">
        <v>4</v>
      </c>
      <c r="Y229" s="70">
        <v>4</v>
      </c>
      <c r="Z229" s="73" t="s">
        <v>29</v>
      </c>
      <c r="AA229" s="74">
        <f t="shared" si="13"/>
        <v>1</v>
      </c>
      <c r="AB229" s="93">
        <f t="shared" si="11"/>
        <v>0</v>
      </c>
      <c r="AC229" s="93">
        <f>IFERROR(Table16[[#This Row],[Quantity Needed for repair]]*Table16[[#This Row],[Evaluated]],"")</f>
        <v>0</v>
      </c>
    </row>
    <row r="230" spans="5:29" x14ac:dyDescent="0.35">
      <c r="E230" s="57">
        <v>3</v>
      </c>
      <c r="F230" s="58" t="s">
        <v>418</v>
      </c>
      <c r="G230" s="58">
        <v>12831835</v>
      </c>
      <c r="H230" s="58" t="s">
        <v>315</v>
      </c>
      <c r="I230" s="58" t="s">
        <v>367</v>
      </c>
      <c r="J230" s="58" t="s">
        <v>29</v>
      </c>
      <c r="K230" s="58">
        <v>780769</v>
      </c>
      <c r="L230" s="59">
        <v>44473</v>
      </c>
      <c r="M230" s="58" t="s">
        <v>352</v>
      </c>
      <c r="N230" s="58" t="s">
        <v>29</v>
      </c>
      <c r="O230" s="58" t="s">
        <v>29</v>
      </c>
      <c r="P230" s="58" t="s">
        <v>29</v>
      </c>
      <c r="Q230" s="60" t="str">
        <f t="shared" si="12"/>
        <v/>
      </c>
      <c r="R230" s="58" t="s">
        <v>29</v>
      </c>
      <c r="S230" s="58" t="s">
        <v>29</v>
      </c>
      <c r="T230" s="58" t="s">
        <v>29</v>
      </c>
      <c r="U230" s="58" t="s">
        <v>29</v>
      </c>
      <c r="V230" s="58">
        <v>1</v>
      </c>
      <c r="W230" s="58">
        <v>745576</v>
      </c>
      <c r="X230" s="58">
        <v>6</v>
      </c>
      <c r="Y230" s="58">
        <v>36</v>
      </c>
      <c r="Z230" s="61" t="s">
        <v>29</v>
      </c>
      <c r="AA230" s="62">
        <f t="shared" si="13"/>
        <v>0.16666666666666666</v>
      </c>
      <c r="AB230" s="91">
        <f t="shared" si="11"/>
        <v>0</v>
      </c>
      <c r="AC230" s="91">
        <f>IFERROR(Table16[[#This Row],[Quantity Needed for repair]]*Table16[[#This Row],[Evaluated]],"")</f>
        <v>0</v>
      </c>
    </row>
    <row r="231" spans="5:29" x14ac:dyDescent="0.35">
      <c r="E231" s="64">
        <v>3</v>
      </c>
      <c r="F231" s="56" t="s">
        <v>418</v>
      </c>
      <c r="G231" s="56">
        <v>12831835</v>
      </c>
      <c r="H231" s="56" t="s">
        <v>315</v>
      </c>
      <c r="I231" s="56" t="s">
        <v>367</v>
      </c>
      <c r="J231" s="56" t="s">
        <v>29</v>
      </c>
      <c r="K231" s="56">
        <v>780769</v>
      </c>
      <c r="L231" s="65">
        <v>44473</v>
      </c>
      <c r="M231" s="56" t="s">
        <v>352</v>
      </c>
      <c r="N231" s="56" t="s">
        <v>29</v>
      </c>
      <c r="O231" s="56" t="s">
        <v>29</v>
      </c>
      <c r="P231" s="56" t="s">
        <v>29</v>
      </c>
      <c r="Q231" s="66" t="str">
        <f t="shared" si="12"/>
        <v/>
      </c>
      <c r="R231" s="56" t="s">
        <v>29</v>
      </c>
      <c r="S231" s="56" t="s">
        <v>29</v>
      </c>
      <c r="T231" s="56" t="s">
        <v>29</v>
      </c>
      <c r="U231" s="56" t="s">
        <v>29</v>
      </c>
      <c r="V231" s="56">
        <v>2</v>
      </c>
      <c r="W231" s="56">
        <v>729691</v>
      </c>
      <c r="X231" s="56">
        <v>4</v>
      </c>
      <c r="Y231" s="56">
        <v>13</v>
      </c>
      <c r="Z231" s="67" t="s">
        <v>29</v>
      </c>
      <c r="AA231" s="68">
        <f t="shared" si="13"/>
        <v>0.30769230769230771</v>
      </c>
      <c r="AB231" s="92">
        <f t="shared" si="11"/>
        <v>0</v>
      </c>
      <c r="AC231" s="92">
        <f>IFERROR(Table16[[#This Row],[Quantity Needed for repair]]*Table16[[#This Row],[Evaluated]],"")</f>
        <v>0</v>
      </c>
    </row>
    <row r="232" spans="5:29" x14ac:dyDescent="0.35">
      <c r="E232" s="64">
        <v>3</v>
      </c>
      <c r="F232" s="56" t="s">
        <v>418</v>
      </c>
      <c r="G232" s="56">
        <v>12831835</v>
      </c>
      <c r="H232" s="56" t="s">
        <v>315</v>
      </c>
      <c r="I232" s="56" t="s">
        <v>367</v>
      </c>
      <c r="J232" s="56" t="s">
        <v>29</v>
      </c>
      <c r="K232" s="56">
        <v>780769</v>
      </c>
      <c r="L232" s="65">
        <v>44473</v>
      </c>
      <c r="M232" s="56" t="s">
        <v>352</v>
      </c>
      <c r="N232" s="56" t="s">
        <v>29</v>
      </c>
      <c r="O232" s="56" t="s">
        <v>29</v>
      </c>
      <c r="P232" s="56" t="s">
        <v>29</v>
      </c>
      <c r="Q232" s="66" t="str">
        <f t="shared" si="12"/>
        <v/>
      </c>
      <c r="R232" s="56" t="s">
        <v>29</v>
      </c>
      <c r="S232" s="56" t="s">
        <v>29</v>
      </c>
      <c r="T232" s="56" t="s">
        <v>29</v>
      </c>
      <c r="U232" s="56" t="s">
        <v>29</v>
      </c>
      <c r="V232" s="56">
        <v>3</v>
      </c>
      <c r="W232" s="56">
        <v>375538</v>
      </c>
      <c r="X232" s="56" t="s">
        <v>29</v>
      </c>
      <c r="Y232" s="56">
        <v>16</v>
      </c>
      <c r="Z232" s="67" t="s">
        <v>29</v>
      </c>
      <c r="AA232" s="68" t="str">
        <f t="shared" si="13"/>
        <v/>
      </c>
      <c r="AB232" s="92">
        <f t="shared" si="11"/>
        <v>0</v>
      </c>
      <c r="AC232" s="92" t="str">
        <f>IFERROR(Table16[[#This Row],[Quantity Needed for repair]]*Table16[[#This Row],[Evaluated]],"")</f>
        <v/>
      </c>
    </row>
    <row r="233" spans="5:29" x14ac:dyDescent="0.35">
      <c r="E233" s="64">
        <v>3</v>
      </c>
      <c r="F233" s="56" t="s">
        <v>418</v>
      </c>
      <c r="G233" s="56">
        <v>12831835</v>
      </c>
      <c r="H233" s="56" t="s">
        <v>315</v>
      </c>
      <c r="I233" s="56" t="s">
        <v>367</v>
      </c>
      <c r="J233" s="56" t="s">
        <v>29</v>
      </c>
      <c r="K233" s="56">
        <v>780769</v>
      </c>
      <c r="L233" s="65">
        <v>44473</v>
      </c>
      <c r="M233" s="56" t="s">
        <v>352</v>
      </c>
      <c r="N233" s="56" t="s">
        <v>29</v>
      </c>
      <c r="O233" s="56" t="s">
        <v>29</v>
      </c>
      <c r="P233" s="56" t="s">
        <v>29</v>
      </c>
      <c r="Q233" s="66" t="str">
        <f t="shared" si="12"/>
        <v/>
      </c>
      <c r="R233" s="56" t="s">
        <v>29</v>
      </c>
      <c r="S233" s="56" t="s">
        <v>29</v>
      </c>
      <c r="T233" s="56" t="s">
        <v>29</v>
      </c>
      <c r="U233" s="56" t="s">
        <v>29</v>
      </c>
      <c r="V233" s="56">
        <v>4</v>
      </c>
      <c r="W233" s="56">
        <v>418525</v>
      </c>
      <c r="X233" s="56">
        <v>8</v>
      </c>
      <c r="Y233" s="56">
        <v>8</v>
      </c>
      <c r="Z233" s="67" t="s">
        <v>29</v>
      </c>
      <c r="AA233" s="68">
        <f t="shared" si="13"/>
        <v>1</v>
      </c>
      <c r="AB233" s="92">
        <f t="shared" si="11"/>
        <v>0</v>
      </c>
      <c r="AC233" s="92">
        <f>IFERROR(Table16[[#This Row],[Quantity Needed for repair]]*Table16[[#This Row],[Evaluated]],"")</f>
        <v>0</v>
      </c>
    </row>
    <row r="234" spans="5:29" x14ac:dyDescent="0.35">
      <c r="E234" s="64">
        <v>3</v>
      </c>
      <c r="F234" s="56" t="s">
        <v>418</v>
      </c>
      <c r="G234" s="56">
        <v>12831835</v>
      </c>
      <c r="H234" s="56" t="s">
        <v>315</v>
      </c>
      <c r="I234" s="56" t="s">
        <v>367</v>
      </c>
      <c r="J234" s="56" t="s">
        <v>29</v>
      </c>
      <c r="K234" s="56">
        <v>780769</v>
      </c>
      <c r="L234" s="65">
        <v>44473</v>
      </c>
      <c r="M234" s="56" t="s">
        <v>352</v>
      </c>
      <c r="N234" s="56" t="s">
        <v>29</v>
      </c>
      <c r="O234" s="56" t="s">
        <v>29</v>
      </c>
      <c r="P234" s="56" t="s">
        <v>29</v>
      </c>
      <c r="Q234" s="66" t="str">
        <f t="shared" si="12"/>
        <v/>
      </c>
      <c r="R234" s="56" t="s">
        <v>29</v>
      </c>
      <c r="S234" s="56" t="s">
        <v>29</v>
      </c>
      <c r="T234" s="56" t="s">
        <v>29</v>
      </c>
      <c r="U234" s="56" t="s">
        <v>29</v>
      </c>
      <c r="V234" s="56">
        <v>5</v>
      </c>
      <c r="W234" s="56">
        <v>647436</v>
      </c>
      <c r="X234" s="56">
        <v>8</v>
      </c>
      <c r="Y234" s="56">
        <v>8</v>
      </c>
      <c r="Z234" s="67" t="s">
        <v>29</v>
      </c>
      <c r="AA234" s="68">
        <f t="shared" si="13"/>
        <v>1</v>
      </c>
      <c r="AB234" s="92">
        <f t="shared" si="11"/>
        <v>0</v>
      </c>
      <c r="AC234" s="92">
        <f>IFERROR(Table16[[#This Row],[Quantity Needed for repair]]*Table16[[#This Row],[Evaluated]],"")</f>
        <v>0</v>
      </c>
    </row>
    <row r="235" spans="5:29" ht="15" thickBot="1" x14ac:dyDescent="0.4">
      <c r="E235" s="69">
        <v>3</v>
      </c>
      <c r="F235" s="70" t="s">
        <v>418</v>
      </c>
      <c r="G235" s="70">
        <v>12831835</v>
      </c>
      <c r="H235" s="70" t="s">
        <v>315</v>
      </c>
      <c r="I235" s="70" t="s">
        <v>367</v>
      </c>
      <c r="J235" s="70" t="s">
        <v>29</v>
      </c>
      <c r="K235" s="70">
        <v>780769</v>
      </c>
      <c r="L235" s="71">
        <v>44473</v>
      </c>
      <c r="M235" s="70" t="s">
        <v>352</v>
      </c>
      <c r="N235" s="70" t="s">
        <v>29</v>
      </c>
      <c r="O235" s="70" t="s">
        <v>29</v>
      </c>
      <c r="P235" s="70" t="s">
        <v>29</v>
      </c>
      <c r="Q235" s="72" t="str">
        <f t="shared" si="12"/>
        <v/>
      </c>
      <c r="R235" s="70" t="s">
        <v>29</v>
      </c>
      <c r="S235" s="70" t="s">
        <v>29</v>
      </c>
      <c r="T235" s="70" t="s">
        <v>29</v>
      </c>
      <c r="U235" s="70" t="s">
        <v>29</v>
      </c>
      <c r="V235" s="70">
        <v>6</v>
      </c>
      <c r="W235" s="70">
        <v>871781</v>
      </c>
      <c r="X235" s="70"/>
      <c r="Y235" s="70">
        <v>8</v>
      </c>
      <c r="Z235" s="73" t="s">
        <v>29</v>
      </c>
      <c r="AA235" s="74">
        <f t="shared" si="13"/>
        <v>0</v>
      </c>
      <c r="AB235" s="93">
        <f t="shared" si="11"/>
        <v>0</v>
      </c>
      <c r="AC235" s="93">
        <f>IFERROR(Table16[[#This Row],[Quantity Needed for repair]]*Table16[[#This Row],[Evaluated]],"")</f>
        <v>0</v>
      </c>
    </row>
    <row r="236" spans="5:29" x14ac:dyDescent="0.35">
      <c r="E236" s="57">
        <v>3</v>
      </c>
      <c r="F236" s="58" t="s">
        <v>419</v>
      </c>
      <c r="G236" s="58">
        <v>12457416</v>
      </c>
      <c r="H236" s="58" t="s">
        <v>313</v>
      </c>
      <c r="I236" s="58" t="s">
        <v>351</v>
      </c>
      <c r="J236" s="58" t="s">
        <v>29</v>
      </c>
      <c r="K236" s="58">
        <v>882281</v>
      </c>
      <c r="L236" s="59">
        <v>44473</v>
      </c>
      <c r="M236" s="58" t="s">
        <v>352</v>
      </c>
      <c r="N236" s="58" t="s">
        <v>29</v>
      </c>
      <c r="O236" s="58" t="s">
        <v>29</v>
      </c>
      <c r="P236" s="58" t="s">
        <v>29</v>
      </c>
      <c r="Q236" s="60" t="str">
        <f t="shared" si="12"/>
        <v/>
      </c>
      <c r="R236" s="58" t="s">
        <v>29</v>
      </c>
      <c r="S236" s="58" t="s">
        <v>29</v>
      </c>
      <c r="T236" s="58" t="s">
        <v>29</v>
      </c>
      <c r="U236" s="58" t="s">
        <v>29</v>
      </c>
      <c r="V236" s="58">
        <v>1</v>
      </c>
      <c r="W236" s="58">
        <v>1130198</v>
      </c>
      <c r="X236" s="58">
        <v>8</v>
      </c>
      <c r="Y236" s="58">
        <v>33</v>
      </c>
      <c r="Z236" s="61" t="s">
        <v>29</v>
      </c>
      <c r="AA236" s="62">
        <f t="shared" si="13"/>
        <v>0.24242424242424243</v>
      </c>
      <c r="AB236" s="91">
        <f t="shared" si="11"/>
        <v>0</v>
      </c>
      <c r="AC236" s="91">
        <f>IFERROR(Table16[[#This Row],[Quantity Needed for repair]]*Table16[[#This Row],[Evaluated]],"")</f>
        <v>0</v>
      </c>
    </row>
    <row r="237" spans="5:29" x14ac:dyDescent="0.35">
      <c r="E237" s="64">
        <v>3</v>
      </c>
      <c r="F237" s="56" t="s">
        <v>419</v>
      </c>
      <c r="G237" s="56">
        <v>12457416</v>
      </c>
      <c r="H237" s="56" t="s">
        <v>313</v>
      </c>
      <c r="I237" s="56" t="s">
        <v>351</v>
      </c>
      <c r="J237" s="56" t="s">
        <v>29</v>
      </c>
      <c r="K237" s="56">
        <v>882281</v>
      </c>
      <c r="L237" s="65">
        <v>44473</v>
      </c>
      <c r="M237" s="56" t="s">
        <v>352</v>
      </c>
      <c r="N237" s="56" t="s">
        <v>29</v>
      </c>
      <c r="O237" s="56" t="s">
        <v>29</v>
      </c>
      <c r="P237" s="56" t="s">
        <v>29</v>
      </c>
      <c r="Q237" s="66" t="str">
        <f t="shared" si="12"/>
        <v/>
      </c>
      <c r="R237" s="56" t="s">
        <v>29</v>
      </c>
      <c r="S237" s="56" t="s">
        <v>29</v>
      </c>
      <c r="T237" s="56" t="s">
        <v>29</v>
      </c>
      <c r="U237" s="56" t="s">
        <v>29</v>
      </c>
      <c r="V237" s="56">
        <v>2</v>
      </c>
      <c r="W237" s="56">
        <v>1130197</v>
      </c>
      <c r="X237" s="56" t="s">
        <v>29</v>
      </c>
      <c r="Y237" s="56">
        <v>23</v>
      </c>
      <c r="Z237" s="67" t="s">
        <v>29</v>
      </c>
      <c r="AA237" s="68" t="str">
        <f t="shared" si="13"/>
        <v/>
      </c>
      <c r="AB237" s="92">
        <f t="shared" si="11"/>
        <v>0</v>
      </c>
      <c r="AC237" s="92" t="str">
        <f>IFERROR(Table16[[#This Row],[Quantity Needed for repair]]*Table16[[#This Row],[Evaluated]],"")</f>
        <v/>
      </c>
    </row>
    <row r="238" spans="5:29" ht="15" thickBot="1" x14ac:dyDescent="0.4">
      <c r="E238" s="69">
        <v>3</v>
      </c>
      <c r="F238" s="70" t="s">
        <v>419</v>
      </c>
      <c r="G238" s="70">
        <v>12457416</v>
      </c>
      <c r="H238" s="70" t="s">
        <v>313</v>
      </c>
      <c r="I238" s="70" t="s">
        <v>351</v>
      </c>
      <c r="J238" s="70" t="s">
        <v>29</v>
      </c>
      <c r="K238" s="70">
        <v>882281</v>
      </c>
      <c r="L238" s="71">
        <v>44473</v>
      </c>
      <c r="M238" s="70" t="s">
        <v>352</v>
      </c>
      <c r="N238" s="70" t="s">
        <v>29</v>
      </c>
      <c r="O238" s="70" t="s">
        <v>29</v>
      </c>
      <c r="P238" s="70" t="s">
        <v>29</v>
      </c>
      <c r="Q238" s="72" t="str">
        <f t="shared" si="12"/>
        <v/>
      </c>
      <c r="R238" s="70" t="s">
        <v>29</v>
      </c>
      <c r="S238" s="70" t="s">
        <v>29</v>
      </c>
      <c r="T238" s="70" t="s">
        <v>29</v>
      </c>
      <c r="U238" s="70" t="s">
        <v>29</v>
      </c>
      <c r="V238" s="70">
        <v>3</v>
      </c>
      <c r="W238" s="70">
        <v>418525</v>
      </c>
      <c r="X238" s="70">
        <v>12</v>
      </c>
      <c r="Y238" s="70">
        <v>12</v>
      </c>
      <c r="Z238" s="73" t="s">
        <v>29</v>
      </c>
      <c r="AA238" s="74">
        <f t="shared" si="13"/>
        <v>1</v>
      </c>
      <c r="AB238" s="93">
        <f t="shared" si="11"/>
        <v>0</v>
      </c>
      <c r="AC238" s="93">
        <f>IFERROR(Table16[[#This Row],[Quantity Needed for repair]]*Table16[[#This Row],[Evaluated]],"")</f>
        <v>0</v>
      </c>
    </row>
    <row r="239" spans="5:29" x14ac:dyDescent="0.35">
      <c r="E239" s="57">
        <v>3</v>
      </c>
      <c r="F239" s="58" t="s">
        <v>420</v>
      </c>
      <c r="G239" s="58">
        <v>12967021</v>
      </c>
      <c r="H239" s="58" t="s">
        <v>313</v>
      </c>
      <c r="I239" s="58" t="s">
        <v>351</v>
      </c>
      <c r="J239" s="58" t="s">
        <v>29</v>
      </c>
      <c r="K239" s="58">
        <v>1005293</v>
      </c>
      <c r="L239" s="59">
        <v>44473</v>
      </c>
      <c r="M239" s="58" t="s">
        <v>352</v>
      </c>
      <c r="N239" s="58" t="s">
        <v>29</v>
      </c>
      <c r="O239" s="58" t="s">
        <v>29</v>
      </c>
      <c r="P239" s="58" t="s">
        <v>29</v>
      </c>
      <c r="Q239" s="60" t="str">
        <f t="shared" si="12"/>
        <v/>
      </c>
      <c r="R239" s="58" t="s">
        <v>29</v>
      </c>
      <c r="S239" s="58" t="s">
        <v>29</v>
      </c>
      <c r="T239" s="58" t="s">
        <v>29</v>
      </c>
      <c r="U239" s="58" t="s">
        <v>29</v>
      </c>
      <c r="V239" s="58">
        <v>1</v>
      </c>
      <c r="W239" s="58">
        <v>1130198</v>
      </c>
      <c r="X239" s="58">
        <v>13</v>
      </c>
      <c r="Y239" s="58">
        <v>33</v>
      </c>
      <c r="Z239" s="61" t="s">
        <v>29</v>
      </c>
      <c r="AA239" s="62">
        <f t="shared" si="13"/>
        <v>0.39393939393939392</v>
      </c>
      <c r="AB239" s="91">
        <f t="shared" si="11"/>
        <v>0</v>
      </c>
      <c r="AC239" s="91">
        <f>IFERROR(Table16[[#This Row],[Quantity Needed for repair]]*Table16[[#This Row],[Evaluated]],"")</f>
        <v>0</v>
      </c>
    </row>
    <row r="240" spans="5:29" x14ac:dyDescent="0.35">
      <c r="E240" s="64">
        <v>3</v>
      </c>
      <c r="F240" s="56" t="s">
        <v>420</v>
      </c>
      <c r="G240" s="56">
        <v>12967021</v>
      </c>
      <c r="H240" s="56" t="s">
        <v>313</v>
      </c>
      <c r="I240" s="56" t="s">
        <v>351</v>
      </c>
      <c r="J240" s="56" t="s">
        <v>29</v>
      </c>
      <c r="K240" s="56">
        <v>1005293</v>
      </c>
      <c r="L240" s="65">
        <v>44473</v>
      </c>
      <c r="M240" s="56" t="s">
        <v>352</v>
      </c>
      <c r="N240" s="56" t="s">
        <v>29</v>
      </c>
      <c r="O240" s="56" t="s">
        <v>29</v>
      </c>
      <c r="P240" s="56" t="s">
        <v>29</v>
      </c>
      <c r="Q240" s="66" t="str">
        <f t="shared" si="12"/>
        <v/>
      </c>
      <c r="R240" s="56" t="s">
        <v>29</v>
      </c>
      <c r="S240" s="56" t="s">
        <v>29</v>
      </c>
      <c r="T240" s="56" t="s">
        <v>29</v>
      </c>
      <c r="U240" s="56" t="s">
        <v>29</v>
      </c>
      <c r="V240" s="56">
        <v>2</v>
      </c>
      <c r="W240" s="56">
        <v>647435</v>
      </c>
      <c r="X240" s="56">
        <v>11</v>
      </c>
      <c r="Y240" s="56">
        <v>23</v>
      </c>
      <c r="Z240" s="67" t="s">
        <v>29</v>
      </c>
      <c r="AA240" s="68">
        <f t="shared" si="13"/>
        <v>0.47826086956521741</v>
      </c>
      <c r="AB240" s="92">
        <f t="shared" si="11"/>
        <v>0</v>
      </c>
      <c r="AC240" s="92">
        <f>IFERROR(Table16[[#This Row],[Quantity Needed for repair]]*Table16[[#This Row],[Evaluated]],"")</f>
        <v>0</v>
      </c>
    </row>
    <row r="241" spans="5:29" ht="15" thickBot="1" x14ac:dyDescent="0.4">
      <c r="E241" s="69">
        <v>3</v>
      </c>
      <c r="F241" s="70" t="s">
        <v>420</v>
      </c>
      <c r="G241" s="70">
        <v>12967021</v>
      </c>
      <c r="H241" s="70" t="s">
        <v>313</v>
      </c>
      <c r="I241" s="70" t="s">
        <v>351</v>
      </c>
      <c r="J241" s="70" t="s">
        <v>29</v>
      </c>
      <c r="K241" s="70">
        <v>1005293</v>
      </c>
      <c r="L241" s="71">
        <v>44473</v>
      </c>
      <c r="M241" s="70" t="s">
        <v>352</v>
      </c>
      <c r="N241" s="70" t="s">
        <v>29</v>
      </c>
      <c r="O241" s="70" t="s">
        <v>29</v>
      </c>
      <c r="P241" s="70" t="s">
        <v>29</v>
      </c>
      <c r="Q241" s="72" t="str">
        <f t="shared" si="12"/>
        <v/>
      </c>
      <c r="R241" s="70" t="s">
        <v>29</v>
      </c>
      <c r="S241" s="70" t="s">
        <v>29</v>
      </c>
      <c r="T241" s="70" t="s">
        <v>29</v>
      </c>
      <c r="U241" s="70" t="s">
        <v>29</v>
      </c>
      <c r="V241" s="70">
        <v>3</v>
      </c>
      <c r="W241" s="70">
        <v>418525</v>
      </c>
      <c r="X241" s="70">
        <v>6</v>
      </c>
      <c r="Y241" s="70">
        <v>6</v>
      </c>
      <c r="Z241" s="73" t="s">
        <v>29</v>
      </c>
      <c r="AA241" s="74">
        <f t="shared" si="13"/>
        <v>1</v>
      </c>
      <c r="AB241" s="93">
        <f t="shared" si="11"/>
        <v>0</v>
      </c>
      <c r="AC241" s="93">
        <f>IFERROR(Table16[[#This Row],[Quantity Needed for repair]]*Table16[[#This Row],[Evaluated]],"")</f>
        <v>0</v>
      </c>
    </row>
    <row r="242" spans="5:29" x14ac:dyDescent="0.35">
      <c r="E242" s="57">
        <v>3</v>
      </c>
      <c r="F242" s="58" t="s">
        <v>421</v>
      </c>
      <c r="G242" s="58">
        <v>12904349</v>
      </c>
      <c r="H242" s="58" t="s">
        <v>313</v>
      </c>
      <c r="I242" s="58" t="s">
        <v>351</v>
      </c>
      <c r="J242" s="58" t="s">
        <v>29</v>
      </c>
      <c r="K242" s="58">
        <v>1029800</v>
      </c>
      <c r="L242" s="59">
        <v>44473</v>
      </c>
      <c r="M242" s="58" t="s">
        <v>352</v>
      </c>
      <c r="N242" s="58" t="s">
        <v>29</v>
      </c>
      <c r="O242" s="58" t="s">
        <v>29</v>
      </c>
      <c r="P242" s="58" t="s">
        <v>29</v>
      </c>
      <c r="Q242" s="60" t="str">
        <f t="shared" si="12"/>
        <v/>
      </c>
      <c r="R242" s="58" t="s">
        <v>29</v>
      </c>
      <c r="S242" s="58" t="s">
        <v>29</v>
      </c>
      <c r="T242" s="58" t="s">
        <v>29</v>
      </c>
      <c r="U242" s="58" t="s">
        <v>29</v>
      </c>
      <c r="V242" s="58">
        <v>1</v>
      </c>
      <c r="W242" s="58">
        <v>745338</v>
      </c>
      <c r="X242" s="58">
        <v>2</v>
      </c>
      <c r="Y242" s="58">
        <v>30</v>
      </c>
      <c r="Z242" s="61" t="s">
        <v>29</v>
      </c>
      <c r="AA242" s="62">
        <f t="shared" si="13"/>
        <v>6.6666666666666666E-2</v>
      </c>
      <c r="AB242" s="91">
        <f t="shared" si="11"/>
        <v>0</v>
      </c>
      <c r="AC242" s="91">
        <f>IFERROR(Table16[[#This Row],[Quantity Needed for repair]]*Table16[[#This Row],[Evaluated]],"")</f>
        <v>0</v>
      </c>
    </row>
    <row r="243" spans="5:29" x14ac:dyDescent="0.35">
      <c r="E243" s="64">
        <v>3</v>
      </c>
      <c r="F243" s="56" t="s">
        <v>421</v>
      </c>
      <c r="G243" s="56">
        <v>12904349</v>
      </c>
      <c r="H243" s="56" t="s">
        <v>313</v>
      </c>
      <c r="I243" s="56" t="s">
        <v>351</v>
      </c>
      <c r="J243" s="56" t="s">
        <v>29</v>
      </c>
      <c r="K243" s="56">
        <v>1029800</v>
      </c>
      <c r="L243" s="65">
        <v>44473</v>
      </c>
      <c r="M243" s="56" t="s">
        <v>352</v>
      </c>
      <c r="N243" s="56" t="s">
        <v>29</v>
      </c>
      <c r="O243" s="56" t="s">
        <v>29</v>
      </c>
      <c r="P243" s="56" t="s">
        <v>29</v>
      </c>
      <c r="Q243" s="66" t="str">
        <f t="shared" si="12"/>
        <v/>
      </c>
      <c r="R243" s="56" t="s">
        <v>29</v>
      </c>
      <c r="S243" s="56" t="s">
        <v>29</v>
      </c>
      <c r="T243" s="56" t="s">
        <v>29</v>
      </c>
      <c r="U243" s="56" t="s">
        <v>29</v>
      </c>
      <c r="V243" s="56">
        <v>2</v>
      </c>
      <c r="W243" s="56">
        <v>647436</v>
      </c>
      <c r="X243" s="56" t="s">
        <v>29</v>
      </c>
      <c r="Y243" s="56">
        <v>28</v>
      </c>
      <c r="Z243" s="67" t="s">
        <v>29</v>
      </c>
      <c r="AA243" s="68" t="str">
        <f t="shared" si="13"/>
        <v/>
      </c>
      <c r="AB243" s="92">
        <f t="shared" si="11"/>
        <v>0</v>
      </c>
      <c r="AC243" s="92" t="str">
        <f>IFERROR(Table16[[#This Row],[Quantity Needed for repair]]*Table16[[#This Row],[Evaluated]],"")</f>
        <v/>
      </c>
    </row>
    <row r="244" spans="5:29" x14ac:dyDescent="0.35">
      <c r="E244" s="64">
        <v>3</v>
      </c>
      <c r="F244" s="56" t="s">
        <v>421</v>
      </c>
      <c r="G244" s="56">
        <v>12904349</v>
      </c>
      <c r="H244" s="56" t="s">
        <v>313</v>
      </c>
      <c r="I244" s="56" t="s">
        <v>351</v>
      </c>
      <c r="J244" s="56" t="s">
        <v>29</v>
      </c>
      <c r="K244" s="56">
        <v>1029800</v>
      </c>
      <c r="L244" s="65">
        <v>44473</v>
      </c>
      <c r="M244" s="56" t="s">
        <v>352</v>
      </c>
      <c r="N244" s="56" t="s">
        <v>29</v>
      </c>
      <c r="O244" s="56" t="s">
        <v>29</v>
      </c>
      <c r="P244" s="56" t="s">
        <v>29</v>
      </c>
      <c r="Q244" s="66" t="str">
        <f t="shared" si="12"/>
        <v/>
      </c>
      <c r="R244" s="56" t="s">
        <v>29</v>
      </c>
      <c r="S244" s="56" t="s">
        <v>29</v>
      </c>
      <c r="T244" s="56" t="s">
        <v>29</v>
      </c>
      <c r="U244" s="56" t="s">
        <v>29</v>
      </c>
      <c r="V244" s="56">
        <v>3</v>
      </c>
      <c r="W244" s="56">
        <v>745174</v>
      </c>
      <c r="X244" s="56" t="s">
        <v>29</v>
      </c>
      <c r="Y244" s="56">
        <v>7</v>
      </c>
      <c r="Z244" s="67" t="s">
        <v>29</v>
      </c>
      <c r="AA244" s="68" t="str">
        <f t="shared" si="13"/>
        <v/>
      </c>
      <c r="AB244" s="92">
        <f t="shared" si="11"/>
        <v>0</v>
      </c>
      <c r="AC244" s="92" t="str">
        <f>IFERROR(Table16[[#This Row],[Quantity Needed for repair]]*Table16[[#This Row],[Evaluated]],"")</f>
        <v/>
      </c>
    </row>
    <row r="245" spans="5:29" ht="15" thickBot="1" x14ac:dyDescent="0.4">
      <c r="E245" s="69">
        <v>3</v>
      </c>
      <c r="F245" s="70" t="s">
        <v>421</v>
      </c>
      <c r="G245" s="70">
        <v>12904349</v>
      </c>
      <c r="H245" s="70" t="s">
        <v>313</v>
      </c>
      <c r="I245" s="70" t="s">
        <v>351</v>
      </c>
      <c r="J245" s="70" t="s">
        <v>29</v>
      </c>
      <c r="K245" s="70">
        <v>1029800</v>
      </c>
      <c r="L245" s="71">
        <v>44473</v>
      </c>
      <c r="M245" s="70" t="s">
        <v>352</v>
      </c>
      <c r="N245" s="70" t="s">
        <v>29</v>
      </c>
      <c r="O245" s="70" t="s">
        <v>29</v>
      </c>
      <c r="P245" s="70" t="s">
        <v>29</v>
      </c>
      <c r="Q245" s="72" t="str">
        <f t="shared" si="12"/>
        <v/>
      </c>
      <c r="R245" s="70" t="s">
        <v>29</v>
      </c>
      <c r="S245" s="70" t="s">
        <v>29</v>
      </c>
      <c r="T245" s="70" t="s">
        <v>29</v>
      </c>
      <c r="U245" s="70" t="s">
        <v>29</v>
      </c>
      <c r="V245" s="70">
        <v>4</v>
      </c>
      <c r="W245" s="70">
        <v>418525</v>
      </c>
      <c r="X245" s="70">
        <v>2</v>
      </c>
      <c r="Y245" s="70">
        <v>6</v>
      </c>
      <c r="Z245" s="73" t="s">
        <v>29</v>
      </c>
      <c r="AA245" s="74">
        <f t="shared" si="13"/>
        <v>0.33333333333333331</v>
      </c>
      <c r="AB245" s="93">
        <f t="shared" si="11"/>
        <v>0</v>
      </c>
      <c r="AC245" s="93">
        <f>IFERROR(Table16[[#This Row],[Quantity Needed for repair]]*Table16[[#This Row],[Evaluated]],"")</f>
        <v>0</v>
      </c>
    </row>
    <row r="246" spans="5:29" x14ac:dyDescent="0.35">
      <c r="E246" s="57">
        <v>3</v>
      </c>
      <c r="F246" s="58" t="s">
        <v>422</v>
      </c>
      <c r="G246" s="58">
        <v>12947676</v>
      </c>
      <c r="H246" s="58" t="s">
        <v>315</v>
      </c>
      <c r="I246" s="58" t="s">
        <v>367</v>
      </c>
      <c r="J246" s="58" t="s">
        <v>29</v>
      </c>
      <c r="K246" s="58">
        <v>1005462</v>
      </c>
      <c r="L246" s="59">
        <v>44473</v>
      </c>
      <c r="M246" s="58" t="s">
        <v>352</v>
      </c>
      <c r="N246" s="58" t="s">
        <v>29</v>
      </c>
      <c r="O246" s="58" t="s">
        <v>29</v>
      </c>
      <c r="P246" s="58" t="s">
        <v>29</v>
      </c>
      <c r="Q246" s="60" t="str">
        <f t="shared" si="12"/>
        <v/>
      </c>
      <c r="R246" s="58" t="s">
        <v>29</v>
      </c>
      <c r="S246" s="58" t="s">
        <v>29</v>
      </c>
      <c r="T246" s="58" t="s">
        <v>29</v>
      </c>
      <c r="U246" s="58" t="s">
        <v>29</v>
      </c>
      <c r="V246" s="58">
        <v>1</v>
      </c>
      <c r="W246" s="58">
        <v>1130200</v>
      </c>
      <c r="X246" s="58">
        <v>43</v>
      </c>
      <c r="Y246" s="58">
        <v>48</v>
      </c>
      <c r="Z246" s="61" t="s">
        <v>29</v>
      </c>
      <c r="AA246" s="62">
        <f t="shared" si="13"/>
        <v>0.89583333333333337</v>
      </c>
      <c r="AB246" s="91">
        <f t="shared" si="11"/>
        <v>0</v>
      </c>
      <c r="AC246" s="91">
        <f>IFERROR(Table16[[#This Row],[Quantity Needed for repair]]*Table16[[#This Row],[Evaluated]],"")</f>
        <v>0</v>
      </c>
    </row>
    <row r="247" spans="5:29" x14ac:dyDescent="0.35">
      <c r="E247" s="64">
        <v>3</v>
      </c>
      <c r="F247" s="56" t="s">
        <v>422</v>
      </c>
      <c r="G247" s="56">
        <v>12947676</v>
      </c>
      <c r="H247" s="56" t="s">
        <v>315</v>
      </c>
      <c r="I247" s="56" t="s">
        <v>367</v>
      </c>
      <c r="J247" s="56" t="s">
        <v>29</v>
      </c>
      <c r="K247" s="56">
        <v>1005462</v>
      </c>
      <c r="L247" s="65">
        <v>44473</v>
      </c>
      <c r="M247" s="56" t="s">
        <v>352</v>
      </c>
      <c r="N247" s="56" t="s">
        <v>29</v>
      </c>
      <c r="O247" s="56" t="s">
        <v>29</v>
      </c>
      <c r="P247" s="56" t="s">
        <v>29</v>
      </c>
      <c r="Q247" s="66" t="str">
        <f t="shared" si="12"/>
        <v/>
      </c>
      <c r="R247" s="56" t="s">
        <v>29</v>
      </c>
      <c r="S247" s="56" t="s">
        <v>29</v>
      </c>
      <c r="T247" s="56" t="s">
        <v>29</v>
      </c>
      <c r="U247" s="56" t="s">
        <v>29</v>
      </c>
      <c r="V247" s="56">
        <v>2</v>
      </c>
      <c r="W247" s="56">
        <v>1130198</v>
      </c>
      <c r="X247" s="56">
        <v>1</v>
      </c>
      <c r="Y247" s="56">
        <v>9</v>
      </c>
      <c r="Z247" s="67" t="s">
        <v>29</v>
      </c>
      <c r="AA247" s="68">
        <f t="shared" si="13"/>
        <v>0.1111111111111111</v>
      </c>
      <c r="AB247" s="92">
        <f t="shared" si="11"/>
        <v>0</v>
      </c>
      <c r="AC247" s="92">
        <f>IFERROR(Table16[[#This Row],[Quantity Needed for repair]]*Table16[[#This Row],[Evaluated]],"")</f>
        <v>0</v>
      </c>
    </row>
    <row r="248" spans="5:29" x14ac:dyDescent="0.35">
      <c r="E248" s="64">
        <v>3</v>
      </c>
      <c r="F248" s="56" t="s">
        <v>422</v>
      </c>
      <c r="G248" s="56">
        <v>12947676</v>
      </c>
      <c r="H248" s="56" t="s">
        <v>315</v>
      </c>
      <c r="I248" s="56" t="s">
        <v>367</v>
      </c>
      <c r="J248" s="56" t="s">
        <v>29</v>
      </c>
      <c r="K248" s="56">
        <v>1005462</v>
      </c>
      <c r="L248" s="65">
        <v>44473</v>
      </c>
      <c r="M248" s="56" t="s">
        <v>352</v>
      </c>
      <c r="N248" s="56" t="s">
        <v>29</v>
      </c>
      <c r="O248" s="56" t="s">
        <v>29</v>
      </c>
      <c r="P248" s="56" t="s">
        <v>29</v>
      </c>
      <c r="Q248" s="66" t="str">
        <f t="shared" si="12"/>
        <v/>
      </c>
      <c r="R248" s="56" t="s">
        <v>29</v>
      </c>
      <c r="S248" s="56" t="s">
        <v>29</v>
      </c>
      <c r="T248" s="56" t="s">
        <v>29</v>
      </c>
      <c r="U248" s="56" t="s">
        <v>29</v>
      </c>
      <c r="V248" s="56">
        <v>3</v>
      </c>
      <c r="W248" s="56">
        <v>708306</v>
      </c>
      <c r="X248" s="56">
        <v>17</v>
      </c>
      <c r="Y248" s="56">
        <v>34</v>
      </c>
      <c r="Z248" s="67" t="s">
        <v>29</v>
      </c>
      <c r="AA248" s="68">
        <f t="shared" si="13"/>
        <v>0.5</v>
      </c>
      <c r="AB248" s="92">
        <f t="shared" si="11"/>
        <v>0</v>
      </c>
      <c r="AC248" s="92">
        <f>IFERROR(Table16[[#This Row],[Quantity Needed for repair]]*Table16[[#This Row],[Evaluated]],"")</f>
        <v>0</v>
      </c>
    </row>
    <row r="249" spans="5:29" x14ac:dyDescent="0.35">
      <c r="E249" s="64">
        <v>3</v>
      </c>
      <c r="F249" s="56" t="s">
        <v>422</v>
      </c>
      <c r="G249" s="56">
        <v>12947676</v>
      </c>
      <c r="H249" s="56" t="s">
        <v>315</v>
      </c>
      <c r="I249" s="56" t="s">
        <v>367</v>
      </c>
      <c r="J249" s="56" t="s">
        <v>29</v>
      </c>
      <c r="K249" s="56">
        <v>1005462</v>
      </c>
      <c r="L249" s="65">
        <v>44473</v>
      </c>
      <c r="M249" s="56" t="s">
        <v>352</v>
      </c>
      <c r="N249" s="56" t="s">
        <v>29</v>
      </c>
      <c r="O249" s="56" t="s">
        <v>29</v>
      </c>
      <c r="P249" s="56" t="s">
        <v>29</v>
      </c>
      <c r="Q249" s="66" t="str">
        <f t="shared" si="12"/>
        <v/>
      </c>
      <c r="R249" s="56" t="s">
        <v>29</v>
      </c>
      <c r="S249" s="56" t="s">
        <v>29</v>
      </c>
      <c r="T249" s="56" t="s">
        <v>29</v>
      </c>
      <c r="U249" s="56" t="s">
        <v>29</v>
      </c>
      <c r="V249" s="56">
        <v>4</v>
      </c>
      <c r="W249" s="56">
        <v>871781</v>
      </c>
      <c r="X249" s="56">
        <v>4</v>
      </c>
      <c r="Y249" s="56">
        <v>4</v>
      </c>
      <c r="Z249" s="67" t="s">
        <v>29</v>
      </c>
      <c r="AA249" s="68">
        <f t="shared" si="13"/>
        <v>1</v>
      </c>
      <c r="AB249" s="92">
        <f t="shared" si="11"/>
        <v>0</v>
      </c>
      <c r="AC249" s="92">
        <f>IFERROR(Table16[[#This Row],[Quantity Needed for repair]]*Table16[[#This Row],[Evaluated]],"")</f>
        <v>0</v>
      </c>
    </row>
    <row r="250" spans="5:29" ht="15" thickBot="1" x14ac:dyDescent="0.4">
      <c r="E250" s="69">
        <v>3</v>
      </c>
      <c r="F250" s="70" t="s">
        <v>422</v>
      </c>
      <c r="G250" s="70">
        <v>12947676</v>
      </c>
      <c r="H250" s="70" t="s">
        <v>315</v>
      </c>
      <c r="I250" s="70" t="s">
        <v>367</v>
      </c>
      <c r="J250" s="70" t="s">
        <v>29</v>
      </c>
      <c r="K250" s="70">
        <v>1005462</v>
      </c>
      <c r="L250" s="71">
        <v>44473</v>
      </c>
      <c r="M250" s="70" t="s">
        <v>352</v>
      </c>
      <c r="N250" s="70" t="s">
        <v>29</v>
      </c>
      <c r="O250" s="70" t="s">
        <v>29</v>
      </c>
      <c r="P250" s="70" t="s">
        <v>29</v>
      </c>
      <c r="Q250" s="72" t="str">
        <f t="shared" si="12"/>
        <v/>
      </c>
      <c r="R250" s="70" t="s">
        <v>29</v>
      </c>
      <c r="S250" s="70" t="s">
        <v>29</v>
      </c>
      <c r="T250" s="70" t="s">
        <v>29</v>
      </c>
      <c r="U250" s="70" t="s">
        <v>29</v>
      </c>
      <c r="V250" s="70">
        <v>5</v>
      </c>
      <c r="W250" s="70">
        <v>418525</v>
      </c>
      <c r="X250" s="70">
        <v>4</v>
      </c>
      <c r="Y250" s="70">
        <v>4</v>
      </c>
      <c r="Z250" s="73" t="s">
        <v>29</v>
      </c>
      <c r="AA250" s="74">
        <f t="shared" si="13"/>
        <v>1</v>
      </c>
      <c r="AB250" s="93">
        <f t="shared" si="11"/>
        <v>0</v>
      </c>
      <c r="AC250" s="93">
        <f>IFERROR(Table16[[#This Row],[Quantity Needed for repair]]*Table16[[#This Row],[Evaluated]],"")</f>
        <v>0</v>
      </c>
    </row>
    <row r="251" spans="5:29" x14ac:dyDescent="0.35">
      <c r="E251" s="57">
        <v>3</v>
      </c>
      <c r="F251" s="58" t="s">
        <v>423</v>
      </c>
      <c r="G251" s="58">
        <v>12925404</v>
      </c>
      <c r="H251" s="58" t="s">
        <v>313</v>
      </c>
      <c r="I251" s="58" t="s">
        <v>351</v>
      </c>
      <c r="J251" s="58" t="s">
        <v>29</v>
      </c>
      <c r="K251" s="58">
        <v>1006037</v>
      </c>
      <c r="L251" s="59">
        <v>44473</v>
      </c>
      <c r="M251" s="58" t="s">
        <v>352</v>
      </c>
      <c r="N251" s="58" t="s">
        <v>29</v>
      </c>
      <c r="O251" s="58" t="s">
        <v>29</v>
      </c>
      <c r="P251" s="58" t="s">
        <v>29</v>
      </c>
      <c r="Q251" s="60" t="str">
        <f t="shared" si="12"/>
        <v/>
      </c>
      <c r="R251" s="58" t="s">
        <v>29</v>
      </c>
      <c r="S251" s="58" t="s">
        <v>29</v>
      </c>
      <c r="T251" s="58" t="s">
        <v>29</v>
      </c>
      <c r="U251" s="58" t="s">
        <v>29</v>
      </c>
      <c r="V251" s="58">
        <v>1</v>
      </c>
      <c r="W251" s="58">
        <v>1130198</v>
      </c>
      <c r="X251" s="58">
        <v>1</v>
      </c>
      <c r="Y251" s="58">
        <v>30</v>
      </c>
      <c r="Z251" s="61" t="s">
        <v>29</v>
      </c>
      <c r="AA251" s="62">
        <f t="shared" si="13"/>
        <v>3.3333333333333333E-2</v>
      </c>
      <c r="AB251" s="91">
        <f t="shared" si="11"/>
        <v>0</v>
      </c>
      <c r="AC251" s="91">
        <f>IFERROR(Table16[[#This Row],[Quantity Needed for repair]]*Table16[[#This Row],[Evaluated]],"")</f>
        <v>0</v>
      </c>
    </row>
    <row r="252" spans="5:29" x14ac:dyDescent="0.35">
      <c r="E252" s="64">
        <v>3</v>
      </c>
      <c r="F252" s="56" t="s">
        <v>423</v>
      </c>
      <c r="G252" s="56">
        <v>12925404</v>
      </c>
      <c r="H252" s="56" t="s">
        <v>313</v>
      </c>
      <c r="I252" s="56" t="s">
        <v>351</v>
      </c>
      <c r="J252" s="56" t="s">
        <v>29</v>
      </c>
      <c r="K252" s="56">
        <v>1006037</v>
      </c>
      <c r="L252" s="65">
        <v>44473</v>
      </c>
      <c r="M252" s="56" t="s">
        <v>352</v>
      </c>
      <c r="N252" s="56" t="s">
        <v>29</v>
      </c>
      <c r="O252" s="56" t="s">
        <v>29</v>
      </c>
      <c r="P252" s="56" t="s">
        <v>29</v>
      </c>
      <c r="Q252" s="66" t="str">
        <f t="shared" si="12"/>
        <v/>
      </c>
      <c r="R252" s="56" t="s">
        <v>29</v>
      </c>
      <c r="S252" s="56" t="s">
        <v>29</v>
      </c>
      <c r="T252" s="56" t="s">
        <v>29</v>
      </c>
      <c r="U252" s="56" t="s">
        <v>29</v>
      </c>
      <c r="V252" s="56">
        <v>2</v>
      </c>
      <c r="W252" s="56">
        <v>647436</v>
      </c>
      <c r="X252" s="56">
        <v>1</v>
      </c>
      <c r="Y252" s="56">
        <v>28</v>
      </c>
      <c r="Z252" s="67" t="s">
        <v>29</v>
      </c>
      <c r="AA252" s="68">
        <f t="shared" si="13"/>
        <v>3.5714285714285712E-2</v>
      </c>
      <c r="AB252" s="92">
        <f t="shared" si="11"/>
        <v>0</v>
      </c>
      <c r="AC252" s="92">
        <f>IFERROR(Table16[[#This Row],[Quantity Needed for repair]]*Table16[[#This Row],[Evaluated]],"")</f>
        <v>0</v>
      </c>
    </row>
    <row r="253" spans="5:29" x14ac:dyDescent="0.35">
      <c r="E253" s="64">
        <v>3</v>
      </c>
      <c r="F253" s="56" t="s">
        <v>423</v>
      </c>
      <c r="G253" s="56">
        <v>12925404</v>
      </c>
      <c r="H253" s="56" t="s">
        <v>313</v>
      </c>
      <c r="I253" s="56" t="s">
        <v>351</v>
      </c>
      <c r="J253" s="56" t="s">
        <v>29</v>
      </c>
      <c r="K253" s="56">
        <v>1006037</v>
      </c>
      <c r="L253" s="65">
        <v>44473</v>
      </c>
      <c r="M253" s="56" t="s">
        <v>352</v>
      </c>
      <c r="N253" s="56" t="s">
        <v>29</v>
      </c>
      <c r="O253" s="56" t="s">
        <v>29</v>
      </c>
      <c r="P253" s="56" t="s">
        <v>29</v>
      </c>
      <c r="Q253" s="66" t="str">
        <f t="shared" si="12"/>
        <v/>
      </c>
      <c r="R253" s="56" t="s">
        <v>29</v>
      </c>
      <c r="S253" s="56" t="s">
        <v>29</v>
      </c>
      <c r="T253" s="56" t="s">
        <v>29</v>
      </c>
      <c r="U253" s="56" t="s">
        <v>29</v>
      </c>
      <c r="V253" s="56">
        <v>3</v>
      </c>
      <c r="W253" s="56">
        <v>1130196</v>
      </c>
      <c r="X253" s="56" t="s">
        <v>29</v>
      </c>
      <c r="Y253" s="56">
        <v>7</v>
      </c>
      <c r="Z253" s="67" t="s">
        <v>29</v>
      </c>
      <c r="AA253" s="68" t="str">
        <f t="shared" si="13"/>
        <v/>
      </c>
      <c r="AB253" s="92">
        <f t="shared" si="11"/>
        <v>0</v>
      </c>
      <c r="AC253" s="92" t="str">
        <f>IFERROR(Table16[[#This Row],[Quantity Needed for repair]]*Table16[[#This Row],[Evaluated]],"")</f>
        <v/>
      </c>
    </row>
    <row r="254" spans="5:29" ht="15" thickBot="1" x14ac:dyDescent="0.4">
      <c r="E254" s="69">
        <v>3</v>
      </c>
      <c r="F254" s="70" t="s">
        <v>423</v>
      </c>
      <c r="G254" s="70">
        <v>12925404</v>
      </c>
      <c r="H254" s="70" t="s">
        <v>313</v>
      </c>
      <c r="I254" s="70" t="s">
        <v>351</v>
      </c>
      <c r="J254" s="70" t="s">
        <v>29</v>
      </c>
      <c r="K254" s="70">
        <v>1006037</v>
      </c>
      <c r="L254" s="71">
        <v>44473</v>
      </c>
      <c r="M254" s="70" t="s">
        <v>352</v>
      </c>
      <c r="N254" s="70" t="s">
        <v>29</v>
      </c>
      <c r="O254" s="70" t="s">
        <v>29</v>
      </c>
      <c r="P254" s="70" t="s">
        <v>29</v>
      </c>
      <c r="Q254" s="72" t="str">
        <f t="shared" si="12"/>
        <v/>
      </c>
      <c r="R254" s="70" t="s">
        <v>29</v>
      </c>
      <c r="S254" s="70" t="s">
        <v>29</v>
      </c>
      <c r="T254" s="70" t="s">
        <v>29</v>
      </c>
      <c r="U254" s="70" t="s">
        <v>29</v>
      </c>
      <c r="V254" s="70">
        <v>4</v>
      </c>
      <c r="W254" s="70">
        <v>418525</v>
      </c>
      <c r="X254" s="70">
        <v>6</v>
      </c>
      <c r="Y254" s="70">
        <v>6</v>
      </c>
      <c r="Z254" s="73" t="s">
        <v>29</v>
      </c>
      <c r="AA254" s="74">
        <f t="shared" si="13"/>
        <v>1</v>
      </c>
      <c r="AB254" s="93">
        <f t="shared" si="11"/>
        <v>0</v>
      </c>
      <c r="AC254" s="93">
        <f>IFERROR(Table16[[#This Row],[Quantity Needed for repair]]*Table16[[#This Row],[Evaluated]],"")</f>
        <v>0</v>
      </c>
    </row>
    <row r="255" spans="5:29" x14ac:dyDescent="0.35">
      <c r="E255" s="57">
        <v>3</v>
      </c>
      <c r="F255" s="58" t="s">
        <v>424</v>
      </c>
      <c r="G255" s="58">
        <v>12925402</v>
      </c>
      <c r="H255" s="58" t="s">
        <v>313</v>
      </c>
      <c r="I255" s="58" t="s">
        <v>351</v>
      </c>
      <c r="J255" s="58" t="s">
        <v>29</v>
      </c>
      <c r="K255" s="58">
        <v>1040699</v>
      </c>
      <c r="L255" s="59">
        <v>44473</v>
      </c>
      <c r="M255" s="58" t="s">
        <v>352</v>
      </c>
      <c r="N255" s="58" t="s">
        <v>29</v>
      </c>
      <c r="O255" s="58" t="s">
        <v>29</v>
      </c>
      <c r="P255" s="58" t="s">
        <v>29</v>
      </c>
      <c r="Q255" s="60" t="str">
        <f t="shared" si="12"/>
        <v/>
      </c>
      <c r="R255" s="58" t="s">
        <v>29</v>
      </c>
      <c r="S255" s="58" t="s">
        <v>29</v>
      </c>
      <c r="T255" s="58" t="s">
        <v>29</v>
      </c>
      <c r="U255" s="58" t="s">
        <v>29</v>
      </c>
      <c r="V255" s="58">
        <v>1</v>
      </c>
      <c r="W255" s="58">
        <v>744015</v>
      </c>
      <c r="X255" s="58">
        <v>2</v>
      </c>
      <c r="Y255" s="58">
        <v>33</v>
      </c>
      <c r="Z255" s="61" t="s">
        <v>29</v>
      </c>
      <c r="AA255" s="62">
        <f t="shared" si="13"/>
        <v>6.0606060606060608E-2</v>
      </c>
      <c r="AB255" s="91">
        <f t="shared" si="11"/>
        <v>0</v>
      </c>
      <c r="AC255" s="91">
        <f>IFERROR(Table16[[#This Row],[Quantity Needed for repair]]*Table16[[#This Row],[Evaluated]],"")</f>
        <v>0</v>
      </c>
    </row>
    <row r="256" spans="5:29" x14ac:dyDescent="0.35">
      <c r="E256" s="64">
        <v>3</v>
      </c>
      <c r="F256" s="56" t="s">
        <v>424</v>
      </c>
      <c r="G256" s="56">
        <v>12925402</v>
      </c>
      <c r="H256" s="56" t="s">
        <v>313</v>
      </c>
      <c r="I256" s="56" t="s">
        <v>351</v>
      </c>
      <c r="J256" s="56" t="s">
        <v>29</v>
      </c>
      <c r="K256" s="56">
        <v>1040699</v>
      </c>
      <c r="L256" s="65">
        <v>44473</v>
      </c>
      <c r="M256" s="56" t="s">
        <v>352</v>
      </c>
      <c r="N256" s="56" t="s">
        <v>29</v>
      </c>
      <c r="O256" s="56" t="s">
        <v>29</v>
      </c>
      <c r="P256" s="56" t="s">
        <v>29</v>
      </c>
      <c r="Q256" s="66" t="str">
        <f t="shared" si="12"/>
        <v/>
      </c>
      <c r="R256" s="56" t="s">
        <v>29</v>
      </c>
      <c r="S256" s="56" t="s">
        <v>29</v>
      </c>
      <c r="T256" s="56" t="s">
        <v>29</v>
      </c>
      <c r="U256" s="56" t="s">
        <v>29</v>
      </c>
      <c r="V256" s="56">
        <v>2</v>
      </c>
      <c r="W256" s="56">
        <v>647435</v>
      </c>
      <c r="X256" s="56" t="s">
        <v>29</v>
      </c>
      <c r="Y256" s="56">
        <v>23</v>
      </c>
      <c r="Z256" s="67" t="s">
        <v>29</v>
      </c>
      <c r="AA256" s="68" t="str">
        <f t="shared" si="13"/>
        <v/>
      </c>
      <c r="AB256" s="92">
        <f t="shared" si="11"/>
        <v>0</v>
      </c>
      <c r="AC256" s="92" t="str">
        <f>IFERROR(Table16[[#This Row],[Quantity Needed for repair]]*Table16[[#This Row],[Evaluated]],"")</f>
        <v/>
      </c>
    </row>
    <row r="257" spans="5:29" ht="15" thickBot="1" x14ac:dyDescent="0.4">
      <c r="E257" s="69">
        <v>3</v>
      </c>
      <c r="F257" s="70" t="s">
        <v>424</v>
      </c>
      <c r="G257" s="70">
        <v>12925402</v>
      </c>
      <c r="H257" s="70" t="s">
        <v>313</v>
      </c>
      <c r="I257" s="70" t="s">
        <v>351</v>
      </c>
      <c r="J257" s="70" t="s">
        <v>29</v>
      </c>
      <c r="K257" s="70">
        <v>1040699</v>
      </c>
      <c r="L257" s="71">
        <v>44473</v>
      </c>
      <c r="M257" s="70" t="s">
        <v>352</v>
      </c>
      <c r="N257" s="70" t="s">
        <v>29</v>
      </c>
      <c r="O257" s="70" t="s">
        <v>29</v>
      </c>
      <c r="P257" s="70" t="s">
        <v>29</v>
      </c>
      <c r="Q257" s="72" t="str">
        <f t="shared" si="12"/>
        <v/>
      </c>
      <c r="R257" s="70" t="s">
        <v>29</v>
      </c>
      <c r="S257" s="70" t="s">
        <v>29</v>
      </c>
      <c r="T257" s="70" t="s">
        <v>29</v>
      </c>
      <c r="U257" s="70" t="s">
        <v>29</v>
      </c>
      <c r="V257" s="70">
        <v>3</v>
      </c>
      <c r="W257" s="70">
        <v>418525</v>
      </c>
      <c r="X257" s="70">
        <v>8</v>
      </c>
      <c r="Y257" s="70">
        <v>8</v>
      </c>
      <c r="Z257" s="73" t="s">
        <v>29</v>
      </c>
      <c r="AA257" s="74">
        <f t="shared" si="13"/>
        <v>1</v>
      </c>
      <c r="AB257" s="93">
        <f t="shared" si="11"/>
        <v>0</v>
      </c>
      <c r="AC257" s="93">
        <f>IFERROR(Table16[[#This Row],[Quantity Needed for repair]]*Table16[[#This Row],[Evaluated]],"")</f>
        <v>0</v>
      </c>
    </row>
    <row r="258" spans="5:29" x14ac:dyDescent="0.35">
      <c r="E258" s="57">
        <v>3</v>
      </c>
      <c r="F258" s="58" t="s">
        <v>425</v>
      </c>
      <c r="G258" s="58">
        <v>12947677</v>
      </c>
      <c r="H258" s="58" t="s">
        <v>315</v>
      </c>
      <c r="I258" s="58" t="s">
        <v>367</v>
      </c>
      <c r="J258" s="58" t="s">
        <v>29</v>
      </c>
      <c r="K258" s="58">
        <v>1005462</v>
      </c>
      <c r="L258" s="59">
        <v>44473</v>
      </c>
      <c r="M258" s="58" t="s">
        <v>352</v>
      </c>
      <c r="N258" s="58" t="s">
        <v>29</v>
      </c>
      <c r="O258" s="58" t="s">
        <v>29</v>
      </c>
      <c r="P258" s="58" t="s">
        <v>29</v>
      </c>
      <c r="Q258" s="60" t="str">
        <f t="shared" si="12"/>
        <v/>
      </c>
      <c r="R258" s="58" t="s">
        <v>29</v>
      </c>
      <c r="S258" s="58" t="s">
        <v>29</v>
      </c>
      <c r="T258" s="58" t="s">
        <v>29</v>
      </c>
      <c r="U258" s="58" t="s">
        <v>29</v>
      </c>
      <c r="V258" s="58">
        <v>1</v>
      </c>
      <c r="W258" s="58">
        <v>1130200</v>
      </c>
      <c r="X258" s="58">
        <v>33</v>
      </c>
      <c r="Y258" s="58">
        <v>48</v>
      </c>
      <c r="Z258" s="61" t="s">
        <v>29</v>
      </c>
      <c r="AA258" s="62">
        <f t="shared" si="13"/>
        <v>0.6875</v>
      </c>
      <c r="AB258" s="91">
        <f t="shared" ref="AB258:AB321" si="14">IFERROR(INDEX($A$2:$C$553,MATCH($F258,$A$2:$A$553,0),3),0)</f>
        <v>0</v>
      </c>
      <c r="AC258" s="91">
        <f>IFERROR(Table16[[#This Row],[Quantity Needed for repair]]*Table16[[#This Row],[Evaluated]],"")</f>
        <v>0</v>
      </c>
    </row>
    <row r="259" spans="5:29" x14ac:dyDescent="0.35">
      <c r="E259" s="64">
        <v>3</v>
      </c>
      <c r="F259" s="56" t="s">
        <v>425</v>
      </c>
      <c r="G259" s="56">
        <v>12947677</v>
      </c>
      <c r="H259" s="56" t="s">
        <v>315</v>
      </c>
      <c r="I259" s="56" t="s">
        <v>367</v>
      </c>
      <c r="J259" s="56" t="s">
        <v>29</v>
      </c>
      <c r="K259" s="56">
        <v>1005462</v>
      </c>
      <c r="L259" s="65">
        <v>44473</v>
      </c>
      <c r="M259" s="56" t="s">
        <v>352</v>
      </c>
      <c r="N259" s="56" t="s">
        <v>29</v>
      </c>
      <c r="O259" s="56" t="s">
        <v>29</v>
      </c>
      <c r="P259" s="56" t="s">
        <v>29</v>
      </c>
      <c r="Q259" s="66" t="str">
        <f t="shared" ref="Q259:Q322" si="15">IFERROR(ROUND(O259/P259*100,0)&amp;" %"&amp;IF(O259/P259&gt;0.6,", High Price",""),"")</f>
        <v/>
      </c>
      <c r="R259" s="56" t="s">
        <v>29</v>
      </c>
      <c r="S259" s="56" t="s">
        <v>29</v>
      </c>
      <c r="T259" s="56" t="s">
        <v>29</v>
      </c>
      <c r="U259" s="56" t="s">
        <v>29</v>
      </c>
      <c r="V259" s="56">
        <v>2</v>
      </c>
      <c r="W259" s="56">
        <v>1130198</v>
      </c>
      <c r="X259" s="56" t="s">
        <v>29</v>
      </c>
      <c r="Y259" s="56">
        <v>9</v>
      </c>
      <c r="Z259" s="67" t="s">
        <v>29</v>
      </c>
      <c r="AA259" s="68" t="str">
        <f t="shared" ref="AA259:AA322" si="16">IFERROR(X259/Y259,"")</f>
        <v/>
      </c>
      <c r="AB259" s="92">
        <f t="shared" si="14"/>
        <v>0</v>
      </c>
      <c r="AC259" s="92" t="str">
        <f>IFERROR(Table16[[#This Row],[Quantity Needed for repair]]*Table16[[#This Row],[Evaluated]],"")</f>
        <v/>
      </c>
    </row>
    <row r="260" spans="5:29" x14ac:dyDescent="0.35">
      <c r="E260" s="64">
        <v>3</v>
      </c>
      <c r="F260" s="56" t="s">
        <v>425</v>
      </c>
      <c r="G260" s="56">
        <v>12947677</v>
      </c>
      <c r="H260" s="56" t="s">
        <v>315</v>
      </c>
      <c r="I260" s="56" t="s">
        <v>367</v>
      </c>
      <c r="J260" s="56" t="s">
        <v>29</v>
      </c>
      <c r="K260" s="56">
        <v>1005462</v>
      </c>
      <c r="L260" s="65">
        <v>44473</v>
      </c>
      <c r="M260" s="56" t="s">
        <v>352</v>
      </c>
      <c r="N260" s="56" t="s">
        <v>29</v>
      </c>
      <c r="O260" s="56" t="s">
        <v>29</v>
      </c>
      <c r="P260" s="56" t="s">
        <v>29</v>
      </c>
      <c r="Q260" s="66" t="str">
        <f t="shared" si="15"/>
        <v/>
      </c>
      <c r="R260" s="56" t="s">
        <v>29</v>
      </c>
      <c r="S260" s="56" t="s">
        <v>29</v>
      </c>
      <c r="T260" s="56" t="s">
        <v>29</v>
      </c>
      <c r="U260" s="56" t="s">
        <v>29</v>
      </c>
      <c r="V260" s="56">
        <v>3</v>
      </c>
      <c r="W260" s="56">
        <v>708306</v>
      </c>
      <c r="X260" s="56">
        <v>15</v>
      </c>
      <c r="Y260" s="56">
        <v>34</v>
      </c>
      <c r="Z260" s="67" t="s">
        <v>29</v>
      </c>
      <c r="AA260" s="68">
        <f t="shared" si="16"/>
        <v>0.44117647058823528</v>
      </c>
      <c r="AB260" s="92">
        <f t="shared" si="14"/>
        <v>0</v>
      </c>
      <c r="AC260" s="92">
        <f>IFERROR(Table16[[#This Row],[Quantity Needed for repair]]*Table16[[#This Row],[Evaluated]],"")</f>
        <v>0</v>
      </c>
    </row>
    <row r="261" spans="5:29" x14ac:dyDescent="0.35">
      <c r="E261" s="64">
        <v>3</v>
      </c>
      <c r="F261" s="56" t="s">
        <v>425</v>
      </c>
      <c r="G261" s="56">
        <v>12947677</v>
      </c>
      <c r="H261" s="56" t="s">
        <v>315</v>
      </c>
      <c r="I261" s="56" t="s">
        <v>367</v>
      </c>
      <c r="J261" s="56" t="s">
        <v>29</v>
      </c>
      <c r="K261" s="56">
        <v>1005462</v>
      </c>
      <c r="L261" s="65">
        <v>44473</v>
      </c>
      <c r="M261" s="56" t="s">
        <v>352</v>
      </c>
      <c r="N261" s="56" t="s">
        <v>29</v>
      </c>
      <c r="O261" s="56" t="s">
        <v>29</v>
      </c>
      <c r="P261" s="56" t="s">
        <v>29</v>
      </c>
      <c r="Q261" s="66" t="str">
        <f t="shared" si="15"/>
        <v/>
      </c>
      <c r="R261" s="56" t="s">
        <v>29</v>
      </c>
      <c r="S261" s="56" t="s">
        <v>29</v>
      </c>
      <c r="T261" s="56" t="s">
        <v>29</v>
      </c>
      <c r="U261" s="56" t="s">
        <v>29</v>
      </c>
      <c r="V261" s="56">
        <v>4</v>
      </c>
      <c r="W261" s="56">
        <v>871781</v>
      </c>
      <c r="X261" s="56">
        <v>4</v>
      </c>
      <c r="Y261" s="56">
        <v>4</v>
      </c>
      <c r="Z261" s="67" t="s">
        <v>29</v>
      </c>
      <c r="AA261" s="68">
        <f t="shared" si="16"/>
        <v>1</v>
      </c>
      <c r="AB261" s="92">
        <f t="shared" si="14"/>
        <v>0</v>
      </c>
      <c r="AC261" s="92">
        <f>IFERROR(Table16[[#This Row],[Quantity Needed for repair]]*Table16[[#This Row],[Evaluated]],"")</f>
        <v>0</v>
      </c>
    </row>
    <row r="262" spans="5:29" ht="15" thickBot="1" x14ac:dyDescent="0.4">
      <c r="E262" s="69">
        <v>3</v>
      </c>
      <c r="F262" s="70" t="s">
        <v>425</v>
      </c>
      <c r="G262" s="70">
        <v>12947677</v>
      </c>
      <c r="H262" s="70" t="s">
        <v>315</v>
      </c>
      <c r="I262" s="70" t="s">
        <v>367</v>
      </c>
      <c r="J262" s="70" t="s">
        <v>29</v>
      </c>
      <c r="K262" s="70">
        <v>1005462</v>
      </c>
      <c r="L262" s="71">
        <v>44473</v>
      </c>
      <c r="M262" s="70" t="s">
        <v>352</v>
      </c>
      <c r="N262" s="70" t="s">
        <v>29</v>
      </c>
      <c r="O262" s="70" t="s">
        <v>29</v>
      </c>
      <c r="P262" s="70" t="s">
        <v>29</v>
      </c>
      <c r="Q262" s="72" t="str">
        <f t="shared" si="15"/>
        <v/>
      </c>
      <c r="R262" s="70" t="s">
        <v>29</v>
      </c>
      <c r="S262" s="70" t="s">
        <v>29</v>
      </c>
      <c r="T262" s="70" t="s">
        <v>29</v>
      </c>
      <c r="U262" s="70" t="s">
        <v>29</v>
      </c>
      <c r="V262" s="70">
        <v>5</v>
      </c>
      <c r="W262" s="70">
        <v>418525</v>
      </c>
      <c r="X262" s="70">
        <v>4</v>
      </c>
      <c r="Y262" s="70">
        <v>4</v>
      </c>
      <c r="Z262" s="73" t="s">
        <v>29</v>
      </c>
      <c r="AA262" s="74">
        <f t="shared" si="16"/>
        <v>1</v>
      </c>
      <c r="AB262" s="93">
        <f t="shared" si="14"/>
        <v>0</v>
      </c>
      <c r="AC262" s="93">
        <f>IFERROR(Table16[[#This Row],[Quantity Needed for repair]]*Table16[[#This Row],[Evaluated]],"")</f>
        <v>0</v>
      </c>
    </row>
    <row r="263" spans="5:29" x14ac:dyDescent="0.35">
      <c r="E263" s="57">
        <v>3</v>
      </c>
      <c r="F263" s="58" t="s">
        <v>426</v>
      </c>
      <c r="G263" s="58">
        <v>12825647</v>
      </c>
      <c r="H263" s="58" t="s">
        <v>313</v>
      </c>
      <c r="I263" s="58" t="s">
        <v>351</v>
      </c>
      <c r="J263" s="58" t="s">
        <v>29</v>
      </c>
      <c r="K263" s="58">
        <v>979843</v>
      </c>
      <c r="L263" s="59">
        <v>44473</v>
      </c>
      <c r="M263" s="58" t="s">
        <v>352</v>
      </c>
      <c r="N263" s="58" t="s">
        <v>29</v>
      </c>
      <c r="O263" s="58" t="s">
        <v>29</v>
      </c>
      <c r="P263" s="58" t="s">
        <v>29</v>
      </c>
      <c r="Q263" s="60" t="str">
        <f t="shared" si="15"/>
        <v/>
      </c>
      <c r="R263" s="58" t="s">
        <v>29</v>
      </c>
      <c r="S263" s="58" t="s">
        <v>29</v>
      </c>
      <c r="T263" s="58" t="s">
        <v>29</v>
      </c>
      <c r="U263" s="58" t="s">
        <v>29</v>
      </c>
      <c r="V263" s="58">
        <v>1</v>
      </c>
      <c r="W263" s="58">
        <v>729691</v>
      </c>
      <c r="X263" s="58">
        <v>9</v>
      </c>
      <c r="Y263" s="58">
        <v>33</v>
      </c>
      <c r="Z263" s="61" t="s">
        <v>29</v>
      </c>
      <c r="AA263" s="62">
        <f t="shared" si="16"/>
        <v>0.27272727272727271</v>
      </c>
      <c r="AB263" s="91">
        <f t="shared" si="14"/>
        <v>0</v>
      </c>
      <c r="AC263" s="91">
        <f>IFERROR(Table16[[#This Row],[Quantity Needed for repair]]*Table16[[#This Row],[Evaluated]],"")</f>
        <v>0</v>
      </c>
    </row>
    <row r="264" spans="5:29" x14ac:dyDescent="0.35">
      <c r="E264" s="64">
        <v>3</v>
      </c>
      <c r="F264" s="56" t="s">
        <v>426</v>
      </c>
      <c r="G264" s="56">
        <v>12825647</v>
      </c>
      <c r="H264" s="56" t="s">
        <v>313</v>
      </c>
      <c r="I264" s="56" t="s">
        <v>351</v>
      </c>
      <c r="J264" s="56" t="s">
        <v>29</v>
      </c>
      <c r="K264" s="56">
        <v>979843</v>
      </c>
      <c r="L264" s="65">
        <v>44473</v>
      </c>
      <c r="M264" s="56" t="s">
        <v>352</v>
      </c>
      <c r="N264" s="56" t="s">
        <v>29</v>
      </c>
      <c r="O264" s="56" t="s">
        <v>29</v>
      </c>
      <c r="P264" s="56" t="s">
        <v>29</v>
      </c>
      <c r="Q264" s="66" t="str">
        <f t="shared" si="15"/>
        <v/>
      </c>
      <c r="R264" s="56" t="s">
        <v>29</v>
      </c>
      <c r="S264" s="56" t="s">
        <v>29</v>
      </c>
      <c r="T264" s="56" t="s">
        <v>29</v>
      </c>
      <c r="U264" s="56" t="s">
        <v>29</v>
      </c>
      <c r="V264" s="56">
        <v>2</v>
      </c>
      <c r="W264" s="56">
        <v>729690</v>
      </c>
      <c r="X264" s="56" t="s">
        <v>29</v>
      </c>
      <c r="Y264" s="56">
        <v>23</v>
      </c>
      <c r="Z264" s="67" t="s">
        <v>29</v>
      </c>
      <c r="AA264" s="68" t="str">
        <f t="shared" si="16"/>
        <v/>
      </c>
      <c r="AB264" s="92">
        <f t="shared" si="14"/>
        <v>0</v>
      </c>
      <c r="AC264" s="92" t="str">
        <f>IFERROR(Table16[[#This Row],[Quantity Needed for repair]]*Table16[[#This Row],[Evaluated]],"")</f>
        <v/>
      </c>
    </row>
    <row r="265" spans="5:29" ht="15" thickBot="1" x14ac:dyDescent="0.4">
      <c r="E265" s="69">
        <v>3</v>
      </c>
      <c r="F265" s="70" t="s">
        <v>426</v>
      </c>
      <c r="G265" s="70">
        <v>12825647</v>
      </c>
      <c r="H265" s="70" t="s">
        <v>313</v>
      </c>
      <c r="I265" s="70" t="s">
        <v>351</v>
      </c>
      <c r="J265" s="70" t="s">
        <v>29</v>
      </c>
      <c r="K265" s="70">
        <v>979843</v>
      </c>
      <c r="L265" s="71">
        <v>44473</v>
      </c>
      <c r="M265" s="70" t="s">
        <v>352</v>
      </c>
      <c r="N265" s="70" t="s">
        <v>29</v>
      </c>
      <c r="O265" s="70" t="s">
        <v>29</v>
      </c>
      <c r="P265" s="70" t="s">
        <v>29</v>
      </c>
      <c r="Q265" s="72" t="str">
        <f t="shared" si="15"/>
        <v/>
      </c>
      <c r="R265" s="70" t="s">
        <v>29</v>
      </c>
      <c r="S265" s="70" t="s">
        <v>29</v>
      </c>
      <c r="T265" s="70" t="s">
        <v>29</v>
      </c>
      <c r="U265" s="70" t="s">
        <v>29</v>
      </c>
      <c r="V265" s="70">
        <v>3</v>
      </c>
      <c r="W265" s="70">
        <v>418525</v>
      </c>
      <c r="X265" s="70">
        <v>12</v>
      </c>
      <c r="Y265" s="70">
        <v>12</v>
      </c>
      <c r="Z265" s="73" t="s">
        <v>29</v>
      </c>
      <c r="AA265" s="74">
        <f t="shared" si="16"/>
        <v>1</v>
      </c>
      <c r="AB265" s="93">
        <f t="shared" si="14"/>
        <v>0</v>
      </c>
      <c r="AC265" s="93">
        <f>IFERROR(Table16[[#This Row],[Quantity Needed for repair]]*Table16[[#This Row],[Evaluated]],"")</f>
        <v>0</v>
      </c>
    </row>
    <row r="266" spans="5:29" x14ac:dyDescent="0.35">
      <c r="E266" s="57">
        <v>3</v>
      </c>
      <c r="F266" s="58" t="s">
        <v>427</v>
      </c>
      <c r="G266" s="58">
        <v>13022897</v>
      </c>
      <c r="H266" s="58" t="s">
        <v>313</v>
      </c>
      <c r="I266" s="58" t="s">
        <v>351</v>
      </c>
      <c r="J266" s="58" t="s">
        <v>29</v>
      </c>
      <c r="K266" s="58">
        <v>1005293</v>
      </c>
      <c r="L266" s="59">
        <v>44473</v>
      </c>
      <c r="M266" s="58" t="s">
        <v>352</v>
      </c>
      <c r="N266" s="58" t="s">
        <v>29</v>
      </c>
      <c r="O266" s="58" t="s">
        <v>29</v>
      </c>
      <c r="P266" s="58" t="s">
        <v>29</v>
      </c>
      <c r="Q266" s="60" t="str">
        <f t="shared" si="15"/>
        <v/>
      </c>
      <c r="R266" s="58" t="s">
        <v>29</v>
      </c>
      <c r="S266" s="58" t="s">
        <v>29</v>
      </c>
      <c r="T266" s="58" t="s">
        <v>29</v>
      </c>
      <c r="U266" s="58" t="s">
        <v>29</v>
      </c>
      <c r="V266" s="58">
        <v>1</v>
      </c>
      <c r="W266" s="58">
        <v>1130198</v>
      </c>
      <c r="X266" s="58">
        <v>1</v>
      </c>
      <c r="Y266" s="58">
        <v>33</v>
      </c>
      <c r="Z266" s="61" t="s">
        <v>29</v>
      </c>
      <c r="AA266" s="62">
        <f t="shared" si="16"/>
        <v>3.0303030303030304E-2</v>
      </c>
      <c r="AB266" s="91">
        <f t="shared" si="14"/>
        <v>0</v>
      </c>
      <c r="AC266" s="91">
        <f>IFERROR(Table16[[#This Row],[Quantity Needed for repair]]*Table16[[#This Row],[Evaluated]],"")</f>
        <v>0</v>
      </c>
    </row>
    <row r="267" spans="5:29" x14ac:dyDescent="0.35">
      <c r="E267" s="64">
        <v>3</v>
      </c>
      <c r="F267" s="56" t="s">
        <v>427</v>
      </c>
      <c r="G267" s="56">
        <v>13022897</v>
      </c>
      <c r="H267" s="56" t="s">
        <v>313</v>
      </c>
      <c r="I267" s="56" t="s">
        <v>351</v>
      </c>
      <c r="J267" s="56" t="s">
        <v>29</v>
      </c>
      <c r="K267" s="56">
        <v>1005293</v>
      </c>
      <c r="L267" s="65">
        <v>44473</v>
      </c>
      <c r="M267" s="56" t="s">
        <v>352</v>
      </c>
      <c r="N267" s="56" t="s">
        <v>29</v>
      </c>
      <c r="O267" s="56" t="s">
        <v>29</v>
      </c>
      <c r="P267" s="56" t="s">
        <v>29</v>
      </c>
      <c r="Q267" s="66" t="str">
        <f t="shared" si="15"/>
        <v/>
      </c>
      <c r="R267" s="56" t="s">
        <v>29</v>
      </c>
      <c r="S267" s="56" t="s">
        <v>29</v>
      </c>
      <c r="T267" s="56" t="s">
        <v>29</v>
      </c>
      <c r="U267" s="56" t="s">
        <v>29</v>
      </c>
      <c r="V267" s="56">
        <v>2</v>
      </c>
      <c r="W267" s="56">
        <v>647435</v>
      </c>
      <c r="X267" s="56" t="s">
        <v>29</v>
      </c>
      <c r="Y267" s="56">
        <v>23</v>
      </c>
      <c r="Z267" s="67" t="s">
        <v>29</v>
      </c>
      <c r="AA267" s="68" t="str">
        <f t="shared" si="16"/>
        <v/>
      </c>
      <c r="AB267" s="92">
        <f t="shared" si="14"/>
        <v>0</v>
      </c>
      <c r="AC267" s="92" t="str">
        <f>IFERROR(Table16[[#This Row],[Quantity Needed for repair]]*Table16[[#This Row],[Evaluated]],"")</f>
        <v/>
      </c>
    </row>
    <row r="268" spans="5:29" ht="15" thickBot="1" x14ac:dyDescent="0.4">
      <c r="E268" s="69">
        <v>3</v>
      </c>
      <c r="F268" s="70" t="s">
        <v>427</v>
      </c>
      <c r="G268" s="70">
        <v>13022897</v>
      </c>
      <c r="H268" s="70" t="s">
        <v>313</v>
      </c>
      <c r="I268" s="70" t="s">
        <v>351</v>
      </c>
      <c r="J268" s="70" t="s">
        <v>29</v>
      </c>
      <c r="K268" s="70">
        <v>1005293</v>
      </c>
      <c r="L268" s="71">
        <v>44473</v>
      </c>
      <c r="M268" s="70" t="s">
        <v>352</v>
      </c>
      <c r="N268" s="70" t="s">
        <v>29</v>
      </c>
      <c r="O268" s="70" t="s">
        <v>29</v>
      </c>
      <c r="P268" s="70" t="s">
        <v>29</v>
      </c>
      <c r="Q268" s="72" t="str">
        <f t="shared" si="15"/>
        <v/>
      </c>
      <c r="R268" s="70" t="s">
        <v>29</v>
      </c>
      <c r="S268" s="70" t="s">
        <v>29</v>
      </c>
      <c r="T268" s="70" t="s">
        <v>29</v>
      </c>
      <c r="U268" s="70" t="s">
        <v>29</v>
      </c>
      <c r="V268" s="70">
        <v>3</v>
      </c>
      <c r="W268" s="70">
        <v>418525</v>
      </c>
      <c r="X268" s="70">
        <v>3</v>
      </c>
      <c r="Y268" s="70">
        <v>6</v>
      </c>
      <c r="Z268" s="73" t="s">
        <v>29</v>
      </c>
      <c r="AA268" s="74">
        <f t="shared" si="16"/>
        <v>0.5</v>
      </c>
      <c r="AB268" s="93">
        <f t="shared" si="14"/>
        <v>0</v>
      </c>
      <c r="AC268" s="93">
        <f>IFERROR(Table16[[#This Row],[Quantity Needed for repair]]*Table16[[#This Row],[Evaluated]],"")</f>
        <v>0</v>
      </c>
    </row>
    <row r="269" spans="5:29" x14ac:dyDescent="0.35">
      <c r="E269" s="57">
        <v>3</v>
      </c>
      <c r="F269" s="58" t="s">
        <v>428</v>
      </c>
      <c r="G269" s="58">
        <v>12864038</v>
      </c>
      <c r="H269" s="58" t="s">
        <v>315</v>
      </c>
      <c r="I269" s="58" t="s">
        <v>367</v>
      </c>
      <c r="J269" s="58" t="s">
        <v>29</v>
      </c>
      <c r="K269" s="58">
        <v>1005462</v>
      </c>
      <c r="L269" s="59">
        <v>44473</v>
      </c>
      <c r="M269" s="58" t="s">
        <v>352</v>
      </c>
      <c r="N269" s="58" t="s">
        <v>29</v>
      </c>
      <c r="O269" s="58" t="s">
        <v>29</v>
      </c>
      <c r="P269" s="58" t="s">
        <v>29</v>
      </c>
      <c r="Q269" s="60" t="str">
        <f t="shared" si="15"/>
        <v/>
      </c>
      <c r="R269" s="58" t="s">
        <v>29</v>
      </c>
      <c r="S269" s="58" t="s">
        <v>29</v>
      </c>
      <c r="T269" s="58" t="s">
        <v>29</v>
      </c>
      <c r="U269" s="58" t="s">
        <v>29</v>
      </c>
      <c r="V269" s="58">
        <v>1</v>
      </c>
      <c r="W269" s="58">
        <v>1130200</v>
      </c>
      <c r="X269" s="58">
        <v>53</v>
      </c>
      <c r="Y269" s="58">
        <v>48</v>
      </c>
      <c r="Z269" s="61" t="s">
        <v>29</v>
      </c>
      <c r="AA269" s="62">
        <f t="shared" si="16"/>
        <v>1.1041666666666667</v>
      </c>
      <c r="AB269" s="91">
        <f t="shared" si="14"/>
        <v>0</v>
      </c>
      <c r="AC269" s="91">
        <f>IFERROR(Table16[[#This Row],[Quantity Needed for repair]]*Table16[[#This Row],[Evaluated]],"")</f>
        <v>0</v>
      </c>
    </row>
    <row r="270" spans="5:29" x14ac:dyDescent="0.35">
      <c r="E270" s="64">
        <v>3</v>
      </c>
      <c r="F270" s="56" t="s">
        <v>428</v>
      </c>
      <c r="G270" s="56">
        <v>12864038</v>
      </c>
      <c r="H270" s="56" t="s">
        <v>315</v>
      </c>
      <c r="I270" s="56" t="s">
        <v>367</v>
      </c>
      <c r="J270" s="56" t="s">
        <v>29</v>
      </c>
      <c r="K270" s="56">
        <v>1005462</v>
      </c>
      <c r="L270" s="65">
        <v>44473</v>
      </c>
      <c r="M270" s="56" t="s">
        <v>352</v>
      </c>
      <c r="N270" s="56" t="s">
        <v>29</v>
      </c>
      <c r="O270" s="56" t="s">
        <v>29</v>
      </c>
      <c r="P270" s="56" t="s">
        <v>29</v>
      </c>
      <c r="Q270" s="66" t="str">
        <f t="shared" si="15"/>
        <v/>
      </c>
      <c r="R270" s="56" t="s">
        <v>29</v>
      </c>
      <c r="S270" s="56" t="s">
        <v>29</v>
      </c>
      <c r="T270" s="56" t="s">
        <v>29</v>
      </c>
      <c r="U270" s="56" t="s">
        <v>29</v>
      </c>
      <c r="V270" s="56">
        <v>2</v>
      </c>
      <c r="W270" s="56">
        <v>1130198</v>
      </c>
      <c r="X270" s="56">
        <v>9</v>
      </c>
      <c r="Y270" s="56">
        <v>9</v>
      </c>
      <c r="Z270" s="67" t="s">
        <v>29</v>
      </c>
      <c r="AA270" s="68">
        <f t="shared" si="16"/>
        <v>1</v>
      </c>
      <c r="AB270" s="92">
        <f t="shared" si="14"/>
        <v>0</v>
      </c>
      <c r="AC270" s="92">
        <f>IFERROR(Table16[[#This Row],[Quantity Needed for repair]]*Table16[[#This Row],[Evaluated]],"")</f>
        <v>0</v>
      </c>
    </row>
    <row r="271" spans="5:29" x14ac:dyDescent="0.35">
      <c r="E271" s="64">
        <v>3</v>
      </c>
      <c r="F271" s="56" t="s">
        <v>428</v>
      </c>
      <c r="G271" s="56">
        <v>12864038</v>
      </c>
      <c r="H271" s="56" t="s">
        <v>315</v>
      </c>
      <c r="I271" s="56" t="s">
        <v>367</v>
      </c>
      <c r="J271" s="56" t="s">
        <v>29</v>
      </c>
      <c r="K271" s="56">
        <v>1005462</v>
      </c>
      <c r="L271" s="65">
        <v>44473</v>
      </c>
      <c r="M271" s="56" t="s">
        <v>352</v>
      </c>
      <c r="N271" s="56" t="s">
        <v>29</v>
      </c>
      <c r="O271" s="56" t="s">
        <v>29</v>
      </c>
      <c r="P271" s="56" t="s">
        <v>29</v>
      </c>
      <c r="Q271" s="66" t="str">
        <f t="shared" si="15"/>
        <v/>
      </c>
      <c r="R271" s="56" t="s">
        <v>29</v>
      </c>
      <c r="S271" s="56" t="s">
        <v>29</v>
      </c>
      <c r="T271" s="56" t="s">
        <v>29</v>
      </c>
      <c r="U271" s="56" t="s">
        <v>29</v>
      </c>
      <c r="V271" s="56">
        <v>3</v>
      </c>
      <c r="W271" s="56">
        <v>708306</v>
      </c>
      <c r="X271" s="56">
        <v>23</v>
      </c>
      <c r="Y271" s="56">
        <v>34</v>
      </c>
      <c r="Z271" s="67" t="s">
        <v>29</v>
      </c>
      <c r="AA271" s="68">
        <f t="shared" si="16"/>
        <v>0.67647058823529416</v>
      </c>
      <c r="AB271" s="92">
        <f t="shared" si="14"/>
        <v>0</v>
      </c>
      <c r="AC271" s="92">
        <f>IFERROR(Table16[[#This Row],[Quantity Needed for repair]]*Table16[[#This Row],[Evaluated]],"")</f>
        <v>0</v>
      </c>
    </row>
    <row r="272" spans="5:29" x14ac:dyDescent="0.35">
      <c r="E272" s="64">
        <v>3</v>
      </c>
      <c r="F272" s="56" t="s">
        <v>428</v>
      </c>
      <c r="G272" s="56">
        <v>12864038</v>
      </c>
      <c r="H272" s="56" t="s">
        <v>315</v>
      </c>
      <c r="I272" s="56" t="s">
        <v>367</v>
      </c>
      <c r="J272" s="56" t="s">
        <v>29</v>
      </c>
      <c r="K272" s="56">
        <v>1005462</v>
      </c>
      <c r="L272" s="65">
        <v>44473</v>
      </c>
      <c r="M272" s="56" t="s">
        <v>352</v>
      </c>
      <c r="N272" s="56" t="s">
        <v>29</v>
      </c>
      <c r="O272" s="56" t="s">
        <v>29</v>
      </c>
      <c r="P272" s="56" t="s">
        <v>29</v>
      </c>
      <c r="Q272" s="66" t="str">
        <f t="shared" si="15"/>
        <v/>
      </c>
      <c r="R272" s="56" t="s">
        <v>29</v>
      </c>
      <c r="S272" s="56" t="s">
        <v>29</v>
      </c>
      <c r="T272" s="56" t="s">
        <v>29</v>
      </c>
      <c r="U272" s="56" t="s">
        <v>29</v>
      </c>
      <c r="V272" s="56">
        <v>4</v>
      </c>
      <c r="W272" s="56">
        <v>871781</v>
      </c>
      <c r="X272" s="56" t="s">
        <v>29</v>
      </c>
      <c r="Y272" s="56">
        <v>4</v>
      </c>
      <c r="Z272" s="67" t="s">
        <v>29</v>
      </c>
      <c r="AA272" s="68" t="str">
        <f t="shared" si="16"/>
        <v/>
      </c>
      <c r="AB272" s="92">
        <f t="shared" si="14"/>
        <v>0</v>
      </c>
      <c r="AC272" s="92" t="str">
        <f>IFERROR(Table16[[#This Row],[Quantity Needed for repair]]*Table16[[#This Row],[Evaluated]],"")</f>
        <v/>
      </c>
    </row>
    <row r="273" spans="5:29" ht="15" thickBot="1" x14ac:dyDescent="0.4">
      <c r="E273" s="69">
        <v>3</v>
      </c>
      <c r="F273" s="70" t="s">
        <v>428</v>
      </c>
      <c r="G273" s="70">
        <v>12864038</v>
      </c>
      <c r="H273" s="70" t="s">
        <v>315</v>
      </c>
      <c r="I273" s="70" t="s">
        <v>367</v>
      </c>
      <c r="J273" s="70" t="s">
        <v>29</v>
      </c>
      <c r="K273" s="70">
        <v>1005462</v>
      </c>
      <c r="L273" s="71">
        <v>44473</v>
      </c>
      <c r="M273" s="70" t="s">
        <v>352</v>
      </c>
      <c r="N273" s="70" t="s">
        <v>29</v>
      </c>
      <c r="O273" s="70" t="s">
        <v>29</v>
      </c>
      <c r="P273" s="70" t="s">
        <v>29</v>
      </c>
      <c r="Q273" s="72" t="str">
        <f t="shared" si="15"/>
        <v/>
      </c>
      <c r="R273" s="70" t="s">
        <v>29</v>
      </c>
      <c r="S273" s="70" t="s">
        <v>29</v>
      </c>
      <c r="T273" s="70" t="s">
        <v>29</v>
      </c>
      <c r="U273" s="70" t="s">
        <v>29</v>
      </c>
      <c r="V273" s="70">
        <v>5</v>
      </c>
      <c r="W273" s="70">
        <v>418525</v>
      </c>
      <c r="X273" s="70">
        <v>4</v>
      </c>
      <c r="Y273" s="70">
        <v>4</v>
      </c>
      <c r="Z273" s="73" t="s">
        <v>29</v>
      </c>
      <c r="AA273" s="74">
        <f t="shared" si="16"/>
        <v>1</v>
      </c>
      <c r="AB273" s="93">
        <f t="shared" si="14"/>
        <v>0</v>
      </c>
      <c r="AC273" s="93">
        <f>IFERROR(Table16[[#This Row],[Quantity Needed for repair]]*Table16[[#This Row],[Evaluated]],"")</f>
        <v>0</v>
      </c>
    </row>
    <row r="274" spans="5:29" x14ac:dyDescent="0.35">
      <c r="E274" s="57">
        <v>3</v>
      </c>
      <c r="F274" s="58" t="s">
        <v>429</v>
      </c>
      <c r="G274" s="58">
        <v>12871295</v>
      </c>
      <c r="H274" s="58" t="s">
        <v>315</v>
      </c>
      <c r="I274" s="58" t="s">
        <v>367</v>
      </c>
      <c r="J274" s="58" t="s">
        <v>29</v>
      </c>
      <c r="K274" s="58">
        <v>1005462</v>
      </c>
      <c r="L274" s="59">
        <v>44473</v>
      </c>
      <c r="M274" s="58" t="s">
        <v>352</v>
      </c>
      <c r="N274" s="58" t="s">
        <v>29</v>
      </c>
      <c r="O274" s="58" t="s">
        <v>29</v>
      </c>
      <c r="P274" s="58" t="s">
        <v>29</v>
      </c>
      <c r="Q274" s="60" t="str">
        <f t="shared" si="15"/>
        <v/>
      </c>
      <c r="R274" s="58" t="s">
        <v>29</v>
      </c>
      <c r="S274" s="58" t="s">
        <v>29</v>
      </c>
      <c r="T274" s="58" t="s">
        <v>29</v>
      </c>
      <c r="U274" s="58" t="s">
        <v>29</v>
      </c>
      <c r="V274" s="58">
        <v>1</v>
      </c>
      <c r="W274" s="58">
        <v>1130200</v>
      </c>
      <c r="X274" s="58">
        <v>41</v>
      </c>
      <c r="Y274" s="58">
        <v>48</v>
      </c>
      <c r="Z274" s="61" t="s">
        <v>29</v>
      </c>
      <c r="AA274" s="62">
        <f t="shared" si="16"/>
        <v>0.85416666666666663</v>
      </c>
      <c r="AB274" s="91">
        <f t="shared" si="14"/>
        <v>0</v>
      </c>
      <c r="AC274" s="91">
        <f>IFERROR(Table16[[#This Row],[Quantity Needed for repair]]*Table16[[#This Row],[Evaluated]],"")</f>
        <v>0</v>
      </c>
    </row>
    <row r="275" spans="5:29" x14ac:dyDescent="0.35">
      <c r="E275" s="64">
        <v>3</v>
      </c>
      <c r="F275" s="56" t="s">
        <v>429</v>
      </c>
      <c r="G275" s="56">
        <v>12871295</v>
      </c>
      <c r="H275" s="56" t="s">
        <v>315</v>
      </c>
      <c r="I275" s="56" t="s">
        <v>367</v>
      </c>
      <c r="J275" s="56" t="s">
        <v>29</v>
      </c>
      <c r="K275" s="56">
        <v>1005462</v>
      </c>
      <c r="L275" s="65">
        <v>44473</v>
      </c>
      <c r="M275" s="56" t="s">
        <v>352</v>
      </c>
      <c r="N275" s="56" t="s">
        <v>29</v>
      </c>
      <c r="O275" s="56" t="s">
        <v>29</v>
      </c>
      <c r="P275" s="56" t="s">
        <v>29</v>
      </c>
      <c r="Q275" s="66" t="str">
        <f t="shared" si="15"/>
        <v/>
      </c>
      <c r="R275" s="56" t="s">
        <v>29</v>
      </c>
      <c r="S275" s="56" t="s">
        <v>29</v>
      </c>
      <c r="T275" s="56" t="s">
        <v>29</v>
      </c>
      <c r="U275" s="56" t="s">
        <v>29</v>
      </c>
      <c r="V275" s="56">
        <v>2</v>
      </c>
      <c r="W275" s="56">
        <v>1130198</v>
      </c>
      <c r="X275" s="56" t="s">
        <v>29</v>
      </c>
      <c r="Y275" s="56">
        <v>9</v>
      </c>
      <c r="Z275" s="67" t="s">
        <v>29</v>
      </c>
      <c r="AA275" s="68" t="str">
        <f t="shared" si="16"/>
        <v/>
      </c>
      <c r="AB275" s="92">
        <f t="shared" si="14"/>
        <v>0</v>
      </c>
      <c r="AC275" s="92" t="str">
        <f>IFERROR(Table16[[#This Row],[Quantity Needed for repair]]*Table16[[#This Row],[Evaluated]],"")</f>
        <v/>
      </c>
    </row>
    <row r="276" spans="5:29" x14ac:dyDescent="0.35">
      <c r="E276" s="64">
        <v>3</v>
      </c>
      <c r="F276" s="56" t="s">
        <v>429</v>
      </c>
      <c r="G276" s="56">
        <v>12871295</v>
      </c>
      <c r="H276" s="56" t="s">
        <v>315</v>
      </c>
      <c r="I276" s="56" t="s">
        <v>367</v>
      </c>
      <c r="J276" s="56" t="s">
        <v>29</v>
      </c>
      <c r="K276" s="56">
        <v>1005462</v>
      </c>
      <c r="L276" s="65">
        <v>44473</v>
      </c>
      <c r="M276" s="56" t="s">
        <v>352</v>
      </c>
      <c r="N276" s="56" t="s">
        <v>29</v>
      </c>
      <c r="O276" s="56" t="s">
        <v>29</v>
      </c>
      <c r="P276" s="56" t="s">
        <v>29</v>
      </c>
      <c r="Q276" s="66" t="str">
        <f t="shared" si="15"/>
        <v/>
      </c>
      <c r="R276" s="56" t="s">
        <v>29</v>
      </c>
      <c r="S276" s="56" t="s">
        <v>29</v>
      </c>
      <c r="T276" s="56" t="s">
        <v>29</v>
      </c>
      <c r="U276" s="56" t="s">
        <v>29</v>
      </c>
      <c r="V276" s="56">
        <v>3</v>
      </c>
      <c r="W276" s="56">
        <v>708306</v>
      </c>
      <c r="X276" s="56">
        <v>13</v>
      </c>
      <c r="Y276" s="56">
        <v>34</v>
      </c>
      <c r="Z276" s="67" t="s">
        <v>29</v>
      </c>
      <c r="AA276" s="68">
        <f t="shared" si="16"/>
        <v>0.38235294117647056</v>
      </c>
      <c r="AB276" s="92">
        <f t="shared" si="14"/>
        <v>0</v>
      </c>
      <c r="AC276" s="92">
        <f>IFERROR(Table16[[#This Row],[Quantity Needed for repair]]*Table16[[#This Row],[Evaluated]],"")</f>
        <v>0</v>
      </c>
    </row>
    <row r="277" spans="5:29" x14ac:dyDescent="0.35">
      <c r="E277" s="64">
        <v>3</v>
      </c>
      <c r="F277" s="56" t="s">
        <v>429</v>
      </c>
      <c r="G277" s="56">
        <v>12871295</v>
      </c>
      <c r="H277" s="56" t="s">
        <v>315</v>
      </c>
      <c r="I277" s="56" t="s">
        <v>367</v>
      </c>
      <c r="J277" s="56" t="s">
        <v>29</v>
      </c>
      <c r="K277" s="56">
        <v>1005462</v>
      </c>
      <c r="L277" s="65">
        <v>44473</v>
      </c>
      <c r="M277" s="56" t="s">
        <v>352</v>
      </c>
      <c r="N277" s="56" t="s">
        <v>29</v>
      </c>
      <c r="O277" s="56" t="s">
        <v>29</v>
      </c>
      <c r="P277" s="56" t="s">
        <v>29</v>
      </c>
      <c r="Q277" s="66" t="str">
        <f t="shared" si="15"/>
        <v/>
      </c>
      <c r="R277" s="56" t="s">
        <v>29</v>
      </c>
      <c r="S277" s="56" t="s">
        <v>29</v>
      </c>
      <c r="T277" s="56" t="s">
        <v>29</v>
      </c>
      <c r="U277" s="56" t="s">
        <v>29</v>
      </c>
      <c r="V277" s="56">
        <v>4</v>
      </c>
      <c r="W277" s="56">
        <v>871781</v>
      </c>
      <c r="X277" s="56" t="s">
        <v>29</v>
      </c>
      <c r="Y277" s="56">
        <v>4</v>
      </c>
      <c r="Z277" s="67" t="s">
        <v>29</v>
      </c>
      <c r="AA277" s="68" t="str">
        <f t="shared" si="16"/>
        <v/>
      </c>
      <c r="AB277" s="92">
        <f t="shared" si="14"/>
        <v>0</v>
      </c>
      <c r="AC277" s="92" t="str">
        <f>IFERROR(Table16[[#This Row],[Quantity Needed for repair]]*Table16[[#This Row],[Evaluated]],"")</f>
        <v/>
      </c>
    </row>
    <row r="278" spans="5:29" ht="15" thickBot="1" x14ac:dyDescent="0.4">
      <c r="E278" s="69">
        <v>3</v>
      </c>
      <c r="F278" s="70" t="s">
        <v>429</v>
      </c>
      <c r="G278" s="70">
        <v>12871295</v>
      </c>
      <c r="H278" s="70" t="s">
        <v>315</v>
      </c>
      <c r="I278" s="70" t="s">
        <v>367</v>
      </c>
      <c r="J278" s="70" t="s">
        <v>29</v>
      </c>
      <c r="K278" s="70">
        <v>1005462</v>
      </c>
      <c r="L278" s="71">
        <v>44473</v>
      </c>
      <c r="M278" s="70" t="s">
        <v>352</v>
      </c>
      <c r="N278" s="70" t="s">
        <v>29</v>
      </c>
      <c r="O278" s="70" t="s">
        <v>29</v>
      </c>
      <c r="P278" s="70" t="s">
        <v>29</v>
      </c>
      <c r="Q278" s="72" t="str">
        <f t="shared" si="15"/>
        <v/>
      </c>
      <c r="R278" s="70" t="s">
        <v>29</v>
      </c>
      <c r="S278" s="70" t="s">
        <v>29</v>
      </c>
      <c r="T278" s="70" t="s">
        <v>29</v>
      </c>
      <c r="U278" s="70" t="s">
        <v>29</v>
      </c>
      <c r="V278" s="70">
        <v>5</v>
      </c>
      <c r="W278" s="70">
        <v>418525</v>
      </c>
      <c r="X278" s="70">
        <v>4</v>
      </c>
      <c r="Y278" s="70">
        <v>4</v>
      </c>
      <c r="Z278" s="73" t="s">
        <v>29</v>
      </c>
      <c r="AA278" s="74">
        <f t="shared" si="16"/>
        <v>1</v>
      </c>
      <c r="AB278" s="93">
        <f t="shared" si="14"/>
        <v>0</v>
      </c>
      <c r="AC278" s="93">
        <f>IFERROR(Table16[[#This Row],[Quantity Needed for repair]]*Table16[[#This Row],[Evaluated]],"")</f>
        <v>0</v>
      </c>
    </row>
    <row r="279" spans="5:29" x14ac:dyDescent="0.35">
      <c r="E279" s="57">
        <v>3</v>
      </c>
      <c r="F279" s="58" t="s">
        <v>430</v>
      </c>
      <c r="G279" s="58">
        <v>12847535</v>
      </c>
      <c r="H279" s="58" t="s">
        <v>315</v>
      </c>
      <c r="I279" s="58" t="s">
        <v>367</v>
      </c>
      <c r="J279" s="58" t="s">
        <v>29</v>
      </c>
      <c r="K279" s="58">
        <v>1005462</v>
      </c>
      <c r="L279" s="59">
        <v>44473</v>
      </c>
      <c r="M279" s="58" t="s">
        <v>352</v>
      </c>
      <c r="N279" s="58" t="s">
        <v>29</v>
      </c>
      <c r="O279" s="58" t="s">
        <v>29</v>
      </c>
      <c r="P279" s="58" t="s">
        <v>29</v>
      </c>
      <c r="Q279" s="60" t="str">
        <f t="shared" si="15"/>
        <v/>
      </c>
      <c r="R279" s="58" t="s">
        <v>29</v>
      </c>
      <c r="S279" s="58" t="s">
        <v>29</v>
      </c>
      <c r="T279" s="58" t="s">
        <v>29</v>
      </c>
      <c r="U279" s="58" t="s">
        <v>29</v>
      </c>
      <c r="V279" s="58">
        <v>1</v>
      </c>
      <c r="W279" s="58">
        <v>1130200</v>
      </c>
      <c r="X279" s="58">
        <v>35</v>
      </c>
      <c r="Y279" s="58">
        <v>48</v>
      </c>
      <c r="Z279" s="61" t="s">
        <v>29</v>
      </c>
      <c r="AA279" s="62">
        <f t="shared" si="16"/>
        <v>0.72916666666666663</v>
      </c>
      <c r="AB279" s="91">
        <f t="shared" si="14"/>
        <v>0</v>
      </c>
      <c r="AC279" s="91">
        <f>IFERROR(Table16[[#This Row],[Quantity Needed for repair]]*Table16[[#This Row],[Evaluated]],"")</f>
        <v>0</v>
      </c>
    </row>
    <row r="280" spans="5:29" x14ac:dyDescent="0.35">
      <c r="E280" s="64">
        <v>3</v>
      </c>
      <c r="F280" s="56" t="s">
        <v>430</v>
      </c>
      <c r="G280" s="56">
        <v>12847535</v>
      </c>
      <c r="H280" s="56" t="s">
        <v>315</v>
      </c>
      <c r="I280" s="56" t="s">
        <v>367</v>
      </c>
      <c r="J280" s="56" t="s">
        <v>29</v>
      </c>
      <c r="K280" s="56">
        <v>1005462</v>
      </c>
      <c r="L280" s="65">
        <v>44473</v>
      </c>
      <c r="M280" s="56" t="s">
        <v>352</v>
      </c>
      <c r="N280" s="56" t="s">
        <v>29</v>
      </c>
      <c r="O280" s="56" t="s">
        <v>29</v>
      </c>
      <c r="P280" s="56" t="s">
        <v>29</v>
      </c>
      <c r="Q280" s="66" t="str">
        <f t="shared" si="15"/>
        <v/>
      </c>
      <c r="R280" s="56" t="s">
        <v>29</v>
      </c>
      <c r="S280" s="56" t="s">
        <v>29</v>
      </c>
      <c r="T280" s="56" t="s">
        <v>29</v>
      </c>
      <c r="U280" s="56" t="s">
        <v>29</v>
      </c>
      <c r="V280" s="56">
        <v>2</v>
      </c>
      <c r="W280" s="56">
        <v>1130198</v>
      </c>
      <c r="X280" s="56" t="s">
        <v>29</v>
      </c>
      <c r="Y280" s="56">
        <v>9</v>
      </c>
      <c r="Z280" s="67" t="s">
        <v>29</v>
      </c>
      <c r="AA280" s="68" t="str">
        <f t="shared" si="16"/>
        <v/>
      </c>
      <c r="AB280" s="92">
        <f t="shared" si="14"/>
        <v>0</v>
      </c>
      <c r="AC280" s="92" t="str">
        <f>IFERROR(Table16[[#This Row],[Quantity Needed for repair]]*Table16[[#This Row],[Evaluated]],"")</f>
        <v/>
      </c>
    </row>
    <row r="281" spans="5:29" x14ac:dyDescent="0.35">
      <c r="E281" s="64">
        <v>3</v>
      </c>
      <c r="F281" s="56" t="s">
        <v>430</v>
      </c>
      <c r="G281" s="56">
        <v>12847535</v>
      </c>
      <c r="H281" s="56" t="s">
        <v>315</v>
      </c>
      <c r="I281" s="56" t="s">
        <v>367</v>
      </c>
      <c r="J281" s="56" t="s">
        <v>29</v>
      </c>
      <c r="K281" s="56">
        <v>1005462</v>
      </c>
      <c r="L281" s="65">
        <v>44473</v>
      </c>
      <c r="M281" s="56" t="s">
        <v>352</v>
      </c>
      <c r="N281" s="56" t="s">
        <v>29</v>
      </c>
      <c r="O281" s="56" t="s">
        <v>29</v>
      </c>
      <c r="P281" s="56" t="s">
        <v>29</v>
      </c>
      <c r="Q281" s="66" t="str">
        <f t="shared" si="15"/>
        <v/>
      </c>
      <c r="R281" s="56" t="s">
        <v>29</v>
      </c>
      <c r="S281" s="56" t="s">
        <v>29</v>
      </c>
      <c r="T281" s="56" t="s">
        <v>29</v>
      </c>
      <c r="U281" s="56" t="s">
        <v>29</v>
      </c>
      <c r="V281" s="56">
        <v>3</v>
      </c>
      <c r="W281" s="56">
        <v>708306</v>
      </c>
      <c r="X281" s="56">
        <v>8</v>
      </c>
      <c r="Y281" s="56">
        <v>34</v>
      </c>
      <c r="Z281" s="67" t="s">
        <v>29</v>
      </c>
      <c r="AA281" s="68">
        <f t="shared" si="16"/>
        <v>0.23529411764705882</v>
      </c>
      <c r="AB281" s="92">
        <f t="shared" si="14"/>
        <v>0</v>
      </c>
      <c r="AC281" s="92">
        <f>IFERROR(Table16[[#This Row],[Quantity Needed for repair]]*Table16[[#This Row],[Evaluated]],"")</f>
        <v>0</v>
      </c>
    </row>
    <row r="282" spans="5:29" x14ac:dyDescent="0.35">
      <c r="E282" s="64">
        <v>3</v>
      </c>
      <c r="F282" s="56" t="s">
        <v>430</v>
      </c>
      <c r="G282" s="56">
        <v>12847535</v>
      </c>
      <c r="H282" s="56" t="s">
        <v>315</v>
      </c>
      <c r="I282" s="56" t="s">
        <v>367</v>
      </c>
      <c r="J282" s="56" t="s">
        <v>29</v>
      </c>
      <c r="K282" s="56">
        <v>1005462</v>
      </c>
      <c r="L282" s="65">
        <v>44473</v>
      </c>
      <c r="M282" s="56" t="s">
        <v>352</v>
      </c>
      <c r="N282" s="56" t="s">
        <v>29</v>
      </c>
      <c r="O282" s="56" t="s">
        <v>29</v>
      </c>
      <c r="P282" s="56" t="s">
        <v>29</v>
      </c>
      <c r="Q282" s="66" t="str">
        <f t="shared" si="15"/>
        <v/>
      </c>
      <c r="R282" s="56" t="s">
        <v>29</v>
      </c>
      <c r="S282" s="56" t="s">
        <v>29</v>
      </c>
      <c r="T282" s="56" t="s">
        <v>29</v>
      </c>
      <c r="U282" s="56" t="s">
        <v>29</v>
      </c>
      <c r="V282" s="56">
        <v>4</v>
      </c>
      <c r="W282" s="56">
        <v>871781</v>
      </c>
      <c r="X282" s="56" t="s">
        <v>29</v>
      </c>
      <c r="Y282" s="56">
        <v>4</v>
      </c>
      <c r="Z282" s="67" t="s">
        <v>29</v>
      </c>
      <c r="AA282" s="68" t="str">
        <f t="shared" si="16"/>
        <v/>
      </c>
      <c r="AB282" s="92">
        <f t="shared" si="14"/>
        <v>0</v>
      </c>
      <c r="AC282" s="92" t="str">
        <f>IFERROR(Table16[[#This Row],[Quantity Needed for repair]]*Table16[[#This Row],[Evaluated]],"")</f>
        <v/>
      </c>
    </row>
    <row r="283" spans="5:29" ht="15" thickBot="1" x14ac:dyDescent="0.4">
      <c r="E283" s="69">
        <v>3</v>
      </c>
      <c r="F283" s="70" t="s">
        <v>430</v>
      </c>
      <c r="G283" s="70">
        <v>12847535</v>
      </c>
      <c r="H283" s="70" t="s">
        <v>315</v>
      </c>
      <c r="I283" s="70" t="s">
        <v>367</v>
      </c>
      <c r="J283" s="70" t="s">
        <v>29</v>
      </c>
      <c r="K283" s="70">
        <v>1005462</v>
      </c>
      <c r="L283" s="71">
        <v>44473</v>
      </c>
      <c r="M283" s="70" t="s">
        <v>352</v>
      </c>
      <c r="N283" s="70" t="s">
        <v>29</v>
      </c>
      <c r="O283" s="70" t="s">
        <v>29</v>
      </c>
      <c r="P283" s="70" t="s">
        <v>29</v>
      </c>
      <c r="Q283" s="72" t="str">
        <f t="shared" si="15"/>
        <v/>
      </c>
      <c r="R283" s="70" t="s">
        <v>29</v>
      </c>
      <c r="S283" s="70" t="s">
        <v>29</v>
      </c>
      <c r="T283" s="70" t="s">
        <v>29</v>
      </c>
      <c r="U283" s="70" t="s">
        <v>29</v>
      </c>
      <c r="V283" s="70">
        <v>5</v>
      </c>
      <c r="W283" s="70">
        <v>418525</v>
      </c>
      <c r="X283" s="70">
        <v>4</v>
      </c>
      <c r="Y283" s="70">
        <v>4</v>
      </c>
      <c r="Z283" s="73" t="s">
        <v>29</v>
      </c>
      <c r="AA283" s="74">
        <f t="shared" si="16"/>
        <v>1</v>
      </c>
      <c r="AB283" s="93">
        <f t="shared" si="14"/>
        <v>0</v>
      </c>
      <c r="AC283" s="93">
        <f>IFERROR(Table16[[#This Row],[Quantity Needed for repair]]*Table16[[#This Row],[Evaluated]],"")</f>
        <v>0</v>
      </c>
    </row>
    <row r="284" spans="5:29" x14ac:dyDescent="0.35">
      <c r="E284" s="57">
        <v>3</v>
      </c>
      <c r="F284" s="58" t="s">
        <v>431</v>
      </c>
      <c r="G284" s="58">
        <v>12861083</v>
      </c>
      <c r="H284" s="58" t="s">
        <v>315</v>
      </c>
      <c r="I284" s="58" t="s">
        <v>367</v>
      </c>
      <c r="J284" s="58" t="s">
        <v>29</v>
      </c>
      <c r="K284" s="58">
        <v>1020531</v>
      </c>
      <c r="L284" s="59">
        <v>44473</v>
      </c>
      <c r="M284" s="58" t="s">
        <v>352</v>
      </c>
      <c r="N284" s="58" t="s">
        <v>29</v>
      </c>
      <c r="O284" s="58" t="s">
        <v>29</v>
      </c>
      <c r="P284" s="58" t="s">
        <v>29</v>
      </c>
      <c r="Q284" s="60" t="str">
        <f t="shared" si="15"/>
        <v/>
      </c>
      <c r="R284" s="58" t="s">
        <v>29</v>
      </c>
      <c r="S284" s="58" t="s">
        <v>29</v>
      </c>
      <c r="T284" s="58" t="s">
        <v>29</v>
      </c>
      <c r="U284" s="58" t="s">
        <v>29</v>
      </c>
      <c r="V284" s="58">
        <v>1</v>
      </c>
      <c r="W284" s="58">
        <v>1130198</v>
      </c>
      <c r="X284" s="58">
        <v>26</v>
      </c>
      <c r="Y284" s="58">
        <v>77</v>
      </c>
      <c r="Z284" s="61" t="s">
        <v>29</v>
      </c>
      <c r="AA284" s="62">
        <f t="shared" si="16"/>
        <v>0.33766233766233766</v>
      </c>
      <c r="AB284" s="91">
        <f t="shared" si="14"/>
        <v>0</v>
      </c>
      <c r="AC284" s="91">
        <f>IFERROR(Table16[[#This Row],[Quantity Needed for repair]]*Table16[[#This Row],[Evaluated]],"")</f>
        <v>0</v>
      </c>
    </row>
    <row r="285" spans="5:29" x14ac:dyDescent="0.35">
      <c r="E285" s="64">
        <v>3</v>
      </c>
      <c r="F285" s="56" t="s">
        <v>431</v>
      </c>
      <c r="G285" s="56">
        <v>12861083</v>
      </c>
      <c r="H285" s="56" t="s">
        <v>315</v>
      </c>
      <c r="I285" s="56" t="s">
        <v>367</v>
      </c>
      <c r="J285" s="56" t="s">
        <v>29</v>
      </c>
      <c r="K285" s="56">
        <v>1020531</v>
      </c>
      <c r="L285" s="65">
        <v>44473</v>
      </c>
      <c r="M285" s="56" t="s">
        <v>352</v>
      </c>
      <c r="N285" s="56" t="s">
        <v>29</v>
      </c>
      <c r="O285" s="56" t="s">
        <v>29</v>
      </c>
      <c r="P285" s="56" t="s">
        <v>29</v>
      </c>
      <c r="Q285" s="66" t="str">
        <f t="shared" si="15"/>
        <v/>
      </c>
      <c r="R285" s="56" t="s">
        <v>29</v>
      </c>
      <c r="S285" s="56" t="s">
        <v>29</v>
      </c>
      <c r="T285" s="56" t="s">
        <v>29</v>
      </c>
      <c r="U285" s="56" t="s">
        <v>29</v>
      </c>
      <c r="V285" s="56">
        <v>2</v>
      </c>
      <c r="W285" s="56">
        <v>1130200</v>
      </c>
      <c r="X285" s="56">
        <v>9</v>
      </c>
      <c r="Y285" s="56">
        <v>24</v>
      </c>
      <c r="Z285" s="67" t="s">
        <v>29</v>
      </c>
      <c r="AA285" s="68">
        <f t="shared" si="16"/>
        <v>0.375</v>
      </c>
      <c r="AB285" s="92">
        <f t="shared" si="14"/>
        <v>0</v>
      </c>
      <c r="AC285" s="92">
        <f>IFERROR(Table16[[#This Row],[Quantity Needed for repair]]*Table16[[#This Row],[Evaluated]],"")</f>
        <v>0</v>
      </c>
    </row>
    <row r="286" spans="5:29" x14ac:dyDescent="0.35">
      <c r="E286" s="64">
        <v>3</v>
      </c>
      <c r="F286" s="56" t="s">
        <v>431</v>
      </c>
      <c r="G286" s="56">
        <v>12861083</v>
      </c>
      <c r="H286" s="56" t="s">
        <v>315</v>
      </c>
      <c r="I286" s="56" t="s">
        <v>367</v>
      </c>
      <c r="J286" s="56" t="s">
        <v>29</v>
      </c>
      <c r="K286" s="56">
        <v>1020531</v>
      </c>
      <c r="L286" s="65">
        <v>44473</v>
      </c>
      <c r="M286" s="56" t="s">
        <v>352</v>
      </c>
      <c r="N286" s="56" t="s">
        <v>29</v>
      </c>
      <c r="O286" s="56" t="s">
        <v>29</v>
      </c>
      <c r="P286" s="56" t="s">
        <v>29</v>
      </c>
      <c r="Q286" s="66" t="str">
        <f t="shared" si="15"/>
        <v/>
      </c>
      <c r="R286" s="56" t="s">
        <v>29</v>
      </c>
      <c r="S286" s="56" t="s">
        <v>29</v>
      </c>
      <c r="T286" s="56" t="s">
        <v>29</v>
      </c>
      <c r="U286" s="56" t="s">
        <v>29</v>
      </c>
      <c r="V286" s="56">
        <v>3</v>
      </c>
      <c r="W286" s="56">
        <v>418525</v>
      </c>
      <c r="X286" s="56">
        <v>8</v>
      </c>
      <c r="Y286" s="56">
        <v>8</v>
      </c>
      <c r="Z286" s="67" t="s">
        <v>29</v>
      </c>
      <c r="AA286" s="68">
        <f t="shared" si="16"/>
        <v>1</v>
      </c>
      <c r="AB286" s="92">
        <f t="shared" si="14"/>
        <v>0</v>
      </c>
      <c r="AC286" s="92">
        <f>IFERROR(Table16[[#This Row],[Quantity Needed for repair]]*Table16[[#This Row],[Evaluated]],"")</f>
        <v>0</v>
      </c>
    </row>
    <row r="287" spans="5:29" x14ac:dyDescent="0.35">
      <c r="E287" s="64">
        <v>3</v>
      </c>
      <c r="F287" s="56" t="s">
        <v>431</v>
      </c>
      <c r="G287" s="56">
        <v>12861083</v>
      </c>
      <c r="H287" s="56" t="s">
        <v>315</v>
      </c>
      <c r="I287" s="56" t="s">
        <v>367</v>
      </c>
      <c r="J287" s="56" t="s">
        <v>29</v>
      </c>
      <c r="K287" s="56">
        <v>1020531</v>
      </c>
      <c r="L287" s="65">
        <v>44473</v>
      </c>
      <c r="M287" s="56" t="s">
        <v>352</v>
      </c>
      <c r="N287" s="56" t="s">
        <v>29</v>
      </c>
      <c r="O287" s="56" t="s">
        <v>29</v>
      </c>
      <c r="P287" s="56" t="s">
        <v>29</v>
      </c>
      <c r="Q287" s="66" t="str">
        <f t="shared" si="15"/>
        <v/>
      </c>
      <c r="R287" s="56" t="s">
        <v>29</v>
      </c>
      <c r="S287" s="56" t="s">
        <v>29</v>
      </c>
      <c r="T287" s="56" t="s">
        <v>29</v>
      </c>
      <c r="U287" s="56" t="s">
        <v>29</v>
      </c>
      <c r="V287" s="56">
        <v>4</v>
      </c>
      <c r="W287" s="56">
        <v>1100741</v>
      </c>
      <c r="X287" s="56">
        <v>1</v>
      </c>
      <c r="Y287" s="56">
        <v>9</v>
      </c>
      <c r="Z287" s="67" t="s">
        <v>29</v>
      </c>
      <c r="AA287" s="68">
        <f t="shared" si="16"/>
        <v>0.1111111111111111</v>
      </c>
      <c r="AB287" s="92">
        <f t="shared" si="14"/>
        <v>0</v>
      </c>
      <c r="AC287" s="92">
        <f>IFERROR(Table16[[#This Row],[Quantity Needed for repair]]*Table16[[#This Row],[Evaluated]],"")</f>
        <v>0</v>
      </c>
    </row>
    <row r="288" spans="5:29" ht="15" thickBot="1" x14ac:dyDescent="0.4">
      <c r="E288" s="69">
        <v>3</v>
      </c>
      <c r="F288" s="70" t="s">
        <v>431</v>
      </c>
      <c r="G288" s="70">
        <v>12861083</v>
      </c>
      <c r="H288" s="70" t="s">
        <v>315</v>
      </c>
      <c r="I288" s="70" t="s">
        <v>367</v>
      </c>
      <c r="J288" s="70" t="s">
        <v>29</v>
      </c>
      <c r="K288" s="70">
        <v>1020531</v>
      </c>
      <c r="L288" s="71">
        <v>44473</v>
      </c>
      <c r="M288" s="70" t="s">
        <v>352</v>
      </c>
      <c r="N288" s="70" t="s">
        <v>29</v>
      </c>
      <c r="O288" s="70" t="s">
        <v>29</v>
      </c>
      <c r="P288" s="70" t="s">
        <v>29</v>
      </c>
      <c r="Q288" s="72" t="str">
        <f t="shared" si="15"/>
        <v/>
      </c>
      <c r="R288" s="70" t="s">
        <v>29</v>
      </c>
      <c r="S288" s="70" t="s">
        <v>29</v>
      </c>
      <c r="T288" s="70" t="s">
        <v>29</v>
      </c>
      <c r="U288" s="70" t="s">
        <v>29</v>
      </c>
      <c r="V288" s="70">
        <v>5</v>
      </c>
      <c r="W288" s="70">
        <v>1130197</v>
      </c>
      <c r="X288" s="70">
        <v>1</v>
      </c>
      <c r="Y288" s="70">
        <v>8</v>
      </c>
      <c r="Z288" s="73" t="s">
        <v>29</v>
      </c>
      <c r="AA288" s="74">
        <f t="shared" si="16"/>
        <v>0.125</v>
      </c>
      <c r="AB288" s="93">
        <f t="shared" si="14"/>
        <v>0</v>
      </c>
      <c r="AC288" s="93">
        <f>IFERROR(Table16[[#This Row],[Quantity Needed for repair]]*Table16[[#This Row],[Evaluated]],"")</f>
        <v>0</v>
      </c>
    </row>
    <row r="289" spans="5:29" x14ac:dyDescent="0.35">
      <c r="E289" s="57">
        <v>3</v>
      </c>
      <c r="F289" s="58" t="s">
        <v>432</v>
      </c>
      <c r="G289" s="58">
        <v>12871294</v>
      </c>
      <c r="H289" s="58" t="s">
        <v>315</v>
      </c>
      <c r="I289" s="58" t="s">
        <v>367</v>
      </c>
      <c r="J289" s="58" t="s">
        <v>29</v>
      </c>
      <c r="K289" s="58">
        <v>1005462</v>
      </c>
      <c r="L289" s="59">
        <v>44473</v>
      </c>
      <c r="M289" s="58" t="s">
        <v>352</v>
      </c>
      <c r="N289" s="58" t="s">
        <v>29</v>
      </c>
      <c r="O289" s="58" t="s">
        <v>29</v>
      </c>
      <c r="P289" s="58" t="s">
        <v>29</v>
      </c>
      <c r="Q289" s="60" t="str">
        <f t="shared" si="15"/>
        <v/>
      </c>
      <c r="R289" s="58" t="s">
        <v>29</v>
      </c>
      <c r="S289" s="58" t="s">
        <v>29</v>
      </c>
      <c r="T289" s="58" t="s">
        <v>29</v>
      </c>
      <c r="U289" s="58" t="s">
        <v>29</v>
      </c>
      <c r="V289" s="58">
        <v>1</v>
      </c>
      <c r="W289" s="58">
        <v>1130200</v>
      </c>
      <c r="X289" s="58">
        <v>32</v>
      </c>
      <c r="Y289" s="58">
        <v>48</v>
      </c>
      <c r="Z289" s="61" t="s">
        <v>29</v>
      </c>
      <c r="AA289" s="62">
        <f t="shared" si="16"/>
        <v>0.66666666666666663</v>
      </c>
      <c r="AB289" s="91">
        <f t="shared" si="14"/>
        <v>0</v>
      </c>
      <c r="AC289" s="91">
        <f>IFERROR(Table16[[#This Row],[Quantity Needed for repair]]*Table16[[#This Row],[Evaluated]],"")</f>
        <v>0</v>
      </c>
    </row>
    <row r="290" spans="5:29" x14ac:dyDescent="0.35">
      <c r="E290" s="64">
        <v>3</v>
      </c>
      <c r="F290" s="56" t="s">
        <v>432</v>
      </c>
      <c r="G290" s="56">
        <v>12871294</v>
      </c>
      <c r="H290" s="56" t="s">
        <v>315</v>
      </c>
      <c r="I290" s="56" t="s">
        <v>367</v>
      </c>
      <c r="J290" s="56" t="s">
        <v>29</v>
      </c>
      <c r="K290" s="56">
        <v>1005462</v>
      </c>
      <c r="L290" s="65">
        <v>44473</v>
      </c>
      <c r="M290" s="56" t="s">
        <v>352</v>
      </c>
      <c r="N290" s="56" t="s">
        <v>29</v>
      </c>
      <c r="O290" s="56" t="s">
        <v>29</v>
      </c>
      <c r="P290" s="56" t="s">
        <v>29</v>
      </c>
      <c r="Q290" s="66" t="str">
        <f t="shared" si="15"/>
        <v/>
      </c>
      <c r="R290" s="56" t="s">
        <v>29</v>
      </c>
      <c r="S290" s="56" t="s">
        <v>29</v>
      </c>
      <c r="T290" s="56" t="s">
        <v>29</v>
      </c>
      <c r="U290" s="56" t="s">
        <v>29</v>
      </c>
      <c r="V290" s="56">
        <v>2</v>
      </c>
      <c r="W290" s="56">
        <v>1130198</v>
      </c>
      <c r="X290" s="56" t="s">
        <v>29</v>
      </c>
      <c r="Y290" s="56">
        <v>9</v>
      </c>
      <c r="Z290" s="67" t="s">
        <v>29</v>
      </c>
      <c r="AA290" s="68" t="str">
        <f t="shared" si="16"/>
        <v/>
      </c>
      <c r="AB290" s="92">
        <f t="shared" si="14"/>
        <v>0</v>
      </c>
      <c r="AC290" s="92" t="str">
        <f>IFERROR(Table16[[#This Row],[Quantity Needed for repair]]*Table16[[#This Row],[Evaluated]],"")</f>
        <v/>
      </c>
    </row>
    <row r="291" spans="5:29" x14ac:dyDescent="0.35">
      <c r="E291" s="64">
        <v>3</v>
      </c>
      <c r="F291" s="56" t="s">
        <v>432</v>
      </c>
      <c r="G291" s="56">
        <v>12871294</v>
      </c>
      <c r="H291" s="56" t="s">
        <v>315</v>
      </c>
      <c r="I291" s="56" t="s">
        <v>367</v>
      </c>
      <c r="J291" s="56" t="s">
        <v>29</v>
      </c>
      <c r="K291" s="56">
        <v>1005462</v>
      </c>
      <c r="L291" s="65">
        <v>44473</v>
      </c>
      <c r="M291" s="56" t="s">
        <v>352</v>
      </c>
      <c r="N291" s="56" t="s">
        <v>29</v>
      </c>
      <c r="O291" s="56" t="s">
        <v>29</v>
      </c>
      <c r="P291" s="56" t="s">
        <v>29</v>
      </c>
      <c r="Q291" s="66" t="str">
        <f t="shared" si="15"/>
        <v/>
      </c>
      <c r="R291" s="56" t="s">
        <v>29</v>
      </c>
      <c r="S291" s="56" t="s">
        <v>29</v>
      </c>
      <c r="T291" s="56" t="s">
        <v>29</v>
      </c>
      <c r="U291" s="56" t="s">
        <v>29</v>
      </c>
      <c r="V291" s="56">
        <v>3</v>
      </c>
      <c r="W291" s="56">
        <v>708306</v>
      </c>
      <c r="X291" s="56">
        <v>16</v>
      </c>
      <c r="Y291" s="56">
        <v>34</v>
      </c>
      <c r="Z291" s="67" t="s">
        <v>29</v>
      </c>
      <c r="AA291" s="68">
        <f t="shared" si="16"/>
        <v>0.47058823529411764</v>
      </c>
      <c r="AB291" s="92">
        <f t="shared" si="14"/>
        <v>0</v>
      </c>
      <c r="AC291" s="92">
        <f>IFERROR(Table16[[#This Row],[Quantity Needed for repair]]*Table16[[#This Row],[Evaluated]],"")</f>
        <v>0</v>
      </c>
    </row>
    <row r="292" spans="5:29" x14ac:dyDescent="0.35">
      <c r="E292" s="64">
        <v>3</v>
      </c>
      <c r="F292" s="56" t="s">
        <v>432</v>
      </c>
      <c r="G292" s="56">
        <v>12871294</v>
      </c>
      <c r="H292" s="56" t="s">
        <v>315</v>
      </c>
      <c r="I292" s="56" t="s">
        <v>367</v>
      </c>
      <c r="J292" s="56" t="s">
        <v>29</v>
      </c>
      <c r="K292" s="56">
        <v>1005462</v>
      </c>
      <c r="L292" s="65">
        <v>44473</v>
      </c>
      <c r="M292" s="56" t="s">
        <v>352</v>
      </c>
      <c r="N292" s="56" t="s">
        <v>29</v>
      </c>
      <c r="O292" s="56" t="s">
        <v>29</v>
      </c>
      <c r="P292" s="56" t="s">
        <v>29</v>
      </c>
      <c r="Q292" s="66" t="str">
        <f t="shared" si="15"/>
        <v/>
      </c>
      <c r="R292" s="56" t="s">
        <v>29</v>
      </c>
      <c r="S292" s="56" t="s">
        <v>29</v>
      </c>
      <c r="T292" s="56" t="s">
        <v>29</v>
      </c>
      <c r="U292" s="56" t="s">
        <v>29</v>
      </c>
      <c r="V292" s="56">
        <v>4</v>
      </c>
      <c r="W292" s="56">
        <v>871781</v>
      </c>
      <c r="X292" s="56" t="s">
        <v>29</v>
      </c>
      <c r="Y292" s="56">
        <v>4</v>
      </c>
      <c r="Z292" s="67" t="s">
        <v>29</v>
      </c>
      <c r="AA292" s="68" t="str">
        <f t="shared" si="16"/>
        <v/>
      </c>
      <c r="AB292" s="92">
        <f t="shared" si="14"/>
        <v>0</v>
      </c>
      <c r="AC292" s="92" t="str">
        <f>IFERROR(Table16[[#This Row],[Quantity Needed for repair]]*Table16[[#This Row],[Evaluated]],"")</f>
        <v/>
      </c>
    </row>
    <row r="293" spans="5:29" ht="15" thickBot="1" x14ac:dyDescent="0.4">
      <c r="E293" s="69">
        <v>3</v>
      </c>
      <c r="F293" s="70" t="s">
        <v>432</v>
      </c>
      <c r="G293" s="70">
        <v>12871294</v>
      </c>
      <c r="H293" s="70" t="s">
        <v>315</v>
      </c>
      <c r="I293" s="70" t="s">
        <v>367</v>
      </c>
      <c r="J293" s="70" t="s">
        <v>29</v>
      </c>
      <c r="K293" s="70">
        <v>1005462</v>
      </c>
      <c r="L293" s="71">
        <v>44473</v>
      </c>
      <c r="M293" s="70" t="s">
        <v>352</v>
      </c>
      <c r="N293" s="70" t="s">
        <v>29</v>
      </c>
      <c r="O293" s="70" t="s">
        <v>29</v>
      </c>
      <c r="P293" s="70" t="s">
        <v>29</v>
      </c>
      <c r="Q293" s="72" t="str">
        <f t="shared" si="15"/>
        <v/>
      </c>
      <c r="R293" s="70" t="s">
        <v>29</v>
      </c>
      <c r="S293" s="70" t="s">
        <v>29</v>
      </c>
      <c r="T293" s="70" t="s">
        <v>29</v>
      </c>
      <c r="U293" s="70" t="s">
        <v>29</v>
      </c>
      <c r="V293" s="70">
        <v>5</v>
      </c>
      <c r="W293" s="70">
        <v>418525</v>
      </c>
      <c r="X293" s="70">
        <v>4</v>
      </c>
      <c r="Y293" s="70">
        <v>4</v>
      </c>
      <c r="Z293" s="73" t="s">
        <v>29</v>
      </c>
      <c r="AA293" s="74">
        <f t="shared" si="16"/>
        <v>1</v>
      </c>
      <c r="AB293" s="93">
        <f t="shared" si="14"/>
        <v>0</v>
      </c>
      <c r="AC293" s="93">
        <f>IFERROR(Table16[[#This Row],[Quantity Needed for repair]]*Table16[[#This Row],[Evaluated]],"")</f>
        <v>0</v>
      </c>
    </row>
    <row r="294" spans="5:29" x14ac:dyDescent="0.35">
      <c r="E294" s="57">
        <v>3</v>
      </c>
      <c r="F294" s="58" t="s">
        <v>433</v>
      </c>
      <c r="G294" s="58">
        <v>12877916</v>
      </c>
      <c r="H294" s="58" t="s">
        <v>315</v>
      </c>
      <c r="I294" s="58" t="s">
        <v>367</v>
      </c>
      <c r="J294" s="58" t="s">
        <v>29</v>
      </c>
      <c r="K294" s="58">
        <v>1005462</v>
      </c>
      <c r="L294" s="59">
        <v>44473</v>
      </c>
      <c r="M294" s="58" t="s">
        <v>352</v>
      </c>
      <c r="N294" s="58" t="s">
        <v>29</v>
      </c>
      <c r="O294" s="58" t="s">
        <v>29</v>
      </c>
      <c r="P294" s="58" t="s">
        <v>29</v>
      </c>
      <c r="Q294" s="60" t="str">
        <f t="shared" si="15"/>
        <v/>
      </c>
      <c r="R294" s="58" t="s">
        <v>29</v>
      </c>
      <c r="S294" s="58" t="s">
        <v>29</v>
      </c>
      <c r="T294" s="58" t="s">
        <v>29</v>
      </c>
      <c r="U294" s="58" t="s">
        <v>29</v>
      </c>
      <c r="V294" s="58">
        <v>1</v>
      </c>
      <c r="W294" s="58">
        <v>1130200</v>
      </c>
      <c r="X294" s="58">
        <v>21</v>
      </c>
      <c r="Y294" s="58">
        <v>48</v>
      </c>
      <c r="Z294" s="61" t="s">
        <v>29</v>
      </c>
      <c r="AA294" s="62">
        <f t="shared" si="16"/>
        <v>0.4375</v>
      </c>
      <c r="AB294" s="91">
        <f t="shared" si="14"/>
        <v>0</v>
      </c>
      <c r="AC294" s="91">
        <f>IFERROR(Table16[[#This Row],[Quantity Needed for repair]]*Table16[[#This Row],[Evaluated]],"")</f>
        <v>0</v>
      </c>
    </row>
    <row r="295" spans="5:29" x14ac:dyDescent="0.35">
      <c r="E295" s="64">
        <v>3</v>
      </c>
      <c r="F295" s="56" t="s">
        <v>433</v>
      </c>
      <c r="G295" s="56">
        <v>12877916</v>
      </c>
      <c r="H295" s="56" t="s">
        <v>315</v>
      </c>
      <c r="I295" s="56" t="s">
        <v>367</v>
      </c>
      <c r="J295" s="56" t="s">
        <v>29</v>
      </c>
      <c r="K295" s="56">
        <v>1005462</v>
      </c>
      <c r="L295" s="65">
        <v>44473</v>
      </c>
      <c r="M295" s="56" t="s">
        <v>352</v>
      </c>
      <c r="N295" s="56" t="s">
        <v>29</v>
      </c>
      <c r="O295" s="56" t="s">
        <v>29</v>
      </c>
      <c r="P295" s="56" t="s">
        <v>29</v>
      </c>
      <c r="Q295" s="66" t="str">
        <f t="shared" si="15"/>
        <v/>
      </c>
      <c r="R295" s="56" t="s">
        <v>29</v>
      </c>
      <c r="S295" s="56" t="s">
        <v>29</v>
      </c>
      <c r="T295" s="56" t="s">
        <v>29</v>
      </c>
      <c r="U295" s="56" t="s">
        <v>29</v>
      </c>
      <c r="V295" s="56">
        <v>2</v>
      </c>
      <c r="W295" s="56">
        <v>1130198</v>
      </c>
      <c r="X295" s="56" t="s">
        <v>29</v>
      </c>
      <c r="Y295" s="56">
        <v>9</v>
      </c>
      <c r="Z295" s="67" t="s">
        <v>29</v>
      </c>
      <c r="AA295" s="68" t="str">
        <f t="shared" si="16"/>
        <v/>
      </c>
      <c r="AB295" s="92">
        <f t="shared" si="14"/>
        <v>0</v>
      </c>
      <c r="AC295" s="92" t="str">
        <f>IFERROR(Table16[[#This Row],[Quantity Needed for repair]]*Table16[[#This Row],[Evaluated]],"")</f>
        <v/>
      </c>
    </row>
    <row r="296" spans="5:29" x14ac:dyDescent="0.35">
      <c r="E296" s="64">
        <v>3</v>
      </c>
      <c r="F296" s="56" t="s">
        <v>433</v>
      </c>
      <c r="G296" s="56">
        <v>12877916</v>
      </c>
      <c r="H296" s="56" t="s">
        <v>315</v>
      </c>
      <c r="I296" s="56" t="s">
        <v>367</v>
      </c>
      <c r="J296" s="56" t="s">
        <v>29</v>
      </c>
      <c r="K296" s="56">
        <v>1005462</v>
      </c>
      <c r="L296" s="65">
        <v>44473</v>
      </c>
      <c r="M296" s="56" t="s">
        <v>352</v>
      </c>
      <c r="N296" s="56" t="s">
        <v>29</v>
      </c>
      <c r="O296" s="56" t="s">
        <v>29</v>
      </c>
      <c r="P296" s="56" t="s">
        <v>29</v>
      </c>
      <c r="Q296" s="66" t="str">
        <f t="shared" si="15"/>
        <v/>
      </c>
      <c r="R296" s="56" t="s">
        <v>29</v>
      </c>
      <c r="S296" s="56" t="s">
        <v>29</v>
      </c>
      <c r="T296" s="56" t="s">
        <v>29</v>
      </c>
      <c r="U296" s="56" t="s">
        <v>29</v>
      </c>
      <c r="V296" s="56">
        <v>3</v>
      </c>
      <c r="W296" s="56">
        <v>708306</v>
      </c>
      <c r="X296" s="56">
        <v>3</v>
      </c>
      <c r="Y296" s="56">
        <v>34</v>
      </c>
      <c r="Z296" s="67" t="s">
        <v>29</v>
      </c>
      <c r="AA296" s="68">
        <f t="shared" si="16"/>
        <v>8.8235294117647065E-2</v>
      </c>
      <c r="AB296" s="92">
        <f t="shared" si="14"/>
        <v>0</v>
      </c>
      <c r="AC296" s="92">
        <f>IFERROR(Table16[[#This Row],[Quantity Needed for repair]]*Table16[[#This Row],[Evaluated]],"")</f>
        <v>0</v>
      </c>
    </row>
    <row r="297" spans="5:29" x14ac:dyDescent="0.35">
      <c r="E297" s="64">
        <v>3</v>
      </c>
      <c r="F297" s="56" t="s">
        <v>433</v>
      </c>
      <c r="G297" s="56">
        <v>12877916</v>
      </c>
      <c r="H297" s="56" t="s">
        <v>315</v>
      </c>
      <c r="I297" s="56" t="s">
        <v>367</v>
      </c>
      <c r="J297" s="56" t="s">
        <v>29</v>
      </c>
      <c r="K297" s="56">
        <v>1005462</v>
      </c>
      <c r="L297" s="65">
        <v>44473</v>
      </c>
      <c r="M297" s="56" t="s">
        <v>352</v>
      </c>
      <c r="N297" s="56" t="s">
        <v>29</v>
      </c>
      <c r="O297" s="56" t="s">
        <v>29</v>
      </c>
      <c r="P297" s="56" t="s">
        <v>29</v>
      </c>
      <c r="Q297" s="66" t="str">
        <f t="shared" si="15"/>
        <v/>
      </c>
      <c r="R297" s="56" t="s">
        <v>29</v>
      </c>
      <c r="S297" s="56" t="s">
        <v>29</v>
      </c>
      <c r="T297" s="56" t="s">
        <v>29</v>
      </c>
      <c r="U297" s="56" t="s">
        <v>29</v>
      </c>
      <c r="V297" s="56">
        <v>4</v>
      </c>
      <c r="W297" s="56">
        <v>871781</v>
      </c>
      <c r="X297" s="56">
        <v>1</v>
      </c>
      <c r="Y297" s="56">
        <v>4</v>
      </c>
      <c r="Z297" s="67" t="s">
        <v>29</v>
      </c>
      <c r="AA297" s="68">
        <f t="shared" si="16"/>
        <v>0.25</v>
      </c>
      <c r="AB297" s="92">
        <f t="shared" si="14"/>
        <v>0</v>
      </c>
      <c r="AC297" s="92">
        <f>IFERROR(Table16[[#This Row],[Quantity Needed for repair]]*Table16[[#This Row],[Evaluated]],"")</f>
        <v>0</v>
      </c>
    </row>
    <row r="298" spans="5:29" ht="15" thickBot="1" x14ac:dyDescent="0.4">
      <c r="E298" s="69">
        <v>3</v>
      </c>
      <c r="F298" s="70" t="s">
        <v>433</v>
      </c>
      <c r="G298" s="70">
        <v>12877916</v>
      </c>
      <c r="H298" s="70" t="s">
        <v>315</v>
      </c>
      <c r="I298" s="70" t="s">
        <v>367</v>
      </c>
      <c r="J298" s="70" t="s">
        <v>29</v>
      </c>
      <c r="K298" s="70">
        <v>1005462</v>
      </c>
      <c r="L298" s="71">
        <v>44473</v>
      </c>
      <c r="M298" s="70" t="s">
        <v>352</v>
      </c>
      <c r="N298" s="70" t="s">
        <v>29</v>
      </c>
      <c r="O298" s="70" t="s">
        <v>29</v>
      </c>
      <c r="P298" s="70" t="s">
        <v>29</v>
      </c>
      <c r="Q298" s="72" t="str">
        <f t="shared" si="15"/>
        <v/>
      </c>
      <c r="R298" s="70" t="s">
        <v>29</v>
      </c>
      <c r="S298" s="70" t="s">
        <v>29</v>
      </c>
      <c r="T298" s="70" t="s">
        <v>29</v>
      </c>
      <c r="U298" s="70" t="s">
        <v>29</v>
      </c>
      <c r="V298" s="70">
        <v>5</v>
      </c>
      <c r="W298" s="70">
        <v>418525</v>
      </c>
      <c r="X298" s="70">
        <v>4</v>
      </c>
      <c r="Y298" s="70">
        <v>4</v>
      </c>
      <c r="Z298" s="73" t="s">
        <v>29</v>
      </c>
      <c r="AA298" s="74">
        <f t="shared" si="16"/>
        <v>1</v>
      </c>
      <c r="AB298" s="93">
        <f t="shared" si="14"/>
        <v>0</v>
      </c>
      <c r="AC298" s="93">
        <f>IFERROR(Table16[[#This Row],[Quantity Needed for repair]]*Table16[[#This Row],[Evaluated]],"")</f>
        <v>0</v>
      </c>
    </row>
    <row r="299" spans="5:29" x14ac:dyDescent="0.35">
      <c r="E299" s="57">
        <v>3</v>
      </c>
      <c r="F299" s="58" t="s">
        <v>434</v>
      </c>
      <c r="G299" s="58">
        <v>12680215</v>
      </c>
      <c r="H299" s="58" t="s">
        <v>313</v>
      </c>
      <c r="I299" s="58" t="s">
        <v>351</v>
      </c>
      <c r="J299" s="58" t="s">
        <v>29</v>
      </c>
      <c r="K299" s="58">
        <v>882281</v>
      </c>
      <c r="L299" s="59">
        <v>44473</v>
      </c>
      <c r="M299" s="58" t="s">
        <v>352</v>
      </c>
      <c r="N299" s="58" t="s">
        <v>29</v>
      </c>
      <c r="O299" s="58" t="s">
        <v>29</v>
      </c>
      <c r="P299" s="58" t="s">
        <v>29</v>
      </c>
      <c r="Q299" s="60" t="str">
        <f t="shared" si="15"/>
        <v/>
      </c>
      <c r="R299" s="58" t="s">
        <v>29</v>
      </c>
      <c r="S299" s="58" t="s">
        <v>29</v>
      </c>
      <c r="T299" s="58" t="s">
        <v>29</v>
      </c>
      <c r="U299" s="58" t="s">
        <v>29</v>
      </c>
      <c r="V299" s="58">
        <v>1</v>
      </c>
      <c r="W299" s="58">
        <v>1130198</v>
      </c>
      <c r="X299" s="58">
        <v>26</v>
      </c>
      <c r="Y299" s="58">
        <v>33</v>
      </c>
      <c r="Z299" s="61" t="s">
        <v>29</v>
      </c>
      <c r="AA299" s="62">
        <f t="shared" si="16"/>
        <v>0.78787878787878785</v>
      </c>
      <c r="AB299" s="91">
        <f t="shared" si="14"/>
        <v>0</v>
      </c>
      <c r="AC299" s="91">
        <f>IFERROR(Table16[[#This Row],[Quantity Needed for repair]]*Table16[[#This Row],[Evaluated]],"")</f>
        <v>0</v>
      </c>
    </row>
    <row r="300" spans="5:29" x14ac:dyDescent="0.35">
      <c r="E300" s="64">
        <v>3</v>
      </c>
      <c r="F300" s="56" t="s">
        <v>434</v>
      </c>
      <c r="G300" s="56">
        <v>12680215</v>
      </c>
      <c r="H300" s="56" t="s">
        <v>313</v>
      </c>
      <c r="I300" s="56" t="s">
        <v>351</v>
      </c>
      <c r="J300" s="56" t="s">
        <v>29</v>
      </c>
      <c r="K300" s="56">
        <v>882281</v>
      </c>
      <c r="L300" s="65">
        <v>44473</v>
      </c>
      <c r="M300" s="56" t="s">
        <v>352</v>
      </c>
      <c r="N300" s="56" t="s">
        <v>29</v>
      </c>
      <c r="O300" s="56" t="s">
        <v>29</v>
      </c>
      <c r="P300" s="56" t="s">
        <v>29</v>
      </c>
      <c r="Q300" s="66" t="str">
        <f t="shared" si="15"/>
        <v/>
      </c>
      <c r="R300" s="56" t="s">
        <v>29</v>
      </c>
      <c r="S300" s="56" t="s">
        <v>29</v>
      </c>
      <c r="T300" s="56" t="s">
        <v>29</v>
      </c>
      <c r="U300" s="56" t="s">
        <v>29</v>
      </c>
      <c r="V300" s="56">
        <v>2</v>
      </c>
      <c r="W300" s="56">
        <v>1130197</v>
      </c>
      <c r="X300" s="56">
        <v>2</v>
      </c>
      <c r="Y300" s="56">
        <v>23</v>
      </c>
      <c r="Z300" s="67" t="s">
        <v>29</v>
      </c>
      <c r="AA300" s="68">
        <f t="shared" si="16"/>
        <v>8.6956521739130432E-2</v>
      </c>
      <c r="AB300" s="92">
        <f t="shared" si="14"/>
        <v>0</v>
      </c>
      <c r="AC300" s="92">
        <f>IFERROR(Table16[[#This Row],[Quantity Needed for repair]]*Table16[[#This Row],[Evaluated]],"")</f>
        <v>0</v>
      </c>
    </row>
    <row r="301" spans="5:29" ht="15" thickBot="1" x14ac:dyDescent="0.4">
      <c r="E301" s="69">
        <v>3</v>
      </c>
      <c r="F301" s="70" t="s">
        <v>434</v>
      </c>
      <c r="G301" s="70">
        <v>12680215</v>
      </c>
      <c r="H301" s="70" t="s">
        <v>313</v>
      </c>
      <c r="I301" s="70" t="s">
        <v>351</v>
      </c>
      <c r="J301" s="70" t="s">
        <v>29</v>
      </c>
      <c r="K301" s="70">
        <v>882281</v>
      </c>
      <c r="L301" s="71">
        <v>44473</v>
      </c>
      <c r="M301" s="70" t="s">
        <v>352</v>
      </c>
      <c r="N301" s="70" t="s">
        <v>29</v>
      </c>
      <c r="O301" s="70" t="s">
        <v>29</v>
      </c>
      <c r="P301" s="70" t="s">
        <v>29</v>
      </c>
      <c r="Q301" s="72" t="str">
        <f t="shared" si="15"/>
        <v/>
      </c>
      <c r="R301" s="70" t="s">
        <v>29</v>
      </c>
      <c r="S301" s="70" t="s">
        <v>29</v>
      </c>
      <c r="T301" s="70" t="s">
        <v>29</v>
      </c>
      <c r="U301" s="70" t="s">
        <v>29</v>
      </c>
      <c r="V301" s="70">
        <v>3</v>
      </c>
      <c r="W301" s="70">
        <v>418525</v>
      </c>
      <c r="X301" s="70">
        <v>12</v>
      </c>
      <c r="Y301" s="70">
        <v>12</v>
      </c>
      <c r="Z301" s="73" t="s">
        <v>29</v>
      </c>
      <c r="AA301" s="74">
        <f t="shared" si="16"/>
        <v>1</v>
      </c>
      <c r="AB301" s="93">
        <f t="shared" si="14"/>
        <v>0</v>
      </c>
      <c r="AC301" s="93">
        <f>IFERROR(Table16[[#This Row],[Quantity Needed for repair]]*Table16[[#This Row],[Evaluated]],"")</f>
        <v>0</v>
      </c>
    </row>
    <row r="302" spans="5:29" x14ac:dyDescent="0.35">
      <c r="E302" s="57">
        <v>3</v>
      </c>
      <c r="F302" s="58" t="s">
        <v>435</v>
      </c>
      <c r="G302" s="58">
        <v>12494775</v>
      </c>
      <c r="H302" s="58" t="s">
        <v>313</v>
      </c>
      <c r="I302" s="58" t="s">
        <v>351</v>
      </c>
      <c r="J302" s="58" t="s">
        <v>29</v>
      </c>
      <c r="K302" s="58">
        <v>800418</v>
      </c>
      <c r="L302" s="59">
        <v>44473</v>
      </c>
      <c r="M302" s="58" t="s">
        <v>352</v>
      </c>
      <c r="N302" s="58" t="s">
        <v>29</v>
      </c>
      <c r="O302" s="58" t="s">
        <v>29</v>
      </c>
      <c r="P302" s="58" t="s">
        <v>29</v>
      </c>
      <c r="Q302" s="60" t="str">
        <f t="shared" si="15"/>
        <v/>
      </c>
      <c r="R302" s="58" t="s">
        <v>29</v>
      </c>
      <c r="S302" s="58" t="s">
        <v>29</v>
      </c>
      <c r="T302" s="58" t="s">
        <v>29</v>
      </c>
      <c r="U302" s="58" t="s">
        <v>29</v>
      </c>
      <c r="V302" s="58">
        <v>1</v>
      </c>
      <c r="W302" s="58">
        <v>1130198</v>
      </c>
      <c r="X302" s="58">
        <v>3</v>
      </c>
      <c r="Y302" s="58">
        <v>58</v>
      </c>
      <c r="Z302" s="61" t="s">
        <v>29</v>
      </c>
      <c r="AA302" s="62">
        <f t="shared" si="16"/>
        <v>5.1724137931034482E-2</v>
      </c>
      <c r="AB302" s="91">
        <f t="shared" si="14"/>
        <v>0</v>
      </c>
      <c r="AC302" s="91">
        <f>IFERROR(Table16[[#This Row],[Quantity Needed for repair]]*Table16[[#This Row],[Evaluated]],"")</f>
        <v>0</v>
      </c>
    </row>
    <row r="303" spans="5:29" x14ac:dyDescent="0.35">
      <c r="E303" s="64">
        <v>3</v>
      </c>
      <c r="F303" s="56" t="s">
        <v>435</v>
      </c>
      <c r="G303" s="56">
        <v>12494775</v>
      </c>
      <c r="H303" s="56" t="s">
        <v>313</v>
      </c>
      <c r="I303" s="56" t="s">
        <v>351</v>
      </c>
      <c r="J303" s="56" t="s">
        <v>29</v>
      </c>
      <c r="K303" s="56">
        <v>800418</v>
      </c>
      <c r="L303" s="65">
        <v>44473</v>
      </c>
      <c r="M303" s="56" t="s">
        <v>352</v>
      </c>
      <c r="N303" s="56" t="s">
        <v>29</v>
      </c>
      <c r="O303" s="56" t="s">
        <v>29</v>
      </c>
      <c r="P303" s="56" t="s">
        <v>29</v>
      </c>
      <c r="Q303" s="66" t="str">
        <f t="shared" si="15"/>
        <v/>
      </c>
      <c r="R303" s="56" t="s">
        <v>29</v>
      </c>
      <c r="S303" s="56" t="s">
        <v>29</v>
      </c>
      <c r="T303" s="56" t="s">
        <v>29</v>
      </c>
      <c r="U303" s="56" t="s">
        <v>29</v>
      </c>
      <c r="V303" s="56">
        <v>2</v>
      </c>
      <c r="W303" s="56">
        <v>1130196</v>
      </c>
      <c r="X303" s="56">
        <v>1</v>
      </c>
      <c r="Y303" s="56">
        <v>7</v>
      </c>
      <c r="Z303" s="67" t="s">
        <v>29</v>
      </c>
      <c r="AA303" s="68">
        <f t="shared" si="16"/>
        <v>0.14285714285714285</v>
      </c>
      <c r="AB303" s="92">
        <f t="shared" si="14"/>
        <v>0</v>
      </c>
      <c r="AC303" s="92">
        <f>IFERROR(Table16[[#This Row],[Quantity Needed for repair]]*Table16[[#This Row],[Evaluated]],"")</f>
        <v>0</v>
      </c>
    </row>
    <row r="304" spans="5:29" ht="15" thickBot="1" x14ac:dyDescent="0.4">
      <c r="E304" s="69">
        <v>3</v>
      </c>
      <c r="F304" s="70" t="s">
        <v>435</v>
      </c>
      <c r="G304" s="70">
        <v>12494775</v>
      </c>
      <c r="H304" s="70" t="s">
        <v>313</v>
      </c>
      <c r="I304" s="70" t="s">
        <v>351</v>
      </c>
      <c r="J304" s="70" t="s">
        <v>29</v>
      </c>
      <c r="K304" s="70">
        <v>800418</v>
      </c>
      <c r="L304" s="71">
        <v>44473</v>
      </c>
      <c r="M304" s="70" t="s">
        <v>352</v>
      </c>
      <c r="N304" s="70" t="s">
        <v>29</v>
      </c>
      <c r="O304" s="70" t="s">
        <v>29</v>
      </c>
      <c r="P304" s="70" t="s">
        <v>29</v>
      </c>
      <c r="Q304" s="72" t="str">
        <f t="shared" si="15"/>
        <v/>
      </c>
      <c r="R304" s="70" t="s">
        <v>29</v>
      </c>
      <c r="S304" s="70" t="s">
        <v>29</v>
      </c>
      <c r="T304" s="70" t="s">
        <v>29</v>
      </c>
      <c r="U304" s="70" t="s">
        <v>29</v>
      </c>
      <c r="V304" s="70">
        <v>3</v>
      </c>
      <c r="W304" s="70">
        <v>418525</v>
      </c>
      <c r="X304" s="70">
        <v>12</v>
      </c>
      <c r="Y304" s="70">
        <v>12</v>
      </c>
      <c r="Z304" s="73" t="s">
        <v>29</v>
      </c>
      <c r="AA304" s="74">
        <f t="shared" si="16"/>
        <v>1</v>
      </c>
      <c r="AB304" s="93">
        <f t="shared" si="14"/>
        <v>0</v>
      </c>
      <c r="AC304" s="93">
        <f>IFERROR(Table16[[#This Row],[Quantity Needed for repair]]*Table16[[#This Row],[Evaluated]],"")</f>
        <v>0</v>
      </c>
    </row>
    <row r="305" spans="5:29" x14ac:dyDescent="0.35">
      <c r="E305" s="57">
        <v>3</v>
      </c>
      <c r="F305" s="58" t="s">
        <v>436</v>
      </c>
      <c r="G305" s="58">
        <v>12801308</v>
      </c>
      <c r="H305" s="58" t="s">
        <v>313</v>
      </c>
      <c r="I305" s="58" t="s">
        <v>351</v>
      </c>
      <c r="J305" s="58" t="s">
        <v>29</v>
      </c>
      <c r="K305" s="58">
        <v>756447</v>
      </c>
      <c r="L305" s="59">
        <v>44473</v>
      </c>
      <c r="M305" s="58" t="s">
        <v>352</v>
      </c>
      <c r="N305" s="58" t="s">
        <v>29</v>
      </c>
      <c r="O305" s="58" t="s">
        <v>29</v>
      </c>
      <c r="P305" s="58" t="s">
        <v>29</v>
      </c>
      <c r="Q305" s="60" t="str">
        <f t="shared" si="15"/>
        <v/>
      </c>
      <c r="R305" s="58" t="s">
        <v>29</v>
      </c>
      <c r="S305" s="58" t="s">
        <v>29</v>
      </c>
      <c r="T305" s="58" t="s">
        <v>29</v>
      </c>
      <c r="U305" s="58" t="s">
        <v>29</v>
      </c>
      <c r="V305" s="58">
        <v>1</v>
      </c>
      <c r="W305" s="58">
        <v>1130198</v>
      </c>
      <c r="X305" s="58">
        <v>10</v>
      </c>
      <c r="Y305" s="58">
        <v>58</v>
      </c>
      <c r="Z305" s="61" t="s">
        <v>29</v>
      </c>
      <c r="AA305" s="62">
        <f t="shared" si="16"/>
        <v>0.17241379310344829</v>
      </c>
      <c r="AB305" s="91">
        <f t="shared" si="14"/>
        <v>0</v>
      </c>
      <c r="AC305" s="91">
        <f>IFERROR(Table16[[#This Row],[Quantity Needed for repair]]*Table16[[#This Row],[Evaluated]],"")</f>
        <v>0</v>
      </c>
    </row>
    <row r="306" spans="5:29" x14ac:dyDescent="0.35">
      <c r="E306" s="64">
        <v>3</v>
      </c>
      <c r="F306" s="56" t="s">
        <v>436</v>
      </c>
      <c r="G306" s="56">
        <v>12801308</v>
      </c>
      <c r="H306" s="56" t="s">
        <v>313</v>
      </c>
      <c r="I306" s="56" t="s">
        <v>351</v>
      </c>
      <c r="J306" s="56" t="s">
        <v>29</v>
      </c>
      <c r="K306" s="56">
        <v>756447</v>
      </c>
      <c r="L306" s="65">
        <v>44473</v>
      </c>
      <c r="M306" s="56" t="s">
        <v>352</v>
      </c>
      <c r="N306" s="56" t="s">
        <v>29</v>
      </c>
      <c r="O306" s="56" t="s">
        <v>29</v>
      </c>
      <c r="P306" s="56" t="s">
        <v>29</v>
      </c>
      <c r="Q306" s="66" t="str">
        <f t="shared" si="15"/>
        <v/>
      </c>
      <c r="R306" s="56" t="s">
        <v>29</v>
      </c>
      <c r="S306" s="56" t="s">
        <v>29</v>
      </c>
      <c r="T306" s="56" t="s">
        <v>29</v>
      </c>
      <c r="U306" s="56" t="s">
        <v>29</v>
      </c>
      <c r="V306" s="56">
        <v>2</v>
      </c>
      <c r="W306" s="56">
        <v>1130196</v>
      </c>
      <c r="X306" s="56">
        <v>2</v>
      </c>
      <c r="Y306" s="56">
        <v>7</v>
      </c>
      <c r="Z306" s="67" t="s">
        <v>29</v>
      </c>
      <c r="AA306" s="68">
        <f t="shared" si="16"/>
        <v>0.2857142857142857</v>
      </c>
      <c r="AB306" s="92">
        <f t="shared" si="14"/>
        <v>0</v>
      </c>
      <c r="AC306" s="92">
        <f>IFERROR(Table16[[#This Row],[Quantity Needed for repair]]*Table16[[#This Row],[Evaluated]],"")</f>
        <v>0</v>
      </c>
    </row>
    <row r="307" spans="5:29" ht="15" thickBot="1" x14ac:dyDescent="0.4">
      <c r="E307" s="69">
        <v>3</v>
      </c>
      <c r="F307" s="70" t="s">
        <v>436</v>
      </c>
      <c r="G307" s="70">
        <v>12801308</v>
      </c>
      <c r="H307" s="70" t="s">
        <v>313</v>
      </c>
      <c r="I307" s="70" t="s">
        <v>351</v>
      </c>
      <c r="J307" s="70" t="s">
        <v>29</v>
      </c>
      <c r="K307" s="70">
        <v>756447</v>
      </c>
      <c r="L307" s="71">
        <v>44473</v>
      </c>
      <c r="M307" s="70" t="s">
        <v>352</v>
      </c>
      <c r="N307" s="70" t="s">
        <v>29</v>
      </c>
      <c r="O307" s="70" t="s">
        <v>29</v>
      </c>
      <c r="P307" s="70" t="s">
        <v>29</v>
      </c>
      <c r="Q307" s="72" t="str">
        <f t="shared" si="15"/>
        <v/>
      </c>
      <c r="R307" s="70" t="s">
        <v>29</v>
      </c>
      <c r="S307" s="70" t="s">
        <v>29</v>
      </c>
      <c r="T307" s="70" t="s">
        <v>29</v>
      </c>
      <c r="U307" s="70" t="s">
        <v>29</v>
      </c>
      <c r="V307" s="70">
        <v>3</v>
      </c>
      <c r="W307" s="70">
        <v>418525</v>
      </c>
      <c r="X307" s="70">
        <v>12</v>
      </c>
      <c r="Y307" s="70">
        <v>12</v>
      </c>
      <c r="Z307" s="73" t="s">
        <v>29</v>
      </c>
      <c r="AA307" s="74">
        <f t="shared" si="16"/>
        <v>1</v>
      </c>
      <c r="AB307" s="93">
        <f t="shared" si="14"/>
        <v>0</v>
      </c>
      <c r="AC307" s="93">
        <f>IFERROR(Table16[[#This Row],[Quantity Needed for repair]]*Table16[[#This Row],[Evaluated]],"")</f>
        <v>0</v>
      </c>
    </row>
    <row r="308" spans="5:29" x14ac:dyDescent="0.35">
      <c r="E308" s="57">
        <v>3</v>
      </c>
      <c r="F308" s="58" t="s">
        <v>437</v>
      </c>
      <c r="G308" s="58">
        <v>12745098</v>
      </c>
      <c r="H308" s="58" t="s">
        <v>313</v>
      </c>
      <c r="I308" s="58" t="s">
        <v>351</v>
      </c>
      <c r="J308" s="58" t="s">
        <v>29</v>
      </c>
      <c r="K308" s="58">
        <v>882281</v>
      </c>
      <c r="L308" s="59">
        <v>44473</v>
      </c>
      <c r="M308" s="58" t="s">
        <v>352</v>
      </c>
      <c r="N308" s="58" t="s">
        <v>29</v>
      </c>
      <c r="O308" s="58" t="s">
        <v>29</v>
      </c>
      <c r="P308" s="58" t="s">
        <v>29</v>
      </c>
      <c r="Q308" s="60" t="str">
        <f t="shared" si="15"/>
        <v/>
      </c>
      <c r="R308" s="58" t="s">
        <v>29</v>
      </c>
      <c r="S308" s="58" t="s">
        <v>29</v>
      </c>
      <c r="T308" s="58" t="s">
        <v>29</v>
      </c>
      <c r="U308" s="58" t="s">
        <v>29</v>
      </c>
      <c r="V308" s="58">
        <v>1</v>
      </c>
      <c r="W308" s="58">
        <v>1130198</v>
      </c>
      <c r="X308" s="58">
        <v>9</v>
      </c>
      <c r="Y308" s="58">
        <v>33</v>
      </c>
      <c r="Z308" s="61" t="s">
        <v>29</v>
      </c>
      <c r="AA308" s="62">
        <f t="shared" si="16"/>
        <v>0.27272727272727271</v>
      </c>
      <c r="AB308" s="91">
        <f t="shared" si="14"/>
        <v>0</v>
      </c>
      <c r="AC308" s="91">
        <f>IFERROR(Table16[[#This Row],[Quantity Needed for repair]]*Table16[[#This Row],[Evaluated]],"")</f>
        <v>0</v>
      </c>
    </row>
    <row r="309" spans="5:29" x14ac:dyDescent="0.35">
      <c r="E309" s="64">
        <v>3</v>
      </c>
      <c r="F309" s="56" t="s">
        <v>437</v>
      </c>
      <c r="G309" s="56">
        <v>12745098</v>
      </c>
      <c r="H309" s="56" t="s">
        <v>313</v>
      </c>
      <c r="I309" s="56" t="s">
        <v>351</v>
      </c>
      <c r="J309" s="56" t="s">
        <v>29</v>
      </c>
      <c r="K309" s="56">
        <v>882281</v>
      </c>
      <c r="L309" s="65">
        <v>44473</v>
      </c>
      <c r="M309" s="56" t="s">
        <v>352</v>
      </c>
      <c r="N309" s="56" t="s">
        <v>29</v>
      </c>
      <c r="O309" s="56" t="s">
        <v>29</v>
      </c>
      <c r="P309" s="56" t="s">
        <v>29</v>
      </c>
      <c r="Q309" s="66" t="str">
        <f t="shared" si="15"/>
        <v/>
      </c>
      <c r="R309" s="56" t="s">
        <v>29</v>
      </c>
      <c r="S309" s="56" t="s">
        <v>29</v>
      </c>
      <c r="T309" s="56" t="s">
        <v>29</v>
      </c>
      <c r="U309" s="56" t="s">
        <v>29</v>
      </c>
      <c r="V309" s="56">
        <v>2</v>
      </c>
      <c r="W309" s="56">
        <v>1130197</v>
      </c>
      <c r="X309" s="56" t="s">
        <v>29</v>
      </c>
      <c r="Y309" s="56">
        <v>23</v>
      </c>
      <c r="Z309" s="67" t="s">
        <v>29</v>
      </c>
      <c r="AA309" s="68" t="str">
        <f t="shared" si="16"/>
        <v/>
      </c>
      <c r="AB309" s="92">
        <f t="shared" si="14"/>
        <v>0</v>
      </c>
      <c r="AC309" s="92" t="str">
        <f>IFERROR(Table16[[#This Row],[Quantity Needed for repair]]*Table16[[#This Row],[Evaluated]],"")</f>
        <v/>
      </c>
    </row>
    <row r="310" spans="5:29" ht="15" thickBot="1" x14ac:dyDescent="0.4">
      <c r="E310" s="69">
        <v>3</v>
      </c>
      <c r="F310" s="70" t="s">
        <v>437</v>
      </c>
      <c r="G310" s="70">
        <v>12745098</v>
      </c>
      <c r="H310" s="70" t="s">
        <v>313</v>
      </c>
      <c r="I310" s="70" t="s">
        <v>351</v>
      </c>
      <c r="J310" s="70" t="s">
        <v>29</v>
      </c>
      <c r="K310" s="70">
        <v>882281</v>
      </c>
      <c r="L310" s="71">
        <v>44473</v>
      </c>
      <c r="M310" s="70" t="s">
        <v>352</v>
      </c>
      <c r="N310" s="70" t="s">
        <v>29</v>
      </c>
      <c r="O310" s="70" t="s">
        <v>29</v>
      </c>
      <c r="P310" s="70" t="s">
        <v>29</v>
      </c>
      <c r="Q310" s="72" t="str">
        <f t="shared" si="15"/>
        <v/>
      </c>
      <c r="R310" s="70" t="s">
        <v>29</v>
      </c>
      <c r="S310" s="70" t="s">
        <v>29</v>
      </c>
      <c r="T310" s="70" t="s">
        <v>29</v>
      </c>
      <c r="U310" s="70" t="s">
        <v>29</v>
      </c>
      <c r="V310" s="70">
        <v>3</v>
      </c>
      <c r="W310" s="70">
        <v>418525</v>
      </c>
      <c r="X310" s="70">
        <v>10</v>
      </c>
      <c r="Y310" s="70">
        <v>12</v>
      </c>
      <c r="Z310" s="73" t="s">
        <v>29</v>
      </c>
      <c r="AA310" s="74">
        <f t="shared" si="16"/>
        <v>0.83333333333333337</v>
      </c>
      <c r="AB310" s="93">
        <f t="shared" si="14"/>
        <v>0</v>
      </c>
      <c r="AC310" s="93">
        <f>IFERROR(Table16[[#This Row],[Quantity Needed for repair]]*Table16[[#This Row],[Evaluated]],"")</f>
        <v>0</v>
      </c>
    </row>
    <row r="311" spans="5:29" x14ac:dyDescent="0.35">
      <c r="E311" s="57">
        <v>3</v>
      </c>
      <c r="F311" s="58" t="s">
        <v>438</v>
      </c>
      <c r="G311" s="58">
        <v>12819961</v>
      </c>
      <c r="H311" s="58" t="s">
        <v>315</v>
      </c>
      <c r="I311" s="58" t="s">
        <v>367</v>
      </c>
      <c r="J311" s="58" t="s">
        <v>29</v>
      </c>
      <c r="K311" s="58">
        <v>780769</v>
      </c>
      <c r="L311" s="59">
        <v>44473</v>
      </c>
      <c r="M311" s="58" t="s">
        <v>352</v>
      </c>
      <c r="N311" s="58" t="s">
        <v>29</v>
      </c>
      <c r="O311" s="58" t="s">
        <v>29</v>
      </c>
      <c r="P311" s="58" t="s">
        <v>29</v>
      </c>
      <c r="Q311" s="60" t="str">
        <f t="shared" si="15"/>
        <v/>
      </c>
      <c r="R311" s="58" t="s">
        <v>29</v>
      </c>
      <c r="S311" s="58" t="s">
        <v>29</v>
      </c>
      <c r="T311" s="58" t="s">
        <v>29</v>
      </c>
      <c r="U311" s="58" t="s">
        <v>29</v>
      </c>
      <c r="V311" s="58">
        <v>1</v>
      </c>
      <c r="W311" s="58">
        <v>745576</v>
      </c>
      <c r="X311" s="58">
        <v>5</v>
      </c>
      <c r="Y311" s="58">
        <v>36</v>
      </c>
      <c r="Z311" s="61" t="s">
        <v>29</v>
      </c>
      <c r="AA311" s="62">
        <f t="shared" si="16"/>
        <v>0.1388888888888889</v>
      </c>
      <c r="AB311" s="91">
        <f t="shared" si="14"/>
        <v>0</v>
      </c>
      <c r="AC311" s="91">
        <f>IFERROR(Table16[[#This Row],[Quantity Needed for repair]]*Table16[[#This Row],[Evaluated]],"")</f>
        <v>0</v>
      </c>
    </row>
    <row r="312" spans="5:29" x14ac:dyDescent="0.35">
      <c r="E312" s="64">
        <v>3</v>
      </c>
      <c r="F312" s="56" t="s">
        <v>438</v>
      </c>
      <c r="G312" s="56">
        <v>12819961</v>
      </c>
      <c r="H312" s="56" t="s">
        <v>315</v>
      </c>
      <c r="I312" s="56" t="s">
        <v>367</v>
      </c>
      <c r="J312" s="56" t="s">
        <v>29</v>
      </c>
      <c r="K312" s="56">
        <v>780769</v>
      </c>
      <c r="L312" s="65">
        <v>44473</v>
      </c>
      <c r="M312" s="56" t="s">
        <v>352</v>
      </c>
      <c r="N312" s="56" t="s">
        <v>29</v>
      </c>
      <c r="O312" s="56" t="s">
        <v>29</v>
      </c>
      <c r="P312" s="56" t="s">
        <v>29</v>
      </c>
      <c r="Q312" s="66" t="str">
        <f t="shared" si="15"/>
        <v/>
      </c>
      <c r="R312" s="56" t="s">
        <v>29</v>
      </c>
      <c r="S312" s="56" t="s">
        <v>29</v>
      </c>
      <c r="T312" s="56" t="s">
        <v>29</v>
      </c>
      <c r="U312" s="56" t="s">
        <v>29</v>
      </c>
      <c r="V312" s="56">
        <v>2</v>
      </c>
      <c r="W312" s="56">
        <v>729691</v>
      </c>
      <c r="X312" s="56" t="s">
        <v>29</v>
      </c>
      <c r="Y312" s="56">
        <v>13</v>
      </c>
      <c r="Z312" s="67" t="s">
        <v>29</v>
      </c>
      <c r="AA312" s="68" t="str">
        <f t="shared" si="16"/>
        <v/>
      </c>
      <c r="AB312" s="92">
        <f t="shared" si="14"/>
        <v>0</v>
      </c>
      <c r="AC312" s="92" t="str">
        <f>IFERROR(Table16[[#This Row],[Quantity Needed for repair]]*Table16[[#This Row],[Evaluated]],"")</f>
        <v/>
      </c>
    </row>
    <row r="313" spans="5:29" x14ac:dyDescent="0.35">
      <c r="E313" s="64">
        <v>3</v>
      </c>
      <c r="F313" s="56" t="s">
        <v>438</v>
      </c>
      <c r="G313" s="56">
        <v>12819961</v>
      </c>
      <c r="H313" s="56" t="s">
        <v>315</v>
      </c>
      <c r="I313" s="56" t="s">
        <v>367</v>
      </c>
      <c r="J313" s="56" t="s">
        <v>29</v>
      </c>
      <c r="K313" s="56">
        <v>780769</v>
      </c>
      <c r="L313" s="65">
        <v>44473</v>
      </c>
      <c r="M313" s="56" t="s">
        <v>352</v>
      </c>
      <c r="N313" s="56" t="s">
        <v>29</v>
      </c>
      <c r="O313" s="56" t="s">
        <v>29</v>
      </c>
      <c r="P313" s="56" t="s">
        <v>29</v>
      </c>
      <c r="Q313" s="66" t="str">
        <f t="shared" si="15"/>
        <v/>
      </c>
      <c r="R313" s="56" t="s">
        <v>29</v>
      </c>
      <c r="S313" s="56" t="s">
        <v>29</v>
      </c>
      <c r="T313" s="56" t="s">
        <v>29</v>
      </c>
      <c r="U313" s="56" t="s">
        <v>29</v>
      </c>
      <c r="V313" s="56">
        <v>3</v>
      </c>
      <c r="W313" s="56">
        <v>375538</v>
      </c>
      <c r="X313" s="56" t="s">
        <v>29</v>
      </c>
      <c r="Y313" s="56">
        <v>16</v>
      </c>
      <c r="Z313" s="67" t="s">
        <v>29</v>
      </c>
      <c r="AA313" s="68" t="str">
        <f t="shared" si="16"/>
        <v/>
      </c>
      <c r="AB313" s="92">
        <f t="shared" si="14"/>
        <v>0</v>
      </c>
      <c r="AC313" s="92" t="str">
        <f>IFERROR(Table16[[#This Row],[Quantity Needed for repair]]*Table16[[#This Row],[Evaluated]],"")</f>
        <v/>
      </c>
    </row>
    <row r="314" spans="5:29" x14ac:dyDescent="0.35">
      <c r="E314" s="64">
        <v>3</v>
      </c>
      <c r="F314" s="56" t="s">
        <v>438</v>
      </c>
      <c r="G314" s="56">
        <v>12819961</v>
      </c>
      <c r="H314" s="56" t="s">
        <v>315</v>
      </c>
      <c r="I314" s="56" t="s">
        <v>367</v>
      </c>
      <c r="J314" s="56" t="s">
        <v>29</v>
      </c>
      <c r="K314" s="56">
        <v>780769</v>
      </c>
      <c r="L314" s="65">
        <v>44473</v>
      </c>
      <c r="M314" s="56" t="s">
        <v>352</v>
      </c>
      <c r="N314" s="56" t="s">
        <v>29</v>
      </c>
      <c r="O314" s="56" t="s">
        <v>29</v>
      </c>
      <c r="P314" s="56" t="s">
        <v>29</v>
      </c>
      <c r="Q314" s="66" t="str">
        <f t="shared" si="15"/>
        <v/>
      </c>
      <c r="R314" s="56" t="s">
        <v>29</v>
      </c>
      <c r="S314" s="56" t="s">
        <v>29</v>
      </c>
      <c r="T314" s="56" t="s">
        <v>29</v>
      </c>
      <c r="U314" s="56" t="s">
        <v>29</v>
      </c>
      <c r="V314" s="56">
        <v>4</v>
      </c>
      <c r="W314" s="56">
        <v>418525</v>
      </c>
      <c r="X314" s="56">
        <v>2</v>
      </c>
      <c r="Y314" s="56">
        <v>8</v>
      </c>
      <c r="Z314" s="67" t="s">
        <v>29</v>
      </c>
      <c r="AA314" s="68">
        <f t="shared" si="16"/>
        <v>0.25</v>
      </c>
      <c r="AB314" s="92">
        <f t="shared" si="14"/>
        <v>0</v>
      </c>
      <c r="AC314" s="92">
        <f>IFERROR(Table16[[#This Row],[Quantity Needed for repair]]*Table16[[#This Row],[Evaluated]],"")</f>
        <v>0</v>
      </c>
    </row>
    <row r="315" spans="5:29" x14ac:dyDescent="0.35">
      <c r="E315" s="64">
        <v>3</v>
      </c>
      <c r="F315" s="56" t="s">
        <v>438</v>
      </c>
      <c r="G315" s="56">
        <v>12819961</v>
      </c>
      <c r="H315" s="56" t="s">
        <v>315</v>
      </c>
      <c r="I315" s="56" t="s">
        <v>367</v>
      </c>
      <c r="J315" s="56" t="s">
        <v>29</v>
      </c>
      <c r="K315" s="56">
        <v>780769</v>
      </c>
      <c r="L315" s="65">
        <v>44473</v>
      </c>
      <c r="M315" s="56" t="s">
        <v>352</v>
      </c>
      <c r="N315" s="56" t="s">
        <v>29</v>
      </c>
      <c r="O315" s="56" t="s">
        <v>29</v>
      </c>
      <c r="P315" s="56" t="s">
        <v>29</v>
      </c>
      <c r="Q315" s="66" t="str">
        <f t="shared" si="15"/>
        <v/>
      </c>
      <c r="R315" s="56" t="s">
        <v>29</v>
      </c>
      <c r="S315" s="56" t="s">
        <v>29</v>
      </c>
      <c r="T315" s="56" t="s">
        <v>29</v>
      </c>
      <c r="U315" s="56" t="s">
        <v>29</v>
      </c>
      <c r="V315" s="56">
        <v>5</v>
      </c>
      <c r="W315" s="56">
        <v>647436</v>
      </c>
      <c r="X315" s="56">
        <v>8</v>
      </c>
      <c r="Y315" s="56">
        <v>8</v>
      </c>
      <c r="Z315" s="67" t="s">
        <v>29</v>
      </c>
      <c r="AA315" s="68">
        <f t="shared" si="16"/>
        <v>1</v>
      </c>
      <c r="AB315" s="92">
        <f t="shared" si="14"/>
        <v>0</v>
      </c>
      <c r="AC315" s="92">
        <f>IFERROR(Table16[[#This Row],[Quantity Needed for repair]]*Table16[[#This Row],[Evaluated]],"")</f>
        <v>0</v>
      </c>
    </row>
    <row r="316" spans="5:29" ht="15" thickBot="1" x14ac:dyDescent="0.4">
      <c r="E316" s="69">
        <v>3</v>
      </c>
      <c r="F316" s="70" t="s">
        <v>438</v>
      </c>
      <c r="G316" s="70">
        <v>12819961</v>
      </c>
      <c r="H316" s="70" t="s">
        <v>315</v>
      </c>
      <c r="I316" s="70" t="s">
        <v>367</v>
      </c>
      <c r="J316" s="70" t="s">
        <v>29</v>
      </c>
      <c r="K316" s="70">
        <v>780769</v>
      </c>
      <c r="L316" s="71">
        <v>44473</v>
      </c>
      <c r="M316" s="70" t="s">
        <v>352</v>
      </c>
      <c r="N316" s="70" t="s">
        <v>29</v>
      </c>
      <c r="O316" s="70" t="s">
        <v>29</v>
      </c>
      <c r="P316" s="70" t="s">
        <v>29</v>
      </c>
      <c r="Q316" s="72" t="str">
        <f t="shared" si="15"/>
        <v/>
      </c>
      <c r="R316" s="70" t="s">
        <v>29</v>
      </c>
      <c r="S316" s="70" t="s">
        <v>29</v>
      </c>
      <c r="T316" s="70" t="s">
        <v>29</v>
      </c>
      <c r="U316" s="70" t="s">
        <v>29</v>
      </c>
      <c r="V316" s="70">
        <v>6</v>
      </c>
      <c r="W316" s="70">
        <v>871781</v>
      </c>
      <c r="X316" s="70" t="s">
        <v>29</v>
      </c>
      <c r="Y316" s="70">
        <v>8</v>
      </c>
      <c r="Z316" s="73" t="s">
        <v>29</v>
      </c>
      <c r="AA316" s="74" t="str">
        <f t="shared" si="16"/>
        <v/>
      </c>
      <c r="AB316" s="93">
        <f t="shared" si="14"/>
        <v>0</v>
      </c>
      <c r="AC316" s="93" t="str">
        <f>IFERROR(Table16[[#This Row],[Quantity Needed for repair]]*Table16[[#This Row],[Evaluated]],"")</f>
        <v/>
      </c>
    </row>
    <row r="317" spans="5:29" x14ac:dyDescent="0.35">
      <c r="E317" s="57">
        <v>3</v>
      </c>
      <c r="F317" s="58" t="s">
        <v>439</v>
      </c>
      <c r="G317" s="58">
        <v>12693576</v>
      </c>
      <c r="H317" s="58" t="s">
        <v>315</v>
      </c>
      <c r="I317" s="58" t="s">
        <v>367</v>
      </c>
      <c r="J317" s="58" t="s">
        <v>29</v>
      </c>
      <c r="K317" s="58">
        <v>780769</v>
      </c>
      <c r="L317" s="59">
        <v>44473</v>
      </c>
      <c r="M317" s="58" t="s">
        <v>352</v>
      </c>
      <c r="N317" s="58" t="s">
        <v>29</v>
      </c>
      <c r="O317" s="58" t="s">
        <v>29</v>
      </c>
      <c r="P317" s="58" t="s">
        <v>29</v>
      </c>
      <c r="Q317" s="60" t="str">
        <f t="shared" si="15"/>
        <v/>
      </c>
      <c r="R317" s="58" t="s">
        <v>29</v>
      </c>
      <c r="S317" s="58" t="s">
        <v>29</v>
      </c>
      <c r="T317" s="58" t="s">
        <v>29</v>
      </c>
      <c r="U317" s="58" t="s">
        <v>29</v>
      </c>
      <c r="V317" s="58">
        <v>1</v>
      </c>
      <c r="W317" s="58">
        <v>745576</v>
      </c>
      <c r="X317" s="58">
        <v>12</v>
      </c>
      <c r="Y317" s="58">
        <v>36</v>
      </c>
      <c r="Z317" s="61" t="s">
        <v>29</v>
      </c>
      <c r="AA317" s="62">
        <f t="shared" si="16"/>
        <v>0.33333333333333331</v>
      </c>
      <c r="AB317" s="91">
        <f t="shared" si="14"/>
        <v>0</v>
      </c>
      <c r="AC317" s="91">
        <f>IFERROR(Table16[[#This Row],[Quantity Needed for repair]]*Table16[[#This Row],[Evaluated]],"")</f>
        <v>0</v>
      </c>
    </row>
    <row r="318" spans="5:29" x14ac:dyDescent="0.35">
      <c r="E318" s="64">
        <v>3</v>
      </c>
      <c r="F318" s="56" t="s">
        <v>439</v>
      </c>
      <c r="G318" s="56">
        <v>12693576</v>
      </c>
      <c r="H318" s="56" t="s">
        <v>315</v>
      </c>
      <c r="I318" s="56" t="s">
        <v>367</v>
      </c>
      <c r="J318" s="56" t="s">
        <v>29</v>
      </c>
      <c r="K318" s="56">
        <v>780769</v>
      </c>
      <c r="L318" s="65">
        <v>44473</v>
      </c>
      <c r="M318" s="56" t="s">
        <v>352</v>
      </c>
      <c r="N318" s="56" t="s">
        <v>29</v>
      </c>
      <c r="O318" s="56" t="s">
        <v>29</v>
      </c>
      <c r="P318" s="56" t="s">
        <v>29</v>
      </c>
      <c r="Q318" s="66" t="str">
        <f t="shared" si="15"/>
        <v/>
      </c>
      <c r="R318" s="56" t="s">
        <v>29</v>
      </c>
      <c r="S318" s="56" t="s">
        <v>29</v>
      </c>
      <c r="T318" s="56" t="s">
        <v>29</v>
      </c>
      <c r="U318" s="56" t="s">
        <v>29</v>
      </c>
      <c r="V318" s="56">
        <v>2</v>
      </c>
      <c r="W318" s="56">
        <v>729691</v>
      </c>
      <c r="X318" s="56">
        <v>1</v>
      </c>
      <c r="Y318" s="56">
        <v>13</v>
      </c>
      <c r="Z318" s="67" t="s">
        <v>29</v>
      </c>
      <c r="AA318" s="68">
        <f t="shared" si="16"/>
        <v>7.6923076923076927E-2</v>
      </c>
      <c r="AB318" s="92">
        <f t="shared" si="14"/>
        <v>0</v>
      </c>
      <c r="AC318" s="92">
        <f>IFERROR(Table16[[#This Row],[Quantity Needed for repair]]*Table16[[#This Row],[Evaluated]],"")</f>
        <v>0</v>
      </c>
    </row>
    <row r="319" spans="5:29" x14ac:dyDescent="0.35">
      <c r="E319" s="64">
        <v>3</v>
      </c>
      <c r="F319" s="56" t="s">
        <v>439</v>
      </c>
      <c r="G319" s="56">
        <v>12693576</v>
      </c>
      <c r="H319" s="56" t="s">
        <v>315</v>
      </c>
      <c r="I319" s="56" t="s">
        <v>367</v>
      </c>
      <c r="J319" s="56" t="s">
        <v>29</v>
      </c>
      <c r="K319" s="56">
        <v>780769</v>
      </c>
      <c r="L319" s="65">
        <v>44473</v>
      </c>
      <c r="M319" s="56" t="s">
        <v>352</v>
      </c>
      <c r="N319" s="56" t="s">
        <v>29</v>
      </c>
      <c r="O319" s="56" t="s">
        <v>29</v>
      </c>
      <c r="P319" s="56" t="s">
        <v>29</v>
      </c>
      <c r="Q319" s="66" t="str">
        <f t="shared" si="15"/>
        <v/>
      </c>
      <c r="R319" s="56" t="s">
        <v>29</v>
      </c>
      <c r="S319" s="56" t="s">
        <v>29</v>
      </c>
      <c r="T319" s="56" t="s">
        <v>29</v>
      </c>
      <c r="U319" s="56" t="s">
        <v>29</v>
      </c>
      <c r="V319" s="56">
        <v>3</v>
      </c>
      <c r="W319" s="56">
        <v>375538</v>
      </c>
      <c r="X319" s="56">
        <v>4</v>
      </c>
      <c r="Y319" s="56">
        <v>16</v>
      </c>
      <c r="Z319" s="67" t="s">
        <v>29</v>
      </c>
      <c r="AA319" s="68">
        <f t="shared" si="16"/>
        <v>0.25</v>
      </c>
      <c r="AB319" s="92">
        <f t="shared" si="14"/>
        <v>0</v>
      </c>
      <c r="AC319" s="92">
        <f>IFERROR(Table16[[#This Row],[Quantity Needed for repair]]*Table16[[#This Row],[Evaluated]],"")</f>
        <v>0</v>
      </c>
    </row>
    <row r="320" spans="5:29" x14ac:dyDescent="0.35">
      <c r="E320" s="64">
        <v>3</v>
      </c>
      <c r="F320" s="56" t="s">
        <v>439</v>
      </c>
      <c r="G320" s="56">
        <v>12693576</v>
      </c>
      <c r="H320" s="56" t="s">
        <v>315</v>
      </c>
      <c r="I320" s="56" t="s">
        <v>367</v>
      </c>
      <c r="J320" s="56" t="s">
        <v>29</v>
      </c>
      <c r="K320" s="56">
        <v>780769</v>
      </c>
      <c r="L320" s="65">
        <v>44473</v>
      </c>
      <c r="M320" s="56" t="s">
        <v>352</v>
      </c>
      <c r="N320" s="56" t="s">
        <v>29</v>
      </c>
      <c r="O320" s="56" t="s">
        <v>29</v>
      </c>
      <c r="P320" s="56" t="s">
        <v>29</v>
      </c>
      <c r="Q320" s="66" t="str">
        <f t="shared" si="15"/>
        <v/>
      </c>
      <c r="R320" s="56" t="s">
        <v>29</v>
      </c>
      <c r="S320" s="56" t="s">
        <v>29</v>
      </c>
      <c r="T320" s="56" t="s">
        <v>29</v>
      </c>
      <c r="U320" s="56" t="s">
        <v>29</v>
      </c>
      <c r="V320" s="56">
        <v>4</v>
      </c>
      <c r="W320" s="56">
        <v>418525</v>
      </c>
      <c r="X320" s="56">
        <v>4</v>
      </c>
      <c r="Y320" s="56">
        <v>8</v>
      </c>
      <c r="Z320" s="67" t="s">
        <v>29</v>
      </c>
      <c r="AA320" s="68">
        <f t="shared" si="16"/>
        <v>0.5</v>
      </c>
      <c r="AB320" s="92">
        <f t="shared" si="14"/>
        <v>0</v>
      </c>
      <c r="AC320" s="92">
        <f>IFERROR(Table16[[#This Row],[Quantity Needed for repair]]*Table16[[#This Row],[Evaluated]],"")</f>
        <v>0</v>
      </c>
    </row>
    <row r="321" spans="5:29" x14ac:dyDescent="0.35">
      <c r="E321" s="64">
        <v>3</v>
      </c>
      <c r="F321" s="56" t="s">
        <v>439</v>
      </c>
      <c r="G321" s="56">
        <v>12693576</v>
      </c>
      <c r="H321" s="56" t="s">
        <v>315</v>
      </c>
      <c r="I321" s="56" t="s">
        <v>367</v>
      </c>
      <c r="J321" s="56" t="s">
        <v>29</v>
      </c>
      <c r="K321" s="56">
        <v>780769</v>
      </c>
      <c r="L321" s="65">
        <v>44473</v>
      </c>
      <c r="M321" s="56" t="s">
        <v>352</v>
      </c>
      <c r="N321" s="56" t="s">
        <v>29</v>
      </c>
      <c r="O321" s="56" t="s">
        <v>29</v>
      </c>
      <c r="P321" s="56" t="s">
        <v>29</v>
      </c>
      <c r="Q321" s="66" t="str">
        <f t="shared" si="15"/>
        <v/>
      </c>
      <c r="R321" s="56" t="s">
        <v>29</v>
      </c>
      <c r="S321" s="56" t="s">
        <v>29</v>
      </c>
      <c r="T321" s="56" t="s">
        <v>29</v>
      </c>
      <c r="U321" s="56" t="s">
        <v>29</v>
      </c>
      <c r="V321" s="56">
        <v>5</v>
      </c>
      <c r="W321" s="56">
        <v>647436</v>
      </c>
      <c r="X321" s="56">
        <v>7</v>
      </c>
      <c r="Y321" s="56">
        <v>8</v>
      </c>
      <c r="Z321" s="67" t="s">
        <v>29</v>
      </c>
      <c r="AA321" s="68">
        <f t="shared" si="16"/>
        <v>0.875</v>
      </c>
      <c r="AB321" s="92">
        <f t="shared" si="14"/>
        <v>0</v>
      </c>
      <c r="AC321" s="92">
        <f>IFERROR(Table16[[#This Row],[Quantity Needed for repair]]*Table16[[#This Row],[Evaluated]],"")</f>
        <v>0</v>
      </c>
    </row>
    <row r="322" spans="5:29" ht="15" thickBot="1" x14ac:dyDescent="0.4">
      <c r="E322" s="69">
        <v>3</v>
      </c>
      <c r="F322" s="70" t="s">
        <v>439</v>
      </c>
      <c r="G322" s="70">
        <v>12693576</v>
      </c>
      <c r="H322" s="70" t="s">
        <v>315</v>
      </c>
      <c r="I322" s="70" t="s">
        <v>367</v>
      </c>
      <c r="J322" s="70" t="s">
        <v>29</v>
      </c>
      <c r="K322" s="70">
        <v>780769</v>
      </c>
      <c r="L322" s="71">
        <v>44473</v>
      </c>
      <c r="M322" s="70" t="s">
        <v>352</v>
      </c>
      <c r="N322" s="70" t="s">
        <v>29</v>
      </c>
      <c r="O322" s="70" t="s">
        <v>29</v>
      </c>
      <c r="P322" s="70" t="s">
        <v>29</v>
      </c>
      <c r="Q322" s="72" t="str">
        <f t="shared" si="15"/>
        <v/>
      </c>
      <c r="R322" s="70" t="s">
        <v>29</v>
      </c>
      <c r="S322" s="70" t="s">
        <v>29</v>
      </c>
      <c r="T322" s="70" t="s">
        <v>29</v>
      </c>
      <c r="U322" s="70" t="s">
        <v>29</v>
      </c>
      <c r="V322" s="70">
        <v>6</v>
      </c>
      <c r="W322" s="70">
        <v>871781</v>
      </c>
      <c r="X322" s="70" t="s">
        <v>29</v>
      </c>
      <c r="Y322" s="70">
        <v>8</v>
      </c>
      <c r="Z322" s="73" t="s">
        <v>29</v>
      </c>
      <c r="AA322" s="74" t="str">
        <f t="shared" si="16"/>
        <v/>
      </c>
      <c r="AB322" s="93">
        <f t="shared" ref="AB322:AB385" si="17">IFERROR(INDEX($A$2:$C$553,MATCH($F322,$A$2:$A$553,0),3),0)</f>
        <v>0</v>
      </c>
      <c r="AC322" s="93" t="str">
        <f>IFERROR(Table16[[#This Row],[Quantity Needed for repair]]*Table16[[#This Row],[Evaluated]],"")</f>
        <v/>
      </c>
    </row>
    <row r="323" spans="5:29" x14ac:dyDescent="0.35">
      <c r="E323" s="57">
        <v>3</v>
      </c>
      <c r="F323" s="58" t="s">
        <v>440</v>
      </c>
      <c r="G323" s="58">
        <v>12819749</v>
      </c>
      <c r="H323" s="58" t="s">
        <v>313</v>
      </c>
      <c r="I323" s="58" t="s">
        <v>351</v>
      </c>
      <c r="J323" s="58" t="s">
        <v>29</v>
      </c>
      <c r="K323" s="58">
        <v>1005293</v>
      </c>
      <c r="L323" s="59">
        <v>44473</v>
      </c>
      <c r="M323" s="58" t="s">
        <v>352</v>
      </c>
      <c r="N323" s="58" t="s">
        <v>29</v>
      </c>
      <c r="O323" s="58" t="s">
        <v>29</v>
      </c>
      <c r="P323" s="58" t="s">
        <v>29</v>
      </c>
      <c r="Q323" s="60" t="str">
        <f t="shared" ref="Q323:Q386" si="18">IFERROR(ROUND(O323/P323*100,0)&amp;" %"&amp;IF(O323/P323&gt;0.6,", High Price",""),"")</f>
        <v/>
      </c>
      <c r="R323" s="58" t="s">
        <v>29</v>
      </c>
      <c r="S323" s="58" t="s">
        <v>29</v>
      </c>
      <c r="T323" s="58" t="s">
        <v>29</v>
      </c>
      <c r="U323" s="58" t="s">
        <v>29</v>
      </c>
      <c r="V323" s="58">
        <v>1</v>
      </c>
      <c r="W323" s="58">
        <v>1130198</v>
      </c>
      <c r="X323" s="58">
        <v>12</v>
      </c>
      <c r="Y323" s="58">
        <v>33</v>
      </c>
      <c r="Z323" s="61" t="s">
        <v>29</v>
      </c>
      <c r="AA323" s="62">
        <f t="shared" ref="AA323:AA386" si="19">IFERROR(X323/Y323,"")</f>
        <v>0.36363636363636365</v>
      </c>
      <c r="AB323" s="91">
        <f t="shared" si="17"/>
        <v>0</v>
      </c>
      <c r="AC323" s="91">
        <f>IFERROR(Table16[[#This Row],[Quantity Needed for repair]]*Table16[[#This Row],[Evaluated]],"")</f>
        <v>0</v>
      </c>
    </row>
    <row r="324" spans="5:29" x14ac:dyDescent="0.35">
      <c r="E324" s="64">
        <v>3</v>
      </c>
      <c r="F324" s="56" t="s">
        <v>440</v>
      </c>
      <c r="G324" s="56">
        <v>12819749</v>
      </c>
      <c r="H324" s="56" t="s">
        <v>313</v>
      </c>
      <c r="I324" s="56" t="s">
        <v>351</v>
      </c>
      <c r="J324" s="56" t="s">
        <v>29</v>
      </c>
      <c r="K324" s="56">
        <v>1005293</v>
      </c>
      <c r="L324" s="65">
        <v>44473</v>
      </c>
      <c r="M324" s="56" t="s">
        <v>352</v>
      </c>
      <c r="N324" s="56" t="s">
        <v>29</v>
      </c>
      <c r="O324" s="56" t="s">
        <v>29</v>
      </c>
      <c r="P324" s="56" t="s">
        <v>29</v>
      </c>
      <c r="Q324" s="66" t="str">
        <f t="shared" si="18"/>
        <v/>
      </c>
      <c r="R324" s="56" t="s">
        <v>29</v>
      </c>
      <c r="S324" s="56" t="s">
        <v>29</v>
      </c>
      <c r="T324" s="56" t="s">
        <v>29</v>
      </c>
      <c r="U324" s="56" t="s">
        <v>29</v>
      </c>
      <c r="V324" s="56">
        <v>2</v>
      </c>
      <c r="W324" s="56">
        <v>647435</v>
      </c>
      <c r="X324" s="56">
        <v>2</v>
      </c>
      <c r="Y324" s="56">
        <v>23</v>
      </c>
      <c r="Z324" s="67" t="s">
        <v>29</v>
      </c>
      <c r="AA324" s="68">
        <f t="shared" si="19"/>
        <v>8.6956521739130432E-2</v>
      </c>
      <c r="AB324" s="92">
        <f t="shared" si="17"/>
        <v>0</v>
      </c>
      <c r="AC324" s="92">
        <f>IFERROR(Table16[[#This Row],[Quantity Needed for repair]]*Table16[[#This Row],[Evaluated]],"")</f>
        <v>0</v>
      </c>
    </row>
    <row r="325" spans="5:29" ht="15" thickBot="1" x14ac:dyDescent="0.4">
      <c r="E325" s="69">
        <v>3</v>
      </c>
      <c r="F325" s="70" t="s">
        <v>440</v>
      </c>
      <c r="G325" s="70">
        <v>12819749</v>
      </c>
      <c r="H325" s="70" t="s">
        <v>313</v>
      </c>
      <c r="I325" s="70" t="s">
        <v>351</v>
      </c>
      <c r="J325" s="70" t="s">
        <v>29</v>
      </c>
      <c r="K325" s="70">
        <v>1005293</v>
      </c>
      <c r="L325" s="71">
        <v>44473</v>
      </c>
      <c r="M325" s="70" t="s">
        <v>352</v>
      </c>
      <c r="N325" s="70" t="s">
        <v>29</v>
      </c>
      <c r="O325" s="70" t="s">
        <v>29</v>
      </c>
      <c r="P325" s="70" t="s">
        <v>29</v>
      </c>
      <c r="Q325" s="72" t="str">
        <f t="shared" si="18"/>
        <v/>
      </c>
      <c r="R325" s="70" t="s">
        <v>29</v>
      </c>
      <c r="S325" s="70" t="s">
        <v>29</v>
      </c>
      <c r="T325" s="70" t="s">
        <v>29</v>
      </c>
      <c r="U325" s="70" t="s">
        <v>29</v>
      </c>
      <c r="V325" s="70">
        <v>3</v>
      </c>
      <c r="W325" s="70">
        <v>418525</v>
      </c>
      <c r="X325" s="70">
        <v>6</v>
      </c>
      <c r="Y325" s="70">
        <v>6</v>
      </c>
      <c r="Z325" s="73" t="s">
        <v>29</v>
      </c>
      <c r="AA325" s="74">
        <f t="shared" si="19"/>
        <v>1</v>
      </c>
      <c r="AB325" s="93">
        <f t="shared" si="17"/>
        <v>0</v>
      </c>
      <c r="AC325" s="93">
        <f>IFERROR(Table16[[#This Row],[Quantity Needed for repair]]*Table16[[#This Row],[Evaluated]],"")</f>
        <v>0</v>
      </c>
    </row>
    <row r="326" spans="5:29" x14ac:dyDescent="0.35">
      <c r="E326" s="57">
        <v>3</v>
      </c>
      <c r="F326" s="58" t="s">
        <v>441</v>
      </c>
      <c r="G326" s="58">
        <v>13076733</v>
      </c>
      <c r="H326" s="58" t="s">
        <v>316</v>
      </c>
      <c r="I326" s="58" t="s">
        <v>465</v>
      </c>
      <c r="J326" s="58" t="s">
        <v>29</v>
      </c>
      <c r="K326" s="58">
        <v>1083976</v>
      </c>
      <c r="L326" s="59">
        <v>44473</v>
      </c>
      <c r="M326" s="58" t="s">
        <v>352</v>
      </c>
      <c r="N326" s="58" t="s">
        <v>29</v>
      </c>
      <c r="O326" s="58" t="s">
        <v>29</v>
      </c>
      <c r="P326" s="58" t="s">
        <v>29</v>
      </c>
      <c r="Q326" s="60" t="str">
        <f t="shared" si="18"/>
        <v/>
      </c>
      <c r="R326" s="58" t="s">
        <v>29</v>
      </c>
      <c r="S326" s="58" t="s">
        <v>29</v>
      </c>
      <c r="T326" s="58" t="s">
        <v>29</v>
      </c>
      <c r="U326" s="58" t="s">
        <v>29</v>
      </c>
      <c r="V326" s="58">
        <v>1</v>
      </c>
      <c r="W326" s="58">
        <v>1130198</v>
      </c>
      <c r="X326" s="58">
        <v>40</v>
      </c>
      <c r="Y326" s="58">
        <v>74</v>
      </c>
      <c r="Z326" s="61" t="s">
        <v>29</v>
      </c>
      <c r="AA326" s="62">
        <f t="shared" si="19"/>
        <v>0.54054054054054057</v>
      </c>
      <c r="AB326" s="91">
        <f t="shared" si="17"/>
        <v>0</v>
      </c>
      <c r="AC326" s="91">
        <f>IFERROR(Table16[[#This Row],[Quantity Needed for repair]]*Table16[[#This Row],[Evaluated]],"")</f>
        <v>0</v>
      </c>
    </row>
    <row r="327" spans="5:29" x14ac:dyDescent="0.35">
      <c r="E327" s="64">
        <v>3</v>
      </c>
      <c r="F327" s="56" t="s">
        <v>441</v>
      </c>
      <c r="G327" s="56">
        <v>13076733</v>
      </c>
      <c r="H327" s="56" t="s">
        <v>316</v>
      </c>
      <c r="I327" s="56" t="s">
        <v>465</v>
      </c>
      <c r="J327" s="56" t="s">
        <v>29</v>
      </c>
      <c r="K327" s="56">
        <v>1083976</v>
      </c>
      <c r="L327" s="65">
        <v>44473</v>
      </c>
      <c r="M327" s="56" t="s">
        <v>352</v>
      </c>
      <c r="N327" s="56" t="s">
        <v>29</v>
      </c>
      <c r="O327" s="56" t="s">
        <v>29</v>
      </c>
      <c r="P327" s="56" t="s">
        <v>29</v>
      </c>
      <c r="Q327" s="66" t="str">
        <f t="shared" si="18"/>
        <v/>
      </c>
      <c r="R327" s="56" t="s">
        <v>29</v>
      </c>
      <c r="S327" s="56" t="s">
        <v>29</v>
      </c>
      <c r="T327" s="56" t="s">
        <v>29</v>
      </c>
      <c r="U327" s="56" t="s">
        <v>29</v>
      </c>
      <c r="V327" s="56">
        <v>2</v>
      </c>
      <c r="W327" s="56">
        <v>983150</v>
      </c>
      <c r="X327" s="56" t="s">
        <v>29</v>
      </c>
      <c r="Y327" s="56">
        <v>33</v>
      </c>
      <c r="Z327" s="67" t="s">
        <v>29</v>
      </c>
      <c r="AA327" s="68" t="str">
        <f t="shared" si="19"/>
        <v/>
      </c>
      <c r="AB327" s="92">
        <f t="shared" si="17"/>
        <v>0</v>
      </c>
      <c r="AC327" s="92" t="str">
        <f>IFERROR(Table16[[#This Row],[Quantity Needed for repair]]*Table16[[#This Row],[Evaluated]],"")</f>
        <v/>
      </c>
    </row>
    <row r="328" spans="5:29" x14ac:dyDescent="0.35">
      <c r="E328" s="64">
        <v>3</v>
      </c>
      <c r="F328" s="56" t="s">
        <v>441</v>
      </c>
      <c r="G328" s="56">
        <v>13076733</v>
      </c>
      <c r="H328" s="56" t="s">
        <v>316</v>
      </c>
      <c r="I328" s="56" t="s">
        <v>465</v>
      </c>
      <c r="J328" s="56" t="s">
        <v>29</v>
      </c>
      <c r="K328" s="56">
        <v>1083976</v>
      </c>
      <c r="L328" s="65">
        <v>44473</v>
      </c>
      <c r="M328" s="56" t="s">
        <v>352</v>
      </c>
      <c r="N328" s="56" t="s">
        <v>29</v>
      </c>
      <c r="O328" s="56" t="s">
        <v>29</v>
      </c>
      <c r="P328" s="56" t="s">
        <v>29</v>
      </c>
      <c r="Q328" s="66" t="str">
        <f t="shared" si="18"/>
        <v/>
      </c>
      <c r="R328" s="56" t="s">
        <v>29</v>
      </c>
      <c r="S328" s="56" t="s">
        <v>29</v>
      </c>
      <c r="T328" s="56" t="s">
        <v>29</v>
      </c>
      <c r="U328" s="56" t="s">
        <v>29</v>
      </c>
      <c r="V328" s="56">
        <v>3</v>
      </c>
      <c r="W328" s="56">
        <v>625854</v>
      </c>
      <c r="X328" s="56">
        <v>8</v>
      </c>
      <c r="Y328" s="56">
        <v>21</v>
      </c>
      <c r="Z328" s="67" t="s">
        <v>29</v>
      </c>
      <c r="AA328" s="68">
        <f t="shared" si="19"/>
        <v>0.38095238095238093</v>
      </c>
      <c r="AB328" s="92">
        <f t="shared" si="17"/>
        <v>0</v>
      </c>
      <c r="AC328" s="92">
        <f>IFERROR(Table16[[#This Row],[Quantity Needed for repair]]*Table16[[#This Row],[Evaluated]],"")</f>
        <v>0</v>
      </c>
    </row>
    <row r="329" spans="5:29" ht="15" thickBot="1" x14ac:dyDescent="0.4">
      <c r="E329" s="69">
        <v>3</v>
      </c>
      <c r="F329" s="70" t="s">
        <v>441</v>
      </c>
      <c r="G329" s="70">
        <v>13076733</v>
      </c>
      <c r="H329" s="70" t="s">
        <v>316</v>
      </c>
      <c r="I329" s="70" t="s">
        <v>465</v>
      </c>
      <c r="J329" s="70" t="s">
        <v>29</v>
      </c>
      <c r="K329" s="70">
        <v>1083976</v>
      </c>
      <c r="L329" s="71">
        <v>44473</v>
      </c>
      <c r="M329" s="70" t="s">
        <v>352</v>
      </c>
      <c r="N329" s="70" t="s">
        <v>29</v>
      </c>
      <c r="O329" s="70" t="s">
        <v>29</v>
      </c>
      <c r="P329" s="70" t="s">
        <v>29</v>
      </c>
      <c r="Q329" s="72" t="str">
        <f t="shared" si="18"/>
        <v/>
      </c>
      <c r="R329" s="70" t="s">
        <v>29</v>
      </c>
      <c r="S329" s="70" t="s">
        <v>29</v>
      </c>
      <c r="T329" s="70" t="s">
        <v>29</v>
      </c>
      <c r="U329" s="70" t="s">
        <v>29</v>
      </c>
      <c r="V329" s="70">
        <v>4</v>
      </c>
      <c r="W329" s="70">
        <v>418525</v>
      </c>
      <c r="X329" s="70">
        <v>7</v>
      </c>
      <c r="Y329" s="70">
        <v>7</v>
      </c>
      <c r="Z329" s="73" t="s">
        <v>29</v>
      </c>
      <c r="AA329" s="74">
        <f t="shared" si="19"/>
        <v>1</v>
      </c>
      <c r="AB329" s="93">
        <f t="shared" si="17"/>
        <v>0</v>
      </c>
      <c r="AC329" s="93">
        <f>IFERROR(Table16[[#This Row],[Quantity Needed for repair]]*Table16[[#This Row],[Evaluated]],"")</f>
        <v>0</v>
      </c>
    </row>
    <row r="330" spans="5:29" x14ac:dyDescent="0.35">
      <c r="E330" s="57">
        <v>3</v>
      </c>
      <c r="F330" s="58" t="s">
        <v>442</v>
      </c>
      <c r="G330" s="58">
        <v>12844563</v>
      </c>
      <c r="H330" s="58" t="s">
        <v>313</v>
      </c>
      <c r="I330" s="58" t="s">
        <v>351</v>
      </c>
      <c r="J330" s="58" t="s">
        <v>29</v>
      </c>
      <c r="K330" s="58">
        <v>791867</v>
      </c>
      <c r="L330" s="59">
        <v>44473</v>
      </c>
      <c r="M330" s="58" t="s">
        <v>352</v>
      </c>
      <c r="N330" s="58" t="s">
        <v>29</v>
      </c>
      <c r="O330" s="58" t="s">
        <v>29</v>
      </c>
      <c r="P330" s="58" t="s">
        <v>29</v>
      </c>
      <c r="Q330" s="60" t="str">
        <f t="shared" si="18"/>
        <v/>
      </c>
      <c r="R330" s="58" t="s">
        <v>29</v>
      </c>
      <c r="S330" s="58" t="s">
        <v>29</v>
      </c>
      <c r="T330" s="58" t="s">
        <v>29</v>
      </c>
      <c r="U330" s="58" t="s">
        <v>29</v>
      </c>
      <c r="V330" s="58">
        <v>1</v>
      </c>
      <c r="W330" s="58">
        <v>1130221</v>
      </c>
      <c r="X330" s="58">
        <v>14</v>
      </c>
      <c r="Y330" s="58">
        <v>30</v>
      </c>
      <c r="Z330" s="61" t="s">
        <v>29</v>
      </c>
      <c r="AA330" s="62">
        <f t="shared" si="19"/>
        <v>0.46666666666666667</v>
      </c>
      <c r="AB330" s="91">
        <f t="shared" si="17"/>
        <v>0</v>
      </c>
      <c r="AC330" s="91">
        <f>IFERROR(Table16[[#This Row],[Quantity Needed for repair]]*Table16[[#This Row],[Evaluated]],"")</f>
        <v>0</v>
      </c>
    </row>
    <row r="331" spans="5:29" x14ac:dyDescent="0.35">
      <c r="E331" s="64">
        <v>3</v>
      </c>
      <c r="F331" s="56" t="s">
        <v>442</v>
      </c>
      <c r="G331" s="56">
        <v>12844563</v>
      </c>
      <c r="H331" s="56" t="s">
        <v>313</v>
      </c>
      <c r="I331" s="56" t="s">
        <v>351</v>
      </c>
      <c r="J331" s="56" t="s">
        <v>29</v>
      </c>
      <c r="K331" s="56">
        <v>791867</v>
      </c>
      <c r="L331" s="65">
        <v>44473</v>
      </c>
      <c r="M331" s="56" t="s">
        <v>352</v>
      </c>
      <c r="N331" s="56" t="s">
        <v>29</v>
      </c>
      <c r="O331" s="56" t="s">
        <v>29</v>
      </c>
      <c r="P331" s="56" t="s">
        <v>29</v>
      </c>
      <c r="Q331" s="66" t="str">
        <f t="shared" si="18"/>
        <v/>
      </c>
      <c r="R331" s="56" t="s">
        <v>29</v>
      </c>
      <c r="S331" s="56" t="s">
        <v>29</v>
      </c>
      <c r="T331" s="56" t="s">
        <v>29</v>
      </c>
      <c r="U331" s="56" t="s">
        <v>29</v>
      </c>
      <c r="V331" s="56">
        <v>2</v>
      </c>
      <c r="W331" s="56">
        <v>1130219</v>
      </c>
      <c r="X331" s="56">
        <v>6</v>
      </c>
      <c r="Y331" s="56">
        <v>26</v>
      </c>
      <c r="Z331" s="67" t="s">
        <v>29</v>
      </c>
      <c r="AA331" s="68">
        <f t="shared" si="19"/>
        <v>0.23076923076923078</v>
      </c>
      <c r="AB331" s="92">
        <f t="shared" si="17"/>
        <v>0</v>
      </c>
      <c r="AC331" s="92">
        <f>IFERROR(Table16[[#This Row],[Quantity Needed for repair]]*Table16[[#This Row],[Evaluated]],"")</f>
        <v>0</v>
      </c>
    </row>
    <row r="332" spans="5:29" x14ac:dyDescent="0.35">
      <c r="E332" s="64">
        <v>3</v>
      </c>
      <c r="F332" s="56" t="s">
        <v>442</v>
      </c>
      <c r="G332" s="56">
        <v>12844563</v>
      </c>
      <c r="H332" s="56" t="s">
        <v>313</v>
      </c>
      <c r="I332" s="56" t="s">
        <v>351</v>
      </c>
      <c r="J332" s="56" t="s">
        <v>29</v>
      </c>
      <c r="K332" s="56">
        <v>791867</v>
      </c>
      <c r="L332" s="65">
        <v>44473</v>
      </c>
      <c r="M332" s="56" t="s">
        <v>352</v>
      </c>
      <c r="N332" s="56" t="s">
        <v>29</v>
      </c>
      <c r="O332" s="56" t="s">
        <v>29</v>
      </c>
      <c r="P332" s="56" t="s">
        <v>29</v>
      </c>
      <c r="Q332" s="66" t="str">
        <f t="shared" si="18"/>
        <v/>
      </c>
      <c r="R332" s="56" t="s">
        <v>29</v>
      </c>
      <c r="S332" s="56" t="s">
        <v>29</v>
      </c>
      <c r="T332" s="56" t="s">
        <v>29</v>
      </c>
      <c r="U332" s="56" t="s">
        <v>29</v>
      </c>
      <c r="V332" s="56">
        <v>3</v>
      </c>
      <c r="W332" s="56">
        <v>1134751</v>
      </c>
      <c r="X332" s="56">
        <v>2</v>
      </c>
      <c r="Y332" s="56">
        <v>6</v>
      </c>
      <c r="Z332" s="67" t="s">
        <v>29</v>
      </c>
      <c r="AA332" s="68">
        <f t="shared" si="19"/>
        <v>0.33333333333333331</v>
      </c>
      <c r="AB332" s="92">
        <f t="shared" si="17"/>
        <v>0</v>
      </c>
      <c r="AC332" s="92">
        <f>IFERROR(Table16[[#This Row],[Quantity Needed for repair]]*Table16[[#This Row],[Evaluated]],"")</f>
        <v>0</v>
      </c>
    </row>
    <row r="333" spans="5:29" x14ac:dyDescent="0.35">
      <c r="E333" s="64">
        <v>3</v>
      </c>
      <c r="F333" s="56" t="s">
        <v>442</v>
      </c>
      <c r="G333" s="56">
        <v>12844563</v>
      </c>
      <c r="H333" s="56" t="s">
        <v>313</v>
      </c>
      <c r="I333" s="56" t="s">
        <v>351</v>
      </c>
      <c r="J333" s="56" t="s">
        <v>29</v>
      </c>
      <c r="K333" s="56">
        <v>791867</v>
      </c>
      <c r="L333" s="65">
        <v>44473</v>
      </c>
      <c r="M333" s="56" t="s">
        <v>352</v>
      </c>
      <c r="N333" s="56" t="s">
        <v>29</v>
      </c>
      <c r="O333" s="56" t="s">
        <v>29</v>
      </c>
      <c r="P333" s="56" t="s">
        <v>29</v>
      </c>
      <c r="Q333" s="66" t="str">
        <f t="shared" si="18"/>
        <v/>
      </c>
      <c r="R333" s="56" t="s">
        <v>29</v>
      </c>
      <c r="S333" s="56" t="s">
        <v>29</v>
      </c>
      <c r="T333" s="56" t="s">
        <v>29</v>
      </c>
      <c r="U333" s="56" t="s">
        <v>29</v>
      </c>
      <c r="V333" s="56">
        <v>4</v>
      </c>
      <c r="W333" s="56">
        <v>871781</v>
      </c>
      <c r="X333" s="56" t="s">
        <v>29</v>
      </c>
      <c r="Y333" s="56">
        <v>3</v>
      </c>
      <c r="Z333" s="67" t="s">
        <v>29</v>
      </c>
      <c r="AA333" s="68" t="str">
        <f t="shared" si="19"/>
        <v/>
      </c>
      <c r="AB333" s="92">
        <f t="shared" si="17"/>
        <v>0</v>
      </c>
      <c r="AC333" s="92" t="str">
        <f>IFERROR(Table16[[#This Row],[Quantity Needed for repair]]*Table16[[#This Row],[Evaluated]],"")</f>
        <v/>
      </c>
    </row>
    <row r="334" spans="5:29" ht="15" thickBot="1" x14ac:dyDescent="0.4">
      <c r="E334" s="69">
        <v>3</v>
      </c>
      <c r="F334" s="70" t="s">
        <v>442</v>
      </c>
      <c r="G334" s="70">
        <v>12844563</v>
      </c>
      <c r="H334" s="70" t="s">
        <v>313</v>
      </c>
      <c r="I334" s="70" t="s">
        <v>351</v>
      </c>
      <c r="J334" s="70" t="s">
        <v>29</v>
      </c>
      <c r="K334" s="70">
        <v>791867</v>
      </c>
      <c r="L334" s="71">
        <v>44473</v>
      </c>
      <c r="M334" s="70" t="s">
        <v>352</v>
      </c>
      <c r="N334" s="70" t="s">
        <v>29</v>
      </c>
      <c r="O334" s="70" t="s">
        <v>29</v>
      </c>
      <c r="P334" s="70" t="s">
        <v>29</v>
      </c>
      <c r="Q334" s="72" t="str">
        <f t="shared" si="18"/>
        <v/>
      </c>
      <c r="R334" s="70" t="s">
        <v>29</v>
      </c>
      <c r="S334" s="70" t="s">
        <v>29</v>
      </c>
      <c r="T334" s="70" t="s">
        <v>29</v>
      </c>
      <c r="U334" s="70" t="s">
        <v>29</v>
      </c>
      <c r="V334" s="70">
        <v>5</v>
      </c>
      <c r="W334" s="70">
        <v>418525</v>
      </c>
      <c r="X334" s="70">
        <v>9</v>
      </c>
      <c r="Y334" s="70">
        <v>9</v>
      </c>
      <c r="Z334" s="73" t="s">
        <v>29</v>
      </c>
      <c r="AA334" s="74">
        <f t="shared" si="19"/>
        <v>1</v>
      </c>
      <c r="AB334" s="93">
        <f t="shared" si="17"/>
        <v>0</v>
      </c>
      <c r="AC334" s="93">
        <f>IFERROR(Table16[[#This Row],[Quantity Needed for repair]]*Table16[[#This Row],[Evaluated]],"")</f>
        <v>0</v>
      </c>
    </row>
    <row r="335" spans="5:29" x14ac:dyDescent="0.35">
      <c r="E335" s="57">
        <v>3</v>
      </c>
      <c r="F335" s="58" t="s">
        <v>443</v>
      </c>
      <c r="G335" s="58">
        <v>13082601</v>
      </c>
      <c r="H335" s="58" t="s">
        <v>313</v>
      </c>
      <c r="I335" s="58" t="s">
        <v>351</v>
      </c>
      <c r="J335" s="58" t="s">
        <v>29</v>
      </c>
      <c r="K335" s="58">
        <v>882281</v>
      </c>
      <c r="L335" s="59">
        <v>44473</v>
      </c>
      <c r="M335" s="58" t="s">
        <v>352</v>
      </c>
      <c r="N335" s="58" t="s">
        <v>29</v>
      </c>
      <c r="O335" s="58" t="s">
        <v>29</v>
      </c>
      <c r="P335" s="58" t="s">
        <v>29</v>
      </c>
      <c r="Q335" s="60" t="str">
        <f t="shared" si="18"/>
        <v/>
      </c>
      <c r="R335" s="58" t="s">
        <v>29</v>
      </c>
      <c r="S335" s="58" t="s">
        <v>29</v>
      </c>
      <c r="T335" s="58" t="s">
        <v>29</v>
      </c>
      <c r="U335" s="58" t="s">
        <v>29</v>
      </c>
      <c r="V335" s="58">
        <v>1</v>
      </c>
      <c r="W335" s="58">
        <v>1130198</v>
      </c>
      <c r="X335" s="58">
        <v>6</v>
      </c>
      <c r="Y335" s="58">
        <v>33</v>
      </c>
      <c r="Z335" s="61" t="s">
        <v>29</v>
      </c>
      <c r="AA335" s="62">
        <f t="shared" si="19"/>
        <v>0.18181818181818182</v>
      </c>
      <c r="AB335" s="91">
        <f t="shared" si="17"/>
        <v>0</v>
      </c>
      <c r="AC335" s="91">
        <f>IFERROR(Table16[[#This Row],[Quantity Needed for repair]]*Table16[[#This Row],[Evaluated]],"")</f>
        <v>0</v>
      </c>
    </row>
    <row r="336" spans="5:29" x14ac:dyDescent="0.35">
      <c r="E336" s="64">
        <v>3</v>
      </c>
      <c r="F336" s="56" t="s">
        <v>443</v>
      </c>
      <c r="G336" s="56">
        <v>13082601</v>
      </c>
      <c r="H336" s="56" t="s">
        <v>313</v>
      </c>
      <c r="I336" s="56" t="s">
        <v>351</v>
      </c>
      <c r="J336" s="56" t="s">
        <v>29</v>
      </c>
      <c r="K336" s="56">
        <v>882281</v>
      </c>
      <c r="L336" s="65">
        <v>44473</v>
      </c>
      <c r="M336" s="56" t="s">
        <v>352</v>
      </c>
      <c r="N336" s="56" t="s">
        <v>29</v>
      </c>
      <c r="O336" s="56" t="s">
        <v>29</v>
      </c>
      <c r="P336" s="56" t="s">
        <v>29</v>
      </c>
      <c r="Q336" s="66" t="str">
        <f t="shared" si="18"/>
        <v/>
      </c>
      <c r="R336" s="56" t="s">
        <v>29</v>
      </c>
      <c r="S336" s="56" t="s">
        <v>29</v>
      </c>
      <c r="T336" s="56" t="s">
        <v>29</v>
      </c>
      <c r="U336" s="56" t="s">
        <v>29</v>
      </c>
      <c r="V336" s="56">
        <v>2</v>
      </c>
      <c r="W336" s="56">
        <v>1130197</v>
      </c>
      <c r="X336" s="56" t="s">
        <v>29</v>
      </c>
      <c r="Y336" s="56">
        <v>23</v>
      </c>
      <c r="Z336" s="67" t="s">
        <v>29</v>
      </c>
      <c r="AA336" s="68" t="str">
        <f t="shared" si="19"/>
        <v/>
      </c>
      <c r="AB336" s="92">
        <f t="shared" si="17"/>
        <v>0</v>
      </c>
      <c r="AC336" s="92" t="str">
        <f>IFERROR(Table16[[#This Row],[Quantity Needed for repair]]*Table16[[#This Row],[Evaluated]],"")</f>
        <v/>
      </c>
    </row>
    <row r="337" spans="5:29" ht="15" thickBot="1" x14ac:dyDescent="0.4">
      <c r="E337" s="69">
        <v>3</v>
      </c>
      <c r="F337" s="70" t="s">
        <v>443</v>
      </c>
      <c r="G337" s="70">
        <v>13082601</v>
      </c>
      <c r="H337" s="70" t="s">
        <v>313</v>
      </c>
      <c r="I337" s="70" t="s">
        <v>351</v>
      </c>
      <c r="J337" s="70" t="s">
        <v>29</v>
      </c>
      <c r="K337" s="70">
        <v>882281</v>
      </c>
      <c r="L337" s="71">
        <v>44473</v>
      </c>
      <c r="M337" s="70" t="s">
        <v>352</v>
      </c>
      <c r="N337" s="70" t="s">
        <v>29</v>
      </c>
      <c r="O337" s="70" t="s">
        <v>29</v>
      </c>
      <c r="P337" s="70" t="s">
        <v>29</v>
      </c>
      <c r="Q337" s="72" t="str">
        <f t="shared" si="18"/>
        <v/>
      </c>
      <c r="R337" s="70" t="s">
        <v>29</v>
      </c>
      <c r="S337" s="70" t="s">
        <v>29</v>
      </c>
      <c r="T337" s="70" t="s">
        <v>29</v>
      </c>
      <c r="U337" s="70" t="s">
        <v>29</v>
      </c>
      <c r="V337" s="70">
        <v>3</v>
      </c>
      <c r="W337" s="70">
        <v>418525</v>
      </c>
      <c r="X337" s="70">
        <v>12</v>
      </c>
      <c r="Y337" s="70">
        <v>12</v>
      </c>
      <c r="Z337" s="73" t="s">
        <v>29</v>
      </c>
      <c r="AA337" s="74">
        <f t="shared" si="19"/>
        <v>1</v>
      </c>
      <c r="AB337" s="93">
        <f t="shared" si="17"/>
        <v>0</v>
      </c>
      <c r="AC337" s="93">
        <f>IFERROR(Table16[[#This Row],[Quantity Needed for repair]]*Table16[[#This Row],[Evaluated]],"")</f>
        <v>0</v>
      </c>
    </row>
    <row r="338" spans="5:29" x14ac:dyDescent="0.35">
      <c r="E338" s="57">
        <v>3</v>
      </c>
      <c r="F338" s="58" t="s">
        <v>445</v>
      </c>
      <c r="G338" s="58">
        <v>12967022</v>
      </c>
      <c r="H338" s="58" t="s">
        <v>313</v>
      </c>
      <c r="I338" s="58" t="s">
        <v>351</v>
      </c>
      <c r="J338" s="58" t="s">
        <v>29</v>
      </c>
      <c r="K338" s="58">
        <v>1006037</v>
      </c>
      <c r="L338" s="59">
        <v>44473</v>
      </c>
      <c r="M338" s="58" t="s">
        <v>352</v>
      </c>
      <c r="N338" s="58" t="s">
        <v>29</v>
      </c>
      <c r="O338" s="58" t="s">
        <v>29</v>
      </c>
      <c r="P338" s="58" t="s">
        <v>29</v>
      </c>
      <c r="Q338" s="60" t="str">
        <f t="shared" si="18"/>
        <v/>
      </c>
      <c r="R338" s="58" t="s">
        <v>29</v>
      </c>
      <c r="S338" s="58" t="s">
        <v>29</v>
      </c>
      <c r="T338" s="58" t="s">
        <v>29</v>
      </c>
      <c r="U338" s="58" t="s">
        <v>29</v>
      </c>
      <c r="V338" s="58">
        <v>1</v>
      </c>
      <c r="W338" s="58">
        <v>1130198</v>
      </c>
      <c r="X338" s="58">
        <v>17</v>
      </c>
      <c r="Y338" s="58">
        <v>30</v>
      </c>
      <c r="Z338" s="61" t="s">
        <v>29</v>
      </c>
      <c r="AA338" s="62">
        <f t="shared" si="19"/>
        <v>0.56666666666666665</v>
      </c>
      <c r="AB338" s="91">
        <f t="shared" si="17"/>
        <v>0</v>
      </c>
      <c r="AC338" s="91">
        <f>IFERROR(Table16[[#This Row],[Quantity Needed for repair]]*Table16[[#This Row],[Evaluated]],"")</f>
        <v>0</v>
      </c>
    </row>
    <row r="339" spans="5:29" x14ac:dyDescent="0.35">
      <c r="E339" s="64">
        <v>3</v>
      </c>
      <c r="F339" s="56" t="s">
        <v>445</v>
      </c>
      <c r="G339" s="56">
        <v>12967022</v>
      </c>
      <c r="H339" s="56" t="s">
        <v>313</v>
      </c>
      <c r="I339" s="56" t="s">
        <v>351</v>
      </c>
      <c r="J339" s="56" t="s">
        <v>29</v>
      </c>
      <c r="K339" s="56">
        <v>1006037</v>
      </c>
      <c r="L339" s="65">
        <v>44473</v>
      </c>
      <c r="M339" s="56" t="s">
        <v>352</v>
      </c>
      <c r="N339" s="56" t="s">
        <v>29</v>
      </c>
      <c r="O339" s="56" t="s">
        <v>29</v>
      </c>
      <c r="P339" s="56" t="s">
        <v>29</v>
      </c>
      <c r="Q339" s="66" t="str">
        <f t="shared" si="18"/>
        <v/>
      </c>
      <c r="R339" s="56" t="s">
        <v>29</v>
      </c>
      <c r="S339" s="56" t="s">
        <v>29</v>
      </c>
      <c r="T339" s="56" t="s">
        <v>29</v>
      </c>
      <c r="U339" s="56" t="s">
        <v>29</v>
      </c>
      <c r="V339" s="56">
        <v>2</v>
      </c>
      <c r="W339" s="56">
        <v>647436</v>
      </c>
      <c r="X339" s="56">
        <v>16</v>
      </c>
      <c r="Y339" s="56">
        <v>28</v>
      </c>
      <c r="Z339" s="67" t="s">
        <v>29</v>
      </c>
      <c r="AA339" s="68">
        <f t="shared" si="19"/>
        <v>0.5714285714285714</v>
      </c>
      <c r="AB339" s="92">
        <f t="shared" si="17"/>
        <v>0</v>
      </c>
      <c r="AC339" s="92">
        <f>IFERROR(Table16[[#This Row],[Quantity Needed for repair]]*Table16[[#This Row],[Evaluated]],"")</f>
        <v>0</v>
      </c>
    </row>
    <row r="340" spans="5:29" x14ac:dyDescent="0.35">
      <c r="E340" s="64">
        <v>3</v>
      </c>
      <c r="F340" s="56" t="s">
        <v>445</v>
      </c>
      <c r="G340" s="56">
        <v>12967022</v>
      </c>
      <c r="H340" s="56" t="s">
        <v>313</v>
      </c>
      <c r="I340" s="56" t="s">
        <v>351</v>
      </c>
      <c r="J340" s="56" t="s">
        <v>29</v>
      </c>
      <c r="K340" s="56">
        <v>1006037</v>
      </c>
      <c r="L340" s="65">
        <v>44473</v>
      </c>
      <c r="M340" s="56" t="s">
        <v>352</v>
      </c>
      <c r="N340" s="56" t="s">
        <v>29</v>
      </c>
      <c r="O340" s="56" t="s">
        <v>29</v>
      </c>
      <c r="P340" s="56" t="s">
        <v>29</v>
      </c>
      <c r="Q340" s="66" t="str">
        <f t="shared" si="18"/>
        <v/>
      </c>
      <c r="R340" s="56" t="s">
        <v>29</v>
      </c>
      <c r="S340" s="56" t="s">
        <v>29</v>
      </c>
      <c r="T340" s="56" t="s">
        <v>29</v>
      </c>
      <c r="U340" s="56" t="s">
        <v>29</v>
      </c>
      <c r="V340" s="56">
        <v>3</v>
      </c>
      <c r="W340" s="56">
        <v>1130196</v>
      </c>
      <c r="X340" s="56">
        <v>1</v>
      </c>
      <c r="Y340" s="56">
        <v>7</v>
      </c>
      <c r="Z340" s="67" t="s">
        <v>29</v>
      </c>
      <c r="AA340" s="68">
        <f t="shared" si="19"/>
        <v>0.14285714285714285</v>
      </c>
      <c r="AB340" s="92">
        <f t="shared" si="17"/>
        <v>0</v>
      </c>
      <c r="AC340" s="92">
        <f>IFERROR(Table16[[#This Row],[Quantity Needed for repair]]*Table16[[#This Row],[Evaluated]],"")</f>
        <v>0</v>
      </c>
    </row>
    <row r="341" spans="5:29" ht="15" thickBot="1" x14ac:dyDescent="0.4">
      <c r="E341" s="69">
        <v>3</v>
      </c>
      <c r="F341" s="70" t="s">
        <v>445</v>
      </c>
      <c r="G341" s="70">
        <v>12967022</v>
      </c>
      <c r="H341" s="70" t="s">
        <v>313</v>
      </c>
      <c r="I341" s="70" t="s">
        <v>351</v>
      </c>
      <c r="J341" s="70" t="s">
        <v>29</v>
      </c>
      <c r="K341" s="70">
        <v>1006037</v>
      </c>
      <c r="L341" s="71">
        <v>44473</v>
      </c>
      <c r="M341" s="70" t="s">
        <v>352</v>
      </c>
      <c r="N341" s="70" t="s">
        <v>29</v>
      </c>
      <c r="O341" s="70" t="s">
        <v>29</v>
      </c>
      <c r="P341" s="70" t="s">
        <v>29</v>
      </c>
      <c r="Q341" s="72" t="str">
        <f t="shared" si="18"/>
        <v/>
      </c>
      <c r="R341" s="70" t="s">
        <v>29</v>
      </c>
      <c r="S341" s="70" t="s">
        <v>29</v>
      </c>
      <c r="T341" s="70" t="s">
        <v>29</v>
      </c>
      <c r="U341" s="70" t="s">
        <v>29</v>
      </c>
      <c r="V341" s="70">
        <v>4</v>
      </c>
      <c r="W341" s="70">
        <v>418525</v>
      </c>
      <c r="X341" s="70">
        <v>6</v>
      </c>
      <c r="Y341" s="70">
        <v>6</v>
      </c>
      <c r="Z341" s="73" t="s">
        <v>29</v>
      </c>
      <c r="AA341" s="74">
        <f t="shared" si="19"/>
        <v>1</v>
      </c>
      <c r="AB341" s="93">
        <f t="shared" si="17"/>
        <v>0</v>
      </c>
      <c r="AC341" s="93">
        <f>IFERROR(Table16[[#This Row],[Quantity Needed for repair]]*Table16[[#This Row],[Evaluated]],"")</f>
        <v>0</v>
      </c>
    </row>
    <row r="342" spans="5:29" x14ac:dyDescent="0.35">
      <c r="E342" s="57">
        <v>3</v>
      </c>
      <c r="F342" s="58" t="s">
        <v>446</v>
      </c>
      <c r="G342" s="58">
        <v>13015732</v>
      </c>
      <c r="H342" s="58" t="s">
        <v>313</v>
      </c>
      <c r="I342" s="58" t="s">
        <v>351</v>
      </c>
      <c r="J342" s="58" t="s">
        <v>29</v>
      </c>
      <c r="K342" s="58">
        <v>882281</v>
      </c>
      <c r="L342" s="59">
        <v>44473</v>
      </c>
      <c r="M342" s="58" t="s">
        <v>352</v>
      </c>
      <c r="N342" s="58" t="s">
        <v>29</v>
      </c>
      <c r="O342" s="58" t="s">
        <v>29</v>
      </c>
      <c r="P342" s="58" t="s">
        <v>29</v>
      </c>
      <c r="Q342" s="60" t="str">
        <f t="shared" si="18"/>
        <v/>
      </c>
      <c r="R342" s="58" t="s">
        <v>29</v>
      </c>
      <c r="S342" s="58" t="s">
        <v>29</v>
      </c>
      <c r="T342" s="58" t="s">
        <v>29</v>
      </c>
      <c r="U342" s="58" t="s">
        <v>29</v>
      </c>
      <c r="V342" s="58">
        <v>1</v>
      </c>
      <c r="W342" s="58">
        <v>1130198</v>
      </c>
      <c r="X342" s="58">
        <v>9</v>
      </c>
      <c r="Y342" s="58">
        <v>33</v>
      </c>
      <c r="Z342" s="61" t="s">
        <v>29</v>
      </c>
      <c r="AA342" s="62">
        <f t="shared" si="19"/>
        <v>0.27272727272727271</v>
      </c>
      <c r="AB342" s="91">
        <f t="shared" si="17"/>
        <v>0</v>
      </c>
      <c r="AC342" s="91">
        <f>IFERROR(Table16[[#This Row],[Quantity Needed for repair]]*Table16[[#This Row],[Evaluated]],"")</f>
        <v>0</v>
      </c>
    </row>
    <row r="343" spans="5:29" x14ac:dyDescent="0.35">
      <c r="E343" s="64">
        <v>3</v>
      </c>
      <c r="F343" s="56" t="s">
        <v>446</v>
      </c>
      <c r="G343" s="56">
        <v>13015732</v>
      </c>
      <c r="H343" s="56" t="s">
        <v>313</v>
      </c>
      <c r="I343" s="56" t="s">
        <v>351</v>
      </c>
      <c r="J343" s="56" t="s">
        <v>29</v>
      </c>
      <c r="K343" s="56">
        <v>882281</v>
      </c>
      <c r="L343" s="65">
        <v>44473</v>
      </c>
      <c r="M343" s="56" t="s">
        <v>352</v>
      </c>
      <c r="N343" s="56" t="s">
        <v>29</v>
      </c>
      <c r="O343" s="56" t="s">
        <v>29</v>
      </c>
      <c r="P343" s="56" t="s">
        <v>29</v>
      </c>
      <c r="Q343" s="66" t="str">
        <f t="shared" si="18"/>
        <v/>
      </c>
      <c r="R343" s="56" t="s">
        <v>29</v>
      </c>
      <c r="S343" s="56" t="s">
        <v>29</v>
      </c>
      <c r="T343" s="56" t="s">
        <v>29</v>
      </c>
      <c r="U343" s="56" t="s">
        <v>29</v>
      </c>
      <c r="V343" s="56">
        <v>2</v>
      </c>
      <c r="W343" s="56">
        <v>1130197</v>
      </c>
      <c r="X343" s="56">
        <v>4</v>
      </c>
      <c r="Y343" s="56">
        <v>23</v>
      </c>
      <c r="Z343" s="67" t="s">
        <v>29</v>
      </c>
      <c r="AA343" s="68">
        <f t="shared" si="19"/>
        <v>0.17391304347826086</v>
      </c>
      <c r="AB343" s="92">
        <f t="shared" si="17"/>
        <v>0</v>
      </c>
      <c r="AC343" s="92">
        <f>IFERROR(Table16[[#This Row],[Quantity Needed for repair]]*Table16[[#This Row],[Evaluated]],"")</f>
        <v>0</v>
      </c>
    </row>
    <row r="344" spans="5:29" ht="15" thickBot="1" x14ac:dyDescent="0.4">
      <c r="E344" s="69">
        <v>3</v>
      </c>
      <c r="F344" s="70" t="s">
        <v>446</v>
      </c>
      <c r="G344" s="70">
        <v>13015732</v>
      </c>
      <c r="H344" s="70" t="s">
        <v>313</v>
      </c>
      <c r="I344" s="70" t="s">
        <v>351</v>
      </c>
      <c r="J344" s="70" t="s">
        <v>29</v>
      </c>
      <c r="K344" s="70">
        <v>882281</v>
      </c>
      <c r="L344" s="71">
        <v>44473</v>
      </c>
      <c r="M344" s="70" t="s">
        <v>352</v>
      </c>
      <c r="N344" s="70" t="s">
        <v>29</v>
      </c>
      <c r="O344" s="70" t="s">
        <v>29</v>
      </c>
      <c r="P344" s="70" t="s">
        <v>29</v>
      </c>
      <c r="Q344" s="72" t="str">
        <f t="shared" si="18"/>
        <v/>
      </c>
      <c r="R344" s="70" t="s">
        <v>29</v>
      </c>
      <c r="S344" s="70" t="s">
        <v>29</v>
      </c>
      <c r="T344" s="70" t="s">
        <v>29</v>
      </c>
      <c r="U344" s="70" t="s">
        <v>29</v>
      </c>
      <c r="V344" s="70">
        <v>3</v>
      </c>
      <c r="W344" s="70">
        <v>418525</v>
      </c>
      <c r="X344" s="70">
        <v>12</v>
      </c>
      <c r="Y344" s="70">
        <v>12</v>
      </c>
      <c r="Z344" s="73" t="s">
        <v>29</v>
      </c>
      <c r="AA344" s="74">
        <f t="shared" si="19"/>
        <v>1</v>
      </c>
      <c r="AB344" s="93">
        <f t="shared" si="17"/>
        <v>0</v>
      </c>
      <c r="AC344" s="93">
        <f>IFERROR(Table16[[#This Row],[Quantity Needed for repair]]*Table16[[#This Row],[Evaluated]],"")</f>
        <v>0</v>
      </c>
    </row>
    <row r="345" spans="5:29" x14ac:dyDescent="0.35">
      <c r="E345" s="57">
        <v>3</v>
      </c>
      <c r="F345" s="58" t="s">
        <v>447</v>
      </c>
      <c r="G345" s="58">
        <v>13064093</v>
      </c>
      <c r="H345" s="58" t="s">
        <v>313</v>
      </c>
      <c r="I345" s="58" t="s">
        <v>351</v>
      </c>
      <c r="J345" s="58" t="s">
        <v>29</v>
      </c>
      <c r="K345" s="58">
        <v>882281</v>
      </c>
      <c r="L345" s="59">
        <v>44473</v>
      </c>
      <c r="M345" s="58" t="s">
        <v>352</v>
      </c>
      <c r="N345" s="58" t="s">
        <v>29</v>
      </c>
      <c r="O345" s="58" t="s">
        <v>29</v>
      </c>
      <c r="P345" s="58" t="s">
        <v>29</v>
      </c>
      <c r="Q345" s="60" t="str">
        <f t="shared" si="18"/>
        <v/>
      </c>
      <c r="R345" s="58" t="s">
        <v>29</v>
      </c>
      <c r="S345" s="58" t="s">
        <v>29</v>
      </c>
      <c r="T345" s="58" t="s">
        <v>29</v>
      </c>
      <c r="U345" s="58" t="s">
        <v>29</v>
      </c>
      <c r="V345" s="58">
        <v>1</v>
      </c>
      <c r="W345" s="58">
        <v>1130198</v>
      </c>
      <c r="X345" s="58" t="s">
        <v>29</v>
      </c>
      <c r="Y345" s="58">
        <v>33</v>
      </c>
      <c r="Z345" s="61" t="s">
        <v>29</v>
      </c>
      <c r="AA345" s="62" t="str">
        <f t="shared" si="19"/>
        <v/>
      </c>
      <c r="AB345" s="91">
        <f t="shared" si="17"/>
        <v>0</v>
      </c>
      <c r="AC345" s="91" t="str">
        <f>IFERROR(Table16[[#This Row],[Quantity Needed for repair]]*Table16[[#This Row],[Evaluated]],"")</f>
        <v/>
      </c>
    </row>
    <row r="346" spans="5:29" x14ac:dyDescent="0.35">
      <c r="E346" s="64">
        <v>3</v>
      </c>
      <c r="F346" s="56" t="s">
        <v>447</v>
      </c>
      <c r="G346" s="56">
        <v>13064093</v>
      </c>
      <c r="H346" s="56" t="s">
        <v>313</v>
      </c>
      <c r="I346" s="56" t="s">
        <v>351</v>
      </c>
      <c r="J346" s="56" t="s">
        <v>29</v>
      </c>
      <c r="K346" s="56">
        <v>882281</v>
      </c>
      <c r="L346" s="65">
        <v>44473</v>
      </c>
      <c r="M346" s="56" t="s">
        <v>352</v>
      </c>
      <c r="N346" s="56" t="s">
        <v>29</v>
      </c>
      <c r="O346" s="56" t="s">
        <v>29</v>
      </c>
      <c r="P346" s="56" t="s">
        <v>29</v>
      </c>
      <c r="Q346" s="66" t="str">
        <f t="shared" si="18"/>
        <v/>
      </c>
      <c r="R346" s="56" t="s">
        <v>29</v>
      </c>
      <c r="S346" s="56" t="s">
        <v>29</v>
      </c>
      <c r="T346" s="56" t="s">
        <v>29</v>
      </c>
      <c r="U346" s="56" t="s">
        <v>29</v>
      </c>
      <c r="V346" s="56">
        <v>2</v>
      </c>
      <c r="W346" s="56">
        <v>1130197</v>
      </c>
      <c r="X346" s="56" t="s">
        <v>29</v>
      </c>
      <c r="Y346" s="56">
        <v>23</v>
      </c>
      <c r="Z346" s="67" t="s">
        <v>29</v>
      </c>
      <c r="AA346" s="68" t="str">
        <f t="shared" si="19"/>
        <v/>
      </c>
      <c r="AB346" s="92">
        <f t="shared" si="17"/>
        <v>0</v>
      </c>
      <c r="AC346" s="92" t="str">
        <f>IFERROR(Table16[[#This Row],[Quantity Needed for repair]]*Table16[[#This Row],[Evaluated]],"")</f>
        <v/>
      </c>
    </row>
    <row r="347" spans="5:29" ht="15" thickBot="1" x14ac:dyDescent="0.4">
      <c r="E347" s="69">
        <v>3</v>
      </c>
      <c r="F347" s="70" t="s">
        <v>447</v>
      </c>
      <c r="G347" s="70">
        <v>13064093</v>
      </c>
      <c r="H347" s="70" t="s">
        <v>313</v>
      </c>
      <c r="I347" s="70" t="s">
        <v>351</v>
      </c>
      <c r="J347" s="70" t="s">
        <v>29</v>
      </c>
      <c r="K347" s="70">
        <v>882281</v>
      </c>
      <c r="L347" s="71">
        <v>44473</v>
      </c>
      <c r="M347" s="70" t="s">
        <v>352</v>
      </c>
      <c r="N347" s="70" t="s">
        <v>29</v>
      </c>
      <c r="O347" s="70" t="s">
        <v>29</v>
      </c>
      <c r="P347" s="70" t="s">
        <v>29</v>
      </c>
      <c r="Q347" s="72" t="str">
        <f t="shared" si="18"/>
        <v/>
      </c>
      <c r="R347" s="70" t="s">
        <v>29</v>
      </c>
      <c r="S347" s="70" t="s">
        <v>29</v>
      </c>
      <c r="T347" s="70" t="s">
        <v>29</v>
      </c>
      <c r="U347" s="70" t="s">
        <v>29</v>
      </c>
      <c r="V347" s="70">
        <v>3</v>
      </c>
      <c r="W347" s="70">
        <v>418525</v>
      </c>
      <c r="X347" s="70">
        <v>10</v>
      </c>
      <c r="Y347" s="70">
        <v>12</v>
      </c>
      <c r="Z347" s="73" t="s">
        <v>29</v>
      </c>
      <c r="AA347" s="74">
        <f t="shared" si="19"/>
        <v>0.83333333333333337</v>
      </c>
      <c r="AB347" s="93">
        <f t="shared" si="17"/>
        <v>0</v>
      </c>
      <c r="AC347" s="93">
        <f>IFERROR(Table16[[#This Row],[Quantity Needed for repair]]*Table16[[#This Row],[Evaluated]],"")</f>
        <v>0</v>
      </c>
    </row>
    <row r="348" spans="5:29" x14ac:dyDescent="0.35">
      <c r="E348" s="57">
        <v>3</v>
      </c>
      <c r="F348" s="58" t="s">
        <v>448</v>
      </c>
      <c r="G348" s="58">
        <v>13080018</v>
      </c>
      <c r="H348" s="58" t="s">
        <v>313</v>
      </c>
      <c r="I348" s="58" t="s">
        <v>351</v>
      </c>
      <c r="J348" s="58" t="s">
        <v>29</v>
      </c>
      <c r="K348" s="58">
        <v>882281</v>
      </c>
      <c r="L348" s="59">
        <v>44473</v>
      </c>
      <c r="M348" s="58" t="s">
        <v>352</v>
      </c>
      <c r="N348" s="58" t="s">
        <v>29</v>
      </c>
      <c r="O348" s="58" t="s">
        <v>29</v>
      </c>
      <c r="P348" s="58" t="s">
        <v>29</v>
      </c>
      <c r="Q348" s="60" t="str">
        <f t="shared" si="18"/>
        <v/>
      </c>
      <c r="R348" s="58" t="s">
        <v>29</v>
      </c>
      <c r="S348" s="58" t="s">
        <v>29</v>
      </c>
      <c r="T348" s="58" t="s">
        <v>29</v>
      </c>
      <c r="U348" s="58" t="s">
        <v>29</v>
      </c>
      <c r="V348" s="58">
        <v>1</v>
      </c>
      <c r="W348" s="58">
        <v>1130198</v>
      </c>
      <c r="X348" s="58">
        <v>12</v>
      </c>
      <c r="Y348" s="58">
        <v>33</v>
      </c>
      <c r="Z348" s="61" t="s">
        <v>29</v>
      </c>
      <c r="AA348" s="62">
        <f t="shared" si="19"/>
        <v>0.36363636363636365</v>
      </c>
      <c r="AB348" s="91">
        <f t="shared" si="17"/>
        <v>0</v>
      </c>
      <c r="AC348" s="91">
        <f>IFERROR(Table16[[#This Row],[Quantity Needed for repair]]*Table16[[#This Row],[Evaluated]],"")</f>
        <v>0</v>
      </c>
    </row>
    <row r="349" spans="5:29" x14ac:dyDescent="0.35">
      <c r="E349" s="64">
        <v>3</v>
      </c>
      <c r="F349" s="56" t="s">
        <v>448</v>
      </c>
      <c r="G349" s="56">
        <v>13080018</v>
      </c>
      <c r="H349" s="56" t="s">
        <v>313</v>
      </c>
      <c r="I349" s="56" t="s">
        <v>351</v>
      </c>
      <c r="J349" s="56" t="s">
        <v>29</v>
      </c>
      <c r="K349" s="56">
        <v>882281</v>
      </c>
      <c r="L349" s="65">
        <v>44473</v>
      </c>
      <c r="M349" s="56" t="s">
        <v>352</v>
      </c>
      <c r="N349" s="56" t="s">
        <v>29</v>
      </c>
      <c r="O349" s="56" t="s">
        <v>29</v>
      </c>
      <c r="P349" s="56" t="s">
        <v>29</v>
      </c>
      <c r="Q349" s="66" t="str">
        <f t="shared" si="18"/>
        <v/>
      </c>
      <c r="R349" s="56" t="s">
        <v>29</v>
      </c>
      <c r="S349" s="56" t="s">
        <v>29</v>
      </c>
      <c r="T349" s="56" t="s">
        <v>29</v>
      </c>
      <c r="U349" s="56" t="s">
        <v>29</v>
      </c>
      <c r="V349" s="56">
        <v>2</v>
      </c>
      <c r="W349" s="56">
        <v>1130197</v>
      </c>
      <c r="X349" s="56">
        <v>1</v>
      </c>
      <c r="Y349" s="56">
        <v>23</v>
      </c>
      <c r="Z349" s="67" t="s">
        <v>29</v>
      </c>
      <c r="AA349" s="68">
        <f t="shared" si="19"/>
        <v>4.3478260869565216E-2</v>
      </c>
      <c r="AB349" s="92">
        <f t="shared" si="17"/>
        <v>0</v>
      </c>
      <c r="AC349" s="92">
        <f>IFERROR(Table16[[#This Row],[Quantity Needed for repair]]*Table16[[#This Row],[Evaluated]],"")</f>
        <v>0</v>
      </c>
    </row>
    <row r="350" spans="5:29" ht="15" thickBot="1" x14ac:dyDescent="0.4">
      <c r="E350" s="69">
        <v>3</v>
      </c>
      <c r="F350" s="70" t="s">
        <v>448</v>
      </c>
      <c r="G350" s="70">
        <v>13080018</v>
      </c>
      <c r="H350" s="70" t="s">
        <v>313</v>
      </c>
      <c r="I350" s="70" t="s">
        <v>351</v>
      </c>
      <c r="J350" s="70" t="s">
        <v>29</v>
      </c>
      <c r="K350" s="70">
        <v>882281</v>
      </c>
      <c r="L350" s="71">
        <v>44473</v>
      </c>
      <c r="M350" s="70" t="s">
        <v>352</v>
      </c>
      <c r="N350" s="70" t="s">
        <v>29</v>
      </c>
      <c r="O350" s="70" t="s">
        <v>29</v>
      </c>
      <c r="P350" s="70" t="s">
        <v>29</v>
      </c>
      <c r="Q350" s="72" t="str">
        <f t="shared" si="18"/>
        <v/>
      </c>
      <c r="R350" s="70" t="s">
        <v>29</v>
      </c>
      <c r="S350" s="70" t="s">
        <v>29</v>
      </c>
      <c r="T350" s="70" t="s">
        <v>29</v>
      </c>
      <c r="U350" s="70" t="s">
        <v>29</v>
      </c>
      <c r="V350" s="70">
        <v>3</v>
      </c>
      <c r="W350" s="70">
        <v>418525</v>
      </c>
      <c r="X350" s="70">
        <v>12</v>
      </c>
      <c r="Y350" s="70">
        <v>12</v>
      </c>
      <c r="Z350" s="73" t="s">
        <v>29</v>
      </c>
      <c r="AA350" s="74">
        <f t="shared" si="19"/>
        <v>1</v>
      </c>
      <c r="AB350" s="93">
        <f t="shared" si="17"/>
        <v>0</v>
      </c>
      <c r="AC350" s="93">
        <f>IFERROR(Table16[[#This Row],[Quantity Needed for repair]]*Table16[[#This Row],[Evaluated]],"")</f>
        <v>0</v>
      </c>
    </row>
    <row r="351" spans="5:29" x14ac:dyDescent="0.35">
      <c r="E351" s="57">
        <v>3</v>
      </c>
      <c r="F351" s="58" t="s">
        <v>449</v>
      </c>
      <c r="G351" s="58">
        <v>13080025</v>
      </c>
      <c r="H351" s="58" t="s">
        <v>313</v>
      </c>
      <c r="I351" s="58" t="s">
        <v>351</v>
      </c>
      <c r="J351" s="58" t="s">
        <v>29</v>
      </c>
      <c r="K351" s="58">
        <v>1080537</v>
      </c>
      <c r="L351" s="59">
        <v>44473</v>
      </c>
      <c r="M351" s="58" t="s">
        <v>352</v>
      </c>
      <c r="N351" s="58" t="s">
        <v>29</v>
      </c>
      <c r="O351" s="58" t="s">
        <v>29</v>
      </c>
      <c r="P351" s="58" t="s">
        <v>29</v>
      </c>
      <c r="Q351" s="60" t="str">
        <f t="shared" si="18"/>
        <v/>
      </c>
      <c r="R351" s="58" t="s">
        <v>29</v>
      </c>
      <c r="S351" s="58" t="s">
        <v>29</v>
      </c>
      <c r="T351" s="58" t="s">
        <v>29</v>
      </c>
      <c r="U351" s="58" t="s">
        <v>29</v>
      </c>
      <c r="V351" s="58">
        <v>1</v>
      </c>
      <c r="W351" s="58">
        <v>1130198</v>
      </c>
      <c r="X351" s="58">
        <v>2</v>
      </c>
      <c r="Y351" s="58">
        <v>33</v>
      </c>
      <c r="Z351" s="61" t="s">
        <v>29</v>
      </c>
      <c r="AA351" s="62">
        <f t="shared" si="19"/>
        <v>6.0606060606060608E-2</v>
      </c>
      <c r="AB351" s="91">
        <f t="shared" si="17"/>
        <v>0</v>
      </c>
      <c r="AC351" s="91">
        <f>IFERROR(Table16[[#This Row],[Quantity Needed for repair]]*Table16[[#This Row],[Evaluated]],"")</f>
        <v>0</v>
      </c>
    </row>
    <row r="352" spans="5:29" x14ac:dyDescent="0.35">
      <c r="E352" s="64">
        <v>3</v>
      </c>
      <c r="F352" s="56" t="s">
        <v>449</v>
      </c>
      <c r="G352" s="56">
        <v>13080025</v>
      </c>
      <c r="H352" s="56" t="s">
        <v>313</v>
      </c>
      <c r="I352" s="56" t="s">
        <v>351</v>
      </c>
      <c r="J352" s="56" t="s">
        <v>29</v>
      </c>
      <c r="K352" s="56">
        <v>1080537</v>
      </c>
      <c r="L352" s="65">
        <v>44473</v>
      </c>
      <c r="M352" s="56" t="s">
        <v>352</v>
      </c>
      <c r="N352" s="56" t="s">
        <v>29</v>
      </c>
      <c r="O352" s="56" t="s">
        <v>29</v>
      </c>
      <c r="P352" s="56" t="s">
        <v>29</v>
      </c>
      <c r="Q352" s="66" t="str">
        <f t="shared" si="18"/>
        <v/>
      </c>
      <c r="R352" s="56" t="s">
        <v>29</v>
      </c>
      <c r="S352" s="56" t="s">
        <v>29</v>
      </c>
      <c r="T352" s="56" t="s">
        <v>29</v>
      </c>
      <c r="U352" s="56" t="s">
        <v>29</v>
      </c>
      <c r="V352" s="56">
        <v>2</v>
      </c>
      <c r="W352" s="56">
        <v>647435</v>
      </c>
      <c r="X352" s="56">
        <v>3</v>
      </c>
      <c r="Y352" s="56">
        <v>23</v>
      </c>
      <c r="Z352" s="67" t="s">
        <v>29</v>
      </c>
      <c r="AA352" s="68">
        <f t="shared" si="19"/>
        <v>0.13043478260869565</v>
      </c>
      <c r="AB352" s="92">
        <f t="shared" si="17"/>
        <v>0</v>
      </c>
      <c r="AC352" s="92">
        <f>IFERROR(Table16[[#This Row],[Quantity Needed for repair]]*Table16[[#This Row],[Evaluated]],"")</f>
        <v>0</v>
      </c>
    </row>
    <row r="353" spans="5:29" ht="15" thickBot="1" x14ac:dyDescent="0.4">
      <c r="E353" s="69">
        <v>3</v>
      </c>
      <c r="F353" s="70" t="s">
        <v>449</v>
      </c>
      <c r="G353" s="70">
        <v>13080025</v>
      </c>
      <c r="H353" s="70" t="s">
        <v>313</v>
      </c>
      <c r="I353" s="70" t="s">
        <v>351</v>
      </c>
      <c r="J353" s="70" t="s">
        <v>29</v>
      </c>
      <c r="K353" s="70">
        <v>1080537</v>
      </c>
      <c r="L353" s="71">
        <v>44473</v>
      </c>
      <c r="M353" s="70" t="s">
        <v>352</v>
      </c>
      <c r="N353" s="70" t="s">
        <v>29</v>
      </c>
      <c r="O353" s="70" t="s">
        <v>29</v>
      </c>
      <c r="P353" s="70" t="s">
        <v>29</v>
      </c>
      <c r="Q353" s="72" t="str">
        <f t="shared" si="18"/>
        <v/>
      </c>
      <c r="R353" s="70" t="s">
        <v>29</v>
      </c>
      <c r="S353" s="70" t="s">
        <v>29</v>
      </c>
      <c r="T353" s="70" t="s">
        <v>29</v>
      </c>
      <c r="U353" s="70" t="s">
        <v>29</v>
      </c>
      <c r="V353" s="70">
        <v>3</v>
      </c>
      <c r="W353" s="70">
        <v>418525</v>
      </c>
      <c r="X353" s="70">
        <v>6</v>
      </c>
      <c r="Y353" s="70">
        <v>6</v>
      </c>
      <c r="Z353" s="73" t="s">
        <v>29</v>
      </c>
      <c r="AA353" s="74">
        <f t="shared" si="19"/>
        <v>1</v>
      </c>
      <c r="AB353" s="93">
        <f t="shared" si="17"/>
        <v>0</v>
      </c>
      <c r="AC353" s="93">
        <f>IFERROR(Table16[[#This Row],[Quantity Needed for repair]]*Table16[[#This Row],[Evaluated]],"")</f>
        <v>0</v>
      </c>
    </row>
    <row r="354" spans="5:29" x14ac:dyDescent="0.35">
      <c r="E354" s="57">
        <v>3</v>
      </c>
      <c r="F354" s="58" t="s">
        <v>450</v>
      </c>
      <c r="G354" s="58">
        <v>13094650</v>
      </c>
      <c r="H354" s="58" t="s">
        <v>313</v>
      </c>
      <c r="I354" s="58" t="s">
        <v>351</v>
      </c>
      <c r="J354" s="58" t="s">
        <v>29</v>
      </c>
      <c r="K354" s="58">
        <v>882281</v>
      </c>
      <c r="L354" s="59">
        <v>44473</v>
      </c>
      <c r="M354" s="58" t="s">
        <v>352</v>
      </c>
      <c r="N354" s="58" t="s">
        <v>29</v>
      </c>
      <c r="O354" s="58" t="s">
        <v>29</v>
      </c>
      <c r="P354" s="58" t="s">
        <v>29</v>
      </c>
      <c r="Q354" s="60" t="str">
        <f t="shared" si="18"/>
        <v/>
      </c>
      <c r="R354" s="58" t="s">
        <v>29</v>
      </c>
      <c r="S354" s="58" t="s">
        <v>29</v>
      </c>
      <c r="T354" s="58" t="s">
        <v>29</v>
      </c>
      <c r="U354" s="58" t="s">
        <v>29</v>
      </c>
      <c r="V354" s="58">
        <v>1</v>
      </c>
      <c r="W354" s="58">
        <v>1130198</v>
      </c>
      <c r="X354" s="58">
        <v>8</v>
      </c>
      <c r="Y354" s="58">
        <v>33</v>
      </c>
      <c r="Z354" s="61" t="s">
        <v>29</v>
      </c>
      <c r="AA354" s="62">
        <f t="shared" si="19"/>
        <v>0.24242424242424243</v>
      </c>
      <c r="AB354" s="91">
        <f t="shared" si="17"/>
        <v>0</v>
      </c>
      <c r="AC354" s="91">
        <f>IFERROR(Table16[[#This Row],[Quantity Needed for repair]]*Table16[[#This Row],[Evaluated]],"")</f>
        <v>0</v>
      </c>
    </row>
    <row r="355" spans="5:29" x14ac:dyDescent="0.35">
      <c r="E355" s="64">
        <v>3</v>
      </c>
      <c r="F355" s="56" t="s">
        <v>450</v>
      </c>
      <c r="G355" s="56">
        <v>13094650</v>
      </c>
      <c r="H355" s="56" t="s">
        <v>313</v>
      </c>
      <c r="I355" s="56" t="s">
        <v>351</v>
      </c>
      <c r="J355" s="56" t="s">
        <v>29</v>
      </c>
      <c r="K355" s="56">
        <v>882281</v>
      </c>
      <c r="L355" s="65">
        <v>44473</v>
      </c>
      <c r="M355" s="56" t="s">
        <v>352</v>
      </c>
      <c r="N355" s="56" t="s">
        <v>29</v>
      </c>
      <c r="O355" s="56" t="s">
        <v>29</v>
      </c>
      <c r="P355" s="56" t="s">
        <v>29</v>
      </c>
      <c r="Q355" s="66" t="str">
        <f t="shared" si="18"/>
        <v/>
      </c>
      <c r="R355" s="56" t="s">
        <v>29</v>
      </c>
      <c r="S355" s="56" t="s">
        <v>29</v>
      </c>
      <c r="T355" s="56" t="s">
        <v>29</v>
      </c>
      <c r="U355" s="56" t="s">
        <v>29</v>
      </c>
      <c r="V355" s="56">
        <v>2</v>
      </c>
      <c r="W355" s="56">
        <v>1130197</v>
      </c>
      <c r="X355" s="56">
        <v>1</v>
      </c>
      <c r="Y355" s="56">
        <v>23</v>
      </c>
      <c r="Z355" s="67" t="s">
        <v>29</v>
      </c>
      <c r="AA355" s="68">
        <f t="shared" si="19"/>
        <v>4.3478260869565216E-2</v>
      </c>
      <c r="AB355" s="92">
        <f t="shared" si="17"/>
        <v>0</v>
      </c>
      <c r="AC355" s="92">
        <f>IFERROR(Table16[[#This Row],[Quantity Needed for repair]]*Table16[[#This Row],[Evaluated]],"")</f>
        <v>0</v>
      </c>
    </row>
    <row r="356" spans="5:29" ht="15" thickBot="1" x14ac:dyDescent="0.4">
      <c r="E356" s="69">
        <v>3</v>
      </c>
      <c r="F356" s="70" t="s">
        <v>450</v>
      </c>
      <c r="G356" s="70">
        <v>13094650</v>
      </c>
      <c r="H356" s="70" t="s">
        <v>313</v>
      </c>
      <c r="I356" s="70" t="s">
        <v>351</v>
      </c>
      <c r="J356" s="70" t="s">
        <v>29</v>
      </c>
      <c r="K356" s="70">
        <v>882281</v>
      </c>
      <c r="L356" s="71">
        <v>44473</v>
      </c>
      <c r="M356" s="70" t="s">
        <v>352</v>
      </c>
      <c r="N356" s="70" t="s">
        <v>29</v>
      </c>
      <c r="O356" s="70" t="s">
        <v>29</v>
      </c>
      <c r="P356" s="70" t="s">
        <v>29</v>
      </c>
      <c r="Q356" s="72" t="str">
        <f t="shared" si="18"/>
        <v/>
      </c>
      <c r="R356" s="70" t="s">
        <v>29</v>
      </c>
      <c r="S356" s="70" t="s">
        <v>29</v>
      </c>
      <c r="T356" s="70" t="s">
        <v>29</v>
      </c>
      <c r="U356" s="70" t="s">
        <v>29</v>
      </c>
      <c r="V356" s="70">
        <v>3</v>
      </c>
      <c r="W356" s="70">
        <v>418525</v>
      </c>
      <c r="X356" s="70">
        <v>12</v>
      </c>
      <c r="Y356" s="70">
        <v>12</v>
      </c>
      <c r="Z356" s="73" t="s">
        <v>29</v>
      </c>
      <c r="AA356" s="74">
        <f t="shared" si="19"/>
        <v>1</v>
      </c>
      <c r="AB356" s="93">
        <f t="shared" si="17"/>
        <v>0</v>
      </c>
      <c r="AC356" s="93">
        <f>IFERROR(Table16[[#This Row],[Quantity Needed for repair]]*Table16[[#This Row],[Evaluated]],"")</f>
        <v>0</v>
      </c>
    </row>
    <row r="357" spans="5:29" x14ac:dyDescent="0.35">
      <c r="E357" s="57">
        <v>3</v>
      </c>
      <c r="F357" s="58" t="s">
        <v>451</v>
      </c>
      <c r="G357" s="58">
        <v>12998447</v>
      </c>
      <c r="H357" s="58" t="s">
        <v>313</v>
      </c>
      <c r="I357" s="58" t="s">
        <v>351</v>
      </c>
      <c r="J357" s="58" t="s">
        <v>29</v>
      </c>
      <c r="K357" s="58">
        <v>1005293</v>
      </c>
      <c r="L357" s="59">
        <v>44473</v>
      </c>
      <c r="M357" s="58" t="s">
        <v>352</v>
      </c>
      <c r="N357" s="58" t="s">
        <v>29</v>
      </c>
      <c r="O357" s="58" t="s">
        <v>29</v>
      </c>
      <c r="P357" s="58" t="s">
        <v>29</v>
      </c>
      <c r="Q357" s="60" t="str">
        <f t="shared" si="18"/>
        <v/>
      </c>
      <c r="R357" s="58" t="s">
        <v>29</v>
      </c>
      <c r="S357" s="58" t="s">
        <v>29</v>
      </c>
      <c r="T357" s="58" t="s">
        <v>29</v>
      </c>
      <c r="U357" s="58" t="s">
        <v>29</v>
      </c>
      <c r="V357" s="58">
        <v>1</v>
      </c>
      <c r="W357" s="58">
        <v>1130198</v>
      </c>
      <c r="X357" s="58">
        <v>21</v>
      </c>
      <c r="Y357" s="58">
        <v>33</v>
      </c>
      <c r="Z357" s="61" t="s">
        <v>29</v>
      </c>
      <c r="AA357" s="62">
        <f t="shared" si="19"/>
        <v>0.63636363636363635</v>
      </c>
      <c r="AB357" s="91">
        <f t="shared" si="17"/>
        <v>0</v>
      </c>
      <c r="AC357" s="91">
        <f>IFERROR(Table16[[#This Row],[Quantity Needed for repair]]*Table16[[#This Row],[Evaluated]],"")</f>
        <v>0</v>
      </c>
    </row>
    <row r="358" spans="5:29" x14ac:dyDescent="0.35">
      <c r="E358" s="64">
        <v>3</v>
      </c>
      <c r="F358" s="56" t="s">
        <v>451</v>
      </c>
      <c r="G358" s="56">
        <v>12998447</v>
      </c>
      <c r="H358" s="56" t="s">
        <v>313</v>
      </c>
      <c r="I358" s="56" t="s">
        <v>351</v>
      </c>
      <c r="J358" s="56" t="s">
        <v>29</v>
      </c>
      <c r="K358" s="56">
        <v>1005293</v>
      </c>
      <c r="L358" s="65">
        <v>44473</v>
      </c>
      <c r="M358" s="56" t="s">
        <v>352</v>
      </c>
      <c r="N358" s="56" t="s">
        <v>29</v>
      </c>
      <c r="O358" s="56" t="s">
        <v>29</v>
      </c>
      <c r="P358" s="56" t="s">
        <v>29</v>
      </c>
      <c r="Q358" s="66" t="str">
        <f t="shared" si="18"/>
        <v/>
      </c>
      <c r="R358" s="56" t="s">
        <v>29</v>
      </c>
      <c r="S358" s="56" t="s">
        <v>29</v>
      </c>
      <c r="T358" s="56" t="s">
        <v>29</v>
      </c>
      <c r="U358" s="56" t="s">
        <v>29</v>
      </c>
      <c r="V358" s="56">
        <v>2</v>
      </c>
      <c r="W358" s="56">
        <v>647435</v>
      </c>
      <c r="X358" s="56">
        <v>15</v>
      </c>
      <c r="Y358" s="56">
        <v>23</v>
      </c>
      <c r="Z358" s="67" t="s">
        <v>29</v>
      </c>
      <c r="AA358" s="68">
        <f t="shared" si="19"/>
        <v>0.65217391304347827</v>
      </c>
      <c r="AB358" s="92">
        <f t="shared" si="17"/>
        <v>0</v>
      </c>
      <c r="AC358" s="92">
        <f>IFERROR(Table16[[#This Row],[Quantity Needed for repair]]*Table16[[#This Row],[Evaluated]],"")</f>
        <v>0</v>
      </c>
    </row>
    <row r="359" spans="5:29" ht="15" thickBot="1" x14ac:dyDescent="0.4">
      <c r="E359" s="69">
        <v>3</v>
      </c>
      <c r="F359" s="70" t="s">
        <v>451</v>
      </c>
      <c r="G359" s="70">
        <v>12998447</v>
      </c>
      <c r="H359" s="70" t="s">
        <v>313</v>
      </c>
      <c r="I359" s="70" t="s">
        <v>351</v>
      </c>
      <c r="J359" s="70" t="s">
        <v>29</v>
      </c>
      <c r="K359" s="70">
        <v>1005293</v>
      </c>
      <c r="L359" s="71">
        <v>44473</v>
      </c>
      <c r="M359" s="70" t="s">
        <v>352</v>
      </c>
      <c r="N359" s="70" t="s">
        <v>29</v>
      </c>
      <c r="O359" s="70" t="s">
        <v>29</v>
      </c>
      <c r="P359" s="70" t="s">
        <v>29</v>
      </c>
      <c r="Q359" s="72" t="str">
        <f t="shared" si="18"/>
        <v/>
      </c>
      <c r="R359" s="70" t="s">
        <v>29</v>
      </c>
      <c r="S359" s="70" t="s">
        <v>29</v>
      </c>
      <c r="T359" s="70" t="s">
        <v>29</v>
      </c>
      <c r="U359" s="70" t="s">
        <v>29</v>
      </c>
      <c r="V359" s="70">
        <v>3</v>
      </c>
      <c r="W359" s="70">
        <v>418525</v>
      </c>
      <c r="X359" s="70">
        <v>6</v>
      </c>
      <c r="Y359" s="70">
        <v>6</v>
      </c>
      <c r="Z359" s="73" t="s">
        <v>29</v>
      </c>
      <c r="AA359" s="74">
        <f t="shared" si="19"/>
        <v>1</v>
      </c>
      <c r="AB359" s="93">
        <f t="shared" si="17"/>
        <v>0</v>
      </c>
      <c r="AC359" s="93">
        <f>IFERROR(Table16[[#This Row],[Quantity Needed for repair]]*Table16[[#This Row],[Evaluated]],"")</f>
        <v>0</v>
      </c>
    </row>
    <row r="360" spans="5:29" x14ac:dyDescent="0.35">
      <c r="E360" s="57">
        <v>3</v>
      </c>
      <c r="F360" s="58" t="s">
        <v>452</v>
      </c>
      <c r="G360" s="58">
        <v>13030682</v>
      </c>
      <c r="H360" s="58" t="s">
        <v>313</v>
      </c>
      <c r="I360" s="58" t="s">
        <v>465</v>
      </c>
      <c r="J360" s="58" t="s">
        <v>29</v>
      </c>
      <c r="K360" s="58">
        <v>1056029</v>
      </c>
      <c r="L360" s="59">
        <v>44473</v>
      </c>
      <c r="M360" s="58" t="s">
        <v>352</v>
      </c>
      <c r="N360" s="58" t="s">
        <v>29</v>
      </c>
      <c r="O360" s="58" t="s">
        <v>29</v>
      </c>
      <c r="P360" s="58" t="s">
        <v>29</v>
      </c>
      <c r="Q360" s="60" t="str">
        <f t="shared" si="18"/>
        <v/>
      </c>
      <c r="R360" s="58" t="s">
        <v>29</v>
      </c>
      <c r="S360" s="58" t="s">
        <v>29</v>
      </c>
      <c r="T360" s="58" t="s">
        <v>29</v>
      </c>
      <c r="U360" s="58" t="s">
        <v>29</v>
      </c>
      <c r="V360" s="58">
        <v>1</v>
      </c>
      <c r="W360" s="58">
        <v>1039034</v>
      </c>
      <c r="X360" s="58">
        <v>4</v>
      </c>
      <c r="Y360" s="58">
        <v>32</v>
      </c>
      <c r="Z360" s="61" t="s">
        <v>29</v>
      </c>
      <c r="AA360" s="62">
        <f t="shared" si="19"/>
        <v>0.125</v>
      </c>
      <c r="AB360" s="91">
        <f t="shared" si="17"/>
        <v>0</v>
      </c>
      <c r="AC360" s="91">
        <f>IFERROR(Table16[[#This Row],[Quantity Needed for repair]]*Table16[[#This Row],[Evaluated]],"")</f>
        <v>0</v>
      </c>
    </row>
    <row r="361" spans="5:29" x14ac:dyDescent="0.35">
      <c r="E361" s="64">
        <v>3</v>
      </c>
      <c r="F361" s="56" t="s">
        <v>452</v>
      </c>
      <c r="G361" s="56">
        <v>13030682</v>
      </c>
      <c r="H361" s="56" t="s">
        <v>313</v>
      </c>
      <c r="I361" s="56" t="s">
        <v>465</v>
      </c>
      <c r="J361" s="56" t="s">
        <v>29</v>
      </c>
      <c r="K361" s="56">
        <v>1056029</v>
      </c>
      <c r="L361" s="65">
        <v>44473</v>
      </c>
      <c r="M361" s="56" t="s">
        <v>352</v>
      </c>
      <c r="N361" s="56" t="s">
        <v>29</v>
      </c>
      <c r="O361" s="56" t="s">
        <v>29</v>
      </c>
      <c r="P361" s="56" t="s">
        <v>29</v>
      </c>
      <c r="Q361" s="66" t="str">
        <f t="shared" si="18"/>
        <v/>
      </c>
      <c r="R361" s="56" t="s">
        <v>29</v>
      </c>
      <c r="S361" s="56" t="s">
        <v>29</v>
      </c>
      <c r="T361" s="56" t="s">
        <v>29</v>
      </c>
      <c r="U361" s="56" t="s">
        <v>29</v>
      </c>
      <c r="V361" s="56">
        <v>2</v>
      </c>
      <c r="W361" s="56">
        <v>1039058</v>
      </c>
      <c r="X361" s="56">
        <v>3</v>
      </c>
      <c r="Y361" s="56">
        <v>15</v>
      </c>
      <c r="Z361" s="67" t="s">
        <v>29</v>
      </c>
      <c r="AA361" s="68">
        <f t="shared" si="19"/>
        <v>0.2</v>
      </c>
      <c r="AB361" s="92">
        <f t="shared" si="17"/>
        <v>0</v>
      </c>
      <c r="AC361" s="92">
        <f>IFERROR(Table16[[#This Row],[Quantity Needed for repair]]*Table16[[#This Row],[Evaluated]],"")</f>
        <v>0</v>
      </c>
    </row>
    <row r="362" spans="5:29" x14ac:dyDescent="0.35">
      <c r="E362" s="64">
        <v>3</v>
      </c>
      <c r="F362" s="56" t="s">
        <v>452</v>
      </c>
      <c r="G362" s="56">
        <v>13030682</v>
      </c>
      <c r="H362" s="56" t="s">
        <v>313</v>
      </c>
      <c r="I362" s="56" t="s">
        <v>465</v>
      </c>
      <c r="J362" s="56" t="s">
        <v>29</v>
      </c>
      <c r="K362" s="56">
        <v>1056029</v>
      </c>
      <c r="L362" s="65">
        <v>44473</v>
      </c>
      <c r="M362" s="56" t="s">
        <v>352</v>
      </c>
      <c r="N362" s="56" t="s">
        <v>29</v>
      </c>
      <c r="O362" s="56" t="s">
        <v>29</v>
      </c>
      <c r="P362" s="56" t="s">
        <v>29</v>
      </c>
      <c r="Q362" s="66" t="str">
        <f t="shared" si="18"/>
        <v/>
      </c>
      <c r="R362" s="56" t="s">
        <v>29</v>
      </c>
      <c r="S362" s="56" t="s">
        <v>29</v>
      </c>
      <c r="T362" s="56" t="s">
        <v>29</v>
      </c>
      <c r="U362" s="56" t="s">
        <v>29</v>
      </c>
      <c r="V362" s="56">
        <v>3</v>
      </c>
      <c r="W362" s="56">
        <v>1039033</v>
      </c>
      <c r="X362" s="56" t="s">
        <v>29</v>
      </c>
      <c r="Y362" s="56">
        <v>28</v>
      </c>
      <c r="Z362" s="67" t="s">
        <v>29</v>
      </c>
      <c r="AA362" s="68" t="str">
        <f t="shared" si="19"/>
        <v/>
      </c>
      <c r="AB362" s="92">
        <f t="shared" si="17"/>
        <v>0</v>
      </c>
      <c r="AC362" s="92" t="str">
        <f>IFERROR(Table16[[#This Row],[Quantity Needed for repair]]*Table16[[#This Row],[Evaluated]],"")</f>
        <v/>
      </c>
    </row>
    <row r="363" spans="5:29" ht="15" thickBot="1" x14ac:dyDescent="0.4">
      <c r="E363" s="69">
        <v>3</v>
      </c>
      <c r="F363" s="70" t="s">
        <v>452</v>
      </c>
      <c r="G363" s="70">
        <v>13030682</v>
      </c>
      <c r="H363" s="70" t="s">
        <v>313</v>
      </c>
      <c r="I363" s="70" t="s">
        <v>465</v>
      </c>
      <c r="J363" s="70" t="s">
        <v>29</v>
      </c>
      <c r="K363" s="70">
        <v>1056029</v>
      </c>
      <c r="L363" s="71">
        <v>44473</v>
      </c>
      <c r="M363" s="70" t="s">
        <v>352</v>
      </c>
      <c r="N363" s="70" t="s">
        <v>29</v>
      </c>
      <c r="O363" s="70" t="s">
        <v>29</v>
      </c>
      <c r="P363" s="70" t="s">
        <v>29</v>
      </c>
      <c r="Q363" s="72" t="str">
        <f t="shared" si="18"/>
        <v/>
      </c>
      <c r="R363" s="70" t="s">
        <v>29</v>
      </c>
      <c r="S363" s="70" t="s">
        <v>29</v>
      </c>
      <c r="T363" s="70" t="s">
        <v>29</v>
      </c>
      <c r="U363" s="70" t="s">
        <v>29</v>
      </c>
      <c r="V363" s="70">
        <v>4</v>
      </c>
      <c r="W363" s="70">
        <v>418525</v>
      </c>
      <c r="X363" s="70">
        <v>7</v>
      </c>
      <c r="Y363" s="70">
        <v>7</v>
      </c>
      <c r="Z363" s="73" t="s">
        <v>29</v>
      </c>
      <c r="AA363" s="74">
        <f t="shared" si="19"/>
        <v>1</v>
      </c>
      <c r="AB363" s="93">
        <f t="shared" si="17"/>
        <v>0</v>
      </c>
      <c r="AC363" s="93">
        <f>IFERROR(Table16[[#This Row],[Quantity Needed for repair]]*Table16[[#This Row],[Evaluated]],"")</f>
        <v>0</v>
      </c>
    </row>
    <row r="364" spans="5:29" x14ac:dyDescent="0.35">
      <c r="E364" s="57">
        <v>3</v>
      </c>
      <c r="F364" s="58" t="s">
        <v>453</v>
      </c>
      <c r="G364" s="58">
        <v>13062479</v>
      </c>
      <c r="H364" s="58" t="s">
        <v>313</v>
      </c>
      <c r="I364" s="58" t="s">
        <v>351</v>
      </c>
      <c r="J364" s="58" t="s">
        <v>29</v>
      </c>
      <c r="K364" s="58">
        <v>1080537</v>
      </c>
      <c r="L364" s="59">
        <v>44473</v>
      </c>
      <c r="M364" s="58" t="s">
        <v>352</v>
      </c>
      <c r="N364" s="58" t="s">
        <v>29</v>
      </c>
      <c r="O364" s="58" t="s">
        <v>29</v>
      </c>
      <c r="P364" s="58" t="s">
        <v>29</v>
      </c>
      <c r="Q364" s="60" t="str">
        <f t="shared" si="18"/>
        <v/>
      </c>
      <c r="R364" s="58" t="s">
        <v>29</v>
      </c>
      <c r="S364" s="58" t="s">
        <v>29</v>
      </c>
      <c r="T364" s="58" t="s">
        <v>29</v>
      </c>
      <c r="U364" s="58" t="s">
        <v>29</v>
      </c>
      <c r="V364" s="58">
        <v>1</v>
      </c>
      <c r="W364" s="58">
        <v>1130198</v>
      </c>
      <c r="X364" s="58">
        <v>19</v>
      </c>
      <c r="Y364" s="58">
        <v>33</v>
      </c>
      <c r="Z364" s="61" t="s">
        <v>29</v>
      </c>
      <c r="AA364" s="62">
        <f t="shared" si="19"/>
        <v>0.5757575757575758</v>
      </c>
      <c r="AB364" s="91">
        <f t="shared" si="17"/>
        <v>0</v>
      </c>
      <c r="AC364" s="91">
        <f>IFERROR(Table16[[#This Row],[Quantity Needed for repair]]*Table16[[#This Row],[Evaluated]],"")</f>
        <v>0</v>
      </c>
    </row>
    <row r="365" spans="5:29" x14ac:dyDescent="0.35">
      <c r="E365" s="64">
        <v>3</v>
      </c>
      <c r="F365" s="56" t="s">
        <v>453</v>
      </c>
      <c r="G365" s="56">
        <v>13062479</v>
      </c>
      <c r="H365" s="56" t="s">
        <v>313</v>
      </c>
      <c r="I365" s="56" t="s">
        <v>351</v>
      </c>
      <c r="J365" s="56" t="s">
        <v>29</v>
      </c>
      <c r="K365" s="56">
        <v>1080537</v>
      </c>
      <c r="L365" s="65">
        <v>44473</v>
      </c>
      <c r="M365" s="56" t="s">
        <v>352</v>
      </c>
      <c r="N365" s="56" t="s">
        <v>29</v>
      </c>
      <c r="O365" s="56" t="s">
        <v>29</v>
      </c>
      <c r="P365" s="56" t="s">
        <v>29</v>
      </c>
      <c r="Q365" s="66" t="str">
        <f t="shared" si="18"/>
        <v/>
      </c>
      <c r="R365" s="56" t="s">
        <v>29</v>
      </c>
      <c r="S365" s="56" t="s">
        <v>29</v>
      </c>
      <c r="T365" s="56" t="s">
        <v>29</v>
      </c>
      <c r="U365" s="56" t="s">
        <v>29</v>
      </c>
      <c r="V365" s="56">
        <v>2</v>
      </c>
      <c r="W365" s="56">
        <v>647435</v>
      </c>
      <c r="X365" s="56">
        <v>11</v>
      </c>
      <c r="Y365" s="56">
        <v>23</v>
      </c>
      <c r="Z365" s="67" t="s">
        <v>29</v>
      </c>
      <c r="AA365" s="68">
        <f t="shared" si="19"/>
        <v>0.47826086956521741</v>
      </c>
      <c r="AB365" s="92">
        <f t="shared" si="17"/>
        <v>0</v>
      </c>
      <c r="AC365" s="92">
        <f>IFERROR(Table16[[#This Row],[Quantity Needed for repair]]*Table16[[#This Row],[Evaluated]],"")</f>
        <v>0</v>
      </c>
    </row>
    <row r="366" spans="5:29" ht="15" thickBot="1" x14ac:dyDescent="0.4">
      <c r="E366" s="69">
        <v>3</v>
      </c>
      <c r="F366" s="70" t="s">
        <v>453</v>
      </c>
      <c r="G366" s="70">
        <v>13062479</v>
      </c>
      <c r="H366" s="70" t="s">
        <v>313</v>
      </c>
      <c r="I366" s="70" t="s">
        <v>351</v>
      </c>
      <c r="J366" s="70" t="s">
        <v>29</v>
      </c>
      <c r="K366" s="70">
        <v>1080537</v>
      </c>
      <c r="L366" s="71">
        <v>44473</v>
      </c>
      <c r="M366" s="70" t="s">
        <v>352</v>
      </c>
      <c r="N366" s="70" t="s">
        <v>29</v>
      </c>
      <c r="O366" s="70" t="s">
        <v>29</v>
      </c>
      <c r="P366" s="70" t="s">
        <v>29</v>
      </c>
      <c r="Q366" s="72" t="str">
        <f t="shared" si="18"/>
        <v/>
      </c>
      <c r="R366" s="70" t="s">
        <v>29</v>
      </c>
      <c r="S366" s="70" t="s">
        <v>29</v>
      </c>
      <c r="T366" s="70" t="s">
        <v>29</v>
      </c>
      <c r="U366" s="70" t="s">
        <v>29</v>
      </c>
      <c r="V366" s="70">
        <v>3</v>
      </c>
      <c r="W366" s="70">
        <v>418525</v>
      </c>
      <c r="X366" s="70">
        <v>6</v>
      </c>
      <c r="Y366" s="70">
        <v>6</v>
      </c>
      <c r="Z366" s="73" t="s">
        <v>29</v>
      </c>
      <c r="AA366" s="74">
        <f t="shared" si="19"/>
        <v>1</v>
      </c>
      <c r="AB366" s="93">
        <f t="shared" si="17"/>
        <v>0</v>
      </c>
      <c r="AC366" s="93">
        <f>IFERROR(Table16[[#This Row],[Quantity Needed for repair]]*Table16[[#This Row],[Evaluated]],"")</f>
        <v>0</v>
      </c>
    </row>
    <row r="367" spans="5:29" x14ac:dyDescent="0.35">
      <c r="E367" s="57">
        <v>3</v>
      </c>
      <c r="F367" s="58" t="s">
        <v>454</v>
      </c>
      <c r="G367" s="58">
        <v>13080017</v>
      </c>
      <c r="H367" s="58" t="s">
        <v>313</v>
      </c>
      <c r="I367" s="58" t="s">
        <v>351</v>
      </c>
      <c r="J367" s="58" t="s">
        <v>29</v>
      </c>
      <c r="K367" s="58">
        <v>882281</v>
      </c>
      <c r="L367" s="59">
        <v>44473</v>
      </c>
      <c r="M367" s="58" t="s">
        <v>352</v>
      </c>
      <c r="N367" s="58" t="s">
        <v>29</v>
      </c>
      <c r="O367" s="58" t="s">
        <v>29</v>
      </c>
      <c r="P367" s="58" t="s">
        <v>29</v>
      </c>
      <c r="Q367" s="60" t="str">
        <f t="shared" si="18"/>
        <v/>
      </c>
      <c r="R367" s="58" t="s">
        <v>29</v>
      </c>
      <c r="S367" s="58" t="s">
        <v>29</v>
      </c>
      <c r="T367" s="58" t="s">
        <v>29</v>
      </c>
      <c r="U367" s="58" t="s">
        <v>29</v>
      </c>
      <c r="V367" s="58">
        <v>1</v>
      </c>
      <c r="W367" s="58">
        <v>1130198</v>
      </c>
      <c r="X367" s="58">
        <v>13</v>
      </c>
      <c r="Y367" s="58">
        <v>33</v>
      </c>
      <c r="Z367" s="61" t="s">
        <v>29</v>
      </c>
      <c r="AA367" s="62">
        <f t="shared" si="19"/>
        <v>0.39393939393939392</v>
      </c>
      <c r="AB367" s="91">
        <f t="shared" si="17"/>
        <v>0</v>
      </c>
      <c r="AC367" s="91">
        <f>IFERROR(Table16[[#This Row],[Quantity Needed for repair]]*Table16[[#This Row],[Evaluated]],"")</f>
        <v>0</v>
      </c>
    </row>
    <row r="368" spans="5:29" x14ac:dyDescent="0.35">
      <c r="E368" s="64">
        <v>3</v>
      </c>
      <c r="F368" s="56" t="s">
        <v>454</v>
      </c>
      <c r="G368" s="56">
        <v>13080017</v>
      </c>
      <c r="H368" s="56" t="s">
        <v>313</v>
      </c>
      <c r="I368" s="56" t="s">
        <v>351</v>
      </c>
      <c r="J368" s="56" t="s">
        <v>29</v>
      </c>
      <c r="K368" s="56">
        <v>882281</v>
      </c>
      <c r="L368" s="65">
        <v>44473</v>
      </c>
      <c r="M368" s="56" t="s">
        <v>352</v>
      </c>
      <c r="N368" s="56" t="s">
        <v>29</v>
      </c>
      <c r="O368" s="56" t="s">
        <v>29</v>
      </c>
      <c r="P368" s="56" t="s">
        <v>29</v>
      </c>
      <c r="Q368" s="66" t="str">
        <f t="shared" si="18"/>
        <v/>
      </c>
      <c r="R368" s="56" t="s">
        <v>29</v>
      </c>
      <c r="S368" s="56" t="s">
        <v>29</v>
      </c>
      <c r="T368" s="56" t="s">
        <v>29</v>
      </c>
      <c r="U368" s="56" t="s">
        <v>29</v>
      </c>
      <c r="V368" s="56">
        <v>2</v>
      </c>
      <c r="W368" s="56">
        <v>1130197</v>
      </c>
      <c r="X368" s="56" t="s">
        <v>29</v>
      </c>
      <c r="Y368" s="56">
        <v>23</v>
      </c>
      <c r="Z368" s="67" t="s">
        <v>29</v>
      </c>
      <c r="AA368" s="68" t="str">
        <f t="shared" si="19"/>
        <v/>
      </c>
      <c r="AB368" s="92">
        <f t="shared" si="17"/>
        <v>0</v>
      </c>
      <c r="AC368" s="92" t="str">
        <f>IFERROR(Table16[[#This Row],[Quantity Needed for repair]]*Table16[[#This Row],[Evaluated]],"")</f>
        <v/>
      </c>
    </row>
    <row r="369" spans="5:29" ht="15" thickBot="1" x14ac:dyDescent="0.4">
      <c r="E369" s="69">
        <v>3</v>
      </c>
      <c r="F369" s="70" t="s">
        <v>454</v>
      </c>
      <c r="G369" s="70">
        <v>13080017</v>
      </c>
      <c r="H369" s="70" t="s">
        <v>313</v>
      </c>
      <c r="I369" s="70" t="s">
        <v>351</v>
      </c>
      <c r="J369" s="70" t="s">
        <v>29</v>
      </c>
      <c r="K369" s="70">
        <v>882281</v>
      </c>
      <c r="L369" s="71">
        <v>44473</v>
      </c>
      <c r="M369" s="70" t="s">
        <v>352</v>
      </c>
      <c r="N369" s="70" t="s">
        <v>29</v>
      </c>
      <c r="O369" s="70" t="s">
        <v>29</v>
      </c>
      <c r="P369" s="70" t="s">
        <v>29</v>
      </c>
      <c r="Q369" s="72" t="str">
        <f t="shared" si="18"/>
        <v/>
      </c>
      <c r="R369" s="70" t="s">
        <v>29</v>
      </c>
      <c r="S369" s="70" t="s">
        <v>29</v>
      </c>
      <c r="T369" s="70" t="s">
        <v>29</v>
      </c>
      <c r="U369" s="70" t="s">
        <v>29</v>
      </c>
      <c r="V369" s="70">
        <v>3</v>
      </c>
      <c r="W369" s="70">
        <v>418525</v>
      </c>
      <c r="X369" s="70">
        <v>11</v>
      </c>
      <c r="Y369" s="70">
        <v>12</v>
      </c>
      <c r="Z369" s="73" t="s">
        <v>29</v>
      </c>
      <c r="AA369" s="74">
        <f t="shared" si="19"/>
        <v>0.91666666666666663</v>
      </c>
      <c r="AB369" s="93">
        <f t="shared" si="17"/>
        <v>0</v>
      </c>
      <c r="AC369" s="93">
        <f>IFERROR(Table16[[#This Row],[Quantity Needed for repair]]*Table16[[#This Row],[Evaluated]],"")</f>
        <v>0</v>
      </c>
    </row>
    <row r="370" spans="5:29" x14ac:dyDescent="0.35">
      <c r="E370" s="57">
        <v>3</v>
      </c>
      <c r="F370" s="58" t="s">
        <v>455</v>
      </c>
      <c r="G370" s="58">
        <v>13075173</v>
      </c>
      <c r="H370" s="58" t="s">
        <v>313</v>
      </c>
      <c r="I370" s="58" t="s">
        <v>351</v>
      </c>
      <c r="J370" s="58" t="s">
        <v>29</v>
      </c>
      <c r="K370" s="58">
        <v>1083564</v>
      </c>
      <c r="L370" s="59">
        <v>44473</v>
      </c>
      <c r="M370" s="58" t="s">
        <v>352</v>
      </c>
      <c r="N370" s="58" t="s">
        <v>29</v>
      </c>
      <c r="O370" s="58" t="s">
        <v>29</v>
      </c>
      <c r="P370" s="58" t="s">
        <v>29</v>
      </c>
      <c r="Q370" s="60" t="str">
        <f t="shared" si="18"/>
        <v/>
      </c>
      <c r="R370" s="58" t="s">
        <v>29</v>
      </c>
      <c r="S370" s="58" t="s">
        <v>29</v>
      </c>
      <c r="T370" s="58" t="s">
        <v>29</v>
      </c>
      <c r="U370" s="58" t="s">
        <v>29</v>
      </c>
      <c r="V370" s="58">
        <v>1</v>
      </c>
      <c r="W370" s="58">
        <v>1039060</v>
      </c>
      <c r="X370" s="58">
        <v>16</v>
      </c>
      <c r="Y370" s="58">
        <v>24</v>
      </c>
      <c r="Z370" s="61" t="s">
        <v>29</v>
      </c>
      <c r="AA370" s="62">
        <f t="shared" si="19"/>
        <v>0.66666666666666663</v>
      </c>
      <c r="AB370" s="91">
        <f t="shared" si="17"/>
        <v>0</v>
      </c>
      <c r="AC370" s="91">
        <f>IFERROR(Table16[[#This Row],[Quantity Needed for repair]]*Table16[[#This Row],[Evaluated]],"")</f>
        <v>0</v>
      </c>
    </row>
    <row r="371" spans="5:29" x14ac:dyDescent="0.35">
      <c r="E371" s="64">
        <v>3</v>
      </c>
      <c r="F371" s="56" t="s">
        <v>455</v>
      </c>
      <c r="G371" s="56">
        <v>13075173</v>
      </c>
      <c r="H371" s="56" t="s">
        <v>313</v>
      </c>
      <c r="I371" s="56" t="s">
        <v>351</v>
      </c>
      <c r="J371" s="56" t="s">
        <v>29</v>
      </c>
      <c r="K371" s="56">
        <v>1083564</v>
      </c>
      <c r="L371" s="65">
        <v>44473</v>
      </c>
      <c r="M371" s="56" t="s">
        <v>352</v>
      </c>
      <c r="N371" s="56" t="s">
        <v>29</v>
      </c>
      <c r="O371" s="56" t="s">
        <v>29</v>
      </c>
      <c r="P371" s="56" t="s">
        <v>29</v>
      </c>
      <c r="Q371" s="66" t="str">
        <f t="shared" si="18"/>
        <v/>
      </c>
      <c r="R371" s="56" t="s">
        <v>29</v>
      </c>
      <c r="S371" s="56" t="s">
        <v>29</v>
      </c>
      <c r="T371" s="56" t="s">
        <v>29</v>
      </c>
      <c r="U371" s="56" t="s">
        <v>29</v>
      </c>
      <c r="V371" s="56">
        <v>2</v>
      </c>
      <c r="W371" s="56">
        <v>1014939</v>
      </c>
      <c r="X371" s="56">
        <v>12</v>
      </c>
      <c r="Y371" s="56">
        <v>23</v>
      </c>
      <c r="Z371" s="67" t="s">
        <v>29</v>
      </c>
      <c r="AA371" s="68">
        <f t="shared" si="19"/>
        <v>0.52173913043478259</v>
      </c>
      <c r="AB371" s="92">
        <f t="shared" si="17"/>
        <v>0</v>
      </c>
      <c r="AC371" s="92">
        <f>IFERROR(Table16[[#This Row],[Quantity Needed for repair]]*Table16[[#This Row],[Evaluated]],"")</f>
        <v>0</v>
      </c>
    </row>
    <row r="372" spans="5:29" x14ac:dyDescent="0.35">
      <c r="E372" s="64">
        <v>3</v>
      </c>
      <c r="F372" s="56" t="s">
        <v>455</v>
      </c>
      <c r="G372" s="56">
        <v>13075173</v>
      </c>
      <c r="H372" s="56" t="s">
        <v>313</v>
      </c>
      <c r="I372" s="56" t="s">
        <v>351</v>
      </c>
      <c r="J372" s="56" t="s">
        <v>29</v>
      </c>
      <c r="K372" s="56">
        <v>1083564</v>
      </c>
      <c r="L372" s="65">
        <v>44473</v>
      </c>
      <c r="M372" s="56" t="s">
        <v>352</v>
      </c>
      <c r="N372" s="56" t="s">
        <v>29</v>
      </c>
      <c r="O372" s="56" t="s">
        <v>29</v>
      </c>
      <c r="P372" s="56" t="s">
        <v>29</v>
      </c>
      <c r="Q372" s="66" t="str">
        <f t="shared" si="18"/>
        <v/>
      </c>
      <c r="R372" s="56" t="s">
        <v>29</v>
      </c>
      <c r="S372" s="56" t="s">
        <v>29</v>
      </c>
      <c r="T372" s="56" t="s">
        <v>29</v>
      </c>
      <c r="U372" s="56" t="s">
        <v>29</v>
      </c>
      <c r="V372" s="56">
        <v>3</v>
      </c>
      <c r="W372" s="56">
        <v>1014941</v>
      </c>
      <c r="X372" s="56">
        <v>5</v>
      </c>
      <c r="Y372" s="56">
        <v>9</v>
      </c>
      <c r="Z372" s="67" t="s">
        <v>29</v>
      </c>
      <c r="AA372" s="68">
        <f t="shared" si="19"/>
        <v>0.55555555555555558</v>
      </c>
      <c r="AB372" s="92">
        <f t="shared" si="17"/>
        <v>0</v>
      </c>
      <c r="AC372" s="92">
        <f>IFERROR(Table16[[#This Row],[Quantity Needed for repair]]*Table16[[#This Row],[Evaluated]],"")</f>
        <v>0</v>
      </c>
    </row>
    <row r="373" spans="5:29" ht="15" thickBot="1" x14ac:dyDescent="0.4">
      <c r="E373" s="69">
        <v>3</v>
      </c>
      <c r="F373" s="70" t="s">
        <v>455</v>
      </c>
      <c r="G373" s="70">
        <v>13075173</v>
      </c>
      <c r="H373" s="70" t="s">
        <v>313</v>
      </c>
      <c r="I373" s="70" t="s">
        <v>351</v>
      </c>
      <c r="J373" s="70" t="s">
        <v>29</v>
      </c>
      <c r="K373" s="70">
        <v>1083564</v>
      </c>
      <c r="L373" s="71">
        <v>44473</v>
      </c>
      <c r="M373" s="70" t="s">
        <v>352</v>
      </c>
      <c r="N373" s="70" t="s">
        <v>29</v>
      </c>
      <c r="O373" s="70" t="s">
        <v>29</v>
      </c>
      <c r="P373" s="70" t="s">
        <v>29</v>
      </c>
      <c r="Q373" s="72" t="str">
        <f t="shared" si="18"/>
        <v/>
      </c>
      <c r="R373" s="70" t="s">
        <v>29</v>
      </c>
      <c r="S373" s="70" t="s">
        <v>29</v>
      </c>
      <c r="T373" s="70" t="s">
        <v>29</v>
      </c>
      <c r="U373" s="70" t="s">
        <v>29</v>
      </c>
      <c r="V373" s="70">
        <v>4</v>
      </c>
      <c r="W373" s="70">
        <v>418525</v>
      </c>
      <c r="X373" s="70">
        <v>6</v>
      </c>
      <c r="Y373" s="70">
        <v>6</v>
      </c>
      <c r="Z373" s="73" t="s">
        <v>29</v>
      </c>
      <c r="AA373" s="74">
        <f t="shared" si="19"/>
        <v>1</v>
      </c>
      <c r="AB373" s="93">
        <f t="shared" si="17"/>
        <v>0</v>
      </c>
      <c r="AC373" s="93">
        <f>IFERROR(Table16[[#This Row],[Quantity Needed for repair]]*Table16[[#This Row],[Evaluated]],"")</f>
        <v>0</v>
      </c>
    </row>
    <row r="374" spans="5:29" x14ac:dyDescent="0.35">
      <c r="E374" s="57">
        <v>3</v>
      </c>
      <c r="F374" s="58" t="s">
        <v>456</v>
      </c>
      <c r="G374" s="58">
        <v>13082602</v>
      </c>
      <c r="H374" s="58" t="s">
        <v>313</v>
      </c>
      <c r="I374" s="58" t="s">
        <v>351</v>
      </c>
      <c r="J374" s="58" t="s">
        <v>29</v>
      </c>
      <c r="K374" s="58">
        <v>882281</v>
      </c>
      <c r="L374" s="59">
        <v>44473</v>
      </c>
      <c r="M374" s="58" t="s">
        <v>352</v>
      </c>
      <c r="N374" s="58" t="s">
        <v>29</v>
      </c>
      <c r="O374" s="58" t="s">
        <v>29</v>
      </c>
      <c r="P374" s="58" t="s">
        <v>29</v>
      </c>
      <c r="Q374" s="60" t="str">
        <f t="shared" si="18"/>
        <v/>
      </c>
      <c r="R374" s="58" t="s">
        <v>29</v>
      </c>
      <c r="S374" s="58" t="s">
        <v>29</v>
      </c>
      <c r="T374" s="58" t="s">
        <v>29</v>
      </c>
      <c r="U374" s="58" t="s">
        <v>29</v>
      </c>
      <c r="V374" s="58">
        <v>1</v>
      </c>
      <c r="W374" s="58">
        <v>1130198</v>
      </c>
      <c r="X374" s="58">
        <v>1</v>
      </c>
      <c r="Y374" s="58">
        <v>33</v>
      </c>
      <c r="Z374" s="61" t="s">
        <v>29</v>
      </c>
      <c r="AA374" s="62">
        <f t="shared" si="19"/>
        <v>3.0303030303030304E-2</v>
      </c>
      <c r="AB374" s="91">
        <f t="shared" si="17"/>
        <v>0</v>
      </c>
      <c r="AC374" s="91">
        <f>IFERROR(Table16[[#This Row],[Quantity Needed for repair]]*Table16[[#This Row],[Evaluated]],"")</f>
        <v>0</v>
      </c>
    </row>
    <row r="375" spans="5:29" x14ac:dyDescent="0.35">
      <c r="E375" s="64">
        <v>3</v>
      </c>
      <c r="F375" s="56" t="s">
        <v>456</v>
      </c>
      <c r="G375" s="56">
        <v>13082602</v>
      </c>
      <c r="H375" s="56" t="s">
        <v>313</v>
      </c>
      <c r="I375" s="56" t="s">
        <v>351</v>
      </c>
      <c r="J375" s="56" t="s">
        <v>29</v>
      </c>
      <c r="K375" s="56">
        <v>882281</v>
      </c>
      <c r="L375" s="65">
        <v>44473</v>
      </c>
      <c r="M375" s="56" t="s">
        <v>352</v>
      </c>
      <c r="N375" s="56" t="s">
        <v>29</v>
      </c>
      <c r="O375" s="56" t="s">
        <v>29</v>
      </c>
      <c r="P375" s="56" t="s">
        <v>29</v>
      </c>
      <c r="Q375" s="66" t="str">
        <f t="shared" si="18"/>
        <v/>
      </c>
      <c r="R375" s="56" t="s">
        <v>29</v>
      </c>
      <c r="S375" s="56" t="s">
        <v>29</v>
      </c>
      <c r="T375" s="56" t="s">
        <v>29</v>
      </c>
      <c r="U375" s="56" t="s">
        <v>29</v>
      </c>
      <c r="V375" s="56">
        <v>2</v>
      </c>
      <c r="W375" s="56">
        <v>1130197</v>
      </c>
      <c r="X375" s="56" t="s">
        <v>29</v>
      </c>
      <c r="Y375" s="56">
        <v>23</v>
      </c>
      <c r="Z375" s="67" t="s">
        <v>29</v>
      </c>
      <c r="AA375" s="68" t="str">
        <f t="shared" si="19"/>
        <v/>
      </c>
      <c r="AB375" s="92">
        <f t="shared" si="17"/>
        <v>0</v>
      </c>
      <c r="AC375" s="92" t="str">
        <f>IFERROR(Table16[[#This Row],[Quantity Needed for repair]]*Table16[[#This Row],[Evaluated]],"")</f>
        <v/>
      </c>
    </row>
    <row r="376" spans="5:29" ht="15" thickBot="1" x14ac:dyDescent="0.4">
      <c r="E376" s="69">
        <v>3</v>
      </c>
      <c r="F376" s="70" t="s">
        <v>456</v>
      </c>
      <c r="G376" s="70">
        <v>13082602</v>
      </c>
      <c r="H376" s="70" t="s">
        <v>313</v>
      </c>
      <c r="I376" s="70" t="s">
        <v>351</v>
      </c>
      <c r="J376" s="70" t="s">
        <v>29</v>
      </c>
      <c r="K376" s="70">
        <v>882281</v>
      </c>
      <c r="L376" s="71">
        <v>44473</v>
      </c>
      <c r="M376" s="70" t="s">
        <v>352</v>
      </c>
      <c r="N376" s="70" t="s">
        <v>29</v>
      </c>
      <c r="O376" s="70" t="s">
        <v>29</v>
      </c>
      <c r="P376" s="70" t="s">
        <v>29</v>
      </c>
      <c r="Q376" s="72" t="str">
        <f t="shared" si="18"/>
        <v/>
      </c>
      <c r="R376" s="70" t="s">
        <v>29</v>
      </c>
      <c r="S376" s="70" t="s">
        <v>29</v>
      </c>
      <c r="T376" s="70" t="s">
        <v>29</v>
      </c>
      <c r="U376" s="70" t="s">
        <v>29</v>
      </c>
      <c r="V376" s="70">
        <v>3</v>
      </c>
      <c r="W376" s="70">
        <v>418525</v>
      </c>
      <c r="X376" s="70">
        <v>12</v>
      </c>
      <c r="Y376" s="70">
        <v>12</v>
      </c>
      <c r="Z376" s="73" t="s">
        <v>29</v>
      </c>
      <c r="AA376" s="74">
        <f t="shared" si="19"/>
        <v>1</v>
      </c>
      <c r="AB376" s="93">
        <f t="shared" si="17"/>
        <v>0</v>
      </c>
      <c r="AC376" s="93">
        <f>IFERROR(Table16[[#This Row],[Quantity Needed for repair]]*Table16[[#This Row],[Evaluated]],"")</f>
        <v>0</v>
      </c>
    </row>
    <row r="377" spans="5:29" x14ac:dyDescent="0.35">
      <c r="E377" s="57">
        <v>3</v>
      </c>
      <c r="F377" s="58" t="s">
        <v>457</v>
      </c>
      <c r="G377" s="58">
        <v>12998449</v>
      </c>
      <c r="H377" s="58" t="s">
        <v>313</v>
      </c>
      <c r="I377" s="58" t="s">
        <v>351</v>
      </c>
      <c r="J377" s="58" t="s">
        <v>29</v>
      </c>
      <c r="K377" s="58">
        <v>1005293</v>
      </c>
      <c r="L377" s="59">
        <v>44473</v>
      </c>
      <c r="M377" s="58" t="s">
        <v>352</v>
      </c>
      <c r="N377" s="58" t="s">
        <v>29</v>
      </c>
      <c r="O377" s="58" t="s">
        <v>29</v>
      </c>
      <c r="P377" s="58" t="s">
        <v>29</v>
      </c>
      <c r="Q377" s="60" t="str">
        <f t="shared" si="18"/>
        <v/>
      </c>
      <c r="R377" s="58" t="s">
        <v>29</v>
      </c>
      <c r="S377" s="58" t="s">
        <v>29</v>
      </c>
      <c r="T377" s="58" t="s">
        <v>29</v>
      </c>
      <c r="U377" s="58" t="s">
        <v>29</v>
      </c>
      <c r="V377" s="58">
        <v>1</v>
      </c>
      <c r="W377" s="58">
        <v>1130198</v>
      </c>
      <c r="X377" s="58">
        <v>20</v>
      </c>
      <c r="Y377" s="58">
        <v>33</v>
      </c>
      <c r="Z377" s="61" t="s">
        <v>29</v>
      </c>
      <c r="AA377" s="62">
        <f t="shared" si="19"/>
        <v>0.60606060606060608</v>
      </c>
      <c r="AB377" s="91">
        <f t="shared" si="17"/>
        <v>0</v>
      </c>
      <c r="AC377" s="91">
        <f>IFERROR(Table16[[#This Row],[Quantity Needed for repair]]*Table16[[#This Row],[Evaluated]],"")</f>
        <v>0</v>
      </c>
    </row>
    <row r="378" spans="5:29" x14ac:dyDescent="0.35">
      <c r="E378" s="64">
        <v>3</v>
      </c>
      <c r="F378" s="56" t="s">
        <v>457</v>
      </c>
      <c r="G378" s="56">
        <v>12998449</v>
      </c>
      <c r="H378" s="56" t="s">
        <v>313</v>
      </c>
      <c r="I378" s="56" t="s">
        <v>351</v>
      </c>
      <c r="J378" s="56" t="s">
        <v>29</v>
      </c>
      <c r="K378" s="56">
        <v>1005293</v>
      </c>
      <c r="L378" s="65">
        <v>44473</v>
      </c>
      <c r="M378" s="56" t="s">
        <v>352</v>
      </c>
      <c r="N378" s="56" t="s">
        <v>29</v>
      </c>
      <c r="O378" s="56" t="s">
        <v>29</v>
      </c>
      <c r="P378" s="56" t="s">
        <v>29</v>
      </c>
      <c r="Q378" s="66" t="str">
        <f t="shared" si="18"/>
        <v/>
      </c>
      <c r="R378" s="56" t="s">
        <v>29</v>
      </c>
      <c r="S378" s="56" t="s">
        <v>29</v>
      </c>
      <c r="T378" s="56" t="s">
        <v>29</v>
      </c>
      <c r="U378" s="56" t="s">
        <v>29</v>
      </c>
      <c r="V378" s="56">
        <v>2</v>
      </c>
      <c r="W378" s="56">
        <v>647435</v>
      </c>
      <c r="X378" s="56">
        <v>11</v>
      </c>
      <c r="Y378" s="56">
        <v>23</v>
      </c>
      <c r="Z378" s="67" t="s">
        <v>29</v>
      </c>
      <c r="AA378" s="68">
        <f t="shared" si="19"/>
        <v>0.47826086956521741</v>
      </c>
      <c r="AB378" s="92">
        <f t="shared" si="17"/>
        <v>0</v>
      </c>
      <c r="AC378" s="92">
        <f>IFERROR(Table16[[#This Row],[Quantity Needed for repair]]*Table16[[#This Row],[Evaluated]],"")</f>
        <v>0</v>
      </c>
    </row>
    <row r="379" spans="5:29" ht="15" thickBot="1" x14ac:dyDescent="0.4">
      <c r="E379" s="69">
        <v>3</v>
      </c>
      <c r="F379" s="70" t="s">
        <v>457</v>
      </c>
      <c r="G379" s="70">
        <v>12998449</v>
      </c>
      <c r="H379" s="70" t="s">
        <v>313</v>
      </c>
      <c r="I379" s="70" t="s">
        <v>351</v>
      </c>
      <c r="J379" s="70" t="s">
        <v>29</v>
      </c>
      <c r="K379" s="70">
        <v>1005293</v>
      </c>
      <c r="L379" s="71">
        <v>44473</v>
      </c>
      <c r="M379" s="70" t="s">
        <v>352</v>
      </c>
      <c r="N379" s="70" t="s">
        <v>29</v>
      </c>
      <c r="O379" s="70" t="s">
        <v>29</v>
      </c>
      <c r="P379" s="70" t="s">
        <v>29</v>
      </c>
      <c r="Q379" s="72" t="str">
        <f t="shared" si="18"/>
        <v/>
      </c>
      <c r="R379" s="70" t="s">
        <v>29</v>
      </c>
      <c r="S379" s="70" t="s">
        <v>29</v>
      </c>
      <c r="T379" s="70" t="s">
        <v>29</v>
      </c>
      <c r="U379" s="70" t="s">
        <v>29</v>
      </c>
      <c r="V379" s="70">
        <v>3</v>
      </c>
      <c r="W379" s="70">
        <v>418525</v>
      </c>
      <c r="X379" s="70">
        <v>6</v>
      </c>
      <c r="Y379" s="70">
        <v>6</v>
      </c>
      <c r="Z379" s="73" t="s">
        <v>29</v>
      </c>
      <c r="AA379" s="74">
        <f t="shared" si="19"/>
        <v>1</v>
      </c>
      <c r="AB379" s="93">
        <f t="shared" si="17"/>
        <v>0</v>
      </c>
      <c r="AC379" s="93">
        <f>IFERROR(Table16[[#This Row],[Quantity Needed for repair]]*Table16[[#This Row],[Evaluated]],"")</f>
        <v>0</v>
      </c>
    </row>
    <row r="380" spans="5:29" x14ac:dyDescent="0.35">
      <c r="E380" s="57">
        <v>3</v>
      </c>
      <c r="F380" s="58" t="s">
        <v>458</v>
      </c>
      <c r="G380" s="58">
        <v>13022896</v>
      </c>
      <c r="H380" s="58" t="s">
        <v>313</v>
      </c>
      <c r="I380" s="58" t="s">
        <v>351</v>
      </c>
      <c r="J380" s="58" t="s">
        <v>29</v>
      </c>
      <c r="K380" s="58">
        <v>1005293</v>
      </c>
      <c r="L380" s="59">
        <v>44473</v>
      </c>
      <c r="M380" s="58" t="s">
        <v>352</v>
      </c>
      <c r="N380" s="58" t="s">
        <v>29</v>
      </c>
      <c r="O380" s="58" t="s">
        <v>29</v>
      </c>
      <c r="P380" s="58" t="s">
        <v>29</v>
      </c>
      <c r="Q380" s="60" t="str">
        <f t="shared" si="18"/>
        <v/>
      </c>
      <c r="R380" s="58" t="s">
        <v>29</v>
      </c>
      <c r="S380" s="58" t="s">
        <v>29</v>
      </c>
      <c r="T380" s="58" t="s">
        <v>29</v>
      </c>
      <c r="U380" s="58" t="s">
        <v>29</v>
      </c>
      <c r="V380" s="58">
        <v>1</v>
      </c>
      <c r="W380" s="58">
        <v>1130198</v>
      </c>
      <c r="X380" s="136">
        <v>6</v>
      </c>
      <c r="Y380" s="58">
        <v>33</v>
      </c>
      <c r="Z380" s="61" t="s">
        <v>29</v>
      </c>
      <c r="AA380" s="62">
        <f t="shared" si="19"/>
        <v>0.18181818181818182</v>
      </c>
      <c r="AB380" s="91">
        <f t="shared" si="17"/>
        <v>0</v>
      </c>
      <c r="AC380" s="91">
        <f>IFERROR(Table16[[#This Row],[Quantity Needed for repair]]*Table16[[#This Row],[Evaluated]],"")</f>
        <v>0</v>
      </c>
    </row>
    <row r="381" spans="5:29" x14ac:dyDescent="0.35">
      <c r="E381" s="64">
        <v>3</v>
      </c>
      <c r="F381" s="56" t="s">
        <v>458</v>
      </c>
      <c r="G381" s="56">
        <v>13022896</v>
      </c>
      <c r="H381" s="56" t="s">
        <v>313</v>
      </c>
      <c r="I381" s="56" t="s">
        <v>351</v>
      </c>
      <c r="J381" s="56" t="s">
        <v>29</v>
      </c>
      <c r="K381" s="56">
        <v>1005293</v>
      </c>
      <c r="L381" s="65">
        <v>44473</v>
      </c>
      <c r="M381" s="56" t="s">
        <v>352</v>
      </c>
      <c r="N381" s="56" t="s">
        <v>29</v>
      </c>
      <c r="O381" s="56" t="s">
        <v>29</v>
      </c>
      <c r="P381" s="56" t="s">
        <v>29</v>
      </c>
      <c r="Q381" s="66" t="str">
        <f t="shared" si="18"/>
        <v/>
      </c>
      <c r="R381" s="56" t="s">
        <v>29</v>
      </c>
      <c r="S381" s="56" t="s">
        <v>29</v>
      </c>
      <c r="T381" s="56" t="s">
        <v>29</v>
      </c>
      <c r="U381" s="56" t="s">
        <v>29</v>
      </c>
      <c r="V381" s="56">
        <v>2</v>
      </c>
      <c r="W381" s="56">
        <v>647435</v>
      </c>
      <c r="X381">
        <v>4</v>
      </c>
      <c r="Y381" s="56">
        <v>23</v>
      </c>
      <c r="Z381" s="67" t="s">
        <v>29</v>
      </c>
      <c r="AA381" s="68">
        <f t="shared" si="19"/>
        <v>0.17391304347826086</v>
      </c>
      <c r="AB381" s="92">
        <f t="shared" si="17"/>
        <v>0</v>
      </c>
      <c r="AC381" s="92">
        <f>IFERROR(Table16[[#This Row],[Quantity Needed for repair]]*Table16[[#This Row],[Evaluated]],"")</f>
        <v>0</v>
      </c>
    </row>
    <row r="382" spans="5:29" ht="15" thickBot="1" x14ac:dyDescent="0.4">
      <c r="E382" s="69">
        <v>3</v>
      </c>
      <c r="F382" s="70" t="s">
        <v>458</v>
      </c>
      <c r="G382" s="70">
        <v>13022896</v>
      </c>
      <c r="H382" s="70" t="s">
        <v>313</v>
      </c>
      <c r="I382" s="70" t="s">
        <v>351</v>
      </c>
      <c r="J382" s="70" t="s">
        <v>29</v>
      </c>
      <c r="K382" s="70">
        <v>1005293</v>
      </c>
      <c r="L382" s="71">
        <v>44473</v>
      </c>
      <c r="M382" s="70" t="s">
        <v>352</v>
      </c>
      <c r="N382" s="70" t="s">
        <v>29</v>
      </c>
      <c r="O382" s="70" t="s">
        <v>29</v>
      </c>
      <c r="P382" s="70" t="s">
        <v>29</v>
      </c>
      <c r="Q382" s="72" t="str">
        <f t="shared" si="18"/>
        <v/>
      </c>
      <c r="R382" s="70" t="s">
        <v>29</v>
      </c>
      <c r="S382" s="70" t="s">
        <v>29</v>
      </c>
      <c r="T382" s="70" t="s">
        <v>29</v>
      </c>
      <c r="U382" s="70" t="s">
        <v>29</v>
      </c>
      <c r="V382" s="70">
        <v>3</v>
      </c>
      <c r="W382" s="70">
        <v>418525</v>
      </c>
      <c r="X382" s="137">
        <v>6</v>
      </c>
      <c r="Y382" s="70">
        <v>6</v>
      </c>
      <c r="Z382" s="73" t="s">
        <v>29</v>
      </c>
      <c r="AA382" s="74">
        <f t="shared" si="19"/>
        <v>1</v>
      </c>
      <c r="AB382" s="93">
        <f t="shared" si="17"/>
        <v>0</v>
      </c>
      <c r="AC382" s="93">
        <f>IFERROR(Table16[[#This Row],[Quantity Needed for repair]]*Table16[[#This Row],[Evaluated]],"")</f>
        <v>0</v>
      </c>
    </row>
    <row r="383" spans="5:29" x14ac:dyDescent="0.35">
      <c r="E383" s="57">
        <v>3</v>
      </c>
      <c r="F383" s="58" t="s">
        <v>459</v>
      </c>
      <c r="G383" s="58">
        <v>12896869</v>
      </c>
      <c r="H383" s="58" t="s">
        <v>313</v>
      </c>
      <c r="I383" s="58" t="s">
        <v>351</v>
      </c>
      <c r="J383" s="58" t="s">
        <v>29</v>
      </c>
      <c r="K383" s="58">
        <v>1032643</v>
      </c>
      <c r="L383" s="59">
        <v>44473</v>
      </c>
      <c r="M383" s="58" t="s">
        <v>352</v>
      </c>
      <c r="N383" s="58" t="s">
        <v>29</v>
      </c>
      <c r="O383" s="58" t="s">
        <v>29</v>
      </c>
      <c r="P383" s="58" t="s">
        <v>29</v>
      </c>
      <c r="Q383" s="60" t="str">
        <f t="shared" si="18"/>
        <v/>
      </c>
      <c r="R383" s="58" t="s">
        <v>29</v>
      </c>
      <c r="S383" s="58" t="s">
        <v>29</v>
      </c>
      <c r="T383" s="58" t="s">
        <v>29</v>
      </c>
      <c r="U383" s="58" t="s">
        <v>29</v>
      </c>
      <c r="V383" s="58">
        <v>1</v>
      </c>
      <c r="W383" s="58">
        <v>744015</v>
      </c>
      <c r="X383" s="136">
        <v>1</v>
      </c>
      <c r="Y383" s="58">
        <v>34</v>
      </c>
      <c r="Z383" s="61" t="s">
        <v>29</v>
      </c>
      <c r="AA383" s="62">
        <f t="shared" si="19"/>
        <v>2.9411764705882353E-2</v>
      </c>
      <c r="AB383" s="91">
        <f t="shared" si="17"/>
        <v>0</v>
      </c>
      <c r="AC383" s="91">
        <f>IFERROR(Table16[[#This Row],[Quantity Needed for repair]]*Table16[[#This Row],[Evaluated]],"")</f>
        <v>0</v>
      </c>
    </row>
    <row r="384" spans="5:29" x14ac:dyDescent="0.35">
      <c r="E384" s="64">
        <v>3</v>
      </c>
      <c r="F384" s="56" t="s">
        <v>459</v>
      </c>
      <c r="G384" s="56">
        <v>12896869</v>
      </c>
      <c r="H384" s="56" t="s">
        <v>313</v>
      </c>
      <c r="I384" s="56" t="s">
        <v>351</v>
      </c>
      <c r="J384" s="56" t="s">
        <v>29</v>
      </c>
      <c r="K384" s="56">
        <v>1032643</v>
      </c>
      <c r="L384" s="65">
        <v>44473</v>
      </c>
      <c r="M384" s="56" t="s">
        <v>352</v>
      </c>
      <c r="N384" s="56" t="s">
        <v>29</v>
      </c>
      <c r="O384" s="56" t="s">
        <v>29</v>
      </c>
      <c r="P384" s="56" t="s">
        <v>29</v>
      </c>
      <c r="Q384" s="66" t="str">
        <f t="shared" si="18"/>
        <v/>
      </c>
      <c r="R384" s="56" t="s">
        <v>29</v>
      </c>
      <c r="S384" s="56" t="s">
        <v>29</v>
      </c>
      <c r="T384" s="56" t="s">
        <v>29</v>
      </c>
      <c r="U384" s="56" t="s">
        <v>29</v>
      </c>
      <c r="V384" s="56">
        <v>2</v>
      </c>
      <c r="W384" s="56">
        <v>647435</v>
      </c>
      <c r="X384">
        <v>1</v>
      </c>
      <c r="Y384" s="56">
        <v>24</v>
      </c>
      <c r="Z384" s="67" t="s">
        <v>29</v>
      </c>
      <c r="AA384" s="68">
        <f t="shared" si="19"/>
        <v>4.1666666666666664E-2</v>
      </c>
      <c r="AB384" s="92">
        <f t="shared" si="17"/>
        <v>0</v>
      </c>
      <c r="AC384" s="92">
        <f>IFERROR(Table16[[#This Row],[Quantity Needed for repair]]*Table16[[#This Row],[Evaluated]],"")</f>
        <v>0</v>
      </c>
    </row>
    <row r="385" spans="5:29" ht="15" thickBot="1" x14ac:dyDescent="0.4">
      <c r="E385" s="69">
        <v>3</v>
      </c>
      <c r="F385" s="70" t="s">
        <v>459</v>
      </c>
      <c r="G385" s="70">
        <v>12896869</v>
      </c>
      <c r="H385" s="70" t="s">
        <v>313</v>
      </c>
      <c r="I385" s="70" t="s">
        <v>351</v>
      </c>
      <c r="J385" s="70" t="s">
        <v>29</v>
      </c>
      <c r="K385" s="70">
        <v>1032643</v>
      </c>
      <c r="L385" s="71">
        <v>44473</v>
      </c>
      <c r="M385" s="70" t="s">
        <v>352</v>
      </c>
      <c r="N385" s="70" t="s">
        <v>29</v>
      </c>
      <c r="O385" s="70" t="s">
        <v>29</v>
      </c>
      <c r="P385" s="70" t="s">
        <v>29</v>
      </c>
      <c r="Q385" s="72" t="str">
        <f t="shared" si="18"/>
        <v/>
      </c>
      <c r="R385" s="70" t="s">
        <v>29</v>
      </c>
      <c r="S385" s="70" t="s">
        <v>29</v>
      </c>
      <c r="T385" s="70" t="s">
        <v>29</v>
      </c>
      <c r="U385" s="70" t="s">
        <v>29</v>
      </c>
      <c r="V385" s="70">
        <v>3</v>
      </c>
      <c r="W385" s="70">
        <v>418525</v>
      </c>
      <c r="X385" s="137">
        <v>6</v>
      </c>
      <c r="Y385" s="70">
        <v>6</v>
      </c>
      <c r="Z385" s="73" t="s">
        <v>29</v>
      </c>
      <c r="AA385" s="74">
        <f t="shared" si="19"/>
        <v>1</v>
      </c>
      <c r="AB385" s="93">
        <f t="shared" si="17"/>
        <v>0</v>
      </c>
      <c r="AC385" s="93">
        <f>IFERROR(Table16[[#This Row],[Quantity Needed for repair]]*Table16[[#This Row],[Evaluated]],"")</f>
        <v>0</v>
      </c>
    </row>
    <row r="386" spans="5:29" x14ac:dyDescent="0.35">
      <c r="E386" s="57">
        <v>3</v>
      </c>
      <c r="F386" s="58" t="s">
        <v>460</v>
      </c>
      <c r="G386" s="58">
        <v>12934756</v>
      </c>
      <c r="H386" s="58" t="s">
        <v>313</v>
      </c>
      <c r="I386" s="58" t="s">
        <v>351</v>
      </c>
      <c r="J386" s="58" t="s">
        <v>29</v>
      </c>
      <c r="K386" s="58">
        <v>882281</v>
      </c>
      <c r="L386" s="59">
        <v>44473</v>
      </c>
      <c r="M386" s="58" t="s">
        <v>352</v>
      </c>
      <c r="N386" s="58" t="s">
        <v>29</v>
      </c>
      <c r="O386" s="58" t="s">
        <v>29</v>
      </c>
      <c r="P386" s="58" t="s">
        <v>29</v>
      </c>
      <c r="Q386" s="60" t="str">
        <f t="shared" si="18"/>
        <v/>
      </c>
      <c r="R386" s="58" t="s">
        <v>29</v>
      </c>
      <c r="S386" s="58" t="s">
        <v>29</v>
      </c>
      <c r="T386" s="58" t="s">
        <v>29</v>
      </c>
      <c r="U386" s="58" t="s">
        <v>29</v>
      </c>
      <c r="V386" s="58">
        <v>1</v>
      </c>
      <c r="W386" s="58">
        <v>1130198</v>
      </c>
      <c r="X386" s="136">
        <v>9</v>
      </c>
      <c r="Y386" s="58">
        <v>33</v>
      </c>
      <c r="Z386" s="61" t="s">
        <v>29</v>
      </c>
      <c r="AA386" s="62">
        <f t="shared" si="19"/>
        <v>0.27272727272727271</v>
      </c>
      <c r="AB386" s="91">
        <f t="shared" ref="AB386:AB449" si="20">IFERROR(INDEX($A$2:$C$553,MATCH($F386,$A$2:$A$553,0),3),0)</f>
        <v>0</v>
      </c>
      <c r="AC386" s="91">
        <f>IFERROR(Table16[[#This Row],[Quantity Needed for repair]]*Table16[[#This Row],[Evaluated]],"")</f>
        <v>0</v>
      </c>
    </row>
    <row r="387" spans="5:29" x14ac:dyDescent="0.35">
      <c r="E387" s="64">
        <v>3</v>
      </c>
      <c r="F387" s="56" t="s">
        <v>460</v>
      </c>
      <c r="G387" s="56">
        <v>12934756</v>
      </c>
      <c r="H387" s="56" t="s">
        <v>313</v>
      </c>
      <c r="I387" s="56" t="s">
        <v>351</v>
      </c>
      <c r="J387" s="56" t="s">
        <v>29</v>
      </c>
      <c r="K387" s="56">
        <v>882281</v>
      </c>
      <c r="L387" s="65">
        <v>44473</v>
      </c>
      <c r="M387" s="56" t="s">
        <v>352</v>
      </c>
      <c r="N387" s="56" t="s">
        <v>29</v>
      </c>
      <c r="O387" s="56" t="s">
        <v>29</v>
      </c>
      <c r="P387" s="56" t="s">
        <v>29</v>
      </c>
      <c r="Q387" s="66" t="str">
        <f t="shared" ref="Q387:Q450" si="21">IFERROR(ROUND(O387/P387*100,0)&amp;" %"&amp;IF(O387/P387&gt;0.6,", High Price",""),"")</f>
        <v/>
      </c>
      <c r="R387" s="56" t="s">
        <v>29</v>
      </c>
      <c r="S387" s="56" t="s">
        <v>29</v>
      </c>
      <c r="T387" s="56" t="s">
        <v>29</v>
      </c>
      <c r="U387" s="56" t="s">
        <v>29</v>
      </c>
      <c r="V387" s="56">
        <v>2</v>
      </c>
      <c r="W387" s="56">
        <v>1130197</v>
      </c>
      <c r="X387" t="s">
        <v>29</v>
      </c>
      <c r="Y387" s="56">
        <v>23</v>
      </c>
      <c r="Z387" s="67" t="s">
        <v>29</v>
      </c>
      <c r="AA387" s="68" t="str">
        <f t="shared" ref="AA387:AA450" si="22">IFERROR(X387/Y387,"")</f>
        <v/>
      </c>
      <c r="AB387" s="92">
        <f t="shared" si="20"/>
        <v>0</v>
      </c>
      <c r="AC387" s="92" t="str">
        <f>IFERROR(Table16[[#This Row],[Quantity Needed for repair]]*Table16[[#This Row],[Evaluated]],"")</f>
        <v/>
      </c>
    </row>
    <row r="388" spans="5:29" ht="15" thickBot="1" x14ac:dyDescent="0.4">
      <c r="E388" s="69">
        <v>3</v>
      </c>
      <c r="F388" s="70" t="s">
        <v>460</v>
      </c>
      <c r="G388" s="70">
        <v>12934756</v>
      </c>
      <c r="H388" s="70" t="s">
        <v>313</v>
      </c>
      <c r="I388" s="70" t="s">
        <v>351</v>
      </c>
      <c r="J388" s="70" t="s">
        <v>29</v>
      </c>
      <c r="K388" s="70">
        <v>882281</v>
      </c>
      <c r="L388" s="71">
        <v>44473</v>
      </c>
      <c r="M388" s="70" t="s">
        <v>352</v>
      </c>
      <c r="N388" s="70" t="s">
        <v>29</v>
      </c>
      <c r="O388" s="70" t="s">
        <v>29</v>
      </c>
      <c r="P388" s="70" t="s">
        <v>29</v>
      </c>
      <c r="Q388" s="72" t="str">
        <f t="shared" si="21"/>
        <v/>
      </c>
      <c r="R388" s="70" t="s">
        <v>29</v>
      </c>
      <c r="S388" s="70" t="s">
        <v>29</v>
      </c>
      <c r="T388" s="70" t="s">
        <v>29</v>
      </c>
      <c r="U388" s="70" t="s">
        <v>29</v>
      </c>
      <c r="V388" s="70">
        <v>3</v>
      </c>
      <c r="W388" s="70">
        <v>418525</v>
      </c>
      <c r="X388" s="137">
        <v>12</v>
      </c>
      <c r="Y388" s="70">
        <v>12</v>
      </c>
      <c r="Z388" s="73" t="s">
        <v>29</v>
      </c>
      <c r="AA388" s="74">
        <f t="shared" si="22"/>
        <v>1</v>
      </c>
      <c r="AB388" s="93">
        <f t="shared" si="20"/>
        <v>0</v>
      </c>
      <c r="AC388" s="93">
        <f>IFERROR(Table16[[#This Row],[Quantity Needed for repair]]*Table16[[#This Row],[Evaluated]],"")</f>
        <v>0</v>
      </c>
    </row>
    <row r="389" spans="5:29" x14ac:dyDescent="0.35">
      <c r="E389" s="57">
        <v>3</v>
      </c>
      <c r="F389" s="58" t="s">
        <v>461</v>
      </c>
      <c r="G389" s="58">
        <v>13034642</v>
      </c>
      <c r="H389" s="58" t="s">
        <v>313</v>
      </c>
      <c r="I389" s="58" t="s">
        <v>351</v>
      </c>
      <c r="J389" s="58" t="s">
        <v>29</v>
      </c>
      <c r="K389" s="58">
        <v>1005293</v>
      </c>
      <c r="L389" s="59">
        <v>44473</v>
      </c>
      <c r="M389" s="58" t="s">
        <v>352</v>
      </c>
      <c r="N389" s="58" t="s">
        <v>29</v>
      </c>
      <c r="O389" s="58" t="s">
        <v>29</v>
      </c>
      <c r="P389" s="58" t="s">
        <v>29</v>
      </c>
      <c r="Q389" s="60" t="str">
        <f t="shared" si="21"/>
        <v/>
      </c>
      <c r="R389" s="58" t="s">
        <v>29</v>
      </c>
      <c r="S389" s="58" t="s">
        <v>29</v>
      </c>
      <c r="T389" s="58" t="s">
        <v>29</v>
      </c>
      <c r="U389" s="58" t="s">
        <v>29</v>
      </c>
      <c r="V389" s="58">
        <v>1</v>
      </c>
      <c r="W389" s="58">
        <v>1130198</v>
      </c>
      <c r="X389" s="136">
        <v>2</v>
      </c>
      <c r="Y389" s="58">
        <v>33</v>
      </c>
      <c r="Z389" s="61" t="s">
        <v>29</v>
      </c>
      <c r="AA389" s="62">
        <f t="shared" si="22"/>
        <v>6.0606060606060608E-2</v>
      </c>
      <c r="AB389" s="91">
        <f t="shared" si="20"/>
        <v>0</v>
      </c>
      <c r="AC389" s="91">
        <f>IFERROR(Table16[[#This Row],[Quantity Needed for repair]]*Table16[[#This Row],[Evaluated]],"")</f>
        <v>0</v>
      </c>
    </row>
    <row r="390" spans="5:29" x14ac:dyDescent="0.35">
      <c r="E390" s="64">
        <v>3</v>
      </c>
      <c r="F390" s="56" t="s">
        <v>461</v>
      </c>
      <c r="G390" s="56">
        <v>13034642</v>
      </c>
      <c r="H390" s="56" t="s">
        <v>313</v>
      </c>
      <c r="I390" s="56" t="s">
        <v>351</v>
      </c>
      <c r="J390" s="56" t="s">
        <v>29</v>
      </c>
      <c r="K390" s="56">
        <v>1005293</v>
      </c>
      <c r="L390" s="65">
        <v>44473</v>
      </c>
      <c r="M390" s="56" t="s">
        <v>352</v>
      </c>
      <c r="N390" s="56" t="s">
        <v>29</v>
      </c>
      <c r="O390" s="56" t="s">
        <v>29</v>
      </c>
      <c r="P390" s="56" t="s">
        <v>29</v>
      </c>
      <c r="Q390" s="66" t="str">
        <f t="shared" si="21"/>
        <v/>
      </c>
      <c r="R390" s="56" t="s">
        <v>29</v>
      </c>
      <c r="S390" s="56" t="s">
        <v>29</v>
      </c>
      <c r="T390" s="56" t="s">
        <v>29</v>
      </c>
      <c r="U390" s="56" t="s">
        <v>29</v>
      </c>
      <c r="V390" s="56">
        <v>2</v>
      </c>
      <c r="W390" s="56">
        <v>647435</v>
      </c>
      <c r="X390" t="s">
        <v>29</v>
      </c>
      <c r="Y390" s="56">
        <v>23</v>
      </c>
      <c r="Z390" s="67" t="s">
        <v>29</v>
      </c>
      <c r="AA390" s="68" t="str">
        <f t="shared" si="22"/>
        <v/>
      </c>
      <c r="AB390" s="92">
        <f t="shared" si="20"/>
        <v>0</v>
      </c>
      <c r="AC390" s="92" t="str">
        <f>IFERROR(Table16[[#This Row],[Quantity Needed for repair]]*Table16[[#This Row],[Evaluated]],"")</f>
        <v/>
      </c>
    </row>
    <row r="391" spans="5:29" ht="15" thickBot="1" x14ac:dyDescent="0.4">
      <c r="E391" s="69">
        <v>3</v>
      </c>
      <c r="F391" s="70" t="s">
        <v>461</v>
      </c>
      <c r="G391" s="70">
        <v>13034642</v>
      </c>
      <c r="H391" s="70" t="s">
        <v>313</v>
      </c>
      <c r="I391" s="70" t="s">
        <v>351</v>
      </c>
      <c r="J391" s="70" t="s">
        <v>29</v>
      </c>
      <c r="K391" s="70">
        <v>1005293</v>
      </c>
      <c r="L391" s="71">
        <v>44473</v>
      </c>
      <c r="M391" s="70" t="s">
        <v>352</v>
      </c>
      <c r="N391" s="70" t="s">
        <v>29</v>
      </c>
      <c r="O391" s="70" t="s">
        <v>29</v>
      </c>
      <c r="P391" s="70" t="s">
        <v>29</v>
      </c>
      <c r="Q391" s="72" t="str">
        <f t="shared" si="21"/>
        <v/>
      </c>
      <c r="R391" s="70" t="s">
        <v>29</v>
      </c>
      <c r="S391" s="70" t="s">
        <v>29</v>
      </c>
      <c r="T391" s="70" t="s">
        <v>29</v>
      </c>
      <c r="U391" s="70" t="s">
        <v>29</v>
      </c>
      <c r="V391" s="70">
        <v>3</v>
      </c>
      <c r="W391" s="70">
        <v>418525</v>
      </c>
      <c r="X391" s="137">
        <v>5</v>
      </c>
      <c r="Y391" s="70">
        <v>6</v>
      </c>
      <c r="Z391" s="73" t="s">
        <v>29</v>
      </c>
      <c r="AA391" s="74">
        <f t="shared" si="22"/>
        <v>0.83333333333333337</v>
      </c>
      <c r="AB391" s="93">
        <f t="shared" si="20"/>
        <v>0</v>
      </c>
      <c r="AC391" s="93">
        <f>IFERROR(Table16[[#This Row],[Quantity Needed for repair]]*Table16[[#This Row],[Evaluated]],"")</f>
        <v>0</v>
      </c>
    </row>
    <row r="392" spans="5:29" x14ac:dyDescent="0.35">
      <c r="E392" s="57">
        <v>3</v>
      </c>
      <c r="F392" s="58" t="s">
        <v>462</v>
      </c>
      <c r="G392" s="58">
        <v>13044607</v>
      </c>
      <c r="H392" s="58" t="s">
        <v>313</v>
      </c>
      <c r="I392" s="58" t="s">
        <v>351</v>
      </c>
      <c r="J392" s="58" t="s">
        <v>29</v>
      </c>
      <c r="K392" s="58">
        <v>1005293</v>
      </c>
      <c r="L392" s="59">
        <v>44473</v>
      </c>
      <c r="M392" s="58" t="s">
        <v>352</v>
      </c>
      <c r="N392" s="58" t="s">
        <v>29</v>
      </c>
      <c r="O392" s="58" t="s">
        <v>29</v>
      </c>
      <c r="P392" s="58" t="s">
        <v>29</v>
      </c>
      <c r="Q392" s="60" t="str">
        <f t="shared" si="21"/>
        <v/>
      </c>
      <c r="R392" s="58" t="s">
        <v>29</v>
      </c>
      <c r="S392" s="58" t="s">
        <v>29</v>
      </c>
      <c r="T392" s="58" t="s">
        <v>29</v>
      </c>
      <c r="U392" s="58" t="s">
        <v>29</v>
      </c>
      <c r="V392" s="58">
        <v>1</v>
      </c>
      <c r="W392" s="58">
        <v>1130198</v>
      </c>
      <c r="X392" s="136">
        <v>12</v>
      </c>
      <c r="Y392" s="58">
        <v>33</v>
      </c>
      <c r="Z392" s="61" t="s">
        <v>29</v>
      </c>
      <c r="AA392" s="62">
        <f t="shared" si="22"/>
        <v>0.36363636363636365</v>
      </c>
      <c r="AB392" s="91">
        <f t="shared" si="20"/>
        <v>0</v>
      </c>
      <c r="AC392" s="91">
        <f>IFERROR(Table16[[#This Row],[Quantity Needed for repair]]*Table16[[#This Row],[Evaluated]],"")</f>
        <v>0</v>
      </c>
    </row>
    <row r="393" spans="5:29" x14ac:dyDescent="0.35">
      <c r="E393" s="64">
        <v>3</v>
      </c>
      <c r="F393" s="56" t="s">
        <v>462</v>
      </c>
      <c r="G393" s="56">
        <v>13044607</v>
      </c>
      <c r="H393" s="56" t="s">
        <v>313</v>
      </c>
      <c r="I393" s="56" t="s">
        <v>351</v>
      </c>
      <c r="J393" s="56" t="s">
        <v>29</v>
      </c>
      <c r="K393" s="56">
        <v>1005293</v>
      </c>
      <c r="L393" s="65">
        <v>44473</v>
      </c>
      <c r="M393" s="56" t="s">
        <v>352</v>
      </c>
      <c r="N393" s="56" t="s">
        <v>29</v>
      </c>
      <c r="O393" s="56" t="s">
        <v>29</v>
      </c>
      <c r="P393" s="56" t="s">
        <v>29</v>
      </c>
      <c r="Q393" s="66" t="str">
        <f t="shared" si="21"/>
        <v/>
      </c>
      <c r="R393" s="56" t="s">
        <v>29</v>
      </c>
      <c r="S393" s="56" t="s">
        <v>29</v>
      </c>
      <c r="T393" s="56" t="s">
        <v>29</v>
      </c>
      <c r="U393" s="56" t="s">
        <v>29</v>
      </c>
      <c r="V393" s="56">
        <v>2</v>
      </c>
      <c r="W393" s="56">
        <v>647435</v>
      </c>
      <c r="X393">
        <v>9</v>
      </c>
      <c r="Y393" s="56">
        <v>23</v>
      </c>
      <c r="Z393" s="67" t="s">
        <v>29</v>
      </c>
      <c r="AA393" s="68">
        <f t="shared" si="22"/>
        <v>0.39130434782608697</v>
      </c>
      <c r="AB393" s="92">
        <f t="shared" si="20"/>
        <v>0</v>
      </c>
      <c r="AC393" s="92">
        <f>IFERROR(Table16[[#This Row],[Quantity Needed for repair]]*Table16[[#This Row],[Evaluated]],"")</f>
        <v>0</v>
      </c>
    </row>
    <row r="394" spans="5:29" ht="15" thickBot="1" x14ac:dyDescent="0.4">
      <c r="E394" s="69">
        <v>3</v>
      </c>
      <c r="F394" s="70" t="s">
        <v>462</v>
      </c>
      <c r="G394" s="70">
        <v>13044607</v>
      </c>
      <c r="H394" s="70" t="s">
        <v>313</v>
      </c>
      <c r="I394" s="70" t="s">
        <v>351</v>
      </c>
      <c r="J394" s="70" t="s">
        <v>29</v>
      </c>
      <c r="K394" s="70">
        <v>1005293</v>
      </c>
      <c r="L394" s="71">
        <v>44473</v>
      </c>
      <c r="M394" s="70" t="s">
        <v>352</v>
      </c>
      <c r="N394" s="70" t="s">
        <v>29</v>
      </c>
      <c r="O394" s="70" t="s">
        <v>29</v>
      </c>
      <c r="P394" s="70" t="s">
        <v>29</v>
      </c>
      <c r="Q394" s="72" t="str">
        <f t="shared" si="21"/>
        <v/>
      </c>
      <c r="R394" s="70" t="s">
        <v>29</v>
      </c>
      <c r="S394" s="70" t="s">
        <v>29</v>
      </c>
      <c r="T394" s="70" t="s">
        <v>29</v>
      </c>
      <c r="U394" s="70" t="s">
        <v>29</v>
      </c>
      <c r="V394" s="70">
        <v>3</v>
      </c>
      <c r="W394" s="70">
        <v>418525</v>
      </c>
      <c r="X394" s="137">
        <v>6</v>
      </c>
      <c r="Y394" s="70">
        <v>6</v>
      </c>
      <c r="Z394" s="73" t="s">
        <v>29</v>
      </c>
      <c r="AA394" s="74">
        <f t="shared" si="22"/>
        <v>1</v>
      </c>
      <c r="AB394" s="93">
        <f t="shared" si="20"/>
        <v>0</v>
      </c>
      <c r="AC394" s="93">
        <f>IFERROR(Table16[[#This Row],[Quantity Needed for repair]]*Table16[[#This Row],[Evaluated]],"")</f>
        <v>0</v>
      </c>
    </row>
    <row r="395" spans="5:29" x14ac:dyDescent="0.35">
      <c r="E395" s="57">
        <v>3</v>
      </c>
      <c r="F395" s="58" t="s">
        <v>463</v>
      </c>
      <c r="G395" s="58">
        <v>12914962</v>
      </c>
      <c r="H395" s="58" t="s">
        <v>315</v>
      </c>
      <c r="I395" s="58" t="s">
        <v>367</v>
      </c>
      <c r="J395" s="58" t="s">
        <v>29</v>
      </c>
      <c r="K395" s="58">
        <v>1020531</v>
      </c>
      <c r="L395" s="59">
        <v>44473</v>
      </c>
      <c r="M395" s="58" t="s">
        <v>352</v>
      </c>
      <c r="N395" s="58" t="s">
        <v>29</v>
      </c>
      <c r="O395" s="58" t="s">
        <v>29</v>
      </c>
      <c r="P395" s="58" t="s">
        <v>29</v>
      </c>
      <c r="Q395" s="60" t="str">
        <f t="shared" si="21"/>
        <v/>
      </c>
      <c r="R395" s="58" t="s">
        <v>29</v>
      </c>
      <c r="S395" s="58" t="s">
        <v>29</v>
      </c>
      <c r="T395" s="58" t="s">
        <v>29</v>
      </c>
      <c r="U395" s="58" t="s">
        <v>29</v>
      </c>
      <c r="V395" s="58">
        <v>1</v>
      </c>
      <c r="W395" s="58">
        <v>1130198</v>
      </c>
      <c r="X395" s="136">
        <v>14</v>
      </c>
      <c r="Y395" s="58">
        <v>77</v>
      </c>
      <c r="Z395" s="61" t="s">
        <v>29</v>
      </c>
      <c r="AA395" s="62">
        <f t="shared" si="22"/>
        <v>0.18181818181818182</v>
      </c>
      <c r="AB395" s="91">
        <f t="shared" si="20"/>
        <v>0</v>
      </c>
      <c r="AC395" s="91">
        <f>IFERROR(Table16[[#This Row],[Quantity Needed for repair]]*Table16[[#This Row],[Evaluated]],"")</f>
        <v>0</v>
      </c>
    </row>
    <row r="396" spans="5:29" x14ac:dyDescent="0.35">
      <c r="E396" s="64">
        <v>3</v>
      </c>
      <c r="F396" s="56" t="s">
        <v>463</v>
      </c>
      <c r="G396" s="56">
        <v>12914962</v>
      </c>
      <c r="H396" s="56" t="s">
        <v>315</v>
      </c>
      <c r="I396" s="56" t="s">
        <v>367</v>
      </c>
      <c r="J396" s="56" t="s">
        <v>29</v>
      </c>
      <c r="K396" s="56">
        <v>1020531</v>
      </c>
      <c r="L396" s="65">
        <v>44473</v>
      </c>
      <c r="M396" s="56" t="s">
        <v>352</v>
      </c>
      <c r="N396" s="56" t="s">
        <v>29</v>
      </c>
      <c r="O396" s="56" t="s">
        <v>29</v>
      </c>
      <c r="P396" s="56" t="s">
        <v>29</v>
      </c>
      <c r="Q396" s="66" t="str">
        <f t="shared" si="21"/>
        <v/>
      </c>
      <c r="R396" s="56" t="s">
        <v>29</v>
      </c>
      <c r="S396" s="56" t="s">
        <v>29</v>
      </c>
      <c r="T396" s="56" t="s">
        <v>29</v>
      </c>
      <c r="U396" s="56" t="s">
        <v>29</v>
      </c>
      <c r="V396" s="56">
        <v>2</v>
      </c>
      <c r="W396" s="56">
        <v>1130200</v>
      </c>
      <c r="X396">
        <v>1</v>
      </c>
      <c r="Y396" s="56">
        <v>24</v>
      </c>
      <c r="Z396" s="67" t="s">
        <v>29</v>
      </c>
      <c r="AA396" s="68">
        <f t="shared" si="22"/>
        <v>4.1666666666666664E-2</v>
      </c>
      <c r="AB396" s="92">
        <f t="shared" si="20"/>
        <v>0</v>
      </c>
      <c r="AC396" s="92">
        <f>IFERROR(Table16[[#This Row],[Quantity Needed for repair]]*Table16[[#This Row],[Evaluated]],"")</f>
        <v>0</v>
      </c>
    </row>
    <row r="397" spans="5:29" x14ac:dyDescent="0.35">
      <c r="E397" s="64">
        <v>3</v>
      </c>
      <c r="F397" s="56" t="s">
        <v>463</v>
      </c>
      <c r="G397" s="56">
        <v>12914962</v>
      </c>
      <c r="H397" s="56" t="s">
        <v>315</v>
      </c>
      <c r="I397" s="56" t="s">
        <v>367</v>
      </c>
      <c r="J397" s="56" t="s">
        <v>29</v>
      </c>
      <c r="K397" s="56">
        <v>1020531</v>
      </c>
      <c r="L397" s="65">
        <v>44473</v>
      </c>
      <c r="M397" s="56" t="s">
        <v>352</v>
      </c>
      <c r="N397" s="56" t="s">
        <v>29</v>
      </c>
      <c r="O397" s="56" t="s">
        <v>29</v>
      </c>
      <c r="P397" s="56" t="s">
        <v>29</v>
      </c>
      <c r="Q397" s="66" t="str">
        <f t="shared" si="21"/>
        <v/>
      </c>
      <c r="R397" s="56" t="s">
        <v>29</v>
      </c>
      <c r="S397" s="56" t="s">
        <v>29</v>
      </c>
      <c r="T397" s="56" t="s">
        <v>29</v>
      </c>
      <c r="U397" s="56" t="s">
        <v>29</v>
      </c>
      <c r="V397" s="56">
        <v>3</v>
      </c>
      <c r="W397" s="56">
        <v>418525</v>
      </c>
      <c r="X397">
        <v>8</v>
      </c>
      <c r="Y397" s="56">
        <v>8</v>
      </c>
      <c r="Z397" s="67" t="s">
        <v>29</v>
      </c>
      <c r="AA397" s="68">
        <f t="shared" si="22"/>
        <v>1</v>
      </c>
      <c r="AB397" s="92">
        <f t="shared" si="20"/>
        <v>0</v>
      </c>
      <c r="AC397" s="92">
        <f>IFERROR(Table16[[#This Row],[Quantity Needed for repair]]*Table16[[#This Row],[Evaluated]],"")</f>
        <v>0</v>
      </c>
    </row>
    <row r="398" spans="5:29" x14ac:dyDescent="0.35">
      <c r="E398" s="64">
        <v>3</v>
      </c>
      <c r="F398" s="56" t="s">
        <v>463</v>
      </c>
      <c r="G398" s="56">
        <v>12914962</v>
      </c>
      <c r="H398" s="56" t="s">
        <v>315</v>
      </c>
      <c r="I398" s="56" t="s">
        <v>367</v>
      </c>
      <c r="J398" s="56" t="s">
        <v>29</v>
      </c>
      <c r="K398" s="56">
        <v>1020531</v>
      </c>
      <c r="L398" s="65">
        <v>44473</v>
      </c>
      <c r="M398" s="56" t="s">
        <v>352</v>
      </c>
      <c r="N398" s="56" t="s">
        <v>29</v>
      </c>
      <c r="O398" s="56" t="s">
        <v>29</v>
      </c>
      <c r="P398" s="56" t="s">
        <v>29</v>
      </c>
      <c r="Q398" s="66" t="str">
        <f t="shared" si="21"/>
        <v/>
      </c>
      <c r="R398" s="56" t="s">
        <v>29</v>
      </c>
      <c r="S398" s="56" t="s">
        <v>29</v>
      </c>
      <c r="T398" s="56" t="s">
        <v>29</v>
      </c>
      <c r="U398" s="56" t="s">
        <v>29</v>
      </c>
      <c r="V398" s="56">
        <v>4</v>
      </c>
      <c r="W398" s="56">
        <v>1100741</v>
      </c>
      <c r="X398"/>
      <c r="Y398" s="56">
        <v>9</v>
      </c>
      <c r="Z398" s="67" t="s">
        <v>29</v>
      </c>
      <c r="AA398" s="68">
        <f t="shared" si="22"/>
        <v>0</v>
      </c>
      <c r="AB398" s="92">
        <f t="shared" si="20"/>
        <v>0</v>
      </c>
      <c r="AC398" s="92">
        <f>IFERROR(Table16[[#This Row],[Quantity Needed for repair]]*Table16[[#This Row],[Evaluated]],"")</f>
        <v>0</v>
      </c>
    </row>
    <row r="399" spans="5:29" ht="15" thickBot="1" x14ac:dyDescent="0.4">
      <c r="E399" s="69">
        <v>3</v>
      </c>
      <c r="F399" s="70" t="s">
        <v>463</v>
      </c>
      <c r="G399" s="70">
        <v>12914962</v>
      </c>
      <c r="H399" s="70" t="s">
        <v>315</v>
      </c>
      <c r="I399" s="70" t="s">
        <v>367</v>
      </c>
      <c r="J399" s="70" t="s">
        <v>29</v>
      </c>
      <c r="K399" s="70">
        <v>1020531</v>
      </c>
      <c r="L399" s="71">
        <v>44473</v>
      </c>
      <c r="M399" s="70" t="s">
        <v>352</v>
      </c>
      <c r="N399" s="70" t="s">
        <v>29</v>
      </c>
      <c r="O399" s="70" t="s">
        <v>29</v>
      </c>
      <c r="P399" s="70" t="s">
        <v>29</v>
      </c>
      <c r="Q399" s="72" t="str">
        <f t="shared" si="21"/>
        <v/>
      </c>
      <c r="R399" s="70" t="s">
        <v>29</v>
      </c>
      <c r="S399" s="70" t="s">
        <v>29</v>
      </c>
      <c r="T399" s="70" t="s">
        <v>29</v>
      </c>
      <c r="U399" s="70" t="s">
        <v>29</v>
      </c>
      <c r="V399" s="70">
        <v>5</v>
      </c>
      <c r="W399" s="70">
        <v>1130197</v>
      </c>
      <c r="X399" s="137"/>
      <c r="Y399" s="70">
        <v>8</v>
      </c>
      <c r="Z399" s="73" t="s">
        <v>29</v>
      </c>
      <c r="AA399" s="74">
        <f t="shared" si="22"/>
        <v>0</v>
      </c>
      <c r="AB399" s="93">
        <f t="shared" si="20"/>
        <v>0</v>
      </c>
      <c r="AC399" s="93">
        <f>IFERROR(Table16[[#This Row],[Quantity Needed for repair]]*Table16[[#This Row],[Evaluated]],"")</f>
        <v>0</v>
      </c>
    </row>
    <row r="400" spans="5:29" x14ac:dyDescent="0.35">
      <c r="E400" s="57">
        <v>3</v>
      </c>
      <c r="F400" s="58" t="s">
        <v>464</v>
      </c>
      <c r="G400" s="58">
        <v>12947675</v>
      </c>
      <c r="H400" s="58" t="s">
        <v>315</v>
      </c>
      <c r="I400" s="58" t="s">
        <v>367</v>
      </c>
      <c r="J400" s="58" t="s">
        <v>29</v>
      </c>
      <c r="K400" s="58">
        <v>1005462</v>
      </c>
      <c r="L400" s="59">
        <v>44473</v>
      </c>
      <c r="M400" s="58" t="s">
        <v>352</v>
      </c>
      <c r="N400" s="58" t="s">
        <v>29</v>
      </c>
      <c r="O400" s="58" t="s">
        <v>29</v>
      </c>
      <c r="P400" s="58" t="s">
        <v>29</v>
      </c>
      <c r="Q400" s="60" t="str">
        <f t="shared" si="21"/>
        <v/>
      </c>
      <c r="R400" s="58" t="s">
        <v>29</v>
      </c>
      <c r="S400" s="58" t="s">
        <v>29</v>
      </c>
      <c r="T400" s="58" t="s">
        <v>29</v>
      </c>
      <c r="U400" s="58" t="s">
        <v>29</v>
      </c>
      <c r="V400" s="58">
        <v>1</v>
      </c>
      <c r="W400" s="58">
        <v>1130200</v>
      </c>
      <c r="X400" s="136">
        <v>9</v>
      </c>
      <c r="Y400" s="58">
        <v>48</v>
      </c>
      <c r="Z400" s="61" t="s">
        <v>29</v>
      </c>
      <c r="AA400" s="62">
        <f t="shared" si="22"/>
        <v>0.1875</v>
      </c>
      <c r="AB400" s="91">
        <f t="shared" si="20"/>
        <v>0</v>
      </c>
      <c r="AC400" s="91">
        <f>IFERROR(Table16[[#This Row],[Quantity Needed for repair]]*Table16[[#This Row],[Evaluated]],"")</f>
        <v>0</v>
      </c>
    </row>
    <row r="401" spans="5:29" x14ac:dyDescent="0.35">
      <c r="E401" s="64">
        <v>3</v>
      </c>
      <c r="F401" s="56" t="s">
        <v>464</v>
      </c>
      <c r="G401" s="56">
        <v>12947675</v>
      </c>
      <c r="H401" s="56" t="s">
        <v>315</v>
      </c>
      <c r="I401" s="56" t="s">
        <v>367</v>
      </c>
      <c r="J401" s="56" t="s">
        <v>29</v>
      </c>
      <c r="K401" s="56">
        <v>1005462</v>
      </c>
      <c r="L401" s="65">
        <v>44473</v>
      </c>
      <c r="M401" s="56" t="s">
        <v>352</v>
      </c>
      <c r="N401" s="56" t="s">
        <v>29</v>
      </c>
      <c r="O401" s="56" t="s">
        <v>29</v>
      </c>
      <c r="P401" s="56" t="s">
        <v>29</v>
      </c>
      <c r="Q401" s="66" t="str">
        <f t="shared" si="21"/>
        <v/>
      </c>
      <c r="R401" s="56" t="s">
        <v>29</v>
      </c>
      <c r="S401" s="56" t="s">
        <v>29</v>
      </c>
      <c r="T401" s="56" t="s">
        <v>29</v>
      </c>
      <c r="U401" s="56" t="s">
        <v>29</v>
      </c>
      <c r="V401" s="56">
        <v>2</v>
      </c>
      <c r="W401" s="56">
        <v>1130198</v>
      </c>
      <c r="X401" t="s">
        <v>29</v>
      </c>
      <c r="Y401" s="56">
        <v>9</v>
      </c>
      <c r="Z401" s="67" t="s">
        <v>29</v>
      </c>
      <c r="AA401" s="68" t="str">
        <f t="shared" si="22"/>
        <v/>
      </c>
      <c r="AB401" s="92">
        <f t="shared" si="20"/>
        <v>0</v>
      </c>
      <c r="AC401" s="92" t="str">
        <f>IFERROR(Table16[[#This Row],[Quantity Needed for repair]]*Table16[[#This Row],[Evaluated]],"")</f>
        <v/>
      </c>
    </row>
    <row r="402" spans="5:29" x14ac:dyDescent="0.35">
      <c r="E402" s="64">
        <v>3</v>
      </c>
      <c r="F402" s="56" t="s">
        <v>464</v>
      </c>
      <c r="G402" s="56">
        <v>12947675</v>
      </c>
      <c r="H402" s="56" t="s">
        <v>315</v>
      </c>
      <c r="I402" s="56" t="s">
        <v>367</v>
      </c>
      <c r="J402" s="56" t="s">
        <v>29</v>
      </c>
      <c r="K402" s="56">
        <v>1005462</v>
      </c>
      <c r="L402" s="65">
        <v>44473</v>
      </c>
      <c r="M402" s="56" t="s">
        <v>352</v>
      </c>
      <c r="N402" s="56" t="s">
        <v>29</v>
      </c>
      <c r="O402" s="56" t="s">
        <v>29</v>
      </c>
      <c r="P402" s="56" t="s">
        <v>29</v>
      </c>
      <c r="Q402" s="66" t="str">
        <f t="shared" si="21"/>
        <v/>
      </c>
      <c r="R402" s="56" t="s">
        <v>29</v>
      </c>
      <c r="S402" s="56" t="s">
        <v>29</v>
      </c>
      <c r="T402" s="56" t="s">
        <v>29</v>
      </c>
      <c r="U402" s="56" t="s">
        <v>29</v>
      </c>
      <c r="V402" s="56">
        <v>3</v>
      </c>
      <c r="W402" s="56">
        <v>708306</v>
      </c>
      <c r="X402">
        <v>5</v>
      </c>
      <c r="Y402" s="56">
        <v>34</v>
      </c>
      <c r="Z402" s="67" t="s">
        <v>29</v>
      </c>
      <c r="AA402" s="68">
        <f t="shared" si="22"/>
        <v>0.14705882352941177</v>
      </c>
      <c r="AB402" s="92">
        <f t="shared" si="20"/>
        <v>0</v>
      </c>
      <c r="AC402" s="92">
        <f>IFERROR(Table16[[#This Row],[Quantity Needed for repair]]*Table16[[#This Row],[Evaluated]],"")</f>
        <v>0</v>
      </c>
    </row>
    <row r="403" spans="5:29" x14ac:dyDescent="0.35">
      <c r="E403" s="64">
        <v>3</v>
      </c>
      <c r="F403" s="56" t="s">
        <v>464</v>
      </c>
      <c r="G403" s="56">
        <v>12947675</v>
      </c>
      <c r="H403" s="56" t="s">
        <v>315</v>
      </c>
      <c r="I403" s="56" t="s">
        <v>367</v>
      </c>
      <c r="J403" s="56" t="s">
        <v>29</v>
      </c>
      <c r="K403" s="56">
        <v>1005462</v>
      </c>
      <c r="L403" s="65">
        <v>44473</v>
      </c>
      <c r="M403" s="56" t="s">
        <v>352</v>
      </c>
      <c r="N403" s="56" t="s">
        <v>29</v>
      </c>
      <c r="O403" s="56" t="s">
        <v>29</v>
      </c>
      <c r="P403" s="56" t="s">
        <v>29</v>
      </c>
      <c r="Q403" s="66" t="str">
        <f t="shared" si="21"/>
        <v/>
      </c>
      <c r="R403" s="56" t="s">
        <v>29</v>
      </c>
      <c r="S403" s="56" t="s">
        <v>29</v>
      </c>
      <c r="T403" s="56" t="s">
        <v>29</v>
      </c>
      <c r="U403" s="56" t="s">
        <v>29</v>
      </c>
      <c r="V403" s="56">
        <v>4</v>
      </c>
      <c r="W403" s="56">
        <v>871781</v>
      </c>
      <c r="X403">
        <v>1</v>
      </c>
      <c r="Y403" s="56">
        <v>4</v>
      </c>
      <c r="Z403" s="67" t="s">
        <v>29</v>
      </c>
      <c r="AA403" s="68">
        <f t="shared" si="22"/>
        <v>0.25</v>
      </c>
      <c r="AB403" s="92">
        <f t="shared" si="20"/>
        <v>0</v>
      </c>
      <c r="AC403" s="92">
        <f>IFERROR(Table16[[#This Row],[Quantity Needed for repair]]*Table16[[#This Row],[Evaluated]],"")</f>
        <v>0</v>
      </c>
    </row>
    <row r="404" spans="5:29" ht="15" thickBot="1" x14ac:dyDescent="0.4">
      <c r="E404" s="69">
        <v>3</v>
      </c>
      <c r="F404" s="70" t="s">
        <v>464</v>
      </c>
      <c r="G404" s="70">
        <v>12947675</v>
      </c>
      <c r="H404" s="70" t="s">
        <v>315</v>
      </c>
      <c r="I404" s="70" t="s">
        <v>367</v>
      </c>
      <c r="J404" s="70" t="s">
        <v>29</v>
      </c>
      <c r="K404" s="70">
        <v>1005462</v>
      </c>
      <c r="L404" s="71">
        <v>44473</v>
      </c>
      <c r="M404" s="70" t="s">
        <v>352</v>
      </c>
      <c r="N404" s="70" t="s">
        <v>29</v>
      </c>
      <c r="O404" s="70" t="s">
        <v>29</v>
      </c>
      <c r="P404" s="70" t="s">
        <v>29</v>
      </c>
      <c r="Q404" s="72" t="str">
        <f t="shared" si="21"/>
        <v/>
      </c>
      <c r="R404" s="70" t="s">
        <v>29</v>
      </c>
      <c r="S404" s="70" t="s">
        <v>29</v>
      </c>
      <c r="T404" s="70" t="s">
        <v>29</v>
      </c>
      <c r="U404" s="70" t="s">
        <v>29</v>
      </c>
      <c r="V404" s="70">
        <v>5</v>
      </c>
      <c r="W404" s="70">
        <v>418525</v>
      </c>
      <c r="X404" s="137">
        <v>4</v>
      </c>
      <c r="Y404" s="70">
        <v>4</v>
      </c>
      <c r="Z404" s="73" t="s">
        <v>29</v>
      </c>
      <c r="AA404" s="74">
        <f t="shared" si="22"/>
        <v>1</v>
      </c>
      <c r="AB404" s="93">
        <f t="shared" si="20"/>
        <v>0</v>
      </c>
      <c r="AC404" s="93">
        <f>IFERROR(Table16[[#This Row],[Quantity Needed for repair]]*Table16[[#This Row],[Evaluated]],"")</f>
        <v>0</v>
      </c>
    </row>
    <row r="405" spans="5:29" x14ac:dyDescent="0.35">
      <c r="E405" s="57">
        <v>3</v>
      </c>
      <c r="F405" s="58" t="s">
        <v>466</v>
      </c>
      <c r="G405" s="58">
        <v>12955825</v>
      </c>
      <c r="H405" s="58" t="s">
        <v>315</v>
      </c>
      <c r="I405" s="58" t="s">
        <v>367</v>
      </c>
      <c r="J405" s="58" t="s">
        <v>29</v>
      </c>
      <c r="K405" s="58">
        <v>1005462</v>
      </c>
      <c r="L405" s="59">
        <v>44473</v>
      </c>
      <c r="M405" s="58" t="s">
        <v>352</v>
      </c>
      <c r="N405" s="58" t="s">
        <v>29</v>
      </c>
      <c r="O405" s="58" t="s">
        <v>29</v>
      </c>
      <c r="P405" s="58" t="s">
        <v>29</v>
      </c>
      <c r="Q405" s="60" t="str">
        <f t="shared" si="21"/>
        <v/>
      </c>
      <c r="R405" s="58" t="s">
        <v>29</v>
      </c>
      <c r="S405" s="58" t="s">
        <v>29</v>
      </c>
      <c r="T405" s="58" t="s">
        <v>29</v>
      </c>
      <c r="U405" s="58" t="s">
        <v>29</v>
      </c>
      <c r="V405" s="58">
        <v>1</v>
      </c>
      <c r="W405" s="58">
        <v>1130200</v>
      </c>
      <c r="X405" s="136">
        <v>19</v>
      </c>
      <c r="Y405" s="58">
        <v>48</v>
      </c>
      <c r="Z405" s="61" t="s">
        <v>29</v>
      </c>
      <c r="AA405" s="62">
        <f t="shared" si="22"/>
        <v>0.39583333333333331</v>
      </c>
      <c r="AB405" s="91">
        <f t="shared" si="20"/>
        <v>0</v>
      </c>
      <c r="AC405" s="91">
        <f>IFERROR(Table16[[#This Row],[Quantity Needed for repair]]*Table16[[#This Row],[Evaluated]],"")</f>
        <v>0</v>
      </c>
    </row>
    <row r="406" spans="5:29" x14ac:dyDescent="0.35">
      <c r="E406" s="64">
        <v>3</v>
      </c>
      <c r="F406" s="56" t="s">
        <v>466</v>
      </c>
      <c r="G406" s="56">
        <v>12955825</v>
      </c>
      <c r="H406" s="56" t="s">
        <v>315</v>
      </c>
      <c r="I406" s="56" t="s">
        <v>367</v>
      </c>
      <c r="J406" s="56" t="s">
        <v>29</v>
      </c>
      <c r="K406" s="56">
        <v>1005462</v>
      </c>
      <c r="L406" s="65">
        <v>44473</v>
      </c>
      <c r="M406" s="56" t="s">
        <v>352</v>
      </c>
      <c r="N406" s="56" t="s">
        <v>29</v>
      </c>
      <c r="O406" s="56" t="s">
        <v>29</v>
      </c>
      <c r="P406" s="56" t="s">
        <v>29</v>
      </c>
      <c r="Q406" s="66" t="str">
        <f t="shared" si="21"/>
        <v/>
      </c>
      <c r="R406" s="56" t="s">
        <v>29</v>
      </c>
      <c r="S406" s="56" t="s">
        <v>29</v>
      </c>
      <c r="T406" s="56" t="s">
        <v>29</v>
      </c>
      <c r="U406" s="56" t="s">
        <v>29</v>
      </c>
      <c r="V406" s="56">
        <v>2</v>
      </c>
      <c r="W406" s="56">
        <v>1130198</v>
      </c>
      <c r="X406" t="s">
        <v>29</v>
      </c>
      <c r="Y406" s="56">
        <v>9</v>
      </c>
      <c r="Z406" s="67" t="s">
        <v>29</v>
      </c>
      <c r="AA406" s="68" t="str">
        <f t="shared" si="22"/>
        <v/>
      </c>
      <c r="AB406" s="92">
        <f t="shared" si="20"/>
        <v>0</v>
      </c>
      <c r="AC406" s="92" t="str">
        <f>IFERROR(Table16[[#This Row],[Quantity Needed for repair]]*Table16[[#This Row],[Evaluated]],"")</f>
        <v/>
      </c>
    </row>
    <row r="407" spans="5:29" x14ac:dyDescent="0.35">
      <c r="E407" s="64">
        <v>3</v>
      </c>
      <c r="F407" s="56" t="s">
        <v>466</v>
      </c>
      <c r="G407" s="56">
        <v>12955825</v>
      </c>
      <c r="H407" s="56" t="s">
        <v>315</v>
      </c>
      <c r="I407" s="56" t="s">
        <v>367</v>
      </c>
      <c r="J407" s="56" t="s">
        <v>29</v>
      </c>
      <c r="K407" s="56">
        <v>1005462</v>
      </c>
      <c r="L407" s="65">
        <v>44473</v>
      </c>
      <c r="M407" s="56" t="s">
        <v>352</v>
      </c>
      <c r="N407" s="56" t="s">
        <v>29</v>
      </c>
      <c r="O407" s="56" t="s">
        <v>29</v>
      </c>
      <c r="P407" s="56" t="s">
        <v>29</v>
      </c>
      <c r="Q407" s="66" t="str">
        <f t="shared" si="21"/>
        <v/>
      </c>
      <c r="R407" s="56" t="s">
        <v>29</v>
      </c>
      <c r="S407" s="56" t="s">
        <v>29</v>
      </c>
      <c r="T407" s="56" t="s">
        <v>29</v>
      </c>
      <c r="U407" s="56" t="s">
        <v>29</v>
      </c>
      <c r="V407" s="56">
        <v>3</v>
      </c>
      <c r="W407" s="56">
        <v>708306</v>
      </c>
      <c r="X407">
        <v>10</v>
      </c>
      <c r="Y407" s="56">
        <v>34</v>
      </c>
      <c r="Z407" s="67" t="s">
        <v>29</v>
      </c>
      <c r="AA407" s="68">
        <f t="shared" si="22"/>
        <v>0.29411764705882354</v>
      </c>
      <c r="AB407" s="92">
        <f t="shared" si="20"/>
        <v>0</v>
      </c>
      <c r="AC407" s="92">
        <f>IFERROR(Table16[[#This Row],[Quantity Needed for repair]]*Table16[[#This Row],[Evaluated]],"")</f>
        <v>0</v>
      </c>
    </row>
    <row r="408" spans="5:29" x14ac:dyDescent="0.35">
      <c r="E408" s="64">
        <v>3</v>
      </c>
      <c r="F408" s="56" t="s">
        <v>466</v>
      </c>
      <c r="G408" s="56">
        <v>12955825</v>
      </c>
      <c r="H408" s="56" t="s">
        <v>315</v>
      </c>
      <c r="I408" s="56" t="s">
        <v>367</v>
      </c>
      <c r="J408" s="56" t="s">
        <v>29</v>
      </c>
      <c r="K408" s="56">
        <v>1005462</v>
      </c>
      <c r="L408" s="65">
        <v>44473</v>
      </c>
      <c r="M408" s="56" t="s">
        <v>352</v>
      </c>
      <c r="N408" s="56" t="s">
        <v>29</v>
      </c>
      <c r="O408" s="56" t="s">
        <v>29</v>
      </c>
      <c r="P408" s="56" t="s">
        <v>29</v>
      </c>
      <c r="Q408" s="66" t="str">
        <f t="shared" si="21"/>
        <v/>
      </c>
      <c r="R408" s="56" t="s">
        <v>29</v>
      </c>
      <c r="S408" s="56" t="s">
        <v>29</v>
      </c>
      <c r="T408" s="56" t="s">
        <v>29</v>
      </c>
      <c r="U408" s="56" t="s">
        <v>29</v>
      </c>
      <c r="V408" s="56">
        <v>4</v>
      </c>
      <c r="W408" s="56">
        <v>871781</v>
      </c>
      <c r="X408" t="s">
        <v>29</v>
      </c>
      <c r="Y408" s="56">
        <v>4</v>
      </c>
      <c r="Z408" s="67" t="s">
        <v>29</v>
      </c>
      <c r="AA408" s="68" t="str">
        <f t="shared" si="22"/>
        <v/>
      </c>
      <c r="AB408" s="92">
        <f t="shared" si="20"/>
        <v>0</v>
      </c>
      <c r="AC408" s="92" t="str">
        <f>IFERROR(Table16[[#This Row],[Quantity Needed for repair]]*Table16[[#This Row],[Evaluated]],"")</f>
        <v/>
      </c>
    </row>
    <row r="409" spans="5:29" ht="15" thickBot="1" x14ac:dyDescent="0.4">
      <c r="E409" s="69">
        <v>3</v>
      </c>
      <c r="F409" s="70" t="s">
        <v>466</v>
      </c>
      <c r="G409" s="70">
        <v>12955825</v>
      </c>
      <c r="H409" s="70" t="s">
        <v>315</v>
      </c>
      <c r="I409" s="70" t="s">
        <v>367</v>
      </c>
      <c r="J409" s="70" t="s">
        <v>29</v>
      </c>
      <c r="K409" s="70">
        <v>1005462</v>
      </c>
      <c r="L409" s="71">
        <v>44473</v>
      </c>
      <c r="M409" s="70" t="s">
        <v>352</v>
      </c>
      <c r="N409" s="70" t="s">
        <v>29</v>
      </c>
      <c r="O409" s="70" t="s">
        <v>29</v>
      </c>
      <c r="P409" s="70" t="s">
        <v>29</v>
      </c>
      <c r="Q409" s="72" t="str">
        <f t="shared" si="21"/>
        <v/>
      </c>
      <c r="R409" s="70" t="s">
        <v>29</v>
      </c>
      <c r="S409" s="70" t="s">
        <v>29</v>
      </c>
      <c r="T409" s="70" t="s">
        <v>29</v>
      </c>
      <c r="U409" s="70" t="s">
        <v>29</v>
      </c>
      <c r="V409" s="70">
        <v>5</v>
      </c>
      <c r="W409" s="70">
        <v>418525</v>
      </c>
      <c r="X409" s="137">
        <v>4</v>
      </c>
      <c r="Y409" s="70">
        <v>4</v>
      </c>
      <c r="Z409" s="73" t="s">
        <v>29</v>
      </c>
      <c r="AA409" s="74">
        <f t="shared" si="22"/>
        <v>1</v>
      </c>
      <c r="AB409" s="93">
        <f t="shared" si="20"/>
        <v>0</v>
      </c>
      <c r="AC409" s="93">
        <f>IFERROR(Table16[[#This Row],[Quantity Needed for repair]]*Table16[[#This Row],[Evaluated]],"")</f>
        <v>0</v>
      </c>
    </row>
    <row r="410" spans="5:29" x14ac:dyDescent="0.35">
      <c r="E410" s="57">
        <v>3</v>
      </c>
      <c r="F410" s="58" t="s">
        <v>467</v>
      </c>
      <c r="G410" s="58">
        <v>12925421</v>
      </c>
      <c r="H410" s="58" t="s">
        <v>315</v>
      </c>
      <c r="I410" s="58" t="s">
        <v>367</v>
      </c>
      <c r="J410" s="58" t="s">
        <v>29</v>
      </c>
      <c r="K410" s="58">
        <v>1005462</v>
      </c>
      <c r="L410" s="59">
        <v>44473</v>
      </c>
      <c r="M410" s="58" t="s">
        <v>352</v>
      </c>
      <c r="N410" s="58" t="s">
        <v>29</v>
      </c>
      <c r="O410" s="58" t="s">
        <v>29</v>
      </c>
      <c r="P410" s="58" t="s">
        <v>29</v>
      </c>
      <c r="Q410" s="60" t="str">
        <f t="shared" si="21"/>
        <v/>
      </c>
      <c r="R410" s="58" t="s">
        <v>29</v>
      </c>
      <c r="S410" s="58" t="s">
        <v>29</v>
      </c>
      <c r="T410" s="58" t="s">
        <v>29</v>
      </c>
      <c r="U410" s="58" t="s">
        <v>29</v>
      </c>
      <c r="V410" s="58">
        <v>1</v>
      </c>
      <c r="W410" s="58">
        <v>1130200</v>
      </c>
      <c r="X410" s="136">
        <v>12</v>
      </c>
      <c r="Y410" s="58">
        <v>48</v>
      </c>
      <c r="Z410" s="61" t="s">
        <v>29</v>
      </c>
      <c r="AA410" s="62">
        <f t="shared" si="22"/>
        <v>0.25</v>
      </c>
      <c r="AB410" s="91">
        <f t="shared" si="20"/>
        <v>0</v>
      </c>
      <c r="AC410" s="91">
        <f>IFERROR(Table16[[#This Row],[Quantity Needed for repair]]*Table16[[#This Row],[Evaluated]],"")</f>
        <v>0</v>
      </c>
    </row>
    <row r="411" spans="5:29" x14ac:dyDescent="0.35">
      <c r="E411" s="64">
        <v>3</v>
      </c>
      <c r="F411" s="56" t="s">
        <v>467</v>
      </c>
      <c r="G411" s="56">
        <v>12925421</v>
      </c>
      <c r="H411" s="56" t="s">
        <v>315</v>
      </c>
      <c r="I411" s="56" t="s">
        <v>367</v>
      </c>
      <c r="J411" s="56" t="s">
        <v>29</v>
      </c>
      <c r="K411" s="56">
        <v>1005462</v>
      </c>
      <c r="L411" s="65">
        <v>44473</v>
      </c>
      <c r="M411" s="56" t="s">
        <v>352</v>
      </c>
      <c r="N411" s="56" t="s">
        <v>29</v>
      </c>
      <c r="O411" s="56" t="s">
        <v>29</v>
      </c>
      <c r="P411" s="56" t="s">
        <v>29</v>
      </c>
      <c r="Q411" s="66" t="str">
        <f t="shared" si="21"/>
        <v/>
      </c>
      <c r="R411" s="56" t="s">
        <v>29</v>
      </c>
      <c r="S411" s="56" t="s">
        <v>29</v>
      </c>
      <c r="T411" s="56" t="s">
        <v>29</v>
      </c>
      <c r="U411" s="56" t="s">
        <v>29</v>
      </c>
      <c r="V411" s="56">
        <v>2</v>
      </c>
      <c r="W411" s="56">
        <v>1130198</v>
      </c>
      <c r="X411">
        <v>1</v>
      </c>
      <c r="Y411" s="56">
        <v>9</v>
      </c>
      <c r="Z411" s="67" t="s">
        <v>29</v>
      </c>
      <c r="AA411" s="68">
        <f t="shared" si="22"/>
        <v>0.1111111111111111</v>
      </c>
      <c r="AB411" s="92">
        <f t="shared" si="20"/>
        <v>0</v>
      </c>
      <c r="AC411" s="92">
        <f>IFERROR(Table16[[#This Row],[Quantity Needed for repair]]*Table16[[#This Row],[Evaluated]],"")</f>
        <v>0</v>
      </c>
    </row>
    <row r="412" spans="5:29" x14ac:dyDescent="0.35">
      <c r="E412" s="64">
        <v>3</v>
      </c>
      <c r="F412" s="56" t="s">
        <v>467</v>
      </c>
      <c r="G412" s="56">
        <v>12925421</v>
      </c>
      <c r="H412" s="56" t="s">
        <v>315</v>
      </c>
      <c r="I412" s="56" t="s">
        <v>367</v>
      </c>
      <c r="J412" s="56" t="s">
        <v>29</v>
      </c>
      <c r="K412" s="56">
        <v>1005462</v>
      </c>
      <c r="L412" s="65">
        <v>44473</v>
      </c>
      <c r="M412" s="56" t="s">
        <v>352</v>
      </c>
      <c r="N412" s="56" t="s">
        <v>29</v>
      </c>
      <c r="O412" s="56" t="s">
        <v>29</v>
      </c>
      <c r="P412" s="56" t="s">
        <v>29</v>
      </c>
      <c r="Q412" s="66" t="str">
        <f t="shared" si="21"/>
        <v/>
      </c>
      <c r="R412" s="56" t="s">
        <v>29</v>
      </c>
      <c r="S412" s="56" t="s">
        <v>29</v>
      </c>
      <c r="T412" s="56" t="s">
        <v>29</v>
      </c>
      <c r="U412" s="56" t="s">
        <v>29</v>
      </c>
      <c r="V412" s="56">
        <v>3</v>
      </c>
      <c r="W412" s="56">
        <v>708306</v>
      </c>
      <c r="X412">
        <v>8</v>
      </c>
      <c r="Y412" s="56">
        <v>34</v>
      </c>
      <c r="Z412" s="67" t="s">
        <v>29</v>
      </c>
      <c r="AA412" s="68">
        <f t="shared" si="22"/>
        <v>0.23529411764705882</v>
      </c>
      <c r="AB412" s="92">
        <f t="shared" si="20"/>
        <v>0</v>
      </c>
      <c r="AC412" s="92">
        <f>IFERROR(Table16[[#This Row],[Quantity Needed for repair]]*Table16[[#This Row],[Evaluated]],"")</f>
        <v>0</v>
      </c>
    </row>
    <row r="413" spans="5:29" x14ac:dyDescent="0.35">
      <c r="E413" s="64">
        <v>3</v>
      </c>
      <c r="F413" s="56" t="s">
        <v>467</v>
      </c>
      <c r="G413" s="56">
        <v>12925421</v>
      </c>
      <c r="H413" s="56" t="s">
        <v>315</v>
      </c>
      <c r="I413" s="56" t="s">
        <v>367</v>
      </c>
      <c r="J413" s="56" t="s">
        <v>29</v>
      </c>
      <c r="K413" s="56">
        <v>1005462</v>
      </c>
      <c r="L413" s="65">
        <v>44473</v>
      </c>
      <c r="M413" s="56" t="s">
        <v>352</v>
      </c>
      <c r="N413" s="56" t="s">
        <v>29</v>
      </c>
      <c r="O413" s="56" t="s">
        <v>29</v>
      </c>
      <c r="P413" s="56" t="s">
        <v>29</v>
      </c>
      <c r="Q413" s="66" t="str">
        <f t="shared" si="21"/>
        <v/>
      </c>
      <c r="R413" s="56" t="s">
        <v>29</v>
      </c>
      <c r="S413" s="56" t="s">
        <v>29</v>
      </c>
      <c r="T413" s="56" t="s">
        <v>29</v>
      </c>
      <c r="U413" s="56" t="s">
        <v>29</v>
      </c>
      <c r="V413" s="56">
        <v>4</v>
      </c>
      <c r="W413" s="56">
        <v>871781</v>
      </c>
      <c r="X413" t="s">
        <v>29</v>
      </c>
      <c r="Y413" s="56">
        <v>4</v>
      </c>
      <c r="Z413" s="67" t="s">
        <v>29</v>
      </c>
      <c r="AA413" s="68" t="str">
        <f t="shared" si="22"/>
        <v/>
      </c>
      <c r="AB413" s="92">
        <f t="shared" si="20"/>
        <v>0</v>
      </c>
      <c r="AC413" s="92" t="str">
        <f>IFERROR(Table16[[#This Row],[Quantity Needed for repair]]*Table16[[#This Row],[Evaluated]],"")</f>
        <v/>
      </c>
    </row>
    <row r="414" spans="5:29" ht="15" thickBot="1" x14ac:dyDescent="0.4">
      <c r="E414" s="69">
        <v>3</v>
      </c>
      <c r="F414" s="70" t="s">
        <v>467</v>
      </c>
      <c r="G414" s="70">
        <v>12925421</v>
      </c>
      <c r="H414" s="70" t="s">
        <v>315</v>
      </c>
      <c r="I414" s="70" t="s">
        <v>367</v>
      </c>
      <c r="J414" s="70" t="s">
        <v>29</v>
      </c>
      <c r="K414" s="70">
        <v>1005462</v>
      </c>
      <c r="L414" s="71">
        <v>44473</v>
      </c>
      <c r="M414" s="70" t="s">
        <v>352</v>
      </c>
      <c r="N414" s="70" t="s">
        <v>29</v>
      </c>
      <c r="O414" s="70" t="s">
        <v>29</v>
      </c>
      <c r="P414" s="70" t="s">
        <v>29</v>
      </c>
      <c r="Q414" s="72" t="str">
        <f t="shared" si="21"/>
        <v/>
      </c>
      <c r="R414" s="70" t="s">
        <v>29</v>
      </c>
      <c r="S414" s="70" t="s">
        <v>29</v>
      </c>
      <c r="T414" s="70" t="s">
        <v>29</v>
      </c>
      <c r="U414" s="70" t="s">
        <v>29</v>
      </c>
      <c r="V414" s="70">
        <v>5</v>
      </c>
      <c r="W414" s="70">
        <v>418525</v>
      </c>
      <c r="X414" s="137">
        <v>4</v>
      </c>
      <c r="Y414" s="70">
        <v>4</v>
      </c>
      <c r="Z414" s="73" t="s">
        <v>29</v>
      </c>
      <c r="AA414" s="74">
        <f t="shared" si="22"/>
        <v>1</v>
      </c>
      <c r="AB414" s="93">
        <f t="shared" si="20"/>
        <v>0</v>
      </c>
      <c r="AC414" s="93">
        <f>IFERROR(Table16[[#This Row],[Quantity Needed for repair]]*Table16[[#This Row],[Evaluated]],"")</f>
        <v>0</v>
      </c>
    </row>
    <row r="415" spans="5:29" x14ac:dyDescent="0.35">
      <c r="E415" s="57">
        <v>3</v>
      </c>
      <c r="F415" s="58" t="s">
        <v>468</v>
      </c>
      <c r="G415" s="58">
        <v>12936208</v>
      </c>
      <c r="H415" s="58" t="s">
        <v>313</v>
      </c>
      <c r="I415" s="58" t="s">
        <v>351</v>
      </c>
      <c r="J415" s="58" t="s">
        <v>29</v>
      </c>
      <c r="K415" s="58">
        <v>1005293</v>
      </c>
      <c r="L415" s="59">
        <v>44473</v>
      </c>
      <c r="M415" s="58" t="s">
        <v>352</v>
      </c>
      <c r="N415" s="58" t="s">
        <v>29</v>
      </c>
      <c r="O415" s="58" t="s">
        <v>29</v>
      </c>
      <c r="P415" s="58" t="s">
        <v>29</v>
      </c>
      <c r="Q415" s="60" t="str">
        <f t="shared" si="21"/>
        <v/>
      </c>
      <c r="R415" s="58" t="s">
        <v>29</v>
      </c>
      <c r="S415" s="58" t="s">
        <v>29</v>
      </c>
      <c r="T415" s="58" t="s">
        <v>29</v>
      </c>
      <c r="U415" s="58" t="s">
        <v>29</v>
      </c>
      <c r="V415" s="58">
        <v>1</v>
      </c>
      <c r="W415" s="58">
        <v>1130198</v>
      </c>
      <c r="X415" s="136">
        <v>4</v>
      </c>
      <c r="Y415" s="58">
        <v>33</v>
      </c>
      <c r="Z415" s="61" t="s">
        <v>29</v>
      </c>
      <c r="AA415" s="62">
        <f t="shared" si="22"/>
        <v>0.12121212121212122</v>
      </c>
      <c r="AB415" s="91">
        <f t="shared" si="20"/>
        <v>0</v>
      </c>
      <c r="AC415" s="91">
        <f>IFERROR(Table16[[#This Row],[Quantity Needed for repair]]*Table16[[#This Row],[Evaluated]],"")</f>
        <v>0</v>
      </c>
    </row>
    <row r="416" spans="5:29" x14ac:dyDescent="0.35">
      <c r="E416" s="64">
        <v>3</v>
      </c>
      <c r="F416" s="56" t="s">
        <v>468</v>
      </c>
      <c r="G416" s="56">
        <v>12936208</v>
      </c>
      <c r="H416" s="56" t="s">
        <v>313</v>
      </c>
      <c r="I416" s="56" t="s">
        <v>351</v>
      </c>
      <c r="J416" s="56" t="s">
        <v>29</v>
      </c>
      <c r="K416" s="56">
        <v>1005293</v>
      </c>
      <c r="L416" s="65">
        <v>44473</v>
      </c>
      <c r="M416" s="56" t="s">
        <v>352</v>
      </c>
      <c r="N416" s="56" t="s">
        <v>29</v>
      </c>
      <c r="O416" s="56" t="s">
        <v>29</v>
      </c>
      <c r="P416" s="56" t="s">
        <v>29</v>
      </c>
      <c r="Q416" s="66" t="str">
        <f t="shared" si="21"/>
        <v/>
      </c>
      <c r="R416" s="56" t="s">
        <v>29</v>
      </c>
      <c r="S416" s="56" t="s">
        <v>29</v>
      </c>
      <c r="T416" s="56" t="s">
        <v>29</v>
      </c>
      <c r="U416" s="56" t="s">
        <v>29</v>
      </c>
      <c r="V416" s="56">
        <v>2</v>
      </c>
      <c r="W416" s="56">
        <v>647435</v>
      </c>
      <c r="X416">
        <v>2</v>
      </c>
      <c r="Y416" s="56">
        <v>23</v>
      </c>
      <c r="Z416" s="67" t="s">
        <v>29</v>
      </c>
      <c r="AA416" s="68">
        <f t="shared" si="22"/>
        <v>8.6956521739130432E-2</v>
      </c>
      <c r="AB416" s="92">
        <f t="shared" si="20"/>
        <v>0</v>
      </c>
      <c r="AC416" s="92">
        <f>IFERROR(Table16[[#This Row],[Quantity Needed for repair]]*Table16[[#This Row],[Evaluated]],"")</f>
        <v>0</v>
      </c>
    </row>
    <row r="417" spans="5:29" ht="15" thickBot="1" x14ac:dyDescent="0.4">
      <c r="E417" s="69">
        <v>3</v>
      </c>
      <c r="F417" s="70" t="s">
        <v>468</v>
      </c>
      <c r="G417" s="70">
        <v>12936208</v>
      </c>
      <c r="H417" s="70" t="s">
        <v>313</v>
      </c>
      <c r="I417" s="70" t="s">
        <v>351</v>
      </c>
      <c r="J417" s="70" t="s">
        <v>29</v>
      </c>
      <c r="K417" s="70">
        <v>1005293</v>
      </c>
      <c r="L417" s="71">
        <v>44473</v>
      </c>
      <c r="M417" s="70" t="s">
        <v>352</v>
      </c>
      <c r="N417" s="70" t="s">
        <v>29</v>
      </c>
      <c r="O417" s="70" t="s">
        <v>29</v>
      </c>
      <c r="P417" s="70" t="s">
        <v>29</v>
      </c>
      <c r="Q417" s="72" t="str">
        <f t="shared" si="21"/>
        <v/>
      </c>
      <c r="R417" s="70" t="s">
        <v>29</v>
      </c>
      <c r="S417" s="70" t="s">
        <v>29</v>
      </c>
      <c r="T417" s="70" t="s">
        <v>29</v>
      </c>
      <c r="U417" s="70" t="s">
        <v>29</v>
      </c>
      <c r="V417" s="70">
        <v>3</v>
      </c>
      <c r="W417" s="70">
        <v>418525</v>
      </c>
      <c r="X417" s="137">
        <v>6</v>
      </c>
      <c r="Y417" s="70">
        <v>6</v>
      </c>
      <c r="Z417" s="73" t="s">
        <v>29</v>
      </c>
      <c r="AA417" s="74">
        <f t="shared" si="22"/>
        <v>1</v>
      </c>
      <c r="AB417" s="93">
        <f t="shared" si="20"/>
        <v>0</v>
      </c>
      <c r="AC417" s="93">
        <f>IFERROR(Table16[[#This Row],[Quantity Needed for repair]]*Table16[[#This Row],[Evaluated]],"")</f>
        <v>0</v>
      </c>
    </row>
    <row r="418" spans="5:29" x14ac:dyDescent="0.35">
      <c r="E418" s="57">
        <v>3</v>
      </c>
      <c r="F418" s="58" t="s">
        <v>469</v>
      </c>
      <c r="G418" s="58">
        <v>12936207</v>
      </c>
      <c r="H418" s="58" t="s">
        <v>313</v>
      </c>
      <c r="I418" s="58" t="s">
        <v>351</v>
      </c>
      <c r="J418" s="58" t="s">
        <v>29</v>
      </c>
      <c r="K418" s="58">
        <v>882281</v>
      </c>
      <c r="L418" s="59">
        <v>44473</v>
      </c>
      <c r="M418" s="58" t="s">
        <v>352</v>
      </c>
      <c r="N418" s="58" t="s">
        <v>29</v>
      </c>
      <c r="O418" s="58" t="s">
        <v>29</v>
      </c>
      <c r="P418" s="58" t="s">
        <v>29</v>
      </c>
      <c r="Q418" s="60" t="str">
        <f t="shared" si="21"/>
        <v/>
      </c>
      <c r="R418" s="58" t="s">
        <v>29</v>
      </c>
      <c r="S418" s="58" t="s">
        <v>29</v>
      </c>
      <c r="T418" s="58" t="s">
        <v>29</v>
      </c>
      <c r="U418" s="58" t="s">
        <v>29</v>
      </c>
      <c r="V418" s="58">
        <v>1</v>
      </c>
      <c r="W418" s="58">
        <v>1130198</v>
      </c>
      <c r="X418" s="136">
        <v>8</v>
      </c>
      <c r="Y418" s="58">
        <v>33</v>
      </c>
      <c r="Z418" s="61" t="s">
        <v>29</v>
      </c>
      <c r="AA418" s="62">
        <f t="shared" si="22"/>
        <v>0.24242424242424243</v>
      </c>
      <c r="AB418" s="91">
        <f t="shared" si="20"/>
        <v>0</v>
      </c>
      <c r="AC418" s="91">
        <f>IFERROR(Table16[[#This Row],[Quantity Needed for repair]]*Table16[[#This Row],[Evaluated]],"")</f>
        <v>0</v>
      </c>
    </row>
    <row r="419" spans="5:29" x14ac:dyDescent="0.35">
      <c r="E419" s="64">
        <v>3</v>
      </c>
      <c r="F419" s="56" t="s">
        <v>469</v>
      </c>
      <c r="G419" s="56">
        <v>12936207</v>
      </c>
      <c r="H419" s="56" t="s">
        <v>313</v>
      </c>
      <c r="I419" s="56" t="s">
        <v>351</v>
      </c>
      <c r="J419" s="56" t="s">
        <v>29</v>
      </c>
      <c r="K419" s="56">
        <v>882281</v>
      </c>
      <c r="L419" s="65">
        <v>44473</v>
      </c>
      <c r="M419" s="56" t="s">
        <v>352</v>
      </c>
      <c r="N419" s="56" t="s">
        <v>29</v>
      </c>
      <c r="O419" s="56" t="s">
        <v>29</v>
      </c>
      <c r="P419" s="56" t="s">
        <v>29</v>
      </c>
      <c r="Q419" s="66" t="str">
        <f t="shared" si="21"/>
        <v/>
      </c>
      <c r="R419" s="56" t="s">
        <v>29</v>
      </c>
      <c r="S419" s="56" t="s">
        <v>29</v>
      </c>
      <c r="T419" s="56" t="s">
        <v>29</v>
      </c>
      <c r="U419" s="56" t="s">
        <v>29</v>
      </c>
      <c r="V419" s="56">
        <v>2</v>
      </c>
      <c r="W419" s="56">
        <v>1130197</v>
      </c>
      <c r="X419" t="s">
        <v>29</v>
      </c>
      <c r="Y419" s="56">
        <v>23</v>
      </c>
      <c r="Z419" s="67" t="s">
        <v>29</v>
      </c>
      <c r="AA419" s="68" t="str">
        <f t="shared" si="22"/>
        <v/>
      </c>
      <c r="AB419" s="92">
        <f t="shared" si="20"/>
        <v>0</v>
      </c>
      <c r="AC419" s="92" t="str">
        <f>IFERROR(Table16[[#This Row],[Quantity Needed for repair]]*Table16[[#This Row],[Evaluated]],"")</f>
        <v/>
      </c>
    </row>
    <row r="420" spans="5:29" ht="15" thickBot="1" x14ac:dyDescent="0.4">
      <c r="E420" s="69">
        <v>3</v>
      </c>
      <c r="F420" s="70" t="s">
        <v>469</v>
      </c>
      <c r="G420" s="70">
        <v>12936207</v>
      </c>
      <c r="H420" s="70" t="s">
        <v>313</v>
      </c>
      <c r="I420" s="70" t="s">
        <v>351</v>
      </c>
      <c r="J420" s="70" t="s">
        <v>29</v>
      </c>
      <c r="K420" s="70">
        <v>882281</v>
      </c>
      <c r="L420" s="71">
        <v>44473</v>
      </c>
      <c r="M420" s="70" t="s">
        <v>352</v>
      </c>
      <c r="N420" s="70" t="s">
        <v>29</v>
      </c>
      <c r="O420" s="70" t="s">
        <v>29</v>
      </c>
      <c r="P420" s="70" t="s">
        <v>29</v>
      </c>
      <c r="Q420" s="72" t="str">
        <f t="shared" si="21"/>
        <v/>
      </c>
      <c r="R420" s="70" t="s">
        <v>29</v>
      </c>
      <c r="S420" s="70" t="s">
        <v>29</v>
      </c>
      <c r="T420" s="70" t="s">
        <v>29</v>
      </c>
      <c r="U420" s="70" t="s">
        <v>29</v>
      </c>
      <c r="V420" s="70">
        <v>3</v>
      </c>
      <c r="W420" s="70">
        <v>418525</v>
      </c>
      <c r="X420" s="137">
        <v>12</v>
      </c>
      <c r="Y420" s="70">
        <v>12</v>
      </c>
      <c r="Z420" s="73" t="s">
        <v>29</v>
      </c>
      <c r="AA420" s="74">
        <f t="shared" si="22"/>
        <v>1</v>
      </c>
      <c r="AB420" s="93">
        <f t="shared" si="20"/>
        <v>0</v>
      </c>
      <c r="AC420" s="93">
        <f>IFERROR(Table16[[#This Row],[Quantity Needed for repair]]*Table16[[#This Row],[Evaluated]],"")</f>
        <v>0</v>
      </c>
    </row>
    <row r="421" spans="5:29" x14ac:dyDescent="0.35">
      <c r="E421" s="57">
        <v>3</v>
      </c>
      <c r="F421" s="58" t="s">
        <v>470</v>
      </c>
      <c r="G421" s="58">
        <v>12967029</v>
      </c>
      <c r="H421" s="58" t="s">
        <v>315</v>
      </c>
      <c r="I421" s="58" t="s">
        <v>367</v>
      </c>
      <c r="J421" s="58" t="s">
        <v>29</v>
      </c>
      <c r="K421" s="58">
        <v>1005462</v>
      </c>
      <c r="L421" s="59">
        <v>44473</v>
      </c>
      <c r="M421" s="58" t="s">
        <v>352</v>
      </c>
      <c r="N421" s="58" t="s">
        <v>29</v>
      </c>
      <c r="O421" s="58" t="s">
        <v>29</v>
      </c>
      <c r="P421" s="58" t="s">
        <v>29</v>
      </c>
      <c r="Q421" s="60" t="str">
        <f t="shared" si="21"/>
        <v/>
      </c>
      <c r="R421" s="58" t="s">
        <v>29</v>
      </c>
      <c r="S421" s="58" t="s">
        <v>29</v>
      </c>
      <c r="T421" s="58" t="s">
        <v>29</v>
      </c>
      <c r="U421" s="58" t="s">
        <v>29</v>
      </c>
      <c r="V421" s="58">
        <v>1</v>
      </c>
      <c r="W421" s="58">
        <v>1130200</v>
      </c>
      <c r="X421" s="136">
        <v>22</v>
      </c>
      <c r="Y421" s="58">
        <v>48</v>
      </c>
      <c r="Z421" s="61" t="s">
        <v>29</v>
      </c>
      <c r="AA421" s="62">
        <f t="shared" si="22"/>
        <v>0.45833333333333331</v>
      </c>
      <c r="AB421" s="91">
        <f t="shared" si="20"/>
        <v>0</v>
      </c>
      <c r="AC421" s="91">
        <f>IFERROR(Table16[[#This Row],[Quantity Needed for repair]]*Table16[[#This Row],[Evaluated]],"")</f>
        <v>0</v>
      </c>
    </row>
    <row r="422" spans="5:29" x14ac:dyDescent="0.35">
      <c r="E422" s="64">
        <v>3</v>
      </c>
      <c r="F422" s="56" t="s">
        <v>470</v>
      </c>
      <c r="G422" s="56">
        <v>12967029</v>
      </c>
      <c r="H422" s="56" t="s">
        <v>315</v>
      </c>
      <c r="I422" s="56" t="s">
        <v>367</v>
      </c>
      <c r="J422" s="56" t="s">
        <v>29</v>
      </c>
      <c r="K422" s="56">
        <v>1005462</v>
      </c>
      <c r="L422" s="65">
        <v>44473</v>
      </c>
      <c r="M422" s="56" t="s">
        <v>352</v>
      </c>
      <c r="N422" s="56" t="s">
        <v>29</v>
      </c>
      <c r="O422" s="56" t="s">
        <v>29</v>
      </c>
      <c r="P422" s="56" t="s">
        <v>29</v>
      </c>
      <c r="Q422" s="66" t="str">
        <f t="shared" si="21"/>
        <v/>
      </c>
      <c r="R422" s="56" t="s">
        <v>29</v>
      </c>
      <c r="S422" s="56" t="s">
        <v>29</v>
      </c>
      <c r="T422" s="56" t="s">
        <v>29</v>
      </c>
      <c r="U422" s="56" t="s">
        <v>29</v>
      </c>
      <c r="V422" s="56">
        <v>2</v>
      </c>
      <c r="W422" s="56">
        <v>1130198</v>
      </c>
      <c r="X422">
        <v>2</v>
      </c>
      <c r="Y422" s="56">
        <v>9</v>
      </c>
      <c r="Z422" s="67" t="s">
        <v>29</v>
      </c>
      <c r="AA422" s="68">
        <f t="shared" si="22"/>
        <v>0.22222222222222221</v>
      </c>
      <c r="AB422" s="92">
        <f t="shared" si="20"/>
        <v>0</v>
      </c>
      <c r="AC422" s="92">
        <f>IFERROR(Table16[[#This Row],[Quantity Needed for repair]]*Table16[[#This Row],[Evaluated]],"")</f>
        <v>0</v>
      </c>
    </row>
    <row r="423" spans="5:29" x14ac:dyDescent="0.35">
      <c r="E423" s="64">
        <v>3</v>
      </c>
      <c r="F423" s="56" t="s">
        <v>470</v>
      </c>
      <c r="G423" s="56">
        <v>12967029</v>
      </c>
      <c r="H423" s="56" t="s">
        <v>315</v>
      </c>
      <c r="I423" s="56" t="s">
        <v>367</v>
      </c>
      <c r="J423" s="56" t="s">
        <v>29</v>
      </c>
      <c r="K423" s="56">
        <v>1005462</v>
      </c>
      <c r="L423" s="65">
        <v>44473</v>
      </c>
      <c r="M423" s="56" t="s">
        <v>352</v>
      </c>
      <c r="N423" s="56" t="s">
        <v>29</v>
      </c>
      <c r="O423" s="56" t="s">
        <v>29</v>
      </c>
      <c r="P423" s="56" t="s">
        <v>29</v>
      </c>
      <c r="Q423" s="66" t="str">
        <f t="shared" si="21"/>
        <v/>
      </c>
      <c r="R423" s="56" t="s">
        <v>29</v>
      </c>
      <c r="S423" s="56" t="s">
        <v>29</v>
      </c>
      <c r="T423" s="56" t="s">
        <v>29</v>
      </c>
      <c r="U423" s="56" t="s">
        <v>29</v>
      </c>
      <c r="V423" s="56">
        <v>3</v>
      </c>
      <c r="W423" s="56">
        <v>708306</v>
      </c>
      <c r="X423">
        <v>12</v>
      </c>
      <c r="Y423" s="56">
        <v>34</v>
      </c>
      <c r="Z423" s="67" t="s">
        <v>29</v>
      </c>
      <c r="AA423" s="68">
        <f t="shared" si="22"/>
        <v>0.35294117647058826</v>
      </c>
      <c r="AB423" s="92">
        <f t="shared" si="20"/>
        <v>0</v>
      </c>
      <c r="AC423" s="92">
        <f>IFERROR(Table16[[#This Row],[Quantity Needed for repair]]*Table16[[#This Row],[Evaluated]],"")</f>
        <v>0</v>
      </c>
    </row>
    <row r="424" spans="5:29" x14ac:dyDescent="0.35">
      <c r="E424" s="64">
        <v>3</v>
      </c>
      <c r="F424" s="56" t="s">
        <v>470</v>
      </c>
      <c r="G424" s="56">
        <v>12967029</v>
      </c>
      <c r="H424" s="56" t="s">
        <v>315</v>
      </c>
      <c r="I424" s="56" t="s">
        <v>367</v>
      </c>
      <c r="J424" s="56" t="s">
        <v>29</v>
      </c>
      <c r="K424" s="56">
        <v>1005462</v>
      </c>
      <c r="L424" s="65">
        <v>44473</v>
      </c>
      <c r="M424" s="56" t="s">
        <v>352</v>
      </c>
      <c r="N424" s="56" t="s">
        <v>29</v>
      </c>
      <c r="O424" s="56" t="s">
        <v>29</v>
      </c>
      <c r="P424" s="56" t="s">
        <v>29</v>
      </c>
      <c r="Q424" s="66" t="str">
        <f t="shared" si="21"/>
        <v/>
      </c>
      <c r="R424" s="56" t="s">
        <v>29</v>
      </c>
      <c r="S424" s="56" t="s">
        <v>29</v>
      </c>
      <c r="T424" s="56" t="s">
        <v>29</v>
      </c>
      <c r="U424" s="56" t="s">
        <v>29</v>
      </c>
      <c r="V424" s="56">
        <v>4</v>
      </c>
      <c r="W424" s="56">
        <v>871781</v>
      </c>
      <c r="X424" t="s">
        <v>29</v>
      </c>
      <c r="Y424" s="56">
        <v>4</v>
      </c>
      <c r="Z424" s="67" t="s">
        <v>29</v>
      </c>
      <c r="AA424" s="68" t="str">
        <f t="shared" si="22"/>
        <v/>
      </c>
      <c r="AB424" s="92">
        <f t="shared" si="20"/>
        <v>0</v>
      </c>
      <c r="AC424" s="92" t="str">
        <f>IFERROR(Table16[[#This Row],[Quantity Needed for repair]]*Table16[[#This Row],[Evaluated]],"")</f>
        <v/>
      </c>
    </row>
    <row r="425" spans="5:29" ht="15" thickBot="1" x14ac:dyDescent="0.4">
      <c r="E425" s="69">
        <v>3</v>
      </c>
      <c r="F425" s="70" t="s">
        <v>470</v>
      </c>
      <c r="G425" s="70">
        <v>12967029</v>
      </c>
      <c r="H425" s="70" t="s">
        <v>315</v>
      </c>
      <c r="I425" s="70" t="s">
        <v>367</v>
      </c>
      <c r="J425" s="70" t="s">
        <v>29</v>
      </c>
      <c r="K425" s="70">
        <v>1005462</v>
      </c>
      <c r="L425" s="71">
        <v>44473</v>
      </c>
      <c r="M425" s="70" t="s">
        <v>352</v>
      </c>
      <c r="N425" s="70" t="s">
        <v>29</v>
      </c>
      <c r="O425" s="70" t="s">
        <v>29</v>
      </c>
      <c r="P425" s="70" t="s">
        <v>29</v>
      </c>
      <c r="Q425" s="72" t="str">
        <f t="shared" si="21"/>
        <v/>
      </c>
      <c r="R425" s="70" t="s">
        <v>29</v>
      </c>
      <c r="S425" s="70" t="s">
        <v>29</v>
      </c>
      <c r="T425" s="70" t="s">
        <v>29</v>
      </c>
      <c r="U425" s="70" t="s">
        <v>29</v>
      </c>
      <c r="V425" s="70">
        <v>5</v>
      </c>
      <c r="W425" s="70">
        <v>418525</v>
      </c>
      <c r="X425" s="137">
        <v>4</v>
      </c>
      <c r="Y425" s="70">
        <v>4</v>
      </c>
      <c r="Z425" s="73" t="s">
        <v>29</v>
      </c>
      <c r="AA425" s="74">
        <f t="shared" si="22"/>
        <v>1</v>
      </c>
      <c r="AB425" s="93">
        <f t="shared" si="20"/>
        <v>0</v>
      </c>
      <c r="AC425" s="93">
        <f>IFERROR(Table16[[#This Row],[Quantity Needed for repair]]*Table16[[#This Row],[Evaluated]],"")</f>
        <v>0</v>
      </c>
    </row>
    <row r="426" spans="5:29" x14ac:dyDescent="0.35">
      <c r="E426" s="57">
        <v>3</v>
      </c>
      <c r="F426" s="58" t="s">
        <v>471</v>
      </c>
      <c r="G426" s="58">
        <v>12955814</v>
      </c>
      <c r="H426" s="58" t="s">
        <v>313</v>
      </c>
      <c r="I426" s="58" t="s">
        <v>351</v>
      </c>
      <c r="J426" s="58" t="s">
        <v>29</v>
      </c>
      <c r="K426" s="58">
        <v>1005293</v>
      </c>
      <c r="L426" s="59">
        <v>44473</v>
      </c>
      <c r="M426" s="58" t="s">
        <v>352</v>
      </c>
      <c r="N426" s="58" t="s">
        <v>29</v>
      </c>
      <c r="O426" s="58" t="s">
        <v>29</v>
      </c>
      <c r="P426" s="58" t="s">
        <v>29</v>
      </c>
      <c r="Q426" s="60" t="str">
        <f t="shared" si="21"/>
        <v/>
      </c>
      <c r="R426" s="58" t="s">
        <v>29</v>
      </c>
      <c r="S426" s="58" t="s">
        <v>29</v>
      </c>
      <c r="T426" s="58" t="s">
        <v>29</v>
      </c>
      <c r="U426" s="58" t="s">
        <v>29</v>
      </c>
      <c r="V426" s="58">
        <v>1</v>
      </c>
      <c r="W426" s="58">
        <v>1130198</v>
      </c>
      <c r="X426" s="136"/>
      <c r="Y426" s="58">
        <v>33</v>
      </c>
      <c r="Z426" s="61" t="s">
        <v>29</v>
      </c>
      <c r="AA426" s="62">
        <f t="shared" si="22"/>
        <v>0</v>
      </c>
      <c r="AB426" s="91">
        <f t="shared" si="20"/>
        <v>0</v>
      </c>
      <c r="AC426" s="91">
        <f>IFERROR(Table16[[#This Row],[Quantity Needed for repair]]*Table16[[#This Row],[Evaluated]],"")</f>
        <v>0</v>
      </c>
    </row>
    <row r="427" spans="5:29" x14ac:dyDescent="0.35">
      <c r="E427" s="64">
        <v>3</v>
      </c>
      <c r="F427" s="56" t="s">
        <v>471</v>
      </c>
      <c r="G427" s="56">
        <v>12955814</v>
      </c>
      <c r="H427" s="56" t="s">
        <v>313</v>
      </c>
      <c r="I427" s="56" t="s">
        <v>351</v>
      </c>
      <c r="J427" s="56" t="s">
        <v>29</v>
      </c>
      <c r="K427" s="56">
        <v>1005293</v>
      </c>
      <c r="L427" s="65">
        <v>44473</v>
      </c>
      <c r="M427" s="56" t="s">
        <v>352</v>
      </c>
      <c r="N427" s="56" t="s">
        <v>29</v>
      </c>
      <c r="O427" s="56" t="s">
        <v>29</v>
      </c>
      <c r="P427" s="56" t="s">
        <v>29</v>
      </c>
      <c r="Q427" s="66" t="str">
        <f t="shared" si="21"/>
        <v/>
      </c>
      <c r="R427" s="56" t="s">
        <v>29</v>
      </c>
      <c r="S427" s="56" t="s">
        <v>29</v>
      </c>
      <c r="T427" s="56" t="s">
        <v>29</v>
      </c>
      <c r="U427" s="56" t="s">
        <v>29</v>
      </c>
      <c r="V427" s="56">
        <v>2</v>
      </c>
      <c r="W427" s="56">
        <v>647435</v>
      </c>
      <c r="X427"/>
      <c r="Y427" s="56">
        <v>23</v>
      </c>
      <c r="Z427" s="67" t="s">
        <v>29</v>
      </c>
      <c r="AA427" s="68">
        <f t="shared" si="22"/>
        <v>0</v>
      </c>
      <c r="AB427" s="92">
        <f t="shared" si="20"/>
        <v>0</v>
      </c>
      <c r="AC427" s="92">
        <f>IFERROR(Table16[[#This Row],[Quantity Needed for repair]]*Table16[[#This Row],[Evaluated]],"")</f>
        <v>0</v>
      </c>
    </row>
    <row r="428" spans="5:29" ht="15" thickBot="1" x14ac:dyDescent="0.4">
      <c r="E428" s="69">
        <v>3</v>
      </c>
      <c r="F428" s="70" t="s">
        <v>471</v>
      </c>
      <c r="G428" s="70">
        <v>12955814</v>
      </c>
      <c r="H428" s="70" t="s">
        <v>313</v>
      </c>
      <c r="I428" s="70" t="s">
        <v>351</v>
      </c>
      <c r="J428" s="70" t="s">
        <v>29</v>
      </c>
      <c r="K428" s="70">
        <v>1005293</v>
      </c>
      <c r="L428" s="71">
        <v>44473</v>
      </c>
      <c r="M428" s="70" t="s">
        <v>352</v>
      </c>
      <c r="N428" s="70" t="s">
        <v>29</v>
      </c>
      <c r="O428" s="70" t="s">
        <v>29</v>
      </c>
      <c r="P428" s="70" t="s">
        <v>29</v>
      </c>
      <c r="Q428" s="72" t="str">
        <f t="shared" si="21"/>
        <v/>
      </c>
      <c r="R428" s="70" t="s">
        <v>29</v>
      </c>
      <c r="S428" s="70" t="s">
        <v>29</v>
      </c>
      <c r="T428" s="70" t="s">
        <v>29</v>
      </c>
      <c r="U428" s="70" t="s">
        <v>29</v>
      </c>
      <c r="V428" s="70">
        <v>3</v>
      </c>
      <c r="W428" s="70">
        <v>418525</v>
      </c>
      <c r="X428" s="137">
        <v>6</v>
      </c>
      <c r="Y428" s="70">
        <v>6</v>
      </c>
      <c r="Z428" s="73" t="s">
        <v>29</v>
      </c>
      <c r="AA428" s="74">
        <f t="shared" si="22"/>
        <v>1</v>
      </c>
      <c r="AB428" s="93">
        <f t="shared" si="20"/>
        <v>0</v>
      </c>
      <c r="AC428" s="93">
        <f>IFERROR(Table16[[#This Row],[Quantity Needed for repair]]*Table16[[#This Row],[Evaluated]],"")</f>
        <v>0</v>
      </c>
    </row>
    <row r="429" spans="5:29" x14ac:dyDescent="0.35">
      <c r="E429" s="57">
        <v>3</v>
      </c>
      <c r="F429" s="58" t="s">
        <v>472</v>
      </c>
      <c r="G429" s="58">
        <v>13052787</v>
      </c>
      <c r="H429" s="58" t="s">
        <v>313</v>
      </c>
      <c r="I429" s="58" t="s">
        <v>351</v>
      </c>
      <c r="J429" s="58" t="s">
        <v>29</v>
      </c>
      <c r="K429" s="58">
        <v>1005293</v>
      </c>
      <c r="L429" s="59">
        <v>44473</v>
      </c>
      <c r="M429" s="58" t="s">
        <v>352</v>
      </c>
      <c r="N429" s="58" t="s">
        <v>29</v>
      </c>
      <c r="O429" s="58" t="s">
        <v>29</v>
      </c>
      <c r="P429" s="58" t="s">
        <v>29</v>
      </c>
      <c r="Q429" s="60" t="str">
        <f t="shared" si="21"/>
        <v/>
      </c>
      <c r="R429" s="58" t="s">
        <v>29</v>
      </c>
      <c r="S429" s="58" t="s">
        <v>29</v>
      </c>
      <c r="T429" s="58" t="s">
        <v>29</v>
      </c>
      <c r="U429" s="58" t="s">
        <v>29</v>
      </c>
      <c r="V429" s="58">
        <v>1</v>
      </c>
      <c r="W429" s="58">
        <v>1130198</v>
      </c>
      <c r="X429" s="136">
        <v>1</v>
      </c>
      <c r="Y429" s="58">
        <v>33</v>
      </c>
      <c r="Z429" s="61" t="s">
        <v>29</v>
      </c>
      <c r="AA429" s="62">
        <f t="shared" si="22"/>
        <v>3.0303030303030304E-2</v>
      </c>
      <c r="AB429" s="91">
        <f t="shared" si="20"/>
        <v>0</v>
      </c>
      <c r="AC429" s="91">
        <f>IFERROR(Table16[[#This Row],[Quantity Needed for repair]]*Table16[[#This Row],[Evaluated]],"")</f>
        <v>0</v>
      </c>
    </row>
    <row r="430" spans="5:29" x14ac:dyDescent="0.35">
      <c r="E430" s="64">
        <v>3</v>
      </c>
      <c r="F430" s="56" t="s">
        <v>472</v>
      </c>
      <c r="G430" s="56">
        <v>13052787</v>
      </c>
      <c r="H430" s="56" t="s">
        <v>313</v>
      </c>
      <c r="I430" s="56" t="s">
        <v>351</v>
      </c>
      <c r="J430" s="56" t="s">
        <v>29</v>
      </c>
      <c r="K430" s="56">
        <v>1005293</v>
      </c>
      <c r="L430" s="65">
        <v>44473</v>
      </c>
      <c r="M430" s="56" t="s">
        <v>352</v>
      </c>
      <c r="N430" s="56" t="s">
        <v>29</v>
      </c>
      <c r="O430" s="56" t="s">
        <v>29</v>
      </c>
      <c r="P430" s="56" t="s">
        <v>29</v>
      </c>
      <c r="Q430" s="66" t="str">
        <f t="shared" si="21"/>
        <v/>
      </c>
      <c r="R430" s="56" t="s">
        <v>29</v>
      </c>
      <c r="S430" s="56" t="s">
        <v>29</v>
      </c>
      <c r="T430" s="56" t="s">
        <v>29</v>
      </c>
      <c r="U430" s="56" t="s">
        <v>29</v>
      </c>
      <c r="V430" s="56">
        <v>2</v>
      </c>
      <c r="W430" s="56">
        <v>647435</v>
      </c>
      <c r="X430">
        <v>3</v>
      </c>
      <c r="Y430" s="56">
        <v>23</v>
      </c>
      <c r="Z430" s="67" t="s">
        <v>29</v>
      </c>
      <c r="AA430" s="68">
        <f t="shared" si="22"/>
        <v>0.13043478260869565</v>
      </c>
      <c r="AB430" s="92">
        <f t="shared" si="20"/>
        <v>0</v>
      </c>
      <c r="AC430" s="92">
        <f>IFERROR(Table16[[#This Row],[Quantity Needed for repair]]*Table16[[#This Row],[Evaluated]],"")</f>
        <v>0</v>
      </c>
    </row>
    <row r="431" spans="5:29" ht="15" thickBot="1" x14ac:dyDescent="0.4">
      <c r="E431" s="69">
        <v>3</v>
      </c>
      <c r="F431" s="70" t="s">
        <v>472</v>
      </c>
      <c r="G431" s="70">
        <v>13052787</v>
      </c>
      <c r="H431" s="70" t="s">
        <v>313</v>
      </c>
      <c r="I431" s="70" t="s">
        <v>351</v>
      </c>
      <c r="J431" s="70" t="s">
        <v>29</v>
      </c>
      <c r="K431" s="70">
        <v>1005293</v>
      </c>
      <c r="L431" s="71">
        <v>44473</v>
      </c>
      <c r="M431" s="70" t="s">
        <v>352</v>
      </c>
      <c r="N431" s="70" t="s">
        <v>29</v>
      </c>
      <c r="O431" s="70" t="s">
        <v>29</v>
      </c>
      <c r="P431" s="70" t="s">
        <v>29</v>
      </c>
      <c r="Q431" s="72" t="str">
        <f t="shared" si="21"/>
        <v/>
      </c>
      <c r="R431" s="70" t="s">
        <v>29</v>
      </c>
      <c r="S431" s="70" t="s">
        <v>29</v>
      </c>
      <c r="T431" s="70" t="s">
        <v>29</v>
      </c>
      <c r="U431" s="70" t="s">
        <v>29</v>
      </c>
      <c r="V431" s="70">
        <v>3</v>
      </c>
      <c r="W431" s="70">
        <v>418525</v>
      </c>
      <c r="X431" s="137">
        <v>6</v>
      </c>
      <c r="Y431" s="70">
        <v>6</v>
      </c>
      <c r="Z431" s="73" t="s">
        <v>29</v>
      </c>
      <c r="AA431" s="74">
        <f t="shared" si="22"/>
        <v>1</v>
      </c>
      <c r="AB431" s="93">
        <f t="shared" si="20"/>
        <v>0</v>
      </c>
      <c r="AC431" s="93">
        <f>IFERROR(Table16[[#This Row],[Quantity Needed for repair]]*Table16[[#This Row],[Evaluated]],"")</f>
        <v>0</v>
      </c>
    </row>
    <row r="432" spans="5:29" x14ac:dyDescent="0.35">
      <c r="E432" s="57">
        <v>3</v>
      </c>
      <c r="F432" s="58" t="s">
        <v>473</v>
      </c>
      <c r="G432" s="58">
        <v>13094654</v>
      </c>
      <c r="H432" s="58" t="s">
        <v>313</v>
      </c>
      <c r="I432" s="58" t="s">
        <v>351</v>
      </c>
      <c r="J432" s="58" t="s">
        <v>29</v>
      </c>
      <c r="K432" s="58">
        <v>1080537</v>
      </c>
      <c r="L432" s="59">
        <v>44473</v>
      </c>
      <c r="M432" s="58" t="s">
        <v>352</v>
      </c>
      <c r="N432" s="58" t="s">
        <v>29</v>
      </c>
      <c r="O432" s="58" t="s">
        <v>29</v>
      </c>
      <c r="P432" s="58" t="s">
        <v>29</v>
      </c>
      <c r="Q432" s="60" t="str">
        <f t="shared" si="21"/>
        <v/>
      </c>
      <c r="R432" s="58" t="s">
        <v>29</v>
      </c>
      <c r="S432" s="58" t="s">
        <v>29</v>
      </c>
      <c r="T432" s="58" t="s">
        <v>29</v>
      </c>
      <c r="U432" s="58" t="s">
        <v>29</v>
      </c>
      <c r="V432" s="58">
        <v>1</v>
      </c>
      <c r="W432" s="58">
        <v>1130198</v>
      </c>
      <c r="X432" s="136"/>
      <c r="Y432" s="58">
        <v>33</v>
      </c>
      <c r="Z432" s="61" t="s">
        <v>29</v>
      </c>
      <c r="AA432" s="62">
        <f t="shared" si="22"/>
        <v>0</v>
      </c>
      <c r="AB432" s="91">
        <f t="shared" si="20"/>
        <v>0</v>
      </c>
      <c r="AC432" s="91">
        <f>IFERROR(Table16[[#This Row],[Quantity Needed for repair]]*Table16[[#This Row],[Evaluated]],"")</f>
        <v>0</v>
      </c>
    </row>
    <row r="433" spans="5:29" x14ac:dyDescent="0.35">
      <c r="E433" s="64">
        <v>3</v>
      </c>
      <c r="F433" s="56" t="s">
        <v>473</v>
      </c>
      <c r="G433" s="56">
        <v>13094654</v>
      </c>
      <c r="H433" s="56" t="s">
        <v>313</v>
      </c>
      <c r="I433" s="56" t="s">
        <v>351</v>
      </c>
      <c r="J433" s="56" t="s">
        <v>29</v>
      </c>
      <c r="K433" s="56">
        <v>1080537</v>
      </c>
      <c r="L433" s="65">
        <v>44473</v>
      </c>
      <c r="M433" s="56" t="s">
        <v>352</v>
      </c>
      <c r="N433" s="56" t="s">
        <v>29</v>
      </c>
      <c r="O433" s="56" t="s">
        <v>29</v>
      </c>
      <c r="P433" s="56" t="s">
        <v>29</v>
      </c>
      <c r="Q433" s="66" t="str">
        <f t="shared" si="21"/>
        <v/>
      </c>
      <c r="R433" s="56" t="s">
        <v>29</v>
      </c>
      <c r="S433" s="56" t="s">
        <v>29</v>
      </c>
      <c r="T433" s="56" t="s">
        <v>29</v>
      </c>
      <c r="U433" s="56" t="s">
        <v>29</v>
      </c>
      <c r="V433" s="56">
        <v>2</v>
      </c>
      <c r="W433" s="56">
        <v>647435</v>
      </c>
      <c r="X433"/>
      <c r="Y433" s="56">
        <v>23</v>
      </c>
      <c r="Z433" s="67" t="s">
        <v>29</v>
      </c>
      <c r="AA433" s="68">
        <f t="shared" si="22"/>
        <v>0</v>
      </c>
      <c r="AB433" s="92">
        <f t="shared" si="20"/>
        <v>0</v>
      </c>
      <c r="AC433" s="92">
        <f>IFERROR(Table16[[#This Row],[Quantity Needed for repair]]*Table16[[#This Row],[Evaluated]],"")</f>
        <v>0</v>
      </c>
    </row>
    <row r="434" spans="5:29" ht="15" thickBot="1" x14ac:dyDescent="0.4">
      <c r="E434" s="69">
        <v>3</v>
      </c>
      <c r="F434" s="70" t="s">
        <v>473</v>
      </c>
      <c r="G434" s="70">
        <v>13094654</v>
      </c>
      <c r="H434" s="70" t="s">
        <v>313</v>
      </c>
      <c r="I434" s="70" t="s">
        <v>351</v>
      </c>
      <c r="J434" s="70" t="s">
        <v>29</v>
      </c>
      <c r="K434" s="70">
        <v>1080537</v>
      </c>
      <c r="L434" s="71">
        <v>44473</v>
      </c>
      <c r="M434" s="70" t="s">
        <v>352</v>
      </c>
      <c r="N434" s="70" t="s">
        <v>29</v>
      </c>
      <c r="O434" s="70" t="s">
        <v>29</v>
      </c>
      <c r="P434" s="70" t="s">
        <v>29</v>
      </c>
      <c r="Q434" s="72" t="str">
        <f t="shared" si="21"/>
        <v/>
      </c>
      <c r="R434" s="70" t="s">
        <v>29</v>
      </c>
      <c r="S434" s="70" t="s">
        <v>29</v>
      </c>
      <c r="T434" s="70" t="s">
        <v>29</v>
      </c>
      <c r="U434" s="70" t="s">
        <v>29</v>
      </c>
      <c r="V434" s="70">
        <v>3</v>
      </c>
      <c r="W434" s="70">
        <v>418525</v>
      </c>
      <c r="X434" s="137">
        <v>5</v>
      </c>
      <c r="Y434" s="70">
        <v>6</v>
      </c>
      <c r="Z434" s="73" t="s">
        <v>29</v>
      </c>
      <c r="AA434" s="74">
        <f t="shared" si="22"/>
        <v>0.83333333333333337</v>
      </c>
      <c r="AB434" s="93">
        <f t="shared" si="20"/>
        <v>0</v>
      </c>
      <c r="AC434" s="93">
        <f>IFERROR(Table16[[#This Row],[Quantity Needed for repair]]*Table16[[#This Row],[Evaluated]],"")</f>
        <v>0</v>
      </c>
    </row>
    <row r="435" spans="5:29" x14ac:dyDescent="0.35">
      <c r="E435" s="57">
        <v>3</v>
      </c>
      <c r="F435" s="58" t="s">
        <v>474</v>
      </c>
      <c r="G435" s="58">
        <v>13111896</v>
      </c>
      <c r="H435" s="58" t="s">
        <v>313</v>
      </c>
      <c r="I435" s="58" t="s">
        <v>351</v>
      </c>
      <c r="J435" s="58" t="s">
        <v>29</v>
      </c>
      <c r="K435" s="58">
        <v>1080537</v>
      </c>
      <c r="L435" s="59">
        <v>44473</v>
      </c>
      <c r="M435" s="58" t="s">
        <v>352</v>
      </c>
      <c r="N435" s="58" t="s">
        <v>29</v>
      </c>
      <c r="O435" s="58" t="s">
        <v>29</v>
      </c>
      <c r="P435" s="58" t="s">
        <v>29</v>
      </c>
      <c r="Q435" s="60" t="str">
        <f t="shared" si="21"/>
        <v/>
      </c>
      <c r="R435" s="58" t="s">
        <v>29</v>
      </c>
      <c r="S435" s="58" t="s">
        <v>29</v>
      </c>
      <c r="T435" s="58" t="s">
        <v>29</v>
      </c>
      <c r="U435" s="58" t="s">
        <v>29</v>
      </c>
      <c r="V435" s="58">
        <v>1</v>
      </c>
      <c r="W435" s="58">
        <v>1130198</v>
      </c>
      <c r="X435" s="136"/>
      <c r="Y435" s="58">
        <v>33</v>
      </c>
      <c r="Z435" s="61" t="s">
        <v>29</v>
      </c>
      <c r="AA435" s="62">
        <f t="shared" si="22"/>
        <v>0</v>
      </c>
      <c r="AB435" s="91">
        <f t="shared" si="20"/>
        <v>0</v>
      </c>
      <c r="AC435" s="91">
        <f>IFERROR(Table16[[#This Row],[Quantity Needed for repair]]*Table16[[#This Row],[Evaluated]],"")</f>
        <v>0</v>
      </c>
    </row>
    <row r="436" spans="5:29" x14ac:dyDescent="0.35">
      <c r="E436" s="64">
        <v>3</v>
      </c>
      <c r="F436" s="56" t="s">
        <v>474</v>
      </c>
      <c r="G436" s="56">
        <v>13111896</v>
      </c>
      <c r="H436" s="56" t="s">
        <v>313</v>
      </c>
      <c r="I436" s="56" t="s">
        <v>351</v>
      </c>
      <c r="J436" s="56" t="s">
        <v>29</v>
      </c>
      <c r="K436" s="56">
        <v>1080537</v>
      </c>
      <c r="L436" s="65">
        <v>44473</v>
      </c>
      <c r="M436" s="56" t="s">
        <v>352</v>
      </c>
      <c r="N436" s="56" t="s">
        <v>29</v>
      </c>
      <c r="O436" s="56" t="s">
        <v>29</v>
      </c>
      <c r="P436" s="56" t="s">
        <v>29</v>
      </c>
      <c r="Q436" s="66" t="str">
        <f t="shared" si="21"/>
        <v/>
      </c>
      <c r="R436" s="56" t="s">
        <v>29</v>
      </c>
      <c r="S436" s="56" t="s">
        <v>29</v>
      </c>
      <c r="T436" s="56" t="s">
        <v>29</v>
      </c>
      <c r="U436" s="56" t="s">
        <v>29</v>
      </c>
      <c r="V436" s="56">
        <v>2</v>
      </c>
      <c r="W436" s="56">
        <v>647435</v>
      </c>
      <c r="X436"/>
      <c r="Y436" s="56">
        <v>23</v>
      </c>
      <c r="Z436" s="67" t="s">
        <v>29</v>
      </c>
      <c r="AA436" s="68">
        <f t="shared" si="22"/>
        <v>0</v>
      </c>
      <c r="AB436" s="92">
        <f t="shared" si="20"/>
        <v>0</v>
      </c>
      <c r="AC436" s="92">
        <f>IFERROR(Table16[[#This Row],[Quantity Needed for repair]]*Table16[[#This Row],[Evaluated]],"")</f>
        <v>0</v>
      </c>
    </row>
    <row r="437" spans="5:29" ht="15" thickBot="1" x14ac:dyDescent="0.4">
      <c r="E437" s="69">
        <v>3</v>
      </c>
      <c r="F437" s="70" t="s">
        <v>474</v>
      </c>
      <c r="G437" s="70">
        <v>13111896</v>
      </c>
      <c r="H437" s="70" t="s">
        <v>313</v>
      </c>
      <c r="I437" s="70" t="s">
        <v>351</v>
      </c>
      <c r="J437" s="70" t="s">
        <v>29</v>
      </c>
      <c r="K437" s="70">
        <v>1080537</v>
      </c>
      <c r="L437" s="71">
        <v>44473</v>
      </c>
      <c r="M437" s="70" t="s">
        <v>352</v>
      </c>
      <c r="N437" s="70" t="s">
        <v>29</v>
      </c>
      <c r="O437" s="70" t="s">
        <v>29</v>
      </c>
      <c r="P437" s="70" t="s">
        <v>29</v>
      </c>
      <c r="Q437" s="72" t="str">
        <f t="shared" si="21"/>
        <v/>
      </c>
      <c r="R437" s="70" t="s">
        <v>29</v>
      </c>
      <c r="S437" s="70" t="s">
        <v>29</v>
      </c>
      <c r="T437" s="70" t="s">
        <v>29</v>
      </c>
      <c r="U437" s="70" t="s">
        <v>29</v>
      </c>
      <c r="V437" s="70">
        <v>3</v>
      </c>
      <c r="W437" s="70">
        <v>418525</v>
      </c>
      <c r="X437" s="137">
        <v>4</v>
      </c>
      <c r="Y437" s="70">
        <v>6</v>
      </c>
      <c r="Z437" s="73" t="s">
        <v>29</v>
      </c>
      <c r="AA437" s="74">
        <f t="shared" si="22"/>
        <v>0.66666666666666663</v>
      </c>
      <c r="AB437" s="93">
        <f t="shared" si="20"/>
        <v>0</v>
      </c>
      <c r="AC437" s="93">
        <f>IFERROR(Table16[[#This Row],[Quantity Needed for repair]]*Table16[[#This Row],[Evaluated]],"")</f>
        <v>0</v>
      </c>
    </row>
    <row r="438" spans="5:29" x14ac:dyDescent="0.35">
      <c r="E438" s="57">
        <v>3</v>
      </c>
      <c r="F438" s="58" t="s">
        <v>475</v>
      </c>
      <c r="G438" s="58">
        <v>13131338</v>
      </c>
      <c r="H438" s="58" t="s">
        <v>313</v>
      </c>
      <c r="I438" s="58" t="s">
        <v>351</v>
      </c>
      <c r="J438" s="58" t="s">
        <v>29</v>
      </c>
      <c r="K438" s="58">
        <v>882281</v>
      </c>
      <c r="L438" s="59">
        <v>44473</v>
      </c>
      <c r="M438" s="58" t="s">
        <v>352</v>
      </c>
      <c r="N438" s="58" t="s">
        <v>29</v>
      </c>
      <c r="O438" s="58" t="s">
        <v>29</v>
      </c>
      <c r="P438" s="58" t="s">
        <v>29</v>
      </c>
      <c r="Q438" s="60" t="str">
        <f t="shared" si="21"/>
        <v/>
      </c>
      <c r="R438" s="58" t="s">
        <v>29</v>
      </c>
      <c r="S438" s="58" t="s">
        <v>29</v>
      </c>
      <c r="T438" s="58" t="s">
        <v>29</v>
      </c>
      <c r="U438" s="58" t="s">
        <v>29</v>
      </c>
      <c r="V438" s="58">
        <v>1</v>
      </c>
      <c r="W438" s="58">
        <v>1130198</v>
      </c>
      <c r="X438" s="136">
        <v>9</v>
      </c>
      <c r="Y438" s="58">
        <v>33</v>
      </c>
      <c r="Z438" s="61" t="s">
        <v>29</v>
      </c>
      <c r="AA438" s="62">
        <f t="shared" si="22"/>
        <v>0.27272727272727271</v>
      </c>
      <c r="AB438" s="91">
        <f t="shared" si="20"/>
        <v>0</v>
      </c>
      <c r="AC438" s="91">
        <f>IFERROR(Table16[[#This Row],[Quantity Needed for repair]]*Table16[[#This Row],[Evaluated]],"")</f>
        <v>0</v>
      </c>
    </row>
    <row r="439" spans="5:29" x14ac:dyDescent="0.35">
      <c r="E439" s="64">
        <v>3</v>
      </c>
      <c r="F439" s="56" t="s">
        <v>475</v>
      </c>
      <c r="G439" s="56">
        <v>13131338</v>
      </c>
      <c r="H439" s="56" t="s">
        <v>313</v>
      </c>
      <c r="I439" s="56" t="s">
        <v>351</v>
      </c>
      <c r="J439" s="56" t="s">
        <v>29</v>
      </c>
      <c r="K439" s="56">
        <v>882281</v>
      </c>
      <c r="L439" s="65">
        <v>44473</v>
      </c>
      <c r="M439" s="56" t="s">
        <v>352</v>
      </c>
      <c r="N439" s="56" t="s">
        <v>29</v>
      </c>
      <c r="O439" s="56" t="s">
        <v>29</v>
      </c>
      <c r="P439" s="56" t="s">
        <v>29</v>
      </c>
      <c r="Q439" s="66" t="str">
        <f t="shared" si="21"/>
        <v/>
      </c>
      <c r="R439" s="56" t="s">
        <v>29</v>
      </c>
      <c r="S439" s="56" t="s">
        <v>29</v>
      </c>
      <c r="T439" s="56" t="s">
        <v>29</v>
      </c>
      <c r="U439" s="56" t="s">
        <v>29</v>
      </c>
      <c r="V439" s="56">
        <v>2</v>
      </c>
      <c r="W439" s="56">
        <v>1130197</v>
      </c>
      <c r="X439">
        <v>4</v>
      </c>
      <c r="Y439" s="56">
        <v>23</v>
      </c>
      <c r="Z439" s="67" t="s">
        <v>29</v>
      </c>
      <c r="AA439" s="68">
        <f t="shared" si="22"/>
        <v>0.17391304347826086</v>
      </c>
      <c r="AB439" s="92">
        <f t="shared" si="20"/>
        <v>0</v>
      </c>
      <c r="AC439" s="92">
        <f>IFERROR(Table16[[#This Row],[Quantity Needed for repair]]*Table16[[#This Row],[Evaluated]],"")</f>
        <v>0</v>
      </c>
    </row>
    <row r="440" spans="5:29" ht="15" thickBot="1" x14ac:dyDescent="0.4">
      <c r="E440" s="69">
        <v>3</v>
      </c>
      <c r="F440" s="70" t="s">
        <v>475</v>
      </c>
      <c r="G440" s="70">
        <v>13131338</v>
      </c>
      <c r="H440" s="70" t="s">
        <v>313</v>
      </c>
      <c r="I440" s="70" t="s">
        <v>351</v>
      </c>
      <c r="J440" s="70" t="s">
        <v>29</v>
      </c>
      <c r="K440" s="70">
        <v>882281</v>
      </c>
      <c r="L440" s="71">
        <v>44473</v>
      </c>
      <c r="M440" s="70" t="s">
        <v>352</v>
      </c>
      <c r="N440" s="70" t="s">
        <v>29</v>
      </c>
      <c r="O440" s="70" t="s">
        <v>29</v>
      </c>
      <c r="P440" s="70" t="s">
        <v>29</v>
      </c>
      <c r="Q440" s="72" t="str">
        <f t="shared" si="21"/>
        <v/>
      </c>
      <c r="R440" s="70" t="s">
        <v>29</v>
      </c>
      <c r="S440" s="70" t="s">
        <v>29</v>
      </c>
      <c r="T440" s="70" t="s">
        <v>29</v>
      </c>
      <c r="U440" s="70" t="s">
        <v>29</v>
      </c>
      <c r="V440" s="70">
        <v>3</v>
      </c>
      <c r="W440" s="70">
        <v>418525</v>
      </c>
      <c r="X440" s="137">
        <v>12</v>
      </c>
      <c r="Y440" s="70">
        <v>12</v>
      </c>
      <c r="Z440" s="73" t="s">
        <v>29</v>
      </c>
      <c r="AA440" s="74">
        <f t="shared" si="22"/>
        <v>1</v>
      </c>
      <c r="AB440" s="93">
        <f t="shared" si="20"/>
        <v>0</v>
      </c>
      <c r="AC440" s="93">
        <f>IFERROR(Table16[[#This Row],[Quantity Needed for repair]]*Table16[[#This Row],[Evaluated]],"")</f>
        <v>0</v>
      </c>
    </row>
    <row r="441" spans="5:29" x14ac:dyDescent="0.35">
      <c r="E441" s="57">
        <v>3</v>
      </c>
      <c r="F441" s="58" t="s">
        <v>476</v>
      </c>
      <c r="G441" s="58">
        <v>13131342</v>
      </c>
      <c r="H441" s="58" t="s">
        <v>313</v>
      </c>
      <c r="I441" s="58" t="s">
        <v>351</v>
      </c>
      <c r="J441" s="58" t="s">
        <v>29</v>
      </c>
      <c r="K441" s="58">
        <v>1080537</v>
      </c>
      <c r="L441" s="59">
        <v>44473</v>
      </c>
      <c r="M441" s="58" t="s">
        <v>352</v>
      </c>
      <c r="N441" s="58" t="s">
        <v>29</v>
      </c>
      <c r="O441" s="58" t="s">
        <v>29</v>
      </c>
      <c r="P441" s="58" t="s">
        <v>29</v>
      </c>
      <c r="Q441" s="60" t="str">
        <f t="shared" si="21"/>
        <v/>
      </c>
      <c r="R441" s="58" t="s">
        <v>29</v>
      </c>
      <c r="S441" s="58" t="s">
        <v>29</v>
      </c>
      <c r="T441" s="58" t="s">
        <v>29</v>
      </c>
      <c r="U441" s="58" t="s">
        <v>29</v>
      </c>
      <c r="V441" s="58">
        <v>1</v>
      </c>
      <c r="W441" s="58">
        <v>1130198</v>
      </c>
      <c r="X441" s="136">
        <v>10</v>
      </c>
      <c r="Y441" s="58">
        <v>33</v>
      </c>
      <c r="Z441" s="61" t="s">
        <v>29</v>
      </c>
      <c r="AA441" s="62">
        <f t="shared" si="22"/>
        <v>0.30303030303030304</v>
      </c>
      <c r="AB441" s="91">
        <f t="shared" si="20"/>
        <v>0</v>
      </c>
      <c r="AC441" s="91">
        <f>IFERROR(Table16[[#This Row],[Quantity Needed for repair]]*Table16[[#This Row],[Evaluated]],"")</f>
        <v>0</v>
      </c>
    </row>
    <row r="442" spans="5:29" x14ac:dyDescent="0.35">
      <c r="E442" s="64">
        <v>3</v>
      </c>
      <c r="F442" s="56" t="s">
        <v>476</v>
      </c>
      <c r="G442" s="56">
        <v>13131342</v>
      </c>
      <c r="H442" s="56" t="s">
        <v>313</v>
      </c>
      <c r="I442" s="56" t="s">
        <v>351</v>
      </c>
      <c r="J442" s="56" t="s">
        <v>29</v>
      </c>
      <c r="K442" s="56">
        <v>1080537</v>
      </c>
      <c r="L442" s="65">
        <v>44473</v>
      </c>
      <c r="M442" s="56" t="s">
        <v>352</v>
      </c>
      <c r="N442" s="56" t="s">
        <v>29</v>
      </c>
      <c r="O442" s="56" t="s">
        <v>29</v>
      </c>
      <c r="P442" s="56" t="s">
        <v>29</v>
      </c>
      <c r="Q442" s="66" t="str">
        <f t="shared" si="21"/>
        <v/>
      </c>
      <c r="R442" s="56" t="s">
        <v>29</v>
      </c>
      <c r="S442" s="56" t="s">
        <v>29</v>
      </c>
      <c r="T442" s="56" t="s">
        <v>29</v>
      </c>
      <c r="U442" s="56" t="s">
        <v>29</v>
      </c>
      <c r="V442" s="56">
        <v>2</v>
      </c>
      <c r="W442" s="56">
        <v>647435</v>
      </c>
      <c r="X442" t="s">
        <v>29</v>
      </c>
      <c r="Y442" s="56">
        <v>23</v>
      </c>
      <c r="Z442" s="67" t="s">
        <v>29</v>
      </c>
      <c r="AA442" s="68" t="str">
        <f t="shared" si="22"/>
        <v/>
      </c>
      <c r="AB442" s="92">
        <f t="shared" si="20"/>
        <v>0</v>
      </c>
      <c r="AC442" s="92" t="str">
        <f>IFERROR(Table16[[#This Row],[Quantity Needed for repair]]*Table16[[#This Row],[Evaluated]],"")</f>
        <v/>
      </c>
    </row>
    <row r="443" spans="5:29" ht="15" thickBot="1" x14ac:dyDescent="0.4">
      <c r="E443" s="69">
        <v>3</v>
      </c>
      <c r="F443" s="70" t="s">
        <v>476</v>
      </c>
      <c r="G443" s="70">
        <v>13131342</v>
      </c>
      <c r="H443" s="70" t="s">
        <v>313</v>
      </c>
      <c r="I443" s="70" t="s">
        <v>351</v>
      </c>
      <c r="J443" s="70" t="s">
        <v>29</v>
      </c>
      <c r="K443" s="70">
        <v>1080537</v>
      </c>
      <c r="L443" s="71">
        <v>44473</v>
      </c>
      <c r="M443" s="70" t="s">
        <v>352</v>
      </c>
      <c r="N443" s="70" t="s">
        <v>29</v>
      </c>
      <c r="O443" s="70" t="s">
        <v>29</v>
      </c>
      <c r="P443" s="70" t="s">
        <v>29</v>
      </c>
      <c r="Q443" s="72" t="str">
        <f t="shared" si="21"/>
        <v/>
      </c>
      <c r="R443" s="70" t="s">
        <v>29</v>
      </c>
      <c r="S443" s="70" t="s">
        <v>29</v>
      </c>
      <c r="T443" s="70" t="s">
        <v>29</v>
      </c>
      <c r="U443" s="70" t="s">
        <v>29</v>
      </c>
      <c r="V443" s="70">
        <v>3</v>
      </c>
      <c r="W443" s="70">
        <v>418525</v>
      </c>
      <c r="X443" s="137">
        <v>5</v>
      </c>
      <c r="Y443" s="70">
        <v>6</v>
      </c>
      <c r="Z443" s="73" t="s">
        <v>29</v>
      </c>
      <c r="AA443" s="74">
        <f t="shared" si="22"/>
        <v>0.83333333333333337</v>
      </c>
      <c r="AB443" s="93">
        <f t="shared" si="20"/>
        <v>0</v>
      </c>
      <c r="AC443" s="93">
        <f>IFERROR(Table16[[#This Row],[Quantity Needed for repair]]*Table16[[#This Row],[Evaluated]],"")</f>
        <v>0</v>
      </c>
    </row>
    <row r="444" spans="5:29" x14ac:dyDescent="0.35">
      <c r="E444" s="57">
        <v>3</v>
      </c>
      <c r="F444" s="58" t="s">
        <v>477</v>
      </c>
      <c r="G444" s="58">
        <v>13034646</v>
      </c>
      <c r="H444" s="58" t="s">
        <v>313</v>
      </c>
      <c r="I444" s="58" t="s">
        <v>465</v>
      </c>
      <c r="J444" s="58" t="s">
        <v>29</v>
      </c>
      <c r="K444" s="58">
        <v>1056029</v>
      </c>
      <c r="L444" s="59">
        <v>44473</v>
      </c>
      <c r="M444" s="58" t="s">
        <v>352</v>
      </c>
      <c r="N444" s="58" t="s">
        <v>29</v>
      </c>
      <c r="O444" s="58" t="s">
        <v>29</v>
      </c>
      <c r="P444" s="58" t="s">
        <v>29</v>
      </c>
      <c r="Q444" s="60" t="str">
        <f t="shared" si="21"/>
        <v/>
      </c>
      <c r="R444" s="58" t="s">
        <v>29</v>
      </c>
      <c r="S444" s="58" t="s">
        <v>29</v>
      </c>
      <c r="T444" s="58" t="s">
        <v>29</v>
      </c>
      <c r="U444" s="58" t="s">
        <v>29</v>
      </c>
      <c r="V444" s="58">
        <v>1</v>
      </c>
      <c r="W444" s="58">
        <v>1039034</v>
      </c>
      <c r="X444" s="136">
        <v>5</v>
      </c>
      <c r="Y444" s="58">
        <v>32</v>
      </c>
      <c r="Z444" s="61" t="s">
        <v>29</v>
      </c>
      <c r="AA444" s="62">
        <f t="shared" si="22"/>
        <v>0.15625</v>
      </c>
      <c r="AB444" s="91">
        <f t="shared" si="20"/>
        <v>0</v>
      </c>
      <c r="AC444" s="91">
        <f>IFERROR(Table16[[#This Row],[Quantity Needed for repair]]*Table16[[#This Row],[Evaluated]],"")</f>
        <v>0</v>
      </c>
    </row>
    <row r="445" spans="5:29" x14ac:dyDescent="0.35">
      <c r="E445" s="64">
        <v>3</v>
      </c>
      <c r="F445" s="56" t="s">
        <v>477</v>
      </c>
      <c r="G445" s="56">
        <v>13034646</v>
      </c>
      <c r="H445" s="56" t="s">
        <v>313</v>
      </c>
      <c r="I445" s="56" t="s">
        <v>465</v>
      </c>
      <c r="J445" s="56" t="s">
        <v>29</v>
      </c>
      <c r="K445" s="56">
        <v>1056029</v>
      </c>
      <c r="L445" s="65">
        <v>44473</v>
      </c>
      <c r="M445" s="56" t="s">
        <v>352</v>
      </c>
      <c r="N445" s="56" t="s">
        <v>29</v>
      </c>
      <c r="O445" s="56" t="s">
        <v>29</v>
      </c>
      <c r="P445" s="56" t="s">
        <v>29</v>
      </c>
      <c r="Q445" s="66" t="str">
        <f t="shared" si="21"/>
        <v/>
      </c>
      <c r="R445" s="56" t="s">
        <v>29</v>
      </c>
      <c r="S445" s="56" t="s">
        <v>29</v>
      </c>
      <c r="T445" s="56" t="s">
        <v>29</v>
      </c>
      <c r="U445" s="56" t="s">
        <v>29</v>
      </c>
      <c r="V445" s="56">
        <v>2</v>
      </c>
      <c r="W445" s="56">
        <v>1039058</v>
      </c>
      <c r="X445">
        <v>1</v>
      </c>
      <c r="Y445" s="56">
        <v>15</v>
      </c>
      <c r="Z445" s="67" t="s">
        <v>29</v>
      </c>
      <c r="AA445" s="68">
        <f t="shared" si="22"/>
        <v>6.6666666666666666E-2</v>
      </c>
      <c r="AB445" s="92">
        <f t="shared" si="20"/>
        <v>0</v>
      </c>
      <c r="AC445" s="92">
        <f>IFERROR(Table16[[#This Row],[Quantity Needed for repair]]*Table16[[#This Row],[Evaluated]],"")</f>
        <v>0</v>
      </c>
    </row>
    <row r="446" spans="5:29" x14ac:dyDescent="0.35">
      <c r="E446" s="64">
        <v>3</v>
      </c>
      <c r="F446" s="56" t="s">
        <v>477</v>
      </c>
      <c r="G446" s="56">
        <v>13034646</v>
      </c>
      <c r="H446" s="56" t="s">
        <v>313</v>
      </c>
      <c r="I446" s="56" t="s">
        <v>465</v>
      </c>
      <c r="J446" s="56" t="s">
        <v>29</v>
      </c>
      <c r="K446" s="56">
        <v>1056029</v>
      </c>
      <c r="L446" s="65">
        <v>44473</v>
      </c>
      <c r="M446" s="56" t="s">
        <v>352</v>
      </c>
      <c r="N446" s="56" t="s">
        <v>29</v>
      </c>
      <c r="O446" s="56" t="s">
        <v>29</v>
      </c>
      <c r="P446" s="56" t="s">
        <v>29</v>
      </c>
      <c r="Q446" s="66" t="str">
        <f t="shared" si="21"/>
        <v/>
      </c>
      <c r="R446" s="56" t="s">
        <v>29</v>
      </c>
      <c r="S446" s="56" t="s">
        <v>29</v>
      </c>
      <c r="T446" s="56" t="s">
        <v>29</v>
      </c>
      <c r="U446" s="56" t="s">
        <v>29</v>
      </c>
      <c r="V446" s="56">
        <v>3</v>
      </c>
      <c r="W446" s="56">
        <v>1039033</v>
      </c>
      <c r="X446" t="s">
        <v>29</v>
      </c>
      <c r="Y446" s="56">
        <v>28</v>
      </c>
      <c r="Z446" s="67" t="s">
        <v>29</v>
      </c>
      <c r="AA446" s="68" t="str">
        <f t="shared" si="22"/>
        <v/>
      </c>
      <c r="AB446" s="92">
        <f t="shared" si="20"/>
        <v>0</v>
      </c>
      <c r="AC446" s="92" t="str">
        <f>IFERROR(Table16[[#This Row],[Quantity Needed for repair]]*Table16[[#This Row],[Evaluated]],"")</f>
        <v/>
      </c>
    </row>
    <row r="447" spans="5:29" ht="15" thickBot="1" x14ac:dyDescent="0.4">
      <c r="E447" s="69">
        <v>3</v>
      </c>
      <c r="F447" s="70" t="s">
        <v>477</v>
      </c>
      <c r="G447" s="70">
        <v>13034646</v>
      </c>
      <c r="H447" s="70" t="s">
        <v>313</v>
      </c>
      <c r="I447" s="70" t="s">
        <v>465</v>
      </c>
      <c r="J447" s="70" t="s">
        <v>29</v>
      </c>
      <c r="K447" s="70">
        <v>1056029</v>
      </c>
      <c r="L447" s="71">
        <v>44473</v>
      </c>
      <c r="M447" s="70" t="s">
        <v>352</v>
      </c>
      <c r="N447" s="70" t="s">
        <v>29</v>
      </c>
      <c r="O447" s="70" t="s">
        <v>29</v>
      </c>
      <c r="P447" s="70" t="s">
        <v>29</v>
      </c>
      <c r="Q447" s="72" t="str">
        <f t="shared" si="21"/>
        <v/>
      </c>
      <c r="R447" s="70" t="s">
        <v>29</v>
      </c>
      <c r="S447" s="70" t="s">
        <v>29</v>
      </c>
      <c r="T447" s="70" t="s">
        <v>29</v>
      </c>
      <c r="U447" s="70" t="s">
        <v>29</v>
      </c>
      <c r="V447" s="70">
        <v>4</v>
      </c>
      <c r="W447" s="70">
        <v>418525</v>
      </c>
      <c r="X447" s="137">
        <v>7</v>
      </c>
      <c r="Y447" s="70">
        <v>7</v>
      </c>
      <c r="Z447" s="73" t="s">
        <v>29</v>
      </c>
      <c r="AA447" s="74">
        <f t="shared" si="22"/>
        <v>1</v>
      </c>
      <c r="AB447" s="93">
        <f t="shared" si="20"/>
        <v>0</v>
      </c>
      <c r="AC447" s="93">
        <f>IFERROR(Table16[[#This Row],[Quantity Needed for repair]]*Table16[[#This Row],[Evaluated]],"")</f>
        <v>0</v>
      </c>
    </row>
    <row r="448" spans="5:29" x14ac:dyDescent="0.35">
      <c r="E448" s="57">
        <v>3</v>
      </c>
      <c r="F448" s="58" t="s">
        <v>478</v>
      </c>
      <c r="G448" s="58">
        <v>13080022</v>
      </c>
      <c r="H448" s="58" t="s">
        <v>313</v>
      </c>
      <c r="I448" s="58" t="s">
        <v>351</v>
      </c>
      <c r="J448" s="58" t="s">
        <v>29</v>
      </c>
      <c r="K448" s="58">
        <v>1080537</v>
      </c>
      <c r="L448" s="59">
        <v>44473</v>
      </c>
      <c r="M448" s="58" t="s">
        <v>352</v>
      </c>
      <c r="N448" s="58" t="s">
        <v>29</v>
      </c>
      <c r="O448" s="58" t="s">
        <v>29</v>
      </c>
      <c r="P448" s="58" t="s">
        <v>29</v>
      </c>
      <c r="Q448" s="60" t="str">
        <f t="shared" si="21"/>
        <v/>
      </c>
      <c r="R448" s="58" t="s">
        <v>29</v>
      </c>
      <c r="S448" s="58" t="s">
        <v>29</v>
      </c>
      <c r="T448" s="58" t="s">
        <v>29</v>
      </c>
      <c r="U448" s="58" t="s">
        <v>29</v>
      </c>
      <c r="V448" s="58">
        <v>1</v>
      </c>
      <c r="W448" s="58">
        <v>1130198</v>
      </c>
      <c r="X448" s="136">
        <v>0</v>
      </c>
      <c r="Y448" s="58">
        <v>33</v>
      </c>
      <c r="Z448" s="61" t="s">
        <v>29</v>
      </c>
      <c r="AA448" s="62">
        <f t="shared" si="22"/>
        <v>0</v>
      </c>
      <c r="AB448" s="91">
        <f t="shared" si="20"/>
        <v>0</v>
      </c>
      <c r="AC448" s="91">
        <f>IFERROR(Table16[[#This Row],[Quantity Needed for repair]]*Table16[[#This Row],[Evaluated]],"")</f>
        <v>0</v>
      </c>
    </row>
    <row r="449" spans="5:29" x14ac:dyDescent="0.35">
      <c r="E449" s="64">
        <v>3</v>
      </c>
      <c r="F449" s="56" t="s">
        <v>478</v>
      </c>
      <c r="G449" s="56">
        <v>13080022</v>
      </c>
      <c r="H449" s="56" t="s">
        <v>313</v>
      </c>
      <c r="I449" s="56" t="s">
        <v>351</v>
      </c>
      <c r="J449" s="56" t="s">
        <v>29</v>
      </c>
      <c r="K449" s="56">
        <v>1080537</v>
      </c>
      <c r="L449" s="65">
        <v>44473</v>
      </c>
      <c r="M449" s="56" t="s">
        <v>352</v>
      </c>
      <c r="N449" s="56" t="s">
        <v>29</v>
      </c>
      <c r="O449" s="56" t="s">
        <v>29</v>
      </c>
      <c r="P449" s="56" t="s">
        <v>29</v>
      </c>
      <c r="Q449" s="66" t="str">
        <f t="shared" si="21"/>
        <v/>
      </c>
      <c r="R449" s="56" t="s">
        <v>29</v>
      </c>
      <c r="S449" s="56" t="s">
        <v>29</v>
      </c>
      <c r="T449" s="56" t="s">
        <v>29</v>
      </c>
      <c r="U449" s="56" t="s">
        <v>29</v>
      </c>
      <c r="V449" s="56">
        <v>2</v>
      </c>
      <c r="W449" s="56">
        <v>647435</v>
      </c>
      <c r="X449">
        <v>0</v>
      </c>
      <c r="Y449" s="56">
        <v>23</v>
      </c>
      <c r="Z449" s="67" t="s">
        <v>29</v>
      </c>
      <c r="AA449" s="68">
        <f t="shared" si="22"/>
        <v>0</v>
      </c>
      <c r="AB449" s="92">
        <f t="shared" si="20"/>
        <v>0</v>
      </c>
      <c r="AC449" s="92">
        <f>IFERROR(Table16[[#This Row],[Quantity Needed for repair]]*Table16[[#This Row],[Evaluated]],"")</f>
        <v>0</v>
      </c>
    </row>
    <row r="450" spans="5:29" ht="15" thickBot="1" x14ac:dyDescent="0.4">
      <c r="E450" s="69">
        <v>3</v>
      </c>
      <c r="F450" s="70" t="s">
        <v>478</v>
      </c>
      <c r="G450" s="70">
        <v>13080022</v>
      </c>
      <c r="H450" s="70" t="s">
        <v>313</v>
      </c>
      <c r="I450" s="70" t="s">
        <v>351</v>
      </c>
      <c r="J450" s="70" t="s">
        <v>29</v>
      </c>
      <c r="K450" s="70">
        <v>1080537</v>
      </c>
      <c r="L450" s="71">
        <v>44473</v>
      </c>
      <c r="M450" s="70" t="s">
        <v>352</v>
      </c>
      <c r="N450" s="70" t="s">
        <v>29</v>
      </c>
      <c r="O450" s="70" t="s">
        <v>29</v>
      </c>
      <c r="P450" s="70" t="s">
        <v>29</v>
      </c>
      <c r="Q450" s="72" t="str">
        <f t="shared" si="21"/>
        <v/>
      </c>
      <c r="R450" s="70" t="s">
        <v>29</v>
      </c>
      <c r="S450" s="70" t="s">
        <v>29</v>
      </c>
      <c r="T450" s="70" t="s">
        <v>29</v>
      </c>
      <c r="U450" s="70" t="s">
        <v>29</v>
      </c>
      <c r="V450" s="70">
        <v>3</v>
      </c>
      <c r="W450" s="70">
        <v>418525</v>
      </c>
      <c r="X450" s="137">
        <v>0</v>
      </c>
      <c r="Y450" s="70">
        <v>6</v>
      </c>
      <c r="Z450" s="73" t="s">
        <v>29</v>
      </c>
      <c r="AA450" s="74">
        <f t="shared" si="22"/>
        <v>0</v>
      </c>
      <c r="AB450" s="93">
        <f t="shared" ref="AB450:AB513" si="23">IFERROR(INDEX($A$2:$C$553,MATCH($F450,$A$2:$A$553,0),3),0)</f>
        <v>0</v>
      </c>
      <c r="AC450" s="93">
        <f>IFERROR(Table16[[#This Row],[Quantity Needed for repair]]*Table16[[#This Row],[Evaluated]],"")</f>
        <v>0</v>
      </c>
    </row>
    <row r="451" spans="5:29" x14ac:dyDescent="0.35">
      <c r="E451" s="57">
        <v>3</v>
      </c>
      <c r="F451" s="58" t="s">
        <v>479</v>
      </c>
      <c r="G451" s="58">
        <v>13094649</v>
      </c>
      <c r="H451" s="58" t="s">
        <v>313</v>
      </c>
      <c r="I451" s="58" t="s">
        <v>351</v>
      </c>
      <c r="J451" s="58" t="s">
        <v>29</v>
      </c>
      <c r="K451" s="58">
        <v>882281</v>
      </c>
      <c r="L451" s="59">
        <v>44473</v>
      </c>
      <c r="M451" s="58" t="s">
        <v>352</v>
      </c>
      <c r="N451" s="58" t="s">
        <v>29</v>
      </c>
      <c r="O451" s="58" t="s">
        <v>29</v>
      </c>
      <c r="P451" s="58" t="s">
        <v>29</v>
      </c>
      <c r="Q451" s="60" t="str">
        <f t="shared" ref="Q451:Q514" si="24">IFERROR(ROUND(O451/P451*100,0)&amp;" %"&amp;IF(O451/P451&gt;0.6,", High Price",""),"")</f>
        <v/>
      </c>
      <c r="R451" s="58" t="s">
        <v>29</v>
      </c>
      <c r="S451" s="58" t="s">
        <v>29</v>
      </c>
      <c r="T451" s="58" t="s">
        <v>29</v>
      </c>
      <c r="U451" s="58" t="s">
        <v>29</v>
      </c>
      <c r="V451" s="58">
        <v>1</v>
      </c>
      <c r="W451" s="58">
        <v>1130198</v>
      </c>
      <c r="X451" s="136">
        <v>7</v>
      </c>
      <c r="Y451" s="58">
        <v>33</v>
      </c>
      <c r="Z451" s="61" t="s">
        <v>29</v>
      </c>
      <c r="AA451" s="62">
        <f t="shared" ref="AA451:AA514" si="25">IFERROR(X451/Y451,"")</f>
        <v>0.21212121212121213</v>
      </c>
      <c r="AB451" s="91">
        <f t="shared" si="23"/>
        <v>0</v>
      </c>
      <c r="AC451" s="91">
        <f>IFERROR(Table16[[#This Row],[Quantity Needed for repair]]*Table16[[#This Row],[Evaluated]],"")</f>
        <v>0</v>
      </c>
    </row>
    <row r="452" spans="5:29" x14ac:dyDescent="0.35">
      <c r="E452" s="64">
        <v>3</v>
      </c>
      <c r="F452" s="56" t="s">
        <v>479</v>
      </c>
      <c r="G452" s="56">
        <v>13094649</v>
      </c>
      <c r="H452" s="56" t="s">
        <v>313</v>
      </c>
      <c r="I452" s="56" t="s">
        <v>351</v>
      </c>
      <c r="J452" s="56" t="s">
        <v>29</v>
      </c>
      <c r="K452" s="56">
        <v>882281</v>
      </c>
      <c r="L452" s="65">
        <v>44473</v>
      </c>
      <c r="M452" s="56" t="s">
        <v>352</v>
      </c>
      <c r="N452" s="56" t="s">
        <v>29</v>
      </c>
      <c r="O452" s="56" t="s">
        <v>29</v>
      </c>
      <c r="P452" s="56" t="s">
        <v>29</v>
      </c>
      <c r="Q452" s="66" t="str">
        <f t="shared" si="24"/>
        <v/>
      </c>
      <c r="R452" s="56" t="s">
        <v>29</v>
      </c>
      <c r="S452" s="56" t="s">
        <v>29</v>
      </c>
      <c r="T452" s="56" t="s">
        <v>29</v>
      </c>
      <c r="U452" s="56" t="s">
        <v>29</v>
      </c>
      <c r="V452" s="56">
        <v>2</v>
      </c>
      <c r="W452" s="56">
        <v>1130197</v>
      </c>
      <c r="X452" t="s">
        <v>29</v>
      </c>
      <c r="Y452" s="56">
        <v>23</v>
      </c>
      <c r="Z452" s="67" t="s">
        <v>29</v>
      </c>
      <c r="AA452" s="68" t="str">
        <f t="shared" si="25"/>
        <v/>
      </c>
      <c r="AB452" s="92">
        <f t="shared" si="23"/>
        <v>0</v>
      </c>
      <c r="AC452" s="92" t="str">
        <f>IFERROR(Table16[[#This Row],[Quantity Needed for repair]]*Table16[[#This Row],[Evaluated]],"")</f>
        <v/>
      </c>
    </row>
    <row r="453" spans="5:29" ht="15" thickBot="1" x14ac:dyDescent="0.4">
      <c r="E453" s="69">
        <v>3</v>
      </c>
      <c r="F453" s="70" t="s">
        <v>479</v>
      </c>
      <c r="G453" s="70">
        <v>13094649</v>
      </c>
      <c r="H453" s="70" t="s">
        <v>313</v>
      </c>
      <c r="I453" s="70" t="s">
        <v>351</v>
      </c>
      <c r="J453" s="70" t="s">
        <v>29</v>
      </c>
      <c r="K453" s="70">
        <v>882281</v>
      </c>
      <c r="L453" s="71">
        <v>44473</v>
      </c>
      <c r="M453" s="70" t="s">
        <v>352</v>
      </c>
      <c r="N453" s="70" t="s">
        <v>29</v>
      </c>
      <c r="O453" s="70" t="s">
        <v>29</v>
      </c>
      <c r="P453" s="70" t="s">
        <v>29</v>
      </c>
      <c r="Q453" s="72" t="str">
        <f t="shared" si="24"/>
        <v/>
      </c>
      <c r="R453" s="70" t="s">
        <v>29</v>
      </c>
      <c r="S453" s="70" t="s">
        <v>29</v>
      </c>
      <c r="T453" s="70" t="s">
        <v>29</v>
      </c>
      <c r="U453" s="70" t="s">
        <v>29</v>
      </c>
      <c r="V453" s="70">
        <v>3</v>
      </c>
      <c r="W453" s="70">
        <v>418525</v>
      </c>
      <c r="X453" s="137">
        <v>10</v>
      </c>
      <c r="Y453" s="70">
        <v>12</v>
      </c>
      <c r="Z453" s="73" t="s">
        <v>29</v>
      </c>
      <c r="AA453" s="74">
        <f t="shared" si="25"/>
        <v>0.83333333333333337</v>
      </c>
      <c r="AB453" s="93">
        <f t="shared" si="23"/>
        <v>0</v>
      </c>
      <c r="AC453" s="93">
        <f>IFERROR(Table16[[#This Row],[Quantity Needed for repair]]*Table16[[#This Row],[Evaluated]],"")</f>
        <v>0</v>
      </c>
    </row>
    <row r="454" spans="5:29" x14ac:dyDescent="0.35">
      <c r="E454" s="57">
        <v>3</v>
      </c>
      <c r="F454" s="58" t="s">
        <v>480</v>
      </c>
      <c r="G454" s="58">
        <v>13080026</v>
      </c>
      <c r="H454" s="58" t="s">
        <v>313</v>
      </c>
      <c r="I454" s="58" t="s">
        <v>351</v>
      </c>
      <c r="J454" s="58" t="s">
        <v>29</v>
      </c>
      <c r="K454" s="58">
        <v>1080537</v>
      </c>
      <c r="L454" s="59">
        <v>44473</v>
      </c>
      <c r="M454" s="58" t="s">
        <v>352</v>
      </c>
      <c r="N454" s="58" t="s">
        <v>29</v>
      </c>
      <c r="O454" s="58" t="s">
        <v>29</v>
      </c>
      <c r="P454" s="58" t="s">
        <v>29</v>
      </c>
      <c r="Q454" s="60" t="str">
        <f t="shared" si="24"/>
        <v/>
      </c>
      <c r="R454" s="58" t="s">
        <v>29</v>
      </c>
      <c r="S454" s="58" t="s">
        <v>29</v>
      </c>
      <c r="T454" s="58" t="s">
        <v>29</v>
      </c>
      <c r="U454" s="58" t="s">
        <v>29</v>
      </c>
      <c r="V454" s="58">
        <v>1</v>
      </c>
      <c r="W454" s="58">
        <v>1130198</v>
      </c>
      <c r="X454" s="136">
        <v>5</v>
      </c>
      <c r="Y454" s="58">
        <v>33</v>
      </c>
      <c r="Z454" s="61" t="s">
        <v>29</v>
      </c>
      <c r="AA454" s="62">
        <f t="shared" si="25"/>
        <v>0.15151515151515152</v>
      </c>
      <c r="AB454" s="91">
        <f t="shared" si="23"/>
        <v>0</v>
      </c>
      <c r="AC454" s="91">
        <f>IFERROR(Table16[[#This Row],[Quantity Needed for repair]]*Table16[[#This Row],[Evaluated]],"")</f>
        <v>0</v>
      </c>
    </row>
    <row r="455" spans="5:29" x14ac:dyDescent="0.35">
      <c r="E455" s="64">
        <v>3</v>
      </c>
      <c r="F455" s="56" t="s">
        <v>480</v>
      </c>
      <c r="G455" s="56">
        <v>13080026</v>
      </c>
      <c r="H455" s="56" t="s">
        <v>313</v>
      </c>
      <c r="I455" s="56" t="s">
        <v>351</v>
      </c>
      <c r="J455" s="56" t="s">
        <v>29</v>
      </c>
      <c r="K455" s="56">
        <v>1080537</v>
      </c>
      <c r="L455" s="65">
        <v>44473</v>
      </c>
      <c r="M455" s="56" t="s">
        <v>352</v>
      </c>
      <c r="N455" s="56" t="s">
        <v>29</v>
      </c>
      <c r="O455" s="56" t="s">
        <v>29</v>
      </c>
      <c r="P455" s="56" t="s">
        <v>29</v>
      </c>
      <c r="Q455" s="66" t="str">
        <f t="shared" si="24"/>
        <v/>
      </c>
      <c r="R455" s="56" t="s">
        <v>29</v>
      </c>
      <c r="S455" s="56" t="s">
        <v>29</v>
      </c>
      <c r="T455" s="56" t="s">
        <v>29</v>
      </c>
      <c r="U455" s="56" t="s">
        <v>29</v>
      </c>
      <c r="V455" s="56">
        <v>2</v>
      </c>
      <c r="W455" s="56">
        <v>647435</v>
      </c>
      <c r="X455">
        <v>5</v>
      </c>
      <c r="Y455" s="56">
        <v>23</v>
      </c>
      <c r="Z455" s="67" t="s">
        <v>29</v>
      </c>
      <c r="AA455" s="68">
        <f t="shared" si="25"/>
        <v>0.21739130434782608</v>
      </c>
      <c r="AB455" s="92">
        <f t="shared" si="23"/>
        <v>0</v>
      </c>
      <c r="AC455" s="92">
        <f>IFERROR(Table16[[#This Row],[Quantity Needed for repair]]*Table16[[#This Row],[Evaluated]],"")</f>
        <v>0</v>
      </c>
    </row>
    <row r="456" spans="5:29" ht="15" thickBot="1" x14ac:dyDescent="0.4">
      <c r="E456" s="69">
        <v>3</v>
      </c>
      <c r="F456" s="70" t="s">
        <v>480</v>
      </c>
      <c r="G456" s="70">
        <v>13080026</v>
      </c>
      <c r="H456" s="70" t="s">
        <v>313</v>
      </c>
      <c r="I456" s="70" t="s">
        <v>351</v>
      </c>
      <c r="J456" s="70" t="s">
        <v>29</v>
      </c>
      <c r="K456" s="70">
        <v>1080537</v>
      </c>
      <c r="L456" s="71">
        <v>44473</v>
      </c>
      <c r="M456" s="70" t="s">
        <v>352</v>
      </c>
      <c r="N456" s="70" t="s">
        <v>29</v>
      </c>
      <c r="O456" s="70" t="s">
        <v>29</v>
      </c>
      <c r="P456" s="70" t="s">
        <v>29</v>
      </c>
      <c r="Q456" s="72" t="str">
        <f t="shared" si="24"/>
        <v/>
      </c>
      <c r="R456" s="70" t="s">
        <v>29</v>
      </c>
      <c r="S456" s="70" t="s">
        <v>29</v>
      </c>
      <c r="T456" s="70" t="s">
        <v>29</v>
      </c>
      <c r="U456" s="70" t="s">
        <v>29</v>
      </c>
      <c r="V456" s="70">
        <v>3</v>
      </c>
      <c r="W456" s="70">
        <v>418525</v>
      </c>
      <c r="X456" s="137">
        <v>6</v>
      </c>
      <c r="Y456" s="70">
        <v>6</v>
      </c>
      <c r="Z456" s="73" t="s">
        <v>29</v>
      </c>
      <c r="AA456" s="74">
        <f t="shared" si="25"/>
        <v>1</v>
      </c>
      <c r="AB456" s="93">
        <f t="shared" si="23"/>
        <v>0</v>
      </c>
      <c r="AC456" s="93">
        <f>IFERROR(Table16[[#This Row],[Quantity Needed for repair]]*Table16[[#This Row],[Evaluated]],"")</f>
        <v>0</v>
      </c>
    </row>
    <row r="457" spans="5:29" x14ac:dyDescent="0.35">
      <c r="E457" s="57">
        <v>3</v>
      </c>
      <c r="F457" s="58" t="s">
        <v>481</v>
      </c>
      <c r="G457" s="58">
        <v>13131337</v>
      </c>
      <c r="H457" s="58" t="s">
        <v>313</v>
      </c>
      <c r="I457" s="58" t="s">
        <v>351</v>
      </c>
      <c r="J457" s="58" t="s">
        <v>29</v>
      </c>
      <c r="K457" s="58">
        <v>882281</v>
      </c>
      <c r="L457" s="59">
        <v>44473</v>
      </c>
      <c r="M457" s="58" t="s">
        <v>352</v>
      </c>
      <c r="N457" s="58" t="s">
        <v>29</v>
      </c>
      <c r="O457" s="58" t="s">
        <v>29</v>
      </c>
      <c r="P457" s="58" t="s">
        <v>29</v>
      </c>
      <c r="Q457" s="60" t="str">
        <f t="shared" si="24"/>
        <v/>
      </c>
      <c r="R457" s="58" t="s">
        <v>29</v>
      </c>
      <c r="S457" s="58" t="s">
        <v>29</v>
      </c>
      <c r="T457" s="58" t="s">
        <v>29</v>
      </c>
      <c r="U457" s="58" t="s">
        <v>29</v>
      </c>
      <c r="V457" s="58">
        <v>1</v>
      </c>
      <c r="W457" s="58">
        <v>1130198</v>
      </c>
      <c r="X457" s="136">
        <v>5</v>
      </c>
      <c r="Y457" s="58">
        <v>33</v>
      </c>
      <c r="Z457" s="61" t="s">
        <v>29</v>
      </c>
      <c r="AA457" s="62">
        <f t="shared" si="25"/>
        <v>0.15151515151515152</v>
      </c>
      <c r="AB457" s="91">
        <f t="shared" si="23"/>
        <v>0</v>
      </c>
      <c r="AC457" s="91">
        <f>IFERROR(Table16[[#This Row],[Quantity Needed for repair]]*Table16[[#This Row],[Evaluated]],"")</f>
        <v>0</v>
      </c>
    </row>
    <row r="458" spans="5:29" x14ac:dyDescent="0.35">
      <c r="E458" s="64">
        <v>3</v>
      </c>
      <c r="F458" s="56" t="s">
        <v>481</v>
      </c>
      <c r="G458" s="56">
        <v>13131337</v>
      </c>
      <c r="H458" s="56" t="s">
        <v>313</v>
      </c>
      <c r="I458" s="56" t="s">
        <v>351</v>
      </c>
      <c r="J458" s="56" t="s">
        <v>29</v>
      </c>
      <c r="K458" s="56">
        <v>882281</v>
      </c>
      <c r="L458" s="65">
        <v>44473</v>
      </c>
      <c r="M458" s="56" t="s">
        <v>352</v>
      </c>
      <c r="N458" s="56" t="s">
        <v>29</v>
      </c>
      <c r="O458" s="56" t="s">
        <v>29</v>
      </c>
      <c r="P458" s="56" t="s">
        <v>29</v>
      </c>
      <c r="Q458" s="66" t="str">
        <f t="shared" si="24"/>
        <v/>
      </c>
      <c r="R458" s="56" t="s">
        <v>29</v>
      </c>
      <c r="S458" s="56" t="s">
        <v>29</v>
      </c>
      <c r="T458" s="56" t="s">
        <v>29</v>
      </c>
      <c r="U458" s="56" t="s">
        <v>29</v>
      </c>
      <c r="V458" s="56">
        <v>2</v>
      </c>
      <c r="W458" s="56">
        <v>1130197</v>
      </c>
      <c r="X458">
        <v>2</v>
      </c>
      <c r="Y458" s="56">
        <v>23</v>
      </c>
      <c r="Z458" s="67" t="s">
        <v>29</v>
      </c>
      <c r="AA458" s="68">
        <f t="shared" si="25"/>
        <v>8.6956521739130432E-2</v>
      </c>
      <c r="AB458" s="92">
        <f t="shared" si="23"/>
        <v>0</v>
      </c>
      <c r="AC458" s="92">
        <f>IFERROR(Table16[[#This Row],[Quantity Needed for repair]]*Table16[[#This Row],[Evaluated]],"")</f>
        <v>0</v>
      </c>
    </row>
    <row r="459" spans="5:29" ht="15" thickBot="1" x14ac:dyDescent="0.4">
      <c r="E459" s="69">
        <v>3</v>
      </c>
      <c r="F459" s="70" t="s">
        <v>481</v>
      </c>
      <c r="G459" s="70">
        <v>13131337</v>
      </c>
      <c r="H459" s="70" t="s">
        <v>313</v>
      </c>
      <c r="I459" s="70" t="s">
        <v>351</v>
      </c>
      <c r="J459" s="70" t="s">
        <v>29</v>
      </c>
      <c r="K459" s="70">
        <v>882281</v>
      </c>
      <c r="L459" s="71">
        <v>44473</v>
      </c>
      <c r="M459" s="70" t="s">
        <v>352</v>
      </c>
      <c r="N459" s="70" t="s">
        <v>29</v>
      </c>
      <c r="O459" s="70" t="s">
        <v>29</v>
      </c>
      <c r="P459" s="70" t="s">
        <v>29</v>
      </c>
      <c r="Q459" s="72" t="str">
        <f t="shared" si="24"/>
        <v/>
      </c>
      <c r="R459" s="70" t="s">
        <v>29</v>
      </c>
      <c r="S459" s="70" t="s">
        <v>29</v>
      </c>
      <c r="T459" s="70" t="s">
        <v>29</v>
      </c>
      <c r="U459" s="70" t="s">
        <v>29</v>
      </c>
      <c r="V459" s="70">
        <v>3</v>
      </c>
      <c r="W459" s="70">
        <v>418525</v>
      </c>
      <c r="X459" s="137">
        <v>12</v>
      </c>
      <c r="Y459" s="70">
        <v>12</v>
      </c>
      <c r="Z459" s="73" t="s">
        <v>29</v>
      </c>
      <c r="AA459" s="74">
        <f t="shared" si="25"/>
        <v>1</v>
      </c>
      <c r="AB459" s="93">
        <f t="shared" si="23"/>
        <v>0</v>
      </c>
      <c r="AC459" s="93">
        <f>IFERROR(Table16[[#This Row],[Quantity Needed for repair]]*Table16[[#This Row],[Evaluated]],"")</f>
        <v>0</v>
      </c>
    </row>
    <row r="460" spans="5:29" x14ac:dyDescent="0.35">
      <c r="E460" s="57">
        <v>3</v>
      </c>
      <c r="F460" s="58" t="s">
        <v>482</v>
      </c>
      <c r="G460" s="58">
        <v>13111899</v>
      </c>
      <c r="H460" s="58" t="s">
        <v>313</v>
      </c>
      <c r="I460" s="58" t="s">
        <v>351</v>
      </c>
      <c r="J460" s="58" t="s">
        <v>29</v>
      </c>
      <c r="K460" s="58">
        <v>1080537</v>
      </c>
      <c r="L460" s="59">
        <v>44473</v>
      </c>
      <c r="M460" s="58" t="s">
        <v>352</v>
      </c>
      <c r="N460" s="58" t="s">
        <v>29</v>
      </c>
      <c r="O460" s="58" t="s">
        <v>29</v>
      </c>
      <c r="P460" s="58" t="s">
        <v>29</v>
      </c>
      <c r="Q460" s="60" t="str">
        <f t="shared" si="24"/>
        <v/>
      </c>
      <c r="R460" s="58" t="s">
        <v>29</v>
      </c>
      <c r="S460" s="58" t="s">
        <v>29</v>
      </c>
      <c r="T460" s="58" t="s">
        <v>29</v>
      </c>
      <c r="U460" s="58" t="s">
        <v>29</v>
      </c>
      <c r="V460" s="58">
        <v>1</v>
      </c>
      <c r="W460" s="58">
        <v>1130198</v>
      </c>
      <c r="X460" s="136">
        <v>13</v>
      </c>
      <c r="Y460" s="58">
        <v>33</v>
      </c>
      <c r="Z460" s="61" t="s">
        <v>29</v>
      </c>
      <c r="AA460" s="62">
        <f t="shared" si="25"/>
        <v>0.39393939393939392</v>
      </c>
      <c r="AB460" s="91">
        <f t="shared" si="23"/>
        <v>0</v>
      </c>
      <c r="AC460" s="91">
        <f>IFERROR(Table16[[#This Row],[Quantity Needed for repair]]*Table16[[#This Row],[Evaluated]],"")</f>
        <v>0</v>
      </c>
    </row>
    <row r="461" spans="5:29" x14ac:dyDescent="0.35">
      <c r="E461" s="64">
        <v>3</v>
      </c>
      <c r="F461" s="56" t="s">
        <v>482</v>
      </c>
      <c r="G461" s="56">
        <v>13111899</v>
      </c>
      <c r="H461" s="56" t="s">
        <v>313</v>
      </c>
      <c r="I461" s="56" t="s">
        <v>351</v>
      </c>
      <c r="J461" s="56" t="s">
        <v>29</v>
      </c>
      <c r="K461" s="56">
        <v>1080537</v>
      </c>
      <c r="L461" s="65">
        <v>44473</v>
      </c>
      <c r="M461" s="56" t="s">
        <v>352</v>
      </c>
      <c r="N461" s="56" t="s">
        <v>29</v>
      </c>
      <c r="O461" s="56" t="s">
        <v>29</v>
      </c>
      <c r="P461" s="56" t="s">
        <v>29</v>
      </c>
      <c r="Q461" s="66" t="str">
        <f t="shared" si="24"/>
        <v/>
      </c>
      <c r="R461" s="56" t="s">
        <v>29</v>
      </c>
      <c r="S461" s="56" t="s">
        <v>29</v>
      </c>
      <c r="T461" s="56" t="s">
        <v>29</v>
      </c>
      <c r="U461" s="56" t="s">
        <v>29</v>
      </c>
      <c r="V461" s="56">
        <v>2</v>
      </c>
      <c r="W461" s="56">
        <v>647435</v>
      </c>
      <c r="X461">
        <v>11</v>
      </c>
      <c r="Y461" s="56">
        <v>23</v>
      </c>
      <c r="Z461" s="67" t="s">
        <v>29</v>
      </c>
      <c r="AA461" s="68">
        <f t="shared" si="25"/>
        <v>0.47826086956521741</v>
      </c>
      <c r="AB461" s="92">
        <f t="shared" si="23"/>
        <v>0</v>
      </c>
      <c r="AC461" s="92">
        <f>IFERROR(Table16[[#This Row],[Quantity Needed for repair]]*Table16[[#This Row],[Evaluated]],"")</f>
        <v>0</v>
      </c>
    </row>
    <row r="462" spans="5:29" ht="15" thickBot="1" x14ac:dyDescent="0.4">
      <c r="E462" s="69">
        <v>3</v>
      </c>
      <c r="F462" s="70" t="s">
        <v>482</v>
      </c>
      <c r="G462" s="70">
        <v>13111899</v>
      </c>
      <c r="H462" s="70" t="s">
        <v>313</v>
      </c>
      <c r="I462" s="70" t="s">
        <v>351</v>
      </c>
      <c r="J462" s="70" t="s">
        <v>29</v>
      </c>
      <c r="K462" s="70">
        <v>1080537</v>
      </c>
      <c r="L462" s="71">
        <v>44473</v>
      </c>
      <c r="M462" s="70" t="s">
        <v>352</v>
      </c>
      <c r="N462" s="70" t="s">
        <v>29</v>
      </c>
      <c r="O462" s="70" t="s">
        <v>29</v>
      </c>
      <c r="P462" s="70" t="s">
        <v>29</v>
      </c>
      <c r="Q462" s="72" t="str">
        <f t="shared" si="24"/>
        <v/>
      </c>
      <c r="R462" s="70" t="s">
        <v>29</v>
      </c>
      <c r="S462" s="70" t="s">
        <v>29</v>
      </c>
      <c r="T462" s="70" t="s">
        <v>29</v>
      </c>
      <c r="U462" s="70" t="s">
        <v>29</v>
      </c>
      <c r="V462" s="70">
        <v>3</v>
      </c>
      <c r="W462" s="70">
        <v>418525</v>
      </c>
      <c r="X462" s="137">
        <v>6</v>
      </c>
      <c r="Y462" s="70">
        <v>6</v>
      </c>
      <c r="Z462" s="73" t="s">
        <v>29</v>
      </c>
      <c r="AA462" s="74">
        <f t="shared" si="25"/>
        <v>1</v>
      </c>
      <c r="AB462" s="93">
        <f t="shared" si="23"/>
        <v>0</v>
      </c>
      <c r="AC462" s="93">
        <f>IFERROR(Table16[[#This Row],[Quantity Needed for repair]]*Table16[[#This Row],[Evaluated]],"")</f>
        <v>0</v>
      </c>
    </row>
    <row r="463" spans="5:29" x14ac:dyDescent="0.35">
      <c r="E463" s="57">
        <v>3</v>
      </c>
      <c r="F463" s="58" t="s">
        <v>483</v>
      </c>
      <c r="G463" s="58">
        <v>12706614</v>
      </c>
      <c r="H463" s="58" t="s">
        <v>313</v>
      </c>
      <c r="I463" s="58" t="s">
        <v>351</v>
      </c>
      <c r="J463" s="58" t="s">
        <v>29</v>
      </c>
      <c r="K463" s="58">
        <v>882281</v>
      </c>
      <c r="L463" s="59">
        <v>44473</v>
      </c>
      <c r="M463" s="58" t="s">
        <v>352</v>
      </c>
      <c r="N463" s="58" t="s">
        <v>29</v>
      </c>
      <c r="O463" s="58" t="s">
        <v>29</v>
      </c>
      <c r="P463" s="58" t="s">
        <v>29</v>
      </c>
      <c r="Q463" s="60" t="str">
        <f t="shared" si="24"/>
        <v/>
      </c>
      <c r="R463" s="58" t="s">
        <v>29</v>
      </c>
      <c r="S463" s="58" t="s">
        <v>29</v>
      </c>
      <c r="T463" s="58" t="s">
        <v>29</v>
      </c>
      <c r="U463" s="58" t="s">
        <v>29</v>
      </c>
      <c r="V463" s="58">
        <v>1</v>
      </c>
      <c r="W463" s="58">
        <v>1130198</v>
      </c>
      <c r="X463" s="136">
        <v>2</v>
      </c>
      <c r="Y463" s="58">
        <v>33</v>
      </c>
      <c r="Z463" s="61" t="s">
        <v>29</v>
      </c>
      <c r="AA463" s="62">
        <f t="shared" si="25"/>
        <v>6.0606060606060608E-2</v>
      </c>
      <c r="AB463" s="91">
        <f t="shared" si="23"/>
        <v>0</v>
      </c>
      <c r="AC463" s="91">
        <f>IFERROR(Table16[[#This Row],[Quantity Needed for repair]]*Table16[[#This Row],[Evaluated]],"")</f>
        <v>0</v>
      </c>
    </row>
    <row r="464" spans="5:29" x14ac:dyDescent="0.35">
      <c r="E464" s="64">
        <v>3</v>
      </c>
      <c r="F464" s="56" t="s">
        <v>483</v>
      </c>
      <c r="G464" s="56">
        <v>12706614</v>
      </c>
      <c r="H464" s="56" t="s">
        <v>313</v>
      </c>
      <c r="I464" s="56" t="s">
        <v>351</v>
      </c>
      <c r="J464" s="56" t="s">
        <v>29</v>
      </c>
      <c r="K464" s="56">
        <v>882281</v>
      </c>
      <c r="L464" s="65">
        <v>44473</v>
      </c>
      <c r="M464" s="56" t="s">
        <v>352</v>
      </c>
      <c r="N464" s="56" t="s">
        <v>29</v>
      </c>
      <c r="O464" s="56" t="s">
        <v>29</v>
      </c>
      <c r="P464" s="56" t="s">
        <v>29</v>
      </c>
      <c r="Q464" s="66" t="str">
        <f t="shared" si="24"/>
        <v/>
      </c>
      <c r="R464" s="56" t="s">
        <v>29</v>
      </c>
      <c r="S464" s="56" t="s">
        <v>29</v>
      </c>
      <c r="T464" s="56" t="s">
        <v>29</v>
      </c>
      <c r="U464" s="56" t="s">
        <v>29</v>
      </c>
      <c r="V464" s="56">
        <v>2</v>
      </c>
      <c r="W464" s="56">
        <v>1130197</v>
      </c>
      <c r="X464" t="s">
        <v>29</v>
      </c>
      <c r="Y464" s="56">
        <v>23</v>
      </c>
      <c r="Z464" s="67" t="s">
        <v>29</v>
      </c>
      <c r="AA464" s="68" t="str">
        <f t="shared" si="25"/>
        <v/>
      </c>
      <c r="AB464" s="92">
        <f t="shared" si="23"/>
        <v>0</v>
      </c>
      <c r="AC464" s="92" t="str">
        <f>IFERROR(Table16[[#This Row],[Quantity Needed for repair]]*Table16[[#This Row],[Evaluated]],"")</f>
        <v/>
      </c>
    </row>
    <row r="465" spans="5:29" ht="15" thickBot="1" x14ac:dyDescent="0.4">
      <c r="E465" s="69">
        <v>3</v>
      </c>
      <c r="F465" s="70" t="s">
        <v>483</v>
      </c>
      <c r="G465" s="70">
        <v>12706614</v>
      </c>
      <c r="H465" s="70" t="s">
        <v>313</v>
      </c>
      <c r="I465" s="70" t="s">
        <v>351</v>
      </c>
      <c r="J465" s="70" t="s">
        <v>29</v>
      </c>
      <c r="K465" s="70">
        <v>882281</v>
      </c>
      <c r="L465" s="71">
        <v>44473</v>
      </c>
      <c r="M465" s="70" t="s">
        <v>352</v>
      </c>
      <c r="N465" s="70" t="s">
        <v>29</v>
      </c>
      <c r="O465" s="70" t="s">
        <v>29</v>
      </c>
      <c r="P465" s="70" t="s">
        <v>29</v>
      </c>
      <c r="Q465" s="72" t="str">
        <f t="shared" si="24"/>
        <v/>
      </c>
      <c r="R465" s="70" t="s">
        <v>29</v>
      </c>
      <c r="S465" s="70" t="s">
        <v>29</v>
      </c>
      <c r="T465" s="70" t="s">
        <v>29</v>
      </c>
      <c r="U465" s="70" t="s">
        <v>29</v>
      </c>
      <c r="V465" s="70">
        <v>3</v>
      </c>
      <c r="W465" s="70">
        <v>418525</v>
      </c>
      <c r="X465" s="137">
        <v>8</v>
      </c>
      <c r="Y465" s="70">
        <v>12</v>
      </c>
      <c r="Z465" s="73" t="s">
        <v>29</v>
      </c>
      <c r="AA465" s="74">
        <f t="shared" si="25"/>
        <v>0.66666666666666663</v>
      </c>
      <c r="AB465" s="93">
        <f t="shared" si="23"/>
        <v>0</v>
      </c>
      <c r="AC465" s="93">
        <f>IFERROR(Table16[[#This Row],[Quantity Needed for repair]]*Table16[[#This Row],[Evaluated]],"")</f>
        <v>0</v>
      </c>
    </row>
    <row r="466" spans="5:29" x14ac:dyDescent="0.35">
      <c r="E466" s="57">
        <v>3</v>
      </c>
      <c r="F466" s="58" t="s">
        <v>484</v>
      </c>
      <c r="G466" s="58">
        <v>13034639</v>
      </c>
      <c r="H466" s="58" t="s">
        <v>313</v>
      </c>
      <c r="I466" s="58" t="s">
        <v>351</v>
      </c>
      <c r="J466" s="58" t="s">
        <v>29</v>
      </c>
      <c r="K466" s="58">
        <v>882281</v>
      </c>
      <c r="L466" s="59">
        <v>44473</v>
      </c>
      <c r="M466" s="58" t="s">
        <v>352</v>
      </c>
      <c r="N466" s="58" t="s">
        <v>29</v>
      </c>
      <c r="O466" s="58" t="s">
        <v>29</v>
      </c>
      <c r="P466" s="58" t="s">
        <v>29</v>
      </c>
      <c r="Q466" s="60" t="str">
        <f t="shared" si="24"/>
        <v/>
      </c>
      <c r="R466" s="58" t="s">
        <v>29</v>
      </c>
      <c r="S466" s="58" t="s">
        <v>29</v>
      </c>
      <c r="T466" s="58" t="s">
        <v>29</v>
      </c>
      <c r="U466" s="58" t="s">
        <v>29</v>
      </c>
      <c r="V466" s="58">
        <v>1</v>
      </c>
      <c r="W466" s="58">
        <v>1130198</v>
      </c>
      <c r="X466" s="136">
        <v>8</v>
      </c>
      <c r="Y466" s="58">
        <v>33</v>
      </c>
      <c r="Z466" s="61" t="s">
        <v>29</v>
      </c>
      <c r="AA466" s="62">
        <f t="shared" si="25"/>
        <v>0.24242424242424243</v>
      </c>
      <c r="AB466" s="91">
        <f t="shared" si="23"/>
        <v>0</v>
      </c>
      <c r="AC466" s="91">
        <f>IFERROR(Table16[[#This Row],[Quantity Needed for repair]]*Table16[[#This Row],[Evaluated]],"")</f>
        <v>0</v>
      </c>
    </row>
    <row r="467" spans="5:29" x14ac:dyDescent="0.35">
      <c r="E467" s="64">
        <v>3</v>
      </c>
      <c r="F467" s="56" t="s">
        <v>484</v>
      </c>
      <c r="G467" s="56">
        <v>13034639</v>
      </c>
      <c r="H467" s="56" t="s">
        <v>313</v>
      </c>
      <c r="I467" s="56" t="s">
        <v>351</v>
      </c>
      <c r="J467" s="56" t="s">
        <v>29</v>
      </c>
      <c r="K467" s="56">
        <v>882281</v>
      </c>
      <c r="L467" s="65">
        <v>44473</v>
      </c>
      <c r="M467" s="56" t="s">
        <v>352</v>
      </c>
      <c r="N467" s="56" t="s">
        <v>29</v>
      </c>
      <c r="O467" s="56" t="s">
        <v>29</v>
      </c>
      <c r="P467" s="56" t="s">
        <v>29</v>
      </c>
      <c r="Q467" s="66" t="str">
        <f t="shared" si="24"/>
        <v/>
      </c>
      <c r="R467" s="56" t="s">
        <v>29</v>
      </c>
      <c r="S467" s="56" t="s">
        <v>29</v>
      </c>
      <c r="T467" s="56" t="s">
        <v>29</v>
      </c>
      <c r="U467" s="56" t="s">
        <v>29</v>
      </c>
      <c r="V467" s="56">
        <v>2</v>
      </c>
      <c r="W467" s="56">
        <v>1130197</v>
      </c>
      <c r="X467" t="s">
        <v>29</v>
      </c>
      <c r="Y467" s="56">
        <v>23</v>
      </c>
      <c r="Z467" s="67" t="s">
        <v>29</v>
      </c>
      <c r="AA467" s="68" t="str">
        <f t="shared" si="25"/>
        <v/>
      </c>
      <c r="AB467" s="92">
        <f t="shared" si="23"/>
        <v>0</v>
      </c>
      <c r="AC467" s="92" t="str">
        <f>IFERROR(Table16[[#This Row],[Quantity Needed for repair]]*Table16[[#This Row],[Evaluated]],"")</f>
        <v/>
      </c>
    </row>
    <row r="468" spans="5:29" ht="15" thickBot="1" x14ac:dyDescent="0.4">
      <c r="E468" s="69">
        <v>3</v>
      </c>
      <c r="F468" s="70" t="s">
        <v>484</v>
      </c>
      <c r="G468" s="70">
        <v>13034639</v>
      </c>
      <c r="H468" s="70" t="s">
        <v>313</v>
      </c>
      <c r="I468" s="70" t="s">
        <v>351</v>
      </c>
      <c r="J468" s="70" t="s">
        <v>29</v>
      </c>
      <c r="K468" s="70">
        <v>882281</v>
      </c>
      <c r="L468" s="71">
        <v>44473</v>
      </c>
      <c r="M468" s="70" t="s">
        <v>352</v>
      </c>
      <c r="N468" s="70" t="s">
        <v>29</v>
      </c>
      <c r="O468" s="70" t="s">
        <v>29</v>
      </c>
      <c r="P468" s="70" t="s">
        <v>29</v>
      </c>
      <c r="Q468" s="72" t="str">
        <f t="shared" si="24"/>
        <v/>
      </c>
      <c r="R468" s="70" t="s">
        <v>29</v>
      </c>
      <c r="S468" s="70" t="s">
        <v>29</v>
      </c>
      <c r="T468" s="70" t="s">
        <v>29</v>
      </c>
      <c r="U468" s="70" t="s">
        <v>29</v>
      </c>
      <c r="V468" s="70">
        <v>3</v>
      </c>
      <c r="W468" s="70">
        <v>418525</v>
      </c>
      <c r="X468" s="137">
        <v>12</v>
      </c>
      <c r="Y468" s="70">
        <v>12</v>
      </c>
      <c r="Z468" s="73" t="s">
        <v>29</v>
      </c>
      <c r="AA468" s="74">
        <f t="shared" si="25"/>
        <v>1</v>
      </c>
      <c r="AB468" s="93">
        <f t="shared" si="23"/>
        <v>0</v>
      </c>
      <c r="AC468" s="93">
        <f>IFERROR(Table16[[#This Row],[Quantity Needed for repair]]*Table16[[#This Row],[Evaluated]],"")</f>
        <v>0</v>
      </c>
    </row>
    <row r="469" spans="5:29" x14ac:dyDescent="0.35">
      <c r="E469" s="57">
        <v>3</v>
      </c>
      <c r="F469" s="58" t="s">
        <v>485</v>
      </c>
      <c r="G469" s="58">
        <v>13044609</v>
      </c>
      <c r="H469" s="58" t="s">
        <v>313</v>
      </c>
      <c r="I469" s="58" t="s">
        <v>351</v>
      </c>
      <c r="J469" s="58" t="s">
        <v>29</v>
      </c>
      <c r="K469" s="58">
        <v>1005293</v>
      </c>
      <c r="L469" s="59">
        <v>44473</v>
      </c>
      <c r="M469" s="58" t="s">
        <v>352</v>
      </c>
      <c r="N469" s="58" t="s">
        <v>29</v>
      </c>
      <c r="O469" s="58" t="s">
        <v>29</v>
      </c>
      <c r="P469" s="58" t="s">
        <v>29</v>
      </c>
      <c r="Q469" s="60" t="str">
        <f t="shared" si="24"/>
        <v/>
      </c>
      <c r="R469" s="58" t="s">
        <v>29</v>
      </c>
      <c r="S469" s="58" t="s">
        <v>29</v>
      </c>
      <c r="T469" s="58" t="s">
        <v>29</v>
      </c>
      <c r="U469" s="58" t="s">
        <v>29</v>
      </c>
      <c r="V469" s="58">
        <v>1</v>
      </c>
      <c r="W469" s="58">
        <v>1130198</v>
      </c>
      <c r="X469" s="136">
        <v>3</v>
      </c>
      <c r="Y469" s="58">
        <v>33</v>
      </c>
      <c r="Z469" s="61" t="s">
        <v>29</v>
      </c>
      <c r="AA469" s="62">
        <f t="shared" si="25"/>
        <v>9.0909090909090912E-2</v>
      </c>
      <c r="AB469" s="91">
        <f t="shared" si="23"/>
        <v>0</v>
      </c>
      <c r="AC469" s="91">
        <f>IFERROR(Table16[[#This Row],[Quantity Needed for repair]]*Table16[[#This Row],[Evaluated]],"")</f>
        <v>0</v>
      </c>
    </row>
    <row r="470" spans="5:29" x14ac:dyDescent="0.35">
      <c r="E470" s="64">
        <v>3</v>
      </c>
      <c r="F470" s="56" t="s">
        <v>485</v>
      </c>
      <c r="G470" s="56">
        <v>13044609</v>
      </c>
      <c r="H470" s="56" t="s">
        <v>313</v>
      </c>
      <c r="I470" s="56" t="s">
        <v>351</v>
      </c>
      <c r="J470" s="56" t="s">
        <v>29</v>
      </c>
      <c r="K470" s="56">
        <v>1005293</v>
      </c>
      <c r="L470" s="65">
        <v>44473</v>
      </c>
      <c r="M470" s="56" t="s">
        <v>352</v>
      </c>
      <c r="N470" s="56" t="s">
        <v>29</v>
      </c>
      <c r="O470" s="56" t="s">
        <v>29</v>
      </c>
      <c r="P470" s="56" t="s">
        <v>29</v>
      </c>
      <c r="Q470" s="66" t="str">
        <f t="shared" si="24"/>
        <v/>
      </c>
      <c r="R470" s="56" t="s">
        <v>29</v>
      </c>
      <c r="S470" s="56" t="s">
        <v>29</v>
      </c>
      <c r="T470" s="56" t="s">
        <v>29</v>
      </c>
      <c r="U470" s="56" t="s">
        <v>29</v>
      </c>
      <c r="V470" s="56">
        <v>2</v>
      </c>
      <c r="W470" s="56">
        <v>647435</v>
      </c>
      <c r="X470">
        <v>4</v>
      </c>
      <c r="Y470" s="56">
        <v>23</v>
      </c>
      <c r="Z470" s="67" t="s">
        <v>29</v>
      </c>
      <c r="AA470" s="68">
        <f t="shared" si="25"/>
        <v>0.17391304347826086</v>
      </c>
      <c r="AB470" s="92">
        <f t="shared" si="23"/>
        <v>0</v>
      </c>
      <c r="AC470" s="92">
        <f>IFERROR(Table16[[#This Row],[Quantity Needed for repair]]*Table16[[#This Row],[Evaluated]],"")</f>
        <v>0</v>
      </c>
    </row>
    <row r="471" spans="5:29" ht="15" thickBot="1" x14ac:dyDescent="0.4">
      <c r="E471" s="69">
        <v>3</v>
      </c>
      <c r="F471" s="70" t="s">
        <v>485</v>
      </c>
      <c r="G471" s="70">
        <v>13044609</v>
      </c>
      <c r="H471" s="70" t="s">
        <v>313</v>
      </c>
      <c r="I471" s="70" t="s">
        <v>351</v>
      </c>
      <c r="J471" s="70" t="s">
        <v>29</v>
      </c>
      <c r="K471" s="70">
        <v>1005293</v>
      </c>
      <c r="L471" s="71">
        <v>44473</v>
      </c>
      <c r="M471" s="70" t="s">
        <v>352</v>
      </c>
      <c r="N471" s="70" t="s">
        <v>29</v>
      </c>
      <c r="O471" s="70" t="s">
        <v>29</v>
      </c>
      <c r="P471" s="70" t="s">
        <v>29</v>
      </c>
      <c r="Q471" s="72" t="str">
        <f t="shared" si="24"/>
        <v/>
      </c>
      <c r="R471" s="70" t="s">
        <v>29</v>
      </c>
      <c r="S471" s="70" t="s">
        <v>29</v>
      </c>
      <c r="T471" s="70" t="s">
        <v>29</v>
      </c>
      <c r="U471" s="70" t="s">
        <v>29</v>
      </c>
      <c r="V471" s="70">
        <v>3</v>
      </c>
      <c r="W471" s="70">
        <v>418525</v>
      </c>
      <c r="X471" s="137">
        <v>6</v>
      </c>
      <c r="Y471" s="70">
        <v>6</v>
      </c>
      <c r="Z471" s="73" t="s">
        <v>29</v>
      </c>
      <c r="AA471" s="74">
        <f t="shared" si="25"/>
        <v>1</v>
      </c>
      <c r="AB471" s="93">
        <f t="shared" si="23"/>
        <v>0</v>
      </c>
      <c r="AC471" s="93">
        <f>IFERROR(Table16[[#This Row],[Quantity Needed for repair]]*Table16[[#This Row],[Evaluated]],"")</f>
        <v>0</v>
      </c>
    </row>
    <row r="472" spans="5:29" x14ac:dyDescent="0.35">
      <c r="E472" s="57">
        <v>3</v>
      </c>
      <c r="F472" s="58" t="s">
        <v>486</v>
      </c>
      <c r="G472" s="58">
        <v>13079332</v>
      </c>
      <c r="H472" s="58" t="s">
        <v>313</v>
      </c>
      <c r="I472" s="58" t="s">
        <v>351</v>
      </c>
      <c r="J472" s="58" t="s">
        <v>29</v>
      </c>
      <c r="K472" s="58">
        <v>1080537</v>
      </c>
      <c r="L472" s="59">
        <v>44473</v>
      </c>
      <c r="M472" s="58" t="s">
        <v>352</v>
      </c>
      <c r="N472" s="58" t="s">
        <v>29</v>
      </c>
      <c r="O472" s="58" t="s">
        <v>29</v>
      </c>
      <c r="P472" s="58" t="s">
        <v>29</v>
      </c>
      <c r="Q472" s="60" t="str">
        <f t="shared" si="24"/>
        <v/>
      </c>
      <c r="R472" s="58" t="s">
        <v>29</v>
      </c>
      <c r="S472" s="58" t="s">
        <v>29</v>
      </c>
      <c r="T472" s="58" t="s">
        <v>29</v>
      </c>
      <c r="U472" s="58" t="s">
        <v>29</v>
      </c>
      <c r="V472" s="58">
        <v>1</v>
      </c>
      <c r="W472" s="58">
        <v>1130198</v>
      </c>
      <c r="X472" s="136">
        <v>5</v>
      </c>
      <c r="Y472" s="58">
        <v>33</v>
      </c>
      <c r="Z472" s="61" t="s">
        <v>29</v>
      </c>
      <c r="AA472" s="62">
        <f t="shared" si="25"/>
        <v>0.15151515151515152</v>
      </c>
      <c r="AB472" s="91">
        <f t="shared" si="23"/>
        <v>0</v>
      </c>
      <c r="AC472" s="91">
        <f>IFERROR(Table16[[#This Row],[Quantity Needed for repair]]*Table16[[#This Row],[Evaluated]],"")</f>
        <v>0</v>
      </c>
    </row>
    <row r="473" spans="5:29" x14ac:dyDescent="0.35">
      <c r="E473" s="64">
        <v>3</v>
      </c>
      <c r="F473" s="56" t="s">
        <v>486</v>
      </c>
      <c r="G473" s="56">
        <v>13079332</v>
      </c>
      <c r="H473" s="56" t="s">
        <v>313</v>
      </c>
      <c r="I473" s="56" t="s">
        <v>351</v>
      </c>
      <c r="J473" s="56" t="s">
        <v>29</v>
      </c>
      <c r="K473" s="56">
        <v>1080537</v>
      </c>
      <c r="L473" s="65">
        <v>44473</v>
      </c>
      <c r="M473" s="56" t="s">
        <v>352</v>
      </c>
      <c r="N473" s="56" t="s">
        <v>29</v>
      </c>
      <c r="O473" s="56" t="s">
        <v>29</v>
      </c>
      <c r="P473" s="56" t="s">
        <v>29</v>
      </c>
      <c r="Q473" s="66" t="str">
        <f t="shared" si="24"/>
        <v/>
      </c>
      <c r="R473" s="56" t="s">
        <v>29</v>
      </c>
      <c r="S473" s="56" t="s">
        <v>29</v>
      </c>
      <c r="T473" s="56" t="s">
        <v>29</v>
      </c>
      <c r="U473" s="56" t="s">
        <v>29</v>
      </c>
      <c r="V473" s="56">
        <v>2</v>
      </c>
      <c r="W473" s="56">
        <v>647435</v>
      </c>
      <c r="X473">
        <v>6</v>
      </c>
      <c r="Y473" s="56">
        <v>23</v>
      </c>
      <c r="Z473" s="67" t="s">
        <v>29</v>
      </c>
      <c r="AA473" s="68">
        <f t="shared" si="25"/>
        <v>0.2608695652173913</v>
      </c>
      <c r="AB473" s="92">
        <f t="shared" si="23"/>
        <v>0</v>
      </c>
      <c r="AC473" s="92">
        <f>IFERROR(Table16[[#This Row],[Quantity Needed for repair]]*Table16[[#This Row],[Evaluated]],"")</f>
        <v>0</v>
      </c>
    </row>
    <row r="474" spans="5:29" ht="15" thickBot="1" x14ac:dyDescent="0.4">
      <c r="E474" s="69">
        <v>3</v>
      </c>
      <c r="F474" s="70" t="s">
        <v>486</v>
      </c>
      <c r="G474" s="70">
        <v>13079332</v>
      </c>
      <c r="H474" s="70" t="s">
        <v>313</v>
      </c>
      <c r="I474" s="70" t="s">
        <v>351</v>
      </c>
      <c r="J474" s="70" t="s">
        <v>29</v>
      </c>
      <c r="K474" s="70">
        <v>1080537</v>
      </c>
      <c r="L474" s="71">
        <v>44473</v>
      </c>
      <c r="M474" s="70" t="s">
        <v>352</v>
      </c>
      <c r="N474" s="70" t="s">
        <v>29</v>
      </c>
      <c r="O474" s="70" t="s">
        <v>29</v>
      </c>
      <c r="P474" s="70" t="s">
        <v>29</v>
      </c>
      <c r="Q474" s="72" t="str">
        <f t="shared" si="24"/>
        <v/>
      </c>
      <c r="R474" s="70" t="s">
        <v>29</v>
      </c>
      <c r="S474" s="70" t="s">
        <v>29</v>
      </c>
      <c r="T474" s="70" t="s">
        <v>29</v>
      </c>
      <c r="U474" s="70" t="s">
        <v>29</v>
      </c>
      <c r="V474" s="70">
        <v>3</v>
      </c>
      <c r="W474" s="70">
        <v>418525</v>
      </c>
      <c r="X474" s="137">
        <v>4</v>
      </c>
      <c r="Y474" s="70">
        <v>6</v>
      </c>
      <c r="Z474" s="73" t="s">
        <v>29</v>
      </c>
      <c r="AA474" s="74">
        <f t="shared" si="25"/>
        <v>0.66666666666666663</v>
      </c>
      <c r="AB474" s="93">
        <f t="shared" si="23"/>
        <v>0</v>
      </c>
      <c r="AC474" s="93">
        <f>IFERROR(Table16[[#This Row],[Quantity Needed for repair]]*Table16[[#This Row],[Evaluated]],"")</f>
        <v>0</v>
      </c>
    </row>
    <row r="475" spans="5:29" x14ac:dyDescent="0.35">
      <c r="E475" s="57">
        <v>3</v>
      </c>
      <c r="F475" s="58" t="s">
        <v>487</v>
      </c>
      <c r="G475" s="58">
        <v>13111895</v>
      </c>
      <c r="H475" s="58" t="s">
        <v>313</v>
      </c>
      <c r="I475" s="58" t="s">
        <v>351</v>
      </c>
      <c r="J475" s="58" t="s">
        <v>29</v>
      </c>
      <c r="K475" s="58">
        <v>1080537</v>
      </c>
      <c r="L475" s="59">
        <v>44473</v>
      </c>
      <c r="M475" s="58" t="s">
        <v>352</v>
      </c>
      <c r="N475" s="58" t="s">
        <v>29</v>
      </c>
      <c r="O475" s="58" t="s">
        <v>29</v>
      </c>
      <c r="P475" s="58" t="s">
        <v>29</v>
      </c>
      <c r="Q475" s="60" t="str">
        <f t="shared" si="24"/>
        <v/>
      </c>
      <c r="R475" s="58" t="s">
        <v>29</v>
      </c>
      <c r="S475" s="58" t="s">
        <v>29</v>
      </c>
      <c r="T475" s="58" t="s">
        <v>29</v>
      </c>
      <c r="U475" s="58" t="s">
        <v>29</v>
      </c>
      <c r="V475" s="58">
        <v>1</v>
      </c>
      <c r="W475" s="58">
        <v>1130198</v>
      </c>
      <c r="X475" s="136">
        <v>9</v>
      </c>
      <c r="Y475" s="58">
        <v>33</v>
      </c>
      <c r="Z475" s="61" t="s">
        <v>29</v>
      </c>
      <c r="AA475" s="62">
        <f t="shared" si="25"/>
        <v>0.27272727272727271</v>
      </c>
      <c r="AB475" s="91">
        <f t="shared" si="23"/>
        <v>0</v>
      </c>
      <c r="AC475" s="91">
        <f>IFERROR(Table16[[#This Row],[Quantity Needed for repair]]*Table16[[#This Row],[Evaluated]],"")</f>
        <v>0</v>
      </c>
    </row>
    <row r="476" spans="5:29" x14ac:dyDescent="0.35">
      <c r="E476" s="64">
        <v>3</v>
      </c>
      <c r="F476" s="56" t="s">
        <v>487</v>
      </c>
      <c r="G476" s="56">
        <v>13111895</v>
      </c>
      <c r="H476" s="56" t="s">
        <v>313</v>
      </c>
      <c r="I476" s="56" t="s">
        <v>351</v>
      </c>
      <c r="J476" s="56" t="s">
        <v>29</v>
      </c>
      <c r="K476" s="56">
        <v>1080537</v>
      </c>
      <c r="L476" s="65">
        <v>44473</v>
      </c>
      <c r="M476" s="56" t="s">
        <v>352</v>
      </c>
      <c r="N476" s="56" t="s">
        <v>29</v>
      </c>
      <c r="O476" s="56" t="s">
        <v>29</v>
      </c>
      <c r="P476" s="56" t="s">
        <v>29</v>
      </c>
      <c r="Q476" s="66" t="str">
        <f t="shared" si="24"/>
        <v/>
      </c>
      <c r="R476" s="56" t="s">
        <v>29</v>
      </c>
      <c r="S476" s="56" t="s">
        <v>29</v>
      </c>
      <c r="T476" s="56" t="s">
        <v>29</v>
      </c>
      <c r="U476" s="56" t="s">
        <v>29</v>
      </c>
      <c r="V476" s="56">
        <v>2</v>
      </c>
      <c r="W476" s="56">
        <v>647435</v>
      </c>
      <c r="X476">
        <v>2</v>
      </c>
      <c r="Y476" s="56">
        <v>23</v>
      </c>
      <c r="Z476" s="67" t="s">
        <v>29</v>
      </c>
      <c r="AA476" s="68">
        <f t="shared" si="25"/>
        <v>8.6956521739130432E-2</v>
      </c>
      <c r="AB476" s="92">
        <f t="shared" si="23"/>
        <v>0</v>
      </c>
      <c r="AC476" s="92">
        <f>IFERROR(Table16[[#This Row],[Quantity Needed for repair]]*Table16[[#This Row],[Evaluated]],"")</f>
        <v>0</v>
      </c>
    </row>
    <row r="477" spans="5:29" ht="15" thickBot="1" x14ac:dyDescent="0.4">
      <c r="E477" s="69">
        <v>3</v>
      </c>
      <c r="F477" s="70" t="s">
        <v>487</v>
      </c>
      <c r="G477" s="70">
        <v>13111895</v>
      </c>
      <c r="H477" s="70" t="s">
        <v>313</v>
      </c>
      <c r="I477" s="70" t="s">
        <v>351</v>
      </c>
      <c r="J477" s="70" t="s">
        <v>29</v>
      </c>
      <c r="K477" s="70">
        <v>1080537</v>
      </c>
      <c r="L477" s="71">
        <v>44473</v>
      </c>
      <c r="M477" s="70" t="s">
        <v>352</v>
      </c>
      <c r="N477" s="70" t="s">
        <v>29</v>
      </c>
      <c r="O477" s="70" t="s">
        <v>29</v>
      </c>
      <c r="P477" s="70" t="s">
        <v>29</v>
      </c>
      <c r="Q477" s="72" t="str">
        <f t="shared" si="24"/>
        <v/>
      </c>
      <c r="R477" s="70" t="s">
        <v>29</v>
      </c>
      <c r="S477" s="70" t="s">
        <v>29</v>
      </c>
      <c r="T477" s="70" t="s">
        <v>29</v>
      </c>
      <c r="U477" s="70" t="s">
        <v>29</v>
      </c>
      <c r="V477" s="70">
        <v>3</v>
      </c>
      <c r="W477" s="70">
        <v>418525</v>
      </c>
      <c r="X477" s="137">
        <v>3</v>
      </c>
      <c r="Y477" s="70">
        <v>6</v>
      </c>
      <c r="Z477" s="73" t="s">
        <v>29</v>
      </c>
      <c r="AA477" s="74">
        <f t="shared" si="25"/>
        <v>0.5</v>
      </c>
      <c r="AB477" s="93">
        <f t="shared" si="23"/>
        <v>0</v>
      </c>
      <c r="AC477" s="93">
        <f>IFERROR(Table16[[#This Row],[Quantity Needed for repair]]*Table16[[#This Row],[Evaluated]],"")</f>
        <v>0</v>
      </c>
    </row>
    <row r="478" spans="5:29" x14ac:dyDescent="0.35">
      <c r="E478" s="57">
        <v>3</v>
      </c>
      <c r="F478" s="58" t="s">
        <v>488</v>
      </c>
      <c r="G478" s="58">
        <v>12947665</v>
      </c>
      <c r="H478" s="58" t="s">
        <v>313</v>
      </c>
      <c r="I478" s="58" t="s">
        <v>351</v>
      </c>
      <c r="J478" s="58" t="s">
        <v>29</v>
      </c>
      <c r="K478" s="58">
        <v>882281</v>
      </c>
      <c r="L478" s="59">
        <v>44473</v>
      </c>
      <c r="M478" s="58" t="s">
        <v>352</v>
      </c>
      <c r="N478" s="58" t="s">
        <v>29</v>
      </c>
      <c r="O478" s="58" t="s">
        <v>29</v>
      </c>
      <c r="P478" s="58" t="s">
        <v>29</v>
      </c>
      <c r="Q478" s="60" t="str">
        <f t="shared" si="24"/>
        <v/>
      </c>
      <c r="R478" s="58" t="s">
        <v>29</v>
      </c>
      <c r="S478" s="58" t="s">
        <v>29</v>
      </c>
      <c r="T478" s="58" t="s">
        <v>29</v>
      </c>
      <c r="U478" s="58" t="s">
        <v>29</v>
      </c>
      <c r="V478" s="58">
        <v>1</v>
      </c>
      <c r="W478" s="58">
        <v>1130198</v>
      </c>
      <c r="X478" s="136">
        <v>12</v>
      </c>
      <c r="Y478" s="58">
        <v>33</v>
      </c>
      <c r="Z478" s="61" t="s">
        <v>29</v>
      </c>
      <c r="AA478" s="62">
        <f t="shared" si="25"/>
        <v>0.36363636363636365</v>
      </c>
      <c r="AB478" s="91">
        <f t="shared" si="23"/>
        <v>0</v>
      </c>
      <c r="AC478" s="91">
        <f>IFERROR(Table16[[#This Row],[Quantity Needed for repair]]*Table16[[#This Row],[Evaluated]],"")</f>
        <v>0</v>
      </c>
    </row>
    <row r="479" spans="5:29" x14ac:dyDescent="0.35">
      <c r="E479" s="64">
        <v>3</v>
      </c>
      <c r="F479" s="56" t="s">
        <v>488</v>
      </c>
      <c r="G479" s="56">
        <v>12947665</v>
      </c>
      <c r="H479" s="56" t="s">
        <v>313</v>
      </c>
      <c r="I479" s="56" t="s">
        <v>351</v>
      </c>
      <c r="J479" s="56" t="s">
        <v>29</v>
      </c>
      <c r="K479" s="56">
        <v>882281</v>
      </c>
      <c r="L479" s="65">
        <v>44473</v>
      </c>
      <c r="M479" s="56" t="s">
        <v>352</v>
      </c>
      <c r="N479" s="56" t="s">
        <v>29</v>
      </c>
      <c r="O479" s="56" t="s">
        <v>29</v>
      </c>
      <c r="P479" s="56" t="s">
        <v>29</v>
      </c>
      <c r="Q479" s="66" t="str">
        <f t="shared" si="24"/>
        <v/>
      </c>
      <c r="R479" s="56" t="s">
        <v>29</v>
      </c>
      <c r="S479" s="56" t="s">
        <v>29</v>
      </c>
      <c r="T479" s="56" t="s">
        <v>29</v>
      </c>
      <c r="U479" s="56" t="s">
        <v>29</v>
      </c>
      <c r="V479" s="56">
        <v>2</v>
      </c>
      <c r="W479" s="56">
        <v>1130197</v>
      </c>
      <c r="X479">
        <v>3</v>
      </c>
      <c r="Y479" s="56">
        <v>23</v>
      </c>
      <c r="Z479" s="67" t="s">
        <v>29</v>
      </c>
      <c r="AA479" s="68">
        <f t="shared" si="25"/>
        <v>0.13043478260869565</v>
      </c>
      <c r="AB479" s="92">
        <f t="shared" si="23"/>
        <v>0</v>
      </c>
      <c r="AC479" s="92">
        <f>IFERROR(Table16[[#This Row],[Quantity Needed for repair]]*Table16[[#This Row],[Evaluated]],"")</f>
        <v>0</v>
      </c>
    </row>
    <row r="480" spans="5:29" ht="15" thickBot="1" x14ac:dyDescent="0.4">
      <c r="E480" s="69">
        <v>3</v>
      </c>
      <c r="F480" s="70" t="s">
        <v>488</v>
      </c>
      <c r="G480" s="70">
        <v>12947665</v>
      </c>
      <c r="H480" s="70" t="s">
        <v>313</v>
      </c>
      <c r="I480" s="70" t="s">
        <v>351</v>
      </c>
      <c r="J480" s="70" t="s">
        <v>29</v>
      </c>
      <c r="K480" s="70">
        <v>882281</v>
      </c>
      <c r="L480" s="71">
        <v>44473</v>
      </c>
      <c r="M480" s="70" t="s">
        <v>352</v>
      </c>
      <c r="N480" s="70" t="s">
        <v>29</v>
      </c>
      <c r="O480" s="70" t="s">
        <v>29</v>
      </c>
      <c r="P480" s="70" t="s">
        <v>29</v>
      </c>
      <c r="Q480" s="72" t="str">
        <f t="shared" si="24"/>
        <v/>
      </c>
      <c r="R480" s="70" t="s">
        <v>29</v>
      </c>
      <c r="S480" s="70" t="s">
        <v>29</v>
      </c>
      <c r="T480" s="70" t="s">
        <v>29</v>
      </c>
      <c r="U480" s="70" t="s">
        <v>29</v>
      </c>
      <c r="V480" s="70">
        <v>3</v>
      </c>
      <c r="W480" s="70">
        <v>418525</v>
      </c>
      <c r="X480" s="137">
        <v>12</v>
      </c>
      <c r="Y480" s="70">
        <v>12</v>
      </c>
      <c r="Z480" s="73" t="s">
        <v>29</v>
      </c>
      <c r="AA480" s="74">
        <f t="shared" si="25"/>
        <v>1</v>
      </c>
      <c r="AB480" s="93">
        <f t="shared" si="23"/>
        <v>0</v>
      </c>
      <c r="AC480" s="93">
        <f>IFERROR(Table16[[#This Row],[Quantity Needed for repair]]*Table16[[#This Row],[Evaluated]],"")</f>
        <v>0</v>
      </c>
    </row>
    <row r="481" spans="5:29" x14ac:dyDescent="0.35">
      <c r="E481" s="57">
        <v>3</v>
      </c>
      <c r="F481" s="58" t="s">
        <v>489</v>
      </c>
      <c r="G481" s="58">
        <v>13022899</v>
      </c>
      <c r="H481" s="58" t="s">
        <v>313</v>
      </c>
      <c r="I481" s="58" t="s">
        <v>351</v>
      </c>
      <c r="J481" s="58" t="s">
        <v>29</v>
      </c>
      <c r="K481" s="58">
        <v>1019988</v>
      </c>
      <c r="L481" s="59">
        <v>44473</v>
      </c>
      <c r="M481" s="58" t="s">
        <v>352</v>
      </c>
      <c r="N481" s="58" t="s">
        <v>29</v>
      </c>
      <c r="O481" s="58" t="s">
        <v>29</v>
      </c>
      <c r="P481" s="58" t="s">
        <v>29</v>
      </c>
      <c r="Q481" s="60" t="str">
        <f t="shared" si="24"/>
        <v/>
      </c>
      <c r="R481" s="58" t="s">
        <v>29</v>
      </c>
      <c r="S481" s="58" t="s">
        <v>29</v>
      </c>
      <c r="T481" s="58" t="s">
        <v>29</v>
      </c>
      <c r="U481" s="58" t="s">
        <v>29</v>
      </c>
      <c r="V481" s="58">
        <v>1</v>
      </c>
      <c r="W481" s="58">
        <v>744015</v>
      </c>
      <c r="X481" s="136">
        <v>1</v>
      </c>
      <c r="Y481" s="58">
        <v>30</v>
      </c>
      <c r="Z481" s="61" t="s">
        <v>29</v>
      </c>
      <c r="AA481" s="62">
        <f t="shared" si="25"/>
        <v>3.3333333333333333E-2</v>
      </c>
      <c r="AB481" s="91">
        <f t="shared" si="23"/>
        <v>0</v>
      </c>
      <c r="AC481" s="91">
        <f>IFERROR(Table16[[#This Row],[Quantity Needed for repair]]*Table16[[#This Row],[Evaluated]],"")</f>
        <v>0</v>
      </c>
    </row>
    <row r="482" spans="5:29" x14ac:dyDescent="0.35">
      <c r="E482" s="64">
        <v>3</v>
      </c>
      <c r="F482" s="56" t="s">
        <v>489</v>
      </c>
      <c r="G482" s="56">
        <v>13022899</v>
      </c>
      <c r="H482" s="56" t="s">
        <v>313</v>
      </c>
      <c r="I482" s="56" t="s">
        <v>351</v>
      </c>
      <c r="J482" s="56" t="s">
        <v>29</v>
      </c>
      <c r="K482" s="56">
        <v>1019988</v>
      </c>
      <c r="L482" s="65">
        <v>44473</v>
      </c>
      <c r="M482" s="56" t="s">
        <v>352</v>
      </c>
      <c r="N482" s="56" t="s">
        <v>29</v>
      </c>
      <c r="O482" s="56" t="s">
        <v>29</v>
      </c>
      <c r="P482" s="56" t="s">
        <v>29</v>
      </c>
      <c r="Q482" s="66" t="str">
        <f t="shared" si="24"/>
        <v/>
      </c>
      <c r="R482" s="56" t="s">
        <v>29</v>
      </c>
      <c r="S482" s="56" t="s">
        <v>29</v>
      </c>
      <c r="T482" s="56" t="s">
        <v>29</v>
      </c>
      <c r="U482" s="56" t="s">
        <v>29</v>
      </c>
      <c r="V482" s="56">
        <v>2</v>
      </c>
      <c r="W482" s="56">
        <v>647436</v>
      </c>
      <c r="X482" t="s">
        <v>29</v>
      </c>
      <c r="Y482" s="56">
        <v>28</v>
      </c>
      <c r="Z482" s="67" t="s">
        <v>29</v>
      </c>
      <c r="AA482" s="68" t="str">
        <f t="shared" si="25"/>
        <v/>
      </c>
      <c r="AB482" s="92">
        <f t="shared" si="23"/>
        <v>0</v>
      </c>
      <c r="AC482" s="92" t="str">
        <f>IFERROR(Table16[[#This Row],[Quantity Needed for repair]]*Table16[[#This Row],[Evaluated]],"")</f>
        <v/>
      </c>
    </row>
    <row r="483" spans="5:29" x14ac:dyDescent="0.35">
      <c r="E483" s="64">
        <v>3</v>
      </c>
      <c r="F483" s="56" t="s">
        <v>489</v>
      </c>
      <c r="G483" s="56">
        <v>13022899</v>
      </c>
      <c r="H483" s="56" t="s">
        <v>313</v>
      </c>
      <c r="I483" s="56" t="s">
        <v>351</v>
      </c>
      <c r="J483" s="56" t="s">
        <v>29</v>
      </c>
      <c r="K483" s="56">
        <v>1019988</v>
      </c>
      <c r="L483" s="65">
        <v>44473</v>
      </c>
      <c r="M483" s="56" t="s">
        <v>352</v>
      </c>
      <c r="N483" s="56" t="s">
        <v>29</v>
      </c>
      <c r="O483" s="56" t="s">
        <v>29</v>
      </c>
      <c r="P483" s="56" t="s">
        <v>29</v>
      </c>
      <c r="Q483" s="66" t="str">
        <f t="shared" si="24"/>
        <v/>
      </c>
      <c r="R483" s="56" t="s">
        <v>29</v>
      </c>
      <c r="S483" s="56" t="s">
        <v>29</v>
      </c>
      <c r="T483" s="56" t="s">
        <v>29</v>
      </c>
      <c r="U483" s="56" t="s">
        <v>29</v>
      </c>
      <c r="V483" s="56">
        <v>3</v>
      </c>
      <c r="W483" s="56">
        <v>752555</v>
      </c>
      <c r="X483" t="s">
        <v>29</v>
      </c>
      <c r="Y483" s="56">
        <v>7</v>
      </c>
      <c r="Z483" s="67" t="s">
        <v>29</v>
      </c>
      <c r="AA483" s="68" t="str">
        <f t="shared" si="25"/>
        <v/>
      </c>
      <c r="AB483" s="92">
        <f t="shared" si="23"/>
        <v>0</v>
      </c>
      <c r="AC483" s="92" t="str">
        <f>IFERROR(Table16[[#This Row],[Quantity Needed for repair]]*Table16[[#This Row],[Evaluated]],"")</f>
        <v/>
      </c>
    </row>
    <row r="484" spans="5:29" ht="15" thickBot="1" x14ac:dyDescent="0.4">
      <c r="E484" s="69">
        <v>3</v>
      </c>
      <c r="F484" s="70" t="s">
        <v>489</v>
      </c>
      <c r="G484" s="70">
        <v>13022899</v>
      </c>
      <c r="H484" s="70" t="s">
        <v>313</v>
      </c>
      <c r="I484" s="70" t="s">
        <v>351</v>
      </c>
      <c r="J484" s="70" t="s">
        <v>29</v>
      </c>
      <c r="K484" s="70">
        <v>1019988</v>
      </c>
      <c r="L484" s="71">
        <v>44473</v>
      </c>
      <c r="M484" s="70" t="s">
        <v>352</v>
      </c>
      <c r="N484" s="70" t="s">
        <v>29</v>
      </c>
      <c r="O484" s="70" t="s">
        <v>29</v>
      </c>
      <c r="P484" s="70" t="s">
        <v>29</v>
      </c>
      <c r="Q484" s="72" t="str">
        <f t="shared" si="24"/>
        <v/>
      </c>
      <c r="R484" s="70" t="s">
        <v>29</v>
      </c>
      <c r="S484" s="70" t="s">
        <v>29</v>
      </c>
      <c r="T484" s="70" t="s">
        <v>29</v>
      </c>
      <c r="U484" s="70" t="s">
        <v>29</v>
      </c>
      <c r="V484" s="70">
        <v>4</v>
      </c>
      <c r="W484" s="70">
        <v>418525</v>
      </c>
      <c r="X484" s="137">
        <v>6</v>
      </c>
      <c r="Y484" s="70">
        <v>6</v>
      </c>
      <c r="Z484" s="73" t="s">
        <v>29</v>
      </c>
      <c r="AA484" s="74">
        <f t="shared" si="25"/>
        <v>1</v>
      </c>
      <c r="AB484" s="93">
        <f t="shared" si="23"/>
        <v>0</v>
      </c>
      <c r="AC484" s="93">
        <f>IFERROR(Table16[[#This Row],[Quantity Needed for repair]]*Table16[[#This Row],[Evaluated]],"")</f>
        <v>0</v>
      </c>
    </row>
    <row r="485" spans="5:29" x14ac:dyDescent="0.35">
      <c r="E485" s="57">
        <v>3</v>
      </c>
      <c r="F485" s="58" t="s">
        <v>490</v>
      </c>
      <c r="G485" s="58">
        <v>13022895</v>
      </c>
      <c r="H485" s="58" t="s">
        <v>313</v>
      </c>
      <c r="I485" s="58" t="s">
        <v>351</v>
      </c>
      <c r="J485" s="58" t="s">
        <v>29</v>
      </c>
      <c r="K485" s="58">
        <v>882281</v>
      </c>
      <c r="L485" s="59">
        <v>44473</v>
      </c>
      <c r="M485" s="58" t="s">
        <v>352</v>
      </c>
      <c r="N485" s="58" t="s">
        <v>29</v>
      </c>
      <c r="O485" s="58" t="s">
        <v>29</v>
      </c>
      <c r="P485" s="58" t="s">
        <v>29</v>
      </c>
      <c r="Q485" s="60" t="str">
        <f t="shared" si="24"/>
        <v/>
      </c>
      <c r="R485" s="58" t="s">
        <v>29</v>
      </c>
      <c r="S485" s="58" t="s">
        <v>29</v>
      </c>
      <c r="T485" s="58" t="s">
        <v>29</v>
      </c>
      <c r="U485" s="58" t="s">
        <v>29</v>
      </c>
      <c r="V485" s="58">
        <v>1</v>
      </c>
      <c r="W485" s="58">
        <v>1130198</v>
      </c>
      <c r="X485" s="136">
        <v>5</v>
      </c>
      <c r="Y485" s="58">
        <v>33</v>
      </c>
      <c r="Z485" s="61" t="s">
        <v>29</v>
      </c>
      <c r="AA485" s="62">
        <f t="shared" si="25"/>
        <v>0.15151515151515152</v>
      </c>
      <c r="AB485" s="91">
        <f t="shared" si="23"/>
        <v>0</v>
      </c>
      <c r="AC485" s="91">
        <f>IFERROR(Table16[[#This Row],[Quantity Needed for repair]]*Table16[[#This Row],[Evaluated]],"")</f>
        <v>0</v>
      </c>
    </row>
    <row r="486" spans="5:29" x14ac:dyDescent="0.35">
      <c r="E486" s="64">
        <v>3</v>
      </c>
      <c r="F486" s="56" t="s">
        <v>490</v>
      </c>
      <c r="G486" s="56">
        <v>13022895</v>
      </c>
      <c r="H486" s="56" t="s">
        <v>313</v>
      </c>
      <c r="I486" s="56" t="s">
        <v>351</v>
      </c>
      <c r="J486" s="56" t="s">
        <v>29</v>
      </c>
      <c r="K486" s="56">
        <v>882281</v>
      </c>
      <c r="L486" s="65">
        <v>44473</v>
      </c>
      <c r="M486" s="56" t="s">
        <v>352</v>
      </c>
      <c r="N486" s="56" t="s">
        <v>29</v>
      </c>
      <c r="O486" s="56" t="s">
        <v>29</v>
      </c>
      <c r="P486" s="56" t="s">
        <v>29</v>
      </c>
      <c r="Q486" s="66" t="str">
        <f t="shared" si="24"/>
        <v/>
      </c>
      <c r="R486" s="56" t="s">
        <v>29</v>
      </c>
      <c r="S486" s="56" t="s">
        <v>29</v>
      </c>
      <c r="T486" s="56" t="s">
        <v>29</v>
      </c>
      <c r="U486" s="56" t="s">
        <v>29</v>
      </c>
      <c r="V486" s="56">
        <v>2</v>
      </c>
      <c r="W486" s="56">
        <v>1130197</v>
      </c>
      <c r="X486" t="s">
        <v>29</v>
      </c>
      <c r="Y486" s="56">
        <v>23</v>
      </c>
      <c r="Z486" s="67" t="s">
        <v>29</v>
      </c>
      <c r="AA486" s="68" t="str">
        <f t="shared" si="25"/>
        <v/>
      </c>
      <c r="AB486" s="92">
        <f t="shared" si="23"/>
        <v>0</v>
      </c>
      <c r="AC486" s="92" t="str">
        <f>IFERROR(Table16[[#This Row],[Quantity Needed for repair]]*Table16[[#This Row],[Evaluated]],"")</f>
        <v/>
      </c>
    </row>
    <row r="487" spans="5:29" ht="15" thickBot="1" x14ac:dyDescent="0.4">
      <c r="E487" s="69">
        <v>3</v>
      </c>
      <c r="F487" s="70" t="s">
        <v>490</v>
      </c>
      <c r="G487" s="70">
        <v>13022895</v>
      </c>
      <c r="H487" s="70" t="s">
        <v>313</v>
      </c>
      <c r="I487" s="70" t="s">
        <v>351</v>
      </c>
      <c r="J487" s="70" t="s">
        <v>29</v>
      </c>
      <c r="K487" s="70">
        <v>882281</v>
      </c>
      <c r="L487" s="71">
        <v>44473</v>
      </c>
      <c r="M487" s="70" t="s">
        <v>352</v>
      </c>
      <c r="N487" s="70" t="s">
        <v>29</v>
      </c>
      <c r="O487" s="70" t="s">
        <v>29</v>
      </c>
      <c r="P487" s="70" t="s">
        <v>29</v>
      </c>
      <c r="Q487" s="72" t="str">
        <f t="shared" si="24"/>
        <v/>
      </c>
      <c r="R487" s="70" t="s">
        <v>29</v>
      </c>
      <c r="S487" s="70" t="s">
        <v>29</v>
      </c>
      <c r="T487" s="70" t="s">
        <v>29</v>
      </c>
      <c r="U487" s="70" t="s">
        <v>29</v>
      </c>
      <c r="V487" s="70">
        <v>3</v>
      </c>
      <c r="W487" s="70">
        <v>418525</v>
      </c>
      <c r="X487" s="137">
        <v>6</v>
      </c>
      <c r="Y487" s="70">
        <v>12</v>
      </c>
      <c r="Z487" s="73" t="s">
        <v>29</v>
      </c>
      <c r="AA487" s="74">
        <f t="shared" si="25"/>
        <v>0.5</v>
      </c>
      <c r="AB487" s="93">
        <f t="shared" si="23"/>
        <v>0</v>
      </c>
      <c r="AC487" s="93">
        <f>IFERROR(Table16[[#This Row],[Quantity Needed for repair]]*Table16[[#This Row],[Evaluated]],"")</f>
        <v>0</v>
      </c>
    </row>
    <row r="488" spans="5:29" x14ac:dyDescent="0.35">
      <c r="E488" s="57">
        <v>3</v>
      </c>
      <c r="F488" s="58" t="s">
        <v>491</v>
      </c>
      <c r="G488" s="58">
        <v>13052781</v>
      </c>
      <c r="H488" s="58" t="s">
        <v>313</v>
      </c>
      <c r="I488" s="58" t="s">
        <v>351</v>
      </c>
      <c r="J488" s="58" t="s">
        <v>29</v>
      </c>
      <c r="K488" s="58">
        <v>882281</v>
      </c>
      <c r="L488" s="59">
        <v>44473</v>
      </c>
      <c r="M488" s="58" t="s">
        <v>352</v>
      </c>
      <c r="N488" s="58" t="s">
        <v>29</v>
      </c>
      <c r="O488" s="58" t="s">
        <v>29</v>
      </c>
      <c r="P488" s="58" t="s">
        <v>29</v>
      </c>
      <c r="Q488" s="60" t="str">
        <f t="shared" si="24"/>
        <v/>
      </c>
      <c r="R488" s="58" t="s">
        <v>29</v>
      </c>
      <c r="S488" s="58" t="s">
        <v>29</v>
      </c>
      <c r="T488" s="58" t="s">
        <v>29</v>
      </c>
      <c r="U488" s="58" t="s">
        <v>29</v>
      </c>
      <c r="V488" s="58">
        <v>1</v>
      </c>
      <c r="W488" s="58">
        <v>1130198</v>
      </c>
      <c r="X488" s="136">
        <v>2</v>
      </c>
      <c r="Y488" s="58">
        <v>33</v>
      </c>
      <c r="Z488" s="61" t="s">
        <v>29</v>
      </c>
      <c r="AA488" s="62">
        <f t="shared" si="25"/>
        <v>6.0606060606060608E-2</v>
      </c>
      <c r="AB488" s="91">
        <f t="shared" si="23"/>
        <v>0</v>
      </c>
      <c r="AC488" s="91">
        <f>IFERROR(Table16[[#This Row],[Quantity Needed for repair]]*Table16[[#This Row],[Evaluated]],"")</f>
        <v>0</v>
      </c>
    </row>
    <row r="489" spans="5:29" x14ac:dyDescent="0.35">
      <c r="E489" s="64">
        <v>3</v>
      </c>
      <c r="F489" s="56" t="s">
        <v>491</v>
      </c>
      <c r="G489" s="56">
        <v>13052781</v>
      </c>
      <c r="H489" s="56" t="s">
        <v>313</v>
      </c>
      <c r="I489" s="56" t="s">
        <v>351</v>
      </c>
      <c r="J489" s="56" t="s">
        <v>29</v>
      </c>
      <c r="K489" s="56">
        <v>882281</v>
      </c>
      <c r="L489" s="65">
        <v>44473</v>
      </c>
      <c r="M489" s="56" t="s">
        <v>352</v>
      </c>
      <c r="N489" s="56" t="s">
        <v>29</v>
      </c>
      <c r="O489" s="56" t="s">
        <v>29</v>
      </c>
      <c r="P489" s="56" t="s">
        <v>29</v>
      </c>
      <c r="Q489" s="66" t="str">
        <f t="shared" si="24"/>
        <v/>
      </c>
      <c r="R489" s="56" t="s">
        <v>29</v>
      </c>
      <c r="S489" s="56" t="s">
        <v>29</v>
      </c>
      <c r="T489" s="56" t="s">
        <v>29</v>
      </c>
      <c r="U489" s="56" t="s">
        <v>29</v>
      </c>
      <c r="V489" s="56">
        <v>2</v>
      </c>
      <c r="W489" s="56">
        <v>1130197</v>
      </c>
      <c r="X489">
        <v>1</v>
      </c>
      <c r="Y489" s="56">
        <v>23</v>
      </c>
      <c r="Z489" s="67" t="s">
        <v>29</v>
      </c>
      <c r="AA489" s="68">
        <f t="shared" si="25"/>
        <v>4.3478260869565216E-2</v>
      </c>
      <c r="AB489" s="92">
        <f t="shared" si="23"/>
        <v>0</v>
      </c>
      <c r="AC489" s="92">
        <f>IFERROR(Table16[[#This Row],[Quantity Needed for repair]]*Table16[[#This Row],[Evaluated]],"")</f>
        <v>0</v>
      </c>
    </row>
    <row r="490" spans="5:29" ht="15" thickBot="1" x14ac:dyDescent="0.4">
      <c r="E490" s="69">
        <v>3</v>
      </c>
      <c r="F490" s="70" t="s">
        <v>491</v>
      </c>
      <c r="G490" s="70">
        <v>13052781</v>
      </c>
      <c r="H490" s="70" t="s">
        <v>313</v>
      </c>
      <c r="I490" s="70" t="s">
        <v>351</v>
      </c>
      <c r="J490" s="70" t="s">
        <v>29</v>
      </c>
      <c r="K490" s="70">
        <v>882281</v>
      </c>
      <c r="L490" s="71">
        <v>44473</v>
      </c>
      <c r="M490" s="70" t="s">
        <v>352</v>
      </c>
      <c r="N490" s="70" t="s">
        <v>29</v>
      </c>
      <c r="O490" s="70" t="s">
        <v>29</v>
      </c>
      <c r="P490" s="70" t="s">
        <v>29</v>
      </c>
      <c r="Q490" s="72" t="str">
        <f t="shared" si="24"/>
        <v/>
      </c>
      <c r="R490" s="70" t="s">
        <v>29</v>
      </c>
      <c r="S490" s="70" t="s">
        <v>29</v>
      </c>
      <c r="T490" s="70" t="s">
        <v>29</v>
      </c>
      <c r="U490" s="70" t="s">
        <v>29</v>
      </c>
      <c r="V490" s="70">
        <v>3</v>
      </c>
      <c r="W490" s="70">
        <v>418525</v>
      </c>
      <c r="X490" s="137">
        <v>12</v>
      </c>
      <c r="Y490" s="70">
        <v>12</v>
      </c>
      <c r="Z490" s="73" t="s">
        <v>29</v>
      </c>
      <c r="AA490" s="74">
        <f t="shared" si="25"/>
        <v>1</v>
      </c>
      <c r="AB490" s="93">
        <f t="shared" si="23"/>
        <v>0</v>
      </c>
      <c r="AC490" s="93">
        <f>IFERROR(Table16[[#This Row],[Quantity Needed for repair]]*Table16[[#This Row],[Evaluated]],"")</f>
        <v>0</v>
      </c>
    </row>
    <row r="491" spans="5:29" x14ac:dyDescent="0.35">
      <c r="E491" s="57">
        <v>3</v>
      </c>
      <c r="F491" s="58" t="s">
        <v>492</v>
      </c>
      <c r="G491" s="58">
        <v>13064090</v>
      </c>
      <c r="H491" s="58" t="s">
        <v>313</v>
      </c>
      <c r="I491" s="58" t="s">
        <v>351</v>
      </c>
      <c r="J491" s="58" t="s">
        <v>29</v>
      </c>
      <c r="K491" s="58">
        <v>882281</v>
      </c>
      <c r="L491" s="59">
        <v>44473</v>
      </c>
      <c r="M491" s="58" t="s">
        <v>352</v>
      </c>
      <c r="N491" s="58" t="s">
        <v>29</v>
      </c>
      <c r="O491" s="58" t="s">
        <v>29</v>
      </c>
      <c r="P491" s="58" t="s">
        <v>29</v>
      </c>
      <c r="Q491" s="60" t="str">
        <f t="shared" si="24"/>
        <v/>
      </c>
      <c r="R491" s="58" t="s">
        <v>29</v>
      </c>
      <c r="S491" s="58" t="s">
        <v>29</v>
      </c>
      <c r="T491" s="58" t="s">
        <v>29</v>
      </c>
      <c r="U491" s="58" t="s">
        <v>29</v>
      </c>
      <c r="V491" s="58">
        <v>1</v>
      </c>
      <c r="W491" s="58">
        <v>1130198</v>
      </c>
      <c r="X491" s="136">
        <v>13</v>
      </c>
      <c r="Y491" s="58">
        <v>33</v>
      </c>
      <c r="Z491" s="61" t="s">
        <v>29</v>
      </c>
      <c r="AA491" s="62">
        <f t="shared" si="25"/>
        <v>0.39393939393939392</v>
      </c>
      <c r="AB491" s="91">
        <f t="shared" si="23"/>
        <v>0</v>
      </c>
      <c r="AC491" s="91">
        <f>IFERROR(Table16[[#This Row],[Quantity Needed for repair]]*Table16[[#This Row],[Evaluated]],"")</f>
        <v>0</v>
      </c>
    </row>
    <row r="492" spans="5:29" x14ac:dyDescent="0.35">
      <c r="E492" s="64">
        <v>3</v>
      </c>
      <c r="F492" s="56" t="s">
        <v>492</v>
      </c>
      <c r="G492" s="56">
        <v>13064090</v>
      </c>
      <c r="H492" s="56" t="s">
        <v>313</v>
      </c>
      <c r="I492" s="56" t="s">
        <v>351</v>
      </c>
      <c r="J492" s="56" t="s">
        <v>29</v>
      </c>
      <c r="K492" s="56">
        <v>882281</v>
      </c>
      <c r="L492" s="65">
        <v>44473</v>
      </c>
      <c r="M492" s="56" t="s">
        <v>352</v>
      </c>
      <c r="N492" s="56" t="s">
        <v>29</v>
      </c>
      <c r="O492" s="56" t="s">
        <v>29</v>
      </c>
      <c r="P492" s="56" t="s">
        <v>29</v>
      </c>
      <c r="Q492" s="66" t="str">
        <f t="shared" si="24"/>
        <v/>
      </c>
      <c r="R492" s="56" t="s">
        <v>29</v>
      </c>
      <c r="S492" s="56" t="s">
        <v>29</v>
      </c>
      <c r="T492" s="56" t="s">
        <v>29</v>
      </c>
      <c r="U492" s="56" t="s">
        <v>29</v>
      </c>
      <c r="V492" s="56">
        <v>2</v>
      </c>
      <c r="W492" s="56">
        <v>1130197</v>
      </c>
      <c r="X492" t="s">
        <v>29</v>
      </c>
      <c r="Y492" s="56">
        <v>23</v>
      </c>
      <c r="Z492" s="67" t="s">
        <v>29</v>
      </c>
      <c r="AA492" s="68" t="str">
        <f t="shared" si="25"/>
        <v/>
      </c>
      <c r="AB492" s="92">
        <f t="shared" si="23"/>
        <v>0</v>
      </c>
      <c r="AC492" s="92" t="str">
        <f>IFERROR(Table16[[#This Row],[Quantity Needed for repair]]*Table16[[#This Row],[Evaluated]],"")</f>
        <v/>
      </c>
    </row>
    <row r="493" spans="5:29" ht="15" thickBot="1" x14ac:dyDescent="0.4">
      <c r="E493" s="69">
        <v>3</v>
      </c>
      <c r="F493" s="70" t="s">
        <v>492</v>
      </c>
      <c r="G493" s="70">
        <v>13064090</v>
      </c>
      <c r="H493" s="70" t="s">
        <v>313</v>
      </c>
      <c r="I493" s="70" t="s">
        <v>351</v>
      </c>
      <c r="J493" s="70" t="s">
        <v>29</v>
      </c>
      <c r="K493" s="70">
        <v>882281</v>
      </c>
      <c r="L493" s="71">
        <v>44473</v>
      </c>
      <c r="M493" s="70" t="s">
        <v>352</v>
      </c>
      <c r="N493" s="70" t="s">
        <v>29</v>
      </c>
      <c r="O493" s="70" t="s">
        <v>29</v>
      </c>
      <c r="P493" s="70" t="s">
        <v>29</v>
      </c>
      <c r="Q493" s="72" t="str">
        <f t="shared" si="24"/>
        <v/>
      </c>
      <c r="R493" s="70" t="s">
        <v>29</v>
      </c>
      <c r="S493" s="70" t="s">
        <v>29</v>
      </c>
      <c r="T493" s="70" t="s">
        <v>29</v>
      </c>
      <c r="U493" s="70" t="s">
        <v>29</v>
      </c>
      <c r="V493" s="70">
        <v>3</v>
      </c>
      <c r="W493" s="70">
        <v>418525</v>
      </c>
      <c r="X493" s="137">
        <v>12</v>
      </c>
      <c r="Y493" s="70">
        <v>12</v>
      </c>
      <c r="Z493" s="73" t="s">
        <v>29</v>
      </c>
      <c r="AA493" s="74">
        <f t="shared" si="25"/>
        <v>1</v>
      </c>
      <c r="AB493" s="93">
        <f t="shared" si="23"/>
        <v>0</v>
      </c>
      <c r="AC493" s="93">
        <f>IFERROR(Table16[[#This Row],[Quantity Needed for repair]]*Table16[[#This Row],[Evaluated]],"")</f>
        <v>0</v>
      </c>
    </row>
    <row r="494" spans="5:29" x14ac:dyDescent="0.35">
      <c r="E494" s="57">
        <v>3</v>
      </c>
      <c r="F494" s="58" t="s">
        <v>493</v>
      </c>
      <c r="G494" s="58">
        <v>12971932</v>
      </c>
      <c r="H494" s="58" t="s">
        <v>313</v>
      </c>
      <c r="I494" s="58" t="s">
        <v>351</v>
      </c>
      <c r="J494" s="58" t="s">
        <v>29</v>
      </c>
      <c r="K494" s="58">
        <v>1053617</v>
      </c>
      <c r="L494" s="59">
        <v>44473</v>
      </c>
      <c r="M494" s="58" t="s">
        <v>352</v>
      </c>
      <c r="N494" s="58" t="s">
        <v>29</v>
      </c>
      <c r="O494" s="58" t="s">
        <v>29</v>
      </c>
      <c r="P494" s="58" t="s">
        <v>29</v>
      </c>
      <c r="Q494" s="60" t="str">
        <f t="shared" si="24"/>
        <v/>
      </c>
      <c r="R494" s="58" t="s">
        <v>29</v>
      </c>
      <c r="S494" s="58" t="s">
        <v>29</v>
      </c>
      <c r="T494" s="58" t="s">
        <v>29</v>
      </c>
      <c r="U494" s="58" t="s">
        <v>29</v>
      </c>
      <c r="V494" s="58">
        <v>1</v>
      </c>
      <c r="W494" s="58">
        <v>1130198</v>
      </c>
      <c r="X494" s="136">
        <v>1</v>
      </c>
      <c r="Y494" s="58">
        <v>33</v>
      </c>
      <c r="Z494" s="61" t="s">
        <v>29</v>
      </c>
      <c r="AA494" s="62">
        <f t="shared" si="25"/>
        <v>3.0303030303030304E-2</v>
      </c>
      <c r="AB494" s="91">
        <f t="shared" si="23"/>
        <v>0</v>
      </c>
      <c r="AC494" s="91">
        <f>IFERROR(Table16[[#This Row],[Quantity Needed for repair]]*Table16[[#This Row],[Evaluated]],"")</f>
        <v>0</v>
      </c>
    </row>
    <row r="495" spans="5:29" x14ac:dyDescent="0.35">
      <c r="E495" s="64">
        <v>3</v>
      </c>
      <c r="F495" s="56" t="s">
        <v>493</v>
      </c>
      <c r="G495" s="56">
        <v>12971932</v>
      </c>
      <c r="H495" s="56" t="s">
        <v>313</v>
      </c>
      <c r="I495" s="56" t="s">
        <v>351</v>
      </c>
      <c r="J495" s="56" t="s">
        <v>29</v>
      </c>
      <c r="K495" s="56">
        <v>1053617</v>
      </c>
      <c r="L495" s="65">
        <v>44473</v>
      </c>
      <c r="M495" s="56" t="s">
        <v>352</v>
      </c>
      <c r="N495" s="56" t="s">
        <v>29</v>
      </c>
      <c r="O495" s="56" t="s">
        <v>29</v>
      </c>
      <c r="P495" s="56" t="s">
        <v>29</v>
      </c>
      <c r="Q495" s="66" t="str">
        <f t="shared" si="24"/>
        <v/>
      </c>
      <c r="R495" s="56" t="s">
        <v>29</v>
      </c>
      <c r="S495" s="56" t="s">
        <v>29</v>
      </c>
      <c r="T495" s="56" t="s">
        <v>29</v>
      </c>
      <c r="U495" s="56" t="s">
        <v>29</v>
      </c>
      <c r="V495" s="56">
        <v>2</v>
      </c>
      <c r="W495" s="56">
        <v>983148</v>
      </c>
      <c r="X495" t="s">
        <v>29</v>
      </c>
      <c r="Y495" s="56">
        <v>17</v>
      </c>
      <c r="Z495" s="67" t="s">
        <v>29</v>
      </c>
      <c r="AA495" s="68" t="str">
        <f t="shared" si="25"/>
        <v/>
      </c>
      <c r="AB495" s="92">
        <f t="shared" si="23"/>
        <v>0</v>
      </c>
      <c r="AC495" s="92" t="str">
        <f>IFERROR(Table16[[#This Row],[Quantity Needed for repair]]*Table16[[#This Row],[Evaluated]],"")</f>
        <v/>
      </c>
    </row>
    <row r="496" spans="5:29" x14ac:dyDescent="0.35">
      <c r="E496" s="64">
        <v>3</v>
      </c>
      <c r="F496" s="56" t="s">
        <v>493</v>
      </c>
      <c r="G496" s="56">
        <v>12971932</v>
      </c>
      <c r="H496" s="56" t="s">
        <v>313</v>
      </c>
      <c r="I496" s="56" t="s">
        <v>351</v>
      </c>
      <c r="J496" s="56" t="s">
        <v>29</v>
      </c>
      <c r="K496" s="56">
        <v>1053617</v>
      </c>
      <c r="L496" s="65">
        <v>44473</v>
      </c>
      <c r="M496" s="56" t="s">
        <v>352</v>
      </c>
      <c r="N496" s="56" t="s">
        <v>29</v>
      </c>
      <c r="O496" s="56" t="s">
        <v>29</v>
      </c>
      <c r="P496" s="56" t="s">
        <v>29</v>
      </c>
      <c r="Q496" s="66" t="str">
        <f t="shared" si="24"/>
        <v/>
      </c>
      <c r="R496" s="56" t="s">
        <v>29</v>
      </c>
      <c r="S496" s="56" t="s">
        <v>29</v>
      </c>
      <c r="T496" s="56" t="s">
        <v>29</v>
      </c>
      <c r="U496" s="56" t="s">
        <v>29</v>
      </c>
      <c r="V496" s="56">
        <v>3</v>
      </c>
      <c r="W496" s="56">
        <v>647435</v>
      </c>
      <c r="X496">
        <v>4</v>
      </c>
      <c r="Y496" s="56">
        <v>6</v>
      </c>
      <c r="Z496" s="67" t="s">
        <v>29</v>
      </c>
      <c r="AA496" s="68">
        <f t="shared" si="25"/>
        <v>0.66666666666666663</v>
      </c>
      <c r="AB496" s="92">
        <f t="shared" si="23"/>
        <v>0</v>
      </c>
      <c r="AC496" s="92">
        <f>IFERROR(Table16[[#This Row],[Quantity Needed for repair]]*Table16[[#This Row],[Evaluated]],"")</f>
        <v>0</v>
      </c>
    </row>
    <row r="497" spans="5:29" ht="15" thickBot="1" x14ac:dyDescent="0.4">
      <c r="E497" s="69">
        <v>3</v>
      </c>
      <c r="F497" s="70" t="s">
        <v>493</v>
      </c>
      <c r="G497" s="70">
        <v>12971932</v>
      </c>
      <c r="H497" s="70" t="s">
        <v>313</v>
      </c>
      <c r="I497" s="70" t="s">
        <v>351</v>
      </c>
      <c r="J497" s="70" t="s">
        <v>29</v>
      </c>
      <c r="K497" s="70">
        <v>1053617</v>
      </c>
      <c r="L497" s="71">
        <v>44473</v>
      </c>
      <c r="M497" s="70" t="s">
        <v>352</v>
      </c>
      <c r="N497" s="70" t="s">
        <v>29</v>
      </c>
      <c r="O497" s="70" t="s">
        <v>29</v>
      </c>
      <c r="P497" s="70" t="s">
        <v>29</v>
      </c>
      <c r="Q497" s="72" t="str">
        <f t="shared" si="24"/>
        <v/>
      </c>
      <c r="R497" s="70" t="s">
        <v>29</v>
      </c>
      <c r="S497" s="70" t="s">
        <v>29</v>
      </c>
      <c r="T497" s="70" t="s">
        <v>29</v>
      </c>
      <c r="U497" s="70" t="s">
        <v>29</v>
      </c>
      <c r="V497" s="70">
        <v>4</v>
      </c>
      <c r="W497" s="70">
        <v>418525</v>
      </c>
      <c r="X497" s="137">
        <v>6</v>
      </c>
      <c r="Y497" s="70">
        <v>6</v>
      </c>
      <c r="Z497" s="73" t="s">
        <v>29</v>
      </c>
      <c r="AA497" s="74">
        <f t="shared" si="25"/>
        <v>1</v>
      </c>
      <c r="AB497" s="93">
        <f t="shared" si="23"/>
        <v>0</v>
      </c>
      <c r="AC497" s="93">
        <f>IFERROR(Table16[[#This Row],[Quantity Needed for repair]]*Table16[[#This Row],[Evaluated]],"")</f>
        <v>0</v>
      </c>
    </row>
    <row r="498" spans="5:29" x14ac:dyDescent="0.35">
      <c r="E498" s="57">
        <v>3</v>
      </c>
      <c r="F498" s="58" t="s">
        <v>494</v>
      </c>
      <c r="G498" s="58">
        <v>13062477</v>
      </c>
      <c r="H498" s="58" t="s">
        <v>313</v>
      </c>
      <c r="I498" s="58" t="s">
        <v>351</v>
      </c>
      <c r="J498" s="58" t="s">
        <v>29</v>
      </c>
      <c r="K498" s="58">
        <v>1080537</v>
      </c>
      <c r="L498" s="59">
        <v>44473</v>
      </c>
      <c r="M498" s="58" t="s">
        <v>352</v>
      </c>
      <c r="N498" s="58" t="s">
        <v>29</v>
      </c>
      <c r="O498" s="58" t="s">
        <v>29</v>
      </c>
      <c r="P498" s="58" t="s">
        <v>29</v>
      </c>
      <c r="Q498" s="60" t="str">
        <f t="shared" si="24"/>
        <v/>
      </c>
      <c r="R498" s="58" t="s">
        <v>29</v>
      </c>
      <c r="S498" s="58" t="s">
        <v>29</v>
      </c>
      <c r="T498" s="58" t="s">
        <v>29</v>
      </c>
      <c r="U498" s="58" t="s">
        <v>29</v>
      </c>
      <c r="V498" s="58">
        <v>1</v>
      </c>
      <c r="W498" s="58">
        <v>1130198</v>
      </c>
      <c r="X498" s="136">
        <v>5</v>
      </c>
      <c r="Y498" s="58">
        <v>33</v>
      </c>
      <c r="Z498" s="61" t="s">
        <v>29</v>
      </c>
      <c r="AA498" s="62">
        <f t="shared" si="25"/>
        <v>0.15151515151515152</v>
      </c>
      <c r="AB498" s="91">
        <f t="shared" si="23"/>
        <v>0</v>
      </c>
      <c r="AC498" s="91">
        <f>IFERROR(Table16[[#This Row],[Quantity Needed for repair]]*Table16[[#This Row],[Evaluated]],"")</f>
        <v>0</v>
      </c>
    </row>
    <row r="499" spans="5:29" x14ac:dyDescent="0.35">
      <c r="E499" s="64">
        <v>3</v>
      </c>
      <c r="F499" s="56" t="s">
        <v>494</v>
      </c>
      <c r="G499" s="56">
        <v>13062477</v>
      </c>
      <c r="H499" s="56" t="s">
        <v>313</v>
      </c>
      <c r="I499" s="56" t="s">
        <v>351</v>
      </c>
      <c r="J499" s="56" t="s">
        <v>29</v>
      </c>
      <c r="K499" s="56">
        <v>1080537</v>
      </c>
      <c r="L499" s="65">
        <v>44473</v>
      </c>
      <c r="M499" s="56" t="s">
        <v>352</v>
      </c>
      <c r="N499" s="56" t="s">
        <v>29</v>
      </c>
      <c r="O499" s="56" t="s">
        <v>29</v>
      </c>
      <c r="P499" s="56" t="s">
        <v>29</v>
      </c>
      <c r="Q499" s="66" t="str">
        <f t="shared" si="24"/>
        <v/>
      </c>
      <c r="R499" s="56" t="s">
        <v>29</v>
      </c>
      <c r="S499" s="56" t="s">
        <v>29</v>
      </c>
      <c r="T499" s="56" t="s">
        <v>29</v>
      </c>
      <c r="U499" s="56" t="s">
        <v>29</v>
      </c>
      <c r="V499" s="56">
        <v>2</v>
      </c>
      <c r="W499" s="56">
        <v>647435</v>
      </c>
      <c r="X499">
        <v>2</v>
      </c>
      <c r="Y499" s="56">
        <v>23</v>
      </c>
      <c r="Z499" s="67" t="s">
        <v>29</v>
      </c>
      <c r="AA499" s="68">
        <f t="shared" si="25"/>
        <v>8.6956521739130432E-2</v>
      </c>
      <c r="AB499" s="92">
        <f t="shared" si="23"/>
        <v>0</v>
      </c>
      <c r="AC499" s="92">
        <f>IFERROR(Table16[[#This Row],[Quantity Needed for repair]]*Table16[[#This Row],[Evaluated]],"")</f>
        <v>0</v>
      </c>
    </row>
    <row r="500" spans="5:29" ht="15" thickBot="1" x14ac:dyDescent="0.4">
      <c r="E500" s="69">
        <v>3</v>
      </c>
      <c r="F500" s="70" t="s">
        <v>494</v>
      </c>
      <c r="G500" s="70">
        <v>13062477</v>
      </c>
      <c r="H500" s="70" t="s">
        <v>313</v>
      </c>
      <c r="I500" s="70" t="s">
        <v>351</v>
      </c>
      <c r="J500" s="70" t="s">
        <v>29</v>
      </c>
      <c r="K500" s="70">
        <v>1080537</v>
      </c>
      <c r="L500" s="71">
        <v>44473</v>
      </c>
      <c r="M500" s="70" t="s">
        <v>352</v>
      </c>
      <c r="N500" s="70" t="s">
        <v>29</v>
      </c>
      <c r="O500" s="70" t="s">
        <v>29</v>
      </c>
      <c r="P500" s="70" t="s">
        <v>29</v>
      </c>
      <c r="Q500" s="72" t="str">
        <f t="shared" si="24"/>
        <v/>
      </c>
      <c r="R500" s="70" t="s">
        <v>29</v>
      </c>
      <c r="S500" s="70" t="s">
        <v>29</v>
      </c>
      <c r="T500" s="70" t="s">
        <v>29</v>
      </c>
      <c r="U500" s="70" t="s">
        <v>29</v>
      </c>
      <c r="V500" s="70">
        <v>3</v>
      </c>
      <c r="W500" s="70">
        <v>418525</v>
      </c>
      <c r="X500" s="137">
        <v>2</v>
      </c>
      <c r="Y500" s="70">
        <v>6</v>
      </c>
      <c r="Z500" s="73" t="s">
        <v>29</v>
      </c>
      <c r="AA500" s="74">
        <f t="shared" si="25"/>
        <v>0.33333333333333331</v>
      </c>
      <c r="AB500" s="93">
        <f t="shared" si="23"/>
        <v>0</v>
      </c>
      <c r="AC500" s="93">
        <f>IFERROR(Table16[[#This Row],[Quantity Needed for repair]]*Table16[[#This Row],[Evaluated]],"")</f>
        <v>0</v>
      </c>
    </row>
    <row r="501" spans="5:29" x14ac:dyDescent="0.35">
      <c r="E501" s="57">
        <v>3</v>
      </c>
      <c r="F501" s="58" t="s">
        <v>495</v>
      </c>
      <c r="G501" s="58">
        <v>13079333</v>
      </c>
      <c r="H501" s="58" t="s">
        <v>313</v>
      </c>
      <c r="I501" s="58" t="s">
        <v>351</v>
      </c>
      <c r="J501" s="58" t="s">
        <v>29</v>
      </c>
      <c r="K501" s="58">
        <v>1080537</v>
      </c>
      <c r="L501" s="59">
        <v>44473</v>
      </c>
      <c r="M501" s="58" t="s">
        <v>352</v>
      </c>
      <c r="N501" s="58" t="s">
        <v>29</v>
      </c>
      <c r="O501" s="58" t="s">
        <v>29</v>
      </c>
      <c r="P501" s="58" t="s">
        <v>29</v>
      </c>
      <c r="Q501" s="60" t="str">
        <f t="shared" si="24"/>
        <v/>
      </c>
      <c r="R501" s="58" t="s">
        <v>29</v>
      </c>
      <c r="S501" s="58" t="s">
        <v>29</v>
      </c>
      <c r="T501" s="58" t="s">
        <v>29</v>
      </c>
      <c r="U501" s="58" t="s">
        <v>29</v>
      </c>
      <c r="V501" s="58">
        <v>1</v>
      </c>
      <c r="W501" s="58">
        <v>1130198</v>
      </c>
      <c r="X501" s="136" t="s">
        <v>29</v>
      </c>
      <c r="Y501" s="58">
        <v>33</v>
      </c>
      <c r="Z501" s="61" t="s">
        <v>29</v>
      </c>
      <c r="AA501" s="62" t="str">
        <f t="shared" si="25"/>
        <v/>
      </c>
      <c r="AB501" s="91">
        <f t="shared" si="23"/>
        <v>0</v>
      </c>
      <c r="AC501" s="91" t="str">
        <f>IFERROR(Table16[[#This Row],[Quantity Needed for repair]]*Table16[[#This Row],[Evaluated]],"")</f>
        <v/>
      </c>
    </row>
    <row r="502" spans="5:29" x14ac:dyDescent="0.35">
      <c r="E502" s="64">
        <v>3</v>
      </c>
      <c r="F502" s="56" t="s">
        <v>495</v>
      </c>
      <c r="G502" s="56">
        <v>13079333</v>
      </c>
      <c r="H502" s="56" t="s">
        <v>313</v>
      </c>
      <c r="I502" s="56" t="s">
        <v>351</v>
      </c>
      <c r="J502" s="56" t="s">
        <v>29</v>
      </c>
      <c r="K502" s="56">
        <v>1080537</v>
      </c>
      <c r="L502" s="65">
        <v>44473</v>
      </c>
      <c r="M502" s="56" t="s">
        <v>352</v>
      </c>
      <c r="N502" s="56" t="s">
        <v>29</v>
      </c>
      <c r="O502" s="56" t="s">
        <v>29</v>
      </c>
      <c r="P502" s="56" t="s">
        <v>29</v>
      </c>
      <c r="Q502" s="66" t="str">
        <f t="shared" si="24"/>
        <v/>
      </c>
      <c r="R502" s="56" t="s">
        <v>29</v>
      </c>
      <c r="S502" s="56" t="s">
        <v>29</v>
      </c>
      <c r="T502" s="56" t="s">
        <v>29</v>
      </c>
      <c r="U502" s="56" t="s">
        <v>29</v>
      </c>
      <c r="V502" s="56">
        <v>2</v>
      </c>
      <c r="W502" s="56">
        <v>647435</v>
      </c>
      <c r="X502">
        <v>3</v>
      </c>
      <c r="Y502" s="56">
        <v>23</v>
      </c>
      <c r="Z502" s="67" t="s">
        <v>29</v>
      </c>
      <c r="AA502" s="68">
        <f t="shared" si="25"/>
        <v>0.13043478260869565</v>
      </c>
      <c r="AB502" s="92">
        <f t="shared" si="23"/>
        <v>0</v>
      </c>
      <c r="AC502" s="92">
        <f>IFERROR(Table16[[#This Row],[Quantity Needed for repair]]*Table16[[#This Row],[Evaluated]],"")</f>
        <v>0</v>
      </c>
    </row>
    <row r="503" spans="5:29" ht="15" thickBot="1" x14ac:dyDescent="0.4">
      <c r="E503" s="69">
        <v>3</v>
      </c>
      <c r="F503" s="70" t="s">
        <v>495</v>
      </c>
      <c r="G503" s="70">
        <v>13079333</v>
      </c>
      <c r="H503" s="70" t="s">
        <v>313</v>
      </c>
      <c r="I503" s="70" t="s">
        <v>351</v>
      </c>
      <c r="J503" s="70" t="s">
        <v>29</v>
      </c>
      <c r="K503" s="70">
        <v>1080537</v>
      </c>
      <c r="L503" s="71">
        <v>44473</v>
      </c>
      <c r="M503" s="70" t="s">
        <v>352</v>
      </c>
      <c r="N503" s="70" t="s">
        <v>29</v>
      </c>
      <c r="O503" s="70" t="s">
        <v>29</v>
      </c>
      <c r="P503" s="70" t="s">
        <v>29</v>
      </c>
      <c r="Q503" s="72" t="str">
        <f t="shared" si="24"/>
        <v/>
      </c>
      <c r="R503" s="70" t="s">
        <v>29</v>
      </c>
      <c r="S503" s="70" t="s">
        <v>29</v>
      </c>
      <c r="T503" s="70" t="s">
        <v>29</v>
      </c>
      <c r="U503" s="70" t="s">
        <v>29</v>
      </c>
      <c r="V503" s="70">
        <v>3</v>
      </c>
      <c r="W503" s="70">
        <v>418525</v>
      </c>
      <c r="X503" s="137">
        <v>4</v>
      </c>
      <c r="Y503" s="70">
        <v>6</v>
      </c>
      <c r="Z503" s="73" t="s">
        <v>29</v>
      </c>
      <c r="AA503" s="74">
        <f t="shared" si="25"/>
        <v>0.66666666666666663</v>
      </c>
      <c r="AB503" s="93">
        <f t="shared" si="23"/>
        <v>0</v>
      </c>
      <c r="AC503" s="93">
        <f>IFERROR(Table16[[#This Row],[Quantity Needed for repair]]*Table16[[#This Row],[Evaluated]],"")</f>
        <v>0</v>
      </c>
    </row>
    <row r="504" spans="5:29" x14ac:dyDescent="0.35">
      <c r="E504" s="57">
        <v>3</v>
      </c>
      <c r="F504" s="58" t="s">
        <v>496</v>
      </c>
      <c r="G504" s="58">
        <v>13080024</v>
      </c>
      <c r="H504" s="58" t="s">
        <v>313</v>
      </c>
      <c r="I504" s="58" t="s">
        <v>351</v>
      </c>
      <c r="J504" s="58" t="s">
        <v>29</v>
      </c>
      <c r="K504" s="58">
        <v>1080537</v>
      </c>
      <c r="L504" s="59">
        <v>44473</v>
      </c>
      <c r="M504" s="58" t="s">
        <v>352</v>
      </c>
      <c r="N504" s="58" t="s">
        <v>29</v>
      </c>
      <c r="O504" s="58" t="s">
        <v>29</v>
      </c>
      <c r="P504" s="58" t="s">
        <v>29</v>
      </c>
      <c r="Q504" s="60" t="str">
        <f t="shared" si="24"/>
        <v/>
      </c>
      <c r="R504" s="58" t="s">
        <v>29</v>
      </c>
      <c r="S504" s="58" t="s">
        <v>29</v>
      </c>
      <c r="T504" s="58" t="s">
        <v>29</v>
      </c>
      <c r="U504" s="58" t="s">
        <v>29</v>
      </c>
      <c r="V504" s="58">
        <v>1</v>
      </c>
      <c r="W504" s="58">
        <v>1130198</v>
      </c>
      <c r="X504" s="136">
        <v>2</v>
      </c>
      <c r="Y504" s="58">
        <v>33</v>
      </c>
      <c r="Z504" s="61" t="s">
        <v>29</v>
      </c>
      <c r="AA504" s="62">
        <f t="shared" si="25"/>
        <v>6.0606060606060608E-2</v>
      </c>
      <c r="AB504" s="91">
        <f t="shared" si="23"/>
        <v>0</v>
      </c>
      <c r="AC504" s="91">
        <f>IFERROR(Table16[[#This Row],[Quantity Needed for repair]]*Table16[[#This Row],[Evaluated]],"")</f>
        <v>0</v>
      </c>
    </row>
    <row r="505" spans="5:29" x14ac:dyDescent="0.35">
      <c r="E505" s="64">
        <v>3</v>
      </c>
      <c r="F505" s="56" t="s">
        <v>496</v>
      </c>
      <c r="G505" s="56">
        <v>13080024</v>
      </c>
      <c r="H505" s="56" t="s">
        <v>313</v>
      </c>
      <c r="I505" s="56" t="s">
        <v>351</v>
      </c>
      <c r="J505" s="56" t="s">
        <v>29</v>
      </c>
      <c r="K505" s="56">
        <v>1080537</v>
      </c>
      <c r="L505" s="65">
        <v>44473</v>
      </c>
      <c r="M505" s="56" t="s">
        <v>352</v>
      </c>
      <c r="N505" s="56" t="s">
        <v>29</v>
      </c>
      <c r="O505" s="56" t="s">
        <v>29</v>
      </c>
      <c r="P505" s="56" t="s">
        <v>29</v>
      </c>
      <c r="Q505" s="66" t="str">
        <f t="shared" si="24"/>
        <v/>
      </c>
      <c r="R505" s="56" t="s">
        <v>29</v>
      </c>
      <c r="S505" s="56" t="s">
        <v>29</v>
      </c>
      <c r="T505" s="56" t="s">
        <v>29</v>
      </c>
      <c r="U505" s="56" t="s">
        <v>29</v>
      </c>
      <c r="V505" s="56">
        <v>2</v>
      </c>
      <c r="W505" s="56">
        <v>647435</v>
      </c>
      <c r="X505">
        <v>1</v>
      </c>
      <c r="Y505" s="56">
        <v>23</v>
      </c>
      <c r="Z505" s="67" t="s">
        <v>29</v>
      </c>
      <c r="AA505" s="68">
        <f t="shared" si="25"/>
        <v>4.3478260869565216E-2</v>
      </c>
      <c r="AB505" s="92">
        <f t="shared" si="23"/>
        <v>0</v>
      </c>
      <c r="AC505" s="92">
        <f>IFERROR(Table16[[#This Row],[Quantity Needed for repair]]*Table16[[#This Row],[Evaluated]],"")</f>
        <v>0</v>
      </c>
    </row>
    <row r="506" spans="5:29" ht="15" thickBot="1" x14ac:dyDescent="0.4">
      <c r="E506" s="69">
        <v>3</v>
      </c>
      <c r="F506" s="70" t="s">
        <v>496</v>
      </c>
      <c r="G506" s="70">
        <v>13080024</v>
      </c>
      <c r="H506" s="70" t="s">
        <v>313</v>
      </c>
      <c r="I506" s="70" t="s">
        <v>351</v>
      </c>
      <c r="J506" s="70" t="s">
        <v>29</v>
      </c>
      <c r="K506" s="70">
        <v>1080537</v>
      </c>
      <c r="L506" s="71">
        <v>44473</v>
      </c>
      <c r="M506" s="70" t="s">
        <v>352</v>
      </c>
      <c r="N506" s="70" t="s">
        <v>29</v>
      </c>
      <c r="O506" s="70" t="s">
        <v>29</v>
      </c>
      <c r="P506" s="70" t="s">
        <v>29</v>
      </c>
      <c r="Q506" s="72" t="str">
        <f t="shared" si="24"/>
        <v/>
      </c>
      <c r="R506" s="70" t="s">
        <v>29</v>
      </c>
      <c r="S506" s="70" t="s">
        <v>29</v>
      </c>
      <c r="T506" s="70" t="s">
        <v>29</v>
      </c>
      <c r="U506" s="70" t="s">
        <v>29</v>
      </c>
      <c r="V506" s="70">
        <v>3</v>
      </c>
      <c r="W506" s="70">
        <v>418525</v>
      </c>
      <c r="X506" s="137">
        <v>3</v>
      </c>
      <c r="Y506" s="70">
        <v>6</v>
      </c>
      <c r="Z506" s="73" t="s">
        <v>29</v>
      </c>
      <c r="AA506" s="74">
        <f t="shared" si="25"/>
        <v>0.5</v>
      </c>
      <c r="AB506" s="93">
        <f t="shared" si="23"/>
        <v>0</v>
      </c>
      <c r="AC506" s="93">
        <f>IFERROR(Table16[[#This Row],[Quantity Needed for repair]]*Table16[[#This Row],[Evaluated]],"")</f>
        <v>0</v>
      </c>
    </row>
    <row r="507" spans="5:29" x14ac:dyDescent="0.35">
      <c r="E507" s="57">
        <v>3</v>
      </c>
      <c r="F507" s="58" t="s">
        <v>497</v>
      </c>
      <c r="G507" s="58">
        <v>12826265</v>
      </c>
      <c r="H507" s="58" t="s">
        <v>315</v>
      </c>
      <c r="I507" s="58" t="s">
        <v>367</v>
      </c>
      <c r="J507" s="58" t="s">
        <v>29</v>
      </c>
      <c r="K507" s="58">
        <v>780769</v>
      </c>
      <c r="L507" s="59">
        <v>44473</v>
      </c>
      <c r="M507" s="58" t="s">
        <v>352</v>
      </c>
      <c r="N507" s="58" t="s">
        <v>29</v>
      </c>
      <c r="O507" s="58" t="s">
        <v>29</v>
      </c>
      <c r="P507" s="58" t="s">
        <v>29</v>
      </c>
      <c r="Q507" s="60" t="str">
        <f t="shared" si="24"/>
        <v/>
      </c>
      <c r="R507" s="58" t="s">
        <v>29</v>
      </c>
      <c r="S507" s="58" t="s">
        <v>29</v>
      </c>
      <c r="T507" s="58" t="s">
        <v>29</v>
      </c>
      <c r="U507" s="58" t="s">
        <v>29</v>
      </c>
      <c r="V507" s="58">
        <v>1</v>
      </c>
      <c r="W507" s="58">
        <v>745576</v>
      </c>
      <c r="X507" s="136">
        <v>4</v>
      </c>
      <c r="Y507" s="58">
        <v>36</v>
      </c>
      <c r="Z507" s="61" t="s">
        <v>29</v>
      </c>
      <c r="AA507" s="62">
        <f t="shared" si="25"/>
        <v>0.1111111111111111</v>
      </c>
      <c r="AB507" s="91">
        <f t="shared" si="23"/>
        <v>0</v>
      </c>
      <c r="AC507" s="91">
        <f>IFERROR(Table16[[#This Row],[Quantity Needed for repair]]*Table16[[#This Row],[Evaluated]],"")</f>
        <v>0</v>
      </c>
    </row>
    <row r="508" spans="5:29" x14ac:dyDescent="0.35">
      <c r="E508" s="64">
        <v>3</v>
      </c>
      <c r="F508" s="56" t="s">
        <v>497</v>
      </c>
      <c r="G508" s="56">
        <v>12826265</v>
      </c>
      <c r="H508" s="56" t="s">
        <v>315</v>
      </c>
      <c r="I508" s="56" t="s">
        <v>367</v>
      </c>
      <c r="J508" s="56" t="s">
        <v>29</v>
      </c>
      <c r="K508" s="56">
        <v>780769</v>
      </c>
      <c r="L508" s="65">
        <v>44473</v>
      </c>
      <c r="M508" s="56" t="s">
        <v>352</v>
      </c>
      <c r="N508" s="56" t="s">
        <v>29</v>
      </c>
      <c r="O508" s="56" t="s">
        <v>29</v>
      </c>
      <c r="P508" s="56" t="s">
        <v>29</v>
      </c>
      <c r="Q508" s="66" t="str">
        <f t="shared" si="24"/>
        <v/>
      </c>
      <c r="R508" s="56" t="s">
        <v>29</v>
      </c>
      <c r="S508" s="56" t="s">
        <v>29</v>
      </c>
      <c r="T508" s="56" t="s">
        <v>29</v>
      </c>
      <c r="U508" s="56" t="s">
        <v>29</v>
      </c>
      <c r="V508" s="56">
        <v>2</v>
      </c>
      <c r="W508" s="56">
        <v>729691</v>
      </c>
      <c r="X508">
        <v>4</v>
      </c>
      <c r="Y508" s="56">
        <v>13</v>
      </c>
      <c r="Z508" s="67" t="s">
        <v>29</v>
      </c>
      <c r="AA508" s="68">
        <f t="shared" si="25"/>
        <v>0.30769230769230771</v>
      </c>
      <c r="AB508" s="92">
        <f t="shared" si="23"/>
        <v>0</v>
      </c>
      <c r="AC508" s="92">
        <f>IFERROR(Table16[[#This Row],[Quantity Needed for repair]]*Table16[[#This Row],[Evaluated]],"")</f>
        <v>0</v>
      </c>
    </row>
    <row r="509" spans="5:29" x14ac:dyDescent="0.35">
      <c r="E509" s="64">
        <v>3</v>
      </c>
      <c r="F509" s="56" t="s">
        <v>497</v>
      </c>
      <c r="G509" s="56">
        <v>12826265</v>
      </c>
      <c r="H509" s="56" t="s">
        <v>315</v>
      </c>
      <c r="I509" s="56" t="s">
        <v>367</v>
      </c>
      <c r="J509" s="56" t="s">
        <v>29</v>
      </c>
      <c r="K509" s="56">
        <v>780769</v>
      </c>
      <c r="L509" s="65">
        <v>44473</v>
      </c>
      <c r="M509" s="56" t="s">
        <v>352</v>
      </c>
      <c r="N509" s="56" t="s">
        <v>29</v>
      </c>
      <c r="O509" s="56" t="s">
        <v>29</v>
      </c>
      <c r="P509" s="56" t="s">
        <v>29</v>
      </c>
      <c r="Q509" s="66" t="str">
        <f t="shared" si="24"/>
        <v/>
      </c>
      <c r="R509" s="56" t="s">
        <v>29</v>
      </c>
      <c r="S509" s="56" t="s">
        <v>29</v>
      </c>
      <c r="T509" s="56" t="s">
        <v>29</v>
      </c>
      <c r="U509" s="56" t="s">
        <v>29</v>
      </c>
      <c r="V509" s="56">
        <v>3</v>
      </c>
      <c r="W509" s="56">
        <v>375538</v>
      </c>
      <c r="X509">
        <v>1</v>
      </c>
      <c r="Y509" s="56">
        <v>16</v>
      </c>
      <c r="Z509" s="67" t="s">
        <v>29</v>
      </c>
      <c r="AA509" s="68">
        <f t="shared" si="25"/>
        <v>6.25E-2</v>
      </c>
      <c r="AB509" s="92">
        <f t="shared" si="23"/>
        <v>0</v>
      </c>
      <c r="AC509" s="92">
        <f>IFERROR(Table16[[#This Row],[Quantity Needed for repair]]*Table16[[#This Row],[Evaluated]],"")</f>
        <v>0</v>
      </c>
    </row>
    <row r="510" spans="5:29" x14ac:dyDescent="0.35">
      <c r="E510" s="64">
        <v>3</v>
      </c>
      <c r="F510" s="56" t="s">
        <v>497</v>
      </c>
      <c r="G510" s="56">
        <v>12826265</v>
      </c>
      <c r="H510" s="56" t="s">
        <v>315</v>
      </c>
      <c r="I510" s="56" t="s">
        <v>367</v>
      </c>
      <c r="J510" s="56" t="s">
        <v>29</v>
      </c>
      <c r="K510" s="56">
        <v>780769</v>
      </c>
      <c r="L510" s="65">
        <v>44473</v>
      </c>
      <c r="M510" s="56" t="s">
        <v>352</v>
      </c>
      <c r="N510" s="56" t="s">
        <v>29</v>
      </c>
      <c r="O510" s="56" t="s">
        <v>29</v>
      </c>
      <c r="P510" s="56" t="s">
        <v>29</v>
      </c>
      <c r="Q510" s="66" t="str">
        <f t="shared" si="24"/>
        <v/>
      </c>
      <c r="R510" s="56" t="s">
        <v>29</v>
      </c>
      <c r="S510" s="56" t="s">
        <v>29</v>
      </c>
      <c r="T510" s="56" t="s">
        <v>29</v>
      </c>
      <c r="U510" s="56" t="s">
        <v>29</v>
      </c>
      <c r="V510" s="56">
        <v>4</v>
      </c>
      <c r="W510" s="56">
        <v>418525</v>
      </c>
      <c r="X510">
        <v>5</v>
      </c>
      <c r="Y510" s="56">
        <v>8</v>
      </c>
      <c r="Z510" s="67" t="s">
        <v>29</v>
      </c>
      <c r="AA510" s="68">
        <f t="shared" si="25"/>
        <v>0.625</v>
      </c>
      <c r="AB510" s="92">
        <f t="shared" si="23"/>
        <v>0</v>
      </c>
      <c r="AC510" s="92">
        <f>IFERROR(Table16[[#This Row],[Quantity Needed for repair]]*Table16[[#This Row],[Evaluated]],"")</f>
        <v>0</v>
      </c>
    </row>
    <row r="511" spans="5:29" x14ac:dyDescent="0.35">
      <c r="E511" s="64">
        <v>3</v>
      </c>
      <c r="F511" s="56" t="s">
        <v>497</v>
      </c>
      <c r="G511" s="56">
        <v>12826265</v>
      </c>
      <c r="H511" s="56" t="s">
        <v>315</v>
      </c>
      <c r="I511" s="56" t="s">
        <v>367</v>
      </c>
      <c r="J511" s="56" t="s">
        <v>29</v>
      </c>
      <c r="K511" s="56">
        <v>780769</v>
      </c>
      <c r="L511" s="65">
        <v>44473</v>
      </c>
      <c r="M511" s="56" t="s">
        <v>352</v>
      </c>
      <c r="N511" s="56" t="s">
        <v>29</v>
      </c>
      <c r="O511" s="56" t="s">
        <v>29</v>
      </c>
      <c r="P511" s="56" t="s">
        <v>29</v>
      </c>
      <c r="Q511" s="66" t="str">
        <f t="shared" si="24"/>
        <v/>
      </c>
      <c r="R511" s="56" t="s">
        <v>29</v>
      </c>
      <c r="S511" s="56" t="s">
        <v>29</v>
      </c>
      <c r="T511" s="56" t="s">
        <v>29</v>
      </c>
      <c r="U511" s="56" t="s">
        <v>29</v>
      </c>
      <c r="V511" s="56">
        <v>5</v>
      </c>
      <c r="W511" s="56">
        <v>647436</v>
      </c>
      <c r="X511">
        <v>8</v>
      </c>
      <c r="Y511" s="56">
        <v>8</v>
      </c>
      <c r="Z511" s="67" t="s">
        <v>29</v>
      </c>
      <c r="AA511" s="68">
        <f t="shared" si="25"/>
        <v>1</v>
      </c>
      <c r="AB511" s="92">
        <f t="shared" si="23"/>
        <v>0</v>
      </c>
      <c r="AC511" s="92">
        <f>IFERROR(Table16[[#This Row],[Quantity Needed for repair]]*Table16[[#This Row],[Evaluated]],"")</f>
        <v>0</v>
      </c>
    </row>
    <row r="512" spans="5:29" ht="15" thickBot="1" x14ac:dyDescent="0.4">
      <c r="E512" s="69">
        <v>3</v>
      </c>
      <c r="F512" s="70" t="s">
        <v>497</v>
      </c>
      <c r="G512" s="70">
        <v>12826265</v>
      </c>
      <c r="H512" s="70" t="s">
        <v>315</v>
      </c>
      <c r="I512" s="70" t="s">
        <v>367</v>
      </c>
      <c r="J512" s="70" t="s">
        <v>29</v>
      </c>
      <c r="K512" s="70">
        <v>780769</v>
      </c>
      <c r="L512" s="71">
        <v>44473</v>
      </c>
      <c r="M512" s="70" t="s">
        <v>352</v>
      </c>
      <c r="N512" s="70" t="s">
        <v>29</v>
      </c>
      <c r="O512" s="70" t="s">
        <v>29</v>
      </c>
      <c r="P512" s="70" t="s">
        <v>29</v>
      </c>
      <c r="Q512" s="72" t="str">
        <f t="shared" si="24"/>
        <v/>
      </c>
      <c r="R512" s="70" t="s">
        <v>29</v>
      </c>
      <c r="S512" s="70" t="s">
        <v>29</v>
      </c>
      <c r="T512" s="70" t="s">
        <v>29</v>
      </c>
      <c r="U512" s="70" t="s">
        <v>29</v>
      </c>
      <c r="V512" s="70">
        <v>6</v>
      </c>
      <c r="W512" s="70">
        <v>871781</v>
      </c>
      <c r="X512" s="137"/>
      <c r="Y512" s="70">
        <v>8</v>
      </c>
      <c r="Z512" s="73" t="s">
        <v>29</v>
      </c>
      <c r="AA512" s="74">
        <f t="shared" si="25"/>
        <v>0</v>
      </c>
      <c r="AB512" s="93">
        <f t="shared" si="23"/>
        <v>0</v>
      </c>
      <c r="AC512" s="93">
        <f>IFERROR(Table16[[#This Row],[Quantity Needed for repair]]*Table16[[#This Row],[Evaluated]],"")</f>
        <v>0</v>
      </c>
    </row>
    <row r="513" spans="5:29" x14ac:dyDescent="0.35">
      <c r="E513" s="57">
        <v>3</v>
      </c>
      <c r="F513" s="58" t="s">
        <v>498</v>
      </c>
      <c r="G513" s="58">
        <v>12830123</v>
      </c>
      <c r="H513" s="58" t="s">
        <v>315</v>
      </c>
      <c r="I513" s="58" t="s">
        <v>511</v>
      </c>
      <c r="J513" s="58" t="s">
        <v>29</v>
      </c>
      <c r="K513" s="58">
        <v>887309</v>
      </c>
      <c r="L513" s="59">
        <v>44473</v>
      </c>
      <c r="M513" s="58" t="s">
        <v>352</v>
      </c>
      <c r="N513" s="58" t="s">
        <v>29</v>
      </c>
      <c r="O513" s="58" t="s">
        <v>29</v>
      </c>
      <c r="P513" s="58" t="s">
        <v>29</v>
      </c>
      <c r="Q513" s="60" t="str">
        <f t="shared" si="24"/>
        <v/>
      </c>
      <c r="R513" s="58" t="s">
        <v>29</v>
      </c>
      <c r="S513" s="58" t="s">
        <v>29</v>
      </c>
      <c r="T513" s="58" t="s">
        <v>29</v>
      </c>
      <c r="U513" s="58" t="s">
        <v>29</v>
      </c>
      <c r="V513" s="58">
        <v>1</v>
      </c>
      <c r="W513" s="58">
        <v>745576</v>
      </c>
      <c r="X513" s="136">
        <v>26</v>
      </c>
      <c r="Y513" s="58">
        <v>82</v>
      </c>
      <c r="Z513" s="61" t="s">
        <v>29</v>
      </c>
      <c r="AA513" s="62">
        <f t="shared" si="25"/>
        <v>0.31707317073170732</v>
      </c>
      <c r="AB513" s="91">
        <f t="shared" si="23"/>
        <v>0</v>
      </c>
      <c r="AC513" s="91">
        <f>IFERROR(Table16[[#This Row],[Quantity Needed for repair]]*Table16[[#This Row],[Evaluated]],"")</f>
        <v>0</v>
      </c>
    </row>
    <row r="514" spans="5:29" x14ac:dyDescent="0.35">
      <c r="E514" s="64">
        <v>3</v>
      </c>
      <c r="F514" s="56" t="s">
        <v>498</v>
      </c>
      <c r="G514" s="56">
        <v>12830123</v>
      </c>
      <c r="H514" s="56" t="s">
        <v>315</v>
      </c>
      <c r="I514" s="56" t="s">
        <v>511</v>
      </c>
      <c r="J514" s="56" t="s">
        <v>29</v>
      </c>
      <c r="K514" s="56">
        <v>887309</v>
      </c>
      <c r="L514" s="65">
        <v>44473</v>
      </c>
      <c r="M514" s="56" t="s">
        <v>352</v>
      </c>
      <c r="N514" s="56" t="s">
        <v>29</v>
      </c>
      <c r="O514" s="56" t="s">
        <v>29</v>
      </c>
      <c r="P514" s="56" t="s">
        <v>29</v>
      </c>
      <c r="Q514" s="66" t="str">
        <f t="shared" si="24"/>
        <v/>
      </c>
      <c r="R514" s="56" t="s">
        <v>29</v>
      </c>
      <c r="S514" s="56" t="s">
        <v>29</v>
      </c>
      <c r="T514" s="56" t="s">
        <v>29</v>
      </c>
      <c r="U514" s="56" t="s">
        <v>29</v>
      </c>
      <c r="V514" s="56">
        <v>2</v>
      </c>
      <c r="W514" s="56">
        <v>729691</v>
      </c>
      <c r="X514">
        <v>5</v>
      </c>
      <c r="Y514" s="56">
        <v>9</v>
      </c>
      <c r="Z514" s="67" t="s">
        <v>29</v>
      </c>
      <c r="AA514" s="68">
        <f t="shared" si="25"/>
        <v>0.55555555555555558</v>
      </c>
      <c r="AB514" s="92">
        <f t="shared" ref="AB514:AB553" si="26">IFERROR(INDEX($A$2:$C$553,MATCH($F514,$A$2:$A$553,0),3),0)</f>
        <v>0</v>
      </c>
      <c r="AC514" s="92">
        <f>IFERROR(Table16[[#This Row],[Quantity Needed for repair]]*Table16[[#This Row],[Evaluated]],"")</f>
        <v>0</v>
      </c>
    </row>
    <row r="515" spans="5:29" x14ac:dyDescent="0.35">
      <c r="E515" s="64">
        <v>3</v>
      </c>
      <c r="F515" s="56" t="s">
        <v>498</v>
      </c>
      <c r="G515" s="56">
        <v>12830123</v>
      </c>
      <c r="H515" s="56" t="s">
        <v>315</v>
      </c>
      <c r="I515" s="56" t="s">
        <v>511</v>
      </c>
      <c r="J515" s="56" t="s">
        <v>29</v>
      </c>
      <c r="K515" s="56">
        <v>887309</v>
      </c>
      <c r="L515" s="65">
        <v>44473</v>
      </c>
      <c r="M515" s="56" t="s">
        <v>352</v>
      </c>
      <c r="N515" s="56" t="s">
        <v>29</v>
      </c>
      <c r="O515" s="56" t="s">
        <v>29</v>
      </c>
      <c r="P515" s="56" t="s">
        <v>29</v>
      </c>
      <c r="Q515" s="66" t="str">
        <f t="shared" ref="Q515:Q553" si="27">IFERROR(ROUND(O515/P515*100,0)&amp;" %"&amp;IF(O515/P515&gt;0.6,", High Price",""),"")</f>
        <v/>
      </c>
      <c r="R515" s="56" t="s">
        <v>29</v>
      </c>
      <c r="S515" s="56" t="s">
        <v>29</v>
      </c>
      <c r="T515" s="56" t="s">
        <v>29</v>
      </c>
      <c r="U515" s="56" t="s">
        <v>29</v>
      </c>
      <c r="V515" s="56">
        <v>3</v>
      </c>
      <c r="W515" s="56">
        <v>871781</v>
      </c>
      <c r="X515">
        <v>4</v>
      </c>
      <c r="Y515" s="56">
        <v>4</v>
      </c>
      <c r="Z515" s="67" t="s">
        <v>29</v>
      </c>
      <c r="AA515" s="68">
        <f t="shared" ref="AA515:AA553" si="28">IFERROR(X515/Y515,"")</f>
        <v>1</v>
      </c>
      <c r="AB515" s="92">
        <f t="shared" si="26"/>
        <v>0</v>
      </c>
      <c r="AC515" s="92">
        <f>IFERROR(Table16[[#This Row],[Quantity Needed for repair]]*Table16[[#This Row],[Evaluated]],"")</f>
        <v>0</v>
      </c>
    </row>
    <row r="516" spans="5:29" ht="15" thickBot="1" x14ac:dyDescent="0.4">
      <c r="E516" s="69">
        <v>3</v>
      </c>
      <c r="F516" s="70" t="s">
        <v>498</v>
      </c>
      <c r="G516" s="70">
        <v>12830123</v>
      </c>
      <c r="H516" s="70" t="s">
        <v>315</v>
      </c>
      <c r="I516" s="70" t="s">
        <v>511</v>
      </c>
      <c r="J516" s="70" t="s">
        <v>29</v>
      </c>
      <c r="K516" s="70">
        <v>887309</v>
      </c>
      <c r="L516" s="71">
        <v>44473</v>
      </c>
      <c r="M516" s="70" t="s">
        <v>352</v>
      </c>
      <c r="N516" s="70" t="s">
        <v>29</v>
      </c>
      <c r="O516" s="70" t="s">
        <v>29</v>
      </c>
      <c r="P516" s="70" t="s">
        <v>29</v>
      </c>
      <c r="Q516" s="72" t="str">
        <f t="shared" si="27"/>
        <v/>
      </c>
      <c r="R516" s="70" t="s">
        <v>29</v>
      </c>
      <c r="S516" s="70" t="s">
        <v>29</v>
      </c>
      <c r="T516" s="70" t="s">
        <v>29</v>
      </c>
      <c r="U516" s="70" t="s">
        <v>29</v>
      </c>
      <c r="V516" s="70">
        <v>4</v>
      </c>
      <c r="W516" s="70">
        <v>418525</v>
      </c>
      <c r="X516" s="137">
        <v>12</v>
      </c>
      <c r="Y516" s="70">
        <v>12</v>
      </c>
      <c r="Z516" s="73" t="s">
        <v>29</v>
      </c>
      <c r="AA516" s="74">
        <f t="shared" si="28"/>
        <v>1</v>
      </c>
      <c r="AB516" s="93">
        <f t="shared" si="26"/>
        <v>0</v>
      </c>
      <c r="AC516" s="93">
        <f>IFERROR(Table16[[#This Row],[Quantity Needed for repair]]*Table16[[#This Row],[Evaluated]],"")</f>
        <v>0</v>
      </c>
    </row>
    <row r="517" spans="5:29" x14ac:dyDescent="0.35">
      <c r="E517" s="57">
        <v>3</v>
      </c>
      <c r="F517" s="58" t="s">
        <v>499</v>
      </c>
      <c r="G517" s="58">
        <v>12991812</v>
      </c>
      <c r="H517" s="58" t="s">
        <v>313</v>
      </c>
      <c r="I517" s="58" t="s">
        <v>351</v>
      </c>
      <c r="J517" s="58" t="s">
        <v>29</v>
      </c>
      <c r="K517" s="58">
        <v>882281</v>
      </c>
      <c r="L517" s="59">
        <v>44473</v>
      </c>
      <c r="M517" s="58" t="s">
        <v>352</v>
      </c>
      <c r="N517" s="58" t="s">
        <v>29</v>
      </c>
      <c r="O517" s="58" t="s">
        <v>29</v>
      </c>
      <c r="P517" s="58" t="s">
        <v>29</v>
      </c>
      <c r="Q517" s="60" t="str">
        <f t="shared" si="27"/>
        <v/>
      </c>
      <c r="R517" s="58" t="s">
        <v>29</v>
      </c>
      <c r="S517" s="58" t="s">
        <v>29</v>
      </c>
      <c r="T517" s="58" t="s">
        <v>29</v>
      </c>
      <c r="U517" s="58" t="s">
        <v>29</v>
      </c>
      <c r="V517" s="58">
        <v>1</v>
      </c>
      <c r="W517" s="58">
        <v>1130198</v>
      </c>
      <c r="X517" s="136">
        <v>11</v>
      </c>
      <c r="Y517" s="58">
        <v>33</v>
      </c>
      <c r="Z517" s="61" t="s">
        <v>29</v>
      </c>
      <c r="AA517" s="62">
        <f t="shared" si="28"/>
        <v>0.33333333333333331</v>
      </c>
      <c r="AB517" s="91">
        <f t="shared" si="26"/>
        <v>0</v>
      </c>
      <c r="AC517" s="91">
        <f>IFERROR(Table16[[#This Row],[Quantity Needed for repair]]*Table16[[#This Row],[Evaluated]],"")</f>
        <v>0</v>
      </c>
    </row>
    <row r="518" spans="5:29" x14ac:dyDescent="0.35">
      <c r="E518" s="64">
        <v>3</v>
      </c>
      <c r="F518" s="56" t="s">
        <v>499</v>
      </c>
      <c r="G518" s="56">
        <v>12991812</v>
      </c>
      <c r="H518" s="56" t="s">
        <v>313</v>
      </c>
      <c r="I518" s="56" t="s">
        <v>351</v>
      </c>
      <c r="J518" s="56" t="s">
        <v>29</v>
      </c>
      <c r="K518" s="56">
        <v>882281</v>
      </c>
      <c r="L518" s="65">
        <v>44473</v>
      </c>
      <c r="M518" s="56" t="s">
        <v>352</v>
      </c>
      <c r="N518" s="56" t="s">
        <v>29</v>
      </c>
      <c r="O518" s="56" t="s">
        <v>29</v>
      </c>
      <c r="P518" s="56" t="s">
        <v>29</v>
      </c>
      <c r="Q518" s="66" t="str">
        <f t="shared" si="27"/>
        <v/>
      </c>
      <c r="R518" s="56" t="s">
        <v>29</v>
      </c>
      <c r="S518" s="56" t="s">
        <v>29</v>
      </c>
      <c r="T518" s="56" t="s">
        <v>29</v>
      </c>
      <c r="U518" s="56" t="s">
        <v>29</v>
      </c>
      <c r="V518" s="56">
        <v>2</v>
      </c>
      <c r="W518" s="56">
        <v>1130197</v>
      </c>
      <c r="X518" t="s">
        <v>29</v>
      </c>
      <c r="Y518" s="56">
        <v>23</v>
      </c>
      <c r="Z518" s="67" t="s">
        <v>29</v>
      </c>
      <c r="AA518" s="68" t="str">
        <f t="shared" si="28"/>
        <v/>
      </c>
      <c r="AB518" s="92">
        <f t="shared" si="26"/>
        <v>0</v>
      </c>
      <c r="AC518" s="92" t="str">
        <f>IFERROR(Table16[[#This Row],[Quantity Needed for repair]]*Table16[[#This Row],[Evaluated]],"")</f>
        <v/>
      </c>
    </row>
    <row r="519" spans="5:29" ht="15" thickBot="1" x14ac:dyDescent="0.4">
      <c r="E519" s="69">
        <v>3</v>
      </c>
      <c r="F519" s="70" t="s">
        <v>499</v>
      </c>
      <c r="G519" s="70">
        <v>12991812</v>
      </c>
      <c r="H519" s="70" t="s">
        <v>313</v>
      </c>
      <c r="I519" s="70" t="s">
        <v>351</v>
      </c>
      <c r="J519" s="70" t="s">
        <v>29</v>
      </c>
      <c r="K519" s="70">
        <v>882281</v>
      </c>
      <c r="L519" s="71">
        <v>44473</v>
      </c>
      <c r="M519" s="70" t="s">
        <v>352</v>
      </c>
      <c r="N519" s="70" t="s">
        <v>29</v>
      </c>
      <c r="O519" s="70" t="s">
        <v>29</v>
      </c>
      <c r="P519" s="70" t="s">
        <v>29</v>
      </c>
      <c r="Q519" s="72" t="str">
        <f t="shared" si="27"/>
        <v/>
      </c>
      <c r="R519" s="70" t="s">
        <v>29</v>
      </c>
      <c r="S519" s="70" t="s">
        <v>29</v>
      </c>
      <c r="T519" s="70" t="s">
        <v>29</v>
      </c>
      <c r="U519" s="70" t="s">
        <v>29</v>
      </c>
      <c r="V519" s="70">
        <v>3</v>
      </c>
      <c r="W519" s="70">
        <v>418525</v>
      </c>
      <c r="X519" s="137">
        <v>12</v>
      </c>
      <c r="Y519" s="70">
        <v>12</v>
      </c>
      <c r="Z519" s="73" t="s">
        <v>29</v>
      </c>
      <c r="AA519" s="74">
        <f t="shared" si="28"/>
        <v>1</v>
      </c>
      <c r="AB519" s="93">
        <f t="shared" si="26"/>
        <v>0</v>
      </c>
      <c r="AC519" s="93">
        <f>IFERROR(Table16[[#This Row],[Quantity Needed for repair]]*Table16[[#This Row],[Evaluated]],"")</f>
        <v>0</v>
      </c>
    </row>
    <row r="520" spans="5:29" x14ac:dyDescent="0.35">
      <c r="E520" s="57">
        <v>3</v>
      </c>
      <c r="F520" s="58" t="s">
        <v>500</v>
      </c>
      <c r="G520" s="58">
        <v>13079331</v>
      </c>
      <c r="H520" s="58" t="s">
        <v>313</v>
      </c>
      <c r="I520" s="58" t="s">
        <v>351</v>
      </c>
      <c r="J520" s="58" t="s">
        <v>29</v>
      </c>
      <c r="K520" s="58">
        <v>1080537</v>
      </c>
      <c r="L520" s="59">
        <v>44473</v>
      </c>
      <c r="M520" s="58" t="s">
        <v>352</v>
      </c>
      <c r="N520" s="58" t="s">
        <v>29</v>
      </c>
      <c r="O520" s="58" t="s">
        <v>29</v>
      </c>
      <c r="P520" s="58" t="s">
        <v>29</v>
      </c>
      <c r="Q520" s="60" t="str">
        <f t="shared" si="27"/>
        <v/>
      </c>
      <c r="R520" s="58" t="s">
        <v>29</v>
      </c>
      <c r="S520" s="58" t="s">
        <v>29</v>
      </c>
      <c r="T520" s="58" t="s">
        <v>29</v>
      </c>
      <c r="U520" s="58" t="s">
        <v>29</v>
      </c>
      <c r="V520" s="58">
        <v>1</v>
      </c>
      <c r="W520" s="58">
        <v>1130198</v>
      </c>
      <c r="X520" s="136">
        <v>15</v>
      </c>
      <c r="Y520" s="58">
        <v>33</v>
      </c>
      <c r="Z520" s="61" t="s">
        <v>29</v>
      </c>
      <c r="AA520" s="62">
        <f t="shared" si="28"/>
        <v>0.45454545454545453</v>
      </c>
      <c r="AB520" s="91">
        <f t="shared" si="26"/>
        <v>0</v>
      </c>
      <c r="AC520" s="91">
        <f>IFERROR(Table16[[#This Row],[Quantity Needed for repair]]*Table16[[#This Row],[Evaluated]],"")</f>
        <v>0</v>
      </c>
    </row>
    <row r="521" spans="5:29" x14ac:dyDescent="0.35">
      <c r="E521" s="64">
        <v>3</v>
      </c>
      <c r="F521" s="56" t="s">
        <v>500</v>
      </c>
      <c r="G521" s="56">
        <v>13079331</v>
      </c>
      <c r="H521" s="56" t="s">
        <v>313</v>
      </c>
      <c r="I521" s="56" t="s">
        <v>351</v>
      </c>
      <c r="J521" s="56" t="s">
        <v>29</v>
      </c>
      <c r="K521" s="56">
        <v>1080537</v>
      </c>
      <c r="L521" s="65">
        <v>44473</v>
      </c>
      <c r="M521" s="56" t="s">
        <v>352</v>
      </c>
      <c r="N521" s="56" t="s">
        <v>29</v>
      </c>
      <c r="O521" s="56" t="s">
        <v>29</v>
      </c>
      <c r="P521" s="56" t="s">
        <v>29</v>
      </c>
      <c r="Q521" s="66" t="str">
        <f t="shared" si="27"/>
        <v/>
      </c>
      <c r="R521" s="56" t="s">
        <v>29</v>
      </c>
      <c r="S521" s="56" t="s">
        <v>29</v>
      </c>
      <c r="T521" s="56" t="s">
        <v>29</v>
      </c>
      <c r="U521" s="56" t="s">
        <v>29</v>
      </c>
      <c r="V521" s="56">
        <v>2</v>
      </c>
      <c r="W521" s="56">
        <v>647435</v>
      </c>
      <c r="X521">
        <v>6</v>
      </c>
      <c r="Y521" s="56">
        <v>23</v>
      </c>
      <c r="Z521" s="67" t="s">
        <v>29</v>
      </c>
      <c r="AA521" s="68">
        <f t="shared" si="28"/>
        <v>0.2608695652173913</v>
      </c>
      <c r="AB521" s="92">
        <f t="shared" si="26"/>
        <v>0</v>
      </c>
      <c r="AC521" s="92">
        <f>IFERROR(Table16[[#This Row],[Quantity Needed for repair]]*Table16[[#This Row],[Evaluated]],"")</f>
        <v>0</v>
      </c>
    </row>
    <row r="522" spans="5:29" ht="15" thickBot="1" x14ac:dyDescent="0.4">
      <c r="E522" s="69">
        <v>3</v>
      </c>
      <c r="F522" s="70" t="s">
        <v>500</v>
      </c>
      <c r="G522" s="70">
        <v>13079331</v>
      </c>
      <c r="H522" s="70" t="s">
        <v>313</v>
      </c>
      <c r="I522" s="70" t="s">
        <v>351</v>
      </c>
      <c r="J522" s="70" t="s">
        <v>29</v>
      </c>
      <c r="K522" s="70">
        <v>1080537</v>
      </c>
      <c r="L522" s="71">
        <v>44473</v>
      </c>
      <c r="M522" s="70" t="s">
        <v>352</v>
      </c>
      <c r="N522" s="70" t="s">
        <v>29</v>
      </c>
      <c r="O522" s="70" t="s">
        <v>29</v>
      </c>
      <c r="P522" s="70" t="s">
        <v>29</v>
      </c>
      <c r="Q522" s="72" t="str">
        <f t="shared" si="27"/>
        <v/>
      </c>
      <c r="R522" s="70" t="s">
        <v>29</v>
      </c>
      <c r="S522" s="70" t="s">
        <v>29</v>
      </c>
      <c r="T522" s="70" t="s">
        <v>29</v>
      </c>
      <c r="U522" s="70" t="s">
        <v>29</v>
      </c>
      <c r="V522" s="70">
        <v>3</v>
      </c>
      <c r="W522" s="70">
        <v>418525</v>
      </c>
      <c r="X522" s="137">
        <v>6</v>
      </c>
      <c r="Y522" s="70">
        <v>6</v>
      </c>
      <c r="Z522" s="73" t="s">
        <v>29</v>
      </c>
      <c r="AA522" s="74">
        <f t="shared" si="28"/>
        <v>1</v>
      </c>
      <c r="AB522" s="93">
        <f t="shared" si="26"/>
        <v>0</v>
      </c>
      <c r="AC522" s="93">
        <f>IFERROR(Table16[[#This Row],[Quantity Needed for repair]]*Table16[[#This Row],[Evaluated]],"")</f>
        <v>0</v>
      </c>
    </row>
    <row r="523" spans="5:29" x14ac:dyDescent="0.35">
      <c r="E523" s="57">
        <v>3</v>
      </c>
      <c r="F523" s="58" t="s">
        <v>501</v>
      </c>
      <c r="G523" s="58">
        <v>13080023</v>
      </c>
      <c r="H523" s="58" t="s">
        <v>313</v>
      </c>
      <c r="I523" s="58" t="s">
        <v>351</v>
      </c>
      <c r="J523" s="58" t="s">
        <v>29</v>
      </c>
      <c r="K523" s="58">
        <v>1080537</v>
      </c>
      <c r="L523" s="59">
        <v>44473</v>
      </c>
      <c r="M523" s="58" t="s">
        <v>352</v>
      </c>
      <c r="N523" s="58" t="s">
        <v>29</v>
      </c>
      <c r="O523" s="58" t="s">
        <v>29</v>
      </c>
      <c r="P523" s="58" t="s">
        <v>29</v>
      </c>
      <c r="Q523" s="60" t="str">
        <f t="shared" si="27"/>
        <v/>
      </c>
      <c r="R523" s="58" t="s">
        <v>29</v>
      </c>
      <c r="S523" s="58" t="s">
        <v>29</v>
      </c>
      <c r="T523" s="58" t="s">
        <v>29</v>
      </c>
      <c r="U523" s="58" t="s">
        <v>29</v>
      </c>
      <c r="V523" s="58">
        <v>1</v>
      </c>
      <c r="W523" s="58">
        <v>1130198</v>
      </c>
      <c r="X523" s="136">
        <v>3</v>
      </c>
      <c r="Y523" s="58">
        <v>33</v>
      </c>
      <c r="Z523" s="61" t="s">
        <v>29</v>
      </c>
      <c r="AA523" s="62">
        <f t="shared" si="28"/>
        <v>9.0909090909090912E-2</v>
      </c>
      <c r="AB523" s="91">
        <f t="shared" si="26"/>
        <v>0</v>
      </c>
      <c r="AC523" s="91">
        <f>IFERROR(Table16[[#This Row],[Quantity Needed for repair]]*Table16[[#This Row],[Evaluated]],"")</f>
        <v>0</v>
      </c>
    </row>
    <row r="524" spans="5:29" x14ac:dyDescent="0.35">
      <c r="E524" s="64">
        <v>3</v>
      </c>
      <c r="F524" s="56" t="s">
        <v>501</v>
      </c>
      <c r="G524" s="56">
        <v>13080023</v>
      </c>
      <c r="H524" s="56" t="s">
        <v>313</v>
      </c>
      <c r="I524" s="56" t="s">
        <v>351</v>
      </c>
      <c r="J524" s="56" t="s">
        <v>29</v>
      </c>
      <c r="K524" s="56">
        <v>1080537</v>
      </c>
      <c r="L524" s="65">
        <v>44473</v>
      </c>
      <c r="M524" s="56" t="s">
        <v>352</v>
      </c>
      <c r="N524" s="56" t="s">
        <v>29</v>
      </c>
      <c r="O524" s="56" t="s">
        <v>29</v>
      </c>
      <c r="P524" s="56" t="s">
        <v>29</v>
      </c>
      <c r="Q524" s="66" t="str">
        <f t="shared" si="27"/>
        <v/>
      </c>
      <c r="R524" s="56" t="s">
        <v>29</v>
      </c>
      <c r="S524" s="56" t="s">
        <v>29</v>
      </c>
      <c r="T524" s="56" t="s">
        <v>29</v>
      </c>
      <c r="U524" s="56" t="s">
        <v>29</v>
      </c>
      <c r="V524" s="56">
        <v>2</v>
      </c>
      <c r="W524" s="56">
        <v>647435</v>
      </c>
      <c r="X524"/>
      <c r="Y524" s="56">
        <v>23</v>
      </c>
      <c r="Z524" s="67" t="s">
        <v>29</v>
      </c>
      <c r="AA524" s="68">
        <f t="shared" si="28"/>
        <v>0</v>
      </c>
      <c r="AB524" s="92">
        <f t="shared" si="26"/>
        <v>0</v>
      </c>
      <c r="AC524" s="92">
        <f>IFERROR(Table16[[#This Row],[Quantity Needed for repair]]*Table16[[#This Row],[Evaluated]],"")</f>
        <v>0</v>
      </c>
    </row>
    <row r="525" spans="5:29" ht="15" thickBot="1" x14ac:dyDescent="0.4">
      <c r="E525" s="69">
        <v>3</v>
      </c>
      <c r="F525" s="70" t="s">
        <v>501</v>
      </c>
      <c r="G525" s="70">
        <v>13080023</v>
      </c>
      <c r="H525" s="70" t="s">
        <v>313</v>
      </c>
      <c r="I525" s="70" t="s">
        <v>351</v>
      </c>
      <c r="J525" s="70" t="s">
        <v>29</v>
      </c>
      <c r="K525" s="70">
        <v>1080537</v>
      </c>
      <c r="L525" s="71">
        <v>44473</v>
      </c>
      <c r="M525" s="70" t="s">
        <v>352</v>
      </c>
      <c r="N525" s="70" t="s">
        <v>29</v>
      </c>
      <c r="O525" s="70" t="s">
        <v>29</v>
      </c>
      <c r="P525" s="70" t="s">
        <v>29</v>
      </c>
      <c r="Q525" s="72" t="str">
        <f t="shared" si="27"/>
        <v/>
      </c>
      <c r="R525" s="70" t="s">
        <v>29</v>
      </c>
      <c r="S525" s="70" t="s">
        <v>29</v>
      </c>
      <c r="T525" s="70" t="s">
        <v>29</v>
      </c>
      <c r="U525" s="70" t="s">
        <v>29</v>
      </c>
      <c r="V525" s="70">
        <v>3</v>
      </c>
      <c r="W525" s="70">
        <v>418525</v>
      </c>
      <c r="X525" s="137">
        <v>3</v>
      </c>
      <c r="Y525" s="70">
        <v>6</v>
      </c>
      <c r="Z525" s="73" t="s">
        <v>29</v>
      </c>
      <c r="AA525" s="74">
        <f t="shared" si="28"/>
        <v>0.5</v>
      </c>
      <c r="AB525" s="93">
        <f t="shared" si="26"/>
        <v>0</v>
      </c>
      <c r="AC525" s="93">
        <f>IFERROR(Table16[[#This Row],[Quantity Needed for repair]]*Table16[[#This Row],[Evaluated]],"")</f>
        <v>0</v>
      </c>
    </row>
    <row r="526" spans="5:29" x14ac:dyDescent="0.35">
      <c r="E526" s="57">
        <v>3</v>
      </c>
      <c r="F526" s="58" t="s">
        <v>502</v>
      </c>
      <c r="G526" s="58">
        <v>13082604</v>
      </c>
      <c r="H526" s="58" t="s">
        <v>313</v>
      </c>
      <c r="I526" s="58" t="s">
        <v>351</v>
      </c>
      <c r="J526" s="58" t="s">
        <v>29</v>
      </c>
      <c r="K526" s="58">
        <v>882281</v>
      </c>
      <c r="L526" s="59">
        <v>44473</v>
      </c>
      <c r="M526" s="58" t="s">
        <v>352</v>
      </c>
      <c r="N526" s="58" t="s">
        <v>29</v>
      </c>
      <c r="O526" s="58" t="s">
        <v>29</v>
      </c>
      <c r="P526" s="58" t="s">
        <v>29</v>
      </c>
      <c r="Q526" s="60" t="str">
        <f t="shared" si="27"/>
        <v/>
      </c>
      <c r="R526" s="58" t="s">
        <v>29</v>
      </c>
      <c r="S526" s="58" t="s">
        <v>29</v>
      </c>
      <c r="T526" s="58" t="s">
        <v>29</v>
      </c>
      <c r="U526" s="58" t="s">
        <v>29</v>
      </c>
      <c r="V526" s="58">
        <v>1</v>
      </c>
      <c r="W526" s="58">
        <v>1130198</v>
      </c>
      <c r="X526" s="136">
        <v>3</v>
      </c>
      <c r="Y526" s="58">
        <v>33</v>
      </c>
      <c r="Z526" s="61" t="s">
        <v>29</v>
      </c>
      <c r="AA526" s="62">
        <f t="shared" si="28"/>
        <v>9.0909090909090912E-2</v>
      </c>
      <c r="AB526" s="91">
        <f t="shared" si="26"/>
        <v>0</v>
      </c>
      <c r="AC526" s="91">
        <f>IFERROR(Table16[[#This Row],[Quantity Needed for repair]]*Table16[[#This Row],[Evaluated]],"")</f>
        <v>0</v>
      </c>
    </row>
    <row r="527" spans="5:29" x14ac:dyDescent="0.35">
      <c r="E527" s="64">
        <v>3</v>
      </c>
      <c r="F527" s="56" t="s">
        <v>502</v>
      </c>
      <c r="G527" s="56">
        <v>13082604</v>
      </c>
      <c r="H527" s="56" t="s">
        <v>313</v>
      </c>
      <c r="I527" s="56" t="s">
        <v>351</v>
      </c>
      <c r="J527" s="56" t="s">
        <v>29</v>
      </c>
      <c r="K527" s="56">
        <v>882281</v>
      </c>
      <c r="L527" s="65">
        <v>44473</v>
      </c>
      <c r="M527" s="56" t="s">
        <v>352</v>
      </c>
      <c r="N527" s="56" t="s">
        <v>29</v>
      </c>
      <c r="O527" s="56" t="s">
        <v>29</v>
      </c>
      <c r="P527" s="56" t="s">
        <v>29</v>
      </c>
      <c r="Q527" s="66" t="str">
        <f t="shared" si="27"/>
        <v/>
      </c>
      <c r="R527" s="56" t="s">
        <v>29</v>
      </c>
      <c r="S527" s="56" t="s">
        <v>29</v>
      </c>
      <c r="T527" s="56" t="s">
        <v>29</v>
      </c>
      <c r="U527" s="56" t="s">
        <v>29</v>
      </c>
      <c r="V527" s="56">
        <v>2</v>
      </c>
      <c r="W527" s="56">
        <v>1130197</v>
      </c>
      <c r="X527">
        <v>1</v>
      </c>
      <c r="Y527" s="56">
        <v>23</v>
      </c>
      <c r="Z527" s="67" t="s">
        <v>29</v>
      </c>
      <c r="AA527" s="68">
        <f t="shared" si="28"/>
        <v>4.3478260869565216E-2</v>
      </c>
      <c r="AB527" s="92">
        <f t="shared" si="26"/>
        <v>0</v>
      </c>
      <c r="AC527" s="92">
        <f>IFERROR(Table16[[#This Row],[Quantity Needed for repair]]*Table16[[#This Row],[Evaluated]],"")</f>
        <v>0</v>
      </c>
    </row>
    <row r="528" spans="5:29" ht="15" thickBot="1" x14ac:dyDescent="0.4">
      <c r="E528" s="69">
        <v>3</v>
      </c>
      <c r="F528" s="70" t="s">
        <v>502</v>
      </c>
      <c r="G528" s="70">
        <v>13082604</v>
      </c>
      <c r="H528" s="70" t="s">
        <v>313</v>
      </c>
      <c r="I528" s="70" t="s">
        <v>351</v>
      </c>
      <c r="J528" s="70" t="s">
        <v>29</v>
      </c>
      <c r="K528" s="70">
        <v>882281</v>
      </c>
      <c r="L528" s="71">
        <v>44473</v>
      </c>
      <c r="M528" s="70" t="s">
        <v>352</v>
      </c>
      <c r="N528" s="70" t="s">
        <v>29</v>
      </c>
      <c r="O528" s="70" t="s">
        <v>29</v>
      </c>
      <c r="P528" s="70" t="s">
        <v>29</v>
      </c>
      <c r="Q528" s="72" t="str">
        <f t="shared" si="27"/>
        <v/>
      </c>
      <c r="R528" s="70" t="s">
        <v>29</v>
      </c>
      <c r="S528" s="70" t="s">
        <v>29</v>
      </c>
      <c r="T528" s="70" t="s">
        <v>29</v>
      </c>
      <c r="U528" s="70" t="s">
        <v>29</v>
      </c>
      <c r="V528" s="70">
        <v>3</v>
      </c>
      <c r="W528" s="70">
        <v>418525</v>
      </c>
      <c r="X528" s="137">
        <v>11</v>
      </c>
      <c r="Y528" s="70">
        <v>12</v>
      </c>
      <c r="Z528" s="73" t="s">
        <v>29</v>
      </c>
      <c r="AA528" s="74">
        <f t="shared" si="28"/>
        <v>0.91666666666666663</v>
      </c>
      <c r="AB528" s="93">
        <f t="shared" si="26"/>
        <v>0</v>
      </c>
      <c r="AC528" s="93">
        <f>IFERROR(Table16[[#This Row],[Quantity Needed for repair]]*Table16[[#This Row],[Evaluated]],"")</f>
        <v>0</v>
      </c>
    </row>
    <row r="529" spans="5:29" x14ac:dyDescent="0.35">
      <c r="E529" s="57">
        <v>3</v>
      </c>
      <c r="F529" s="58" t="s">
        <v>503</v>
      </c>
      <c r="G529" s="58">
        <v>13094651</v>
      </c>
      <c r="H529" s="58" t="s">
        <v>313</v>
      </c>
      <c r="I529" s="58" t="s">
        <v>351</v>
      </c>
      <c r="J529" s="58" t="s">
        <v>29</v>
      </c>
      <c r="K529" s="58">
        <v>882281</v>
      </c>
      <c r="L529" s="59">
        <v>44473</v>
      </c>
      <c r="M529" s="58" t="s">
        <v>352</v>
      </c>
      <c r="N529" s="58" t="s">
        <v>29</v>
      </c>
      <c r="O529" s="58" t="s">
        <v>29</v>
      </c>
      <c r="P529" s="58" t="s">
        <v>29</v>
      </c>
      <c r="Q529" s="60" t="str">
        <f t="shared" si="27"/>
        <v/>
      </c>
      <c r="R529" s="58" t="s">
        <v>29</v>
      </c>
      <c r="S529" s="58" t="s">
        <v>29</v>
      </c>
      <c r="T529" s="58" t="s">
        <v>29</v>
      </c>
      <c r="U529" s="58" t="s">
        <v>29</v>
      </c>
      <c r="V529" s="58">
        <v>1</v>
      </c>
      <c r="W529" s="58">
        <v>1130198</v>
      </c>
      <c r="X529" s="136">
        <v>9</v>
      </c>
      <c r="Y529" s="58">
        <v>33</v>
      </c>
      <c r="Z529" s="61" t="s">
        <v>29</v>
      </c>
      <c r="AA529" s="62">
        <f t="shared" si="28"/>
        <v>0.27272727272727271</v>
      </c>
      <c r="AB529" s="91">
        <f t="shared" si="26"/>
        <v>0</v>
      </c>
      <c r="AC529" s="91">
        <f>IFERROR(Table16[[#This Row],[Quantity Needed for repair]]*Table16[[#This Row],[Evaluated]],"")</f>
        <v>0</v>
      </c>
    </row>
    <row r="530" spans="5:29" x14ac:dyDescent="0.35">
      <c r="E530" s="64">
        <v>3</v>
      </c>
      <c r="F530" s="56" t="s">
        <v>503</v>
      </c>
      <c r="G530" s="56">
        <v>13094651</v>
      </c>
      <c r="H530" s="56" t="s">
        <v>313</v>
      </c>
      <c r="I530" s="56" t="s">
        <v>351</v>
      </c>
      <c r="J530" s="56" t="s">
        <v>29</v>
      </c>
      <c r="K530" s="56">
        <v>882281</v>
      </c>
      <c r="L530" s="65">
        <v>44473</v>
      </c>
      <c r="M530" s="56" t="s">
        <v>352</v>
      </c>
      <c r="N530" s="56" t="s">
        <v>29</v>
      </c>
      <c r="O530" s="56" t="s">
        <v>29</v>
      </c>
      <c r="P530" s="56" t="s">
        <v>29</v>
      </c>
      <c r="Q530" s="66" t="str">
        <f t="shared" si="27"/>
        <v/>
      </c>
      <c r="R530" s="56" t="s">
        <v>29</v>
      </c>
      <c r="S530" s="56" t="s">
        <v>29</v>
      </c>
      <c r="T530" s="56" t="s">
        <v>29</v>
      </c>
      <c r="U530" s="56" t="s">
        <v>29</v>
      </c>
      <c r="V530" s="56">
        <v>2</v>
      </c>
      <c r="W530" s="56">
        <v>1130197</v>
      </c>
      <c r="X530"/>
      <c r="Y530" s="56">
        <v>23</v>
      </c>
      <c r="Z530" s="67" t="s">
        <v>29</v>
      </c>
      <c r="AA530" s="68">
        <f t="shared" si="28"/>
        <v>0</v>
      </c>
      <c r="AB530" s="92">
        <f t="shared" si="26"/>
        <v>0</v>
      </c>
      <c r="AC530" s="92">
        <f>IFERROR(Table16[[#This Row],[Quantity Needed for repair]]*Table16[[#This Row],[Evaluated]],"")</f>
        <v>0</v>
      </c>
    </row>
    <row r="531" spans="5:29" ht="15" thickBot="1" x14ac:dyDescent="0.4">
      <c r="E531" s="69">
        <v>3</v>
      </c>
      <c r="F531" s="70" t="s">
        <v>503</v>
      </c>
      <c r="G531" s="70">
        <v>13094651</v>
      </c>
      <c r="H531" s="70" t="s">
        <v>313</v>
      </c>
      <c r="I531" s="70" t="s">
        <v>351</v>
      </c>
      <c r="J531" s="70" t="s">
        <v>29</v>
      </c>
      <c r="K531" s="70">
        <v>882281</v>
      </c>
      <c r="L531" s="71">
        <v>44473</v>
      </c>
      <c r="M531" s="70" t="s">
        <v>352</v>
      </c>
      <c r="N531" s="70" t="s">
        <v>29</v>
      </c>
      <c r="O531" s="70" t="s">
        <v>29</v>
      </c>
      <c r="P531" s="70" t="s">
        <v>29</v>
      </c>
      <c r="Q531" s="72" t="str">
        <f t="shared" si="27"/>
        <v/>
      </c>
      <c r="R531" s="70" t="s">
        <v>29</v>
      </c>
      <c r="S531" s="70" t="s">
        <v>29</v>
      </c>
      <c r="T531" s="70" t="s">
        <v>29</v>
      </c>
      <c r="U531" s="70" t="s">
        <v>29</v>
      </c>
      <c r="V531" s="70">
        <v>3</v>
      </c>
      <c r="W531" s="70">
        <v>418525</v>
      </c>
      <c r="X531" s="137">
        <v>12</v>
      </c>
      <c r="Y531" s="70">
        <v>12</v>
      </c>
      <c r="Z531" s="73" t="s">
        <v>29</v>
      </c>
      <c r="AA531" s="74">
        <f t="shared" si="28"/>
        <v>1</v>
      </c>
      <c r="AB531" s="93">
        <f t="shared" si="26"/>
        <v>0</v>
      </c>
      <c r="AC531" s="93">
        <f>IFERROR(Table16[[#This Row],[Quantity Needed for repair]]*Table16[[#This Row],[Evaluated]],"")</f>
        <v>0</v>
      </c>
    </row>
    <row r="532" spans="5:29" x14ac:dyDescent="0.35">
      <c r="E532" s="57">
        <v>3</v>
      </c>
      <c r="F532" s="58" t="s">
        <v>504</v>
      </c>
      <c r="G532" s="58">
        <v>13094648</v>
      </c>
      <c r="H532" s="58" t="s">
        <v>313</v>
      </c>
      <c r="I532" s="58" t="s">
        <v>351</v>
      </c>
      <c r="J532" s="58" t="s">
        <v>29</v>
      </c>
      <c r="K532" s="58">
        <v>882281</v>
      </c>
      <c r="L532" s="59">
        <v>44473</v>
      </c>
      <c r="M532" s="58" t="s">
        <v>352</v>
      </c>
      <c r="N532" s="58" t="s">
        <v>29</v>
      </c>
      <c r="O532" s="58" t="s">
        <v>29</v>
      </c>
      <c r="P532" s="58" t="s">
        <v>29</v>
      </c>
      <c r="Q532" s="60" t="str">
        <f t="shared" si="27"/>
        <v/>
      </c>
      <c r="R532" s="58" t="s">
        <v>29</v>
      </c>
      <c r="S532" s="58" t="s">
        <v>29</v>
      </c>
      <c r="T532" s="58" t="s">
        <v>29</v>
      </c>
      <c r="U532" s="58" t="s">
        <v>29</v>
      </c>
      <c r="V532" s="58">
        <v>1</v>
      </c>
      <c r="W532" s="58">
        <v>1130198</v>
      </c>
      <c r="X532" s="136"/>
      <c r="Y532" s="58">
        <v>33</v>
      </c>
      <c r="Z532" s="61" t="s">
        <v>29</v>
      </c>
      <c r="AA532" s="62">
        <f t="shared" si="28"/>
        <v>0</v>
      </c>
      <c r="AB532" s="91">
        <f t="shared" si="26"/>
        <v>0</v>
      </c>
      <c r="AC532" s="91">
        <f>IFERROR(Table16[[#This Row],[Quantity Needed for repair]]*Table16[[#This Row],[Evaluated]],"")</f>
        <v>0</v>
      </c>
    </row>
    <row r="533" spans="5:29" x14ac:dyDescent="0.35">
      <c r="E533" s="64">
        <v>3</v>
      </c>
      <c r="F533" s="56" t="s">
        <v>504</v>
      </c>
      <c r="G533" s="56">
        <v>13094648</v>
      </c>
      <c r="H533" s="56" t="s">
        <v>313</v>
      </c>
      <c r="I533" s="56" t="s">
        <v>351</v>
      </c>
      <c r="J533" s="56" t="s">
        <v>29</v>
      </c>
      <c r="K533" s="56">
        <v>882281</v>
      </c>
      <c r="L533" s="65">
        <v>44473</v>
      </c>
      <c r="M533" s="56" t="s">
        <v>352</v>
      </c>
      <c r="N533" s="56" t="s">
        <v>29</v>
      </c>
      <c r="O533" s="56" t="s">
        <v>29</v>
      </c>
      <c r="P533" s="56" t="s">
        <v>29</v>
      </c>
      <c r="Q533" s="66" t="str">
        <f t="shared" si="27"/>
        <v/>
      </c>
      <c r="R533" s="56" t="s">
        <v>29</v>
      </c>
      <c r="S533" s="56" t="s">
        <v>29</v>
      </c>
      <c r="T533" s="56" t="s">
        <v>29</v>
      </c>
      <c r="U533" s="56" t="s">
        <v>29</v>
      </c>
      <c r="V533" s="56">
        <v>2</v>
      </c>
      <c r="W533" s="56">
        <v>1130197</v>
      </c>
      <c r="X533">
        <v>1</v>
      </c>
      <c r="Y533" s="56">
        <v>23</v>
      </c>
      <c r="Z533" s="67" t="s">
        <v>29</v>
      </c>
      <c r="AA533" s="68">
        <f t="shared" si="28"/>
        <v>4.3478260869565216E-2</v>
      </c>
      <c r="AB533" s="92">
        <f t="shared" si="26"/>
        <v>0</v>
      </c>
      <c r="AC533" s="92">
        <f>IFERROR(Table16[[#This Row],[Quantity Needed for repair]]*Table16[[#This Row],[Evaluated]],"")</f>
        <v>0</v>
      </c>
    </row>
    <row r="534" spans="5:29" ht="15" thickBot="1" x14ac:dyDescent="0.4">
      <c r="E534" s="69">
        <v>3</v>
      </c>
      <c r="F534" s="70" t="s">
        <v>504</v>
      </c>
      <c r="G534" s="70">
        <v>13094648</v>
      </c>
      <c r="H534" s="70" t="s">
        <v>313</v>
      </c>
      <c r="I534" s="70" t="s">
        <v>351</v>
      </c>
      <c r="J534" s="70" t="s">
        <v>29</v>
      </c>
      <c r="K534" s="70">
        <v>882281</v>
      </c>
      <c r="L534" s="71">
        <v>44473</v>
      </c>
      <c r="M534" s="70" t="s">
        <v>352</v>
      </c>
      <c r="N534" s="70" t="s">
        <v>29</v>
      </c>
      <c r="O534" s="70" t="s">
        <v>29</v>
      </c>
      <c r="P534" s="70" t="s">
        <v>29</v>
      </c>
      <c r="Q534" s="72" t="str">
        <f t="shared" si="27"/>
        <v/>
      </c>
      <c r="R534" s="70" t="s">
        <v>29</v>
      </c>
      <c r="S534" s="70" t="s">
        <v>29</v>
      </c>
      <c r="T534" s="70" t="s">
        <v>29</v>
      </c>
      <c r="U534" s="70" t="s">
        <v>29</v>
      </c>
      <c r="V534" s="70">
        <v>3</v>
      </c>
      <c r="W534" s="70">
        <v>418525</v>
      </c>
      <c r="X534" s="137">
        <v>11</v>
      </c>
      <c r="Y534" s="70">
        <v>12</v>
      </c>
      <c r="Z534" s="73" t="s">
        <v>29</v>
      </c>
      <c r="AA534" s="74">
        <f t="shared" si="28"/>
        <v>0.91666666666666663</v>
      </c>
      <c r="AB534" s="93">
        <f t="shared" si="26"/>
        <v>0</v>
      </c>
      <c r="AC534" s="93">
        <f>IFERROR(Table16[[#This Row],[Quantity Needed for repair]]*Table16[[#This Row],[Evaluated]],"")</f>
        <v>0</v>
      </c>
    </row>
    <row r="535" spans="5:29" x14ac:dyDescent="0.35">
      <c r="E535" s="57">
        <v>3</v>
      </c>
      <c r="F535" s="58" t="s">
        <v>505</v>
      </c>
      <c r="G535" s="58">
        <v>13111866</v>
      </c>
      <c r="H535" s="58" t="s">
        <v>313</v>
      </c>
      <c r="I535" s="58" t="s">
        <v>351</v>
      </c>
      <c r="J535" s="58" t="s">
        <v>29</v>
      </c>
      <c r="K535" s="58">
        <v>882281</v>
      </c>
      <c r="L535" s="59">
        <v>44473</v>
      </c>
      <c r="M535" s="58" t="s">
        <v>352</v>
      </c>
      <c r="N535" s="58" t="s">
        <v>29</v>
      </c>
      <c r="O535" s="58" t="s">
        <v>29</v>
      </c>
      <c r="P535" s="58" t="s">
        <v>29</v>
      </c>
      <c r="Q535" s="60" t="str">
        <f t="shared" si="27"/>
        <v/>
      </c>
      <c r="R535" s="58" t="s">
        <v>29</v>
      </c>
      <c r="S535" s="58" t="s">
        <v>29</v>
      </c>
      <c r="T535" s="58" t="s">
        <v>29</v>
      </c>
      <c r="U535" s="58" t="s">
        <v>29</v>
      </c>
      <c r="V535" s="58">
        <v>1</v>
      </c>
      <c r="W535" s="58">
        <v>1130198</v>
      </c>
      <c r="X535" s="136">
        <v>6</v>
      </c>
      <c r="Y535" s="58">
        <v>33</v>
      </c>
      <c r="Z535" s="61" t="s">
        <v>29</v>
      </c>
      <c r="AA535" s="62">
        <f t="shared" si="28"/>
        <v>0.18181818181818182</v>
      </c>
      <c r="AB535" s="91">
        <f t="shared" si="26"/>
        <v>0</v>
      </c>
      <c r="AC535" s="91">
        <f>IFERROR(Table16[[#This Row],[Quantity Needed for repair]]*Table16[[#This Row],[Evaluated]],"")</f>
        <v>0</v>
      </c>
    </row>
    <row r="536" spans="5:29" x14ac:dyDescent="0.35">
      <c r="E536" s="64">
        <v>3</v>
      </c>
      <c r="F536" s="56" t="s">
        <v>505</v>
      </c>
      <c r="G536" s="56">
        <v>13111866</v>
      </c>
      <c r="H536" s="56" t="s">
        <v>313</v>
      </c>
      <c r="I536" s="56" t="s">
        <v>351</v>
      </c>
      <c r="J536" s="56" t="s">
        <v>29</v>
      </c>
      <c r="K536" s="56">
        <v>882281</v>
      </c>
      <c r="L536" s="65">
        <v>44473</v>
      </c>
      <c r="M536" s="56" t="s">
        <v>352</v>
      </c>
      <c r="N536" s="56" t="s">
        <v>29</v>
      </c>
      <c r="O536" s="56" t="s">
        <v>29</v>
      </c>
      <c r="P536" s="56" t="s">
        <v>29</v>
      </c>
      <c r="Q536" s="66" t="str">
        <f t="shared" si="27"/>
        <v/>
      </c>
      <c r="R536" s="56" t="s">
        <v>29</v>
      </c>
      <c r="S536" s="56" t="s">
        <v>29</v>
      </c>
      <c r="T536" s="56" t="s">
        <v>29</v>
      </c>
      <c r="U536" s="56" t="s">
        <v>29</v>
      </c>
      <c r="V536" s="56">
        <v>2</v>
      </c>
      <c r="W536" s="56">
        <v>1130197</v>
      </c>
      <c r="X536"/>
      <c r="Y536" s="56">
        <v>23</v>
      </c>
      <c r="Z536" s="67" t="s">
        <v>29</v>
      </c>
      <c r="AA536" s="68">
        <f t="shared" si="28"/>
        <v>0</v>
      </c>
      <c r="AB536" s="92">
        <f t="shared" si="26"/>
        <v>0</v>
      </c>
      <c r="AC536" s="92">
        <f>IFERROR(Table16[[#This Row],[Quantity Needed for repair]]*Table16[[#This Row],[Evaluated]],"")</f>
        <v>0</v>
      </c>
    </row>
    <row r="537" spans="5:29" ht="15" thickBot="1" x14ac:dyDescent="0.4">
      <c r="E537" s="69">
        <v>3</v>
      </c>
      <c r="F537" s="70" t="s">
        <v>505</v>
      </c>
      <c r="G537" s="70">
        <v>13111866</v>
      </c>
      <c r="H537" s="70" t="s">
        <v>313</v>
      </c>
      <c r="I537" s="70" t="s">
        <v>351</v>
      </c>
      <c r="J537" s="70" t="s">
        <v>29</v>
      </c>
      <c r="K537" s="70">
        <v>882281</v>
      </c>
      <c r="L537" s="71">
        <v>44473</v>
      </c>
      <c r="M537" s="70" t="s">
        <v>352</v>
      </c>
      <c r="N537" s="70" t="s">
        <v>29</v>
      </c>
      <c r="O537" s="70" t="s">
        <v>29</v>
      </c>
      <c r="P537" s="70" t="s">
        <v>29</v>
      </c>
      <c r="Q537" s="72" t="str">
        <f t="shared" si="27"/>
        <v/>
      </c>
      <c r="R537" s="70" t="s">
        <v>29</v>
      </c>
      <c r="S537" s="70" t="s">
        <v>29</v>
      </c>
      <c r="T537" s="70" t="s">
        <v>29</v>
      </c>
      <c r="U537" s="70" t="s">
        <v>29</v>
      </c>
      <c r="V537" s="70">
        <v>3</v>
      </c>
      <c r="W537" s="70">
        <v>418525</v>
      </c>
      <c r="X537" s="137">
        <v>12</v>
      </c>
      <c r="Y537" s="70">
        <v>12</v>
      </c>
      <c r="Z537" s="73" t="s">
        <v>29</v>
      </c>
      <c r="AA537" s="74">
        <f t="shared" si="28"/>
        <v>1</v>
      </c>
      <c r="AB537" s="93">
        <f t="shared" si="26"/>
        <v>0</v>
      </c>
      <c r="AC537" s="93">
        <f>IFERROR(Table16[[#This Row],[Quantity Needed for repair]]*Table16[[#This Row],[Evaluated]],"")</f>
        <v>0</v>
      </c>
    </row>
    <row r="538" spans="5:29" x14ac:dyDescent="0.35">
      <c r="E538" s="57">
        <v>3</v>
      </c>
      <c r="F538" s="58" t="s">
        <v>506</v>
      </c>
      <c r="G538" s="58">
        <v>13111897</v>
      </c>
      <c r="H538" s="58" t="s">
        <v>313</v>
      </c>
      <c r="I538" s="58" t="s">
        <v>351</v>
      </c>
      <c r="J538" s="58" t="s">
        <v>29</v>
      </c>
      <c r="K538" s="58">
        <v>1080537</v>
      </c>
      <c r="L538" s="59">
        <v>44473</v>
      </c>
      <c r="M538" s="58" t="s">
        <v>352</v>
      </c>
      <c r="N538" s="58" t="s">
        <v>29</v>
      </c>
      <c r="O538" s="58" t="s">
        <v>29</v>
      </c>
      <c r="P538" s="58" t="s">
        <v>29</v>
      </c>
      <c r="Q538" s="60" t="str">
        <f t="shared" si="27"/>
        <v/>
      </c>
      <c r="R538" s="58" t="s">
        <v>29</v>
      </c>
      <c r="S538" s="58" t="s">
        <v>29</v>
      </c>
      <c r="T538" s="58" t="s">
        <v>29</v>
      </c>
      <c r="U538" s="58" t="s">
        <v>29</v>
      </c>
      <c r="V538" s="58">
        <v>1</v>
      </c>
      <c r="W538" s="58">
        <v>1130198</v>
      </c>
      <c r="X538" s="136">
        <v>1</v>
      </c>
      <c r="Y538" s="58">
        <v>33</v>
      </c>
      <c r="Z538" s="61" t="s">
        <v>29</v>
      </c>
      <c r="AA538" s="62">
        <f t="shared" si="28"/>
        <v>3.0303030303030304E-2</v>
      </c>
      <c r="AB538" s="91">
        <f t="shared" si="26"/>
        <v>0</v>
      </c>
      <c r="AC538" s="91">
        <f>IFERROR(Table16[[#This Row],[Quantity Needed for repair]]*Table16[[#This Row],[Evaluated]],"")</f>
        <v>0</v>
      </c>
    </row>
    <row r="539" spans="5:29" x14ac:dyDescent="0.35">
      <c r="E539" s="64">
        <v>3</v>
      </c>
      <c r="F539" s="56" t="s">
        <v>506</v>
      </c>
      <c r="G539" s="56">
        <v>13111897</v>
      </c>
      <c r="H539" s="56" t="s">
        <v>313</v>
      </c>
      <c r="I539" s="56" t="s">
        <v>351</v>
      </c>
      <c r="J539" s="56" t="s">
        <v>29</v>
      </c>
      <c r="K539" s="56">
        <v>1080537</v>
      </c>
      <c r="L539" s="65">
        <v>44473</v>
      </c>
      <c r="M539" s="56" t="s">
        <v>352</v>
      </c>
      <c r="N539" s="56" t="s">
        <v>29</v>
      </c>
      <c r="O539" s="56" t="s">
        <v>29</v>
      </c>
      <c r="P539" s="56" t="s">
        <v>29</v>
      </c>
      <c r="Q539" s="66" t="str">
        <f t="shared" si="27"/>
        <v/>
      </c>
      <c r="R539" s="56" t="s">
        <v>29</v>
      </c>
      <c r="S539" s="56" t="s">
        <v>29</v>
      </c>
      <c r="T539" s="56" t="s">
        <v>29</v>
      </c>
      <c r="U539" s="56" t="s">
        <v>29</v>
      </c>
      <c r="V539" s="56">
        <v>2</v>
      </c>
      <c r="W539" s="56">
        <v>647435</v>
      </c>
      <c r="X539"/>
      <c r="Y539" s="56">
        <v>23</v>
      </c>
      <c r="Z539" s="67" t="s">
        <v>29</v>
      </c>
      <c r="AA539" s="68">
        <f t="shared" si="28"/>
        <v>0</v>
      </c>
      <c r="AB539" s="92">
        <f t="shared" si="26"/>
        <v>0</v>
      </c>
      <c r="AC539" s="92">
        <f>IFERROR(Table16[[#This Row],[Quantity Needed for repair]]*Table16[[#This Row],[Evaluated]],"")</f>
        <v>0</v>
      </c>
    </row>
    <row r="540" spans="5:29" ht="15" thickBot="1" x14ac:dyDescent="0.4">
      <c r="E540" s="69">
        <v>3</v>
      </c>
      <c r="F540" s="70" t="s">
        <v>506</v>
      </c>
      <c r="G540" s="70">
        <v>13111897</v>
      </c>
      <c r="H540" s="70" t="s">
        <v>313</v>
      </c>
      <c r="I540" s="70" t="s">
        <v>351</v>
      </c>
      <c r="J540" s="70" t="s">
        <v>29</v>
      </c>
      <c r="K540" s="70">
        <v>1080537</v>
      </c>
      <c r="L540" s="71">
        <v>44473</v>
      </c>
      <c r="M540" s="70" t="s">
        <v>352</v>
      </c>
      <c r="N540" s="70" t="s">
        <v>29</v>
      </c>
      <c r="O540" s="70" t="s">
        <v>29</v>
      </c>
      <c r="P540" s="70" t="s">
        <v>29</v>
      </c>
      <c r="Q540" s="72" t="str">
        <f t="shared" si="27"/>
        <v/>
      </c>
      <c r="R540" s="70" t="s">
        <v>29</v>
      </c>
      <c r="S540" s="70" t="s">
        <v>29</v>
      </c>
      <c r="T540" s="70" t="s">
        <v>29</v>
      </c>
      <c r="U540" s="70" t="s">
        <v>29</v>
      </c>
      <c r="V540" s="70">
        <v>3</v>
      </c>
      <c r="W540" s="70">
        <v>418525</v>
      </c>
      <c r="X540" s="137">
        <v>6</v>
      </c>
      <c r="Y540" s="70">
        <v>6</v>
      </c>
      <c r="Z540" s="73" t="s">
        <v>29</v>
      </c>
      <c r="AA540" s="74">
        <f t="shared" si="28"/>
        <v>1</v>
      </c>
      <c r="AB540" s="93">
        <f t="shared" si="26"/>
        <v>0</v>
      </c>
      <c r="AC540" s="93">
        <f>IFERROR(Table16[[#This Row],[Quantity Needed for repair]]*Table16[[#This Row],[Evaluated]],"")</f>
        <v>0</v>
      </c>
    </row>
    <row r="541" spans="5:29" x14ac:dyDescent="0.35">
      <c r="E541" s="57">
        <v>3</v>
      </c>
      <c r="F541" s="58" t="s">
        <v>507</v>
      </c>
      <c r="G541" s="58">
        <v>13131341</v>
      </c>
      <c r="H541" s="58" t="s">
        <v>313</v>
      </c>
      <c r="I541" s="58" t="s">
        <v>351</v>
      </c>
      <c r="J541" s="58" t="s">
        <v>29</v>
      </c>
      <c r="K541" s="58">
        <v>882281</v>
      </c>
      <c r="L541" s="59">
        <v>44473</v>
      </c>
      <c r="M541" s="58" t="s">
        <v>352</v>
      </c>
      <c r="N541" s="58" t="s">
        <v>29</v>
      </c>
      <c r="O541" s="58" t="s">
        <v>29</v>
      </c>
      <c r="P541" s="58" t="s">
        <v>29</v>
      </c>
      <c r="Q541" s="60" t="str">
        <f t="shared" si="27"/>
        <v/>
      </c>
      <c r="R541" s="58" t="s">
        <v>29</v>
      </c>
      <c r="S541" s="58" t="s">
        <v>29</v>
      </c>
      <c r="T541" s="58" t="s">
        <v>29</v>
      </c>
      <c r="U541" s="58" t="s">
        <v>29</v>
      </c>
      <c r="V541" s="58">
        <v>1</v>
      </c>
      <c r="W541" s="58">
        <v>1130198</v>
      </c>
      <c r="X541" s="136">
        <v>2</v>
      </c>
      <c r="Y541" s="58">
        <v>33</v>
      </c>
      <c r="Z541" s="61" t="s">
        <v>29</v>
      </c>
      <c r="AA541" s="62">
        <f t="shared" si="28"/>
        <v>6.0606060606060608E-2</v>
      </c>
      <c r="AB541" s="91">
        <f t="shared" si="26"/>
        <v>0</v>
      </c>
      <c r="AC541" s="91">
        <f>IFERROR(Table16[[#This Row],[Quantity Needed for repair]]*Table16[[#This Row],[Evaluated]],"")</f>
        <v>0</v>
      </c>
    </row>
    <row r="542" spans="5:29" x14ac:dyDescent="0.35">
      <c r="E542" s="64">
        <v>3</v>
      </c>
      <c r="F542" s="56" t="s">
        <v>507</v>
      </c>
      <c r="G542" s="56">
        <v>13131341</v>
      </c>
      <c r="H542" s="56" t="s">
        <v>313</v>
      </c>
      <c r="I542" s="56" t="s">
        <v>351</v>
      </c>
      <c r="J542" s="56" t="s">
        <v>29</v>
      </c>
      <c r="K542" s="56">
        <v>882281</v>
      </c>
      <c r="L542" s="65">
        <v>44473</v>
      </c>
      <c r="M542" s="56" t="s">
        <v>352</v>
      </c>
      <c r="N542" s="56" t="s">
        <v>29</v>
      </c>
      <c r="O542" s="56" t="s">
        <v>29</v>
      </c>
      <c r="P542" s="56" t="s">
        <v>29</v>
      </c>
      <c r="Q542" s="66" t="str">
        <f t="shared" si="27"/>
        <v/>
      </c>
      <c r="R542" s="56" t="s">
        <v>29</v>
      </c>
      <c r="S542" s="56" t="s">
        <v>29</v>
      </c>
      <c r="T542" s="56" t="s">
        <v>29</v>
      </c>
      <c r="U542" s="56" t="s">
        <v>29</v>
      </c>
      <c r="V542" s="56">
        <v>2</v>
      </c>
      <c r="W542" s="56">
        <v>1130197</v>
      </c>
      <c r="X542"/>
      <c r="Y542" s="56">
        <v>23</v>
      </c>
      <c r="Z542" s="67" t="s">
        <v>29</v>
      </c>
      <c r="AA542" s="68">
        <f t="shared" si="28"/>
        <v>0</v>
      </c>
      <c r="AB542" s="92">
        <f t="shared" si="26"/>
        <v>0</v>
      </c>
      <c r="AC542" s="92">
        <f>IFERROR(Table16[[#This Row],[Quantity Needed for repair]]*Table16[[#This Row],[Evaluated]],"")</f>
        <v>0</v>
      </c>
    </row>
    <row r="543" spans="5:29" ht="15" thickBot="1" x14ac:dyDescent="0.4">
      <c r="E543" s="69">
        <v>3</v>
      </c>
      <c r="F543" s="70" t="s">
        <v>507</v>
      </c>
      <c r="G543" s="70">
        <v>13131341</v>
      </c>
      <c r="H543" s="70" t="s">
        <v>313</v>
      </c>
      <c r="I543" s="70" t="s">
        <v>351</v>
      </c>
      <c r="J543" s="70" t="s">
        <v>29</v>
      </c>
      <c r="K543" s="70">
        <v>882281</v>
      </c>
      <c r="L543" s="71">
        <v>44473</v>
      </c>
      <c r="M543" s="70" t="s">
        <v>352</v>
      </c>
      <c r="N543" s="70" t="s">
        <v>29</v>
      </c>
      <c r="O543" s="70" t="s">
        <v>29</v>
      </c>
      <c r="P543" s="70" t="s">
        <v>29</v>
      </c>
      <c r="Q543" s="72" t="str">
        <f t="shared" si="27"/>
        <v/>
      </c>
      <c r="R543" s="70" t="s">
        <v>29</v>
      </c>
      <c r="S543" s="70" t="s">
        <v>29</v>
      </c>
      <c r="T543" s="70" t="s">
        <v>29</v>
      </c>
      <c r="U543" s="70" t="s">
        <v>29</v>
      </c>
      <c r="V543" s="70">
        <v>3</v>
      </c>
      <c r="W543" s="70">
        <v>418525</v>
      </c>
      <c r="X543" s="137">
        <v>12</v>
      </c>
      <c r="Y543" s="70">
        <v>12</v>
      </c>
      <c r="Z543" s="73" t="s">
        <v>29</v>
      </c>
      <c r="AA543" s="74">
        <f t="shared" si="28"/>
        <v>1</v>
      </c>
      <c r="AB543" s="93">
        <f t="shared" si="26"/>
        <v>0</v>
      </c>
      <c r="AC543" s="93">
        <f>IFERROR(Table16[[#This Row],[Quantity Needed for repair]]*Table16[[#This Row],[Evaluated]],"")</f>
        <v>0</v>
      </c>
    </row>
    <row r="544" spans="5:29" x14ac:dyDescent="0.35">
      <c r="E544" s="57">
        <v>3</v>
      </c>
      <c r="F544" s="58" t="s">
        <v>508</v>
      </c>
      <c r="G544" s="58">
        <v>13172292</v>
      </c>
      <c r="H544" s="58" t="s">
        <v>313</v>
      </c>
      <c r="I544" s="58" t="s">
        <v>351</v>
      </c>
      <c r="J544" s="58" t="s">
        <v>29</v>
      </c>
      <c r="K544" s="58">
        <v>882281</v>
      </c>
      <c r="L544" s="59">
        <v>44473</v>
      </c>
      <c r="M544" s="58" t="s">
        <v>352</v>
      </c>
      <c r="N544" s="58" t="s">
        <v>29</v>
      </c>
      <c r="O544" s="58" t="s">
        <v>29</v>
      </c>
      <c r="P544" s="58" t="s">
        <v>29</v>
      </c>
      <c r="Q544" s="60" t="str">
        <f t="shared" si="27"/>
        <v/>
      </c>
      <c r="R544" s="58" t="s">
        <v>29</v>
      </c>
      <c r="S544" s="58" t="s">
        <v>29</v>
      </c>
      <c r="T544" s="58" t="s">
        <v>29</v>
      </c>
      <c r="U544" s="58" t="s">
        <v>29</v>
      </c>
      <c r="V544" s="58">
        <v>1</v>
      </c>
      <c r="W544" s="58">
        <v>1130198</v>
      </c>
      <c r="X544" s="136">
        <v>1</v>
      </c>
      <c r="Y544" s="58">
        <v>33</v>
      </c>
      <c r="Z544" s="61" t="s">
        <v>29</v>
      </c>
      <c r="AA544" s="62">
        <f t="shared" si="28"/>
        <v>3.0303030303030304E-2</v>
      </c>
      <c r="AB544" s="91">
        <f t="shared" si="26"/>
        <v>0</v>
      </c>
      <c r="AC544" s="91">
        <f>IFERROR(Table16[[#This Row],[Quantity Needed for repair]]*Table16[[#This Row],[Evaluated]],"")</f>
        <v>0</v>
      </c>
    </row>
    <row r="545" spans="5:29" x14ac:dyDescent="0.35">
      <c r="E545" s="64">
        <v>3</v>
      </c>
      <c r="F545" s="56" t="s">
        <v>508</v>
      </c>
      <c r="G545" s="56">
        <v>13172292</v>
      </c>
      <c r="H545" s="56" t="s">
        <v>313</v>
      </c>
      <c r="I545" s="56" t="s">
        <v>351</v>
      </c>
      <c r="J545" s="56" t="s">
        <v>29</v>
      </c>
      <c r="K545" s="56">
        <v>882281</v>
      </c>
      <c r="L545" s="65">
        <v>44473</v>
      </c>
      <c r="M545" s="56" t="s">
        <v>352</v>
      </c>
      <c r="N545" s="56" t="s">
        <v>29</v>
      </c>
      <c r="O545" s="56" t="s">
        <v>29</v>
      </c>
      <c r="P545" s="56" t="s">
        <v>29</v>
      </c>
      <c r="Q545" s="66" t="str">
        <f t="shared" si="27"/>
        <v/>
      </c>
      <c r="R545" s="56" t="s">
        <v>29</v>
      </c>
      <c r="S545" s="56" t="s">
        <v>29</v>
      </c>
      <c r="T545" s="56" t="s">
        <v>29</v>
      </c>
      <c r="U545" s="56" t="s">
        <v>29</v>
      </c>
      <c r="V545" s="56">
        <v>2</v>
      </c>
      <c r="W545" s="56">
        <v>1130197</v>
      </c>
      <c r="X545"/>
      <c r="Y545" s="56">
        <v>23</v>
      </c>
      <c r="Z545" s="67" t="s">
        <v>29</v>
      </c>
      <c r="AA545" s="68">
        <f t="shared" si="28"/>
        <v>0</v>
      </c>
      <c r="AB545" s="92">
        <f t="shared" si="26"/>
        <v>0</v>
      </c>
      <c r="AC545" s="92">
        <f>IFERROR(Table16[[#This Row],[Quantity Needed for repair]]*Table16[[#This Row],[Evaluated]],"")</f>
        <v>0</v>
      </c>
    </row>
    <row r="546" spans="5:29" ht="15" thickBot="1" x14ac:dyDescent="0.4">
      <c r="E546" s="69">
        <v>3</v>
      </c>
      <c r="F546" s="70" t="s">
        <v>508</v>
      </c>
      <c r="G546" s="70">
        <v>13172292</v>
      </c>
      <c r="H546" s="70" t="s">
        <v>313</v>
      </c>
      <c r="I546" s="70" t="s">
        <v>351</v>
      </c>
      <c r="J546" s="70" t="s">
        <v>29</v>
      </c>
      <c r="K546" s="70">
        <v>882281</v>
      </c>
      <c r="L546" s="71">
        <v>44473</v>
      </c>
      <c r="M546" s="70" t="s">
        <v>352</v>
      </c>
      <c r="N546" s="70" t="s">
        <v>29</v>
      </c>
      <c r="O546" s="70" t="s">
        <v>29</v>
      </c>
      <c r="P546" s="70" t="s">
        <v>29</v>
      </c>
      <c r="Q546" s="72" t="str">
        <f t="shared" si="27"/>
        <v/>
      </c>
      <c r="R546" s="70" t="s">
        <v>29</v>
      </c>
      <c r="S546" s="70" t="s">
        <v>29</v>
      </c>
      <c r="T546" s="70" t="s">
        <v>29</v>
      </c>
      <c r="U546" s="70" t="s">
        <v>29</v>
      </c>
      <c r="V546" s="70">
        <v>3</v>
      </c>
      <c r="W546" s="70">
        <v>418525</v>
      </c>
      <c r="X546" s="137">
        <v>12</v>
      </c>
      <c r="Y546" s="70">
        <v>12</v>
      </c>
      <c r="Z546" s="73" t="s">
        <v>29</v>
      </c>
      <c r="AA546" s="74">
        <f t="shared" si="28"/>
        <v>1</v>
      </c>
      <c r="AB546" s="93">
        <f t="shared" si="26"/>
        <v>0</v>
      </c>
      <c r="AC546" s="93">
        <f>IFERROR(Table16[[#This Row],[Quantity Needed for repair]]*Table16[[#This Row],[Evaluated]],"")</f>
        <v>0</v>
      </c>
    </row>
    <row r="547" spans="5:29" x14ac:dyDescent="0.35">
      <c r="E547" s="57">
        <v>3</v>
      </c>
      <c r="F547" s="58" t="s">
        <v>509</v>
      </c>
      <c r="G547" s="58">
        <v>13075174</v>
      </c>
      <c r="H547" s="58" t="s">
        <v>313</v>
      </c>
      <c r="I547" s="58" t="s">
        <v>273</v>
      </c>
      <c r="J547" s="58" t="s">
        <v>29</v>
      </c>
      <c r="K547" s="58">
        <v>1083564</v>
      </c>
      <c r="L547" s="59">
        <v>44473</v>
      </c>
      <c r="M547" s="58" t="s">
        <v>352</v>
      </c>
      <c r="N547" s="58" t="s">
        <v>29</v>
      </c>
      <c r="O547" s="58" t="s">
        <v>29</v>
      </c>
      <c r="P547" s="58" t="s">
        <v>29</v>
      </c>
      <c r="Q547" s="60" t="str">
        <f t="shared" si="27"/>
        <v/>
      </c>
      <c r="R547" s="58" t="s">
        <v>29</v>
      </c>
      <c r="S547" s="58" t="s">
        <v>29</v>
      </c>
      <c r="T547" s="58" t="s">
        <v>29</v>
      </c>
      <c r="U547" s="58" t="s">
        <v>29</v>
      </c>
      <c r="V547" s="58">
        <v>1</v>
      </c>
      <c r="W547" s="58">
        <v>1039060</v>
      </c>
      <c r="X547" s="136" t="s">
        <v>29</v>
      </c>
      <c r="Y547" s="58">
        <v>24</v>
      </c>
      <c r="Z547" s="61" t="s">
        <v>29</v>
      </c>
      <c r="AA547" s="62" t="str">
        <f t="shared" si="28"/>
        <v/>
      </c>
      <c r="AB547" s="91">
        <f t="shared" si="26"/>
        <v>0</v>
      </c>
      <c r="AC547" s="91" t="str">
        <f>IFERROR(Table16[[#This Row],[Quantity Needed for repair]]*Table16[[#This Row],[Evaluated]],"")</f>
        <v/>
      </c>
    </row>
    <row r="548" spans="5:29" x14ac:dyDescent="0.35">
      <c r="E548" s="64">
        <v>3</v>
      </c>
      <c r="F548" s="56" t="s">
        <v>509</v>
      </c>
      <c r="G548" s="56">
        <v>13075174</v>
      </c>
      <c r="H548" s="56" t="s">
        <v>313</v>
      </c>
      <c r="I548" s="56" t="s">
        <v>273</v>
      </c>
      <c r="J548" s="56" t="s">
        <v>29</v>
      </c>
      <c r="K548" s="56">
        <v>1083564</v>
      </c>
      <c r="L548" s="65">
        <v>44473</v>
      </c>
      <c r="M548" s="56" t="s">
        <v>352</v>
      </c>
      <c r="N548" s="56" t="s">
        <v>29</v>
      </c>
      <c r="O548" s="56" t="s">
        <v>29</v>
      </c>
      <c r="P548" s="56" t="s">
        <v>29</v>
      </c>
      <c r="Q548" s="66" t="str">
        <f t="shared" si="27"/>
        <v/>
      </c>
      <c r="R548" s="56" t="s">
        <v>29</v>
      </c>
      <c r="S548" s="56" t="s">
        <v>29</v>
      </c>
      <c r="T548" s="56" t="s">
        <v>29</v>
      </c>
      <c r="U548" s="56" t="s">
        <v>29</v>
      </c>
      <c r="V548" s="56">
        <v>2</v>
      </c>
      <c r="W548" s="56">
        <v>1014939</v>
      </c>
      <c r="X548">
        <v>4</v>
      </c>
      <c r="Y548" s="56">
        <v>23</v>
      </c>
      <c r="Z548" s="67" t="s">
        <v>29</v>
      </c>
      <c r="AA548" s="68">
        <f t="shared" si="28"/>
        <v>0.17391304347826086</v>
      </c>
      <c r="AB548" s="92">
        <f t="shared" si="26"/>
        <v>0</v>
      </c>
      <c r="AC548" s="92">
        <f>IFERROR(Table16[[#This Row],[Quantity Needed for repair]]*Table16[[#This Row],[Evaluated]],"")</f>
        <v>0</v>
      </c>
    </row>
    <row r="549" spans="5:29" x14ac:dyDescent="0.35">
      <c r="E549" s="64">
        <v>3</v>
      </c>
      <c r="F549" s="56" t="s">
        <v>509</v>
      </c>
      <c r="G549" s="56">
        <v>13075174</v>
      </c>
      <c r="H549" s="56" t="s">
        <v>313</v>
      </c>
      <c r="I549" s="56" t="s">
        <v>273</v>
      </c>
      <c r="J549" s="56" t="s">
        <v>29</v>
      </c>
      <c r="K549" s="56">
        <v>1083564</v>
      </c>
      <c r="L549" s="65">
        <v>44473</v>
      </c>
      <c r="M549" s="56" t="s">
        <v>352</v>
      </c>
      <c r="N549" s="56" t="s">
        <v>29</v>
      </c>
      <c r="O549" s="56" t="s">
        <v>29</v>
      </c>
      <c r="P549" s="56" t="s">
        <v>29</v>
      </c>
      <c r="Q549" s="66" t="str">
        <f t="shared" si="27"/>
        <v/>
      </c>
      <c r="R549" s="56" t="s">
        <v>29</v>
      </c>
      <c r="S549" s="56" t="s">
        <v>29</v>
      </c>
      <c r="T549" s="56" t="s">
        <v>29</v>
      </c>
      <c r="U549" s="56" t="s">
        <v>29</v>
      </c>
      <c r="V549" s="56">
        <v>3</v>
      </c>
      <c r="W549" s="56">
        <v>1014941</v>
      </c>
      <c r="X549">
        <v>1</v>
      </c>
      <c r="Y549" s="56">
        <v>9</v>
      </c>
      <c r="Z549" s="67" t="s">
        <v>29</v>
      </c>
      <c r="AA549" s="68">
        <f t="shared" si="28"/>
        <v>0.1111111111111111</v>
      </c>
      <c r="AB549" s="92">
        <f t="shared" si="26"/>
        <v>0</v>
      </c>
      <c r="AC549" s="92">
        <f>IFERROR(Table16[[#This Row],[Quantity Needed for repair]]*Table16[[#This Row],[Evaluated]],"")</f>
        <v>0</v>
      </c>
    </row>
    <row r="550" spans="5:29" ht="15" thickBot="1" x14ac:dyDescent="0.4">
      <c r="E550" s="69">
        <v>3</v>
      </c>
      <c r="F550" s="70" t="s">
        <v>509</v>
      </c>
      <c r="G550" s="70">
        <v>13075174</v>
      </c>
      <c r="H550" s="70" t="s">
        <v>313</v>
      </c>
      <c r="I550" s="70" t="s">
        <v>273</v>
      </c>
      <c r="J550" s="70" t="s">
        <v>29</v>
      </c>
      <c r="K550" s="70">
        <v>1083564</v>
      </c>
      <c r="L550" s="71">
        <v>44473</v>
      </c>
      <c r="M550" s="70" t="s">
        <v>352</v>
      </c>
      <c r="N550" s="70" t="s">
        <v>29</v>
      </c>
      <c r="O550" s="70" t="s">
        <v>29</v>
      </c>
      <c r="P550" s="70" t="s">
        <v>29</v>
      </c>
      <c r="Q550" s="72" t="str">
        <f t="shared" si="27"/>
        <v/>
      </c>
      <c r="R550" s="70" t="s">
        <v>29</v>
      </c>
      <c r="S550" s="70" t="s">
        <v>29</v>
      </c>
      <c r="T550" s="70" t="s">
        <v>29</v>
      </c>
      <c r="U550" s="70" t="s">
        <v>29</v>
      </c>
      <c r="V550" s="70">
        <v>4</v>
      </c>
      <c r="W550" s="70">
        <v>418525</v>
      </c>
      <c r="X550" s="137">
        <v>6</v>
      </c>
      <c r="Y550" s="70">
        <v>6</v>
      </c>
      <c r="Z550" s="73" t="s">
        <v>29</v>
      </c>
      <c r="AA550" s="74">
        <f t="shared" si="28"/>
        <v>1</v>
      </c>
      <c r="AB550" s="93">
        <f t="shared" si="26"/>
        <v>0</v>
      </c>
      <c r="AC550" s="93">
        <f>IFERROR(Table16[[#This Row],[Quantity Needed for repair]]*Table16[[#This Row],[Evaluated]],"")</f>
        <v>0</v>
      </c>
    </row>
    <row r="551" spans="5:29" x14ac:dyDescent="0.35">
      <c r="E551" s="57">
        <v>3</v>
      </c>
      <c r="F551" s="58" t="s">
        <v>510</v>
      </c>
      <c r="G551" s="58">
        <v>13172302</v>
      </c>
      <c r="H551" s="58" t="s">
        <v>313</v>
      </c>
      <c r="I551" s="58" t="s">
        <v>351</v>
      </c>
      <c r="J551" s="58" t="s">
        <v>29</v>
      </c>
      <c r="K551" s="58">
        <v>1080537</v>
      </c>
      <c r="L551" s="59">
        <v>44473</v>
      </c>
      <c r="M551" s="58" t="s">
        <v>352</v>
      </c>
      <c r="N551" s="58" t="s">
        <v>29</v>
      </c>
      <c r="O551" s="58" t="s">
        <v>29</v>
      </c>
      <c r="P551" s="58" t="s">
        <v>29</v>
      </c>
      <c r="Q551" s="60" t="str">
        <f t="shared" si="27"/>
        <v/>
      </c>
      <c r="R551" s="58" t="s">
        <v>29</v>
      </c>
      <c r="S551" s="58" t="s">
        <v>29</v>
      </c>
      <c r="T551" s="58" t="s">
        <v>29</v>
      </c>
      <c r="U551" s="58" t="s">
        <v>29</v>
      </c>
      <c r="V551" s="58">
        <v>1</v>
      </c>
      <c r="W551" s="58">
        <v>1130198</v>
      </c>
      <c r="X551" s="136">
        <v>11</v>
      </c>
      <c r="Y551" s="58">
        <v>33</v>
      </c>
      <c r="Z551" s="61" t="s">
        <v>29</v>
      </c>
      <c r="AA551" s="62">
        <f t="shared" si="28"/>
        <v>0.33333333333333331</v>
      </c>
      <c r="AB551" s="91">
        <f t="shared" si="26"/>
        <v>0</v>
      </c>
      <c r="AC551" s="91">
        <f>IFERROR(Table16[[#This Row],[Quantity Needed for repair]]*Table16[[#This Row],[Evaluated]],"")</f>
        <v>0</v>
      </c>
    </row>
    <row r="552" spans="5:29" x14ac:dyDescent="0.35">
      <c r="E552" s="64">
        <v>3</v>
      </c>
      <c r="F552" s="56" t="s">
        <v>510</v>
      </c>
      <c r="G552" s="56">
        <v>13172302</v>
      </c>
      <c r="H552" s="56" t="s">
        <v>313</v>
      </c>
      <c r="I552" s="56" t="s">
        <v>351</v>
      </c>
      <c r="J552" s="56" t="s">
        <v>29</v>
      </c>
      <c r="K552" s="56">
        <v>1080537</v>
      </c>
      <c r="L552" s="65">
        <v>44473</v>
      </c>
      <c r="M552" s="56" t="s">
        <v>352</v>
      </c>
      <c r="N552" s="56" t="s">
        <v>29</v>
      </c>
      <c r="O552" s="56" t="s">
        <v>29</v>
      </c>
      <c r="P552" s="56" t="s">
        <v>29</v>
      </c>
      <c r="Q552" s="66" t="str">
        <f t="shared" si="27"/>
        <v/>
      </c>
      <c r="R552" s="56" t="s">
        <v>29</v>
      </c>
      <c r="S552" s="56" t="s">
        <v>29</v>
      </c>
      <c r="T552" s="56" t="s">
        <v>29</v>
      </c>
      <c r="U552" s="56" t="s">
        <v>29</v>
      </c>
      <c r="V552" s="56">
        <v>2</v>
      </c>
      <c r="W552" s="56">
        <v>647435</v>
      </c>
      <c r="X552">
        <v>9</v>
      </c>
      <c r="Y552" s="56">
        <v>23</v>
      </c>
      <c r="Z552" s="67" t="s">
        <v>29</v>
      </c>
      <c r="AA552" s="68">
        <f t="shared" si="28"/>
        <v>0.39130434782608697</v>
      </c>
      <c r="AB552" s="92">
        <f t="shared" si="26"/>
        <v>0</v>
      </c>
      <c r="AC552" s="92">
        <f>IFERROR(Table16[[#This Row],[Quantity Needed for repair]]*Table16[[#This Row],[Evaluated]],"")</f>
        <v>0</v>
      </c>
    </row>
    <row r="553" spans="5:29" ht="15" thickBot="1" x14ac:dyDescent="0.4">
      <c r="E553" s="64">
        <v>3</v>
      </c>
      <c r="F553" s="56" t="s">
        <v>510</v>
      </c>
      <c r="G553" s="56">
        <v>13172302</v>
      </c>
      <c r="H553" s="56" t="s">
        <v>313</v>
      </c>
      <c r="I553" s="56" t="s">
        <v>351</v>
      </c>
      <c r="J553" s="56" t="s">
        <v>29</v>
      </c>
      <c r="K553" s="56">
        <v>1080537</v>
      </c>
      <c r="L553" s="65">
        <v>44473</v>
      </c>
      <c r="M553" s="56" t="s">
        <v>352</v>
      </c>
      <c r="N553" s="56" t="s">
        <v>29</v>
      </c>
      <c r="O553" s="56" t="s">
        <v>29</v>
      </c>
      <c r="P553" s="56" t="s">
        <v>29</v>
      </c>
      <c r="Q553" s="66" t="str">
        <f t="shared" si="27"/>
        <v/>
      </c>
      <c r="R553" s="56" t="s">
        <v>29</v>
      </c>
      <c r="S553" s="56" t="s">
        <v>29</v>
      </c>
      <c r="T553" s="56" t="s">
        <v>29</v>
      </c>
      <c r="U553" s="56" t="s">
        <v>29</v>
      </c>
      <c r="V553" s="56">
        <v>3</v>
      </c>
      <c r="W553" s="56">
        <v>418525</v>
      </c>
      <c r="X553" s="137">
        <v>6</v>
      </c>
      <c r="Y553" s="56">
        <v>6</v>
      </c>
      <c r="Z553" s="67" t="s">
        <v>29</v>
      </c>
      <c r="AA553" s="68">
        <f t="shared" si="28"/>
        <v>1</v>
      </c>
      <c r="AB553" s="92">
        <f t="shared" si="26"/>
        <v>0</v>
      </c>
      <c r="AC553" s="92">
        <f>IFERROR(Table16[[#This Row],[Quantity Needed for repair]]*Table16[[#This Row],[Evaluated]],"")</f>
        <v>0</v>
      </c>
    </row>
  </sheetData>
  <conditionalFormatting sqref="A2:A133">
    <cfRule type="duplicateValues" dxfId="750" priority="468"/>
  </conditionalFormatting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tabColor theme="8" tint="-0.249977111117893"/>
  </sheetPr>
  <dimension ref="A1:L47"/>
  <sheetViews>
    <sheetView zoomScale="90" zoomScaleNormal="90" workbookViewId="0">
      <selection activeCell="A40" sqref="A40"/>
    </sheetView>
  </sheetViews>
  <sheetFormatPr defaultColWidth="9.26953125" defaultRowHeight="12.5" x14ac:dyDescent="0.25"/>
  <cols>
    <col min="1" max="1" width="45.26953125" style="19" bestFit="1" customWidth="1"/>
    <col min="2" max="2" width="18.26953125" style="175" bestFit="1" customWidth="1"/>
    <col min="3" max="4" width="11.54296875" style="175" customWidth="1"/>
    <col min="5" max="6" width="9.26953125" style="19"/>
    <col min="7" max="7" width="45.7265625" style="19" customWidth="1"/>
    <col min="8" max="8" width="51.26953125" style="21" bestFit="1" customWidth="1"/>
    <col min="9" max="9" width="10.7265625" style="19" bestFit="1" customWidth="1"/>
    <col min="10" max="10" width="19" style="19" bestFit="1" customWidth="1"/>
    <col min="11" max="11" width="11" style="19" bestFit="1" customWidth="1"/>
    <col min="12" max="16384" width="9.26953125" style="19"/>
  </cols>
  <sheetData>
    <row r="1" spans="1:12" ht="13.5" thickBot="1" x14ac:dyDescent="0.3">
      <c r="A1" s="836" t="s">
        <v>512</v>
      </c>
      <c r="B1" s="837"/>
      <c r="C1" s="837"/>
      <c r="D1" s="838"/>
      <c r="G1" s="839" t="s">
        <v>513</v>
      </c>
      <c r="H1" s="840"/>
      <c r="I1" s="840"/>
      <c r="J1" s="840"/>
      <c r="K1" s="840"/>
    </row>
    <row r="2" spans="1:12" ht="13.5" thickBot="1" x14ac:dyDescent="0.3">
      <c r="A2" s="163" t="s">
        <v>514</v>
      </c>
      <c r="B2" s="171" t="s">
        <v>515</v>
      </c>
      <c r="C2" s="180" t="s">
        <v>516</v>
      </c>
      <c r="D2" s="180" t="s">
        <v>517</v>
      </c>
      <c r="G2" s="216" t="s">
        <v>7</v>
      </c>
      <c r="H2" s="216" t="s">
        <v>514</v>
      </c>
      <c r="I2" s="180" t="s">
        <v>518</v>
      </c>
      <c r="J2" s="217" t="s">
        <v>516</v>
      </c>
      <c r="K2" s="180" t="s">
        <v>519</v>
      </c>
    </row>
    <row r="3" spans="1:12" ht="14.65" customHeight="1" x14ac:dyDescent="0.25">
      <c r="A3" s="167" t="s">
        <v>520</v>
      </c>
      <c r="B3" s="172">
        <v>1193589</v>
      </c>
      <c r="C3" s="181">
        <v>3</v>
      </c>
      <c r="D3" s="181">
        <v>0</v>
      </c>
      <c r="G3" s="834" t="s">
        <v>521</v>
      </c>
      <c r="H3" s="218" t="s">
        <v>522</v>
      </c>
      <c r="I3" s="219">
        <v>101607524</v>
      </c>
      <c r="J3" s="220"/>
      <c r="K3" s="220"/>
    </row>
    <row r="4" spans="1:12" ht="14.5" x14ac:dyDescent="0.25">
      <c r="A4" s="165" t="s">
        <v>523</v>
      </c>
      <c r="B4" s="173">
        <v>1193590</v>
      </c>
      <c r="C4" s="182">
        <v>3</v>
      </c>
      <c r="D4" s="182">
        <v>0</v>
      </c>
      <c r="G4" s="834"/>
      <c r="H4" s="218" t="s">
        <v>524</v>
      </c>
      <c r="I4" s="219">
        <v>103091324</v>
      </c>
      <c r="J4" s="221"/>
      <c r="K4" s="221"/>
    </row>
    <row r="5" spans="1:12" ht="14.5" x14ac:dyDescent="0.25">
      <c r="A5" s="165" t="s">
        <v>525</v>
      </c>
      <c r="B5" s="173">
        <v>1094254</v>
      </c>
      <c r="C5" s="182">
        <v>16</v>
      </c>
      <c r="D5" s="182">
        <v>0</v>
      </c>
      <c r="G5" s="834"/>
      <c r="H5" s="218" t="s">
        <v>526</v>
      </c>
      <c r="I5" s="219">
        <v>133969</v>
      </c>
      <c r="J5" s="220"/>
      <c r="K5" s="220"/>
    </row>
    <row r="6" spans="1:12" ht="14.5" x14ac:dyDescent="0.25">
      <c r="A6" s="165" t="s">
        <v>527</v>
      </c>
      <c r="B6" s="173">
        <v>1094187</v>
      </c>
      <c r="C6" s="182">
        <v>13</v>
      </c>
      <c r="D6" s="182">
        <v>0</v>
      </c>
      <c r="G6" s="834"/>
      <c r="H6" s="218" t="s">
        <v>528</v>
      </c>
      <c r="I6" s="219">
        <v>1212460</v>
      </c>
      <c r="J6" s="222"/>
      <c r="K6" s="222"/>
    </row>
    <row r="7" spans="1:12" ht="14.5" x14ac:dyDescent="0.25">
      <c r="A7" s="165" t="s">
        <v>529</v>
      </c>
      <c r="B7" s="173">
        <v>1094188</v>
      </c>
      <c r="C7" s="182">
        <v>13</v>
      </c>
      <c r="D7" s="182">
        <v>0</v>
      </c>
      <c r="G7" s="834"/>
      <c r="H7" s="218" t="s">
        <v>530</v>
      </c>
      <c r="I7" s="219">
        <v>101934183</v>
      </c>
      <c r="J7" s="220">
        <v>1</v>
      </c>
      <c r="K7" s="220"/>
    </row>
    <row r="8" spans="1:12" ht="15" thickBot="1" x14ac:dyDescent="0.3">
      <c r="A8" s="166" t="s">
        <v>531</v>
      </c>
      <c r="B8" s="174">
        <v>1094189</v>
      </c>
      <c r="C8" s="183">
        <v>16</v>
      </c>
      <c r="D8" s="183">
        <v>0</v>
      </c>
      <c r="G8" s="841"/>
      <c r="H8" s="218" t="s">
        <v>532</v>
      </c>
      <c r="I8" s="219">
        <v>1075545</v>
      </c>
      <c r="J8" s="220"/>
      <c r="K8" s="220"/>
    </row>
    <row r="9" spans="1:12" ht="14.5" x14ac:dyDescent="0.25">
      <c r="G9" s="834" t="s">
        <v>533</v>
      </c>
      <c r="H9" s="223" t="s">
        <v>534</v>
      </c>
      <c r="I9" s="241">
        <v>103023185</v>
      </c>
      <c r="J9" s="220">
        <v>2</v>
      </c>
      <c r="K9" s="244">
        <v>0</v>
      </c>
      <c r="L9" s="21" t="s">
        <v>535</v>
      </c>
    </row>
    <row r="10" spans="1:12" ht="15" thickBot="1" x14ac:dyDescent="0.3">
      <c r="G10" s="834"/>
      <c r="H10" s="223" t="s">
        <v>536</v>
      </c>
      <c r="I10" s="224">
        <v>103056801</v>
      </c>
      <c r="J10" s="220">
        <v>0</v>
      </c>
      <c r="K10" s="220"/>
      <c r="L10" s="21" t="s">
        <v>535</v>
      </c>
    </row>
    <row r="11" spans="1:12" ht="15" thickBot="1" x14ac:dyDescent="0.3">
      <c r="A11" s="836" t="s">
        <v>537</v>
      </c>
      <c r="B11" s="837"/>
      <c r="C11" s="837"/>
      <c r="D11" s="838"/>
      <c r="G11" s="834"/>
      <c r="H11" s="223" t="s">
        <v>538</v>
      </c>
      <c r="I11" s="224">
        <v>103056798</v>
      </c>
      <c r="J11" s="220">
        <v>0</v>
      </c>
      <c r="K11" s="240"/>
      <c r="L11" s="21" t="s">
        <v>535</v>
      </c>
    </row>
    <row r="12" spans="1:12" ht="15" thickBot="1" x14ac:dyDescent="0.3">
      <c r="A12" s="163" t="s">
        <v>514</v>
      </c>
      <c r="B12" s="171" t="s">
        <v>515</v>
      </c>
      <c r="C12" s="180" t="s">
        <v>516</v>
      </c>
      <c r="D12" s="180" t="s">
        <v>517</v>
      </c>
      <c r="G12" s="834"/>
      <c r="H12" s="225" t="s">
        <v>539</v>
      </c>
      <c r="I12" s="224">
        <v>103090835</v>
      </c>
      <c r="J12" s="220">
        <v>3</v>
      </c>
      <c r="K12" s="220"/>
      <c r="L12" s="21" t="s">
        <v>540</v>
      </c>
    </row>
    <row r="13" spans="1:12" ht="14.5" x14ac:dyDescent="0.25">
      <c r="A13" s="170" t="s">
        <v>541</v>
      </c>
      <c r="B13" s="176">
        <v>1178422</v>
      </c>
      <c r="C13" s="176">
        <v>15</v>
      </c>
      <c r="D13" s="184">
        <v>0</v>
      </c>
      <c r="G13" s="834"/>
      <c r="H13" s="225" t="s">
        <v>542</v>
      </c>
      <c r="I13" s="224">
        <v>103070603</v>
      </c>
      <c r="J13" s="220">
        <f>4-2</f>
        <v>2</v>
      </c>
      <c r="K13" s="220"/>
      <c r="L13" s="21" t="s">
        <v>543</v>
      </c>
    </row>
    <row r="14" spans="1:12" ht="14.5" x14ac:dyDescent="0.25">
      <c r="A14" s="168" t="s">
        <v>544</v>
      </c>
      <c r="B14" s="177">
        <v>1112138</v>
      </c>
      <c r="C14" s="185">
        <v>12</v>
      </c>
      <c r="D14" s="185">
        <v>0</v>
      </c>
      <c r="G14" s="834"/>
      <c r="H14" s="223" t="s">
        <v>545</v>
      </c>
      <c r="I14" s="224">
        <v>1215422</v>
      </c>
      <c r="J14" s="220">
        <v>10</v>
      </c>
      <c r="K14" s="220"/>
    </row>
    <row r="15" spans="1:12" ht="14.5" x14ac:dyDescent="0.25">
      <c r="A15" s="169" t="s">
        <v>546</v>
      </c>
      <c r="B15" s="178">
        <v>1120863</v>
      </c>
      <c r="C15" s="186">
        <f>J28</f>
        <v>121</v>
      </c>
      <c r="D15" s="186">
        <v>0</v>
      </c>
      <c r="G15" s="834"/>
      <c r="H15" s="223" t="s">
        <v>547</v>
      </c>
      <c r="I15" s="224">
        <v>1217273</v>
      </c>
      <c r="J15" s="220">
        <v>1</v>
      </c>
      <c r="K15" s="220"/>
      <c r="L15" s="21" t="s">
        <v>548</v>
      </c>
    </row>
    <row r="16" spans="1:12" ht="14.5" x14ac:dyDescent="0.25">
      <c r="A16" s="165" t="s">
        <v>549</v>
      </c>
      <c r="B16" s="173">
        <v>103056800</v>
      </c>
      <c r="C16" s="182">
        <v>1</v>
      </c>
      <c r="D16" s="182">
        <v>0</v>
      </c>
      <c r="G16" s="841"/>
      <c r="H16" s="223" t="s">
        <v>550</v>
      </c>
      <c r="I16" s="224">
        <v>1212027</v>
      </c>
      <c r="J16" s="220">
        <v>1</v>
      </c>
      <c r="K16" s="220"/>
    </row>
    <row r="17" spans="1:12" ht="15" customHeight="1" thickBot="1" x14ac:dyDescent="0.3">
      <c r="G17" s="834" t="s">
        <v>551</v>
      </c>
      <c r="H17" s="226" t="s">
        <v>552</v>
      </c>
      <c r="I17" s="227">
        <v>103056799</v>
      </c>
      <c r="J17" s="220">
        <v>0</v>
      </c>
      <c r="K17" s="220"/>
      <c r="L17" s="21" t="s">
        <v>553</v>
      </c>
    </row>
    <row r="18" spans="1:12" ht="15" thickBot="1" x14ac:dyDescent="0.3">
      <c r="A18" s="836" t="s">
        <v>554</v>
      </c>
      <c r="B18" s="837"/>
      <c r="C18" s="837"/>
      <c r="D18" s="838"/>
      <c r="G18" s="834"/>
      <c r="H18" s="226" t="s">
        <v>555</v>
      </c>
      <c r="I18" s="227">
        <v>103098383</v>
      </c>
      <c r="J18" s="220" t="s">
        <v>556</v>
      </c>
      <c r="K18" s="220"/>
    </row>
    <row r="19" spans="1:12" ht="15" thickBot="1" x14ac:dyDescent="0.3">
      <c r="A19" s="163" t="s">
        <v>514</v>
      </c>
      <c r="B19" s="171" t="s">
        <v>515</v>
      </c>
      <c r="C19" s="180" t="s">
        <v>516</v>
      </c>
      <c r="D19" s="180" t="s">
        <v>517</v>
      </c>
      <c r="G19" s="834"/>
      <c r="H19" s="226" t="s">
        <v>557</v>
      </c>
      <c r="I19" s="227">
        <v>103098384</v>
      </c>
      <c r="J19" s="220">
        <v>1</v>
      </c>
      <c r="K19" s="220"/>
    </row>
    <row r="20" spans="1:12" ht="15" thickBot="1" x14ac:dyDescent="0.3">
      <c r="A20" s="167" t="s">
        <v>558</v>
      </c>
      <c r="B20" s="172">
        <v>1091913</v>
      </c>
      <c r="C20" s="181">
        <v>2</v>
      </c>
      <c r="D20" s="181">
        <v>2</v>
      </c>
      <c r="G20" s="834"/>
      <c r="H20" s="226" t="s">
        <v>559</v>
      </c>
      <c r="I20" s="227">
        <v>1212028</v>
      </c>
      <c r="J20" s="220">
        <v>1</v>
      </c>
      <c r="K20" s="220"/>
    </row>
    <row r="21" spans="1:12" ht="14.5" x14ac:dyDescent="0.25">
      <c r="A21" s="167" t="s">
        <v>558</v>
      </c>
      <c r="B21" s="177">
        <v>1091634</v>
      </c>
      <c r="C21" s="185">
        <v>2</v>
      </c>
      <c r="D21" s="185">
        <v>0</v>
      </c>
      <c r="G21" s="834"/>
      <c r="H21" s="226" t="s">
        <v>560</v>
      </c>
      <c r="I21" s="227">
        <v>1213653</v>
      </c>
      <c r="J21" s="220"/>
      <c r="K21" s="220"/>
    </row>
    <row r="22" spans="1:12" ht="14.5" x14ac:dyDescent="0.25">
      <c r="A22" s="165" t="s">
        <v>561</v>
      </c>
      <c r="B22" s="173">
        <v>1090681</v>
      </c>
      <c r="C22" s="182">
        <v>25</v>
      </c>
      <c r="D22" s="182">
        <v>0</v>
      </c>
      <c r="G22" s="834"/>
      <c r="H22" s="226" t="s">
        <v>562</v>
      </c>
      <c r="I22" s="227">
        <v>1213654</v>
      </c>
      <c r="J22" s="220">
        <v>1</v>
      </c>
      <c r="K22" s="220"/>
    </row>
    <row r="23" spans="1:12" ht="14.5" x14ac:dyDescent="0.25">
      <c r="A23" s="165" t="s">
        <v>563</v>
      </c>
      <c r="B23" s="173">
        <v>1078098</v>
      </c>
      <c r="C23" s="182">
        <v>7</v>
      </c>
      <c r="D23" s="182">
        <v>0</v>
      </c>
      <c r="G23" s="835"/>
      <c r="H23" s="226" t="s">
        <v>564</v>
      </c>
      <c r="I23" s="227">
        <v>1214345</v>
      </c>
      <c r="J23" s="220"/>
      <c r="K23" s="220"/>
    </row>
    <row r="24" spans="1:12" ht="15" customHeight="1" thickBot="1" x14ac:dyDescent="0.3">
      <c r="A24" s="166" t="s">
        <v>565</v>
      </c>
      <c r="B24" s="174">
        <v>1076681</v>
      </c>
      <c r="C24" s="183">
        <v>24</v>
      </c>
      <c r="D24" s="183">
        <v>0</v>
      </c>
      <c r="G24" s="834" t="s">
        <v>566</v>
      </c>
      <c r="H24" s="228" t="s">
        <v>567</v>
      </c>
      <c r="I24" s="229">
        <v>103008219</v>
      </c>
      <c r="J24" s="220"/>
      <c r="K24" s="220">
        <v>6</v>
      </c>
    </row>
    <row r="25" spans="1:12" ht="15" thickBot="1" x14ac:dyDescent="0.3">
      <c r="G25" s="834"/>
      <c r="H25" s="228" t="s">
        <v>568</v>
      </c>
      <c r="I25" s="229">
        <v>103023184</v>
      </c>
      <c r="J25" s="249">
        <v>3</v>
      </c>
      <c r="K25" s="220">
        <v>0</v>
      </c>
      <c r="L25" s="251" t="s">
        <v>569</v>
      </c>
    </row>
    <row r="26" spans="1:12" ht="15" thickBot="1" x14ac:dyDescent="0.3">
      <c r="A26" s="836" t="s">
        <v>570</v>
      </c>
      <c r="B26" s="837"/>
      <c r="C26" s="837"/>
      <c r="D26" s="838"/>
      <c r="G26" s="834"/>
      <c r="H26" s="228" t="s">
        <v>571</v>
      </c>
      <c r="I26" s="229">
        <v>102964488</v>
      </c>
      <c r="J26" s="220"/>
      <c r="K26" s="220"/>
    </row>
    <row r="27" spans="1:12" ht="15" thickBot="1" x14ac:dyDescent="0.3">
      <c r="A27" s="163" t="s">
        <v>514</v>
      </c>
      <c r="B27" s="171" t="s">
        <v>515</v>
      </c>
      <c r="C27" s="180" t="s">
        <v>516</v>
      </c>
      <c r="D27" s="180" t="s">
        <v>517</v>
      </c>
      <c r="G27" s="834"/>
      <c r="H27" s="228" t="s">
        <v>572</v>
      </c>
      <c r="I27" s="229">
        <v>102966914</v>
      </c>
      <c r="J27" s="220">
        <v>46</v>
      </c>
      <c r="K27" s="220"/>
    </row>
    <row r="28" spans="1:12" ht="15" thickBot="1" x14ac:dyDescent="0.3">
      <c r="A28" s="164" t="s">
        <v>573</v>
      </c>
      <c r="B28" s="179">
        <v>1175976</v>
      </c>
      <c r="C28" s="187">
        <v>35</v>
      </c>
      <c r="D28" s="187">
        <v>0</v>
      </c>
      <c r="G28" s="835"/>
      <c r="H28" s="230" t="s">
        <v>574</v>
      </c>
      <c r="I28" s="231">
        <v>1120863</v>
      </c>
      <c r="J28" s="232">
        <v>121</v>
      </c>
      <c r="K28" s="232"/>
    </row>
    <row r="29" spans="1:12" ht="15" customHeight="1" thickBot="1" x14ac:dyDescent="0.3">
      <c r="A29" s="164" t="s">
        <v>575</v>
      </c>
      <c r="B29" s="179">
        <v>1175975</v>
      </c>
      <c r="C29" s="187">
        <v>70</v>
      </c>
      <c r="D29" s="187">
        <v>0</v>
      </c>
      <c r="G29" s="834" t="s">
        <v>576</v>
      </c>
      <c r="H29" s="233" t="s">
        <v>577</v>
      </c>
      <c r="I29" s="234">
        <v>103097996</v>
      </c>
      <c r="J29" s="220">
        <v>9</v>
      </c>
      <c r="K29" s="220">
        <v>0</v>
      </c>
    </row>
    <row r="30" spans="1:12" ht="15" thickBot="1" x14ac:dyDescent="0.3">
      <c r="G30" s="834"/>
      <c r="H30" s="233" t="s">
        <v>578</v>
      </c>
      <c r="I30" s="234">
        <v>103025674</v>
      </c>
      <c r="J30" s="220">
        <v>7</v>
      </c>
      <c r="K30" s="220">
        <v>0</v>
      </c>
    </row>
    <row r="31" spans="1:12" ht="15" thickBot="1" x14ac:dyDescent="0.3">
      <c r="A31" s="836" t="s">
        <v>579</v>
      </c>
      <c r="B31" s="837"/>
      <c r="C31" s="837"/>
      <c r="D31" s="838"/>
      <c r="G31" s="834"/>
      <c r="H31" s="233" t="s">
        <v>580</v>
      </c>
      <c r="I31" s="234">
        <v>103066646</v>
      </c>
      <c r="J31" s="220">
        <v>7</v>
      </c>
      <c r="K31" s="220">
        <v>0</v>
      </c>
    </row>
    <row r="32" spans="1:12" ht="15" thickBot="1" x14ac:dyDescent="0.3">
      <c r="A32" s="163" t="s">
        <v>514</v>
      </c>
      <c r="B32" s="171" t="s">
        <v>515</v>
      </c>
      <c r="C32" s="180" t="s">
        <v>516</v>
      </c>
      <c r="D32" s="180" t="s">
        <v>517</v>
      </c>
      <c r="G32" s="835"/>
      <c r="H32" s="233" t="s">
        <v>581</v>
      </c>
      <c r="I32" s="234">
        <v>1220339</v>
      </c>
      <c r="J32" s="220">
        <v>10</v>
      </c>
      <c r="K32" s="220"/>
    </row>
    <row r="33" spans="1:12" ht="15" customHeight="1" thickBot="1" x14ac:dyDescent="0.3">
      <c r="A33" s="164" t="s">
        <v>582</v>
      </c>
      <c r="B33" s="179" t="s">
        <v>583</v>
      </c>
      <c r="C33" s="187">
        <v>0</v>
      </c>
      <c r="D33" s="187"/>
      <c r="G33" s="834" t="s">
        <v>584</v>
      </c>
      <c r="H33" s="235" t="s">
        <v>585</v>
      </c>
      <c r="I33" s="236">
        <v>103113535</v>
      </c>
      <c r="J33" s="220"/>
      <c r="K33" s="220"/>
    </row>
    <row r="34" spans="1:12" ht="15" thickBot="1" x14ac:dyDescent="0.3">
      <c r="A34" s="210" t="s">
        <v>586</v>
      </c>
      <c r="B34" s="187" t="s">
        <v>583</v>
      </c>
      <c r="C34" s="187">
        <v>71</v>
      </c>
      <c r="D34" s="211"/>
      <c r="G34" s="834"/>
      <c r="H34" s="235" t="s">
        <v>587</v>
      </c>
      <c r="I34" s="236">
        <v>103100511</v>
      </c>
      <c r="J34" s="220">
        <v>1</v>
      </c>
      <c r="K34" s="220"/>
    </row>
    <row r="35" spans="1:12" ht="15" thickBot="1" x14ac:dyDescent="0.3">
      <c r="A35" s="210" t="s">
        <v>588</v>
      </c>
      <c r="B35" s="187" t="s">
        <v>583</v>
      </c>
      <c r="C35" s="187">
        <v>0</v>
      </c>
      <c r="D35" s="187"/>
      <c r="G35" s="834"/>
      <c r="H35" s="235" t="s">
        <v>589</v>
      </c>
      <c r="I35" s="236">
        <v>103100510</v>
      </c>
      <c r="J35" s="220">
        <v>1</v>
      </c>
      <c r="K35" s="220"/>
    </row>
    <row r="36" spans="1:12" ht="15" thickBot="1" x14ac:dyDescent="0.3">
      <c r="A36" s="836" t="s">
        <v>590</v>
      </c>
      <c r="B36" s="837"/>
      <c r="C36" s="837"/>
      <c r="D36" s="838"/>
      <c r="G36" s="834"/>
      <c r="H36" s="235" t="s">
        <v>591</v>
      </c>
      <c r="I36" s="236">
        <v>1201130</v>
      </c>
      <c r="J36" s="220">
        <v>2</v>
      </c>
      <c r="K36" s="220"/>
    </row>
    <row r="37" spans="1:12" ht="15" thickBot="1" x14ac:dyDescent="0.3">
      <c r="A37" s="163" t="s">
        <v>514</v>
      </c>
      <c r="B37" s="171" t="s">
        <v>515</v>
      </c>
      <c r="C37" s="180" t="s">
        <v>516</v>
      </c>
      <c r="D37" s="180" t="s">
        <v>517</v>
      </c>
      <c r="G37" s="834"/>
      <c r="H37" s="235" t="s">
        <v>592</v>
      </c>
      <c r="I37" s="236">
        <v>103097998</v>
      </c>
      <c r="J37" s="220"/>
      <c r="K37" s="220"/>
    </row>
    <row r="38" spans="1:12" ht="15" thickBot="1" x14ac:dyDescent="0.3">
      <c r="A38" s="164" t="s">
        <v>593</v>
      </c>
      <c r="B38" s="179" t="s">
        <v>583</v>
      </c>
      <c r="C38" s="187">
        <v>15</v>
      </c>
      <c r="D38" s="187"/>
      <c r="G38" s="835"/>
      <c r="H38" s="235" t="s">
        <v>594</v>
      </c>
      <c r="I38" s="236">
        <v>1220340</v>
      </c>
      <c r="J38" s="220"/>
      <c r="K38" s="220"/>
    </row>
    <row r="39" spans="1:12" ht="14.5" x14ac:dyDescent="0.35">
      <c r="A39" s="110"/>
      <c r="C39" s="19"/>
      <c r="D39" s="19"/>
      <c r="H39" s="239" t="s">
        <v>595</v>
      </c>
      <c r="I39" s="239">
        <v>102964486</v>
      </c>
      <c r="J39" s="20"/>
      <c r="K39" s="20">
        <v>3</v>
      </c>
    </row>
    <row r="40" spans="1:12" ht="14.5" x14ac:dyDescent="0.35">
      <c r="A40" s="110"/>
      <c r="C40" s="19"/>
      <c r="D40" s="19"/>
      <c r="H40" s="239" t="s">
        <v>596</v>
      </c>
      <c r="I40" s="239">
        <v>1172846</v>
      </c>
      <c r="J40" s="20"/>
      <c r="K40" s="20">
        <v>6</v>
      </c>
    </row>
    <row r="41" spans="1:12" x14ac:dyDescent="0.25">
      <c r="H41" s="243" t="s">
        <v>597</v>
      </c>
      <c r="I41" s="20">
        <v>101370523</v>
      </c>
      <c r="J41" s="20">
        <v>1</v>
      </c>
      <c r="K41" s="20"/>
      <c r="L41" s="21" t="s">
        <v>598</v>
      </c>
    </row>
    <row r="42" spans="1:12" ht="13" x14ac:dyDescent="0.25">
      <c r="A42" s="833"/>
      <c r="B42" s="833"/>
      <c r="C42" s="833"/>
      <c r="D42" s="833"/>
    </row>
    <row r="43" spans="1:12" ht="13" x14ac:dyDescent="0.25">
      <c r="A43" s="237"/>
      <c r="B43" s="238"/>
      <c r="C43" s="238"/>
      <c r="D43" s="238"/>
    </row>
    <row r="44" spans="1:12" x14ac:dyDescent="0.25">
      <c r="A44" s="110"/>
    </row>
    <row r="45" spans="1:12" x14ac:dyDescent="0.25">
      <c r="A45" s="110"/>
    </row>
    <row r="46" spans="1:12" x14ac:dyDescent="0.25">
      <c r="A46" s="110"/>
    </row>
    <row r="47" spans="1:12" ht="13" x14ac:dyDescent="0.25">
      <c r="A47" s="833"/>
      <c r="B47" s="833"/>
      <c r="C47" s="833"/>
      <c r="D47" s="833"/>
    </row>
  </sheetData>
  <mergeCells count="15">
    <mergeCell ref="G17:G23"/>
    <mergeCell ref="A18:D18"/>
    <mergeCell ref="A1:D1"/>
    <mergeCell ref="G1:K1"/>
    <mergeCell ref="G3:G8"/>
    <mergeCell ref="G9:G16"/>
    <mergeCell ref="A11:D11"/>
    <mergeCell ref="A42:D42"/>
    <mergeCell ref="A47:D47"/>
    <mergeCell ref="G24:G28"/>
    <mergeCell ref="A26:D26"/>
    <mergeCell ref="G29:G32"/>
    <mergeCell ref="A31:D31"/>
    <mergeCell ref="G33:G38"/>
    <mergeCell ref="A36:D36"/>
  </mergeCells>
  <conditionalFormatting sqref="I1:I1048576">
    <cfRule type="duplicateValues" dxfId="749" priority="1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7619F-49FA-468B-B274-169001ACFB34}">
  <sheetPr>
    <tabColor theme="9" tint="0.39997558519241921"/>
    <pageSetUpPr fitToPage="1"/>
  </sheetPr>
  <dimension ref="A1:BF479"/>
  <sheetViews>
    <sheetView zoomScale="75" zoomScaleNormal="75" zoomScaleSheetLayoutView="199" workbookViewId="0">
      <pane xSplit="6" ySplit="1" topLeftCell="S287" activePane="bottomRight" state="frozen"/>
      <selection pane="topRight" activeCell="G1" sqref="G1"/>
      <selection pane="bottomLeft" activeCell="A2" sqref="A2"/>
      <selection pane="bottomRight" activeCell="B303" sqref="B303"/>
    </sheetView>
  </sheetViews>
  <sheetFormatPr defaultRowHeight="18.5" x14ac:dyDescent="0.35"/>
  <cols>
    <col min="1" max="1" width="8.1796875" style="4" bestFit="1" customWidth="1"/>
    <col min="2" max="2" width="13.81640625" style="4" customWidth="1"/>
    <col min="3" max="3" width="41.81640625" style="4" customWidth="1"/>
    <col min="4" max="4" width="22.54296875" style="4" bestFit="1" customWidth="1"/>
    <col min="5" max="5" width="17.453125" style="4" bestFit="1" customWidth="1"/>
    <col min="6" max="6" width="12.1796875" style="4" customWidth="1"/>
    <col min="7" max="7" width="18.54296875" style="4" customWidth="1"/>
    <col min="8" max="8" width="39.7265625" style="8" customWidth="1"/>
    <col min="9" max="10" width="13.7265625" style="1" customWidth="1"/>
    <col min="11" max="11" width="13.7265625" style="8" customWidth="1"/>
    <col min="12" max="12" width="13.7265625" style="736" customWidth="1"/>
    <col min="13" max="15" width="13.7265625" style="1" customWidth="1"/>
    <col min="16" max="16" width="13.7265625" style="1" hidden="1" customWidth="1"/>
    <col min="17" max="18" width="13.7265625" style="1" customWidth="1"/>
    <col min="19" max="19" width="18.81640625" style="1" bestFit="1" customWidth="1"/>
    <col min="20" max="20" width="14.26953125" style="4" customWidth="1"/>
    <col min="21" max="21" width="14" style="4" customWidth="1"/>
    <col min="22" max="22" width="11.54296875" style="4" customWidth="1"/>
    <col min="23" max="23" width="20.7265625" style="9" customWidth="1"/>
    <col min="24" max="24" width="33.453125" style="4" customWidth="1"/>
    <col min="25" max="27" width="13" style="4" customWidth="1"/>
    <col min="28" max="28" width="11.54296875" style="4" customWidth="1"/>
    <col min="29" max="29" width="10.54296875" style="4" customWidth="1"/>
    <col min="30" max="30" width="4.26953125" customWidth="1"/>
    <col min="31" max="31" width="20.26953125" style="4" customWidth="1"/>
    <col min="32" max="32" width="4.26953125" style="4" customWidth="1"/>
    <col min="33" max="33" width="6.453125" style="4" customWidth="1"/>
    <col min="34" max="34" width="10" customWidth="1"/>
    <col min="35" max="35" width="14.26953125" customWidth="1"/>
    <col min="36" max="37" width="20.54296875" customWidth="1"/>
    <col min="38" max="38" width="25.453125" customWidth="1"/>
    <col min="39" max="40" width="12.26953125" customWidth="1"/>
    <col min="41" max="42" width="10.26953125" customWidth="1"/>
    <col min="43" max="43" width="14.26953125" hidden="1" customWidth="1"/>
    <col min="44" max="45" width="14.7265625" hidden="1" customWidth="1"/>
    <col min="46" max="46" width="13.7265625" hidden="1" customWidth="1"/>
    <col min="47" max="47" width="11" customWidth="1"/>
    <col min="48" max="48" width="10.7265625" customWidth="1"/>
    <col min="49" max="49" width="11.54296875" customWidth="1"/>
    <col min="59" max="232" width="9.1796875" style="4"/>
    <col min="233" max="233" width="8.26953125" style="4" customWidth="1"/>
    <col min="234" max="234" width="12.26953125" style="4" bestFit="1" customWidth="1"/>
    <col min="235" max="235" width="23.7265625" style="4" bestFit="1" customWidth="1"/>
    <col min="236" max="236" width="7.54296875" style="4" customWidth="1"/>
    <col min="237" max="237" width="12" style="4" customWidth="1"/>
    <col min="238" max="238" width="9.7265625" style="4" customWidth="1"/>
    <col min="239" max="239" width="23.7265625" style="4" customWidth="1"/>
    <col min="240" max="240" width="50.7265625" style="4" customWidth="1"/>
    <col min="241" max="241" width="11.453125" style="4" customWidth="1"/>
    <col min="242" max="242" width="12.54296875" style="4" customWidth="1"/>
    <col min="243" max="243" width="10.26953125" style="4" customWidth="1"/>
    <col min="244" max="244" width="9" style="4" customWidth="1"/>
    <col min="245" max="245" width="11.54296875" style="4" customWidth="1"/>
    <col min="246" max="246" width="9.453125" style="4" customWidth="1"/>
    <col min="247" max="247" width="10.7265625" style="4" customWidth="1"/>
    <col min="248" max="248" width="8.26953125" style="4" customWidth="1"/>
    <col min="249" max="249" width="9.26953125" style="4" customWidth="1"/>
    <col min="250" max="250" width="11.54296875" style="4" customWidth="1"/>
    <col min="251" max="252" width="9.26953125" style="4" bestFit="1" customWidth="1"/>
    <col min="253" max="253" width="9.7265625" style="4" customWidth="1"/>
    <col min="254" max="254" width="11.54296875" style="4" bestFit="1" customWidth="1"/>
    <col min="255" max="255" width="9.1796875" style="4"/>
    <col min="256" max="258" width="0" style="4" hidden="1" customWidth="1"/>
    <col min="259" max="265" width="9.1796875" style="4"/>
    <col min="266" max="266" width="10.54296875" style="4" bestFit="1" customWidth="1"/>
    <col min="267" max="267" width="9.1796875" style="4"/>
    <col min="268" max="268" width="12.26953125" style="4" bestFit="1" customWidth="1"/>
    <col min="269" max="269" width="9.1796875" style="4"/>
    <col min="270" max="271" width="0" style="4" hidden="1" customWidth="1"/>
    <col min="272" max="272" width="11" style="4" bestFit="1" customWidth="1"/>
    <col min="273" max="273" width="8.26953125" style="4" bestFit="1" customWidth="1"/>
    <col min="274" max="274" width="6.453125" style="4" bestFit="1" customWidth="1"/>
    <col min="275" max="275" width="10" style="4" bestFit="1" customWidth="1"/>
    <col min="276" max="276" width="29.7265625" style="4" bestFit="1" customWidth="1"/>
    <col min="277" max="277" width="17" style="4" bestFit="1" customWidth="1"/>
    <col min="278" max="488" width="9.1796875" style="4"/>
    <col min="489" max="489" width="8.26953125" style="4" customWidth="1"/>
    <col min="490" max="490" width="12.26953125" style="4" bestFit="1" customWidth="1"/>
    <col min="491" max="491" width="23.7265625" style="4" bestFit="1" customWidth="1"/>
    <col min="492" max="492" width="7.54296875" style="4" customWidth="1"/>
    <col min="493" max="493" width="12" style="4" customWidth="1"/>
    <col min="494" max="494" width="9.7265625" style="4" customWidth="1"/>
    <col min="495" max="495" width="23.7265625" style="4" customWidth="1"/>
    <col min="496" max="496" width="50.7265625" style="4" customWidth="1"/>
    <col min="497" max="497" width="11.453125" style="4" customWidth="1"/>
    <col min="498" max="498" width="12.54296875" style="4" customWidth="1"/>
    <col min="499" max="499" width="10.26953125" style="4" customWidth="1"/>
    <col min="500" max="500" width="9" style="4" customWidth="1"/>
    <col min="501" max="501" width="11.54296875" style="4" customWidth="1"/>
    <col min="502" max="502" width="9.453125" style="4" customWidth="1"/>
    <col min="503" max="503" width="10.7265625" style="4" customWidth="1"/>
    <col min="504" max="504" width="8.26953125" style="4" customWidth="1"/>
    <col min="505" max="505" width="9.26953125" style="4" customWidth="1"/>
    <col min="506" max="506" width="11.54296875" style="4" customWidth="1"/>
    <col min="507" max="508" width="9.26953125" style="4" bestFit="1" customWidth="1"/>
    <col min="509" max="509" width="9.7265625" style="4" customWidth="1"/>
    <col min="510" max="510" width="11.54296875" style="4" bestFit="1" customWidth="1"/>
    <col min="511" max="511" width="9.1796875" style="4"/>
    <col min="512" max="514" width="0" style="4" hidden="1" customWidth="1"/>
    <col min="515" max="521" width="9.1796875" style="4"/>
    <col min="522" max="522" width="10.54296875" style="4" bestFit="1" customWidth="1"/>
    <col min="523" max="523" width="9.1796875" style="4"/>
    <col min="524" max="524" width="12.26953125" style="4" bestFit="1" customWidth="1"/>
    <col min="525" max="525" width="9.1796875" style="4"/>
    <col min="526" max="527" width="0" style="4" hidden="1" customWidth="1"/>
    <col min="528" max="528" width="11" style="4" bestFit="1" customWidth="1"/>
    <col min="529" max="529" width="8.26953125" style="4" bestFit="1" customWidth="1"/>
    <col min="530" max="530" width="6.453125" style="4" bestFit="1" customWidth="1"/>
    <col min="531" max="531" width="10" style="4" bestFit="1" customWidth="1"/>
    <col min="532" max="532" width="29.7265625" style="4" bestFit="1" customWidth="1"/>
    <col min="533" max="533" width="17" style="4" bestFit="1" customWidth="1"/>
    <col min="534" max="744" width="9.1796875" style="4"/>
    <col min="745" max="745" width="8.26953125" style="4" customWidth="1"/>
    <col min="746" max="746" width="12.26953125" style="4" bestFit="1" customWidth="1"/>
    <col min="747" max="747" width="23.7265625" style="4" bestFit="1" customWidth="1"/>
    <col min="748" max="748" width="7.54296875" style="4" customWidth="1"/>
    <col min="749" max="749" width="12" style="4" customWidth="1"/>
    <col min="750" max="750" width="9.7265625" style="4" customWidth="1"/>
    <col min="751" max="751" width="23.7265625" style="4" customWidth="1"/>
    <col min="752" max="752" width="50.7265625" style="4" customWidth="1"/>
    <col min="753" max="753" width="11.453125" style="4" customWidth="1"/>
    <col min="754" max="754" width="12.54296875" style="4" customWidth="1"/>
    <col min="755" max="755" width="10.26953125" style="4" customWidth="1"/>
    <col min="756" max="756" width="9" style="4" customWidth="1"/>
    <col min="757" max="757" width="11.54296875" style="4" customWidth="1"/>
    <col min="758" max="758" width="9.453125" style="4" customWidth="1"/>
    <col min="759" max="759" width="10.7265625" style="4" customWidth="1"/>
    <col min="760" max="760" width="8.26953125" style="4" customWidth="1"/>
    <col min="761" max="761" width="9.26953125" style="4" customWidth="1"/>
    <col min="762" max="762" width="11.54296875" style="4" customWidth="1"/>
    <col min="763" max="764" width="9.26953125" style="4" bestFit="1" customWidth="1"/>
    <col min="765" max="765" width="9.7265625" style="4" customWidth="1"/>
    <col min="766" max="766" width="11.54296875" style="4" bestFit="1" customWidth="1"/>
    <col min="767" max="767" width="9.1796875" style="4"/>
    <col min="768" max="770" width="0" style="4" hidden="1" customWidth="1"/>
    <col min="771" max="777" width="9.1796875" style="4"/>
    <col min="778" max="778" width="10.54296875" style="4" bestFit="1" customWidth="1"/>
    <col min="779" max="779" width="9.1796875" style="4"/>
    <col min="780" max="780" width="12.26953125" style="4" bestFit="1" customWidth="1"/>
    <col min="781" max="781" width="9.1796875" style="4"/>
    <col min="782" max="783" width="0" style="4" hidden="1" customWidth="1"/>
    <col min="784" max="784" width="11" style="4" bestFit="1" customWidth="1"/>
    <col min="785" max="785" width="8.26953125" style="4" bestFit="1" customWidth="1"/>
    <col min="786" max="786" width="6.453125" style="4" bestFit="1" customWidth="1"/>
    <col min="787" max="787" width="10" style="4" bestFit="1" customWidth="1"/>
    <col min="788" max="788" width="29.7265625" style="4" bestFit="1" customWidth="1"/>
    <col min="789" max="789" width="17" style="4" bestFit="1" customWidth="1"/>
    <col min="790" max="1000" width="9.1796875" style="4"/>
    <col min="1001" max="1001" width="8.26953125" style="4" customWidth="1"/>
    <col min="1002" max="1002" width="12.26953125" style="4" bestFit="1" customWidth="1"/>
    <col min="1003" max="1003" width="23.7265625" style="4" bestFit="1" customWidth="1"/>
    <col min="1004" max="1004" width="7.54296875" style="4" customWidth="1"/>
    <col min="1005" max="1005" width="12" style="4" customWidth="1"/>
    <col min="1006" max="1006" width="9.7265625" style="4" customWidth="1"/>
    <col min="1007" max="1007" width="23.7265625" style="4" customWidth="1"/>
    <col min="1008" max="1008" width="50.7265625" style="4" customWidth="1"/>
    <col min="1009" max="1009" width="11.453125" style="4" customWidth="1"/>
    <col min="1010" max="1010" width="12.54296875" style="4" customWidth="1"/>
    <col min="1011" max="1011" width="10.26953125" style="4" customWidth="1"/>
    <col min="1012" max="1012" width="9" style="4" customWidth="1"/>
    <col min="1013" max="1013" width="11.54296875" style="4" customWidth="1"/>
    <col min="1014" max="1014" width="9.453125" style="4" customWidth="1"/>
    <col min="1015" max="1015" width="10.7265625" style="4" customWidth="1"/>
    <col min="1016" max="1016" width="8.26953125" style="4" customWidth="1"/>
    <col min="1017" max="1017" width="9.26953125" style="4" customWidth="1"/>
    <col min="1018" max="1018" width="11.54296875" style="4" customWidth="1"/>
    <col min="1019" max="1020" width="9.26953125" style="4" bestFit="1" customWidth="1"/>
    <col min="1021" max="1021" width="9.7265625" style="4" customWidth="1"/>
    <col min="1022" max="1022" width="11.54296875" style="4" bestFit="1" customWidth="1"/>
    <col min="1023" max="1023" width="9.1796875" style="4"/>
    <col min="1024" max="1026" width="0" style="4" hidden="1" customWidth="1"/>
    <col min="1027" max="1033" width="9.1796875" style="4"/>
    <col min="1034" max="1034" width="10.54296875" style="4" bestFit="1" customWidth="1"/>
    <col min="1035" max="1035" width="9.1796875" style="4"/>
    <col min="1036" max="1036" width="12.26953125" style="4" bestFit="1" customWidth="1"/>
    <col min="1037" max="1037" width="9.1796875" style="4"/>
    <col min="1038" max="1039" width="0" style="4" hidden="1" customWidth="1"/>
    <col min="1040" max="1040" width="11" style="4" bestFit="1" customWidth="1"/>
    <col min="1041" max="1041" width="8.26953125" style="4" bestFit="1" customWidth="1"/>
    <col min="1042" max="1042" width="6.453125" style="4" bestFit="1" customWidth="1"/>
    <col min="1043" max="1043" width="10" style="4" bestFit="1" customWidth="1"/>
    <col min="1044" max="1044" width="29.7265625" style="4" bestFit="1" customWidth="1"/>
    <col min="1045" max="1045" width="17" style="4" bestFit="1" customWidth="1"/>
    <col min="1046" max="1256" width="9.1796875" style="4"/>
    <col min="1257" max="1257" width="8.26953125" style="4" customWidth="1"/>
    <col min="1258" max="1258" width="12.26953125" style="4" bestFit="1" customWidth="1"/>
    <col min="1259" max="1259" width="23.7265625" style="4" bestFit="1" customWidth="1"/>
    <col min="1260" max="1260" width="7.54296875" style="4" customWidth="1"/>
    <col min="1261" max="1261" width="12" style="4" customWidth="1"/>
    <col min="1262" max="1262" width="9.7265625" style="4" customWidth="1"/>
    <col min="1263" max="1263" width="23.7265625" style="4" customWidth="1"/>
    <col min="1264" max="1264" width="50.7265625" style="4" customWidth="1"/>
    <col min="1265" max="1265" width="11.453125" style="4" customWidth="1"/>
    <col min="1266" max="1266" width="12.54296875" style="4" customWidth="1"/>
    <col min="1267" max="1267" width="10.26953125" style="4" customWidth="1"/>
    <col min="1268" max="1268" width="9" style="4" customWidth="1"/>
    <col min="1269" max="1269" width="11.54296875" style="4" customWidth="1"/>
    <col min="1270" max="1270" width="9.453125" style="4" customWidth="1"/>
    <col min="1271" max="1271" width="10.7265625" style="4" customWidth="1"/>
    <col min="1272" max="1272" width="8.26953125" style="4" customWidth="1"/>
    <col min="1273" max="1273" width="9.26953125" style="4" customWidth="1"/>
    <col min="1274" max="1274" width="11.54296875" style="4" customWidth="1"/>
    <col min="1275" max="1276" width="9.26953125" style="4" bestFit="1" customWidth="1"/>
    <col min="1277" max="1277" width="9.7265625" style="4" customWidth="1"/>
    <col min="1278" max="1278" width="11.54296875" style="4" bestFit="1" customWidth="1"/>
    <col min="1279" max="1279" width="9.1796875" style="4"/>
    <col min="1280" max="1282" width="0" style="4" hidden="1" customWidth="1"/>
    <col min="1283" max="1289" width="9.1796875" style="4"/>
    <col min="1290" max="1290" width="10.54296875" style="4" bestFit="1" customWidth="1"/>
    <col min="1291" max="1291" width="9.1796875" style="4"/>
    <col min="1292" max="1292" width="12.26953125" style="4" bestFit="1" customWidth="1"/>
    <col min="1293" max="1293" width="9.1796875" style="4"/>
    <col min="1294" max="1295" width="0" style="4" hidden="1" customWidth="1"/>
    <col min="1296" max="1296" width="11" style="4" bestFit="1" customWidth="1"/>
    <col min="1297" max="1297" width="8.26953125" style="4" bestFit="1" customWidth="1"/>
    <col min="1298" max="1298" width="6.453125" style="4" bestFit="1" customWidth="1"/>
    <col min="1299" max="1299" width="10" style="4" bestFit="1" customWidth="1"/>
    <col min="1300" max="1300" width="29.7265625" style="4" bestFit="1" customWidth="1"/>
    <col min="1301" max="1301" width="17" style="4" bestFit="1" customWidth="1"/>
    <col min="1302" max="1512" width="9.1796875" style="4"/>
    <col min="1513" max="1513" width="8.26953125" style="4" customWidth="1"/>
    <col min="1514" max="1514" width="12.26953125" style="4" bestFit="1" customWidth="1"/>
    <col min="1515" max="1515" width="23.7265625" style="4" bestFit="1" customWidth="1"/>
    <col min="1516" max="1516" width="7.54296875" style="4" customWidth="1"/>
    <col min="1517" max="1517" width="12" style="4" customWidth="1"/>
    <col min="1518" max="1518" width="9.7265625" style="4" customWidth="1"/>
    <col min="1519" max="1519" width="23.7265625" style="4" customWidth="1"/>
    <col min="1520" max="1520" width="50.7265625" style="4" customWidth="1"/>
    <col min="1521" max="1521" width="11.453125" style="4" customWidth="1"/>
    <col min="1522" max="1522" width="12.54296875" style="4" customWidth="1"/>
    <col min="1523" max="1523" width="10.26953125" style="4" customWidth="1"/>
    <col min="1524" max="1524" width="9" style="4" customWidth="1"/>
    <col min="1525" max="1525" width="11.54296875" style="4" customWidth="1"/>
    <col min="1526" max="1526" width="9.453125" style="4" customWidth="1"/>
    <col min="1527" max="1527" width="10.7265625" style="4" customWidth="1"/>
    <col min="1528" max="1528" width="8.26953125" style="4" customWidth="1"/>
    <col min="1529" max="1529" width="9.26953125" style="4" customWidth="1"/>
    <col min="1530" max="1530" width="11.54296875" style="4" customWidth="1"/>
    <col min="1531" max="1532" width="9.26953125" style="4" bestFit="1" customWidth="1"/>
    <col min="1533" max="1533" width="9.7265625" style="4" customWidth="1"/>
    <col min="1534" max="1534" width="11.54296875" style="4" bestFit="1" customWidth="1"/>
    <col min="1535" max="1535" width="9.1796875" style="4"/>
    <col min="1536" max="1538" width="0" style="4" hidden="1" customWidth="1"/>
    <col min="1539" max="1545" width="9.1796875" style="4"/>
    <col min="1546" max="1546" width="10.54296875" style="4" bestFit="1" customWidth="1"/>
    <col min="1547" max="1547" width="9.1796875" style="4"/>
    <col min="1548" max="1548" width="12.26953125" style="4" bestFit="1" customWidth="1"/>
    <col min="1549" max="1549" width="9.1796875" style="4"/>
    <col min="1550" max="1551" width="0" style="4" hidden="1" customWidth="1"/>
    <col min="1552" max="1552" width="11" style="4" bestFit="1" customWidth="1"/>
    <col min="1553" max="1553" width="8.26953125" style="4" bestFit="1" customWidth="1"/>
    <col min="1554" max="1554" width="6.453125" style="4" bestFit="1" customWidth="1"/>
    <col min="1555" max="1555" width="10" style="4" bestFit="1" customWidth="1"/>
    <col min="1556" max="1556" width="29.7265625" style="4" bestFit="1" customWidth="1"/>
    <col min="1557" max="1557" width="17" style="4" bestFit="1" customWidth="1"/>
    <col min="1558" max="1768" width="9.1796875" style="4"/>
    <col min="1769" max="1769" width="8.26953125" style="4" customWidth="1"/>
    <col min="1770" max="1770" width="12.26953125" style="4" bestFit="1" customWidth="1"/>
    <col min="1771" max="1771" width="23.7265625" style="4" bestFit="1" customWidth="1"/>
    <col min="1772" max="1772" width="7.54296875" style="4" customWidth="1"/>
    <col min="1773" max="1773" width="12" style="4" customWidth="1"/>
    <col min="1774" max="1774" width="9.7265625" style="4" customWidth="1"/>
    <col min="1775" max="1775" width="23.7265625" style="4" customWidth="1"/>
    <col min="1776" max="1776" width="50.7265625" style="4" customWidth="1"/>
    <col min="1777" max="1777" width="11.453125" style="4" customWidth="1"/>
    <col min="1778" max="1778" width="12.54296875" style="4" customWidth="1"/>
    <col min="1779" max="1779" width="10.26953125" style="4" customWidth="1"/>
    <col min="1780" max="1780" width="9" style="4" customWidth="1"/>
    <col min="1781" max="1781" width="11.54296875" style="4" customWidth="1"/>
    <col min="1782" max="1782" width="9.453125" style="4" customWidth="1"/>
    <col min="1783" max="1783" width="10.7265625" style="4" customWidth="1"/>
    <col min="1784" max="1784" width="8.26953125" style="4" customWidth="1"/>
    <col min="1785" max="1785" width="9.26953125" style="4" customWidth="1"/>
    <col min="1786" max="1786" width="11.54296875" style="4" customWidth="1"/>
    <col min="1787" max="1788" width="9.26953125" style="4" bestFit="1" customWidth="1"/>
    <col min="1789" max="1789" width="9.7265625" style="4" customWidth="1"/>
    <col min="1790" max="1790" width="11.54296875" style="4" bestFit="1" customWidth="1"/>
    <col min="1791" max="1791" width="9.1796875" style="4"/>
    <col min="1792" max="1794" width="0" style="4" hidden="1" customWidth="1"/>
    <col min="1795" max="1801" width="9.1796875" style="4"/>
    <col min="1802" max="1802" width="10.54296875" style="4" bestFit="1" customWidth="1"/>
    <col min="1803" max="1803" width="9.1796875" style="4"/>
    <col min="1804" max="1804" width="12.26953125" style="4" bestFit="1" customWidth="1"/>
    <col min="1805" max="1805" width="9.1796875" style="4"/>
    <col min="1806" max="1807" width="0" style="4" hidden="1" customWidth="1"/>
    <col min="1808" max="1808" width="11" style="4" bestFit="1" customWidth="1"/>
    <col min="1809" max="1809" width="8.26953125" style="4" bestFit="1" customWidth="1"/>
    <col min="1810" max="1810" width="6.453125" style="4" bestFit="1" customWidth="1"/>
    <col min="1811" max="1811" width="10" style="4" bestFit="1" customWidth="1"/>
    <col min="1812" max="1812" width="29.7265625" style="4" bestFit="1" customWidth="1"/>
    <col min="1813" max="1813" width="17" style="4" bestFit="1" customWidth="1"/>
    <col min="1814" max="2024" width="9.1796875" style="4"/>
    <col min="2025" max="2025" width="8.26953125" style="4" customWidth="1"/>
    <col min="2026" max="2026" width="12.26953125" style="4" bestFit="1" customWidth="1"/>
    <col min="2027" max="2027" width="23.7265625" style="4" bestFit="1" customWidth="1"/>
    <col min="2028" max="2028" width="7.54296875" style="4" customWidth="1"/>
    <col min="2029" max="2029" width="12" style="4" customWidth="1"/>
    <col min="2030" max="2030" width="9.7265625" style="4" customWidth="1"/>
    <col min="2031" max="2031" width="23.7265625" style="4" customWidth="1"/>
    <col min="2032" max="2032" width="50.7265625" style="4" customWidth="1"/>
    <col min="2033" max="2033" width="11.453125" style="4" customWidth="1"/>
    <col min="2034" max="2034" width="12.54296875" style="4" customWidth="1"/>
    <col min="2035" max="2035" width="10.26953125" style="4" customWidth="1"/>
    <col min="2036" max="2036" width="9" style="4" customWidth="1"/>
    <col min="2037" max="2037" width="11.54296875" style="4" customWidth="1"/>
    <col min="2038" max="2038" width="9.453125" style="4" customWidth="1"/>
    <col min="2039" max="2039" width="10.7265625" style="4" customWidth="1"/>
    <col min="2040" max="2040" width="8.26953125" style="4" customWidth="1"/>
    <col min="2041" max="2041" width="9.26953125" style="4" customWidth="1"/>
    <col min="2042" max="2042" width="11.54296875" style="4" customWidth="1"/>
    <col min="2043" max="2044" width="9.26953125" style="4" bestFit="1" customWidth="1"/>
    <col min="2045" max="2045" width="9.7265625" style="4" customWidth="1"/>
    <col min="2046" max="2046" width="11.54296875" style="4" bestFit="1" customWidth="1"/>
    <col min="2047" max="2047" width="9.1796875" style="4"/>
    <col min="2048" max="2050" width="0" style="4" hidden="1" customWidth="1"/>
    <col min="2051" max="2057" width="9.1796875" style="4"/>
    <col min="2058" max="2058" width="10.54296875" style="4" bestFit="1" customWidth="1"/>
    <col min="2059" max="2059" width="9.1796875" style="4"/>
    <col min="2060" max="2060" width="12.26953125" style="4" bestFit="1" customWidth="1"/>
    <col min="2061" max="2061" width="9.1796875" style="4"/>
    <col min="2062" max="2063" width="0" style="4" hidden="1" customWidth="1"/>
    <col min="2064" max="2064" width="11" style="4" bestFit="1" customWidth="1"/>
    <col min="2065" max="2065" width="8.26953125" style="4" bestFit="1" customWidth="1"/>
    <col min="2066" max="2066" width="6.453125" style="4" bestFit="1" customWidth="1"/>
    <col min="2067" max="2067" width="10" style="4" bestFit="1" customWidth="1"/>
    <col min="2068" max="2068" width="29.7265625" style="4" bestFit="1" customWidth="1"/>
    <col min="2069" max="2069" width="17" style="4" bestFit="1" customWidth="1"/>
    <col min="2070" max="2280" width="9.1796875" style="4"/>
    <col min="2281" max="2281" width="8.26953125" style="4" customWidth="1"/>
    <col min="2282" max="2282" width="12.26953125" style="4" bestFit="1" customWidth="1"/>
    <col min="2283" max="2283" width="23.7265625" style="4" bestFit="1" customWidth="1"/>
    <col min="2284" max="2284" width="7.54296875" style="4" customWidth="1"/>
    <col min="2285" max="2285" width="12" style="4" customWidth="1"/>
    <col min="2286" max="2286" width="9.7265625" style="4" customWidth="1"/>
    <col min="2287" max="2287" width="23.7265625" style="4" customWidth="1"/>
    <col min="2288" max="2288" width="50.7265625" style="4" customWidth="1"/>
    <col min="2289" max="2289" width="11.453125" style="4" customWidth="1"/>
    <col min="2290" max="2290" width="12.54296875" style="4" customWidth="1"/>
    <col min="2291" max="2291" width="10.26953125" style="4" customWidth="1"/>
    <col min="2292" max="2292" width="9" style="4" customWidth="1"/>
    <col min="2293" max="2293" width="11.54296875" style="4" customWidth="1"/>
    <col min="2294" max="2294" width="9.453125" style="4" customWidth="1"/>
    <col min="2295" max="2295" width="10.7265625" style="4" customWidth="1"/>
    <col min="2296" max="2296" width="8.26953125" style="4" customWidth="1"/>
    <col min="2297" max="2297" width="9.26953125" style="4" customWidth="1"/>
    <col min="2298" max="2298" width="11.54296875" style="4" customWidth="1"/>
    <col min="2299" max="2300" width="9.26953125" style="4" bestFit="1" customWidth="1"/>
    <col min="2301" max="2301" width="9.7265625" style="4" customWidth="1"/>
    <col min="2302" max="2302" width="11.54296875" style="4" bestFit="1" customWidth="1"/>
    <col min="2303" max="2303" width="9.1796875" style="4"/>
    <col min="2304" max="2306" width="0" style="4" hidden="1" customWidth="1"/>
    <col min="2307" max="2313" width="9.1796875" style="4"/>
    <col min="2314" max="2314" width="10.54296875" style="4" bestFit="1" customWidth="1"/>
    <col min="2315" max="2315" width="9.1796875" style="4"/>
    <col min="2316" max="2316" width="12.26953125" style="4" bestFit="1" customWidth="1"/>
    <col min="2317" max="2317" width="9.1796875" style="4"/>
    <col min="2318" max="2319" width="0" style="4" hidden="1" customWidth="1"/>
    <col min="2320" max="2320" width="11" style="4" bestFit="1" customWidth="1"/>
    <col min="2321" max="2321" width="8.26953125" style="4" bestFit="1" customWidth="1"/>
    <col min="2322" max="2322" width="6.453125" style="4" bestFit="1" customWidth="1"/>
    <col min="2323" max="2323" width="10" style="4" bestFit="1" customWidth="1"/>
    <col min="2324" max="2324" width="29.7265625" style="4" bestFit="1" customWidth="1"/>
    <col min="2325" max="2325" width="17" style="4" bestFit="1" customWidth="1"/>
    <col min="2326" max="2536" width="9.1796875" style="4"/>
    <col min="2537" max="2537" width="8.26953125" style="4" customWidth="1"/>
    <col min="2538" max="2538" width="12.26953125" style="4" bestFit="1" customWidth="1"/>
    <col min="2539" max="2539" width="23.7265625" style="4" bestFit="1" customWidth="1"/>
    <col min="2540" max="2540" width="7.54296875" style="4" customWidth="1"/>
    <col min="2541" max="2541" width="12" style="4" customWidth="1"/>
    <col min="2542" max="2542" width="9.7265625" style="4" customWidth="1"/>
    <col min="2543" max="2543" width="23.7265625" style="4" customWidth="1"/>
    <col min="2544" max="2544" width="50.7265625" style="4" customWidth="1"/>
    <col min="2545" max="2545" width="11.453125" style="4" customWidth="1"/>
    <col min="2546" max="2546" width="12.54296875" style="4" customWidth="1"/>
    <col min="2547" max="2547" width="10.26953125" style="4" customWidth="1"/>
    <col min="2548" max="2548" width="9" style="4" customWidth="1"/>
    <col min="2549" max="2549" width="11.54296875" style="4" customWidth="1"/>
    <col min="2550" max="2550" width="9.453125" style="4" customWidth="1"/>
    <col min="2551" max="2551" width="10.7265625" style="4" customWidth="1"/>
    <col min="2552" max="2552" width="8.26953125" style="4" customWidth="1"/>
    <col min="2553" max="2553" width="9.26953125" style="4" customWidth="1"/>
    <col min="2554" max="2554" width="11.54296875" style="4" customWidth="1"/>
    <col min="2555" max="2556" width="9.26953125" style="4" bestFit="1" customWidth="1"/>
    <col min="2557" max="2557" width="9.7265625" style="4" customWidth="1"/>
    <col min="2558" max="2558" width="11.54296875" style="4" bestFit="1" customWidth="1"/>
    <col min="2559" max="2559" width="9.1796875" style="4"/>
    <col min="2560" max="2562" width="0" style="4" hidden="1" customWidth="1"/>
    <col min="2563" max="2569" width="9.1796875" style="4"/>
    <col min="2570" max="2570" width="10.54296875" style="4" bestFit="1" customWidth="1"/>
    <col min="2571" max="2571" width="9.1796875" style="4"/>
    <col min="2572" max="2572" width="12.26953125" style="4" bestFit="1" customWidth="1"/>
    <col min="2573" max="2573" width="9.1796875" style="4"/>
    <col min="2574" max="2575" width="0" style="4" hidden="1" customWidth="1"/>
    <col min="2576" max="2576" width="11" style="4" bestFit="1" customWidth="1"/>
    <col min="2577" max="2577" width="8.26953125" style="4" bestFit="1" customWidth="1"/>
    <col min="2578" max="2578" width="6.453125" style="4" bestFit="1" customWidth="1"/>
    <col min="2579" max="2579" width="10" style="4" bestFit="1" customWidth="1"/>
    <col min="2580" max="2580" width="29.7265625" style="4" bestFit="1" customWidth="1"/>
    <col min="2581" max="2581" width="17" style="4" bestFit="1" customWidth="1"/>
    <col min="2582" max="2792" width="9.1796875" style="4"/>
    <col min="2793" max="2793" width="8.26953125" style="4" customWidth="1"/>
    <col min="2794" max="2794" width="12.26953125" style="4" bestFit="1" customWidth="1"/>
    <col min="2795" max="2795" width="23.7265625" style="4" bestFit="1" customWidth="1"/>
    <col min="2796" max="2796" width="7.54296875" style="4" customWidth="1"/>
    <col min="2797" max="2797" width="12" style="4" customWidth="1"/>
    <col min="2798" max="2798" width="9.7265625" style="4" customWidth="1"/>
    <col min="2799" max="2799" width="23.7265625" style="4" customWidth="1"/>
    <col min="2800" max="2800" width="50.7265625" style="4" customWidth="1"/>
    <col min="2801" max="2801" width="11.453125" style="4" customWidth="1"/>
    <col min="2802" max="2802" width="12.54296875" style="4" customWidth="1"/>
    <col min="2803" max="2803" width="10.26953125" style="4" customWidth="1"/>
    <col min="2804" max="2804" width="9" style="4" customWidth="1"/>
    <col min="2805" max="2805" width="11.54296875" style="4" customWidth="1"/>
    <col min="2806" max="2806" width="9.453125" style="4" customWidth="1"/>
    <col min="2807" max="2807" width="10.7265625" style="4" customWidth="1"/>
    <col min="2808" max="2808" width="8.26953125" style="4" customWidth="1"/>
    <col min="2809" max="2809" width="9.26953125" style="4" customWidth="1"/>
    <col min="2810" max="2810" width="11.54296875" style="4" customWidth="1"/>
    <col min="2811" max="2812" width="9.26953125" style="4" bestFit="1" customWidth="1"/>
    <col min="2813" max="2813" width="9.7265625" style="4" customWidth="1"/>
    <col min="2814" max="2814" width="11.54296875" style="4" bestFit="1" customWidth="1"/>
    <col min="2815" max="2815" width="9.1796875" style="4"/>
    <col min="2816" max="2818" width="0" style="4" hidden="1" customWidth="1"/>
    <col min="2819" max="2825" width="9.1796875" style="4"/>
    <col min="2826" max="2826" width="10.54296875" style="4" bestFit="1" customWidth="1"/>
    <col min="2827" max="2827" width="9.1796875" style="4"/>
    <col min="2828" max="2828" width="12.26953125" style="4" bestFit="1" customWidth="1"/>
    <col min="2829" max="2829" width="9.1796875" style="4"/>
    <col min="2830" max="2831" width="0" style="4" hidden="1" customWidth="1"/>
    <col min="2832" max="2832" width="11" style="4" bestFit="1" customWidth="1"/>
    <col min="2833" max="2833" width="8.26953125" style="4" bestFit="1" customWidth="1"/>
    <col min="2834" max="2834" width="6.453125" style="4" bestFit="1" customWidth="1"/>
    <col min="2835" max="2835" width="10" style="4" bestFit="1" customWidth="1"/>
    <col min="2836" max="2836" width="29.7265625" style="4" bestFit="1" customWidth="1"/>
    <col min="2837" max="2837" width="17" style="4" bestFit="1" customWidth="1"/>
    <col min="2838" max="3048" width="9.1796875" style="4"/>
    <col min="3049" max="3049" width="8.26953125" style="4" customWidth="1"/>
    <col min="3050" max="3050" width="12.26953125" style="4" bestFit="1" customWidth="1"/>
    <col min="3051" max="3051" width="23.7265625" style="4" bestFit="1" customWidth="1"/>
    <col min="3052" max="3052" width="7.54296875" style="4" customWidth="1"/>
    <col min="3053" max="3053" width="12" style="4" customWidth="1"/>
    <col min="3054" max="3054" width="9.7265625" style="4" customWidth="1"/>
    <col min="3055" max="3055" width="23.7265625" style="4" customWidth="1"/>
    <col min="3056" max="3056" width="50.7265625" style="4" customWidth="1"/>
    <col min="3057" max="3057" width="11.453125" style="4" customWidth="1"/>
    <col min="3058" max="3058" width="12.54296875" style="4" customWidth="1"/>
    <col min="3059" max="3059" width="10.26953125" style="4" customWidth="1"/>
    <col min="3060" max="3060" width="9" style="4" customWidth="1"/>
    <col min="3061" max="3061" width="11.54296875" style="4" customWidth="1"/>
    <col min="3062" max="3062" width="9.453125" style="4" customWidth="1"/>
    <col min="3063" max="3063" width="10.7265625" style="4" customWidth="1"/>
    <col min="3064" max="3064" width="8.26953125" style="4" customWidth="1"/>
    <col min="3065" max="3065" width="9.26953125" style="4" customWidth="1"/>
    <col min="3066" max="3066" width="11.54296875" style="4" customWidth="1"/>
    <col min="3067" max="3068" width="9.26953125" style="4" bestFit="1" customWidth="1"/>
    <col min="3069" max="3069" width="9.7265625" style="4" customWidth="1"/>
    <col min="3070" max="3070" width="11.54296875" style="4" bestFit="1" customWidth="1"/>
    <col min="3071" max="3071" width="9.1796875" style="4"/>
    <col min="3072" max="3074" width="0" style="4" hidden="1" customWidth="1"/>
    <col min="3075" max="3081" width="9.1796875" style="4"/>
    <col min="3082" max="3082" width="10.54296875" style="4" bestFit="1" customWidth="1"/>
    <col min="3083" max="3083" width="9.1796875" style="4"/>
    <col min="3084" max="3084" width="12.26953125" style="4" bestFit="1" customWidth="1"/>
    <col min="3085" max="3085" width="9.1796875" style="4"/>
    <col min="3086" max="3087" width="0" style="4" hidden="1" customWidth="1"/>
    <col min="3088" max="3088" width="11" style="4" bestFit="1" customWidth="1"/>
    <col min="3089" max="3089" width="8.26953125" style="4" bestFit="1" customWidth="1"/>
    <col min="3090" max="3090" width="6.453125" style="4" bestFit="1" customWidth="1"/>
    <col min="3091" max="3091" width="10" style="4" bestFit="1" customWidth="1"/>
    <col min="3092" max="3092" width="29.7265625" style="4" bestFit="1" customWidth="1"/>
    <col min="3093" max="3093" width="17" style="4" bestFit="1" customWidth="1"/>
    <col min="3094" max="3304" width="9.1796875" style="4"/>
    <col min="3305" max="3305" width="8.26953125" style="4" customWidth="1"/>
    <col min="3306" max="3306" width="12.26953125" style="4" bestFit="1" customWidth="1"/>
    <col min="3307" max="3307" width="23.7265625" style="4" bestFit="1" customWidth="1"/>
    <col min="3308" max="3308" width="7.54296875" style="4" customWidth="1"/>
    <col min="3309" max="3309" width="12" style="4" customWidth="1"/>
    <col min="3310" max="3310" width="9.7265625" style="4" customWidth="1"/>
    <col min="3311" max="3311" width="23.7265625" style="4" customWidth="1"/>
    <col min="3312" max="3312" width="50.7265625" style="4" customWidth="1"/>
    <col min="3313" max="3313" width="11.453125" style="4" customWidth="1"/>
    <col min="3314" max="3314" width="12.54296875" style="4" customWidth="1"/>
    <col min="3315" max="3315" width="10.26953125" style="4" customWidth="1"/>
    <col min="3316" max="3316" width="9" style="4" customWidth="1"/>
    <col min="3317" max="3317" width="11.54296875" style="4" customWidth="1"/>
    <col min="3318" max="3318" width="9.453125" style="4" customWidth="1"/>
    <col min="3319" max="3319" width="10.7265625" style="4" customWidth="1"/>
    <col min="3320" max="3320" width="8.26953125" style="4" customWidth="1"/>
    <col min="3321" max="3321" width="9.26953125" style="4" customWidth="1"/>
    <col min="3322" max="3322" width="11.54296875" style="4" customWidth="1"/>
    <col min="3323" max="3324" width="9.26953125" style="4" bestFit="1" customWidth="1"/>
    <col min="3325" max="3325" width="9.7265625" style="4" customWidth="1"/>
    <col min="3326" max="3326" width="11.54296875" style="4" bestFit="1" customWidth="1"/>
    <col min="3327" max="3327" width="9.1796875" style="4"/>
    <col min="3328" max="3330" width="0" style="4" hidden="1" customWidth="1"/>
    <col min="3331" max="3337" width="9.1796875" style="4"/>
    <col min="3338" max="3338" width="10.54296875" style="4" bestFit="1" customWidth="1"/>
    <col min="3339" max="3339" width="9.1796875" style="4"/>
    <col min="3340" max="3340" width="12.26953125" style="4" bestFit="1" customWidth="1"/>
    <col min="3341" max="3341" width="9.1796875" style="4"/>
    <col min="3342" max="3343" width="0" style="4" hidden="1" customWidth="1"/>
    <col min="3344" max="3344" width="11" style="4" bestFit="1" customWidth="1"/>
    <col min="3345" max="3345" width="8.26953125" style="4" bestFit="1" customWidth="1"/>
    <col min="3346" max="3346" width="6.453125" style="4" bestFit="1" customWidth="1"/>
    <col min="3347" max="3347" width="10" style="4" bestFit="1" customWidth="1"/>
    <col min="3348" max="3348" width="29.7265625" style="4" bestFit="1" customWidth="1"/>
    <col min="3349" max="3349" width="17" style="4" bestFit="1" customWidth="1"/>
    <col min="3350" max="3560" width="9.1796875" style="4"/>
    <col min="3561" max="3561" width="8.26953125" style="4" customWidth="1"/>
    <col min="3562" max="3562" width="12.26953125" style="4" bestFit="1" customWidth="1"/>
    <col min="3563" max="3563" width="23.7265625" style="4" bestFit="1" customWidth="1"/>
    <col min="3564" max="3564" width="7.54296875" style="4" customWidth="1"/>
    <col min="3565" max="3565" width="12" style="4" customWidth="1"/>
    <col min="3566" max="3566" width="9.7265625" style="4" customWidth="1"/>
    <col min="3567" max="3567" width="23.7265625" style="4" customWidth="1"/>
    <col min="3568" max="3568" width="50.7265625" style="4" customWidth="1"/>
    <col min="3569" max="3569" width="11.453125" style="4" customWidth="1"/>
    <col min="3570" max="3570" width="12.54296875" style="4" customWidth="1"/>
    <col min="3571" max="3571" width="10.26953125" style="4" customWidth="1"/>
    <col min="3572" max="3572" width="9" style="4" customWidth="1"/>
    <col min="3573" max="3573" width="11.54296875" style="4" customWidth="1"/>
    <col min="3574" max="3574" width="9.453125" style="4" customWidth="1"/>
    <col min="3575" max="3575" width="10.7265625" style="4" customWidth="1"/>
    <col min="3576" max="3576" width="8.26953125" style="4" customWidth="1"/>
    <col min="3577" max="3577" width="9.26953125" style="4" customWidth="1"/>
    <col min="3578" max="3578" width="11.54296875" style="4" customWidth="1"/>
    <col min="3579" max="3580" width="9.26953125" style="4" bestFit="1" customWidth="1"/>
    <col min="3581" max="3581" width="9.7265625" style="4" customWidth="1"/>
    <col min="3582" max="3582" width="11.54296875" style="4" bestFit="1" customWidth="1"/>
    <col min="3583" max="3583" width="9.1796875" style="4"/>
    <col min="3584" max="3586" width="0" style="4" hidden="1" customWidth="1"/>
    <col min="3587" max="3593" width="9.1796875" style="4"/>
    <col min="3594" max="3594" width="10.54296875" style="4" bestFit="1" customWidth="1"/>
    <col min="3595" max="3595" width="9.1796875" style="4"/>
    <col min="3596" max="3596" width="12.26953125" style="4" bestFit="1" customWidth="1"/>
    <col min="3597" max="3597" width="9.1796875" style="4"/>
    <col min="3598" max="3599" width="0" style="4" hidden="1" customWidth="1"/>
    <col min="3600" max="3600" width="11" style="4" bestFit="1" customWidth="1"/>
    <col min="3601" max="3601" width="8.26953125" style="4" bestFit="1" customWidth="1"/>
    <col min="3602" max="3602" width="6.453125" style="4" bestFit="1" customWidth="1"/>
    <col min="3603" max="3603" width="10" style="4" bestFit="1" customWidth="1"/>
    <col min="3604" max="3604" width="29.7265625" style="4" bestFit="1" customWidth="1"/>
    <col min="3605" max="3605" width="17" style="4" bestFit="1" customWidth="1"/>
    <col min="3606" max="3816" width="9.1796875" style="4"/>
    <col min="3817" max="3817" width="8.26953125" style="4" customWidth="1"/>
    <col min="3818" max="3818" width="12.26953125" style="4" bestFit="1" customWidth="1"/>
    <col min="3819" max="3819" width="23.7265625" style="4" bestFit="1" customWidth="1"/>
    <col min="3820" max="3820" width="7.54296875" style="4" customWidth="1"/>
    <col min="3821" max="3821" width="12" style="4" customWidth="1"/>
    <col min="3822" max="3822" width="9.7265625" style="4" customWidth="1"/>
    <col min="3823" max="3823" width="23.7265625" style="4" customWidth="1"/>
    <col min="3824" max="3824" width="50.7265625" style="4" customWidth="1"/>
    <col min="3825" max="3825" width="11.453125" style="4" customWidth="1"/>
    <col min="3826" max="3826" width="12.54296875" style="4" customWidth="1"/>
    <col min="3827" max="3827" width="10.26953125" style="4" customWidth="1"/>
    <col min="3828" max="3828" width="9" style="4" customWidth="1"/>
    <col min="3829" max="3829" width="11.54296875" style="4" customWidth="1"/>
    <col min="3830" max="3830" width="9.453125" style="4" customWidth="1"/>
    <col min="3831" max="3831" width="10.7265625" style="4" customWidth="1"/>
    <col min="3832" max="3832" width="8.26953125" style="4" customWidth="1"/>
    <col min="3833" max="3833" width="9.26953125" style="4" customWidth="1"/>
    <col min="3834" max="3834" width="11.54296875" style="4" customWidth="1"/>
    <col min="3835" max="3836" width="9.26953125" style="4" bestFit="1" customWidth="1"/>
    <col min="3837" max="3837" width="9.7265625" style="4" customWidth="1"/>
    <col min="3838" max="3838" width="11.54296875" style="4" bestFit="1" customWidth="1"/>
    <col min="3839" max="3839" width="9.1796875" style="4"/>
    <col min="3840" max="3842" width="0" style="4" hidden="1" customWidth="1"/>
    <col min="3843" max="3849" width="9.1796875" style="4"/>
    <col min="3850" max="3850" width="10.54296875" style="4" bestFit="1" customWidth="1"/>
    <col min="3851" max="3851" width="9.1796875" style="4"/>
    <col min="3852" max="3852" width="12.26953125" style="4" bestFit="1" customWidth="1"/>
    <col min="3853" max="3853" width="9.1796875" style="4"/>
    <col min="3854" max="3855" width="0" style="4" hidden="1" customWidth="1"/>
    <col min="3856" max="3856" width="11" style="4" bestFit="1" customWidth="1"/>
    <col min="3857" max="3857" width="8.26953125" style="4" bestFit="1" customWidth="1"/>
    <col min="3858" max="3858" width="6.453125" style="4" bestFit="1" customWidth="1"/>
    <col min="3859" max="3859" width="10" style="4" bestFit="1" customWidth="1"/>
    <col min="3860" max="3860" width="29.7265625" style="4" bestFit="1" customWidth="1"/>
    <col min="3861" max="3861" width="17" style="4" bestFit="1" customWidth="1"/>
    <col min="3862" max="4072" width="9.1796875" style="4"/>
    <col min="4073" max="4073" width="8.26953125" style="4" customWidth="1"/>
    <col min="4074" max="4074" width="12.26953125" style="4" bestFit="1" customWidth="1"/>
    <col min="4075" max="4075" width="23.7265625" style="4" bestFit="1" customWidth="1"/>
    <col min="4076" max="4076" width="7.54296875" style="4" customWidth="1"/>
    <col min="4077" max="4077" width="12" style="4" customWidth="1"/>
    <col min="4078" max="4078" width="9.7265625" style="4" customWidth="1"/>
    <col min="4079" max="4079" width="23.7265625" style="4" customWidth="1"/>
    <col min="4080" max="4080" width="50.7265625" style="4" customWidth="1"/>
    <col min="4081" max="4081" width="11.453125" style="4" customWidth="1"/>
    <col min="4082" max="4082" width="12.54296875" style="4" customWidth="1"/>
    <col min="4083" max="4083" width="10.26953125" style="4" customWidth="1"/>
    <col min="4084" max="4084" width="9" style="4" customWidth="1"/>
    <col min="4085" max="4085" width="11.54296875" style="4" customWidth="1"/>
    <col min="4086" max="4086" width="9.453125" style="4" customWidth="1"/>
    <col min="4087" max="4087" width="10.7265625" style="4" customWidth="1"/>
    <col min="4088" max="4088" width="8.26953125" style="4" customWidth="1"/>
    <col min="4089" max="4089" width="9.26953125" style="4" customWidth="1"/>
    <col min="4090" max="4090" width="11.54296875" style="4" customWidth="1"/>
    <col min="4091" max="4092" width="9.26953125" style="4" bestFit="1" customWidth="1"/>
    <col min="4093" max="4093" width="9.7265625" style="4" customWidth="1"/>
    <col min="4094" max="4094" width="11.54296875" style="4" bestFit="1" customWidth="1"/>
    <col min="4095" max="4095" width="9.1796875" style="4"/>
    <col min="4096" max="4098" width="0" style="4" hidden="1" customWidth="1"/>
    <col min="4099" max="4105" width="9.1796875" style="4"/>
    <col min="4106" max="4106" width="10.54296875" style="4" bestFit="1" customWidth="1"/>
    <col min="4107" max="4107" width="9.1796875" style="4"/>
    <col min="4108" max="4108" width="12.26953125" style="4" bestFit="1" customWidth="1"/>
    <col min="4109" max="4109" width="9.1796875" style="4"/>
    <col min="4110" max="4111" width="0" style="4" hidden="1" customWidth="1"/>
    <col min="4112" max="4112" width="11" style="4" bestFit="1" customWidth="1"/>
    <col min="4113" max="4113" width="8.26953125" style="4" bestFit="1" customWidth="1"/>
    <col min="4114" max="4114" width="6.453125" style="4" bestFit="1" customWidth="1"/>
    <col min="4115" max="4115" width="10" style="4" bestFit="1" customWidth="1"/>
    <col min="4116" max="4116" width="29.7265625" style="4" bestFit="1" customWidth="1"/>
    <col min="4117" max="4117" width="17" style="4" bestFit="1" customWidth="1"/>
    <col min="4118" max="4328" width="9.1796875" style="4"/>
    <col min="4329" max="4329" width="8.26953125" style="4" customWidth="1"/>
    <col min="4330" max="4330" width="12.26953125" style="4" bestFit="1" customWidth="1"/>
    <col min="4331" max="4331" width="23.7265625" style="4" bestFit="1" customWidth="1"/>
    <col min="4332" max="4332" width="7.54296875" style="4" customWidth="1"/>
    <col min="4333" max="4333" width="12" style="4" customWidth="1"/>
    <col min="4334" max="4334" width="9.7265625" style="4" customWidth="1"/>
    <col min="4335" max="4335" width="23.7265625" style="4" customWidth="1"/>
    <col min="4336" max="4336" width="50.7265625" style="4" customWidth="1"/>
    <col min="4337" max="4337" width="11.453125" style="4" customWidth="1"/>
    <col min="4338" max="4338" width="12.54296875" style="4" customWidth="1"/>
    <col min="4339" max="4339" width="10.26953125" style="4" customWidth="1"/>
    <col min="4340" max="4340" width="9" style="4" customWidth="1"/>
    <col min="4341" max="4341" width="11.54296875" style="4" customWidth="1"/>
    <col min="4342" max="4342" width="9.453125" style="4" customWidth="1"/>
    <col min="4343" max="4343" width="10.7265625" style="4" customWidth="1"/>
    <col min="4344" max="4344" width="8.26953125" style="4" customWidth="1"/>
    <col min="4345" max="4345" width="9.26953125" style="4" customWidth="1"/>
    <col min="4346" max="4346" width="11.54296875" style="4" customWidth="1"/>
    <col min="4347" max="4348" width="9.26953125" style="4" bestFit="1" customWidth="1"/>
    <col min="4349" max="4349" width="9.7265625" style="4" customWidth="1"/>
    <col min="4350" max="4350" width="11.54296875" style="4" bestFit="1" customWidth="1"/>
    <col min="4351" max="4351" width="9.1796875" style="4"/>
    <col min="4352" max="4354" width="0" style="4" hidden="1" customWidth="1"/>
    <col min="4355" max="4361" width="9.1796875" style="4"/>
    <col min="4362" max="4362" width="10.54296875" style="4" bestFit="1" customWidth="1"/>
    <col min="4363" max="4363" width="9.1796875" style="4"/>
    <col min="4364" max="4364" width="12.26953125" style="4" bestFit="1" customWidth="1"/>
    <col min="4365" max="4365" width="9.1796875" style="4"/>
    <col min="4366" max="4367" width="0" style="4" hidden="1" customWidth="1"/>
    <col min="4368" max="4368" width="11" style="4" bestFit="1" customWidth="1"/>
    <col min="4369" max="4369" width="8.26953125" style="4" bestFit="1" customWidth="1"/>
    <col min="4370" max="4370" width="6.453125" style="4" bestFit="1" customWidth="1"/>
    <col min="4371" max="4371" width="10" style="4" bestFit="1" customWidth="1"/>
    <col min="4372" max="4372" width="29.7265625" style="4" bestFit="1" customWidth="1"/>
    <col min="4373" max="4373" width="17" style="4" bestFit="1" customWidth="1"/>
    <col min="4374" max="4584" width="9.1796875" style="4"/>
    <col min="4585" max="4585" width="8.26953125" style="4" customWidth="1"/>
    <col min="4586" max="4586" width="12.26953125" style="4" bestFit="1" customWidth="1"/>
    <col min="4587" max="4587" width="23.7265625" style="4" bestFit="1" customWidth="1"/>
    <col min="4588" max="4588" width="7.54296875" style="4" customWidth="1"/>
    <col min="4589" max="4589" width="12" style="4" customWidth="1"/>
    <col min="4590" max="4590" width="9.7265625" style="4" customWidth="1"/>
    <col min="4591" max="4591" width="23.7265625" style="4" customWidth="1"/>
    <col min="4592" max="4592" width="50.7265625" style="4" customWidth="1"/>
    <col min="4593" max="4593" width="11.453125" style="4" customWidth="1"/>
    <col min="4594" max="4594" width="12.54296875" style="4" customWidth="1"/>
    <col min="4595" max="4595" width="10.26953125" style="4" customWidth="1"/>
    <col min="4596" max="4596" width="9" style="4" customWidth="1"/>
    <col min="4597" max="4597" width="11.54296875" style="4" customWidth="1"/>
    <col min="4598" max="4598" width="9.453125" style="4" customWidth="1"/>
    <col min="4599" max="4599" width="10.7265625" style="4" customWidth="1"/>
    <col min="4600" max="4600" width="8.26953125" style="4" customWidth="1"/>
    <col min="4601" max="4601" width="9.26953125" style="4" customWidth="1"/>
    <col min="4602" max="4602" width="11.54296875" style="4" customWidth="1"/>
    <col min="4603" max="4604" width="9.26953125" style="4" bestFit="1" customWidth="1"/>
    <col min="4605" max="4605" width="9.7265625" style="4" customWidth="1"/>
    <col min="4606" max="4606" width="11.54296875" style="4" bestFit="1" customWidth="1"/>
    <col min="4607" max="4607" width="9.1796875" style="4"/>
    <col min="4608" max="4610" width="0" style="4" hidden="1" customWidth="1"/>
    <col min="4611" max="4617" width="9.1796875" style="4"/>
    <col min="4618" max="4618" width="10.54296875" style="4" bestFit="1" customWidth="1"/>
    <col min="4619" max="4619" width="9.1796875" style="4"/>
    <col min="4620" max="4620" width="12.26953125" style="4" bestFit="1" customWidth="1"/>
    <col min="4621" max="4621" width="9.1796875" style="4"/>
    <col min="4622" max="4623" width="0" style="4" hidden="1" customWidth="1"/>
    <col min="4624" max="4624" width="11" style="4" bestFit="1" customWidth="1"/>
    <col min="4625" max="4625" width="8.26953125" style="4" bestFit="1" customWidth="1"/>
    <col min="4626" max="4626" width="6.453125" style="4" bestFit="1" customWidth="1"/>
    <col min="4627" max="4627" width="10" style="4" bestFit="1" customWidth="1"/>
    <col min="4628" max="4628" width="29.7265625" style="4" bestFit="1" customWidth="1"/>
    <col min="4629" max="4629" width="17" style="4" bestFit="1" customWidth="1"/>
    <col min="4630" max="4840" width="9.1796875" style="4"/>
    <col min="4841" max="4841" width="8.26953125" style="4" customWidth="1"/>
    <col min="4842" max="4842" width="12.26953125" style="4" bestFit="1" customWidth="1"/>
    <col min="4843" max="4843" width="23.7265625" style="4" bestFit="1" customWidth="1"/>
    <col min="4844" max="4844" width="7.54296875" style="4" customWidth="1"/>
    <col min="4845" max="4845" width="12" style="4" customWidth="1"/>
    <col min="4846" max="4846" width="9.7265625" style="4" customWidth="1"/>
    <col min="4847" max="4847" width="23.7265625" style="4" customWidth="1"/>
    <col min="4848" max="4848" width="50.7265625" style="4" customWidth="1"/>
    <col min="4849" max="4849" width="11.453125" style="4" customWidth="1"/>
    <col min="4850" max="4850" width="12.54296875" style="4" customWidth="1"/>
    <col min="4851" max="4851" width="10.26953125" style="4" customWidth="1"/>
    <col min="4852" max="4852" width="9" style="4" customWidth="1"/>
    <col min="4853" max="4853" width="11.54296875" style="4" customWidth="1"/>
    <col min="4854" max="4854" width="9.453125" style="4" customWidth="1"/>
    <col min="4855" max="4855" width="10.7265625" style="4" customWidth="1"/>
    <col min="4856" max="4856" width="8.26953125" style="4" customWidth="1"/>
    <col min="4857" max="4857" width="9.26953125" style="4" customWidth="1"/>
    <col min="4858" max="4858" width="11.54296875" style="4" customWidth="1"/>
    <col min="4859" max="4860" width="9.26953125" style="4" bestFit="1" customWidth="1"/>
    <col min="4861" max="4861" width="9.7265625" style="4" customWidth="1"/>
    <col min="4862" max="4862" width="11.54296875" style="4" bestFit="1" customWidth="1"/>
    <col min="4863" max="4863" width="9.1796875" style="4"/>
    <col min="4864" max="4866" width="0" style="4" hidden="1" customWidth="1"/>
    <col min="4867" max="4873" width="9.1796875" style="4"/>
    <col min="4874" max="4874" width="10.54296875" style="4" bestFit="1" customWidth="1"/>
    <col min="4875" max="4875" width="9.1796875" style="4"/>
    <col min="4876" max="4876" width="12.26953125" style="4" bestFit="1" customWidth="1"/>
    <col min="4877" max="4877" width="9.1796875" style="4"/>
    <col min="4878" max="4879" width="0" style="4" hidden="1" customWidth="1"/>
    <col min="4880" max="4880" width="11" style="4" bestFit="1" customWidth="1"/>
    <col min="4881" max="4881" width="8.26953125" style="4" bestFit="1" customWidth="1"/>
    <col min="4882" max="4882" width="6.453125" style="4" bestFit="1" customWidth="1"/>
    <col min="4883" max="4883" width="10" style="4" bestFit="1" customWidth="1"/>
    <col min="4884" max="4884" width="29.7265625" style="4" bestFit="1" customWidth="1"/>
    <col min="4885" max="4885" width="17" style="4" bestFit="1" customWidth="1"/>
    <col min="4886" max="5096" width="9.1796875" style="4"/>
    <col min="5097" max="5097" width="8.26953125" style="4" customWidth="1"/>
    <col min="5098" max="5098" width="12.26953125" style="4" bestFit="1" customWidth="1"/>
    <col min="5099" max="5099" width="23.7265625" style="4" bestFit="1" customWidth="1"/>
    <col min="5100" max="5100" width="7.54296875" style="4" customWidth="1"/>
    <col min="5101" max="5101" width="12" style="4" customWidth="1"/>
    <col min="5102" max="5102" width="9.7265625" style="4" customWidth="1"/>
    <col min="5103" max="5103" width="23.7265625" style="4" customWidth="1"/>
    <col min="5104" max="5104" width="50.7265625" style="4" customWidth="1"/>
    <col min="5105" max="5105" width="11.453125" style="4" customWidth="1"/>
    <col min="5106" max="5106" width="12.54296875" style="4" customWidth="1"/>
    <col min="5107" max="5107" width="10.26953125" style="4" customWidth="1"/>
    <col min="5108" max="5108" width="9" style="4" customWidth="1"/>
    <col min="5109" max="5109" width="11.54296875" style="4" customWidth="1"/>
    <col min="5110" max="5110" width="9.453125" style="4" customWidth="1"/>
    <col min="5111" max="5111" width="10.7265625" style="4" customWidth="1"/>
    <col min="5112" max="5112" width="8.26953125" style="4" customWidth="1"/>
    <col min="5113" max="5113" width="9.26953125" style="4" customWidth="1"/>
    <col min="5114" max="5114" width="11.54296875" style="4" customWidth="1"/>
    <col min="5115" max="5116" width="9.26953125" style="4" bestFit="1" customWidth="1"/>
    <col min="5117" max="5117" width="9.7265625" style="4" customWidth="1"/>
    <col min="5118" max="5118" width="11.54296875" style="4" bestFit="1" customWidth="1"/>
    <col min="5119" max="5119" width="9.1796875" style="4"/>
    <col min="5120" max="5122" width="0" style="4" hidden="1" customWidth="1"/>
    <col min="5123" max="5129" width="9.1796875" style="4"/>
    <col min="5130" max="5130" width="10.54296875" style="4" bestFit="1" customWidth="1"/>
    <col min="5131" max="5131" width="9.1796875" style="4"/>
    <col min="5132" max="5132" width="12.26953125" style="4" bestFit="1" customWidth="1"/>
    <col min="5133" max="5133" width="9.1796875" style="4"/>
    <col min="5134" max="5135" width="0" style="4" hidden="1" customWidth="1"/>
    <col min="5136" max="5136" width="11" style="4" bestFit="1" customWidth="1"/>
    <col min="5137" max="5137" width="8.26953125" style="4" bestFit="1" customWidth="1"/>
    <col min="5138" max="5138" width="6.453125" style="4" bestFit="1" customWidth="1"/>
    <col min="5139" max="5139" width="10" style="4" bestFit="1" customWidth="1"/>
    <col min="5140" max="5140" width="29.7265625" style="4" bestFit="1" customWidth="1"/>
    <col min="5141" max="5141" width="17" style="4" bestFit="1" customWidth="1"/>
    <col min="5142" max="5352" width="9.1796875" style="4"/>
    <col min="5353" max="5353" width="8.26953125" style="4" customWidth="1"/>
    <col min="5354" max="5354" width="12.26953125" style="4" bestFit="1" customWidth="1"/>
    <col min="5355" max="5355" width="23.7265625" style="4" bestFit="1" customWidth="1"/>
    <col min="5356" max="5356" width="7.54296875" style="4" customWidth="1"/>
    <col min="5357" max="5357" width="12" style="4" customWidth="1"/>
    <col min="5358" max="5358" width="9.7265625" style="4" customWidth="1"/>
    <col min="5359" max="5359" width="23.7265625" style="4" customWidth="1"/>
    <col min="5360" max="5360" width="50.7265625" style="4" customWidth="1"/>
    <col min="5361" max="5361" width="11.453125" style="4" customWidth="1"/>
    <col min="5362" max="5362" width="12.54296875" style="4" customWidth="1"/>
    <col min="5363" max="5363" width="10.26953125" style="4" customWidth="1"/>
    <col min="5364" max="5364" width="9" style="4" customWidth="1"/>
    <col min="5365" max="5365" width="11.54296875" style="4" customWidth="1"/>
    <col min="5366" max="5366" width="9.453125" style="4" customWidth="1"/>
    <col min="5367" max="5367" width="10.7265625" style="4" customWidth="1"/>
    <col min="5368" max="5368" width="8.26953125" style="4" customWidth="1"/>
    <col min="5369" max="5369" width="9.26953125" style="4" customWidth="1"/>
    <col min="5370" max="5370" width="11.54296875" style="4" customWidth="1"/>
    <col min="5371" max="5372" width="9.26953125" style="4" bestFit="1" customWidth="1"/>
    <col min="5373" max="5373" width="9.7265625" style="4" customWidth="1"/>
    <col min="5374" max="5374" width="11.54296875" style="4" bestFit="1" customWidth="1"/>
    <col min="5375" max="5375" width="9.1796875" style="4"/>
    <col min="5376" max="5378" width="0" style="4" hidden="1" customWidth="1"/>
    <col min="5379" max="5385" width="9.1796875" style="4"/>
    <col min="5386" max="5386" width="10.54296875" style="4" bestFit="1" customWidth="1"/>
    <col min="5387" max="5387" width="9.1796875" style="4"/>
    <col min="5388" max="5388" width="12.26953125" style="4" bestFit="1" customWidth="1"/>
    <col min="5389" max="5389" width="9.1796875" style="4"/>
    <col min="5390" max="5391" width="0" style="4" hidden="1" customWidth="1"/>
    <col min="5392" max="5392" width="11" style="4" bestFit="1" customWidth="1"/>
    <col min="5393" max="5393" width="8.26953125" style="4" bestFit="1" customWidth="1"/>
    <col min="5394" max="5394" width="6.453125" style="4" bestFit="1" customWidth="1"/>
    <col min="5395" max="5395" width="10" style="4" bestFit="1" customWidth="1"/>
    <col min="5396" max="5396" width="29.7265625" style="4" bestFit="1" customWidth="1"/>
    <col min="5397" max="5397" width="17" style="4" bestFit="1" customWidth="1"/>
    <col min="5398" max="5608" width="9.1796875" style="4"/>
    <col min="5609" max="5609" width="8.26953125" style="4" customWidth="1"/>
    <col min="5610" max="5610" width="12.26953125" style="4" bestFit="1" customWidth="1"/>
    <col min="5611" max="5611" width="23.7265625" style="4" bestFit="1" customWidth="1"/>
    <col min="5612" max="5612" width="7.54296875" style="4" customWidth="1"/>
    <col min="5613" max="5613" width="12" style="4" customWidth="1"/>
    <col min="5614" max="5614" width="9.7265625" style="4" customWidth="1"/>
    <col min="5615" max="5615" width="23.7265625" style="4" customWidth="1"/>
    <col min="5616" max="5616" width="50.7265625" style="4" customWidth="1"/>
    <col min="5617" max="5617" width="11.453125" style="4" customWidth="1"/>
    <col min="5618" max="5618" width="12.54296875" style="4" customWidth="1"/>
    <col min="5619" max="5619" width="10.26953125" style="4" customWidth="1"/>
    <col min="5620" max="5620" width="9" style="4" customWidth="1"/>
    <col min="5621" max="5621" width="11.54296875" style="4" customWidth="1"/>
    <col min="5622" max="5622" width="9.453125" style="4" customWidth="1"/>
    <col min="5623" max="5623" width="10.7265625" style="4" customWidth="1"/>
    <col min="5624" max="5624" width="8.26953125" style="4" customWidth="1"/>
    <col min="5625" max="5625" width="9.26953125" style="4" customWidth="1"/>
    <col min="5626" max="5626" width="11.54296875" style="4" customWidth="1"/>
    <col min="5627" max="5628" width="9.26953125" style="4" bestFit="1" customWidth="1"/>
    <col min="5629" max="5629" width="9.7265625" style="4" customWidth="1"/>
    <col min="5630" max="5630" width="11.54296875" style="4" bestFit="1" customWidth="1"/>
    <col min="5631" max="5631" width="9.1796875" style="4"/>
    <col min="5632" max="5634" width="0" style="4" hidden="1" customWidth="1"/>
    <col min="5635" max="5641" width="9.1796875" style="4"/>
    <col min="5642" max="5642" width="10.54296875" style="4" bestFit="1" customWidth="1"/>
    <col min="5643" max="5643" width="9.1796875" style="4"/>
    <col min="5644" max="5644" width="12.26953125" style="4" bestFit="1" customWidth="1"/>
    <col min="5645" max="5645" width="9.1796875" style="4"/>
    <col min="5646" max="5647" width="0" style="4" hidden="1" customWidth="1"/>
    <col min="5648" max="5648" width="11" style="4" bestFit="1" customWidth="1"/>
    <col min="5649" max="5649" width="8.26953125" style="4" bestFit="1" customWidth="1"/>
    <col min="5650" max="5650" width="6.453125" style="4" bestFit="1" customWidth="1"/>
    <col min="5651" max="5651" width="10" style="4" bestFit="1" customWidth="1"/>
    <col min="5652" max="5652" width="29.7265625" style="4" bestFit="1" customWidth="1"/>
    <col min="5653" max="5653" width="17" style="4" bestFit="1" customWidth="1"/>
    <col min="5654" max="5864" width="9.1796875" style="4"/>
    <col min="5865" max="5865" width="8.26953125" style="4" customWidth="1"/>
    <col min="5866" max="5866" width="12.26953125" style="4" bestFit="1" customWidth="1"/>
    <col min="5867" max="5867" width="23.7265625" style="4" bestFit="1" customWidth="1"/>
    <col min="5868" max="5868" width="7.54296875" style="4" customWidth="1"/>
    <col min="5869" max="5869" width="12" style="4" customWidth="1"/>
    <col min="5870" max="5870" width="9.7265625" style="4" customWidth="1"/>
    <col min="5871" max="5871" width="23.7265625" style="4" customWidth="1"/>
    <col min="5872" max="5872" width="50.7265625" style="4" customWidth="1"/>
    <col min="5873" max="5873" width="11.453125" style="4" customWidth="1"/>
    <col min="5874" max="5874" width="12.54296875" style="4" customWidth="1"/>
    <col min="5875" max="5875" width="10.26953125" style="4" customWidth="1"/>
    <col min="5876" max="5876" width="9" style="4" customWidth="1"/>
    <col min="5877" max="5877" width="11.54296875" style="4" customWidth="1"/>
    <col min="5878" max="5878" width="9.453125" style="4" customWidth="1"/>
    <col min="5879" max="5879" width="10.7265625" style="4" customWidth="1"/>
    <col min="5880" max="5880" width="8.26953125" style="4" customWidth="1"/>
    <col min="5881" max="5881" width="9.26953125" style="4" customWidth="1"/>
    <col min="5882" max="5882" width="11.54296875" style="4" customWidth="1"/>
    <col min="5883" max="5884" width="9.26953125" style="4" bestFit="1" customWidth="1"/>
    <col min="5885" max="5885" width="9.7265625" style="4" customWidth="1"/>
    <col min="5886" max="5886" width="11.54296875" style="4" bestFit="1" customWidth="1"/>
    <col min="5887" max="5887" width="9.1796875" style="4"/>
    <col min="5888" max="5890" width="0" style="4" hidden="1" customWidth="1"/>
    <col min="5891" max="5897" width="9.1796875" style="4"/>
    <col min="5898" max="5898" width="10.54296875" style="4" bestFit="1" customWidth="1"/>
    <col min="5899" max="5899" width="9.1796875" style="4"/>
    <col min="5900" max="5900" width="12.26953125" style="4" bestFit="1" customWidth="1"/>
    <col min="5901" max="5901" width="9.1796875" style="4"/>
    <col min="5902" max="5903" width="0" style="4" hidden="1" customWidth="1"/>
    <col min="5904" max="5904" width="11" style="4" bestFit="1" customWidth="1"/>
    <col min="5905" max="5905" width="8.26953125" style="4" bestFit="1" customWidth="1"/>
    <col min="5906" max="5906" width="6.453125" style="4" bestFit="1" customWidth="1"/>
    <col min="5907" max="5907" width="10" style="4" bestFit="1" customWidth="1"/>
    <col min="5908" max="5908" width="29.7265625" style="4" bestFit="1" customWidth="1"/>
    <col min="5909" max="5909" width="17" style="4" bestFit="1" customWidth="1"/>
    <col min="5910" max="6120" width="9.1796875" style="4"/>
    <col min="6121" max="6121" width="8.26953125" style="4" customWidth="1"/>
    <col min="6122" max="6122" width="12.26953125" style="4" bestFit="1" customWidth="1"/>
    <col min="6123" max="6123" width="23.7265625" style="4" bestFit="1" customWidth="1"/>
    <col min="6124" max="6124" width="7.54296875" style="4" customWidth="1"/>
    <col min="6125" max="6125" width="12" style="4" customWidth="1"/>
    <col min="6126" max="6126" width="9.7265625" style="4" customWidth="1"/>
    <col min="6127" max="6127" width="23.7265625" style="4" customWidth="1"/>
    <col min="6128" max="6128" width="50.7265625" style="4" customWidth="1"/>
    <col min="6129" max="6129" width="11.453125" style="4" customWidth="1"/>
    <col min="6130" max="6130" width="12.54296875" style="4" customWidth="1"/>
    <col min="6131" max="6131" width="10.26953125" style="4" customWidth="1"/>
    <col min="6132" max="6132" width="9" style="4" customWidth="1"/>
    <col min="6133" max="6133" width="11.54296875" style="4" customWidth="1"/>
    <col min="6134" max="6134" width="9.453125" style="4" customWidth="1"/>
    <col min="6135" max="6135" width="10.7265625" style="4" customWidth="1"/>
    <col min="6136" max="6136" width="8.26953125" style="4" customWidth="1"/>
    <col min="6137" max="6137" width="9.26953125" style="4" customWidth="1"/>
    <col min="6138" max="6138" width="11.54296875" style="4" customWidth="1"/>
    <col min="6139" max="6140" width="9.26953125" style="4" bestFit="1" customWidth="1"/>
    <col min="6141" max="6141" width="9.7265625" style="4" customWidth="1"/>
    <col min="6142" max="6142" width="11.54296875" style="4" bestFit="1" customWidth="1"/>
    <col min="6143" max="6143" width="9.1796875" style="4"/>
    <col min="6144" max="6146" width="0" style="4" hidden="1" customWidth="1"/>
    <col min="6147" max="6153" width="9.1796875" style="4"/>
    <col min="6154" max="6154" width="10.54296875" style="4" bestFit="1" customWidth="1"/>
    <col min="6155" max="6155" width="9.1796875" style="4"/>
    <col min="6156" max="6156" width="12.26953125" style="4" bestFit="1" customWidth="1"/>
    <col min="6157" max="6157" width="9.1796875" style="4"/>
    <col min="6158" max="6159" width="0" style="4" hidden="1" customWidth="1"/>
    <col min="6160" max="6160" width="11" style="4" bestFit="1" customWidth="1"/>
    <col min="6161" max="6161" width="8.26953125" style="4" bestFit="1" customWidth="1"/>
    <col min="6162" max="6162" width="6.453125" style="4" bestFit="1" customWidth="1"/>
    <col min="6163" max="6163" width="10" style="4" bestFit="1" customWidth="1"/>
    <col min="6164" max="6164" width="29.7265625" style="4" bestFit="1" customWidth="1"/>
    <col min="6165" max="6165" width="17" style="4" bestFit="1" customWidth="1"/>
    <col min="6166" max="6376" width="9.1796875" style="4"/>
    <col min="6377" max="6377" width="8.26953125" style="4" customWidth="1"/>
    <col min="6378" max="6378" width="12.26953125" style="4" bestFit="1" customWidth="1"/>
    <col min="6379" max="6379" width="23.7265625" style="4" bestFit="1" customWidth="1"/>
    <col min="6380" max="6380" width="7.54296875" style="4" customWidth="1"/>
    <col min="6381" max="6381" width="12" style="4" customWidth="1"/>
    <col min="6382" max="6382" width="9.7265625" style="4" customWidth="1"/>
    <col min="6383" max="6383" width="23.7265625" style="4" customWidth="1"/>
    <col min="6384" max="6384" width="50.7265625" style="4" customWidth="1"/>
    <col min="6385" max="6385" width="11.453125" style="4" customWidth="1"/>
    <col min="6386" max="6386" width="12.54296875" style="4" customWidth="1"/>
    <col min="6387" max="6387" width="10.26953125" style="4" customWidth="1"/>
    <col min="6388" max="6388" width="9" style="4" customWidth="1"/>
    <col min="6389" max="6389" width="11.54296875" style="4" customWidth="1"/>
    <col min="6390" max="6390" width="9.453125" style="4" customWidth="1"/>
    <col min="6391" max="6391" width="10.7265625" style="4" customWidth="1"/>
    <col min="6392" max="6392" width="8.26953125" style="4" customWidth="1"/>
    <col min="6393" max="6393" width="9.26953125" style="4" customWidth="1"/>
    <col min="6394" max="6394" width="11.54296875" style="4" customWidth="1"/>
    <col min="6395" max="6396" width="9.26953125" style="4" bestFit="1" customWidth="1"/>
    <col min="6397" max="6397" width="9.7265625" style="4" customWidth="1"/>
    <col min="6398" max="6398" width="11.54296875" style="4" bestFit="1" customWidth="1"/>
    <col min="6399" max="6399" width="9.1796875" style="4"/>
    <col min="6400" max="6402" width="0" style="4" hidden="1" customWidth="1"/>
    <col min="6403" max="6409" width="9.1796875" style="4"/>
    <col min="6410" max="6410" width="10.54296875" style="4" bestFit="1" customWidth="1"/>
    <col min="6411" max="6411" width="9.1796875" style="4"/>
    <col min="6412" max="6412" width="12.26953125" style="4" bestFit="1" customWidth="1"/>
    <col min="6413" max="6413" width="9.1796875" style="4"/>
    <col min="6414" max="6415" width="0" style="4" hidden="1" customWidth="1"/>
    <col min="6416" max="6416" width="11" style="4" bestFit="1" customWidth="1"/>
    <col min="6417" max="6417" width="8.26953125" style="4" bestFit="1" customWidth="1"/>
    <col min="6418" max="6418" width="6.453125" style="4" bestFit="1" customWidth="1"/>
    <col min="6419" max="6419" width="10" style="4" bestFit="1" customWidth="1"/>
    <col min="6420" max="6420" width="29.7265625" style="4" bestFit="1" customWidth="1"/>
    <col min="6421" max="6421" width="17" style="4" bestFit="1" customWidth="1"/>
    <col min="6422" max="6632" width="9.1796875" style="4"/>
    <col min="6633" max="6633" width="8.26953125" style="4" customWidth="1"/>
    <col min="6634" max="6634" width="12.26953125" style="4" bestFit="1" customWidth="1"/>
    <col min="6635" max="6635" width="23.7265625" style="4" bestFit="1" customWidth="1"/>
    <col min="6636" max="6636" width="7.54296875" style="4" customWidth="1"/>
    <col min="6637" max="6637" width="12" style="4" customWidth="1"/>
    <col min="6638" max="6638" width="9.7265625" style="4" customWidth="1"/>
    <col min="6639" max="6639" width="23.7265625" style="4" customWidth="1"/>
    <col min="6640" max="6640" width="50.7265625" style="4" customWidth="1"/>
    <col min="6641" max="6641" width="11.453125" style="4" customWidth="1"/>
    <col min="6642" max="6642" width="12.54296875" style="4" customWidth="1"/>
    <col min="6643" max="6643" width="10.26953125" style="4" customWidth="1"/>
    <col min="6644" max="6644" width="9" style="4" customWidth="1"/>
    <col min="6645" max="6645" width="11.54296875" style="4" customWidth="1"/>
    <col min="6646" max="6646" width="9.453125" style="4" customWidth="1"/>
    <col min="6647" max="6647" width="10.7265625" style="4" customWidth="1"/>
    <col min="6648" max="6648" width="8.26953125" style="4" customWidth="1"/>
    <col min="6649" max="6649" width="9.26953125" style="4" customWidth="1"/>
    <col min="6650" max="6650" width="11.54296875" style="4" customWidth="1"/>
    <col min="6651" max="6652" width="9.26953125" style="4" bestFit="1" customWidth="1"/>
    <col min="6653" max="6653" width="9.7265625" style="4" customWidth="1"/>
    <col min="6654" max="6654" width="11.54296875" style="4" bestFit="1" customWidth="1"/>
    <col min="6655" max="6655" width="9.1796875" style="4"/>
    <col min="6656" max="6658" width="0" style="4" hidden="1" customWidth="1"/>
    <col min="6659" max="6665" width="9.1796875" style="4"/>
    <col min="6666" max="6666" width="10.54296875" style="4" bestFit="1" customWidth="1"/>
    <col min="6667" max="6667" width="9.1796875" style="4"/>
    <col min="6668" max="6668" width="12.26953125" style="4" bestFit="1" customWidth="1"/>
    <col min="6669" max="6669" width="9.1796875" style="4"/>
    <col min="6670" max="6671" width="0" style="4" hidden="1" customWidth="1"/>
    <col min="6672" max="6672" width="11" style="4" bestFit="1" customWidth="1"/>
    <col min="6673" max="6673" width="8.26953125" style="4" bestFit="1" customWidth="1"/>
    <col min="6674" max="6674" width="6.453125" style="4" bestFit="1" customWidth="1"/>
    <col min="6675" max="6675" width="10" style="4" bestFit="1" customWidth="1"/>
    <col min="6676" max="6676" width="29.7265625" style="4" bestFit="1" customWidth="1"/>
    <col min="6677" max="6677" width="17" style="4" bestFit="1" customWidth="1"/>
    <col min="6678" max="6888" width="9.1796875" style="4"/>
    <col min="6889" max="6889" width="8.26953125" style="4" customWidth="1"/>
    <col min="6890" max="6890" width="12.26953125" style="4" bestFit="1" customWidth="1"/>
    <col min="6891" max="6891" width="23.7265625" style="4" bestFit="1" customWidth="1"/>
    <col min="6892" max="6892" width="7.54296875" style="4" customWidth="1"/>
    <col min="6893" max="6893" width="12" style="4" customWidth="1"/>
    <col min="6894" max="6894" width="9.7265625" style="4" customWidth="1"/>
    <col min="6895" max="6895" width="23.7265625" style="4" customWidth="1"/>
    <col min="6896" max="6896" width="50.7265625" style="4" customWidth="1"/>
    <col min="6897" max="6897" width="11.453125" style="4" customWidth="1"/>
    <col min="6898" max="6898" width="12.54296875" style="4" customWidth="1"/>
    <col min="6899" max="6899" width="10.26953125" style="4" customWidth="1"/>
    <col min="6900" max="6900" width="9" style="4" customWidth="1"/>
    <col min="6901" max="6901" width="11.54296875" style="4" customWidth="1"/>
    <col min="6902" max="6902" width="9.453125" style="4" customWidth="1"/>
    <col min="6903" max="6903" width="10.7265625" style="4" customWidth="1"/>
    <col min="6904" max="6904" width="8.26953125" style="4" customWidth="1"/>
    <col min="6905" max="6905" width="9.26953125" style="4" customWidth="1"/>
    <col min="6906" max="6906" width="11.54296875" style="4" customWidth="1"/>
    <col min="6907" max="6908" width="9.26953125" style="4" bestFit="1" customWidth="1"/>
    <col min="6909" max="6909" width="9.7265625" style="4" customWidth="1"/>
    <col min="6910" max="6910" width="11.54296875" style="4" bestFit="1" customWidth="1"/>
    <col min="6911" max="6911" width="9.1796875" style="4"/>
    <col min="6912" max="6914" width="0" style="4" hidden="1" customWidth="1"/>
    <col min="6915" max="6921" width="9.1796875" style="4"/>
    <col min="6922" max="6922" width="10.54296875" style="4" bestFit="1" customWidth="1"/>
    <col min="6923" max="6923" width="9.1796875" style="4"/>
    <col min="6924" max="6924" width="12.26953125" style="4" bestFit="1" customWidth="1"/>
    <col min="6925" max="6925" width="9.1796875" style="4"/>
    <col min="6926" max="6927" width="0" style="4" hidden="1" customWidth="1"/>
    <col min="6928" max="6928" width="11" style="4" bestFit="1" customWidth="1"/>
    <col min="6929" max="6929" width="8.26953125" style="4" bestFit="1" customWidth="1"/>
    <col min="6930" max="6930" width="6.453125" style="4" bestFit="1" customWidth="1"/>
    <col min="6931" max="6931" width="10" style="4" bestFit="1" customWidth="1"/>
    <col min="6932" max="6932" width="29.7265625" style="4" bestFit="1" customWidth="1"/>
    <col min="6933" max="6933" width="17" style="4" bestFit="1" customWidth="1"/>
    <col min="6934" max="7144" width="9.1796875" style="4"/>
    <col min="7145" max="7145" width="8.26953125" style="4" customWidth="1"/>
    <col min="7146" max="7146" width="12.26953125" style="4" bestFit="1" customWidth="1"/>
    <col min="7147" max="7147" width="23.7265625" style="4" bestFit="1" customWidth="1"/>
    <col min="7148" max="7148" width="7.54296875" style="4" customWidth="1"/>
    <col min="7149" max="7149" width="12" style="4" customWidth="1"/>
    <col min="7150" max="7150" width="9.7265625" style="4" customWidth="1"/>
    <col min="7151" max="7151" width="23.7265625" style="4" customWidth="1"/>
    <col min="7152" max="7152" width="50.7265625" style="4" customWidth="1"/>
    <col min="7153" max="7153" width="11.453125" style="4" customWidth="1"/>
    <col min="7154" max="7154" width="12.54296875" style="4" customWidth="1"/>
    <col min="7155" max="7155" width="10.26953125" style="4" customWidth="1"/>
    <col min="7156" max="7156" width="9" style="4" customWidth="1"/>
    <col min="7157" max="7157" width="11.54296875" style="4" customWidth="1"/>
    <col min="7158" max="7158" width="9.453125" style="4" customWidth="1"/>
    <col min="7159" max="7159" width="10.7265625" style="4" customWidth="1"/>
    <col min="7160" max="7160" width="8.26953125" style="4" customWidth="1"/>
    <col min="7161" max="7161" width="9.26953125" style="4" customWidth="1"/>
    <col min="7162" max="7162" width="11.54296875" style="4" customWidth="1"/>
    <col min="7163" max="7164" width="9.26953125" style="4" bestFit="1" customWidth="1"/>
    <col min="7165" max="7165" width="9.7265625" style="4" customWidth="1"/>
    <col min="7166" max="7166" width="11.54296875" style="4" bestFit="1" customWidth="1"/>
    <col min="7167" max="7167" width="9.1796875" style="4"/>
    <col min="7168" max="7170" width="0" style="4" hidden="1" customWidth="1"/>
    <col min="7171" max="7177" width="9.1796875" style="4"/>
    <col min="7178" max="7178" width="10.54296875" style="4" bestFit="1" customWidth="1"/>
    <col min="7179" max="7179" width="9.1796875" style="4"/>
    <col min="7180" max="7180" width="12.26953125" style="4" bestFit="1" customWidth="1"/>
    <col min="7181" max="7181" width="9.1796875" style="4"/>
    <col min="7182" max="7183" width="0" style="4" hidden="1" customWidth="1"/>
    <col min="7184" max="7184" width="11" style="4" bestFit="1" customWidth="1"/>
    <col min="7185" max="7185" width="8.26953125" style="4" bestFit="1" customWidth="1"/>
    <col min="7186" max="7186" width="6.453125" style="4" bestFit="1" customWidth="1"/>
    <col min="7187" max="7187" width="10" style="4" bestFit="1" customWidth="1"/>
    <col min="7188" max="7188" width="29.7265625" style="4" bestFit="1" customWidth="1"/>
    <col min="7189" max="7189" width="17" style="4" bestFit="1" customWidth="1"/>
    <col min="7190" max="7400" width="9.1796875" style="4"/>
    <col min="7401" max="7401" width="8.26953125" style="4" customWidth="1"/>
    <col min="7402" max="7402" width="12.26953125" style="4" bestFit="1" customWidth="1"/>
    <col min="7403" max="7403" width="23.7265625" style="4" bestFit="1" customWidth="1"/>
    <col min="7404" max="7404" width="7.54296875" style="4" customWidth="1"/>
    <col min="7405" max="7405" width="12" style="4" customWidth="1"/>
    <col min="7406" max="7406" width="9.7265625" style="4" customWidth="1"/>
    <col min="7407" max="7407" width="23.7265625" style="4" customWidth="1"/>
    <col min="7408" max="7408" width="50.7265625" style="4" customWidth="1"/>
    <col min="7409" max="7409" width="11.453125" style="4" customWidth="1"/>
    <col min="7410" max="7410" width="12.54296875" style="4" customWidth="1"/>
    <col min="7411" max="7411" width="10.26953125" style="4" customWidth="1"/>
    <col min="7412" max="7412" width="9" style="4" customWidth="1"/>
    <col min="7413" max="7413" width="11.54296875" style="4" customWidth="1"/>
    <col min="7414" max="7414" width="9.453125" style="4" customWidth="1"/>
    <col min="7415" max="7415" width="10.7265625" style="4" customWidth="1"/>
    <col min="7416" max="7416" width="8.26953125" style="4" customWidth="1"/>
    <col min="7417" max="7417" width="9.26953125" style="4" customWidth="1"/>
    <col min="7418" max="7418" width="11.54296875" style="4" customWidth="1"/>
    <col min="7419" max="7420" width="9.26953125" style="4" bestFit="1" customWidth="1"/>
    <col min="7421" max="7421" width="9.7265625" style="4" customWidth="1"/>
    <col min="7422" max="7422" width="11.54296875" style="4" bestFit="1" customWidth="1"/>
    <col min="7423" max="7423" width="9.1796875" style="4"/>
    <col min="7424" max="7426" width="0" style="4" hidden="1" customWidth="1"/>
    <col min="7427" max="7433" width="9.1796875" style="4"/>
    <col min="7434" max="7434" width="10.54296875" style="4" bestFit="1" customWidth="1"/>
    <col min="7435" max="7435" width="9.1796875" style="4"/>
    <col min="7436" max="7436" width="12.26953125" style="4" bestFit="1" customWidth="1"/>
    <col min="7437" max="7437" width="9.1796875" style="4"/>
    <col min="7438" max="7439" width="0" style="4" hidden="1" customWidth="1"/>
    <col min="7440" max="7440" width="11" style="4" bestFit="1" customWidth="1"/>
    <col min="7441" max="7441" width="8.26953125" style="4" bestFit="1" customWidth="1"/>
    <col min="7442" max="7442" width="6.453125" style="4" bestFit="1" customWidth="1"/>
    <col min="7443" max="7443" width="10" style="4" bestFit="1" customWidth="1"/>
    <col min="7444" max="7444" width="29.7265625" style="4" bestFit="1" customWidth="1"/>
    <col min="7445" max="7445" width="17" style="4" bestFit="1" customWidth="1"/>
    <col min="7446" max="7656" width="9.1796875" style="4"/>
    <col min="7657" max="7657" width="8.26953125" style="4" customWidth="1"/>
    <col min="7658" max="7658" width="12.26953125" style="4" bestFit="1" customWidth="1"/>
    <col min="7659" max="7659" width="23.7265625" style="4" bestFit="1" customWidth="1"/>
    <col min="7660" max="7660" width="7.54296875" style="4" customWidth="1"/>
    <col min="7661" max="7661" width="12" style="4" customWidth="1"/>
    <col min="7662" max="7662" width="9.7265625" style="4" customWidth="1"/>
    <col min="7663" max="7663" width="23.7265625" style="4" customWidth="1"/>
    <col min="7664" max="7664" width="50.7265625" style="4" customWidth="1"/>
    <col min="7665" max="7665" width="11.453125" style="4" customWidth="1"/>
    <col min="7666" max="7666" width="12.54296875" style="4" customWidth="1"/>
    <col min="7667" max="7667" width="10.26953125" style="4" customWidth="1"/>
    <col min="7668" max="7668" width="9" style="4" customWidth="1"/>
    <col min="7669" max="7669" width="11.54296875" style="4" customWidth="1"/>
    <col min="7670" max="7670" width="9.453125" style="4" customWidth="1"/>
    <col min="7671" max="7671" width="10.7265625" style="4" customWidth="1"/>
    <col min="7672" max="7672" width="8.26953125" style="4" customWidth="1"/>
    <col min="7673" max="7673" width="9.26953125" style="4" customWidth="1"/>
    <col min="7674" max="7674" width="11.54296875" style="4" customWidth="1"/>
    <col min="7675" max="7676" width="9.26953125" style="4" bestFit="1" customWidth="1"/>
    <col min="7677" max="7677" width="9.7265625" style="4" customWidth="1"/>
    <col min="7678" max="7678" width="11.54296875" style="4" bestFit="1" customWidth="1"/>
    <col min="7679" max="7679" width="9.1796875" style="4"/>
    <col min="7680" max="7682" width="0" style="4" hidden="1" customWidth="1"/>
    <col min="7683" max="7689" width="9.1796875" style="4"/>
    <col min="7690" max="7690" width="10.54296875" style="4" bestFit="1" customWidth="1"/>
    <col min="7691" max="7691" width="9.1796875" style="4"/>
    <col min="7692" max="7692" width="12.26953125" style="4" bestFit="1" customWidth="1"/>
    <col min="7693" max="7693" width="9.1796875" style="4"/>
    <col min="7694" max="7695" width="0" style="4" hidden="1" customWidth="1"/>
    <col min="7696" max="7696" width="11" style="4" bestFit="1" customWidth="1"/>
    <col min="7697" max="7697" width="8.26953125" style="4" bestFit="1" customWidth="1"/>
    <col min="7698" max="7698" width="6.453125" style="4" bestFit="1" customWidth="1"/>
    <col min="7699" max="7699" width="10" style="4" bestFit="1" customWidth="1"/>
    <col min="7700" max="7700" width="29.7265625" style="4" bestFit="1" customWidth="1"/>
    <col min="7701" max="7701" width="17" style="4" bestFit="1" customWidth="1"/>
    <col min="7702" max="7912" width="9.1796875" style="4"/>
    <col min="7913" max="7913" width="8.26953125" style="4" customWidth="1"/>
    <col min="7914" max="7914" width="12.26953125" style="4" bestFit="1" customWidth="1"/>
    <col min="7915" max="7915" width="23.7265625" style="4" bestFit="1" customWidth="1"/>
    <col min="7916" max="7916" width="7.54296875" style="4" customWidth="1"/>
    <col min="7917" max="7917" width="12" style="4" customWidth="1"/>
    <col min="7918" max="7918" width="9.7265625" style="4" customWidth="1"/>
    <col min="7919" max="7919" width="23.7265625" style="4" customWidth="1"/>
    <col min="7920" max="7920" width="50.7265625" style="4" customWidth="1"/>
    <col min="7921" max="7921" width="11.453125" style="4" customWidth="1"/>
    <col min="7922" max="7922" width="12.54296875" style="4" customWidth="1"/>
    <col min="7923" max="7923" width="10.26953125" style="4" customWidth="1"/>
    <col min="7924" max="7924" width="9" style="4" customWidth="1"/>
    <col min="7925" max="7925" width="11.54296875" style="4" customWidth="1"/>
    <col min="7926" max="7926" width="9.453125" style="4" customWidth="1"/>
    <col min="7927" max="7927" width="10.7265625" style="4" customWidth="1"/>
    <col min="7928" max="7928" width="8.26953125" style="4" customWidth="1"/>
    <col min="7929" max="7929" width="9.26953125" style="4" customWidth="1"/>
    <col min="7930" max="7930" width="11.54296875" style="4" customWidth="1"/>
    <col min="7931" max="7932" width="9.26953125" style="4" bestFit="1" customWidth="1"/>
    <col min="7933" max="7933" width="9.7265625" style="4" customWidth="1"/>
    <col min="7934" max="7934" width="11.54296875" style="4" bestFit="1" customWidth="1"/>
    <col min="7935" max="7935" width="9.1796875" style="4"/>
    <col min="7936" max="7938" width="0" style="4" hidden="1" customWidth="1"/>
    <col min="7939" max="7945" width="9.1796875" style="4"/>
    <col min="7946" max="7946" width="10.54296875" style="4" bestFit="1" customWidth="1"/>
    <col min="7947" max="7947" width="9.1796875" style="4"/>
    <col min="7948" max="7948" width="12.26953125" style="4" bestFit="1" customWidth="1"/>
    <col min="7949" max="7949" width="9.1796875" style="4"/>
    <col min="7950" max="7951" width="0" style="4" hidden="1" customWidth="1"/>
    <col min="7952" max="7952" width="11" style="4" bestFit="1" customWidth="1"/>
    <col min="7953" max="7953" width="8.26953125" style="4" bestFit="1" customWidth="1"/>
    <col min="7954" max="7954" width="6.453125" style="4" bestFit="1" customWidth="1"/>
    <col min="7955" max="7955" width="10" style="4" bestFit="1" customWidth="1"/>
    <col min="7956" max="7956" width="29.7265625" style="4" bestFit="1" customWidth="1"/>
    <col min="7957" max="7957" width="17" style="4" bestFit="1" customWidth="1"/>
    <col min="7958" max="8168" width="9.1796875" style="4"/>
    <col min="8169" max="8169" width="8.26953125" style="4" customWidth="1"/>
    <col min="8170" max="8170" width="12.26953125" style="4" bestFit="1" customWidth="1"/>
    <col min="8171" max="8171" width="23.7265625" style="4" bestFit="1" customWidth="1"/>
    <col min="8172" max="8172" width="7.54296875" style="4" customWidth="1"/>
    <col min="8173" max="8173" width="12" style="4" customWidth="1"/>
    <col min="8174" max="8174" width="9.7265625" style="4" customWidth="1"/>
    <col min="8175" max="8175" width="23.7265625" style="4" customWidth="1"/>
    <col min="8176" max="8176" width="50.7265625" style="4" customWidth="1"/>
    <col min="8177" max="8177" width="11.453125" style="4" customWidth="1"/>
    <col min="8178" max="8178" width="12.54296875" style="4" customWidth="1"/>
    <col min="8179" max="8179" width="10.26953125" style="4" customWidth="1"/>
    <col min="8180" max="8180" width="9" style="4" customWidth="1"/>
    <col min="8181" max="8181" width="11.54296875" style="4" customWidth="1"/>
    <col min="8182" max="8182" width="9.453125" style="4" customWidth="1"/>
    <col min="8183" max="8183" width="10.7265625" style="4" customWidth="1"/>
    <col min="8184" max="8184" width="8.26953125" style="4" customWidth="1"/>
    <col min="8185" max="8185" width="9.26953125" style="4" customWidth="1"/>
    <col min="8186" max="8186" width="11.54296875" style="4" customWidth="1"/>
    <col min="8187" max="8188" width="9.26953125" style="4" bestFit="1" customWidth="1"/>
    <col min="8189" max="8189" width="9.7265625" style="4" customWidth="1"/>
    <col min="8190" max="8190" width="11.54296875" style="4" bestFit="1" customWidth="1"/>
    <col min="8191" max="8191" width="9.1796875" style="4"/>
    <col min="8192" max="8194" width="0" style="4" hidden="1" customWidth="1"/>
    <col min="8195" max="8201" width="9.1796875" style="4"/>
    <col min="8202" max="8202" width="10.54296875" style="4" bestFit="1" customWidth="1"/>
    <col min="8203" max="8203" width="9.1796875" style="4"/>
    <col min="8204" max="8204" width="12.26953125" style="4" bestFit="1" customWidth="1"/>
    <col min="8205" max="8205" width="9.1796875" style="4"/>
    <col min="8206" max="8207" width="0" style="4" hidden="1" customWidth="1"/>
    <col min="8208" max="8208" width="11" style="4" bestFit="1" customWidth="1"/>
    <col min="8209" max="8209" width="8.26953125" style="4" bestFit="1" customWidth="1"/>
    <col min="8210" max="8210" width="6.453125" style="4" bestFit="1" customWidth="1"/>
    <col min="8211" max="8211" width="10" style="4" bestFit="1" customWidth="1"/>
    <col min="8212" max="8212" width="29.7265625" style="4" bestFit="1" customWidth="1"/>
    <col min="8213" max="8213" width="17" style="4" bestFit="1" customWidth="1"/>
    <col min="8214" max="8424" width="9.1796875" style="4"/>
    <col min="8425" max="8425" width="8.26953125" style="4" customWidth="1"/>
    <col min="8426" max="8426" width="12.26953125" style="4" bestFit="1" customWidth="1"/>
    <col min="8427" max="8427" width="23.7265625" style="4" bestFit="1" customWidth="1"/>
    <col min="8428" max="8428" width="7.54296875" style="4" customWidth="1"/>
    <col min="8429" max="8429" width="12" style="4" customWidth="1"/>
    <col min="8430" max="8430" width="9.7265625" style="4" customWidth="1"/>
    <col min="8431" max="8431" width="23.7265625" style="4" customWidth="1"/>
    <col min="8432" max="8432" width="50.7265625" style="4" customWidth="1"/>
    <col min="8433" max="8433" width="11.453125" style="4" customWidth="1"/>
    <col min="8434" max="8434" width="12.54296875" style="4" customWidth="1"/>
    <col min="8435" max="8435" width="10.26953125" style="4" customWidth="1"/>
    <col min="8436" max="8436" width="9" style="4" customWidth="1"/>
    <col min="8437" max="8437" width="11.54296875" style="4" customWidth="1"/>
    <col min="8438" max="8438" width="9.453125" style="4" customWidth="1"/>
    <col min="8439" max="8439" width="10.7265625" style="4" customWidth="1"/>
    <col min="8440" max="8440" width="8.26953125" style="4" customWidth="1"/>
    <col min="8441" max="8441" width="9.26953125" style="4" customWidth="1"/>
    <col min="8442" max="8442" width="11.54296875" style="4" customWidth="1"/>
    <col min="8443" max="8444" width="9.26953125" style="4" bestFit="1" customWidth="1"/>
    <col min="8445" max="8445" width="9.7265625" style="4" customWidth="1"/>
    <col min="8446" max="8446" width="11.54296875" style="4" bestFit="1" customWidth="1"/>
    <col min="8447" max="8447" width="9.1796875" style="4"/>
    <col min="8448" max="8450" width="0" style="4" hidden="1" customWidth="1"/>
    <col min="8451" max="8457" width="9.1796875" style="4"/>
    <col min="8458" max="8458" width="10.54296875" style="4" bestFit="1" customWidth="1"/>
    <col min="8459" max="8459" width="9.1796875" style="4"/>
    <col min="8460" max="8460" width="12.26953125" style="4" bestFit="1" customWidth="1"/>
    <col min="8461" max="8461" width="9.1796875" style="4"/>
    <col min="8462" max="8463" width="0" style="4" hidden="1" customWidth="1"/>
    <col min="8464" max="8464" width="11" style="4" bestFit="1" customWidth="1"/>
    <col min="8465" max="8465" width="8.26953125" style="4" bestFit="1" customWidth="1"/>
    <col min="8466" max="8466" width="6.453125" style="4" bestFit="1" customWidth="1"/>
    <col min="8467" max="8467" width="10" style="4" bestFit="1" customWidth="1"/>
    <col min="8468" max="8468" width="29.7265625" style="4" bestFit="1" customWidth="1"/>
    <col min="8469" max="8469" width="17" style="4" bestFit="1" customWidth="1"/>
    <col min="8470" max="8680" width="9.1796875" style="4"/>
    <col min="8681" max="8681" width="8.26953125" style="4" customWidth="1"/>
    <col min="8682" max="8682" width="12.26953125" style="4" bestFit="1" customWidth="1"/>
    <col min="8683" max="8683" width="23.7265625" style="4" bestFit="1" customWidth="1"/>
    <col min="8684" max="8684" width="7.54296875" style="4" customWidth="1"/>
    <col min="8685" max="8685" width="12" style="4" customWidth="1"/>
    <col min="8686" max="8686" width="9.7265625" style="4" customWidth="1"/>
    <col min="8687" max="8687" width="23.7265625" style="4" customWidth="1"/>
    <col min="8688" max="8688" width="50.7265625" style="4" customWidth="1"/>
    <col min="8689" max="8689" width="11.453125" style="4" customWidth="1"/>
    <col min="8690" max="8690" width="12.54296875" style="4" customWidth="1"/>
    <col min="8691" max="8691" width="10.26953125" style="4" customWidth="1"/>
    <col min="8692" max="8692" width="9" style="4" customWidth="1"/>
    <col min="8693" max="8693" width="11.54296875" style="4" customWidth="1"/>
    <col min="8694" max="8694" width="9.453125" style="4" customWidth="1"/>
    <col min="8695" max="8695" width="10.7265625" style="4" customWidth="1"/>
    <col min="8696" max="8696" width="8.26953125" style="4" customWidth="1"/>
    <col min="8697" max="8697" width="9.26953125" style="4" customWidth="1"/>
    <col min="8698" max="8698" width="11.54296875" style="4" customWidth="1"/>
    <col min="8699" max="8700" width="9.26953125" style="4" bestFit="1" customWidth="1"/>
    <col min="8701" max="8701" width="9.7265625" style="4" customWidth="1"/>
    <col min="8702" max="8702" width="11.54296875" style="4" bestFit="1" customWidth="1"/>
    <col min="8703" max="8703" width="9.1796875" style="4"/>
    <col min="8704" max="8706" width="0" style="4" hidden="1" customWidth="1"/>
    <col min="8707" max="8713" width="9.1796875" style="4"/>
    <col min="8714" max="8714" width="10.54296875" style="4" bestFit="1" customWidth="1"/>
    <col min="8715" max="8715" width="9.1796875" style="4"/>
    <col min="8716" max="8716" width="12.26953125" style="4" bestFit="1" customWidth="1"/>
    <col min="8717" max="8717" width="9.1796875" style="4"/>
    <col min="8718" max="8719" width="0" style="4" hidden="1" customWidth="1"/>
    <col min="8720" max="8720" width="11" style="4" bestFit="1" customWidth="1"/>
    <col min="8721" max="8721" width="8.26953125" style="4" bestFit="1" customWidth="1"/>
    <col min="8722" max="8722" width="6.453125" style="4" bestFit="1" customWidth="1"/>
    <col min="8723" max="8723" width="10" style="4" bestFit="1" customWidth="1"/>
    <col min="8724" max="8724" width="29.7265625" style="4" bestFit="1" customWidth="1"/>
    <col min="8725" max="8725" width="17" style="4" bestFit="1" customWidth="1"/>
    <col min="8726" max="8936" width="9.1796875" style="4"/>
    <col min="8937" max="8937" width="8.26953125" style="4" customWidth="1"/>
    <col min="8938" max="8938" width="12.26953125" style="4" bestFit="1" customWidth="1"/>
    <col min="8939" max="8939" width="23.7265625" style="4" bestFit="1" customWidth="1"/>
    <col min="8940" max="8940" width="7.54296875" style="4" customWidth="1"/>
    <col min="8941" max="8941" width="12" style="4" customWidth="1"/>
    <col min="8942" max="8942" width="9.7265625" style="4" customWidth="1"/>
    <col min="8943" max="8943" width="23.7265625" style="4" customWidth="1"/>
    <col min="8944" max="8944" width="50.7265625" style="4" customWidth="1"/>
    <col min="8945" max="8945" width="11.453125" style="4" customWidth="1"/>
    <col min="8946" max="8946" width="12.54296875" style="4" customWidth="1"/>
    <col min="8947" max="8947" width="10.26953125" style="4" customWidth="1"/>
    <col min="8948" max="8948" width="9" style="4" customWidth="1"/>
    <col min="8949" max="8949" width="11.54296875" style="4" customWidth="1"/>
    <col min="8950" max="8950" width="9.453125" style="4" customWidth="1"/>
    <col min="8951" max="8951" width="10.7265625" style="4" customWidth="1"/>
    <col min="8952" max="8952" width="8.26953125" style="4" customWidth="1"/>
    <col min="8953" max="8953" width="9.26953125" style="4" customWidth="1"/>
    <col min="8954" max="8954" width="11.54296875" style="4" customWidth="1"/>
    <col min="8955" max="8956" width="9.26953125" style="4" bestFit="1" customWidth="1"/>
    <col min="8957" max="8957" width="9.7265625" style="4" customWidth="1"/>
    <col min="8958" max="8958" width="11.54296875" style="4" bestFit="1" customWidth="1"/>
    <col min="8959" max="8959" width="9.1796875" style="4"/>
    <col min="8960" max="8962" width="0" style="4" hidden="1" customWidth="1"/>
    <col min="8963" max="8969" width="9.1796875" style="4"/>
    <col min="8970" max="8970" width="10.54296875" style="4" bestFit="1" customWidth="1"/>
    <col min="8971" max="8971" width="9.1796875" style="4"/>
    <col min="8972" max="8972" width="12.26953125" style="4" bestFit="1" customWidth="1"/>
    <col min="8973" max="8973" width="9.1796875" style="4"/>
    <col min="8974" max="8975" width="0" style="4" hidden="1" customWidth="1"/>
    <col min="8976" max="8976" width="11" style="4" bestFit="1" customWidth="1"/>
    <col min="8977" max="8977" width="8.26953125" style="4" bestFit="1" customWidth="1"/>
    <col min="8978" max="8978" width="6.453125" style="4" bestFit="1" customWidth="1"/>
    <col min="8979" max="8979" width="10" style="4" bestFit="1" customWidth="1"/>
    <col min="8980" max="8980" width="29.7265625" style="4" bestFit="1" customWidth="1"/>
    <col min="8981" max="8981" width="17" style="4" bestFit="1" customWidth="1"/>
    <col min="8982" max="9192" width="9.1796875" style="4"/>
    <col min="9193" max="9193" width="8.26953125" style="4" customWidth="1"/>
    <col min="9194" max="9194" width="12.26953125" style="4" bestFit="1" customWidth="1"/>
    <col min="9195" max="9195" width="23.7265625" style="4" bestFit="1" customWidth="1"/>
    <col min="9196" max="9196" width="7.54296875" style="4" customWidth="1"/>
    <col min="9197" max="9197" width="12" style="4" customWidth="1"/>
    <col min="9198" max="9198" width="9.7265625" style="4" customWidth="1"/>
    <col min="9199" max="9199" width="23.7265625" style="4" customWidth="1"/>
    <col min="9200" max="9200" width="50.7265625" style="4" customWidth="1"/>
    <col min="9201" max="9201" width="11.453125" style="4" customWidth="1"/>
    <col min="9202" max="9202" width="12.54296875" style="4" customWidth="1"/>
    <col min="9203" max="9203" width="10.26953125" style="4" customWidth="1"/>
    <col min="9204" max="9204" width="9" style="4" customWidth="1"/>
    <col min="9205" max="9205" width="11.54296875" style="4" customWidth="1"/>
    <col min="9206" max="9206" width="9.453125" style="4" customWidth="1"/>
    <col min="9207" max="9207" width="10.7265625" style="4" customWidth="1"/>
    <col min="9208" max="9208" width="8.26953125" style="4" customWidth="1"/>
    <col min="9209" max="9209" width="9.26953125" style="4" customWidth="1"/>
    <col min="9210" max="9210" width="11.54296875" style="4" customWidth="1"/>
    <col min="9211" max="9212" width="9.26953125" style="4" bestFit="1" customWidth="1"/>
    <col min="9213" max="9213" width="9.7265625" style="4" customWidth="1"/>
    <col min="9214" max="9214" width="11.54296875" style="4" bestFit="1" customWidth="1"/>
    <col min="9215" max="9215" width="9.1796875" style="4"/>
    <col min="9216" max="9218" width="0" style="4" hidden="1" customWidth="1"/>
    <col min="9219" max="9225" width="9.1796875" style="4"/>
    <col min="9226" max="9226" width="10.54296875" style="4" bestFit="1" customWidth="1"/>
    <col min="9227" max="9227" width="9.1796875" style="4"/>
    <col min="9228" max="9228" width="12.26953125" style="4" bestFit="1" customWidth="1"/>
    <col min="9229" max="9229" width="9.1796875" style="4"/>
    <col min="9230" max="9231" width="0" style="4" hidden="1" customWidth="1"/>
    <col min="9232" max="9232" width="11" style="4" bestFit="1" customWidth="1"/>
    <col min="9233" max="9233" width="8.26953125" style="4" bestFit="1" customWidth="1"/>
    <col min="9234" max="9234" width="6.453125" style="4" bestFit="1" customWidth="1"/>
    <col min="9235" max="9235" width="10" style="4" bestFit="1" customWidth="1"/>
    <col min="9236" max="9236" width="29.7265625" style="4" bestFit="1" customWidth="1"/>
    <col min="9237" max="9237" width="17" style="4" bestFit="1" customWidth="1"/>
    <col min="9238" max="9448" width="9.1796875" style="4"/>
    <col min="9449" max="9449" width="8.26953125" style="4" customWidth="1"/>
    <col min="9450" max="9450" width="12.26953125" style="4" bestFit="1" customWidth="1"/>
    <col min="9451" max="9451" width="23.7265625" style="4" bestFit="1" customWidth="1"/>
    <col min="9452" max="9452" width="7.54296875" style="4" customWidth="1"/>
    <col min="9453" max="9453" width="12" style="4" customWidth="1"/>
    <col min="9454" max="9454" width="9.7265625" style="4" customWidth="1"/>
    <col min="9455" max="9455" width="23.7265625" style="4" customWidth="1"/>
    <col min="9456" max="9456" width="50.7265625" style="4" customWidth="1"/>
    <col min="9457" max="9457" width="11.453125" style="4" customWidth="1"/>
    <col min="9458" max="9458" width="12.54296875" style="4" customWidth="1"/>
    <col min="9459" max="9459" width="10.26953125" style="4" customWidth="1"/>
    <col min="9460" max="9460" width="9" style="4" customWidth="1"/>
    <col min="9461" max="9461" width="11.54296875" style="4" customWidth="1"/>
    <col min="9462" max="9462" width="9.453125" style="4" customWidth="1"/>
    <col min="9463" max="9463" width="10.7265625" style="4" customWidth="1"/>
    <col min="9464" max="9464" width="8.26953125" style="4" customWidth="1"/>
    <col min="9465" max="9465" width="9.26953125" style="4" customWidth="1"/>
    <col min="9466" max="9466" width="11.54296875" style="4" customWidth="1"/>
    <col min="9467" max="9468" width="9.26953125" style="4" bestFit="1" customWidth="1"/>
    <col min="9469" max="9469" width="9.7265625" style="4" customWidth="1"/>
    <col min="9470" max="9470" width="11.54296875" style="4" bestFit="1" customWidth="1"/>
    <col min="9471" max="9471" width="9.1796875" style="4"/>
    <col min="9472" max="9474" width="0" style="4" hidden="1" customWidth="1"/>
    <col min="9475" max="9481" width="9.1796875" style="4"/>
    <col min="9482" max="9482" width="10.54296875" style="4" bestFit="1" customWidth="1"/>
    <col min="9483" max="9483" width="9.1796875" style="4"/>
    <col min="9484" max="9484" width="12.26953125" style="4" bestFit="1" customWidth="1"/>
    <col min="9485" max="9485" width="9.1796875" style="4"/>
    <col min="9486" max="9487" width="0" style="4" hidden="1" customWidth="1"/>
    <col min="9488" max="9488" width="11" style="4" bestFit="1" customWidth="1"/>
    <col min="9489" max="9489" width="8.26953125" style="4" bestFit="1" customWidth="1"/>
    <col min="9490" max="9490" width="6.453125" style="4" bestFit="1" customWidth="1"/>
    <col min="9491" max="9491" width="10" style="4" bestFit="1" customWidth="1"/>
    <col min="9492" max="9492" width="29.7265625" style="4" bestFit="1" customWidth="1"/>
    <col min="9493" max="9493" width="17" style="4" bestFit="1" customWidth="1"/>
    <col min="9494" max="9704" width="9.1796875" style="4"/>
    <col min="9705" max="9705" width="8.26953125" style="4" customWidth="1"/>
    <col min="9706" max="9706" width="12.26953125" style="4" bestFit="1" customWidth="1"/>
    <col min="9707" max="9707" width="23.7265625" style="4" bestFit="1" customWidth="1"/>
    <col min="9708" max="9708" width="7.54296875" style="4" customWidth="1"/>
    <col min="9709" max="9709" width="12" style="4" customWidth="1"/>
    <col min="9710" max="9710" width="9.7265625" style="4" customWidth="1"/>
    <col min="9711" max="9711" width="23.7265625" style="4" customWidth="1"/>
    <col min="9712" max="9712" width="50.7265625" style="4" customWidth="1"/>
    <col min="9713" max="9713" width="11.453125" style="4" customWidth="1"/>
    <col min="9714" max="9714" width="12.54296875" style="4" customWidth="1"/>
    <col min="9715" max="9715" width="10.26953125" style="4" customWidth="1"/>
    <col min="9716" max="9716" width="9" style="4" customWidth="1"/>
    <col min="9717" max="9717" width="11.54296875" style="4" customWidth="1"/>
    <col min="9718" max="9718" width="9.453125" style="4" customWidth="1"/>
    <col min="9719" max="9719" width="10.7265625" style="4" customWidth="1"/>
    <col min="9720" max="9720" width="8.26953125" style="4" customWidth="1"/>
    <col min="9721" max="9721" width="9.26953125" style="4" customWidth="1"/>
    <col min="9722" max="9722" width="11.54296875" style="4" customWidth="1"/>
    <col min="9723" max="9724" width="9.26953125" style="4" bestFit="1" customWidth="1"/>
    <col min="9725" max="9725" width="9.7265625" style="4" customWidth="1"/>
    <col min="9726" max="9726" width="11.54296875" style="4" bestFit="1" customWidth="1"/>
    <col min="9727" max="9727" width="9.1796875" style="4"/>
    <col min="9728" max="9730" width="0" style="4" hidden="1" customWidth="1"/>
    <col min="9731" max="9737" width="9.1796875" style="4"/>
    <col min="9738" max="9738" width="10.54296875" style="4" bestFit="1" customWidth="1"/>
    <col min="9739" max="9739" width="9.1796875" style="4"/>
    <col min="9740" max="9740" width="12.26953125" style="4" bestFit="1" customWidth="1"/>
    <col min="9741" max="9741" width="9.1796875" style="4"/>
    <col min="9742" max="9743" width="0" style="4" hidden="1" customWidth="1"/>
    <col min="9744" max="9744" width="11" style="4" bestFit="1" customWidth="1"/>
    <col min="9745" max="9745" width="8.26953125" style="4" bestFit="1" customWidth="1"/>
    <col min="9746" max="9746" width="6.453125" style="4" bestFit="1" customWidth="1"/>
    <col min="9747" max="9747" width="10" style="4" bestFit="1" customWidth="1"/>
    <col min="9748" max="9748" width="29.7265625" style="4" bestFit="1" customWidth="1"/>
    <col min="9749" max="9749" width="17" style="4" bestFit="1" customWidth="1"/>
    <col min="9750" max="9960" width="9.1796875" style="4"/>
    <col min="9961" max="9961" width="8.26953125" style="4" customWidth="1"/>
    <col min="9962" max="9962" width="12.26953125" style="4" bestFit="1" customWidth="1"/>
    <col min="9963" max="9963" width="23.7265625" style="4" bestFit="1" customWidth="1"/>
    <col min="9964" max="9964" width="7.54296875" style="4" customWidth="1"/>
    <col min="9965" max="9965" width="12" style="4" customWidth="1"/>
    <col min="9966" max="9966" width="9.7265625" style="4" customWidth="1"/>
    <col min="9967" max="9967" width="23.7265625" style="4" customWidth="1"/>
    <col min="9968" max="9968" width="50.7265625" style="4" customWidth="1"/>
    <col min="9969" max="9969" width="11.453125" style="4" customWidth="1"/>
    <col min="9970" max="9970" width="12.54296875" style="4" customWidth="1"/>
    <col min="9971" max="9971" width="10.26953125" style="4" customWidth="1"/>
    <col min="9972" max="9972" width="9" style="4" customWidth="1"/>
    <col min="9973" max="9973" width="11.54296875" style="4" customWidth="1"/>
    <col min="9974" max="9974" width="9.453125" style="4" customWidth="1"/>
    <col min="9975" max="9975" width="10.7265625" style="4" customWidth="1"/>
    <col min="9976" max="9976" width="8.26953125" style="4" customWidth="1"/>
    <col min="9977" max="9977" width="9.26953125" style="4" customWidth="1"/>
    <col min="9978" max="9978" width="11.54296875" style="4" customWidth="1"/>
    <col min="9979" max="9980" width="9.26953125" style="4" bestFit="1" customWidth="1"/>
    <col min="9981" max="9981" width="9.7265625" style="4" customWidth="1"/>
    <col min="9982" max="9982" width="11.54296875" style="4" bestFit="1" customWidth="1"/>
    <col min="9983" max="9983" width="9.1796875" style="4"/>
    <col min="9984" max="9986" width="0" style="4" hidden="1" customWidth="1"/>
    <col min="9987" max="9993" width="9.1796875" style="4"/>
    <col min="9994" max="9994" width="10.54296875" style="4" bestFit="1" customWidth="1"/>
    <col min="9995" max="9995" width="9.1796875" style="4"/>
    <col min="9996" max="9996" width="12.26953125" style="4" bestFit="1" customWidth="1"/>
    <col min="9997" max="9997" width="9.1796875" style="4"/>
    <col min="9998" max="9999" width="0" style="4" hidden="1" customWidth="1"/>
    <col min="10000" max="10000" width="11" style="4" bestFit="1" customWidth="1"/>
    <col min="10001" max="10001" width="8.26953125" style="4" bestFit="1" customWidth="1"/>
    <col min="10002" max="10002" width="6.453125" style="4" bestFit="1" customWidth="1"/>
    <col min="10003" max="10003" width="10" style="4" bestFit="1" customWidth="1"/>
    <col min="10004" max="10004" width="29.7265625" style="4" bestFit="1" customWidth="1"/>
    <col min="10005" max="10005" width="17" style="4" bestFit="1" customWidth="1"/>
    <col min="10006" max="10216" width="9.1796875" style="4"/>
    <col min="10217" max="10217" width="8.26953125" style="4" customWidth="1"/>
    <col min="10218" max="10218" width="12.26953125" style="4" bestFit="1" customWidth="1"/>
    <col min="10219" max="10219" width="23.7265625" style="4" bestFit="1" customWidth="1"/>
    <col min="10220" max="10220" width="7.54296875" style="4" customWidth="1"/>
    <col min="10221" max="10221" width="12" style="4" customWidth="1"/>
    <col min="10222" max="10222" width="9.7265625" style="4" customWidth="1"/>
    <col min="10223" max="10223" width="23.7265625" style="4" customWidth="1"/>
    <col min="10224" max="10224" width="50.7265625" style="4" customWidth="1"/>
    <col min="10225" max="10225" width="11.453125" style="4" customWidth="1"/>
    <col min="10226" max="10226" width="12.54296875" style="4" customWidth="1"/>
    <col min="10227" max="10227" width="10.26953125" style="4" customWidth="1"/>
    <col min="10228" max="10228" width="9" style="4" customWidth="1"/>
    <col min="10229" max="10229" width="11.54296875" style="4" customWidth="1"/>
    <col min="10230" max="10230" width="9.453125" style="4" customWidth="1"/>
    <col min="10231" max="10231" width="10.7265625" style="4" customWidth="1"/>
    <col min="10232" max="10232" width="8.26953125" style="4" customWidth="1"/>
    <col min="10233" max="10233" width="9.26953125" style="4" customWidth="1"/>
    <col min="10234" max="10234" width="11.54296875" style="4" customWidth="1"/>
    <col min="10235" max="10236" width="9.26953125" style="4" bestFit="1" customWidth="1"/>
    <col min="10237" max="10237" width="9.7265625" style="4" customWidth="1"/>
    <col min="10238" max="10238" width="11.54296875" style="4" bestFit="1" customWidth="1"/>
    <col min="10239" max="10239" width="9.1796875" style="4"/>
    <col min="10240" max="10242" width="0" style="4" hidden="1" customWidth="1"/>
    <col min="10243" max="10249" width="9.1796875" style="4"/>
    <col min="10250" max="10250" width="10.54296875" style="4" bestFit="1" customWidth="1"/>
    <col min="10251" max="10251" width="9.1796875" style="4"/>
    <col min="10252" max="10252" width="12.26953125" style="4" bestFit="1" customWidth="1"/>
    <col min="10253" max="10253" width="9.1796875" style="4"/>
    <col min="10254" max="10255" width="0" style="4" hidden="1" customWidth="1"/>
    <col min="10256" max="10256" width="11" style="4" bestFit="1" customWidth="1"/>
    <col min="10257" max="10257" width="8.26953125" style="4" bestFit="1" customWidth="1"/>
    <col min="10258" max="10258" width="6.453125" style="4" bestFit="1" customWidth="1"/>
    <col min="10259" max="10259" width="10" style="4" bestFit="1" customWidth="1"/>
    <col min="10260" max="10260" width="29.7265625" style="4" bestFit="1" customWidth="1"/>
    <col min="10261" max="10261" width="17" style="4" bestFit="1" customWidth="1"/>
    <col min="10262" max="10472" width="9.1796875" style="4"/>
    <col min="10473" max="10473" width="8.26953125" style="4" customWidth="1"/>
    <col min="10474" max="10474" width="12.26953125" style="4" bestFit="1" customWidth="1"/>
    <col min="10475" max="10475" width="23.7265625" style="4" bestFit="1" customWidth="1"/>
    <col min="10476" max="10476" width="7.54296875" style="4" customWidth="1"/>
    <col min="10477" max="10477" width="12" style="4" customWidth="1"/>
    <col min="10478" max="10478" width="9.7265625" style="4" customWidth="1"/>
    <col min="10479" max="10479" width="23.7265625" style="4" customWidth="1"/>
    <col min="10480" max="10480" width="50.7265625" style="4" customWidth="1"/>
    <col min="10481" max="10481" width="11.453125" style="4" customWidth="1"/>
    <col min="10482" max="10482" width="12.54296875" style="4" customWidth="1"/>
    <col min="10483" max="10483" width="10.26953125" style="4" customWidth="1"/>
    <col min="10484" max="10484" width="9" style="4" customWidth="1"/>
    <col min="10485" max="10485" width="11.54296875" style="4" customWidth="1"/>
    <col min="10486" max="10486" width="9.453125" style="4" customWidth="1"/>
    <col min="10487" max="10487" width="10.7265625" style="4" customWidth="1"/>
    <col min="10488" max="10488" width="8.26953125" style="4" customWidth="1"/>
    <col min="10489" max="10489" width="9.26953125" style="4" customWidth="1"/>
    <col min="10490" max="10490" width="11.54296875" style="4" customWidth="1"/>
    <col min="10491" max="10492" width="9.26953125" style="4" bestFit="1" customWidth="1"/>
    <col min="10493" max="10493" width="9.7265625" style="4" customWidth="1"/>
    <col min="10494" max="10494" width="11.54296875" style="4" bestFit="1" customWidth="1"/>
    <col min="10495" max="10495" width="9.1796875" style="4"/>
    <col min="10496" max="10498" width="0" style="4" hidden="1" customWidth="1"/>
    <col min="10499" max="10505" width="9.1796875" style="4"/>
    <col min="10506" max="10506" width="10.54296875" style="4" bestFit="1" customWidth="1"/>
    <col min="10507" max="10507" width="9.1796875" style="4"/>
    <col min="10508" max="10508" width="12.26953125" style="4" bestFit="1" customWidth="1"/>
    <col min="10509" max="10509" width="9.1796875" style="4"/>
    <col min="10510" max="10511" width="0" style="4" hidden="1" customWidth="1"/>
    <col min="10512" max="10512" width="11" style="4" bestFit="1" customWidth="1"/>
    <col min="10513" max="10513" width="8.26953125" style="4" bestFit="1" customWidth="1"/>
    <col min="10514" max="10514" width="6.453125" style="4" bestFit="1" customWidth="1"/>
    <col min="10515" max="10515" width="10" style="4" bestFit="1" customWidth="1"/>
    <col min="10516" max="10516" width="29.7265625" style="4" bestFit="1" customWidth="1"/>
    <col min="10517" max="10517" width="17" style="4" bestFit="1" customWidth="1"/>
    <col min="10518" max="10728" width="9.1796875" style="4"/>
    <col min="10729" max="10729" width="8.26953125" style="4" customWidth="1"/>
    <col min="10730" max="10730" width="12.26953125" style="4" bestFit="1" customWidth="1"/>
    <col min="10731" max="10731" width="23.7265625" style="4" bestFit="1" customWidth="1"/>
    <col min="10732" max="10732" width="7.54296875" style="4" customWidth="1"/>
    <col min="10733" max="10733" width="12" style="4" customWidth="1"/>
    <col min="10734" max="10734" width="9.7265625" style="4" customWidth="1"/>
    <col min="10735" max="10735" width="23.7265625" style="4" customWidth="1"/>
    <col min="10736" max="10736" width="50.7265625" style="4" customWidth="1"/>
    <col min="10737" max="10737" width="11.453125" style="4" customWidth="1"/>
    <col min="10738" max="10738" width="12.54296875" style="4" customWidth="1"/>
    <col min="10739" max="10739" width="10.26953125" style="4" customWidth="1"/>
    <col min="10740" max="10740" width="9" style="4" customWidth="1"/>
    <col min="10741" max="10741" width="11.54296875" style="4" customWidth="1"/>
    <col min="10742" max="10742" width="9.453125" style="4" customWidth="1"/>
    <col min="10743" max="10743" width="10.7265625" style="4" customWidth="1"/>
    <col min="10744" max="10744" width="8.26953125" style="4" customWidth="1"/>
    <col min="10745" max="10745" width="9.26953125" style="4" customWidth="1"/>
    <col min="10746" max="10746" width="11.54296875" style="4" customWidth="1"/>
    <col min="10747" max="10748" width="9.26953125" style="4" bestFit="1" customWidth="1"/>
    <col min="10749" max="10749" width="9.7265625" style="4" customWidth="1"/>
    <col min="10750" max="10750" width="11.54296875" style="4" bestFit="1" customWidth="1"/>
    <col min="10751" max="10751" width="9.1796875" style="4"/>
    <col min="10752" max="10754" width="0" style="4" hidden="1" customWidth="1"/>
    <col min="10755" max="10761" width="9.1796875" style="4"/>
    <col min="10762" max="10762" width="10.54296875" style="4" bestFit="1" customWidth="1"/>
    <col min="10763" max="10763" width="9.1796875" style="4"/>
    <col min="10764" max="10764" width="12.26953125" style="4" bestFit="1" customWidth="1"/>
    <col min="10765" max="10765" width="9.1796875" style="4"/>
    <col min="10766" max="10767" width="0" style="4" hidden="1" customWidth="1"/>
    <col min="10768" max="10768" width="11" style="4" bestFit="1" customWidth="1"/>
    <col min="10769" max="10769" width="8.26953125" style="4" bestFit="1" customWidth="1"/>
    <col min="10770" max="10770" width="6.453125" style="4" bestFit="1" customWidth="1"/>
    <col min="10771" max="10771" width="10" style="4" bestFit="1" customWidth="1"/>
    <col min="10772" max="10772" width="29.7265625" style="4" bestFit="1" customWidth="1"/>
    <col min="10773" max="10773" width="17" style="4" bestFit="1" customWidth="1"/>
    <col min="10774" max="10984" width="9.1796875" style="4"/>
    <col min="10985" max="10985" width="8.26953125" style="4" customWidth="1"/>
    <col min="10986" max="10986" width="12.26953125" style="4" bestFit="1" customWidth="1"/>
    <col min="10987" max="10987" width="23.7265625" style="4" bestFit="1" customWidth="1"/>
    <col min="10988" max="10988" width="7.54296875" style="4" customWidth="1"/>
    <col min="10989" max="10989" width="12" style="4" customWidth="1"/>
    <col min="10990" max="10990" width="9.7265625" style="4" customWidth="1"/>
    <col min="10991" max="10991" width="23.7265625" style="4" customWidth="1"/>
    <col min="10992" max="10992" width="50.7265625" style="4" customWidth="1"/>
    <col min="10993" max="10993" width="11.453125" style="4" customWidth="1"/>
    <col min="10994" max="10994" width="12.54296875" style="4" customWidth="1"/>
    <col min="10995" max="10995" width="10.26953125" style="4" customWidth="1"/>
    <col min="10996" max="10996" width="9" style="4" customWidth="1"/>
    <col min="10997" max="10997" width="11.54296875" style="4" customWidth="1"/>
    <col min="10998" max="10998" width="9.453125" style="4" customWidth="1"/>
    <col min="10999" max="10999" width="10.7265625" style="4" customWidth="1"/>
    <col min="11000" max="11000" width="8.26953125" style="4" customWidth="1"/>
    <col min="11001" max="11001" width="9.26953125" style="4" customWidth="1"/>
    <col min="11002" max="11002" width="11.54296875" style="4" customWidth="1"/>
    <col min="11003" max="11004" width="9.26953125" style="4" bestFit="1" customWidth="1"/>
    <col min="11005" max="11005" width="9.7265625" style="4" customWidth="1"/>
    <col min="11006" max="11006" width="11.54296875" style="4" bestFit="1" customWidth="1"/>
    <col min="11007" max="11007" width="9.1796875" style="4"/>
    <col min="11008" max="11010" width="0" style="4" hidden="1" customWidth="1"/>
    <col min="11011" max="11017" width="9.1796875" style="4"/>
    <col min="11018" max="11018" width="10.54296875" style="4" bestFit="1" customWidth="1"/>
    <col min="11019" max="11019" width="9.1796875" style="4"/>
    <col min="11020" max="11020" width="12.26953125" style="4" bestFit="1" customWidth="1"/>
    <col min="11021" max="11021" width="9.1796875" style="4"/>
    <col min="11022" max="11023" width="0" style="4" hidden="1" customWidth="1"/>
    <col min="11024" max="11024" width="11" style="4" bestFit="1" customWidth="1"/>
    <col min="11025" max="11025" width="8.26953125" style="4" bestFit="1" customWidth="1"/>
    <col min="11026" max="11026" width="6.453125" style="4" bestFit="1" customWidth="1"/>
    <col min="11027" max="11027" width="10" style="4" bestFit="1" customWidth="1"/>
    <col min="11028" max="11028" width="29.7265625" style="4" bestFit="1" customWidth="1"/>
    <col min="11029" max="11029" width="17" style="4" bestFit="1" customWidth="1"/>
    <col min="11030" max="11240" width="9.1796875" style="4"/>
    <col min="11241" max="11241" width="8.26953125" style="4" customWidth="1"/>
    <col min="11242" max="11242" width="12.26953125" style="4" bestFit="1" customWidth="1"/>
    <col min="11243" max="11243" width="23.7265625" style="4" bestFit="1" customWidth="1"/>
    <col min="11244" max="11244" width="7.54296875" style="4" customWidth="1"/>
    <col min="11245" max="11245" width="12" style="4" customWidth="1"/>
    <col min="11246" max="11246" width="9.7265625" style="4" customWidth="1"/>
    <col min="11247" max="11247" width="23.7265625" style="4" customWidth="1"/>
    <col min="11248" max="11248" width="50.7265625" style="4" customWidth="1"/>
    <col min="11249" max="11249" width="11.453125" style="4" customWidth="1"/>
    <col min="11250" max="11250" width="12.54296875" style="4" customWidth="1"/>
    <col min="11251" max="11251" width="10.26953125" style="4" customWidth="1"/>
    <col min="11252" max="11252" width="9" style="4" customWidth="1"/>
    <col min="11253" max="11253" width="11.54296875" style="4" customWidth="1"/>
    <col min="11254" max="11254" width="9.453125" style="4" customWidth="1"/>
    <col min="11255" max="11255" width="10.7265625" style="4" customWidth="1"/>
    <col min="11256" max="11256" width="8.26953125" style="4" customWidth="1"/>
    <col min="11257" max="11257" width="9.26953125" style="4" customWidth="1"/>
    <col min="11258" max="11258" width="11.54296875" style="4" customWidth="1"/>
    <col min="11259" max="11260" width="9.26953125" style="4" bestFit="1" customWidth="1"/>
    <col min="11261" max="11261" width="9.7265625" style="4" customWidth="1"/>
    <col min="11262" max="11262" width="11.54296875" style="4" bestFit="1" customWidth="1"/>
    <col min="11263" max="11263" width="9.1796875" style="4"/>
    <col min="11264" max="11266" width="0" style="4" hidden="1" customWidth="1"/>
    <col min="11267" max="11273" width="9.1796875" style="4"/>
    <col min="11274" max="11274" width="10.54296875" style="4" bestFit="1" customWidth="1"/>
    <col min="11275" max="11275" width="9.1796875" style="4"/>
    <col min="11276" max="11276" width="12.26953125" style="4" bestFit="1" customWidth="1"/>
    <col min="11277" max="11277" width="9.1796875" style="4"/>
    <col min="11278" max="11279" width="0" style="4" hidden="1" customWidth="1"/>
    <col min="11280" max="11280" width="11" style="4" bestFit="1" customWidth="1"/>
    <col min="11281" max="11281" width="8.26953125" style="4" bestFit="1" customWidth="1"/>
    <col min="11282" max="11282" width="6.453125" style="4" bestFit="1" customWidth="1"/>
    <col min="11283" max="11283" width="10" style="4" bestFit="1" customWidth="1"/>
    <col min="11284" max="11284" width="29.7265625" style="4" bestFit="1" customWidth="1"/>
    <col min="11285" max="11285" width="17" style="4" bestFit="1" customWidth="1"/>
    <col min="11286" max="11496" width="9.1796875" style="4"/>
    <col min="11497" max="11497" width="8.26953125" style="4" customWidth="1"/>
    <col min="11498" max="11498" width="12.26953125" style="4" bestFit="1" customWidth="1"/>
    <col min="11499" max="11499" width="23.7265625" style="4" bestFit="1" customWidth="1"/>
    <col min="11500" max="11500" width="7.54296875" style="4" customWidth="1"/>
    <col min="11501" max="11501" width="12" style="4" customWidth="1"/>
    <col min="11502" max="11502" width="9.7265625" style="4" customWidth="1"/>
    <col min="11503" max="11503" width="23.7265625" style="4" customWidth="1"/>
    <col min="11504" max="11504" width="50.7265625" style="4" customWidth="1"/>
    <col min="11505" max="11505" width="11.453125" style="4" customWidth="1"/>
    <col min="11506" max="11506" width="12.54296875" style="4" customWidth="1"/>
    <col min="11507" max="11507" width="10.26953125" style="4" customWidth="1"/>
    <col min="11508" max="11508" width="9" style="4" customWidth="1"/>
    <col min="11509" max="11509" width="11.54296875" style="4" customWidth="1"/>
    <col min="11510" max="11510" width="9.453125" style="4" customWidth="1"/>
    <col min="11511" max="11511" width="10.7265625" style="4" customWidth="1"/>
    <col min="11512" max="11512" width="8.26953125" style="4" customWidth="1"/>
    <col min="11513" max="11513" width="9.26953125" style="4" customWidth="1"/>
    <col min="11514" max="11514" width="11.54296875" style="4" customWidth="1"/>
    <col min="11515" max="11516" width="9.26953125" style="4" bestFit="1" customWidth="1"/>
    <col min="11517" max="11517" width="9.7265625" style="4" customWidth="1"/>
    <col min="11518" max="11518" width="11.54296875" style="4" bestFit="1" customWidth="1"/>
    <col min="11519" max="11519" width="9.1796875" style="4"/>
    <col min="11520" max="11522" width="0" style="4" hidden="1" customWidth="1"/>
    <col min="11523" max="11529" width="9.1796875" style="4"/>
    <col min="11530" max="11530" width="10.54296875" style="4" bestFit="1" customWidth="1"/>
    <col min="11531" max="11531" width="9.1796875" style="4"/>
    <col min="11532" max="11532" width="12.26953125" style="4" bestFit="1" customWidth="1"/>
    <col min="11533" max="11533" width="9.1796875" style="4"/>
    <col min="11534" max="11535" width="0" style="4" hidden="1" customWidth="1"/>
    <col min="11536" max="11536" width="11" style="4" bestFit="1" customWidth="1"/>
    <col min="11537" max="11537" width="8.26953125" style="4" bestFit="1" customWidth="1"/>
    <col min="11538" max="11538" width="6.453125" style="4" bestFit="1" customWidth="1"/>
    <col min="11539" max="11539" width="10" style="4" bestFit="1" customWidth="1"/>
    <col min="11540" max="11540" width="29.7265625" style="4" bestFit="1" customWidth="1"/>
    <col min="11541" max="11541" width="17" style="4" bestFit="1" customWidth="1"/>
    <col min="11542" max="11752" width="9.1796875" style="4"/>
    <col min="11753" max="11753" width="8.26953125" style="4" customWidth="1"/>
    <col min="11754" max="11754" width="12.26953125" style="4" bestFit="1" customWidth="1"/>
    <col min="11755" max="11755" width="23.7265625" style="4" bestFit="1" customWidth="1"/>
    <col min="11756" max="11756" width="7.54296875" style="4" customWidth="1"/>
    <col min="11757" max="11757" width="12" style="4" customWidth="1"/>
    <col min="11758" max="11758" width="9.7265625" style="4" customWidth="1"/>
    <col min="11759" max="11759" width="23.7265625" style="4" customWidth="1"/>
    <col min="11760" max="11760" width="50.7265625" style="4" customWidth="1"/>
    <col min="11761" max="11761" width="11.453125" style="4" customWidth="1"/>
    <col min="11762" max="11762" width="12.54296875" style="4" customWidth="1"/>
    <col min="11763" max="11763" width="10.26953125" style="4" customWidth="1"/>
    <col min="11764" max="11764" width="9" style="4" customWidth="1"/>
    <col min="11765" max="11765" width="11.54296875" style="4" customWidth="1"/>
    <col min="11766" max="11766" width="9.453125" style="4" customWidth="1"/>
    <col min="11767" max="11767" width="10.7265625" style="4" customWidth="1"/>
    <col min="11768" max="11768" width="8.26953125" style="4" customWidth="1"/>
    <col min="11769" max="11769" width="9.26953125" style="4" customWidth="1"/>
    <col min="11770" max="11770" width="11.54296875" style="4" customWidth="1"/>
    <col min="11771" max="11772" width="9.26953125" style="4" bestFit="1" customWidth="1"/>
    <col min="11773" max="11773" width="9.7265625" style="4" customWidth="1"/>
    <col min="11774" max="11774" width="11.54296875" style="4" bestFit="1" customWidth="1"/>
    <col min="11775" max="11775" width="9.1796875" style="4"/>
    <col min="11776" max="11778" width="0" style="4" hidden="1" customWidth="1"/>
    <col min="11779" max="11785" width="9.1796875" style="4"/>
    <col min="11786" max="11786" width="10.54296875" style="4" bestFit="1" customWidth="1"/>
    <col min="11787" max="11787" width="9.1796875" style="4"/>
    <col min="11788" max="11788" width="12.26953125" style="4" bestFit="1" customWidth="1"/>
    <col min="11789" max="11789" width="9.1796875" style="4"/>
    <col min="11790" max="11791" width="0" style="4" hidden="1" customWidth="1"/>
    <col min="11792" max="11792" width="11" style="4" bestFit="1" customWidth="1"/>
    <col min="11793" max="11793" width="8.26953125" style="4" bestFit="1" customWidth="1"/>
    <col min="11794" max="11794" width="6.453125" style="4" bestFit="1" customWidth="1"/>
    <col min="11795" max="11795" width="10" style="4" bestFit="1" customWidth="1"/>
    <col min="11796" max="11796" width="29.7265625" style="4" bestFit="1" customWidth="1"/>
    <col min="11797" max="11797" width="17" style="4" bestFit="1" customWidth="1"/>
    <col min="11798" max="12008" width="9.1796875" style="4"/>
    <col min="12009" max="12009" width="8.26953125" style="4" customWidth="1"/>
    <col min="12010" max="12010" width="12.26953125" style="4" bestFit="1" customWidth="1"/>
    <col min="12011" max="12011" width="23.7265625" style="4" bestFit="1" customWidth="1"/>
    <col min="12012" max="12012" width="7.54296875" style="4" customWidth="1"/>
    <col min="12013" max="12013" width="12" style="4" customWidth="1"/>
    <col min="12014" max="12014" width="9.7265625" style="4" customWidth="1"/>
    <col min="12015" max="12015" width="23.7265625" style="4" customWidth="1"/>
    <col min="12016" max="12016" width="50.7265625" style="4" customWidth="1"/>
    <col min="12017" max="12017" width="11.453125" style="4" customWidth="1"/>
    <col min="12018" max="12018" width="12.54296875" style="4" customWidth="1"/>
    <col min="12019" max="12019" width="10.26953125" style="4" customWidth="1"/>
    <col min="12020" max="12020" width="9" style="4" customWidth="1"/>
    <col min="12021" max="12021" width="11.54296875" style="4" customWidth="1"/>
    <col min="12022" max="12022" width="9.453125" style="4" customWidth="1"/>
    <col min="12023" max="12023" width="10.7265625" style="4" customWidth="1"/>
    <col min="12024" max="12024" width="8.26953125" style="4" customWidth="1"/>
    <col min="12025" max="12025" width="9.26953125" style="4" customWidth="1"/>
    <col min="12026" max="12026" width="11.54296875" style="4" customWidth="1"/>
    <col min="12027" max="12028" width="9.26953125" style="4" bestFit="1" customWidth="1"/>
    <col min="12029" max="12029" width="9.7265625" style="4" customWidth="1"/>
    <col min="12030" max="12030" width="11.54296875" style="4" bestFit="1" customWidth="1"/>
    <col min="12031" max="12031" width="9.1796875" style="4"/>
    <col min="12032" max="12034" width="0" style="4" hidden="1" customWidth="1"/>
    <col min="12035" max="12041" width="9.1796875" style="4"/>
    <col min="12042" max="12042" width="10.54296875" style="4" bestFit="1" customWidth="1"/>
    <col min="12043" max="12043" width="9.1796875" style="4"/>
    <col min="12044" max="12044" width="12.26953125" style="4" bestFit="1" customWidth="1"/>
    <col min="12045" max="12045" width="9.1796875" style="4"/>
    <col min="12046" max="12047" width="0" style="4" hidden="1" customWidth="1"/>
    <col min="12048" max="12048" width="11" style="4" bestFit="1" customWidth="1"/>
    <col min="12049" max="12049" width="8.26953125" style="4" bestFit="1" customWidth="1"/>
    <col min="12050" max="12050" width="6.453125" style="4" bestFit="1" customWidth="1"/>
    <col min="12051" max="12051" width="10" style="4" bestFit="1" customWidth="1"/>
    <col min="12052" max="12052" width="29.7265625" style="4" bestFit="1" customWidth="1"/>
    <col min="12053" max="12053" width="17" style="4" bestFit="1" customWidth="1"/>
    <col min="12054" max="12264" width="9.1796875" style="4"/>
    <col min="12265" max="12265" width="8.26953125" style="4" customWidth="1"/>
    <col min="12266" max="12266" width="12.26953125" style="4" bestFit="1" customWidth="1"/>
    <col min="12267" max="12267" width="23.7265625" style="4" bestFit="1" customWidth="1"/>
    <col min="12268" max="12268" width="7.54296875" style="4" customWidth="1"/>
    <col min="12269" max="12269" width="12" style="4" customWidth="1"/>
    <col min="12270" max="12270" width="9.7265625" style="4" customWidth="1"/>
    <col min="12271" max="12271" width="23.7265625" style="4" customWidth="1"/>
    <col min="12272" max="12272" width="50.7265625" style="4" customWidth="1"/>
    <col min="12273" max="12273" width="11.453125" style="4" customWidth="1"/>
    <col min="12274" max="12274" width="12.54296875" style="4" customWidth="1"/>
    <col min="12275" max="12275" width="10.26953125" style="4" customWidth="1"/>
    <col min="12276" max="12276" width="9" style="4" customWidth="1"/>
    <col min="12277" max="12277" width="11.54296875" style="4" customWidth="1"/>
    <col min="12278" max="12278" width="9.453125" style="4" customWidth="1"/>
    <col min="12279" max="12279" width="10.7265625" style="4" customWidth="1"/>
    <col min="12280" max="12280" width="8.26953125" style="4" customWidth="1"/>
    <col min="12281" max="12281" width="9.26953125" style="4" customWidth="1"/>
    <col min="12282" max="12282" width="11.54296875" style="4" customWidth="1"/>
    <col min="12283" max="12284" width="9.26953125" style="4" bestFit="1" customWidth="1"/>
    <col min="12285" max="12285" width="9.7265625" style="4" customWidth="1"/>
    <col min="12286" max="12286" width="11.54296875" style="4" bestFit="1" customWidth="1"/>
    <col min="12287" max="12287" width="9.1796875" style="4"/>
    <col min="12288" max="12290" width="0" style="4" hidden="1" customWidth="1"/>
    <col min="12291" max="12297" width="9.1796875" style="4"/>
    <col min="12298" max="12298" width="10.54296875" style="4" bestFit="1" customWidth="1"/>
    <col min="12299" max="12299" width="9.1796875" style="4"/>
    <col min="12300" max="12300" width="12.26953125" style="4" bestFit="1" customWidth="1"/>
    <col min="12301" max="12301" width="9.1796875" style="4"/>
    <col min="12302" max="12303" width="0" style="4" hidden="1" customWidth="1"/>
    <col min="12304" max="12304" width="11" style="4" bestFit="1" customWidth="1"/>
    <col min="12305" max="12305" width="8.26953125" style="4" bestFit="1" customWidth="1"/>
    <col min="12306" max="12306" width="6.453125" style="4" bestFit="1" customWidth="1"/>
    <col min="12307" max="12307" width="10" style="4" bestFit="1" customWidth="1"/>
    <col min="12308" max="12308" width="29.7265625" style="4" bestFit="1" customWidth="1"/>
    <col min="12309" max="12309" width="17" style="4" bestFit="1" customWidth="1"/>
    <col min="12310" max="12520" width="9.1796875" style="4"/>
    <col min="12521" max="12521" width="8.26953125" style="4" customWidth="1"/>
    <col min="12522" max="12522" width="12.26953125" style="4" bestFit="1" customWidth="1"/>
    <col min="12523" max="12523" width="23.7265625" style="4" bestFit="1" customWidth="1"/>
    <col min="12524" max="12524" width="7.54296875" style="4" customWidth="1"/>
    <col min="12525" max="12525" width="12" style="4" customWidth="1"/>
    <col min="12526" max="12526" width="9.7265625" style="4" customWidth="1"/>
    <col min="12527" max="12527" width="23.7265625" style="4" customWidth="1"/>
    <col min="12528" max="12528" width="50.7265625" style="4" customWidth="1"/>
    <col min="12529" max="12529" width="11.453125" style="4" customWidth="1"/>
    <col min="12530" max="12530" width="12.54296875" style="4" customWidth="1"/>
    <col min="12531" max="12531" width="10.26953125" style="4" customWidth="1"/>
    <col min="12532" max="12532" width="9" style="4" customWidth="1"/>
    <col min="12533" max="12533" width="11.54296875" style="4" customWidth="1"/>
    <col min="12534" max="12534" width="9.453125" style="4" customWidth="1"/>
    <col min="12535" max="12535" width="10.7265625" style="4" customWidth="1"/>
    <col min="12536" max="12536" width="8.26953125" style="4" customWidth="1"/>
    <col min="12537" max="12537" width="9.26953125" style="4" customWidth="1"/>
    <col min="12538" max="12538" width="11.54296875" style="4" customWidth="1"/>
    <col min="12539" max="12540" width="9.26953125" style="4" bestFit="1" customWidth="1"/>
    <col min="12541" max="12541" width="9.7265625" style="4" customWidth="1"/>
    <col min="12542" max="12542" width="11.54296875" style="4" bestFit="1" customWidth="1"/>
    <col min="12543" max="12543" width="9.1796875" style="4"/>
    <col min="12544" max="12546" width="0" style="4" hidden="1" customWidth="1"/>
    <col min="12547" max="12553" width="9.1796875" style="4"/>
    <col min="12554" max="12554" width="10.54296875" style="4" bestFit="1" customWidth="1"/>
    <col min="12555" max="12555" width="9.1796875" style="4"/>
    <col min="12556" max="12556" width="12.26953125" style="4" bestFit="1" customWidth="1"/>
    <col min="12557" max="12557" width="9.1796875" style="4"/>
    <col min="12558" max="12559" width="0" style="4" hidden="1" customWidth="1"/>
    <col min="12560" max="12560" width="11" style="4" bestFit="1" customWidth="1"/>
    <col min="12561" max="12561" width="8.26953125" style="4" bestFit="1" customWidth="1"/>
    <col min="12562" max="12562" width="6.453125" style="4" bestFit="1" customWidth="1"/>
    <col min="12563" max="12563" width="10" style="4" bestFit="1" customWidth="1"/>
    <col min="12564" max="12564" width="29.7265625" style="4" bestFit="1" customWidth="1"/>
    <col min="12565" max="12565" width="17" style="4" bestFit="1" customWidth="1"/>
    <col min="12566" max="12776" width="9.1796875" style="4"/>
    <col min="12777" max="12777" width="8.26953125" style="4" customWidth="1"/>
    <col min="12778" max="12778" width="12.26953125" style="4" bestFit="1" customWidth="1"/>
    <col min="12779" max="12779" width="23.7265625" style="4" bestFit="1" customWidth="1"/>
    <col min="12780" max="12780" width="7.54296875" style="4" customWidth="1"/>
    <col min="12781" max="12781" width="12" style="4" customWidth="1"/>
    <col min="12782" max="12782" width="9.7265625" style="4" customWidth="1"/>
    <col min="12783" max="12783" width="23.7265625" style="4" customWidth="1"/>
    <col min="12784" max="12784" width="50.7265625" style="4" customWidth="1"/>
    <col min="12785" max="12785" width="11.453125" style="4" customWidth="1"/>
    <col min="12786" max="12786" width="12.54296875" style="4" customWidth="1"/>
    <col min="12787" max="12787" width="10.26953125" style="4" customWidth="1"/>
    <col min="12788" max="12788" width="9" style="4" customWidth="1"/>
    <col min="12789" max="12789" width="11.54296875" style="4" customWidth="1"/>
    <col min="12790" max="12790" width="9.453125" style="4" customWidth="1"/>
    <col min="12791" max="12791" width="10.7265625" style="4" customWidth="1"/>
    <col min="12792" max="12792" width="8.26953125" style="4" customWidth="1"/>
    <col min="12793" max="12793" width="9.26953125" style="4" customWidth="1"/>
    <col min="12794" max="12794" width="11.54296875" style="4" customWidth="1"/>
    <col min="12795" max="12796" width="9.26953125" style="4" bestFit="1" customWidth="1"/>
    <col min="12797" max="12797" width="9.7265625" style="4" customWidth="1"/>
    <col min="12798" max="12798" width="11.54296875" style="4" bestFit="1" customWidth="1"/>
    <col min="12799" max="12799" width="9.1796875" style="4"/>
    <col min="12800" max="12802" width="0" style="4" hidden="1" customWidth="1"/>
    <col min="12803" max="12809" width="9.1796875" style="4"/>
    <col min="12810" max="12810" width="10.54296875" style="4" bestFit="1" customWidth="1"/>
    <col min="12811" max="12811" width="9.1796875" style="4"/>
    <col min="12812" max="12812" width="12.26953125" style="4" bestFit="1" customWidth="1"/>
    <col min="12813" max="12813" width="9.1796875" style="4"/>
    <col min="12814" max="12815" width="0" style="4" hidden="1" customWidth="1"/>
    <col min="12816" max="12816" width="11" style="4" bestFit="1" customWidth="1"/>
    <col min="12817" max="12817" width="8.26953125" style="4" bestFit="1" customWidth="1"/>
    <col min="12818" max="12818" width="6.453125" style="4" bestFit="1" customWidth="1"/>
    <col min="12819" max="12819" width="10" style="4" bestFit="1" customWidth="1"/>
    <col min="12820" max="12820" width="29.7265625" style="4" bestFit="1" customWidth="1"/>
    <col min="12821" max="12821" width="17" style="4" bestFit="1" customWidth="1"/>
    <col min="12822" max="13032" width="9.1796875" style="4"/>
    <col min="13033" max="13033" width="8.26953125" style="4" customWidth="1"/>
    <col min="13034" max="13034" width="12.26953125" style="4" bestFit="1" customWidth="1"/>
    <col min="13035" max="13035" width="23.7265625" style="4" bestFit="1" customWidth="1"/>
    <col min="13036" max="13036" width="7.54296875" style="4" customWidth="1"/>
    <col min="13037" max="13037" width="12" style="4" customWidth="1"/>
    <col min="13038" max="13038" width="9.7265625" style="4" customWidth="1"/>
    <col min="13039" max="13039" width="23.7265625" style="4" customWidth="1"/>
    <col min="13040" max="13040" width="50.7265625" style="4" customWidth="1"/>
    <col min="13041" max="13041" width="11.453125" style="4" customWidth="1"/>
    <col min="13042" max="13042" width="12.54296875" style="4" customWidth="1"/>
    <col min="13043" max="13043" width="10.26953125" style="4" customWidth="1"/>
    <col min="13044" max="13044" width="9" style="4" customWidth="1"/>
    <col min="13045" max="13045" width="11.54296875" style="4" customWidth="1"/>
    <col min="13046" max="13046" width="9.453125" style="4" customWidth="1"/>
    <col min="13047" max="13047" width="10.7265625" style="4" customWidth="1"/>
    <col min="13048" max="13048" width="8.26953125" style="4" customWidth="1"/>
    <col min="13049" max="13049" width="9.26953125" style="4" customWidth="1"/>
    <col min="13050" max="13050" width="11.54296875" style="4" customWidth="1"/>
    <col min="13051" max="13052" width="9.26953125" style="4" bestFit="1" customWidth="1"/>
    <col min="13053" max="13053" width="9.7265625" style="4" customWidth="1"/>
    <col min="13054" max="13054" width="11.54296875" style="4" bestFit="1" customWidth="1"/>
    <col min="13055" max="13055" width="9.1796875" style="4"/>
    <col min="13056" max="13058" width="0" style="4" hidden="1" customWidth="1"/>
    <col min="13059" max="13065" width="9.1796875" style="4"/>
    <col min="13066" max="13066" width="10.54296875" style="4" bestFit="1" customWidth="1"/>
    <col min="13067" max="13067" width="9.1796875" style="4"/>
    <col min="13068" max="13068" width="12.26953125" style="4" bestFit="1" customWidth="1"/>
    <col min="13069" max="13069" width="9.1796875" style="4"/>
    <col min="13070" max="13071" width="0" style="4" hidden="1" customWidth="1"/>
    <col min="13072" max="13072" width="11" style="4" bestFit="1" customWidth="1"/>
    <col min="13073" max="13073" width="8.26953125" style="4" bestFit="1" customWidth="1"/>
    <col min="13074" max="13074" width="6.453125" style="4" bestFit="1" customWidth="1"/>
    <col min="13075" max="13075" width="10" style="4" bestFit="1" customWidth="1"/>
    <col min="13076" max="13076" width="29.7265625" style="4" bestFit="1" customWidth="1"/>
    <col min="13077" max="13077" width="17" style="4" bestFit="1" customWidth="1"/>
    <col min="13078" max="13288" width="9.1796875" style="4"/>
    <col min="13289" max="13289" width="8.26953125" style="4" customWidth="1"/>
    <col min="13290" max="13290" width="12.26953125" style="4" bestFit="1" customWidth="1"/>
    <col min="13291" max="13291" width="23.7265625" style="4" bestFit="1" customWidth="1"/>
    <col min="13292" max="13292" width="7.54296875" style="4" customWidth="1"/>
    <col min="13293" max="13293" width="12" style="4" customWidth="1"/>
    <col min="13294" max="13294" width="9.7265625" style="4" customWidth="1"/>
    <col min="13295" max="13295" width="23.7265625" style="4" customWidth="1"/>
    <col min="13296" max="13296" width="50.7265625" style="4" customWidth="1"/>
    <col min="13297" max="13297" width="11.453125" style="4" customWidth="1"/>
    <col min="13298" max="13298" width="12.54296875" style="4" customWidth="1"/>
    <col min="13299" max="13299" width="10.26953125" style="4" customWidth="1"/>
    <col min="13300" max="13300" width="9" style="4" customWidth="1"/>
    <col min="13301" max="13301" width="11.54296875" style="4" customWidth="1"/>
    <col min="13302" max="13302" width="9.453125" style="4" customWidth="1"/>
    <col min="13303" max="13303" width="10.7265625" style="4" customWidth="1"/>
    <col min="13304" max="13304" width="8.26953125" style="4" customWidth="1"/>
    <col min="13305" max="13305" width="9.26953125" style="4" customWidth="1"/>
    <col min="13306" max="13306" width="11.54296875" style="4" customWidth="1"/>
    <col min="13307" max="13308" width="9.26953125" style="4" bestFit="1" customWidth="1"/>
    <col min="13309" max="13309" width="9.7265625" style="4" customWidth="1"/>
    <col min="13310" max="13310" width="11.54296875" style="4" bestFit="1" customWidth="1"/>
    <col min="13311" max="13311" width="9.1796875" style="4"/>
    <col min="13312" max="13314" width="0" style="4" hidden="1" customWidth="1"/>
    <col min="13315" max="13321" width="9.1796875" style="4"/>
    <col min="13322" max="13322" width="10.54296875" style="4" bestFit="1" customWidth="1"/>
    <col min="13323" max="13323" width="9.1796875" style="4"/>
    <col min="13324" max="13324" width="12.26953125" style="4" bestFit="1" customWidth="1"/>
    <col min="13325" max="13325" width="9.1796875" style="4"/>
    <col min="13326" max="13327" width="0" style="4" hidden="1" customWidth="1"/>
    <col min="13328" max="13328" width="11" style="4" bestFit="1" customWidth="1"/>
    <col min="13329" max="13329" width="8.26953125" style="4" bestFit="1" customWidth="1"/>
    <col min="13330" max="13330" width="6.453125" style="4" bestFit="1" customWidth="1"/>
    <col min="13331" max="13331" width="10" style="4" bestFit="1" customWidth="1"/>
    <col min="13332" max="13332" width="29.7265625" style="4" bestFit="1" customWidth="1"/>
    <col min="13333" max="13333" width="17" style="4" bestFit="1" customWidth="1"/>
    <col min="13334" max="13544" width="9.1796875" style="4"/>
    <col min="13545" max="13545" width="8.26953125" style="4" customWidth="1"/>
    <col min="13546" max="13546" width="12.26953125" style="4" bestFit="1" customWidth="1"/>
    <col min="13547" max="13547" width="23.7265625" style="4" bestFit="1" customWidth="1"/>
    <col min="13548" max="13548" width="7.54296875" style="4" customWidth="1"/>
    <col min="13549" max="13549" width="12" style="4" customWidth="1"/>
    <col min="13550" max="13550" width="9.7265625" style="4" customWidth="1"/>
    <col min="13551" max="13551" width="23.7265625" style="4" customWidth="1"/>
    <col min="13552" max="13552" width="50.7265625" style="4" customWidth="1"/>
    <col min="13553" max="13553" width="11.453125" style="4" customWidth="1"/>
    <col min="13554" max="13554" width="12.54296875" style="4" customWidth="1"/>
    <col min="13555" max="13555" width="10.26953125" style="4" customWidth="1"/>
    <col min="13556" max="13556" width="9" style="4" customWidth="1"/>
    <col min="13557" max="13557" width="11.54296875" style="4" customWidth="1"/>
    <col min="13558" max="13558" width="9.453125" style="4" customWidth="1"/>
    <col min="13559" max="13559" width="10.7265625" style="4" customWidth="1"/>
    <col min="13560" max="13560" width="8.26953125" style="4" customWidth="1"/>
    <col min="13561" max="13561" width="9.26953125" style="4" customWidth="1"/>
    <col min="13562" max="13562" width="11.54296875" style="4" customWidth="1"/>
    <col min="13563" max="13564" width="9.26953125" style="4" bestFit="1" customWidth="1"/>
    <col min="13565" max="13565" width="9.7265625" style="4" customWidth="1"/>
    <col min="13566" max="13566" width="11.54296875" style="4" bestFit="1" customWidth="1"/>
    <col min="13567" max="13567" width="9.1796875" style="4"/>
    <col min="13568" max="13570" width="0" style="4" hidden="1" customWidth="1"/>
    <col min="13571" max="13577" width="9.1796875" style="4"/>
    <col min="13578" max="13578" width="10.54296875" style="4" bestFit="1" customWidth="1"/>
    <col min="13579" max="13579" width="9.1796875" style="4"/>
    <col min="13580" max="13580" width="12.26953125" style="4" bestFit="1" customWidth="1"/>
    <col min="13581" max="13581" width="9.1796875" style="4"/>
    <col min="13582" max="13583" width="0" style="4" hidden="1" customWidth="1"/>
    <col min="13584" max="13584" width="11" style="4" bestFit="1" customWidth="1"/>
    <col min="13585" max="13585" width="8.26953125" style="4" bestFit="1" customWidth="1"/>
    <col min="13586" max="13586" width="6.453125" style="4" bestFit="1" customWidth="1"/>
    <col min="13587" max="13587" width="10" style="4" bestFit="1" customWidth="1"/>
    <col min="13588" max="13588" width="29.7265625" style="4" bestFit="1" customWidth="1"/>
    <col min="13589" max="13589" width="17" style="4" bestFit="1" customWidth="1"/>
    <col min="13590" max="13800" width="9.1796875" style="4"/>
    <col min="13801" max="13801" width="8.26953125" style="4" customWidth="1"/>
    <col min="13802" max="13802" width="12.26953125" style="4" bestFit="1" customWidth="1"/>
    <col min="13803" max="13803" width="23.7265625" style="4" bestFit="1" customWidth="1"/>
    <col min="13804" max="13804" width="7.54296875" style="4" customWidth="1"/>
    <col min="13805" max="13805" width="12" style="4" customWidth="1"/>
    <col min="13806" max="13806" width="9.7265625" style="4" customWidth="1"/>
    <col min="13807" max="13807" width="23.7265625" style="4" customWidth="1"/>
    <col min="13808" max="13808" width="50.7265625" style="4" customWidth="1"/>
    <col min="13809" max="13809" width="11.453125" style="4" customWidth="1"/>
    <col min="13810" max="13810" width="12.54296875" style="4" customWidth="1"/>
    <col min="13811" max="13811" width="10.26953125" style="4" customWidth="1"/>
    <col min="13812" max="13812" width="9" style="4" customWidth="1"/>
    <col min="13813" max="13813" width="11.54296875" style="4" customWidth="1"/>
    <col min="13814" max="13814" width="9.453125" style="4" customWidth="1"/>
    <col min="13815" max="13815" width="10.7265625" style="4" customWidth="1"/>
    <col min="13816" max="13816" width="8.26953125" style="4" customWidth="1"/>
    <col min="13817" max="13817" width="9.26953125" style="4" customWidth="1"/>
    <col min="13818" max="13818" width="11.54296875" style="4" customWidth="1"/>
    <col min="13819" max="13820" width="9.26953125" style="4" bestFit="1" customWidth="1"/>
    <col min="13821" max="13821" width="9.7265625" style="4" customWidth="1"/>
    <col min="13822" max="13822" width="11.54296875" style="4" bestFit="1" customWidth="1"/>
    <col min="13823" max="13823" width="9.1796875" style="4"/>
    <col min="13824" max="13826" width="0" style="4" hidden="1" customWidth="1"/>
    <col min="13827" max="13833" width="9.1796875" style="4"/>
    <col min="13834" max="13834" width="10.54296875" style="4" bestFit="1" customWidth="1"/>
    <col min="13835" max="13835" width="9.1796875" style="4"/>
    <col min="13836" max="13836" width="12.26953125" style="4" bestFit="1" customWidth="1"/>
    <col min="13837" max="13837" width="9.1796875" style="4"/>
    <col min="13838" max="13839" width="0" style="4" hidden="1" customWidth="1"/>
    <col min="13840" max="13840" width="11" style="4" bestFit="1" customWidth="1"/>
    <col min="13841" max="13841" width="8.26953125" style="4" bestFit="1" customWidth="1"/>
    <col min="13842" max="13842" width="6.453125" style="4" bestFit="1" customWidth="1"/>
    <col min="13843" max="13843" width="10" style="4" bestFit="1" customWidth="1"/>
    <col min="13844" max="13844" width="29.7265625" style="4" bestFit="1" customWidth="1"/>
    <col min="13845" max="13845" width="17" style="4" bestFit="1" customWidth="1"/>
    <col min="13846" max="14056" width="9.1796875" style="4"/>
    <col min="14057" max="14057" width="8.26953125" style="4" customWidth="1"/>
    <col min="14058" max="14058" width="12.26953125" style="4" bestFit="1" customWidth="1"/>
    <col min="14059" max="14059" width="23.7265625" style="4" bestFit="1" customWidth="1"/>
    <col min="14060" max="14060" width="7.54296875" style="4" customWidth="1"/>
    <col min="14061" max="14061" width="12" style="4" customWidth="1"/>
    <col min="14062" max="14062" width="9.7265625" style="4" customWidth="1"/>
    <col min="14063" max="14063" width="23.7265625" style="4" customWidth="1"/>
    <col min="14064" max="14064" width="50.7265625" style="4" customWidth="1"/>
    <col min="14065" max="14065" width="11.453125" style="4" customWidth="1"/>
    <col min="14066" max="14066" width="12.54296875" style="4" customWidth="1"/>
    <col min="14067" max="14067" width="10.26953125" style="4" customWidth="1"/>
    <col min="14068" max="14068" width="9" style="4" customWidth="1"/>
    <col min="14069" max="14069" width="11.54296875" style="4" customWidth="1"/>
    <col min="14070" max="14070" width="9.453125" style="4" customWidth="1"/>
    <col min="14071" max="14071" width="10.7265625" style="4" customWidth="1"/>
    <col min="14072" max="14072" width="8.26953125" style="4" customWidth="1"/>
    <col min="14073" max="14073" width="9.26953125" style="4" customWidth="1"/>
    <col min="14074" max="14074" width="11.54296875" style="4" customWidth="1"/>
    <col min="14075" max="14076" width="9.26953125" style="4" bestFit="1" customWidth="1"/>
    <col min="14077" max="14077" width="9.7265625" style="4" customWidth="1"/>
    <col min="14078" max="14078" width="11.54296875" style="4" bestFit="1" customWidth="1"/>
    <col min="14079" max="14079" width="9.1796875" style="4"/>
    <col min="14080" max="14082" width="0" style="4" hidden="1" customWidth="1"/>
    <col min="14083" max="14089" width="9.1796875" style="4"/>
    <col min="14090" max="14090" width="10.54296875" style="4" bestFit="1" customWidth="1"/>
    <col min="14091" max="14091" width="9.1796875" style="4"/>
    <col min="14092" max="14092" width="12.26953125" style="4" bestFit="1" customWidth="1"/>
    <col min="14093" max="14093" width="9.1796875" style="4"/>
    <col min="14094" max="14095" width="0" style="4" hidden="1" customWidth="1"/>
    <col min="14096" max="14096" width="11" style="4" bestFit="1" customWidth="1"/>
    <col min="14097" max="14097" width="8.26953125" style="4" bestFit="1" customWidth="1"/>
    <col min="14098" max="14098" width="6.453125" style="4" bestFit="1" customWidth="1"/>
    <col min="14099" max="14099" width="10" style="4" bestFit="1" customWidth="1"/>
    <col min="14100" max="14100" width="29.7265625" style="4" bestFit="1" customWidth="1"/>
    <col min="14101" max="14101" width="17" style="4" bestFit="1" customWidth="1"/>
    <col min="14102" max="14312" width="9.1796875" style="4"/>
    <col min="14313" max="14313" width="8.26953125" style="4" customWidth="1"/>
    <col min="14314" max="14314" width="12.26953125" style="4" bestFit="1" customWidth="1"/>
    <col min="14315" max="14315" width="23.7265625" style="4" bestFit="1" customWidth="1"/>
    <col min="14316" max="14316" width="7.54296875" style="4" customWidth="1"/>
    <col min="14317" max="14317" width="12" style="4" customWidth="1"/>
    <col min="14318" max="14318" width="9.7265625" style="4" customWidth="1"/>
    <col min="14319" max="14319" width="23.7265625" style="4" customWidth="1"/>
    <col min="14320" max="14320" width="50.7265625" style="4" customWidth="1"/>
    <col min="14321" max="14321" width="11.453125" style="4" customWidth="1"/>
    <col min="14322" max="14322" width="12.54296875" style="4" customWidth="1"/>
    <col min="14323" max="14323" width="10.26953125" style="4" customWidth="1"/>
    <col min="14324" max="14324" width="9" style="4" customWidth="1"/>
    <col min="14325" max="14325" width="11.54296875" style="4" customWidth="1"/>
    <col min="14326" max="14326" width="9.453125" style="4" customWidth="1"/>
    <col min="14327" max="14327" width="10.7265625" style="4" customWidth="1"/>
    <col min="14328" max="14328" width="8.26953125" style="4" customWidth="1"/>
    <col min="14329" max="14329" width="9.26953125" style="4" customWidth="1"/>
    <col min="14330" max="14330" width="11.54296875" style="4" customWidth="1"/>
    <col min="14331" max="14332" width="9.26953125" style="4" bestFit="1" customWidth="1"/>
    <col min="14333" max="14333" width="9.7265625" style="4" customWidth="1"/>
    <col min="14334" max="14334" width="11.54296875" style="4" bestFit="1" customWidth="1"/>
    <col min="14335" max="14335" width="9.1796875" style="4"/>
    <col min="14336" max="14338" width="0" style="4" hidden="1" customWidth="1"/>
    <col min="14339" max="14345" width="9.1796875" style="4"/>
    <col min="14346" max="14346" width="10.54296875" style="4" bestFit="1" customWidth="1"/>
    <col min="14347" max="14347" width="9.1796875" style="4"/>
    <col min="14348" max="14348" width="12.26953125" style="4" bestFit="1" customWidth="1"/>
    <col min="14349" max="14349" width="9.1796875" style="4"/>
    <col min="14350" max="14351" width="0" style="4" hidden="1" customWidth="1"/>
    <col min="14352" max="14352" width="11" style="4" bestFit="1" customWidth="1"/>
    <col min="14353" max="14353" width="8.26953125" style="4" bestFit="1" customWidth="1"/>
    <col min="14354" max="14354" width="6.453125" style="4" bestFit="1" customWidth="1"/>
    <col min="14355" max="14355" width="10" style="4" bestFit="1" customWidth="1"/>
    <col min="14356" max="14356" width="29.7265625" style="4" bestFit="1" customWidth="1"/>
    <col min="14357" max="14357" width="17" style="4" bestFit="1" customWidth="1"/>
    <col min="14358" max="14568" width="9.1796875" style="4"/>
    <col min="14569" max="14569" width="8.26953125" style="4" customWidth="1"/>
    <col min="14570" max="14570" width="12.26953125" style="4" bestFit="1" customWidth="1"/>
    <col min="14571" max="14571" width="23.7265625" style="4" bestFit="1" customWidth="1"/>
    <col min="14572" max="14572" width="7.54296875" style="4" customWidth="1"/>
    <col min="14573" max="14573" width="12" style="4" customWidth="1"/>
    <col min="14574" max="14574" width="9.7265625" style="4" customWidth="1"/>
    <col min="14575" max="14575" width="23.7265625" style="4" customWidth="1"/>
    <col min="14576" max="14576" width="50.7265625" style="4" customWidth="1"/>
    <col min="14577" max="14577" width="11.453125" style="4" customWidth="1"/>
    <col min="14578" max="14578" width="12.54296875" style="4" customWidth="1"/>
    <col min="14579" max="14579" width="10.26953125" style="4" customWidth="1"/>
    <col min="14580" max="14580" width="9" style="4" customWidth="1"/>
    <col min="14581" max="14581" width="11.54296875" style="4" customWidth="1"/>
    <col min="14582" max="14582" width="9.453125" style="4" customWidth="1"/>
    <col min="14583" max="14583" width="10.7265625" style="4" customWidth="1"/>
    <col min="14584" max="14584" width="8.26953125" style="4" customWidth="1"/>
    <col min="14585" max="14585" width="9.26953125" style="4" customWidth="1"/>
    <col min="14586" max="14586" width="11.54296875" style="4" customWidth="1"/>
    <col min="14587" max="14588" width="9.26953125" style="4" bestFit="1" customWidth="1"/>
    <col min="14589" max="14589" width="9.7265625" style="4" customWidth="1"/>
    <col min="14590" max="14590" width="11.54296875" style="4" bestFit="1" customWidth="1"/>
    <col min="14591" max="14591" width="9.1796875" style="4"/>
    <col min="14592" max="14594" width="0" style="4" hidden="1" customWidth="1"/>
    <col min="14595" max="14601" width="9.1796875" style="4"/>
    <col min="14602" max="14602" width="10.54296875" style="4" bestFit="1" customWidth="1"/>
    <col min="14603" max="14603" width="9.1796875" style="4"/>
    <col min="14604" max="14604" width="12.26953125" style="4" bestFit="1" customWidth="1"/>
    <col min="14605" max="14605" width="9.1796875" style="4"/>
    <col min="14606" max="14607" width="0" style="4" hidden="1" customWidth="1"/>
    <col min="14608" max="14608" width="11" style="4" bestFit="1" customWidth="1"/>
    <col min="14609" max="14609" width="8.26953125" style="4" bestFit="1" customWidth="1"/>
    <col min="14610" max="14610" width="6.453125" style="4" bestFit="1" customWidth="1"/>
    <col min="14611" max="14611" width="10" style="4" bestFit="1" customWidth="1"/>
    <col min="14612" max="14612" width="29.7265625" style="4" bestFit="1" customWidth="1"/>
    <col min="14613" max="14613" width="17" style="4" bestFit="1" customWidth="1"/>
    <col min="14614" max="14824" width="9.1796875" style="4"/>
    <col min="14825" max="14825" width="8.26953125" style="4" customWidth="1"/>
    <col min="14826" max="14826" width="12.26953125" style="4" bestFit="1" customWidth="1"/>
    <col min="14827" max="14827" width="23.7265625" style="4" bestFit="1" customWidth="1"/>
    <col min="14828" max="14828" width="7.54296875" style="4" customWidth="1"/>
    <col min="14829" max="14829" width="12" style="4" customWidth="1"/>
    <col min="14830" max="14830" width="9.7265625" style="4" customWidth="1"/>
    <col min="14831" max="14831" width="23.7265625" style="4" customWidth="1"/>
    <col min="14832" max="14832" width="50.7265625" style="4" customWidth="1"/>
    <col min="14833" max="14833" width="11.453125" style="4" customWidth="1"/>
    <col min="14834" max="14834" width="12.54296875" style="4" customWidth="1"/>
    <col min="14835" max="14835" width="10.26953125" style="4" customWidth="1"/>
    <col min="14836" max="14836" width="9" style="4" customWidth="1"/>
    <col min="14837" max="14837" width="11.54296875" style="4" customWidth="1"/>
    <col min="14838" max="14838" width="9.453125" style="4" customWidth="1"/>
    <col min="14839" max="14839" width="10.7265625" style="4" customWidth="1"/>
    <col min="14840" max="14840" width="8.26953125" style="4" customWidth="1"/>
    <col min="14841" max="14841" width="9.26953125" style="4" customWidth="1"/>
    <col min="14842" max="14842" width="11.54296875" style="4" customWidth="1"/>
    <col min="14843" max="14844" width="9.26953125" style="4" bestFit="1" customWidth="1"/>
    <col min="14845" max="14845" width="9.7265625" style="4" customWidth="1"/>
    <col min="14846" max="14846" width="11.54296875" style="4" bestFit="1" customWidth="1"/>
    <col min="14847" max="14847" width="9.1796875" style="4"/>
    <col min="14848" max="14850" width="0" style="4" hidden="1" customWidth="1"/>
    <col min="14851" max="14857" width="9.1796875" style="4"/>
    <col min="14858" max="14858" width="10.54296875" style="4" bestFit="1" customWidth="1"/>
    <col min="14859" max="14859" width="9.1796875" style="4"/>
    <col min="14860" max="14860" width="12.26953125" style="4" bestFit="1" customWidth="1"/>
    <col min="14861" max="14861" width="9.1796875" style="4"/>
    <col min="14862" max="14863" width="0" style="4" hidden="1" customWidth="1"/>
    <col min="14864" max="14864" width="11" style="4" bestFit="1" customWidth="1"/>
    <col min="14865" max="14865" width="8.26953125" style="4" bestFit="1" customWidth="1"/>
    <col min="14866" max="14866" width="6.453125" style="4" bestFit="1" customWidth="1"/>
    <col min="14867" max="14867" width="10" style="4" bestFit="1" customWidth="1"/>
    <col min="14868" max="14868" width="29.7265625" style="4" bestFit="1" customWidth="1"/>
    <col min="14869" max="14869" width="17" style="4" bestFit="1" customWidth="1"/>
    <col min="14870" max="15080" width="9.1796875" style="4"/>
    <col min="15081" max="15081" width="8.26953125" style="4" customWidth="1"/>
    <col min="15082" max="15082" width="12.26953125" style="4" bestFit="1" customWidth="1"/>
    <col min="15083" max="15083" width="23.7265625" style="4" bestFit="1" customWidth="1"/>
    <col min="15084" max="15084" width="7.54296875" style="4" customWidth="1"/>
    <col min="15085" max="15085" width="12" style="4" customWidth="1"/>
    <col min="15086" max="15086" width="9.7265625" style="4" customWidth="1"/>
    <col min="15087" max="15087" width="23.7265625" style="4" customWidth="1"/>
    <col min="15088" max="15088" width="50.7265625" style="4" customWidth="1"/>
    <col min="15089" max="15089" width="11.453125" style="4" customWidth="1"/>
    <col min="15090" max="15090" width="12.54296875" style="4" customWidth="1"/>
    <col min="15091" max="15091" width="10.26953125" style="4" customWidth="1"/>
    <col min="15092" max="15092" width="9" style="4" customWidth="1"/>
    <col min="15093" max="15093" width="11.54296875" style="4" customWidth="1"/>
    <col min="15094" max="15094" width="9.453125" style="4" customWidth="1"/>
    <col min="15095" max="15095" width="10.7265625" style="4" customWidth="1"/>
    <col min="15096" max="15096" width="8.26953125" style="4" customWidth="1"/>
    <col min="15097" max="15097" width="9.26953125" style="4" customWidth="1"/>
    <col min="15098" max="15098" width="11.54296875" style="4" customWidth="1"/>
    <col min="15099" max="15100" width="9.26953125" style="4" bestFit="1" customWidth="1"/>
    <col min="15101" max="15101" width="9.7265625" style="4" customWidth="1"/>
    <col min="15102" max="15102" width="11.54296875" style="4" bestFit="1" customWidth="1"/>
    <col min="15103" max="15103" width="9.1796875" style="4"/>
    <col min="15104" max="15106" width="0" style="4" hidden="1" customWidth="1"/>
    <col min="15107" max="15113" width="9.1796875" style="4"/>
    <col min="15114" max="15114" width="10.54296875" style="4" bestFit="1" customWidth="1"/>
    <col min="15115" max="15115" width="9.1796875" style="4"/>
    <col min="15116" max="15116" width="12.26953125" style="4" bestFit="1" customWidth="1"/>
    <col min="15117" max="15117" width="9.1796875" style="4"/>
    <col min="15118" max="15119" width="0" style="4" hidden="1" customWidth="1"/>
    <col min="15120" max="15120" width="11" style="4" bestFit="1" customWidth="1"/>
    <col min="15121" max="15121" width="8.26953125" style="4" bestFit="1" customWidth="1"/>
    <col min="15122" max="15122" width="6.453125" style="4" bestFit="1" customWidth="1"/>
    <col min="15123" max="15123" width="10" style="4" bestFit="1" customWidth="1"/>
    <col min="15124" max="15124" width="29.7265625" style="4" bestFit="1" customWidth="1"/>
    <col min="15125" max="15125" width="17" style="4" bestFit="1" customWidth="1"/>
    <col min="15126" max="15336" width="9.1796875" style="4"/>
    <col min="15337" max="15337" width="8.26953125" style="4" customWidth="1"/>
    <col min="15338" max="15338" width="12.26953125" style="4" bestFit="1" customWidth="1"/>
    <col min="15339" max="15339" width="23.7265625" style="4" bestFit="1" customWidth="1"/>
    <col min="15340" max="15340" width="7.54296875" style="4" customWidth="1"/>
    <col min="15341" max="15341" width="12" style="4" customWidth="1"/>
    <col min="15342" max="15342" width="9.7265625" style="4" customWidth="1"/>
    <col min="15343" max="15343" width="23.7265625" style="4" customWidth="1"/>
    <col min="15344" max="15344" width="50.7265625" style="4" customWidth="1"/>
    <col min="15345" max="15345" width="11.453125" style="4" customWidth="1"/>
    <col min="15346" max="15346" width="12.54296875" style="4" customWidth="1"/>
    <col min="15347" max="15347" width="10.26953125" style="4" customWidth="1"/>
    <col min="15348" max="15348" width="9" style="4" customWidth="1"/>
    <col min="15349" max="15349" width="11.54296875" style="4" customWidth="1"/>
    <col min="15350" max="15350" width="9.453125" style="4" customWidth="1"/>
    <col min="15351" max="15351" width="10.7265625" style="4" customWidth="1"/>
    <col min="15352" max="15352" width="8.26953125" style="4" customWidth="1"/>
    <col min="15353" max="15353" width="9.26953125" style="4" customWidth="1"/>
    <col min="15354" max="15354" width="11.54296875" style="4" customWidth="1"/>
    <col min="15355" max="15356" width="9.26953125" style="4" bestFit="1" customWidth="1"/>
    <col min="15357" max="15357" width="9.7265625" style="4" customWidth="1"/>
    <col min="15358" max="15358" width="11.54296875" style="4" bestFit="1" customWidth="1"/>
    <col min="15359" max="15359" width="9.1796875" style="4"/>
    <col min="15360" max="15362" width="0" style="4" hidden="1" customWidth="1"/>
    <col min="15363" max="15369" width="9.1796875" style="4"/>
    <col min="15370" max="15370" width="10.54296875" style="4" bestFit="1" customWidth="1"/>
    <col min="15371" max="15371" width="9.1796875" style="4"/>
    <col min="15372" max="15372" width="12.26953125" style="4" bestFit="1" customWidth="1"/>
    <col min="15373" max="15373" width="9.1796875" style="4"/>
    <col min="15374" max="15375" width="0" style="4" hidden="1" customWidth="1"/>
    <col min="15376" max="15376" width="11" style="4" bestFit="1" customWidth="1"/>
    <col min="15377" max="15377" width="8.26953125" style="4" bestFit="1" customWidth="1"/>
    <col min="15378" max="15378" width="6.453125" style="4" bestFit="1" customWidth="1"/>
    <col min="15379" max="15379" width="10" style="4" bestFit="1" customWidth="1"/>
    <col min="15380" max="15380" width="29.7265625" style="4" bestFit="1" customWidth="1"/>
    <col min="15381" max="15381" width="17" style="4" bestFit="1" customWidth="1"/>
    <col min="15382" max="15592" width="9.1796875" style="4"/>
    <col min="15593" max="15593" width="8.26953125" style="4" customWidth="1"/>
    <col min="15594" max="15594" width="12.26953125" style="4" bestFit="1" customWidth="1"/>
    <col min="15595" max="15595" width="23.7265625" style="4" bestFit="1" customWidth="1"/>
    <col min="15596" max="15596" width="7.54296875" style="4" customWidth="1"/>
    <col min="15597" max="15597" width="12" style="4" customWidth="1"/>
    <col min="15598" max="15598" width="9.7265625" style="4" customWidth="1"/>
    <col min="15599" max="15599" width="23.7265625" style="4" customWidth="1"/>
    <col min="15600" max="15600" width="50.7265625" style="4" customWidth="1"/>
    <col min="15601" max="15601" width="11.453125" style="4" customWidth="1"/>
    <col min="15602" max="15602" width="12.54296875" style="4" customWidth="1"/>
    <col min="15603" max="15603" width="10.26953125" style="4" customWidth="1"/>
    <col min="15604" max="15604" width="9" style="4" customWidth="1"/>
    <col min="15605" max="15605" width="11.54296875" style="4" customWidth="1"/>
    <col min="15606" max="15606" width="9.453125" style="4" customWidth="1"/>
    <col min="15607" max="15607" width="10.7265625" style="4" customWidth="1"/>
    <col min="15608" max="15608" width="8.26953125" style="4" customWidth="1"/>
    <col min="15609" max="15609" width="9.26953125" style="4" customWidth="1"/>
    <col min="15610" max="15610" width="11.54296875" style="4" customWidth="1"/>
    <col min="15611" max="15612" width="9.26953125" style="4" bestFit="1" customWidth="1"/>
    <col min="15613" max="15613" width="9.7265625" style="4" customWidth="1"/>
    <col min="15614" max="15614" width="11.54296875" style="4" bestFit="1" customWidth="1"/>
    <col min="15615" max="15615" width="9.1796875" style="4"/>
    <col min="15616" max="15618" width="0" style="4" hidden="1" customWidth="1"/>
    <col min="15619" max="15625" width="9.1796875" style="4"/>
    <col min="15626" max="15626" width="10.54296875" style="4" bestFit="1" customWidth="1"/>
    <col min="15627" max="15627" width="9.1796875" style="4"/>
    <col min="15628" max="15628" width="12.26953125" style="4" bestFit="1" customWidth="1"/>
    <col min="15629" max="15629" width="9.1796875" style="4"/>
    <col min="15630" max="15631" width="0" style="4" hidden="1" customWidth="1"/>
    <col min="15632" max="15632" width="11" style="4" bestFit="1" customWidth="1"/>
    <col min="15633" max="15633" width="8.26953125" style="4" bestFit="1" customWidth="1"/>
    <col min="15634" max="15634" width="6.453125" style="4" bestFit="1" customWidth="1"/>
    <col min="15635" max="15635" width="10" style="4" bestFit="1" customWidth="1"/>
    <col min="15636" max="15636" width="29.7265625" style="4" bestFit="1" customWidth="1"/>
    <col min="15637" max="15637" width="17" style="4" bestFit="1" customWidth="1"/>
    <col min="15638" max="15848" width="9.1796875" style="4"/>
    <col min="15849" max="15849" width="8.26953125" style="4" customWidth="1"/>
    <col min="15850" max="15850" width="12.26953125" style="4" bestFit="1" customWidth="1"/>
    <col min="15851" max="15851" width="23.7265625" style="4" bestFit="1" customWidth="1"/>
    <col min="15852" max="15852" width="7.54296875" style="4" customWidth="1"/>
    <col min="15853" max="15853" width="12" style="4" customWidth="1"/>
    <col min="15854" max="15854" width="9.7265625" style="4" customWidth="1"/>
    <col min="15855" max="15855" width="23.7265625" style="4" customWidth="1"/>
    <col min="15856" max="15856" width="50.7265625" style="4" customWidth="1"/>
    <col min="15857" max="15857" width="11.453125" style="4" customWidth="1"/>
    <col min="15858" max="15858" width="12.54296875" style="4" customWidth="1"/>
    <col min="15859" max="15859" width="10.26953125" style="4" customWidth="1"/>
    <col min="15860" max="15860" width="9" style="4" customWidth="1"/>
    <col min="15861" max="15861" width="11.54296875" style="4" customWidth="1"/>
    <col min="15862" max="15862" width="9.453125" style="4" customWidth="1"/>
    <col min="15863" max="15863" width="10.7265625" style="4" customWidth="1"/>
    <col min="15864" max="15864" width="8.26953125" style="4" customWidth="1"/>
    <col min="15865" max="15865" width="9.26953125" style="4" customWidth="1"/>
    <col min="15866" max="15866" width="11.54296875" style="4" customWidth="1"/>
    <col min="15867" max="15868" width="9.26953125" style="4" bestFit="1" customWidth="1"/>
    <col min="15869" max="15869" width="9.7265625" style="4" customWidth="1"/>
    <col min="15870" max="15870" width="11.54296875" style="4" bestFit="1" customWidth="1"/>
    <col min="15871" max="15871" width="9.1796875" style="4"/>
    <col min="15872" max="15874" width="0" style="4" hidden="1" customWidth="1"/>
    <col min="15875" max="15881" width="9.1796875" style="4"/>
    <col min="15882" max="15882" width="10.54296875" style="4" bestFit="1" customWidth="1"/>
    <col min="15883" max="15883" width="9.1796875" style="4"/>
    <col min="15884" max="15884" width="12.26953125" style="4" bestFit="1" customWidth="1"/>
    <col min="15885" max="15885" width="9.1796875" style="4"/>
    <col min="15886" max="15887" width="0" style="4" hidden="1" customWidth="1"/>
    <col min="15888" max="15888" width="11" style="4" bestFit="1" customWidth="1"/>
    <col min="15889" max="15889" width="8.26953125" style="4" bestFit="1" customWidth="1"/>
    <col min="15890" max="15890" width="6.453125" style="4" bestFit="1" customWidth="1"/>
    <col min="15891" max="15891" width="10" style="4" bestFit="1" customWidth="1"/>
    <col min="15892" max="15892" width="29.7265625" style="4" bestFit="1" customWidth="1"/>
    <col min="15893" max="15893" width="17" style="4" bestFit="1" customWidth="1"/>
    <col min="15894" max="16104" width="9.1796875" style="4"/>
    <col min="16105" max="16105" width="8.26953125" style="4" customWidth="1"/>
    <col min="16106" max="16106" width="12.26953125" style="4" bestFit="1" customWidth="1"/>
    <col min="16107" max="16107" width="23.7265625" style="4" bestFit="1" customWidth="1"/>
    <col min="16108" max="16108" width="7.54296875" style="4" customWidth="1"/>
    <col min="16109" max="16109" width="12" style="4" customWidth="1"/>
    <col min="16110" max="16110" width="9.7265625" style="4" customWidth="1"/>
    <col min="16111" max="16111" width="23.7265625" style="4" customWidth="1"/>
    <col min="16112" max="16112" width="50.7265625" style="4" customWidth="1"/>
    <col min="16113" max="16113" width="11.453125" style="4" customWidth="1"/>
    <col min="16114" max="16114" width="12.54296875" style="4" customWidth="1"/>
    <col min="16115" max="16115" width="10.26953125" style="4" customWidth="1"/>
    <col min="16116" max="16116" width="9" style="4" customWidth="1"/>
    <col min="16117" max="16117" width="11.54296875" style="4" customWidth="1"/>
    <col min="16118" max="16118" width="9.453125" style="4" customWidth="1"/>
    <col min="16119" max="16119" width="10.7265625" style="4" customWidth="1"/>
    <col min="16120" max="16120" width="8.26953125" style="4" customWidth="1"/>
    <col min="16121" max="16121" width="9.26953125" style="4" customWidth="1"/>
    <col min="16122" max="16122" width="11.54296875" style="4" customWidth="1"/>
    <col min="16123" max="16124" width="9.26953125" style="4" bestFit="1" customWidth="1"/>
    <col min="16125" max="16125" width="9.7265625" style="4" customWidth="1"/>
    <col min="16126" max="16126" width="11.54296875" style="4" bestFit="1" customWidth="1"/>
    <col min="16127" max="16127" width="9.1796875" style="4"/>
    <col min="16128" max="16130" width="0" style="4" hidden="1" customWidth="1"/>
    <col min="16131" max="16137" width="9.1796875" style="4"/>
    <col min="16138" max="16138" width="10.54296875" style="4" bestFit="1" customWidth="1"/>
    <col min="16139" max="16139" width="9.1796875" style="4"/>
    <col min="16140" max="16140" width="12.26953125" style="4" bestFit="1" customWidth="1"/>
    <col min="16141" max="16141" width="9.1796875" style="4"/>
    <col min="16142" max="16143" width="0" style="4" hidden="1" customWidth="1"/>
    <col min="16144" max="16144" width="11" style="4" bestFit="1" customWidth="1"/>
    <col min="16145" max="16145" width="8.26953125" style="4" bestFit="1" customWidth="1"/>
    <col min="16146" max="16146" width="6.453125" style="4" bestFit="1" customWidth="1"/>
    <col min="16147" max="16147" width="10" style="4" bestFit="1" customWidth="1"/>
    <col min="16148" max="16148" width="29.7265625" style="4" bestFit="1" customWidth="1"/>
    <col min="16149" max="16149" width="17" style="4" bestFit="1" customWidth="1"/>
    <col min="16150" max="16375" width="9.1796875" style="4"/>
    <col min="16376" max="16384" width="9.26953125" style="4" customWidth="1"/>
  </cols>
  <sheetData>
    <row r="1" spans="1:46" s="1" customFormat="1" ht="55.5" x14ac:dyDescent="0.25">
      <c r="A1" s="112" t="s">
        <v>0</v>
      </c>
      <c r="B1" s="112" t="s">
        <v>1</v>
      </c>
      <c r="C1" s="112" t="s">
        <v>2</v>
      </c>
      <c r="D1" s="113" t="s">
        <v>3</v>
      </c>
      <c r="E1" s="112" t="s">
        <v>4</v>
      </c>
      <c r="F1" s="113" t="s">
        <v>5</v>
      </c>
      <c r="G1" s="113" t="s">
        <v>6</v>
      </c>
      <c r="H1" s="113" t="s">
        <v>7</v>
      </c>
      <c r="I1" s="572" t="s">
        <v>8</v>
      </c>
      <c r="J1" s="117" t="s">
        <v>9</v>
      </c>
      <c r="K1" s="571" t="s">
        <v>10</v>
      </c>
      <c r="L1" s="737" t="s">
        <v>11</v>
      </c>
      <c r="M1" s="118" t="s">
        <v>12</v>
      </c>
      <c r="N1" s="118" t="s">
        <v>13</v>
      </c>
      <c r="O1" s="702" t="s">
        <v>14</v>
      </c>
      <c r="P1" s="702" t="s">
        <v>15</v>
      </c>
      <c r="Q1" s="702" t="s">
        <v>16</v>
      </c>
      <c r="R1" s="702" t="s">
        <v>17</v>
      </c>
      <c r="S1" s="702" t="s">
        <v>7</v>
      </c>
      <c r="T1" s="120" t="s">
        <v>4531</v>
      </c>
      <c r="U1" s="121" t="s">
        <v>4532</v>
      </c>
      <c r="V1" s="122" t="s">
        <v>18</v>
      </c>
      <c r="W1" s="11" t="s">
        <v>19</v>
      </c>
      <c r="X1" s="275" t="s">
        <v>20</v>
      </c>
      <c r="Z1" s="1" t="s">
        <v>21</v>
      </c>
      <c r="AC1" s="1" t="str">
        <f>IF(SUM(AC2:AC91)&lt;&gt;0,"THERE IS ERROR","ITS OKAY")</f>
        <v>ITS OKAY</v>
      </c>
      <c r="AE1" s="577" t="s">
        <v>22</v>
      </c>
      <c r="AH1"/>
      <c r="AI1"/>
      <c r="AJ1" s="274" t="s">
        <v>23</v>
      </c>
      <c r="AK1" s="274" t="s">
        <v>24</v>
      </c>
      <c r="AL1" s="274" t="s">
        <v>25</v>
      </c>
      <c r="AM1"/>
      <c r="AN1"/>
      <c r="AO1"/>
      <c r="AP1"/>
      <c r="AQ1"/>
      <c r="AR1"/>
      <c r="AS1"/>
      <c r="AT1"/>
    </row>
    <row r="2" spans="1:46" ht="15.65" customHeight="1" x14ac:dyDescent="0.35">
      <c r="A2" s="2">
        <v>1</v>
      </c>
      <c r="B2" s="2">
        <v>802065</v>
      </c>
      <c r="C2" s="2" t="s">
        <v>26</v>
      </c>
      <c r="D2" s="2">
        <v>1313</v>
      </c>
      <c r="E2" s="2" t="s">
        <v>27</v>
      </c>
      <c r="F2" s="2" t="s">
        <v>248</v>
      </c>
      <c r="G2" s="6"/>
      <c r="H2" s="6" t="s">
        <v>28</v>
      </c>
      <c r="I2" s="10">
        <f>SUMIFS('Cutters Consumption Updates'!$F:$F,'Cutters Consumption Updates'!$D:$D,I$1,'Cutters Consumption Updates'!$B:$B,$B2)-SUMIFS('Cutters Consumption Updates'!$E:$E,'Cutters Consumption Updates'!$D:$D,I$1,'Cutters Consumption Updates'!$B:$B,$B2)+ SUMIF('Cutters Consumption Updates'!$AS:$AS,$B2,'Cutters Consumption Updates'!AT:AT)</f>
        <v>0</v>
      </c>
      <c r="J2" s="10">
        <f>SUMIFS('Cutters Consumption Updates'!$F:$F,'Cutters Consumption Updates'!$D:$D,J$1,'Cutters Consumption Updates'!$B:$B,$B2)-SUMIFS('Cutters Consumption Updates'!$E:$E,'Cutters Consumption Updates'!$D:$D,J$1,'Cutters Consumption Updates'!$B:$B,$B2)+ SUMIF('Cutters Consumption Updates'!$AS:$AS,$B2,'Cutters Consumption Updates'!AU:AU)</f>
        <v>0</v>
      </c>
      <c r="K2" s="116">
        <f>SUMIFS('Cutters Consumption Updates'!$F:$F,'Cutters Consumption Updates'!$D:$D,K$1,'Cutters Consumption Updates'!$B:$B,$B2)-SUMIFS('Cutters Consumption Updates'!$E:$E,'Cutters Consumption Updates'!$D:$D,K$1,'Cutters Consumption Updates'!$B:$B,$B2)+ SUMIF('Cutters Consumption Updates'!$AS:$AS,$B2,'Cutters Consumption Updates'!AV:AV)</f>
        <v>0</v>
      </c>
      <c r="L2" s="738">
        <f>SUMIFS('Cutters Consumption Updates'!$F:$F,'Cutters Consumption Updates'!$D:$D,L$1,'Cutters Consumption Updates'!$B:$B,$B2)-SUMIFS('Cutters Consumption Updates'!$E:$E,'Cutters Consumption Updates'!$D:$D,L$1,'Cutters Consumption Updates'!$B:$B,$B2)+ SUMIF('Cutters Consumption Updates'!$AS:$AS,$B2,'Cutters Consumption Updates'!AW:AW)</f>
        <v>2</v>
      </c>
      <c r="M2" s="116">
        <f>SUMIFS('Cutters Consumption Updates'!$F:$F,'Cutters Consumption Updates'!$D:$D,M$1,'Cutters Consumption Updates'!$B:$B,$B2)-SUMIFS('Cutters Consumption Updates'!$E:$E,'Cutters Consumption Updates'!$D:$D,$M$1,'Cutters Consumption Updates'!$B:$B,$B2)+SUMIFS('Cutters Consumption Updates'!$F:$F,'Cutters Consumption Updates'!$D:$D,"Retrofit",'Cutters Consumption Updates'!$B:$B,$B2)-SUMIFS('Cutters Consumption Updates'!$E:$E,'Cutters Consumption Updates'!$D:$D,"Retrofit",'Cutters Consumption Updates'!$B:$B,$B2)+ SUMIF('Cutters Consumption Updates'!$AS:$AS,$B2,'Cutters Consumption Updates'!AX:AX)</f>
        <v>0</v>
      </c>
      <c r="N2" s="10">
        <f t="shared" ref="N2:N65" si="0">M2+I2</f>
        <v>0</v>
      </c>
      <c r="O2" s="701">
        <f ca="1">SUMIFS('Cutters Consumption Updates'!E:E,
        'Cutters Consumption Updates'!B:B, B2,
        'Cutters Consumption Updates'!A:A, "&gt;" &amp; TODAY()-182)</f>
        <v>11</v>
      </c>
      <c r="P2" s="701">
        <f ca="1">SUMIFS('Cutters Consumption Updates'!E:E,
        'Cutters Consumption Updates'!B:B, B2,
        'Cutters Consumption Updates'!A:A, "&gt;" &amp; TODAY()-91)</f>
        <v>11</v>
      </c>
      <c r="Q2" s="701">
        <f t="shared" ref="Q2:Q65" ca="1" si="1">IF(O2&lt;&gt;0,_xlfn.CEILING.MATH(O2/3),0)</f>
        <v>4</v>
      </c>
      <c r="R2" s="703">
        <f t="shared" ref="R2:R65" ca="1" si="2">IF(Q2&lt;=1, 0,
 CEILING(
  IF(Q2&gt;=300, Q2+10,
  IF(Q2&gt;=200, Q2+5,
  IF(Q2&gt;=100, Q2+5,
  IF(Q2&gt;=50, Q2+2,
  IF(Q2&gt;=20, Q2+2,
  IF(Q2&gt;=10, Q2+2,
  IF(Q2&gt;=5,  Q2+2,
  Q2+1))))))), 5))</f>
        <v>5</v>
      </c>
      <c r="S2" s="703" t="s">
        <v>29</v>
      </c>
      <c r="T2" s="24">
        <f>IFERROR(INDEX(Table5[],MATCH($B2,Table5[Component],0),2),0)</f>
        <v>0</v>
      </c>
      <c r="U2" s="24">
        <f>SUMIFS(Table7[Balance],Table7[Cutter Mat'#],$B2)</f>
        <v>0</v>
      </c>
      <c r="V2" s="24">
        <f t="shared" ref="V2:V65" si="3">N2+U2-T2</f>
        <v>0</v>
      </c>
      <c r="W2" s="119"/>
      <c r="X2" s="2"/>
      <c r="Z2" s="4">
        <f>IFERROR(INDEX(Table5[],MATCH($B2,Table5[Component],0),2),0)</f>
        <v>0</v>
      </c>
      <c r="AA2" s="4">
        <f>IFERROR(INDEX(Table5[],MATCH($B2,Table5[Component],0),1),0)</f>
        <v>0</v>
      </c>
      <c r="AB2" s="4" t="str">
        <f t="shared" ref="AB2:AB65" si="4">IF(Z2&lt;&gt;0,B2,"")</f>
        <v/>
      </c>
      <c r="AC2" s="4" t="str">
        <f t="shared" ref="AC2:AC65" si="5">IF(T2&lt;&gt;Z2,1,"")</f>
        <v/>
      </c>
      <c r="AE2" s="4">
        <f t="shared" ref="AE2:AE65" si="6">I2+J2+K2+M2</f>
        <v>0</v>
      </c>
      <c r="AF2"/>
      <c r="AJ2" s="248" t="str">
        <f t="shared" ref="AJ2:AJ65" si="7">IFERROR(INDEX($B$1:$AL$243,MATCH(X2,$B$1:$B$243,0),13),"")</f>
        <v/>
      </c>
      <c r="AK2" s="248" t="str">
        <f t="shared" ref="AK2:AK65" si="8">IFERROR(INDEX($B$1:$AL$243,MATCH(X2,$B$1:$B$243,0),15),"")</f>
        <v/>
      </c>
      <c r="AL2">
        <f t="shared" ref="AL2:AL65" si="9">SUMIF($X$2:$X$243,B2,$T$2:$T$243)</f>
        <v>0</v>
      </c>
      <c r="AQ2">
        <f>U2</f>
        <v>0</v>
      </c>
      <c r="AS2" cm="1">
        <f t="array" ref="AS2:AS305">_xlfn._xlws.SORT(_xlfn.UNIQUE(B:B))</f>
        <v>177778</v>
      </c>
      <c r="AT2">
        <f t="shared" ref="AT2:AT65" si="10">SUMIF($B:$B,AS2,$AQ:$AQ)</f>
        <v>0</v>
      </c>
    </row>
    <row r="3" spans="1:46" ht="15.65" customHeight="1" x14ac:dyDescent="0.35">
      <c r="A3" s="2">
        <v>2</v>
      </c>
      <c r="B3" s="2">
        <v>179692</v>
      </c>
      <c r="C3" s="2" t="s">
        <v>26</v>
      </c>
      <c r="D3" s="2">
        <v>1313</v>
      </c>
      <c r="E3" s="2" t="s">
        <v>30</v>
      </c>
      <c r="F3" s="2" t="s">
        <v>253</v>
      </c>
      <c r="G3" s="6"/>
      <c r="H3" s="6" t="s">
        <v>32</v>
      </c>
      <c r="I3" s="10">
        <f>SUMIFS('Cutters Consumption Updates'!$F:$F,'Cutters Consumption Updates'!$D:$D,I$1,'Cutters Consumption Updates'!$B:$B,$B3)-SUMIFS('Cutters Consumption Updates'!$E:$E,'Cutters Consumption Updates'!$D:$D,I$1,'Cutters Consumption Updates'!$B:$B,$B3)+ SUMIF('Cutters Consumption Updates'!$AS:$AS,$B3,'Cutters Consumption Updates'!AT:AT)</f>
        <v>0</v>
      </c>
      <c r="J3" s="10">
        <f>SUMIFS('Cutters Consumption Updates'!$F:$F,'Cutters Consumption Updates'!$D:$D,J$1,'Cutters Consumption Updates'!$B:$B,$B3)-SUMIFS('Cutters Consumption Updates'!$E:$E,'Cutters Consumption Updates'!$D:$D,J$1,'Cutters Consumption Updates'!$B:$B,$B3)+ SUMIF('Cutters Consumption Updates'!$AS:$AS,$B3,'Cutters Consumption Updates'!AU:AU)</f>
        <v>12</v>
      </c>
      <c r="K3" s="116">
        <f>SUMIFS('Cutters Consumption Updates'!$F:$F,'Cutters Consumption Updates'!$D:$D,K$1,'Cutters Consumption Updates'!$B:$B,$B3)-SUMIFS('Cutters Consumption Updates'!$E:$E,'Cutters Consumption Updates'!$D:$D,K$1,'Cutters Consumption Updates'!$B:$B,$B3)+ SUMIF('Cutters Consumption Updates'!$AS:$AS,$B3,'Cutters Consumption Updates'!AV:AV)</f>
        <v>0</v>
      </c>
      <c r="L3" s="738">
        <f>SUMIFS('Cutters Consumption Updates'!$F:$F,'Cutters Consumption Updates'!$D:$D,L$1,'Cutters Consumption Updates'!$B:$B,$B3)-SUMIFS('Cutters Consumption Updates'!$E:$E,'Cutters Consumption Updates'!$D:$D,L$1,'Cutters Consumption Updates'!$B:$B,$B3)+ SUMIF('Cutters Consumption Updates'!$AS:$AS,$B3,'Cutters Consumption Updates'!AW:AW)</f>
        <v>0</v>
      </c>
      <c r="M3" s="116">
        <f>SUMIFS('Cutters Consumption Updates'!$F:$F,'Cutters Consumption Updates'!$D:$D,M$1,'Cutters Consumption Updates'!$B:$B,$B3)-SUMIFS('Cutters Consumption Updates'!$E:$E,'Cutters Consumption Updates'!$D:$D,$M$1,'Cutters Consumption Updates'!$B:$B,$B3)+SUMIFS('Cutters Consumption Updates'!$F:$F,'Cutters Consumption Updates'!$D:$D,"Retrofit",'Cutters Consumption Updates'!$B:$B,$B3)-SUMIFS('Cutters Consumption Updates'!$E:$E,'Cutters Consumption Updates'!$D:$D,"Retrofit",'Cutters Consumption Updates'!$B:$B,$B3)+ SUMIF('Cutters Consumption Updates'!$AS:$AS,$B3,'Cutters Consumption Updates'!AX:AX)</f>
        <v>0</v>
      </c>
      <c r="N3" s="10">
        <f t="shared" si="0"/>
        <v>0</v>
      </c>
      <c r="O3" s="701">
        <f ca="1">SUMIFS('Cutters Consumption Updates'!E:E,
        'Cutters Consumption Updates'!B:B, B3,
        'Cutters Consumption Updates'!A:A, "&gt;" &amp; TODAY()-182)</f>
        <v>0</v>
      </c>
      <c r="P3" s="701">
        <f ca="1">SUMIFS('Cutters Consumption Updates'!E:E,
        'Cutters Consumption Updates'!B:B, B3,
        'Cutters Consumption Updates'!A:A, "&gt;" &amp; TODAY()-91)</f>
        <v>0</v>
      </c>
      <c r="Q3" s="701">
        <f t="shared" ca="1" si="1"/>
        <v>0</v>
      </c>
      <c r="R3" s="703">
        <f t="shared" ca="1" si="2"/>
        <v>0</v>
      </c>
      <c r="S3" s="703" t="s">
        <v>29</v>
      </c>
      <c r="T3" s="24">
        <f>IFERROR(INDEX(Table5[],MATCH($B3,Table5[Component],0),2),0)</f>
        <v>0</v>
      </c>
      <c r="U3" s="24">
        <f>SUMIFS(Table7[Balance],Table7[Cutter Mat'#],$B3)</f>
        <v>0</v>
      </c>
      <c r="V3" s="24">
        <f t="shared" si="3"/>
        <v>0</v>
      </c>
      <c r="W3" s="119"/>
      <c r="X3" s="2"/>
      <c r="Z3" s="4">
        <f>IFERROR(INDEX(Table5[],MATCH($B3,Table5[Component],0),2),0)</f>
        <v>0</v>
      </c>
      <c r="AA3" s="4">
        <f>IFERROR(INDEX(Table5[],MATCH($B3,Table5[Component],0),1),0)</f>
        <v>0</v>
      </c>
      <c r="AB3" s="4" t="str">
        <f t="shared" si="4"/>
        <v/>
      </c>
      <c r="AC3" s="4" t="str">
        <f t="shared" si="5"/>
        <v/>
      </c>
      <c r="AE3" s="4">
        <f t="shared" si="6"/>
        <v>12</v>
      </c>
      <c r="AF3"/>
      <c r="AJ3" s="248" t="str">
        <f t="shared" si="7"/>
        <v/>
      </c>
      <c r="AK3" s="248" t="str">
        <f t="shared" si="8"/>
        <v/>
      </c>
      <c r="AL3">
        <f t="shared" si="9"/>
        <v>0</v>
      </c>
      <c r="AQ3">
        <f t="shared" ref="AQ3:AQ66" si="11">U3</f>
        <v>0</v>
      </c>
      <c r="AS3">
        <v>179692</v>
      </c>
      <c r="AT3">
        <f t="shared" si="10"/>
        <v>0</v>
      </c>
    </row>
    <row r="4" spans="1:46" ht="15.65" customHeight="1" x14ac:dyDescent="0.35">
      <c r="A4" s="2">
        <v>3</v>
      </c>
      <c r="B4" s="2">
        <v>179694</v>
      </c>
      <c r="C4" s="2" t="s">
        <v>26</v>
      </c>
      <c r="D4" s="2">
        <v>1308</v>
      </c>
      <c r="E4" s="3" t="s">
        <v>30</v>
      </c>
      <c r="F4" s="3" t="s">
        <v>253</v>
      </c>
      <c r="G4" s="13"/>
      <c r="H4" s="6" t="s">
        <v>32</v>
      </c>
      <c r="I4" s="10">
        <f>SUMIFS('Cutters Consumption Updates'!$F:$F,'Cutters Consumption Updates'!$D:$D,I$1,'Cutters Consumption Updates'!$B:$B,$B4)-SUMIFS('Cutters Consumption Updates'!$E:$E,'Cutters Consumption Updates'!$D:$D,I$1,'Cutters Consumption Updates'!$B:$B,$B4)+ SUMIF('Cutters Consumption Updates'!$AS:$AS,$B4,'Cutters Consumption Updates'!AT:AT)</f>
        <v>0</v>
      </c>
      <c r="J4" s="10">
        <f>SUMIFS('Cutters Consumption Updates'!$F:$F,'Cutters Consumption Updates'!$D:$D,J$1,'Cutters Consumption Updates'!$B:$B,$B4)-SUMIFS('Cutters Consumption Updates'!$E:$E,'Cutters Consumption Updates'!$D:$D,J$1,'Cutters Consumption Updates'!$B:$B,$B4)+ SUMIF('Cutters Consumption Updates'!$AS:$AS,$B4,'Cutters Consumption Updates'!AU:AU)</f>
        <v>8</v>
      </c>
      <c r="K4" s="116">
        <f>SUMIFS('Cutters Consumption Updates'!$F:$F,'Cutters Consumption Updates'!$D:$D,K$1,'Cutters Consumption Updates'!$B:$B,$B4)-SUMIFS('Cutters Consumption Updates'!$E:$E,'Cutters Consumption Updates'!$D:$D,K$1,'Cutters Consumption Updates'!$B:$B,$B4)+ SUMIF('Cutters Consumption Updates'!$AS:$AS,$B4,'Cutters Consumption Updates'!AV:AV)</f>
        <v>0</v>
      </c>
      <c r="L4" s="738">
        <f>SUMIFS('Cutters Consumption Updates'!$F:$F,'Cutters Consumption Updates'!$D:$D,L$1,'Cutters Consumption Updates'!$B:$B,$B4)-SUMIFS('Cutters Consumption Updates'!$E:$E,'Cutters Consumption Updates'!$D:$D,L$1,'Cutters Consumption Updates'!$B:$B,$B4)+ SUMIF('Cutters Consumption Updates'!$AS:$AS,$B4,'Cutters Consumption Updates'!AW:AW)</f>
        <v>0</v>
      </c>
      <c r="M4" s="116">
        <f>SUMIFS('Cutters Consumption Updates'!$F:$F,'Cutters Consumption Updates'!$D:$D,M$1,'Cutters Consumption Updates'!$B:$B,$B4)-SUMIFS('Cutters Consumption Updates'!$E:$E,'Cutters Consumption Updates'!$D:$D,$M$1,'Cutters Consumption Updates'!$B:$B,$B4)+SUMIFS('Cutters Consumption Updates'!$F:$F,'Cutters Consumption Updates'!$D:$D,"Retrofit",'Cutters Consumption Updates'!$B:$B,$B4)-SUMIFS('Cutters Consumption Updates'!$E:$E,'Cutters Consumption Updates'!$D:$D,"Retrofit",'Cutters Consumption Updates'!$B:$B,$B4)+ SUMIF('Cutters Consumption Updates'!$AS:$AS,$B4,'Cutters Consumption Updates'!AX:AX)</f>
        <v>0</v>
      </c>
      <c r="N4" s="10">
        <f t="shared" si="0"/>
        <v>0</v>
      </c>
      <c r="O4" s="701">
        <f ca="1">SUMIFS('Cutters Consumption Updates'!E:E,
        'Cutters Consumption Updates'!B:B, B4,
        'Cutters Consumption Updates'!A:A, "&gt;" &amp; TODAY()-182)</f>
        <v>0</v>
      </c>
      <c r="P4" s="701">
        <f ca="1">SUMIFS('Cutters Consumption Updates'!E:E,
        'Cutters Consumption Updates'!B:B, B4,
        'Cutters Consumption Updates'!A:A, "&gt;" &amp; TODAY()-91)</f>
        <v>0</v>
      </c>
      <c r="Q4" s="701">
        <f t="shared" ca="1" si="1"/>
        <v>0</v>
      </c>
      <c r="R4" s="703">
        <f t="shared" ca="1" si="2"/>
        <v>0</v>
      </c>
      <c r="S4" s="703" t="s">
        <v>29</v>
      </c>
      <c r="T4" s="24">
        <f>IFERROR(INDEX(Table5[],MATCH($B4,Table5[Component],0),2),0)</f>
        <v>0</v>
      </c>
      <c r="U4" s="24">
        <f>SUMIFS(Table7[Balance],Table7[Cutter Mat'#],$B4)</f>
        <v>0</v>
      </c>
      <c r="V4" s="24">
        <f t="shared" si="3"/>
        <v>0</v>
      </c>
      <c r="W4" s="119"/>
      <c r="X4" s="2"/>
      <c r="Z4" s="4">
        <f>IFERROR(INDEX(Table5[],MATCH($B4,Table5[Component],0),2),0)</f>
        <v>0</v>
      </c>
      <c r="AA4" s="4">
        <f>IFERROR(INDEX(Table5[],MATCH($B4,Table5[Component],0),1),0)</f>
        <v>0</v>
      </c>
      <c r="AB4" s="4" t="str">
        <f t="shared" si="4"/>
        <v/>
      </c>
      <c r="AC4" s="4" t="str">
        <f t="shared" si="5"/>
        <v/>
      </c>
      <c r="AE4" s="4">
        <f t="shared" si="6"/>
        <v>8</v>
      </c>
      <c r="AF4"/>
      <c r="AJ4" s="248" t="str">
        <f t="shared" si="7"/>
        <v/>
      </c>
      <c r="AK4" s="248" t="str">
        <f t="shared" si="8"/>
        <v/>
      </c>
      <c r="AL4">
        <f t="shared" si="9"/>
        <v>0</v>
      </c>
      <c r="AQ4">
        <f t="shared" si="11"/>
        <v>0</v>
      </c>
      <c r="AS4">
        <v>179694</v>
      </c>
      <c r="AT4">
        <f t="shared" si="10"/>
        <v>0</v>
      </c>
    </row>
    <row r="5" spans="1:46" ht="15.65" customHeight="1" x14ac:dyDescent="0.35">
      <c r="A5" s="2">
        <v>4</v>
      </c>
      <c r="B5" s="2">
        <v>179734</v>
      </c>
      <c r="C5" s="2" t="s">
        <v>33</v>
      </c>
      <c r="D5" s="2" t="s">
        <v>34</v>
      </c>
      <c r="E5" s="3" t="s">
        <v>35</v>
      </c>
      <c r="F5" s="3"/>
      <c r="G5" s="13"/>
      <c r="H5" s="6" t="s">
        <v>36</v>
      </c>
      <c r="I5" s="10">
        <f>SUMIFS('Cutters Consumption Updates'!$F:$F,'Cutters Consumption Updates'!$D:$D,I$1,'Cutters Consumption Updates'!$B:$B,$B5)-SUMIFS('Cutters Consumption Updates'!$E:$E,'Cutters Consumption Updates'!$D:$D,I$1,'Cutters Consumption Updates'!$B:$B,$B5)+ SUMIF('Cutters Consumption Updates'!$AS:$AS,$B5,'Cutters Consumption Updates'!AT:AT)</f>
        <v>0</v>
      </c>
      <c r="J5" s="10">
        <f>SUMIFS('Cutters Consumption Updates'!$F:$F,'Cutters Consumption Updates'!$D:$D,J$1,'Cutters Consumption Updates'!$B:$B,$B5)-SUMIFS('Cutters Consumption Updates'!$E:$E,'Cutters Consumption Updates'!$D:$D,J$1,'Cutters Consumption Updates'!$B:$B,$B5)+ SUMIF('Cutters Consumption Updates'!$AS:$AS,$B5,'Cutters Consumption Updates'!AU:AU)</f>
        <v>0</v>
      </c>
      <c r="K5" s="116">
        <f>SUMIFS('Cutters Consumption Updates'!$F:$F,'Cutters Consumption Updates'!$D:$D,K$1,'Cutters Consumption Updates'!$B:$B,$B5)-SUMIFS('Cutters Consumption Updates'!$E:$E,'Cutters Consumption Updates'!$D:$D,K$1,'Cutters Consumption Updates'!$B:$B,$B5)+ SUMIF('Cutters Consumption Updates'!$AS:$AS,$B5,'Cutters Consumption Updates'!AV:AV)</f>
        <v>0</v>
      </c>
      <c r="L5" s="738">
        <f>SUMIFS('Cutters Consumption Updates'!$F:$F,'Cutters Consumption Updates'!$D:$D,L$1,'Cutters Consumption Updates'!$B:$B,$B5)-SUMIFS('Cutters Consumption Updates'!$E:$E,'Cutters Consumption Updates'!$D:$D,L$1,'Cutters Consumption Updates'!$B:$B,$B5)+ SUMIF('Cutters Consumption Updates'!$AS:$AS,$B5,'Cutters Consumption Updates'!AW:AW)</f>
        <v>9</v>
      </c>
      <c r="M5" s="116">
        <f>SUMIFS('Cutters Consumption Updates'!$F:$F,'Cutters Consumption Updates'!$D:$D,M$1,'Cutters Consumption Updates'!$B:$B,$B5)-SUMIFS('Cutters Consumption Updates'!$E:$E,'Cutters Consumption Updates'!$D:$D,$M$1,'Cutters Consumption Updates'!$B:$B,$B5)+SUMIFS('Cutters Consumption Updates'!$F:$F,'Cutters Consumption Updates'!$D:$D,"Retrofit",'Cutters Consumption Updates'!$B:$B,$B5)-SUMIFS('Cutters Consumption Updates'!$E:$E,'Cutters Consumption Updates'!$D:$D,"Retrofit",'Cutters Consumption Updates'!$B:$B,$B5)+ SUMIF('Cutters Consumption Updates'!$AS:$AS,$B5,'Cutters Consumption Updates'!AX:AX)</f>
        <v>137</v>
      </c>
      <c r="N5" s="10">
        <f t="shared" si="0"/>
        <v>137</v>
      </c>
      <c r="O5" s="701">
        <f ca="1">SUMIFS('Cutters Consumption Updates'!E:E,
        'Cutters Consumption Updates'!B:B, B5,
        'Cutters Consumption Updates'!A:A, "&gt;" &amp; TODAY()-182)</f>
        <v>140</v>
      </c>
      <c r="P5" s="701">
        <f ca="1">SUMIFS('Cutters Consumption Updates'!E:E,
        'Cutters Consumption Updates'!B:B, B5,
        'Cutters Consumption Updates'!A:A, "&gt;" &amp; TODAY()-91)</f>
        <v>70</v>
      </c>
      <c r="Q5" s="701">
        <f t="shared" ca="1" si="1"/>
        <v>47</v>
      </c>
      <c r="R5" s="703">
        <f t="shared" ca="1" si="2"/>
        <v>50</v>
      </c>
      <c r="S5" s="703" t="s">
        <v>29</v>
      </c>
      <c r="T5" s="24">
        <f>IFERROR(INDEX(Table5[],MATCH($B5,Table5[Component],0),2),0)</f>
        <v>342</v>
      </c>
      <c r="U5" s="24">
        <f>SUMIFS(Table7[Balance],Table7[Cutter Mat'#],$B5)</f>
        <v>0</v>
      </c>
      <c r="V5" s="24">
        <f t="shared" si="3"/>
        <v>-205</v>
      </c>
      <c r="W5" s="119"/>
      <c r="X5" s="2"/>
      <c r="Z5" s="4">
        <f>IFERROR(INDEX(Table5[],MATCH($B5,Table5[Component],0),2),0)</f>
        <v>342</v>
      </c>
      <c r="AA5" s="4">
        <f>IFERROR(INDEX(Table5[],MATCH($B5,Table5[Component],0),1),0)</f>
        <v>179734</v>
      </c>
      <c r="AB5" s="4">
        <f t="shared" si="4"/>
        <v>179734</v>
      </c>
      <c r="AC5" s="4" t="str">
        <f t="shared" si="5"/>
        <v/>
      </c>
      <c r="AE5" s="4">
        <f t="shared" si="6"/>
        <v>137</v>
      </c>
      <c r="AF5"/>
      <c r="AJ5" s="248" t="str">
        <f t="shared" si="7"/>
        <v/>
      </c>
      <c r="AK5" s="248" t="str">
        <f t="shared" si="8"/>
        <v/>
      </c>
      <c r="AL5">
        <f t="shared" si="9"/>
        <v>0</v>
      </c>
      <c r="AQ5">
        <f t="shared" si="11"/>
        <v>0</v>
      </c>
      <c r="AS5">
        <v>179733</v>
      </c>
      <c r="AT5">
        <f t="shared" si="10"/>
        <v>0</v>
      </c>
    </row>
    <row r="6" spans="1:46" ht="15.65" customHeight="1" x14ac:dyDescent="0.35">
      <c r="A6" s="2">
        <v>5</v>
      </c>
      <c r="B6" s="2">
        <v>179790</v>
      </c>
      <c r="C6" s="2" t="s">
        <v>26</v>
      </c>
      <c r="D6" s="2">
        <v>1613</v>
      </c>
      <c r="E6" s="3" t="s">
        <v>30</v>
      </c>
      <c r="F6" s="3" t="s">
        <v>253</v>
      </c>
      <c r="G6" s="13"/>
      <c r="H6" s="6" t="s">
        <v>32</v>
      </c>
      <c r="I6" s="10">
        <f>SUMIFS('Cutters Consumption Updates'!$F:$F,'Cutters Consumption Updates'!$D:$D,I$1,'Cutters Consumption Updates'!$B:$B,$B6)-SUMIFS('Cutters Consumption Updates'!$E:$E,'Cutters Consumption Updates'!$D:$D,I$1,'Cutters Consumption Updates'!$B:$B,$B6)+ SUMIF('Cutters Consumption Updates'!$AS:$AS,$B6,'Cutters Consumption Updates'!AT:AT)</f>
        <v>21</v>
      </c>
      <c r="J6" s="10">
        <f>SUMIFS('Cutters Consumption Updates'!$F:$F,'Cutters Consumption Updates'!$D:$D,J$1,'Cutters Consumption Updates'!$B:$B,$B6)-SUMIFS('Cutters Consumption Updates'!$E:$E,'Cutters Consumption Updates'!$D:$D,J$1,'Cutters Consumption Updates'!$B:$B,$B6)+ SUMIF('Cutters Consumption Updates'!$AS:$AS,$B6,'Cutters Consumption Updates'!AU:AU)</f>
        <v>0</v>
      </c>
      <c r="K6" s="116">
        <f>SUMIFS('Cutters Consumption Updates'!$F:$F,'Cutters Consumption Updates'!$D:$D,K$1,'Cutters Consumption Updates'!$B:$B,$B6)-SUMIFS('Cutters Consumption Updates'!$E:$E,'Cutters Consumption Updates'!$D:$D,K$1,'Cutters Consumption Updates'!$B:$B,$B6)+ SUMIF('Cutters Consumption Updates'!$AS:$AS,$B6,'Cutters Consumption Updates'!AV:AV)</f>
        <v>0</v>
      </c>
      <c r="L6" s="738">
        <f>SUMIFS('Cutters Consumption Updates'!$F:$F,'Cutters Consumption Updates'!$D:$D,L$1,'Cutters Consumption Updates'!$B:$B,$B6)-SUMIFS('Cutters Consumption Updates'!$E:$E,'Cutters Consumption Updates'!$D:$D,L$1,'Cutters Consumption Updates'!$B:$B,$B6)+ SUMIF('Cutters Consumption Updates'!$AS:$AS,$B6,'Cutters Consumption Updates'!AW:AW)</f>
        <v>0</v>
      </c>
      <c r="M6" s="116">
        <f>SUMIFS('Cutters Consumption Updates'!$F:$F,'Cutters Consumption Updates'!$D:$D,M$1,'Cutters Consumption Updates'!$B:$B,$B6)-SUMIFS('Cutters Consumption Updates'!$E:$E,'Cutters Consumption Updates'!$D:$D,$M$1,'Cutters Consumption Updates'!$B:$B,$B6)+SUMIFS('Cutters Consumption Updates'!$F:$F,'Cutters Consumption Updates'!$D:$D,"Retrofit",'Cutters Consumption Updates'!$B:$B,$B6)-SUMIFS('Cutters Consumption Updates'!$E:$E,'Cutters Consumption Updates'!$D:$D,"Retrofit",'Cutters Consumption Updates'!$B:$B,$B6)+ SUMIF('Cutters Consumption Updates'!$AS:$AS,$B6,'Cutters Consumption Updates'!AX:AX)</f>
        <v>0</v>
      </c>
      <c r="N6" s="10">
        <f t="shared" si="0"/>
        <v>21</v>
      </c>
      <c r="O6" s="701">
        <f ca="1">SUMIFS('Cutters Consumption Updates'!E:E,
        'Cutters Consumption Updates'!B:B, B6,
        'Cutters Consumption Updates'!A:A, "&gt;" &amp; TODAY()-182)</f>
        <v>1</v>
      </c>
      <c r="P6" s="701">
        <f ca="1">SUMIFS('Cutters Consumption Updates'!E:E,
        'Cutters Consumption Updates'!B:B, B6,
        'Cutters Consumption Updates'!A:A, "&gt;" &amp; TODAY()-91)</f>
        <v>1</v>
      </c>
      <c r="Q6" s="701">
        <f t="shared" ca="1" si="1"/>
        <v>1</v>
      </c>
      <c r="R6" s="703">
        <f t="shared" ca="1" si="2"/>
        <v>0</v>
      </c>
      <c r="S6" s="703" t="s">
        <v>29</v>
      </c>
      <c r="T6" s="24">
        <f>IFERROR(INDEX(Table5[],MATCH($B6,Table5[Component],0),2),0)</f>
        <v>0</v>
      </c>
      <c r="U6" s="24">
        <f>SUMIFS(Table7[Balance],Table7[Cutter Mat'#],$B6)</f>
        <v>0</v>
      </c>
      <c r="V6" s="24">
        <f t="shared" si="3"/>
        <v>21</v>
      </c>
      <c r="W6" s="119"/>
      <c r="X6" s="2"/>
      <c r="Z6" s="4">
        <f>IFERROR(INDEX(Table5[],MATCH($B6,Table5[Component],0),2),0)</f>
        <v>0</v>
      </c>
      <c r="AA6" s="4">
        <f>IFERROR(INDEX(Table5[],MATCH($B6,Table5[Component],0),1),0)</f>
        <v>0</v>
      </c>
      <c r="AB6" s="4" t="str">
        <f t="shared" si="4"/>
        <v/>
      </c>
      <c r="AC6" s="4" t="str">
        <f t="shared" si="5"/>
        <v/>
      </c>
      <c r="AE6" s="4">
        <f t="shared" si="6"/>
        <v>21</v>
      </c>
      <c r="AF6"/>
      <c r="AJ6" s="248" t="str">
        <f t="shared" si="7"/>
        <v/>
      </c>
      <c r="AK6" s="248" t="str">
        <f t="shared" si="8"/>
        <v/>
      </c>
      <c r="AL6">
        <f t="shared" si="9"/>
        <v>0</v>
      </c>
      <c r="AQ6">
        <f t="shared" si="11"/>
        <v>0</v>
      </c>
      <c r="AS6">
        <v>179734</v>
      </c>
      <c r="AT6">
        <f t="shared" si="10"/>
        <v>0</v>
      </c>
    </row>
    <row r="7" spans="1:46" ht="15.65" customHeight="1" x14ac:dyDescent="0.35">
      <c r="A7" s="2">
        <v>6</v>
      </c>
      <c r="B7" s="2">
        <v>375538</v>
      </c>
      <c r="C7" s="459" t="s">
        <v>37</v>
      </c>
      <c r="D7" s="2" t="s">
        <v>38</v>
      </c>
      <c r="E7" s="3" t="s">
        <v>39</v>
      </c>
      <c r="F7" s="3" t="s">
        <v>40</v>
      </c>
      <c r="G7" s="13" t="s">
        <v>41</v>
      </c>
      <c r="H7" s="6" t="s">
        <v>36</v>
      </c>
      <c r="I7" s="10">
        <f>SUMIFS('Cutters Consumption Updates'!$F:$F,'Cutters Consumption Updates'!$D:$D,I$1,'Cutters Consumption Updates'!$B:$B,$B7)-SUMIFS('Cutters Consumption Updates'!$E:$E,'Cutters Consumption Updates'!$D:$D,I$1,'Cutters Consumption Updates'!$B:$B,$B7)+ SUMIF('Cutters Consumption Updates'!$AS:$AS,$B7,'Cutters Consumption Updates'!AT:AT)</f>
        <v>26</v>
      </c>
      <c r="J7" s="10">
        <f>SUMIFS('Cutters Consumption Updates'!$F:$F,'Cutters Consumption Updates'!$D:$D,J$1,'Cutters Consumption Updates'!$B:$B,$B7)-SUMIFS('Cutters Consumption Updates'!$E:$E,'Cutters Consumption Updates'!$D:$D,J$1,'Cutters Consumption Updates'!$B:$B,$B7)+ SUMIF('Cutters Consumption Updates'!$AS:$AS,$B7,'Cutters Consumption Updates'!AU:AU)</f>
        <v>0</v>
      </c>
      <c r="K7" s="116">
        <f>SUMIFS('Cutters Consumption Updates'!$F:$F,'Cutters Consumption Updates'!$D:$D,K$1,'Cutters Consumption Updates'!$B:$B,$B7)-SUMIFS('Cutters Consumption Updates'!$E:$E,'Cutters Consumption Updates'!$D:$D,K$1,'Cutters Consumption Updates'!$B:$B,$B7)+ SUMIF('Cutters Consumption Updates'!$AS:$AS,$B7,'Cutters Consumption Updates'!AV:AV)</f>
        <v>0</v>
      </c>
      <c r="L7" s="738">
        <f>SUMIFS('Cutters Consumption Updates'!$F:$F,'Cutters Consumption Updates'!$D:$D,L$1,'Cutters Consumption Updates'!$B:$B,$B7)-SUMIFS('Cutters Consumption Updates'!$E:$E,'Cutters Consumption Updates'!$D:$D,L$1,'Cutters Consumption Updates'!$B:$B,$B7)+ SUMIF('Cutters Consumption Updates'!$AS:$AS,$B7,'Cutters Consumption Updates'!AW:AW)</f>
        <v>33</v>
      </c>
      <c r="M7" s="116">
        <f>SUMIFS('Cutters Consumption Updates'!$F:$F,'Cutters Consumption Updates'!$D:$D,M$1,'Cutters Consumption Updates'!$B:$B,$B7)-SUMIFS('Cutters Consumption Updates'!$E:$E,'Cutters Consumption Updates'!$D:$D,$M$1,'Cutters Consumption Updates'!$B:$B,$B7)+SUMIFS('Cutters Consumption Updates'!$F:$F,'Cutters Consumption Updates'!$D:$D,"Retrofit",'Cutters Consumption Updates'!$B:$B,$B7)-SUMIFS('Cutters Consumption Updates'!$E:$E,'Cutters Consumption Updates'!$D:$D,"Retrofit",'Cutters Consumption Updates'!$B:$B,$B7)+ SUMIF('Cutters Consumption Updates'!$AS:$AS,$B7,'Cutters Consumption Updates'!AX:AX)</f>
        <v>11</v>
      </c>
      <c r="N7" s="10">
        <f t="shared" si="0"/>
        <v>37</v>
      </c>
      <c r="O7" s="701">
        <f ca="1">SUMIFS('Cutters Consumption Updates'!E:E,
        'Cutters Consumption Updates'!B:B, B7,
        'Cutters Consumption Updates'!A:A, "&gt;" &amp; TODAY()-182)</f>
        <v>0</v>
      </c>
      <c r="P7" s="701">
        <f ca="1">SUMIFS('Cutters Consumption Updates'!E:E,
        'Cutters Consumption Updates'!B:B, B7,
        'Cutters Consumption Updates'!A:A, "&gt;" &amp; TODAY()-91)</f>
        <v>0</v>
      </c>
      <c r="Q7" s="701">
        <f t="shared" ca="1" si="1"/>
        <v>0</v>
      </c>
      <c r="R7" s="703">
        <f t="shared" ca="1" si="2"/>
        <v>0</v>
      </c>
      <c r="S7" s="703" t="s">
        <v>29</v>
      </c>
      <c r="T7" s="24">
        <f>IFERROR(INDEX(Table5[],MATCH($B7,Table5[Component],0),2),0)</f>
        <v>24</v>
      </c>
      <c r="U7" s="24">
        <f>SUMIFS(Table7[Balance],Table7[Cutter Mat'#],$B7)</f>
        <v>0</v>
      </c>
      <c r="V7" s="24">
        <f t="shared" si="3"/>
        <v>13</v>
      </c>
      <c r="W7" s="119"/>
      <c r="X7" s="2"/>
      <c r="Z7" s="4">
        <f>IFERROR(INDEX(Table5[],MATCH($B7,Table5[Component],0),2),0)</f>
        <v>24</v>
      </c>
      <c r="AA7" s="4">
        <f>IFERROR(INDEX(Table5[],MATCH($B7,Table5[Component],0),1),0)</f>
        <v>375538</v>
      </c>
      <c r="AB7" s="4">
        <f t="shared" si="4"/>
        <v>375538</v>
      </c>
      <c r="AC7" s="4" t="str">
        <f t="shared" si="5"/>
        <v/>
      </c>
      <c r="AE7" s="4">
        <f t="shared" si="6"/>
        <v>37</v>
      </c>
      <c r="AF7"/>
      <c r="AJ7" s="248" t="str">
        <f t="shared" si="7"/>
        <v/>
      </c>
      <c r="AK7" s="248" t="str">
        <f t="shared" si="8"/>
        <v/>
      </c>
      <c r="AL7">
        <f t="shared" si="9"/>
        <v>0</v>
      </c>
      <c r="AQ7">
        <f t="shared" si="11"/>
        <v>0</v>
      </c>
      <c r="AS7">
        <v>179790</v>
      </c>
      <c r="AT7">
        <f t="shared" si="10"/>
        <v>0</v>
      </c>
    </row>
    <row r="8" spans="1:46" ht="15.65" customHeight="1" x14ac:dyDescent="0.35">
      <c r="A8" s="2">
        <v>7</v>
      </c>
      <c r="B8" s="2">
        <v>399930</v>
      </c>
      <c r="C8" s="2" t="s">
        <v>42</v>
      </c>
      <c r="D8" s="2" t="s">
        <v>43</v>
      </c>
      <c r="E8" s="3" t="s">
        <v>44</v>
      </c>
      <c r="F8" s="3" t="s">
        <v>253</v>
      </c>
      <c r="G8" s="13" t="s">
        <v>45</v>
      </c>
      <c r="H8" s="6" t="s">
        <v>28</v>
      </c>
      <c r="I8" s="10">
        <f>SUMIFS('Cutters Consumption Updates'!$F:$F,'Cutters Consumption Updates'!$D:$D,I$1,'Cutters Consumption Updates'!$B:$B,$B8)-SUMIFS('Cutters Consumption Updates'!$E:$E,'Cutters Consumption Updates'!$D:$D,I$1,'Cutters Consumption Updates'!$B:$B,$B8)+ SUMIF('Cutters Consumption Updates'!$AS:$AS,$B8,'Cutters Consumption Updates'!AT:AT)</f>
        <v>0</v>
      </c>
      <c r="J8" s="10">
        <f>SUMIFS('Cutters Consumption Updates'!$F:$F,'Cutters Consumption Updates'!$D:$D,J$1,'Cutters Consumption Updates'!$B:$B,$B8)-SUMIFS('Cutters Consumption Updates'!$E:$E,'Cutters Consumption Updates'!$D:$D,J$1,'Cutters Consumption Updates'!$B:$B,$B8)+ SUMIF('Cutters Consumption Updates'!$AS:$AS,$B8,'Cutters Consumption Updates'!AU:AU)</f>
        <v>0</v>
      </c>
      <c r="K8" s="116">
        <f>SUMIFS('Cutters Consumption Updates'!$F:$F,'Cutters Consumption Updates'!$D:$D,K$1,'Cutters Consumption Updates'!$B:$B,$B8)-SUMIFS('Cutters Consumption Updates'!$E:$E,'Cutters Consumption Updates'!$D:$D,K$1,'Cutters Consumption Updates'!$B:$B,$B8)+ SUMIF('Cutters Consumption Updates'!$AS:$AS,$B8,'Cutters Consumption Updates'!AV:AV)</f>
        <v>0</v>
      </c>
      <c r="L8" s="738">
        <f>SUMIFS('Cutters Consumption Updates'!$F:$F,'Cutters Consumption Updates'!$D:$D,L$1,'Cutters Consumption Updates'!$B:$B,$B8)-SUMIFS('Cutters Consumption Updates'!$E:$E,'Cutters Consumption Updates'!$D:$D,L$1,'Cutters Consumption Updates'!$B:$B,$B8)+ SUMIF('Cutters Consumption Updates'!$AS:$AS,$B8,'Cutters Consumption Updates'!AW:AW)</f>
        <v>24</v>
      </c>
      <c r="M8" s="116">
        <f>SUMIFS('Cutters Consumption Updates'!$F:$F,'Cutters Consumption Updates'!$D:$D,M$1,'Cutters Consumption Updates'!$B:$B,$B8)-SUMIFS('Cutters Consumption Updates'!$E:$E,'Cutters Consumption Updates'!$D:$D,$M$1,'Cutters Consumption Updates'!$B:$B,$B8)+SUMIFS('Cutters Consumption Updates'!$F:$F,'Cutters Consumption Updates'!$D:$D,"Retrofit",'Cutters Consumption Updates'!$B:$B,$B8)-SUMIFS('Cutters Consumption Updates'!$E:$E,'Cutters Consumption Updates'!$D:$D,"Retrofit",'Cutters Consumption Updates'!$B:$B,$B8)+ SUMIF('Cutters Consumption Updates'!$AS:$AS,$B8,'Cutters Consumption Updates'!AX:AX)</f>
        <v>1</v>
      </c>
      <c r="N8" s="10">
        <f t="shared" si="0"/>
        <v>1</v>
      </c>
      <c r="O8" s="701">
        <f ca="1">SUMIFS('Cutters Consumption Updates'!E:E,
        'Cutters Consumption Updates'!B:B, B8,
        'Cutters Consumption Updates'!A:A, "&gt;" &amp; TODAY()-182)</f>
        <v>0</v>
      </c>
      <c r="P8" s="701">
        <f ca="1">SUMIFS('Cutters Consumption Updates'!E:E,
        'Cutters Consumption Updates'!B:B, B8,
        'Cutters Consumption Updates'!A:A, "&gt;" &amp; TODAY()-91)</f>
        <v>0</v>
      </c>
      <c r="Q8" s="701">
        <f t="shared" ca="1" si="1"/>
        <v>0</v>
      </c>
      <c r="R8" s="703">
        <f t="shared" ca="1" si="2"/>
        <v>0</v>
      </c>
      <c r="S8" s="703" t="s">
        <v>29</v>
      </c>
      <c r="T8" s="24">
        <f>IFERROR(INDEX(Table5[],MATCH($B8,Table5[Component],0),2),0)</f>
        <v>0</v>
      </c>
      <c r="U8" s="24">
        <f>SUMIFS(Table7[Balance],Table7[Cutter Mat'#],$B8)</f>
        <v>0</v>
      </c>
      <c r="V8" s="24">
        <f t="shared" si="3"/>
        <v>1</v>
      </c>
      <c r="W8" s="119"/>
      <c r="X8" s="2"/>
      <c r="Z8" s="4">
        <f>IFERROR(INDEX(Table5[],MATCH($B8,Table5[Component],0),2),0)</f>
        <v>0</v>
      </c>
      <c r="AA8" s="4">
        <f>IFERROR(INDEX(Table5[],MATCH($B8,Table5[Component],0),1),0)</f>
        <v>0</v>
      </c>
      <c r="AB8" s="4" t="str">
        <f t="shared" si="4"/>
        <v/>
      </c>
      <c r="AC8" s="4" t="str">
        <f t="shared" si="5"/>
        <v/>
      </c>
      <c r="AE8" s="4">
        <f t="shared" si="6"/>
        <v>1</v>
      </c>
      <c r="AF8"/>
      <c r="AJ8" s="248" t="str">
        <f t="shared" si="7"/>
        <v/>
      </c>
      <c r="AK8" s="248" t="str">
        <f t="shared" si="8"/>
        <v/>
      </c>
      <c r="AL8">
        <f t="shared" si="9"/>
        <v>0</v>
      </c>
      <c r="AQ8">
        <f t="shared" si="11"/>
        <v>0</v>
      </c>
      <c r="AS8">
        <v>375538</v>
      </c>
      <c r="AT8">
        <f t="shared" si="10"/>
        <v>0</v>
      </c>
    </row>
    <row r="9" spans="1:46" ht="15.65" customHeight="1" x14ac:dyDescent="0.35">
      <c r="A9" s="2">
        <v>8</v>
      </c>
      <c r="B9" s="2">
        <v>584832</v>
      </c>
      <c r="C9" s="2" t="s">
        <v>26</v>
      </c>
      <c r="D9" s="2">
        <v>1913</v>
      </c>
      <c r="E9" s="3" t="s">
        <v>46</v>
      </c>
      <c r="F9" s="3" t="s">
        <v>248</v>
      </c>
      <c r="G9" s="13"/>
      <c r="H9" s="6" t="s">
        <v>47</v>
      </c>
      <c r="I9" s="10">
        <f>SUMIFS('Cutters Consumption Updates'!$F:$F,'Cutters Consumption Updates'!$D:$D,I$1,'Cutters Consumption Updates'!$B:$B,$B9)-SUMIFS('Cutters Consumption Updates'!$E:$E,'Cutters Consumption Updates'!$D:$D,I$1,'Cutters Consumption Updates'!$B:$B,$B9)+ SUMIF('Cutters Consumption Updates'!$AS:$AS,$B9,'Cutters Consumption Updates'!AT:AT)</f>
        <v>0</v>
      </c>
      <c r="J9" s="10">
        <f>SUMIFS('Cutters Consumption Updates'!$F:$F,'Cutters Consumption Updates'!$D:$D,J$1,'Cutters Consumption Updates'!$B:$B,$B9)-SUMIFS('Cutters Consumption Updates'!$E:$E,'Cutters Consumption Updates'!$D:$D,J$1,'Cutters Consumption Updates'!$B:$B,$B9)+ SUMIF('Cutters Consumption Updates'!$AS:$AS,$B9,'Cutters Consumption Updates'!AU:AU)</f>
        <v>0</v>
      </c>
      <c r="K9" s="116">
        <f>SUMIFS('Cutters Consumption Updates'!$F:$F,'Cutters Consumption Updates'!$D:$D,K$1,'Cutters Consumption Updates'!$B:$B,$B9)-SUMIFS('Cutters Consumption Updates'!$E:$E,'Cutters Consumption Updates'!$D:$D,K$1,'Cutters Consumption Updates'!$B:$B,$B9)+ SUMIF('Cutters Consumption Updates'!$AS:$AS,$B9,'Cutters Consumption Updates'!AV:AV)</f>
        <v>0</v>
      </c>
      <c r="L9" s="738">
        <f>SUMIFS('Cutters Consumption Updates'!$F:$F,'Cutters Consumption Updates'!$D:$D,L$1,'Cutters Consumption Updates'!$B:$B,$B9)-SUMIFS('Cutters Consumption Updates'!$E:$E,'Cutters Consumption Updates'!$D:$D,L$1,'Cutters Consumption Updates'!$B:$B,$B9)+ SUMIF('Cutters Consumption Updates'!$AS:$AS,$B9,'Cutters Consumption Updates'!AW:AW)</f>
        <v>0</v>
      </c>
      <c r="M9" s="116">
        <f>SUMIFS('Cutters Consumption Updates'!$F:$F,'Cutters Consumption Updates'!$D:$D,M$1,'Cutters Consumption Updates'!$B:$B,$B9)-SUMIFS('Cutters Consumption Updates'!$E:$E,'Cutters Consumption Updates'!$D:$D,$M$1,'Cutters Consumption Updates'!$B:$B,$B9)+SUMIFS('Cutters Consumption Updates'!$F:$F,'Cutters Consumption Updates'!$D:$D,"Retrofit",'Cutters Consumption Updates'!$B:$B,$B9)-SUMIFS('Cutters Consumption Updates'!$E:$E,'Cutters Consumption Updates'!$D:$D,"Retrofit",'Cutters Consumption Updates'!$B:$B,$B9)+ SUMIF('Cutters Consumption Updates'!$AS:$AS,$B9,'Cutters Consumption Updates'!AX:AX)</f>
        <v>19</v>
      </c>
      <c r="N9" s="10">
        <f t="shared" si="0"/>
        <v>19</v>
      </c>
      <c r="O9" s="701">
        <f ca="1">SUMIFS('Cutters Consumption Updates'!E:E,
        'Cutters Consumption Updates'!B:B, B9,
        'Cutters Consumption Updates'!A:A, "&gt;" &amp; TODAY()-182)</f>
        <v>0</v>
      </c>
      <c r="P9" s="701">
        <f ca="1">SUMIFS('Cutters Consumption Updates'!E:E,
        'Cutters Consumption Updates'!B:B, B9,
        'Cutters Consumption Updates'!A:A, "&gt;" &amp; TODAY()-91)</f>
        <v>0</v>
      </c>
      <c r="Q9" s="701">
        <f t="shared" ca="1" si="1"/>
        <v>0</v>
      </c>
      <c r="R9" s="703">
        <f t="shared" ca="1" si="2"/>
        <v>0</v>
      </c>
      <c r="S9" s="703" t="s">
        <v>29</v>
      </c>
      <c r="T9" s="24">
        <f>IFERROR(INDEX(Table5[],MATCH($B9,Table5[Component],0),2),0)</f>
        <v>0</v>
      </c>
      <c r="U9" s="24">
        <f>SUMIFS(Table7[Balance],Table7[Cutter Mat'#],$B9)</f>
        <v>0</v>
      </c>
      <c r="V9" s="24">
        <f t="shared" si="3"/>
        <v>19</v>
      </c>
      <c r="W9" s="119"/>
      <c r="X9" s="2"/>
      <c r="Z9" s="4">
        <f>IFERROR(INDEX(Table5[],MATCH($B9,Table5[Component],0),2),0)</f>
        <v>0</v>
      </c>
      <c r="AA9" s="4">
        <f>IFERROR(INDEX(Table5[],MATCH($B9,Table5[Component],0),1),0)</f>
        <v>0</v>
      </c>
      <c r="AB9" s="4" t="str">
        <f t="shared" si="4"/>
        <v/>
      </c>
      <c r="AC9" s="4" t="str">
        <f t="shared" si="5"/>
        <v/>
      </c>
      <c r="AE9" s="4">
        <f t="shared" si="6"/>
        <v>19</v>
      </c>
      <c r="AF9"/>
      <c r="AJ9" s="248" t="str">
        <f t="shared" si="7"/>
        <v/>
      </c>
      <c r="AK9" s="248" t="str">
        <f t="shared" si="8"/>
        <v/>
      </c>
      <c r="AL9">
        <f t="shared" si="9"/>
        <v>0</v>
      </c>
      <c r="AQ9">
        <f t="shared" si="11"/>
        <v>0</v>
      </c>
      <c r="AS9">
        <v>376826</v>
      </c>
      <c r="AT9">
        <f t="shared" si="10"/>
        <v>0</v>
      </c>
    </row>
    <row r="10" spans="1:46" ht="15.65" customHeight="1" x14ac:dyDescent="0.35">
      <c r="A10" s="2">
        <v>9</v>
      </c>
      <c r="B10" s="2">
        <v>467367</v>
      </c>
      <c r="C10" s="2" t="s">
        <v>26</v>
      </c>
      <c r="D10" s="2">
        <v>1613</v>
      </c>
      <c r="E10" s="2" t="s">
        <v>48</v>
      </c>
      <c r="F10" s="2" t="s">
        <v>253</v>
      </c>
      <c r="G10" s="6"/>
      <c r="H10" s="6" t="s">
        <v>49</v>
      </c>
      <c r="I10" s="10">
        <f>SUMIFS('Cutters Consumption Updates'!$F:$F,'Cutters Consumption Updates'!$D:$D,I$1,'Cutters Consumption Updates'!$B:$B,$B10)-SUMIFS('Cutters Consumption Updates'!$E:$E,'Cutters Consumption Updates'!$D:$D,I$1,'Cutters Consumption Updates'!$B:$B,$B10)+ SUMIF('Cutters Consumption Updates'!$AS:$AS,$B10,'Cutters Consumption Updates'!AT:AT)</f>
        <v>0</v>
      </c>
      <c r="J10" s="10">
        <f>SUMIFS('Cutters Consumption Updates'!$F:$F,'Cutters Consumption Updates'!$D:$D,J$1,'Cutters Consumption Updates'!$B:$B,$B10)-SUMIFS('Cutters Consumption Updates'!$E:$E,'Cutters Consumption Updates'!$D:$D,J$1,'Cutters Consumption Updates'!$B:$B,$B10)+ SUMIF('Cutters Consumption Updates'!$AS:$AS,$B10,'Cutters Consumption Updates'!AU:AU)</f>
        <v>0</v>
      </c>
      <c r="K10" s="116">
        <f>SUMIFS('Cutters Consumption Updates'!$F:$F,'Cutters Consumption Updates'!$D:$D,K$1,'Cutters Consumption Updates'!$B:$B,$B10)-SUMIFS('Cutters Consumption Updates'!$E:$E,'Cutters Consumption Updates'!$D:$D,K$1,'Cutters Consumption Updates'!$B:$B,$B10)+ SUMIF('Cutters Consumption Updates'!$AS:$AS,$B10,'Cutters Consumption Updates'!AV:AV)</f>
        <v>0</v>
      </c>
      <c r="L10" s="738">
        <f>SUMIFS('Cutters Consumption Updates'!$F:$F,'Cutters Consumption Updates'!$D:$D,L$1,'Cutters Consumption Updates'!$B:$B,$B10)-SUMIFS('Cutters Consumption Updates'!$E:$E,'Cutters Consumption Updates'!$D:$D,L$1,'Cutters Consumption Updates'!$B:$B,$B10)+ SUMIF('Cutters Consumption Updates'!$AS:$AS,$B10,'Cutters Consumption Updates'!AW:AW)</f>
        <v>10</v>
      </c>
      <c r="M10" s="116">
        <f>SUMIFS('Cutters Consumption Updates'!$F:$F,'Cutters Consumption Updates'!$D:$D,M$1,'Cutters Consumption Updates'!$B:$B,$B10)-SUMIFS('Cutters Consumption Updates'!$E:$E,'Cutters Consumption Updates'!$D:$D,$M$1,'Cutters Consumption Updates'!$B:$B,$B10)+SUMIFS('Cutters Consumption Updates'!$F:$F,'Cutters Consumption Updates'!$D:$D,"Retrofit",'Cutters Consumption Updates'!$B:$B,$B10)-SUMIFS('Cutters Consumption Updates'!$E:$E,'Cutters Consumption Updates'!$D:$D,"Retrofit",'Cutters Consumption Updates'!$B:$B,$B10)+ SUMIF('Cutters Consumption Updates'!$AS:$AS,$B10,'Cutters Consumption Updates'!AX:AX)</f>
        <v>0</v>
      </c>
      <c r="N10" s="10">
        <f t="shared" si="0"/>
        <v>0</v>
      </c>
      <c r="O10" s="701">
        <f ca="1">SUMIFS('Cutters Consumption Updates'!E:E,
        'Cutters Consumption Updates'!B:B, B10,
        'Cutters Consumption Updates'!A:A, "&gt;" &amp; TODAY()-182)</f>
        <v>0</v>
      </c>
      <c r="P10" s="701">
        <f ca="1">SUMIFS('Cutters Consumption Updates'!E:E,
        'Cutters Consumption Updates'!B:B, B10,
        'Cutters Consumption Updates'!A:A, "&gt;" &amp; TODAY()-91)</f>
        <v>0</v>
      </c>
      <c r="Q10" s="701">
        <f t="shared" ca="1" si="1"/>
        <v>0</v>
      </c>
      <c r="R10" s="703">
        <f t="shared" ca="1" si="2"/>
        <v>0</v>
      </c>
      <c r="S10" s="703" t="s">
        <v>29</v>
      </c>
      <c r="T10" s="24">
        <f>IFERROR(INDEX(Table5[],MATCH($B10,Table5[Component],0),2),0)</f>
        <v>0</v>
      </c>
      <c r="U10" s="24">
        <f>SUMIFS(Table7[Balance],Table7[Cutter Mat'#],$B10)</f>
        <v>0</v>
      </c>
      <c r="V10" s="24">
        <f t="shared" si="3"/>
        <v>0</v>
      </c>
      <c r="W10" s="119"/>
      <c r="X10" s="2"/>
      <c r="Z10" s="4">
        <f>IFERROR(INDEX(Table5[],MATCH($B10,Table5[Component],0),2),0)</f>
        <v>0</v>
      </c>
      <c r="AA10" s="4">
        <f>IFERROR(INDEX(Table5[],MATCH($B10,Table5[Component],0),1),0)</f>
        <v>0</v>
      </c>
      <c r="AB10" s="4" t="str">
        <f t="shared" si="4"/>
        <v/>
      </c>
      <c r="AC10" s="4" t="str">
        <f t="shared" si="5"/>
        <v/>
      </c>
      <c r="AE10" s="4">
        <f t="shared" si="6"/>
        <v>0</v>
      </c>
      <c r="AF10"/>
      <c r="AJ10" s="248" t="str">
        <f t="shared" si="7"/>
        <v/>
      </c>
      <c r="AK10" s="248" t="str">
        <f t="shared" si="8"/>
        <v/>
      </c>
      <c r="AL10">
        <f t="shared" si="9"/>
        <v>0</v>
      </c>
      <c r="AQ10">
        <f t="shared" si="11"/>
        <v>0</v>
      </c>
      <c r="AS10">
        <v>397470</v>
      </c>
      <c r="AT10">
        <f t="shared" si="10"/>
        <v>0</v>
      </c>
    </row>
    <row r="11" spans="1:46" ht="15.65" customHeight="1" x14ac:dyDescent="0.35">
      <c r="A11" s="2">
        <v>10</v>
      </c>
      <c r="B11" s="2">
        <v>535656</v>
      </c>
      <c r="C11" s="2" t="s">
        <v>26</v>
      </c>
      <c r="D11" s="2">
        <v>1608</v>
      </c>
      <c r="E11" s="2" t="s">
        <v>48</v>
      </c>
      <c r="F11" s="2" t="s">
        <v>248</v>
      </c>
      <c r="G11" s="6"/>
      <c r="H11" s="6" t="s">
        <v>47</v>
      </c>
      <c r="I11" s="10">
        <f>SUMIFS('Cutters Consumption Updates'!$F:$F,'Cutters Consumption Updates'!$D:$D,I$1,'Cutters Consumption Updates'!$B:$B,$B11)-SUMIFS('Cutters Consumption Updates'!$E:$E,'Cutters Consumption Updates'!$D:$D,I$1,'Cutters Consumption Updates'!$B:$B,$B11)+ SUMIF('Cutters Consumption Updates'!$AS:$AS,$B11,'Cutters Consumption Updates'!AT:AT)</f>
        <v>0</v>
      </c>
      <c r="J11" s="10">
        <f>SUMIFS('Cutters Consumption Updates'!$F:$F,'Cutters Consumption Updates'!$D:$D,J$1,'Cutters Consumption Updates'!$B:$B,$B11)-SUMIFS('Cutters Consumption Updates'!$E:$E,'Cutters Consumption Updates'!$D:$D,J$1,'Cutters Consumption Updates'!$B:$B,$B11)+ SUMIF('Cutters Consumption Updates'!$AS:$AS,$B11,'Cutters Consumption Updates'!AU:AU)</f>
        <v>0</v>
      </c>
      <c r="K11" s="116">
        <f>SUMIFS('Cutters Consumption Updates'!$F:$F,'Cutters Consumption Updates'!$D:$D,K$1,'Cutters Consumption Updates'!$B:$B,$B11)-SUMIFS('Cutters Consumption Updates'!$E:$E,'Cutters Consumption Updates'!$D:$D,K$1,'Cutters Consumption Updates'!$B:$B,$B11)+ SUMIF('Cutters Consumption Updates'!$AS:$AS,$B11,'Cutters Consumption Updates'!AV:AV)</f>
        <v>0</v>
      </c>
      <c r="L11" s="738">
        <f>SUMIFS('Cutters Consumption Updates'!$F:$F,'Cutters Consumption Updates'!$D:$D,L$1,'Cutters Consumption Updates'!$B:$B,$B11)-SUMIFS('Cutters Consumption Updates'!$E:$E,'Cutters Consumption Updates'!$D:$D,L$1,'Cutters Consumption Updates'!$B:$B,$B11)+ SUMIF('Cutters Consumption Updates'!$AS:$AS,$B11,'Cutters Consumption Updates'!AW:AW)</f>
        <v>0</v>
      </c>
      <c r="M11" s="116">
        <f>SUMIFS('Cutters Consumption Updates'!$F:$F,'Cutters Consumption Updates'!$D:$D,M$1,'Cutters Consumption Updates'!$B:$B,$B11)-SUMIFS('Cutters Consumption Updates'!$E:$E,'Cutters Consumption Updates'!$D:$D,$M$1,'Cutters Consumption Updates'!$B:$B,$B11)+SUMIFS('Cutters Consumption Updates'!$F:$F,'Cutters Consumption Updates'!$D:$D,"Retrofit",'Cutters Consumption Updates'!$B:$B,$B11)-SUMIFS('Cutters Consumption Updates'!$E:$E,'Cutters Consumption Updates'!$D:$D,"Retrofit",'Cutters Consumption Updates'!$B:$B,$B11)+ SUMIF('Cutters Consumption Updates'!$AS:$AS,$B11,'Cutters Consumption Updates'!AX:AX)</f>
        <v>28</v>
      </c>
      <c r="N11" s="10">
        <f t="shared" si="0"/>
        <v>28</v>
      </c>
      <c r="O11" s="701">
        <f ca="1">SUMIFS('Cutters Consumption Updates'!E:E,
        'Cutters Consumption Updates'!B:B, B11,
        'Cutters Consumption Updates'!A:A, "&gt;" &amp; TODAY()-182)</f>
        <v>7</v>
      </c>
      <c r="P11" s="701">
        <f ca="1">SUMIFS('Cutters Consumption Updates'!E:E,
        'Cutters Consumption Updates'!B:B, B11,
        'Cutters Consumption Updates'!A:A, "&gt;" &amp; TODAY()-91)</f>
        <v>5</v>
      </c>
      <c r="Q11" s="701">
        <f t="shared" ca="1" si="1"/>
        <v>3</v>
      </c>
      <c r="R11" s="703">
        <f t="shared" ca="1" si="2"/>
        <v>5</v>
      </c>
      <c r="S11" s="703" t="s">
        <v>29</v>
      </c>
      <c r="T11" s="24">
        <f>IFERROR(INDEX(Table5[],MATCH($B11,Table5[Component],0),2),0)</f>
        <v>0</v>
      </c>
      <c r="U11" s="24">
        <f>SUMIFS(Table7[Balance],Table7[Cutter Mat'#],$B11)</f>
        <v>0</v>
      </c>
      <c r="V11" s="24">
        <f t="shared" si="3"/>
        <v>28</v>
      </c>
      <c r="W11" s="119"/>
      <c r="X11" s="2"/>
      <c r="Z11" s="4">
        <f>IFERROR(INDEX(Table5[],MATCH($B11,Table5[Component],0),2),0)</f>
        <v>0</v>
      </c>
      <c r="AA11" s="4">
        <f>IFERROR(INDEX(Table5[],MATCH($B11,Table5[Component],0),1),0)</f>
        <v>0</v>
      </c>
      <c r="AB11" s="4" t="str">
        <f t="shared" si="4"/>
        <v/>
      </c>
      <c r="AC11" s="4" t="str">
        <f t="shared" si="5"/>
        <v/>
      </c>
      <c r="AE11" s="4">
        <f t="shared" si="6"/>
        <v>28</v>
      </c>
      <c r="AF11"/>
      <c r="AJ11" s="248" t="str">
        <f t="shared" si="7"/>
        <v/>
      </c>
      <c r="AK11" s="248" t="str">
        <f t="shared" si="8"/>
        <v/>
      </c>
      <c r="AL11">
        <f t="shared" si="9"/>
        <v>0</v>
      </c>
      <c r="AQ11">
        <f t="shared" si="11"/>
        <v>0</v>
      </c>
      <c r="AS11">
        <v>399930</v>
      </c>
      <c r="AT11">
        <f t="shared" si="10"/>
        <v>0</v>
      </c>
    </row>
    <row r="12" spans="1:46" ht="15.65" customHeight="1" x14ac:dyDescent="0.35">
      <c r="A12" s="2">
        <v>11</v>
      </c>
      <c r="B12" s="2">
        <v>471108</v>
      </c>
      <c r="C12" s="2" t="s">
        <v>26</v>
      </c>
      <c r="D12" s="2">
        <v>1313</v>
      </c>
      <c r="E12" s="2" t="s">
        <v>48</v>
      </c>
      <c r="F12" s="2" t="s">
        <v>248</v>
      </c>
      <c r="G12" s="6"/>
      <c r="H12" s="6" t="s">
        <v>49</v>
      </c>
      <c r="I12" s="10">
        <f>SUMIFS('Cutters Consumption Updates'!$F:$F,'Cutters Consumption Updates'!$D:$D,I$1,'Cutters Consumption Updates'!$B:$B,$B12)-SUMIFS('Cutters Consumption Updates'!$E:$E,'Cutters Consumption Updates'!$D:$D,I$1,'Cutters Consumption Updates'!$B:$B,$B12)+ SUMIF('Cutters Consumption Updates'!$AS:$AS,$B12,'Cutters Consumption Updates'!AT:AT)</f>
        <v>0</v>
      </c>
      <c r="J12" s="10">
        <f>SUMIFS('Cutters Consumption Updates'!$F:$F,'Cutters Consumption Updates'!$D:$D,J$1,'Cutters Consumption Updates'!$B:$B,$B12)-SUMIFS('Cutters Consumption Updates'!$E:$E,'Cutters Consumption Updates'!$D:$D,J$1,'Cutters Consumption Updates'!$B:$B,$B12)+ SUMIF('Cutters Consumption Updates'!$AS:$AS,$B12,'Cutters Consumption Updates'!AU:AU)</f>
        <v>0</v>
      </c>
      <c r="K12" s="116">
        <f>SUMIFS('Cutters Consumption Updates'!$F:$F,'Cutters Consumption Updates'!$D:$D,K$1,'Cutters Consumption Updates'!$B:$B,$B12)-SUMIFS('Cutters Consumption Updates'!$E:$E,'Cutters Consumption Updates'!$D:$D,K$1,'Cutters Consumption Updates'!$B:$B,$B12)+ SUMIF('Cutters Consumption Updates'!$AS:$AS,$B12,'Cutters Consumption Updates'!AV:AV)</f>
        <v>0</v>
      </c>
      <c r="L12" s="738">
        <f>SUMIFS('Cutters Consumption Updates'!$F:$F,'Cutters Consumption Updates'!$D:$D,L$1,'Cutters Consumption Updates'!$B:$B,$B12)-SUMIFS('Cutters Consumption Updates'!$E:$E,'Cutters Consumption Updates'!$D:$D,L$1,'Cutters Consumption Updates'!$B:$B,$B12)+ SUMIF('Cutters Consumption Updates'!$AS:$AS,$B12,'Cutters Consumption Updates'!AW:AW)</f>
        <v>1</v>
      </c>
      <c r="M12" s="116">
        <f>SUMIFS('Cutters Consumption Updates'!$F:$F,'Cutters Consumption Updates'!$D:$D,M$1,'Cutters Consumption Updates'!$B:$B,$B12)-SUMIFS('Cutters Consumption Updates'!$E:$E,'Cutters Consumption Updates'!$D:$D,$M$1,'Cutters Consumption Updates'!$B:$B,$B12)+SUMIFS('Cutters Consumption Updates'!$F:$F,'Cutters Consumption Updates'!$D:$D,"Retrofit",'Cutters Consumption Updates'!$B:$B,$B12)-SUMIFS('Cutters Consumption Updates'!$E:$E,'Cutters Consumption Updates'!$D:$D,"Retrofit",'Cutters Consumption Updates'!$B:$B,$B12)+ SUMIF('Cutters Consumption Updates'!$AS:$AS,$B12,'Cutters Consumption Updates'!AX:AX)</f>
        <v>0</v>
      </c>
      <c r="N12" s="10">
        <f t="shared" si="0"/>
        <v>0</v>
      </c>
      <c r="O12" s="701">
        <f ca="1">SUMIFS('Cutters Consumption Updates'!E:E,
        'Cutters Consumption Updates'!B:B, B12,
        'Cutters Consumption Updates'!A:A, "&gt;" &amp; TODAY()-182)</f>
        <v>0</v>
      </c>
      <c r="P12" s="701">
        <f ca="1">SUMIFS('Cutters Consumption Updates'!E:E,
        'Cutters Consumption Updates'!B:B, B12,
        'Cutters Consumption Updates'!A:A, "&gt;" &amp; TODAY()-91)</f>
        <v>0</v>
      </c>
      <c r="Q12" s="701">
        <f t="shared" ca="1" si="1"/>
        <v>0</v>
      </c>
      <c r="R12" s="703">
        <f t="shared" ca="1" si="2"/>
        <v>0</v>
      </c>
      <c r="S12" s="703" t="s">
        <v>29</v>
      </c>
      <c r="T12" s="24">
        <f>IFERROR(INDEX(Table5[],MATCH($B12,Table5[Component],0),2),0)</f>
        <v>0</v>
      </c>
      <c r="U12" s="24">
        <f>SUMIFS(Table7[Balance],Table7[Cutter Mat'#],$B12)</f>
        <v>0</v>
      </c>
      <c r="V12" s="24">
        <f t="shared" si="3"/>
        <v>0</v>
      </c>
      <c r="W12" s="119"/>
      <c r="X12" s="2"/>
      <c r="Z12" s="4">
        <f>IFERROR(INDEX(Table5[],MATCH($B12,Table5[Component],0),2),0)</f>
        <v>0</v>
      </c>
      <c r="AA12" s="4">
        <f>IFERROR(INDEX(Table5[],MATCH($B12,Table5[Component],0),1),0)</f>
        <v>0</v>
      </c>
      <c r="AB12" s="4" t="str">
        <f t="shared" si="4"/>
        <v/>
      </c>
      <c r="AC12" s="4" t="str">
        <f t="shared" si="5"/>
        <v/>
      </c>
      <c r="AE12" s="4">
        <f t="shared" si="6"/>
        <v>0</v>
      </c>
      <c r="AF12"/>
      <c r="AJ12" s="248" t="str">
        <f t="shared" si="7"/>
        <v/>
      </c>
      <c r="AK12" s="248" t="str">
        <f t="shared" si="8"/>
        <v/>
      </c>
      <c r="AL12">
        <f t="shared" si="9"/>
        <v>0</v>
      </c>
      <c r="AQ12">
        <f t="shared" si="11"/>
        <v>0</v>
      </c>
      <c r="AS12">
        <v>409593</v>
      </c>
      <c r="AT12">
        <f t="shared" si="10"/>
        <v>0</v>
      </c>
    </row>
    <row r="13" spans="1:46" ht="15.65" customHeight="1" x14ac:dyDescent="0.35">
      <c r="A13" s="2">
        <v>12</v>
      </c>
      <c r="B13" s="2">
        <v>471109</v>
      </c>
      <c r="C13" s="2" t="s">
        <v>26</v>
      </c>
      <c r="D13" s="2">
        <v>1613</v>
      </c>
      <c r="E13" s="2" t="s">
        <v>48</v>
      </c>
      <c r="F13" s="2" t="s">
        <v>248</v>
      </c>
      <c r="G13" s="6"/>
      <c r="H13" s="6" t="s">
        <v>49</v>
      </c>
      <c r="I13" s="10">
        <f>SUMIFS('Cutters Consumption Updates'!$F:$F,'Cutters Consumption Updates'!$D:$D,I$1,'Cutters Consumption Updates'!$B:$B,$B13)-SUMIFS('Cutters Consumption Updates'!$E:$E,'Cutters Consumption Updates'!$D:$D,I$1,'Cutters Consumption Updates'!$B:$B,$B13)+ SUMIF('Cutters Consumption Updates'!$AS:$AS,$B13,'Cutters Consumption Updates'!AT:AT)</f>
        <v>0</v>
      </c>
      <c r="J13" s="10">
        <f>SUMIFS('Cutters Consumption Updates'!$F:$F,'Cutters Consumption Updates'!$D:$D,J$1,'Cutters Consumption Updates'!$B:$B,$B13)-SUMIFS('Cutters Consumption Updates'!$E:$E,'Cutters Consumption Updates'!$D:$D,J$1,'Cutters Consumption Updates'!$B:$B,$B13)+ SUMIF('Cutters Consumption Updates'!$AS:$AS,$B13,'Cutters Consumption Updates'!AU:AU)</f>
        <v>0</v>
      </c>
      <c r="K13" s="116">
        <f>SUMIFS('Cutters Consumption Updates'!$F:$F,'Cutters Consumption Updates'!$D:$D,K$1,'Cutters Consumption Updates'!$B:$B,$B13)-SUMIFS('Cutters Consumption Updates'!$E:$E,'Cutters Consumption Updates'!$D:$D,K$1,'Cutters Consumption Updates'!$B:$B,$B13)+ SUMIF('Cutters Consumption Updates'!$AS:$AS,$B13,'Cutters Consumption Updates'!AV:AV)</f>
        <v>0</v>
      </c>
      <c r="L13" s="738">
        <f>SUMIFS('Cutters Consumption Updates'!$F:$F,'Cutters Consumption Updates'!$D:$D,L$1,'Cutters Consumption Updates'!$B:$B,$B13)-SUMIFS('Cutters Consumption Updates'!$E:$E,'Cutters Consumption Updates'!$D:$D,L$1,'Cutters Consumption Updates'!$B:$B,$B13)+ SUMIF('Cutters Consumption Updates'!$AS:$AS,$B13,'Cutters Consumption Updates'!AW:AW)</f>
        <v>38</v>
      </c>
      <c r="M13" s="116">
        <f>SUMIFS('Cutters Consumption Updates'!$F:$F,'Cutters Consumption Updates'!$D:$D,M$1,'Cutters Consumption Updates'!$B:$B,$B13)-SUMIFS('Cutters Consumption Updates'!$E:$E,'Cutters Consumption Updates'!$D:$D,$M$1,'Cutters Consumption Updates'!$B:$B,$B13)+SUMIFS('Cutters Consumption Updates'!$F:$F,'Cutters Consumption Updates'!$D:$D,"Retrofit",'Cutters Consumption Updates'!$B:$B,$B13)-SUMIFS('Cutters Consumption Updates'!$E:$E,'Cutters Consumption Updates'!$D:$D,"Retrofit",'Cutters Consumption Updates'!$B:$B,$B13)+ SUMIF('Cutters Consumption Updates'!$AS:$AS,$B13,'Cutters Consumption Updates'!AX:AX)</f>
        <v>1</v>
      </c>
      <c r="N13" s="10">
        <f t="shared" si="0"/>
        <v>1</v>
      </c>
      <c r="O13" s="701">
        <f ca="1">SUMIFS('Cutters Consumption Updates'!E:E,
        'Cutters Consumption Updates'!B:B, B13,
        'Cutters Consumption Updates'!A:A, "&gt;" &amp; TODAY()-182)</f>
        <v>0</v>
      </c>
      <c r="P13" s="701">
        <f ca="1">SUMIFS('Cutters Consumption Updates'!E:E,
        'Cutters Consumption Updates'!B:B, B13,
        'Cutters Consumption Updates'!A:A, "&gt;" &amp; TODAY()-91)</f>
        <v>0</v>
      </c>
      <c r="Q13" s="701">
        <f t="shared" ca="1" si="1"/>
        <v>0</v>
      </c>
      <c r="R13" s="703">
        <f t="shared" ca="1" si="2"/>
        <v>0</v>
      </c>
      <c r="S13" s="703" t="s">
        <v>29</v>
      </c>
      <c r="T13" s="24">
        <f>IFERROR(INDEX(Table5[],MATCH($B13,Table5[Component],0),2),0)</f>
        <v>0</v>
      </c>
      <c r="U13" s="24">
        <f>SUMIFS(Table7[Balance],Table7[Cutter Mat'#],$B13)</f>
        <v>0</v>
      </c>
      <c r="V13" s="24">
        <f t="shared" si="3"/>
        <v>1</v>
      </c>
      <c r="W13" s="119"/>
      <c r="X13" s="2"/>
      <c r="Z13" s="4">
        <f>IFERROR(INDEX(Table5[],MATCH($B13,Table5[Component],0),2),0)</f>
        <v>0</v>
      </c>
      <c r="AA13" s="4">
        <f>IFERROR(INDEX(Table5[],MATCH($B13,Table5[Component],0),1),0)</f>
        <v>0</v>
      </c>
      <c r="AB13" s="4" t="str">
        <f t="shared" si="4"/>
        <v/>
      </c>
      <c r="AC13" s="4" t="str">
        <f t="shared" si="5"/>
        <v/>
      </c>
      <c r="AE13" s="4">
        <f t="shared" si="6"/>
        <v>1</v>
      </c>
      <c r="AF13"/>
      <c r="AJ13" s="248" t="str">
        <f t="shared" si="7"/>
        <v/>
      </c>
      <c r="AK13" s="248" t="str">
        <f t="shared" si="8"/>
        <v/>
      </c>
      <c r="AL13">
        <f t="shared" si="9"/>
        <v>0</v>
      </c>
      <c r="AQ13">
        <f t="shared" si="11"/>
        <v>0</v>
      </c>
      <c r="AS13">
        <v>410851</v>
      </c>
      <c r="AT13">
        <f t="shared" si="10"/>
        <v>0</v>
      </c>
    </row>
    <row r="14" spans="1:46" ht="15.65" customHeight="1" x14ac:dyDescent="0.35">
      <c r="A14" s="2">
        <v>13</v>
      </c>
      <c r="B14" s="2">
        <v>587493</v>
      </c>
      <c r="C14" s="2" t="s">
        <v>26</v>
      </c>
      <c r="D14" s="2">
        <v>1908</v>
      </c>
      <c r="E14" s="2" t="s">
        <v>46</v>
      </c>
      <c r="F14" s="2" t="s">
        <v>253</v>
      </c>
      <c r="G14" s="6"/>
      <c r="H14" s="6" t="s">
        <v>47</v>
      </c>
      <c r="I14" s="10">
        <f>SUMIFS('Cutters Consumption Updates'!$F:$F,'Cutters Consumption Updates'!$D:$D,I$1,'Cutters Consumption Updates'!$B:$B,$B14)-SUMIFS('Cutters Consumption Updates'!$E:$E,'Cutters Consumption Updates'!$D:$D,I$1,'Cutters Consumption Updates'!$B:$B,$B14)+ SUMIF('Cutters Consumption Updates'!$AS:$AS,$B14,'Cutters Consumption Updates'!AT:AT)</f>
        <v>0</v>
      </c>
      <c r="J14" s="10">
        <f>SUMIFS('Cutters Consumption Updates'!$F:$F,'Cutters Consumption Updates'!$D:$D,J$1,'Cutters Consumption Updates'!$B:$B,$B14)-SUMIFS('Cutters Consumption Updates'!$E:$E,'Cutters Consumption Updates'!$D:$D,J$1,'Cutters Consumption Updates'!$B:$B,$B14)+ SUMIF('Cutters Consumption Updates'!$AS:$AS,$B14,'Cutters Consumption Updates'!AU:AU)</f>
        <v>0</v>
      </c>
      <c r="K14" s="116">
        <f>SUMIFS('Cutters Consumption Updates'!$F:$F,'Cutters Consumption Updates'!$D:$D,K$1,'Cutters Consumption Updates'!$B:$B,$B14)-SUMIFS('Cutters Consumption Updates'!$E:$E,'Cutters Consumption Updates'!$D:$D,K$1,'Cutters Consumption Updates'!$B:$B,$B14)+ SUMIF('Cutters Consumption Updates'!$AS:$AS,$B14,'Cutters Consumption Updates'!AV:AV)</f>
        <v>0</v>
      </c>
      <c r="L14" s="738">
        <f>SUMIFS('Cutters Consumption Updates'!$F:$F,'Cutters Consumption Updates'!$D:$D,L$1,'Cutters Consumption Updates'!$B:$B,$B14)-SUMIFS('Cutters Consumption Updates'!$E:$E,'Cutters Consumption Updates'!$D:$D,L$1,'Cutters Consumption Updates'!$B:$B,$B14)+ SUMIF('Cutters Consumption Updates'!$AS:$AS,$B14,'Cutters Consumption Updates'!AW:AW)</f>
        <v>0</v>
      </c>
      <c r="M14" s="116">
        <f>SUMIFS('Cutters Consumption Updates'!$F:$F,'Cutters Consumption Updates'!$D:$D,M$1,'Cutters Consumption Updates'!$B:$B,$B14)-SUMIFS('Cutters Consumption Updates'!$E:$E,'Cutters Consumption Updates'!$D:$D,$M$1,'Cutters Consumption Updates'!$B:$B,$B14)+SUMIFS('Cutters Consumption Updates'!$F:$F,'Cutters Consumption Updates'!$D:$D,"Retrofit",'Cutters Consumption Updates'!$B:$B,$B14)-SUMIFS('Cutters Consumption Updates'!$E:$E,'Cutters Consumption Updates'!$D:$D,"Retrofit",'Cutters Consumption Updates'!$B:$B,$B14)+ SUMIF('Cutters Consumption Updates'!$AS:$AS,$B14,'Cutters Consumption Updates'!AX:AX)</f>
        <v>20</v>
      </c>
      <c r="N14" s="10">
        <f t="shared" si="0"/>
        <v>20</v>
      </c>
      <c r="O14" s="701">
        <f ca="1">SUMIFS('Cutters Consumption Updates'!E:E,
        'Cutters Consumption Updates'!B:B, B14,
        'Cutters Consumption Updates'!A:A, "&gt;" &amp; TODAY()-182)</f>
        <v>0</v>
      </c>
      <c r="P14" s="701">
        <f ca="1">SUMIFS('Cutters Consumption Updates'!E:E,
        'Cutters Consumption Updates'!B:B, B14,
        'Cutters Consumption Updates'!A:A, "&gt;" &amp; TODAY()-91)</f>
        <v>0</v>
      </c>
      <c r="Q14" s="701">
        <f t="shared" ca="1" si="1"/>
        <v>0</v>
      </c>
      <c r="R14" s="703">
        <f t="shared" ca="1" si="2"/>
        <v>0</v>
      </c>
      <c r="S14" s="703" t="s">
        <v>29</v>
      </c>
      <c r="T14" s="24">
        <f>IFERROR(INDEX(Table5[],MATCH($B14,Table5[Component],0),2),0)</f>
        <v>0</v>
      </c>
      <c r="U14" s="24">
        <f>SUMIFS(Table7[Balance],Table7[Cutter Mat'#],$B14)</f>
        <v>0</v>
      </c>
      <c r="V14" s="24">
        <f t="shared" si="3"/>
        <v>20</v>
      </c>
      <c r="W14" s="119"/>
      <c r="X14" s="2"/>
      <c r="Z14" s="4">
        <f>IFERROR(INDEX(Table5[],MATCH($B14,Table5[Component],0),2),0)</f>
        <v>0</v>
      </c>
      <c r="AA14" s="4">
        <f>IFERROR(INDEX(Table5[],MATCH($B14,Table5[Component],0),1),0)</f>
        <v>0</v>
      </c>
      <c r="AB14" s="4" t="str">
        <f t="shared" si="4"/>
        <v/>
      </c>
      <c r="AC14" s="4" t="str">
        <f t="shared" si="5"/>
        <v/>
      </c>
      <c r="AE14" s="4">
        <f t="shared" si="6"/>
        <v>20</v>
      </c>
      <c r="AF14"/>
      <c r="AJ14" s="248" t="str">
        <f t="shared" si="7"/>
        <v/>
      </c>
      <c r="AK14" s="248" t="str">
        <f t="shared" si="8"/>
        <v/>
      </c>
      <c r="AL14">
        <f t="shared" si="9"/>
        <v>0</v>
      </c>
      <c r="AQ14">
        <f t="shared" si="11"/>
        <v>0</v>
      </c>
      <c r="AS14">
        <v>418525</v>
      </c>
      <c r="AT14">
        <f t="shared" si="10"/>
        <v>150</v>
      </c>
    </row>
    <row r="15" spans="1:46" ht="15.65" customHeight="1" x14ac:dyDescent="0.35">
      <c r="A15" s="2">
        <v>14</v>
      </c>
      <c r="B15" s="2">
        <v>565884</v>
      </c>
      <c r="C15" s="2" t="s">
        <v>26</v>
      </c>
      <c r="D15" s="2">
        <v>1313</v>
      </c>
      <c r="E15" s="2" t="s">
        <v>50</v>
      </c>
      <c r="F15" s="2" t="s">
        <v>253</v>
      </c>
      <c r="G15" s="6"/>
      <c r="H15" s="6" t="s">
        <v>47</v>
      </c>
      <c r="I15" s="10">
        <f>SUMIFS('Cutters Consumption Updates'!$F:$F,'Cutters Consumption Updates'!$D:$D,I$1,'Cutters Consumption Updates'!$B:$B,$B15)-SUMIFS('Cutters Consumption Updates'!$E:$E,'Cutters Consumption Updates'!$D:$D,I$1,'Cutters Consumption Updates'!$B:$B,$B15)+ SUMIF('Cutters Consumption Updates'!$AS:$AS,$B15,'Cutters Consumption Updates'!AT:AT)</f>
        <v>0</v>
      </c>
      <c r="J15" s="10">
        <f>SUMIFS('Cutters Consumption Updates'!$F:$F,'Cutters Consumption Updates'!$D:$D,J$1,'Cutters Consumption Updates'!$B:$B,$B15)-SUMIFS('Cutters Consumption Updates'!$E:$E,'Cutters Consumption Updates'!$D:$D,J$1,'Cutters Consumption Updates'!$B:$B,$B15)+ SUMIF('Cutters Consumption Updates'!$AS:$AS,$B15,'Cutters Consumption Updates'!AU:AU)</f>
        <v>0</v>
      </c>
      <c r="K15" s="116">
        <f>SUMIFS('Cutters Consumption Updates'!$F:$F,'Cutters Consumption Updates'!$D:$D,K$1,'Cutters Consumption Updates'!$B:$B,$B15)-SUMIFS('Cutters Consumption Updates'!$E:$E,'Cutters Consumption Updates'!$D:$D,K$1,'Cutters Consumption Updates'!$B:$B,$B15)+ SUMIF('Cutters Consumption Updates'!$AS:$AS,$B15,'Cutters Consumption Updates'!AV:AV)</f>
        <v>0</v>
      </c>
      <c r="L15" s="738">
        <f>SUMIFS('Cutters Consumption Updates'!$F:$F,'Cutters Consumption Updates'!$D:$D,L$1,'Cutters Consumption Updates'!$B:$B,$B15)-SUMIFS('Cutters Consumption Updates'!$E:$E,'Cutters Consumption Updates'!$D:$D,L$1,'Cutters Consumption Updates'!$B:$B,$B15)+ SUMIF('Cutters Consumption Updates'!$AS:$AS,$B15,'Cutters Consumption Updates'!AW:AW)</f>
        <v>0</v>
      </c>
      <c r="M15" s="116">
        <f>SUMIFS('Cutters Consumption Updates'!$F:$F,'Cutters Consumption Updates'!$D:$D,M$1,'Cutters Consumption Updates'!$B:$B,$B15)-SUMIFS('Cutters Consumption Updates'!$E:$E,'Cutters Consumption Updates'!$D:$D,$M$1,'Cutters Consumption Updates'!$B:$B,$B15)+SUMIFS('Cutters Consumption Updates'!$F:$F,'Cutters Consumption Updates'!$D:$D,"Retrofit",'Cutters Consumption Updates'!$B:$B,$B15)-SUMIFS('Cutters Consumption Updates'!$E:$E,'Cutters Consumption Updates'!$D:$D,"Retrofit",'Cutters Consumption Updates'!$B:$B,$B15)+ SUMIF('Cutters Consumption Updates'!$AS:$AS,$B15,'Cutters Consumption Updates'!AX:AX)</f>
        <v>0</v>
      </c>
      <c r="N15" s="10">
        <f t="shared" si="0"/>
        <v>0</v>
      </c>
      <c r="O15" s="701">
        <f ca="1">SUMIFS('Cutters Consumption Updates'!E:E,
        'Cutters Consumption Updates'!B:B, B15,
        'Cutters Consumption Updates'!A:A, "&gt;" &amp; TODAY()-182)</f>
        <v>0</v>
      </c>
      <c r="P15" s="701">
        <f ca="1">SUMIFS('Cutters Consumption Updates'!E:E,
        'Cutters Consumption Updates'!B:B, B15,
        'Cutters Consumption Updates'!A:A, "&gt;" &amp; TODAY()-91)</f>
        <v>0</v>
      </c>
      <c r="Q15" s="701">
        <f t="shared" ca="1" si="1"/>
        <v>0</v>
      </c>
      <c r="R15" s="703">
        <f t="shared" ca="1" si="2"/>
        <v>0</v>
      </c>
      <c r="S15" s="703" t="s">
        <v>29</v>
      </c>
      <c r="T15" s="24">
        <f>IFERROR(INDEX(Table5[],MATCH($B15,Table5[Component],0),2),0)</f>
        <v>0</v>
      </c>
      <c r="U15" s="24">
        <f>SUMIFS(Table7[Balance],Table7[Cutter Mat'#],$B15)</f>
        <v>0</v>
      </c>
      <c r="V15" s="24">
        <f t="shared" si="3"/>
        <v>0</v>
      </c>
      <c r="W15" s="119"/>
      <c r="X15" s="2"/>
      <c r="Z15" s="4">
        <f>IFERROR(INDEX(Table5[],MATCH($B15,Table5[Component],0),2),0)</f>
        <v>0</v>
      </c>
      <c r="AA15" s="4">
        <f>IFERROR(INDEX(Table5[],MATCH($B15,Table5[Component],0),1),0)</f>
        <v>0</v>
      </c>
      <c r="AB15" s="4" t="str">
        <f t="shared" si="4"/>
        <v/>
      </c>
      <c r="AC15" s="4" t="str">
        <f t="shared" si="5"/>
        <v/>
      </c>
      <c r="AE15" s="4">
        <f t="shared" si="6"/>
        <v>0</v>
      </c>
      <c r="AF15"/>
      <c r="AJ15" s="248" t="str">
        <f t="shared" si="7"/>
        <v/>
      </c>
      <c r="AK15" s="248" t="str">
        <f t="shared" si="8"/>
        <v/>
      </c>
      <c r="AL15">
        <f t="shared" si="9"/>
        <v>0</v>
      </c>
      <c r="AQ15">
        <f t="shared" si="11"/>
        <v>0</v>
      </c>
      <c r="AS15">
        <v>467367</v>
      </c>
      <c r="AT15">
        <f t="shared" si="10"/>
        <v>0</v>
      </c>
    </row>
    <row r="16" spans="1:46" ht="15.65" customHeight="1" x14ac:dyDescent="0.35">
      <c r="A16" s="2">
        <v>15</v>
      </c>
      <c r="B16" s="2">
        <v>703670</v>
      </c>
      <c r="C16" s="2" t="s">
        <v>26</v>
      </c>
      <c r="D16" s="2">
        <v>1313</v>
      </c>
      <c r="E16" s="2" t="s">
        <v>51</v>
      </c>
      <c r="F16" s="2" t="s">
        <v>248</v>
      </c>
      <c r="G16" s="6"/>
      <c r="H16" s="6" t="s">
        <v>47</v>
      </c>
      <c r="I16" s="10">
        <f>SUMIFS('Cutters Consumption Updates'!$F:$F,'Cutters Consumption Updates'!$D:$D,I$1,'Cutters Consumption Updates'!$B:$B,$B16)-SUMIFS('Cutters Consumption Updates'!$E:$E,'Cutters Consumption Updates'!$D:$D,I$1,'Cutters Consumption Updates'!$B:$B,$B16)+ SUMIF('Cutters Consumption Updates'!$AS:$AS,$B16,'Cutters Consumption Updates'!AT:AT)</f>
        <v>0</v>
      </c>
      <c r="J16" s="10">
        <f>SUMIFS('Cutters Consumption Updates'!$F:$F,'Cutters Consumption Updates'!$D:$D,J$1,'Cutters Consumption Updates'!$B:$B,$B16)-SUMIFS('Cutters Consumption Updates'!$E:$E,'Cutters Consumption Updates'!$D:$D,J$1,'Cutters Consumption Updates'!$B:$B,$B16)+ SUMIF('Cutters Consumption Updates'!$AS:$AS,$B16,'Cutters Consumption Updates'!AU:AU)</f>
        <v>0</v>
      </c>
      <c r="K16" s="116">
        <f>SUMIFS('Cutters Consumption Updates'!$F:$F,'Cutters Consumption Updates'!$D:$D,K$1,'Cutters Consumption Updates'!$B:$B,$B16)-SUMIFS('Cutters Consumption Updates'!$E:$E,'Cutters Consumption Updates'!$D:$D,K$1,'Cutters Consumption Updates'!$B:$B,$B16)+ SUMIF('Cutters Consumption Updates'!$AS:$AS,$B16,'Cutters Consumption Updates'!AV:AV)</f>
        <v>0</v>
      </c>
      <c r="L16" s="738">
        <f>SUMIFS('Cutters Consumption Updates'!$F:$F,'Cutters Consumption Updates'!$D:$D,L$1,'Cutters Consumption Updates'!$B:$B,$B16)-SUMIFS('Cutters Consumption Updates'!$E:$E,'Cutters Consumption Updates'!$D:$D,L$1,'Cutters Consumption Updates'!$B:$B,$B16)+ SUMIF('Cutters Consumption Updates'!$AS:$AS,$B16,'Cutters Consumption Updates'!AW:AW)</f>
        <v>29</v>
      </c>
      <c r="M16" s="116">
        <f>SUMIFS('Cutters Consumption Updates'!$F:$F,'Cutters Consumption Updates'!$D:$D,M$1,'Cutters Consumption Updates'!$B:$B,$B16)-SUMIFS('Cutters Consumption Updates'!$E:$E,'Cutters Consumption Updates'!$D:$D,$M$1,'Cutters Consumption Updates'!$B:$B,$B16)+SUMIFS('Cutters Consumption Updates'!$F:$F,'Cutters Consumption Updates'!$D:$D,"Retrofit",'Cutters Consumption Updates'!$B:$B,$B16)-SUMIFS('Cutters Consumption Updates'!$E:$E,'Cutters Consumption Updates'!$D:$D,"Retrofit",'Cutters Consumption Updates'!$B:$B,$B16)+ SUMIF('Cutters Consumption Updates'!$AS:$AS,$B16,'Cutters Consumption Updates'!AX:AX)</f>
        <v>14</v>
      </c>
      <c r="N16" s="10">
        <f t="shared" si="0"/>
        <v>14</v>
      </c>
      <c r="O16" s="701">
        <f ca="1">SUMIFS('Cutters Consumption Updates'!E:E,
        'Cutters Consumption Updates'!B:B, B16,
        'Cutters Consumption Updates'!A:A, "&gt;" &amp; TODAY()-182)</f>
        <v>49</v>
      </c>
      <c r="P16" s="701">
        <f ca="1">SUMIFS('Cutters Consumption Updates'!E:E,
        'Cutters Consumption Updates'!B:B, B16,
        'Cutters Consumption Updates'!A:A, "&gt;" &amp; TODAY()-91)</f>
        <v>5</v>
      </c>
      <c r="Q16" s="701">
        <f t="shared" ca="1" si="1"/>
        <v>17</v>
      </c>
      <c r="R16" s="703">
        <f t="shared" ca="1" si="2"/>
        <v>20</v>
      </c>
      <c r="S16" s="703" t="s">
        <v>52</v>
      </c>
      <c r="T16" s="24">
        <f>IFERROR(INDEX(Table5[],MATCH($B16,Table5[Component],0),2),0)</f>
        <v>0</v>
      </c>
      <c r="U16" s="24">
        <f>SUMIFS(Table7[Balance],Table7[Cutter Mat'#],$B16)</f>
        <v>0</v>
      </c>
      <c r="V16" s="24">
        <f t="shared" si="3"/>
        <v>14</v>
      </c>
      <c r="W16" s="119"/>
      <c r="X16" s="2"/>
      <c r="Z16" s="4">
        <f>IFERROR(INDEX(Table5[],MATCH($B16,Table5[Component],0),2),0)</f>
        <v>0</v>
      </c>
      <c r="AA16" s="4">
        <f>IFERROR(INDEX(Table5[],MATCH($B16,Table5[Component],0),1),0)</f>
        <v>703670</v>
      </c>
      <c r="AB16" s="4" t="str">
        <f t="shared" si="4"/>
        <v/>
      </c>
      <c r="AC16" s="4" t="str">
        <f t="shared" si="5"/>
        <v/>
      </c>
      <c r="AE16" s="4">
        <f t="shared" si="6"/>
        <v>14</v>
      </c>
      <c r="AF16"/>
      <c r="AJ16" s="248" t="str">
        <f t="shared" si="7"/>
        <v/>
      </c>
      <c r="AK16" s="248" t="str">
        <f t="shared" si="8"/>
        <v/>
      </c>
      <c r="AL16">
        <f t="shared" si="9"/>
        <v>0</v>
      </c>
      <c r="AQ16">
        <f t="shared" si="11"/>
        <v>0</v>
      </c>
      <c r="AS16">
        <v>471108</v>
      </c>
      <c r="AT16">
        <f t="shared" si="10"/>
        <v>0</v>
      </c>
    </row>
    <row r="17" spans="1:46" ht="15.65" customHeight="1" x14ac:dyDescent="0.35">
      <c r="A17" s="2">
        <v>16</v>
      </c>
      <c r="B17" s="2">
        <v>708305</v>
      </c>
      <c r="C17" s="2" t="s">
        <v>26</v>
      </c>
      <c r="D17" s="2">
        <v>1913</v>
      </c>
      <c r="E17" s="2" t="s">
        <v>51</v>
      </c>
      <c r="F17" s="2" t="s">
        <v>248</v>
      </c>
      <c r="G17" s="6"/>
      <c r="H17" s="6" t="s">
        <v>47</v>
      </c>
      <c r="I17" s="10">
        <f>SUMIFS('Cutters Consumption Updates'!$F:$F,'Cutters Consumption Updates'!$D:$D,I$1,'Cutters Consumption Updates'!$B:$B,$B17)-SUMIFS('Cutters Consumption Updates'!$E:$E,'Cutters Consumption Updates'!$D:$D,I$1,'Cutters Consumption Updates'!$B:$B,$B17)+ SUMIF('Cutters Consumption Updates'!$AS:$AS,$B17,'Cutters Consumption Updates'!AT:AT)</f>
        <v>0</v>
      </c>
      <c r="J17" s="10">
        <f>SUMIFS('Cutters Consumption Updates'!$F:$F,'Cutters Consumption Updates'!$D:$D,J$1,'Cutters Consumption Updates'!$B:$B,$B17)-SUMIFS('Cutters Consumption Updates'!$E:$E,'Cutters Consumption Updates'!$D:$D,J$1,'Cutters Consumption Updates'!$B:$B,$B17)+ SUMIF('Cutters Consumption Updates'!$AS:$AS,$B17,'Cutters Consumption Updates'!AU:AU)</f>
        <v>0</v>
      </c>
      <c r="K17" s="116">
        <f>SUMIFS('Cutters Consumption Updates'!$F:$F,'Cutters Consumption Updates'!$D:$D,K$1,'Cutters Consumption Updates'!$B:$B,$B17)-SUMIFS('Cutters Consumption Updates'!$E:$E,'Cutters Consumption Updates'!$D:$D,K$1,'Cutters Consumption Updates'!$B:$B,$B17)+ SUMIF('Cutters Consumption Updates'!$AS:$AS,$B17,'Cutters Consumption Updates'!AV:AV)</f>
        <v>0</v>
      </c>
      <c r="L17" s="738">
        <f>SUMIFS('Cutters Consumption Updates'!$F:$F,'Cutters Consumption Updates'!$D:$D,L$1,'Cutters Consumption Updates'!$B:$B,$B17)-SUMIFS('Cutters Consumption Updates'!$E:$E,'Cutters Consumption Updates'!$D:$D,L$1,'Cutters Consumption Updates'!$B:$B,$B17)+ SUMIF('Cutters Consumption Updates'!$AS:$AS,$B17,'Cutters Consumption Updates'!AW:AW)</f>
        <v>0</v>
      </c>
      <c r="M17" s="116">
        <f>SUMIFS('Cutters Consumption Updates'!$F:$F,'Cutters Consumption Updates'!$D:$D,M$1,'Cutters Consumption Updates'!$B:$B,$B17)-SUMIFS('Cutters Consumption Updates'!$E:$E,'Cutters Consumption Updates'!$D:$D,$M$1,'Cutters Consumption Updates'!$B:$B,$B17)+SUMIFS('Cutters Consumption Updates'!$F:$F,'Cutters Consumption Updates'!$D:$D,"Retrofit",'Cutters Consumption Updates'!$B:$B,$B17)-SUMIFS('Cutters Consumption Updates'!$E:$E,'Cutters Consumption Updates'!$D:$D,"Retrofit",'Cutters Consumption Updates'!$B:$B,$B17)+ SUMIF('Cutters Consumption Updates'!$AS:$AS,$B17,'Cutters Consumption Updates'!AX:AX)</f>
        <v>2</v>
      </c>
      <c r="N17" s="10">
        <f t="shared" si="0"/>
        <v>2</v>
      </c>
      <c r="O17" s="701">
        <f ca="1">SUMIFS('Cutters Consumption Updates'!E:E,
        'Cutters Consumption Updates'!B:B, B17,
        'Cutters Consumption Updates'!A:A, "&gt;" &amp; TODAY()-182)</f>
        <v>0</v>
      </c>
      <c r="P17" s="701">
        <f ca="1">SUMIFS('Cutters Consumption Updates'!E:E,
        'Cutters Consumption Updates'!B:B, B17,
        'Cutters Consumption Updates'!A:A, "&gt;" &amp; TODAY()-91)</f>
        <v>0</v>
      </c>
      <c r="Q17" s="701">
        <f t="shared" ca="1" si="1"/>
        <v>0</v>
      </c>
      <c r="R17" s="703">
        <f t="shared" ca="1" si="2"/>
        <v>0</v>
      </c>
      <c r="S17" s="703" t="s">
        <v>29</v>
      </c>
      <c r="T17" s="24">
        <f>IFERROR(INDEX(Table5[],MATCH($B17,Table5[Component],0),2),0)</f>
        <v>0</v>
      </c>
      <c r="U17" s="24">
        <f>SUMIFS(Table7[Balance],Table7[Cutter Mat'#],$B17)</f>
        <v>0</v>
      </c>
      <c r="V17" s="24">
        <f t="shared" si="3"/>
        <v>2</v>
      </c>
      <c r="W17" s="119"/>
      <c r="X17" s="2"/>
      <c r="Z17" s="4">
        <f>IFERROR(INDEX(Table5[],MATCH($B17,Table5[Component],0),2),0)</f>
        <v>0</v>
      </c>
      <c r="AA17" s="4">
        <f>IFERROR(INDEX(Table5[],MATCH($B17,Table5[Component],0),1),0)</f>
        <v>0</v>
      </c>
      <c r="AB17" s="4" t="str">
        <f t="shared" si="4"/>
        <v/>
      </c>
      <c r="AC17" s="4" t="str">
        <f t="shared" si="5"/>
        <v/>
      </c>
      <c r="AE17" s="4">
        <f t="shared" si="6"/>
        <v>2</v>
      </c>
      <c r="AF17"/>
      <c r="AJ17" s="248" t="str">
        <f t="shared" si="7"/>
        <v/>
      </c>
      <c r="AK17" s="248" t="str">
        <f t="shared" si="8"/>
        <v/>
      </c>
      <c r="AL17">
        <f t="shared" si="9"/>
        <v>0</v>
      </c>
      <c r="AQ17">
        <f t="shared" si="11"/>
        <v>0</v>
      </c>
      <c r="AS17">
        <v>471109</v>
      </c>
      <c r="AT17">
        <f t="shared" si="10"/>
        <v>0</v>
      </c>
    </row>
    <row r="18" spans="1:46" ht="15.65" customHeight="1" x14ac:dyDescent="0.35">
      <c r="A18" s="2">
        <v>17</v>
      </c>
      <c r="B18" s="2">
        <v>717749</v>
      </c>
      <c r="C18" s="2" t="s">
        <v>26</v>
      </c>
      <c r="D18" s="2">
        <v>1308</v>
      </c>
      <c r="E18" s="2" t="s">
        <v>51</v>
      </c>
      <c r="F18" s="2" t="s">
        <v>248</v>
      </c>
      <c r="G18" s="6"/>
      <c r="H18" s="6" t="s">
        <v>47</v>
      </c>
      <c r="I18" s="10">
        <f>SUMIFS('Cutters Consumption Updates'!$F:$F,'Cutters Consumption Updates'!$D:$D,I$1,'Cutters Consumption Updates'!$B:$B,$B18)-SUMIFS('Cutters Consumption Updates'!$E:$E,'Cutters Consumption Updates'!$D:$D,I$1,'Cutters Consumption Updates'!$B:$B,$B18)+ SUMIF('Cutters Consumption Updates'!$AS:$AS,$B18,'Cutters Consumption Updates'!AT:AT)</f>
        <v>0</v>
      </c>
      <c r="J18" s="10">
        <f>SUMIFS('Cutters Consumption Updates'!$F:$F,'Cutters Consumption Updates'!$D:$D,J$1,'Cutters Consumption Updates'!$B:$B,$B18)-SUMIFS('Cutters Consumption Updates'!$E:$E,'Cutters Consumption Updates'!$D:$D,J$1,'Cutters Consumption Updates'!$B:$B,$B18)+ SUMIF('Cutters Consumption Updates'!$AS:$AS,$B18,'Cutters Consumption Updates'!AU:AU)</f>
        <v>0</v>
      </c>
      <c r="K18" s="116">
        <f>SUMIFS('Cutters Consumption Updates'!$F:$F,'Cutters Consumption Updates'!$D:$D,K$1,'Cutters Consumption Updates'!$B:$B,$B18)-SUMIFS('Cutters Consumption Updates'!$E:$E,'Cutters Consumption Updates'!$D:$D,K$1,'Cutters Consumption Updates'!$B:$B,$B18)+ SUMIF('Cutters Consumption Updates'!$AS:$AS,$B18,'Cutters Consumption Updates'!AV:AV)</f>
        <v>0</v>
      </c>
      <c r="L18" s="738">
        <f>SUMIFS('Cutters Consumption Updates'!$F:$F,'Cutters Consumption Updates'!$D:$D,L$1,'Cutters Consumption Updates'!$B:$B,$B18)-SUMIFS('Cutters Consumption Updates'!$E:$E,'Cutters Consumption Updates'!$D:$D,L$1,'Cutters Consumption Updates'!$B:$B,$B18)+ SUMIF('Cutters Consumption Updates'!$AS:$AS,$B18,'Cutters Consumption Updates'!AW:AW)</f>
        <v>0</v>
      </c>
      <c r="M18" s="116">
        <f>SUMIFS('Cutters Consumption Updates'!$F:$F,'Cutters Consumption Updates'!$D:$D,M$1,'Cutters Consumption Updates'!$B:$B,$B18)-SUMIFS('Cutters Consumption Updates'!$E:$E,'Cutters Consumption Updates'!$D:$D,$M$1,'Cutters Consumption Updates'!$B:$B,$B18)+SUMIFS('Cutters Consumption Updates'!$F:$F,'Cutters Consumption Updates'!$D:$D,"Retrofit",'Cutters Consumption Updates'!$B:$B,$B18)-SUMIFS('Cutters Consumption Updates'!$E:$E,'Cutters Consumption Updates'!$D:$D,"Retrofit",'Cutters Consumption Updates'!$B:$B,$B18)+ SUMIF('Cutters Consumption Updates'!$AS:$AS,$B18,'Cutters Consumption Updates'!AX:AX)</f>
        <v>0</v>
      </c>
      <c r="N18" s="10">
        <f t="shared" si="0"/>
        <v>0</v>
      </c>
      <c r="O18" s="701">
        <f ca="1">SUMIFS('Cutters Consumption Updates'!E:E,
        'Cutters Consumption Updates'!B:B, B18,
        'Cutters Consumption Updates'!A:A, "&gt;" &amp; TODAY()-182)</f>
        <v>0</v>
      </c>
      <c r="P18" s="701">
        <f ca="1">SUMIFS('Cutters Consumption Updates'!E:E,
        'Cutters Consumption Updates'!B:B, B18,
        'Cutters Consumption Updates'!A:A, "&gt;" &amp; TODAY()-91)</f>
        <v>0</v>
      </c>
      <c r="Q18" s="701">
        <f t="shared" ca="1" si="1"/>
        <v>0</v>
      </c>
      <c r="R18" s="703">
        <f t="shared" ca="1" si="2"/>
        <v>0</v>
      </c>
      <c r="S18" s="703" t="s">
        <v>29</v>
      </c>
      <c r="T18" s="24">
        <f>IFERROR(INDEX(Table5[],MATCH($B18,Table5[Component],0),2),0)</f>
        <v>0</v>
      </c>
      <c r="U18" s="24">
        <f>SUMIFS(Table7[Balance],Table7[Cutter Mat'#],$B18)</f>
        <v>0</v>
      </c>
      <c r="V18" s="24">
        <f t="shared" si="3"/>
        <v>0</v>
      </c>
      <c r="W18" s="119"/>
      <c r="X18" s="2"/>
      <c r="Z18" s="4">
        <f>IFERROR(INDEX(Table5[],MATCH($B18,Table5[Component],0),2),0)</f>
        <v>0</v>
      </c>
      <c r="AA18" s="4">
        <f>IFERROR(INDEX(Table5[],MATCH($B18,Table5[Component],0),1),0)</f>
        <v>0</v>
      </c>
      <c r="AB18" s="4" t="str">
        <f t="shared" si="4"/>
        <v/>
      </c>
      <c r="AC18" s="4" t="str">
        <f t="shared" si="5"/>
        <v/>
      </c>
      <c r="AE18" s="4">
        <f t="shared" si="6"/>
        <v>0</v>
      </c>
      <c r="AF18"/>
      <c r="AJ18" s="248" t="str">
        <f t="shared" si="7"/>
        <v/>
      </c>
      <c r="AK18" s="248" t="str">
        <f t="shared" si="8"/>
        <v/>
      </c>
      <c r="AL18">
        <f t="shared" si="9"/>
        <v>0</v>
      </c>
      <c r="AQ18">
        <f t="shared" si="11"/>
        <v>0</v>
      </c>
      <c r="AS18">
        <v>535656</v>
      </c>
      <c r="AT18">
        <f t="shared" si="10"/>
        <v>0</v>
      </c>
    </row>
    <row r="19" spans="1:46" ht="15.65" customHeight="1" x14ac:dyDescent="0.35">
      <c r="A19" s="2">
        <v>18</v>
      </c>
      <c r="B19" s="2">
        <v>745171</v>
      </c>
      <c r="C19" s="2" t="s">
        <v>26</v>
      </c>
      <c r="D19" s="2">
        <v>1308</v>
      </c>
      <c r="E19" s="2" t="s">
        <v>53</v>
      </c>
      <c r="F19" s="2" t="s">
        <v>248</v>
      </c>
      <c r="G19" s="6"/>
      <c r="H19" s="6" t="s">
        <v>47</v>
      </c>
      <c r="I19" s="10">
        <f>SUMIFS('Cutters Consumption Updates'!$F:$F,'Cutters Consumption Updates'!$D:$D,I$1,'Cutters Consumption Updates'!$B:$B,$B19)-SUMIFS('Cutters Consumption Updates'!$E:$E,'Cutters Consumption Updates'!$D:$D,I$1,'Cutters Consumption Updates'!$B:$B,$B19)+ SUMIF('Cutters Consumption Updates'!$AS:$AS,$B19,'Cutters Consumption Updates'!AT:AT)</f>
        <v>0</v>
      </c>
      <c r="J19" s="10">
        <f>SUMIFS('Cutters Consumption Updates'!$F:$F,'Cutters Consumption Updates'!$D:$D,J$1,'Cutters Consumption Updates'!$B:$B,$B19)-SUMIFS('Cutters Consumption Updates'!$E:$E,'Cutters Consumption Updates'!$D:$D,J$1,'Cutters Consumption Updates'!$B:$B,$B19)+ SUMIF('Cutters Consumption Updates'!$AS:$AS,$B19,'Cutters Consumption Updates'!AU:AU)</f>
        <v>0</v>
      </c>
      <c r="K19" s="116">
        <f>SUMIFS('Cutters Consumption Updates'!$F:$F,'Cutters Consumption Updates'!$D:$D,K$1,'Cutters Consumption Updates'!$B:$B,$B19)-SUMIFS('Cutters Consumption Updates'!$E:$E,'Cutters Consumption Updates'!$D:$D,K$1,'Cutters Consumption Updates'!$B:$B,$B19)+ SUMIF('Cutters Consumption Updates'!$AS:$AS,$B19,'Cutters Consumption Updates'!AV:AV)</f>
        <v>0</v>
      </c>
      <c r="L19" s="738">
        <f>SUMIFS('Cutters Consumption Updates'!$F:$F,'Cutters Consumption Updates'!$D:$D,L$1,'Cutters Consumption Updates'!$B:$B,$B19)-SUMIFS('Cutters Consumption Updates'!$E:$E,'Cutters Consumption Updates'!$D:$D,L$1,'Cutters Consumption Updates'!$B:$B,$B19)+ SUMIF('Cutters Consumption Updates'!$AS:$AS,$B19,'Cutters Consumption Updates'!AW:AW)</f>
        <v>4</v>
      </c>
      <c r="M19" s="116">
        <f>SUMIFS('Cutters Consumption Updates'!$F:$F,'Cutters Consumption Updates'!$D:$D,M$1,'Cutters Consumption Updates'!$B:$B,$B19)-SUMIFS('Cutters Consumption Updates'!$E:$E,'Cutters Consumption Updates'!$D:$D,$M$1,'Cutters Consumption Updates'!$B:$B,$B19)+SUMIFS('Cutters Consumption Updates'!$F:$F,'Cutters Consumption Updates'!$D:$D,"Retrofit",'Cutters Consumption Updates'!$B:$B,$B19)-SUMIFS('Cutters Consumption Updates'!$E:$E,'Cutters Consumption Updates'!$D:$D,"Retrofit",'Cutters Consumption Updates'!$B:$B,$B19)+ SUMIF('Cutters Consumption Updates'!$AS:$AS,$B19,'Cutters Consumption Updates'!AX:AX)</f>
        <v>1</v>
      </c>
      <c r="N19" s="10">
        <f t="shared" si="0"/>
        <v>1</v>
      </c>
      <c r="O19" s="701">
        <f ca="1">SUMIFS('Cutters Consumption Updates'!E:E,
        'Cutters Consumption Updates'!B:B, B19,
        'Cutters Consumption Updates'!A:A, "&gt;" &amp; TODAY()-182)</f>
        <v>0</v>
      </c>
      <c r="P19" s="701">
        <f ca="1">SUMIFS('Cutters Consumption Updates'!E:E,
        'Cutters Consumption Updates'!B:B, B19,
        'Cutters Consumption Updates'!A:A, "&gt;" &amp; TODAY()-91)</f>
        <v>0</v>
      </c>
      <c r="Q19" s="701">
        <f t="shared" ca="1" si="1"/>
        <v>0</v>
      </c>
      <c r="R19" s="703">
        <f t="shared" ca="1" si="2"/>
        <v>0</v>
      </c>
      <c r="S19" s="703" t="s">
        <v>29</v>
      </c>
      <c r="T19" s="24">
        <f>IFERROR(INDEX(Table5[],MATCH($B19,Table5[Component],0),2),0)</f>
        <v>0</v>
      </c>
      <c r="U19" s="24">
        <f>SUMIFS(Table7[Balance],Table7[Cutter Mat'#],$B19)</f>
        <v>0</v>
      </c>
      <c r="V19" s="24">
        <f t="shared" si="3"/>
        <v>1</v>
      </c>
      <c r="W19" s="119"/>
      <c r="X19" s="2"/>
      <c r="Z19" s="4">
        <f>IFERROR(INDEX(Table5[],MATCH($B19,Table5[Component],0),2),0)</f>
        <v>0</v>
      </c>
      <c r="AA19" s="4">
        <f>IFERROR(INDEX(Table5[],MATCH($B19,Table5[Component],0),1),0)</f>
        <v>0</v>
      </c>
      <c r="AB19" s="4" t="str">
        <f t="shared" si="4"/>
        <v/>
      </c>
      <c r="AC19" s="4" t="str">
        <f t="shared" si="5"/>
        <v/>
      </c>
      <c r="AE19" s="4">
        <f t="shared" si="6"/>
        <v>1</v>
      </c>
      <c r="AF19"/>
      <c r="AJ19" s="248" t="str">
        <f t="shared" si="7"/>
        <v/>
      </c>
      <c r="AK19" s="248" t="str">
        <f t="shared" si="8"/>
        <v/>
      </c>
      <c r="AL19">
        <f t="shared" si="9"/>
        <v>0</v>
      </c>
      <c r="AQ19">
        <f t="shared" si="11"/>
        <v>0</v>
      </c>
      <c r="AS19">
        <v>562195</v>
      </c>
      <c r="AT19">
        <f t="shared" si="10"/>
        <v>0</v>
      </c>
    </row>
    <row r="20" spans="1:46" ht="15.65" customHeight="1" x14ac:dyDescent="0.35">
      <c r="A20" s="5">
        <v>19</v>
      </c>
      <c r="B20" s="5">
        <v>376826</v>
      </c>
      <c r="C20" s="5" t="s">
        <v>54</v>
      </c>
      <c r="D20" s="5" t="s">
        <v>55</v>
      </c>
      <c r="E20" s="5" t="s">
        <v>56</v>
      </c>
      <c r="F20" s="5"/>
      <c r="G20" s="7"/>
      <c r="H20" s="7" t="s">
        <v>57</v>
      </c>
      <c r="I20" s="10">
        <f>SUMIFS('Cutters Consumption Updates'!$F:$F,'Cutters Consumption Updates'!$D:$D,I$1,'Cutters Consumption Updates'!$B:$B,$B20)-SUMIFS('Cutters Consumption Updates'!$E:$E,'Cutters Consumption Updates'!$D:$D,I$1,'Cutters Consumption Updates'!$B:$B,$B20)+ SUMIF('Cutters Consumption Updates'!$AS:$AS,$B20,'Cutters Consumption Updates'!AT:AT)</f>
        <v>0</v>
      </c>
      <c r="J20" s="10">
        <f>SUMIFS('Cutters Consumption Updates'!$F:$F,'Cutters Consumption Updates'!$D:$D,J$1,'Cutters Consumption Updates'!$B:$B,$B20)-SUMIFS('Cutters Consumption Updates'!$E:$E,'Cutters Consumption Updates'!$D:$D,J$1,'Cutters Consumption Updates'!$B:$B,$B20)+ SUMIF('Cutters Consumption Updates'!$AS:$AS,$B20,'Cutters Consumption Updates'!AU:AU)</f>
        <v>0</v>
      </c>
      <c r="K20" s="116">
        <f>SUMIFS('Cutters Consumption Updates'!$F:$F,'Cutters Consumption Updates'!$D:$D,K$1,'Cutters Consumption Updates'!$B:$B,$B20)-SUMIFS('Cutters Consumption Updates'!$E:$E,'Cutters Consumption Updates'!$D:$D,K$1,'Cutters Consumption Updates'!$B:$B,$B20)+ SUMIF('Cutters Consumption Updates'!$AS:$AS,$B20,'Cutters Consumption Updates'!AV:AV)</f>
        <v>0</v>
      </c>
      <c r="L20" s="738">
        <f>SUMIFS('Cutters Consumption Updates'!$F:$F,'Cutters Consumption Updates'!$D:$D,L$1,'Cutters Consumption Updates'!$B:$B,$B20)-SUMIFS('Cutters Consumption Updates'!$E:$E,'Cutters Consumption Updates'!$D:$D,L$1,'Cutters Consumption Updates'!$B:$B,$B20)+ SUMIF('Cutters Consumption Updates'!$AS:$AS,$B20,'Cutters Consumption Updates'!AW:AW)</f>
        <v>0</v>
      </c>
      <c r="M20" s="116">
        <f>SUMIFS('Cutters Consumption Updates'!$F:$F,'Cutters Consumption Updates'!$D:$D,M$1,'Cutters Consumption Updates'!$B:$B,$B20)-SUMIFS('Cutters Consumption Updates'!$E:$E,'Cutters Consumption Updates'!$D:$D,$M$1,'Cutters Consumption Updates'!$B:$B,$B20)+SUMIFS('Cutters Consumption Updates'!$F:$F,'Cutters Consumption Updates'!$D:$D,"Retrofit",'Cutters Consumption Updates'!$B:$B,$B20)-SUMIFS('Cutters Consumption Updates'!$E:$E,'Cutters Consumption Updates'!$D:$D,"Retrofit",'Cutters Consumption Updates'!$B:$B,$B20)+ SUMIF('Cutters Consumption Updates'!$AS:$AS,$B20,'Cutters Consumption Updates'!AX:AX)</f>
        <v>0</v>
      </c>
      <c r="N20" s="10">
        <f t="shared" si="0"/>
        <v>0</v>
      </c>
      <c r="O20" s="701">
        <f ca="1">SUMIFS('Cutters Consumption Updates'!E:E,
        'Cutters Consumption Updates'!B:B, B20,
        'Cutters Consumption Updates'!A:A, "&gt;" &amp; TODAY()-182)</f>
        <v>0</v>
      </c>
      <c r="P20" s="701">
        <f ca="1">SUMIFS('Cutters Consumption Updates'!E:E,
        'Cutters Consumption Updates'!B:B, B20,
        'Cutters Consumption Updates'!A:A, "&gt;" &amp; TODAY()-91)</f>
        <v>0</v>
      </c>
      <c r="Q20" s="701">
        <f t="shared" ca="1" si="1"/>
        <v>0</v>
      </c>
      <c r="R20" s="703">
        <f t="shared" ca="1" si="2"/>
        <v>0</v>
      </c>
      <c r="S20" s="703" t="s">
        <v>29</v>
      </c>
      <c r="T20" s="24">
        <f>IFERROR(INDEX(Table5[],MATCH($B20,Table5[Component],0),2),0)</f>
        <v>0</v>
      </c>
      <c r="U20" s="24">
        <f>SUMIFS(Table7[Balance],Table7[Cutter Mat'#],$B20)</f>
        <v>0</v>
      </c>
      <c r="V20" s="24">
        <f t="shared" si="3"/>
        <v>0</v>
      </c>
      <c r="W20" s="119"/>
      <c r="X20" s="2"/>
      <c r="Z20" s="4">
        <f>IFERROR(INDEX(Table5[],MATCH($B20,Table5[Component],0),2),0)</f>
        <v>0</v>
      </c>
      <c r="AA20" s="4">
        <f>IFERROR(INDEX(Table5[],MATCH($B20,Table5[Component],0),1),0)</f>
        <v>0</v>
      </c>
      <c r="AB20" s="4" t="str">
        <f t="shared" si="4"/>
        <v/>
      </c>
      <c r="AC20" s="4" t="str">
        <f t="shared" si="5"/>
        <v/>
      </c>
      <c r="AE20" s="4">
        <f t="shared" si="6"/>
        <v>0</v>
      </c>
      <c r="AF20"/>
      <c r="AJ20" s="248" t="str">
        <f t="shared" si="7"/>
        <v/>
      </c>
      <c r="AK20" s="248" t="str">
        <f t="shared" si="8"/>
        <v/>
      </c>
      <c r="AL20">
        <f t="shared" si="9"/>
        <v>0</v>
      </c>
      <c r="AQ20">
        <f t="shared" si="11"/>
        <v>0</v>
      </c>
      <c r="AS20">
        <v>565884</v>
      </c>
      <c r="AT20">
        <f t="shared" si="10"/>
        <v>0</v>
      </c>
    </row>
    <row r="21" spans="1:46" ht="15.65" customHeight="1" x14ac:dyDescent="0.35">
      <c r="A21" s="2">
        <v>20</v>
      </c>
      <c r="B21" s="2">
        <v>621152</v>
      </c>
      <c r="C21" s="2" t="s">
        <v>58</v>
      </c>
      <c r="D21" s="2">
        <v>1318</v>
      </c>
      <c r="E21" s="2" t="s">
        <v>59</v>
      </c>
      <c r="F21" s="2"/>
      <c r="G21" s="6" t="s">
        <v>60</v>
      </c>
      <c r="H21" s="6" t="s">
        <v>36</v>
      </c>
      <c r="I21" s="10">
        <f>SUMIFS('Cutters Consumption Updates'!$F:$F,'Cutters Consumption Updates'!$D:$D,I$1,'Cutters Consumption Updates'!$B:$B,$B21)-SUMIFS('Cutters Consumption Updates'!$E:$E,'Cutters Consumption Updates'!$D:$D,I$1,'Cutters Consumption Updates'!$B:$B,$B21)+ SUMIF('Cutters Consumption Updates'!$AS:$AS,$B21,'Cutters Consumption Updates'!AT:AT)</f>
        <v>9</v>
      </c>
      <c r="J21" s="10">
        <f>SUMIFS('Cutters Consumption Updates'!$F:$F,'Cutters Consumption Updates'!$D:$D,J$1,'Cutters Consumption Updates'!$B:$B,$B21)-SUMIFS('Cutters Consumption Updates'!$E:$E,'Cutters Consumption Updates'!$D:$D,J$1,'Cutters Consumption Updates'!$B:$B,$B21)+ SUMIF('Cutters Consumption Updates'!$AS:$AS,$B21,'Cutters Consumption Updates'!AU:AU)</f>
        <v>0</v>
      </c>
      <c r="K21" s="116">
        <f>SUMIFS('Cutters Consumption Updates'!$F:$F,'Cutters Consumption Updates'!$D:$D,K$1,'Cutters Consumption Updates'!$B:$B,$B21)-SUMIFS('Cutters Consumption Updates'!$E:$E,'Cutters Consumption Updates'!$D:$D,K$1,'Cutters Consumption Updates'!$B:$B,$B21)+ SUMIF('Cutters Consumption Updates'!$AS:$AS,$B21,'Cutters Consumption Updates'!AV:AV)</f>
        <v>0</v>
      </c>
      <c r="L21" s="738">
        <f>SUMIFS('Cutters Consumption Updates'!$F:$F,'Cutters Consumption Updates'!$D:$D,L$1,'Cutters Consumption Updates'!$B:$B,$B21)-SUMIFS('Cutters Consumption Updates'!$E:$E,'Cutters Consumption Updates'!$D:$D,L$1,'Cutters Consumption Updates'!$B:$B,$B21)+ SUMIF('Cutters Consumption Updates'!$AS:$AS,$B21,'Cutters Consumption Updates'!AW:AW)</f>
        <v>0</v>
      </c>
      <c r="M21" s="116">
        <f>SUMIFS('Cutters Consumption Updates'!$F:$F,'Cutters Consumption Updates'!$D:$D,M$1,'Cutters Consumption Updates'!$B:$B,$B21)-SUMIFS('Cutters Consumption Updates'!$E:$E,'Cutters Consumption Updates'!$D:$D,$M$1,'Cutters Consumption Updates'!$B:$B,$B21)+SUMIFS('Cutters Consumption Updates'!$F:$F,'Cutters Consumption Updates'!$D:$D,"Retrofit",'Cutters Consumption Updates'!$B:$B,$B21)-SUMIFS('Cutters Consumption Updates'!$E:$E,'Cutters Consumption Updates'!$D:$D,"Retrofit",'Cutters Consumption Updates'!$B:$B,$B21)+ SUMIF('Cutters Consumption Updates'!$AS:$AS,$B21,'Cutters Consumption Updates'!AX:AX)</f>
        <v>32</v>
      </c>
      <c r="N21" s="10">
        <f t="shared" si="0"/>
        <v>41</v>
      </c>
      <c r="O21" s="701">
        <f ca="1">SUMIFS('Cutters Consumption Updates'!E:E,
        'Cutters Consumption Updates'!B:B, B21,
        'Cutters Consumption Updates'!A:A, "&gt;" &amp; TODAY()-182)</f>
        <v>0</v>
      </c>
      <c r="P21" s="701">
        <f ca="1">SUMIFS('Cutters Consumption Updates'!E:E,
        'Cutters Consumption Updates'!B:B, B21,
        'Cutters Consumption Updates'!A:A, "&gt;" &amp; TODAY()-91)</f>
        <v>0</v>
      </c>
      <c r="Q21" s="701">
        <f t="shared" ca="1" si="1"/>
        <v>0</v>
      </c>
      <c r="R21" s="703">
        <f t="shared" ca="1" si="2"/>
        <v>0</v>
      </c>
      <c r="S21" s="703" t="s">
        <v>29</v>
      </c>
      <c r="T21" s="24">
        <f>IFERROR(INDEX(Table5[],MATCH($B21,Table5[Component],0),2),0)</f>
        <v>0</v>
      </c>
      <c r="U21" s="24">
        <f>SUMIFS(Table7[Balance],Table7[Cutter Mat'#],$B21)</f>
        <v>0</v>
      </c>
      <c r="V21" s="24">
        <f t="shared" si="3"/>
        <v>41</v>
      </c>
      <c r="W21" s="119"/>
      <c r="X21" s="2"/>
      <c r="Z21" s="4">
        <f>IFERROR(INDEX(Table5[],MATCH($B21,Table5[Component],0),2),0)</f>
        <v>0</v>
      </c>
      <c r="AA21" s="4">
        <f>IFERROR(INDEX(Table5[],MATCH($B21,Table5[Component],0),1),0)</f>
        <v>0</v>
      </c>
      <c r="AB21" s="4" t="str">
        <f t="shared" si="4"/>
        <v/>
      </c>
      <c r="AC21" s="4" t="str">
        <f t="shared" si="5"/>
        <v/>
      </c>
      <c r="AE21" s="4">
        <f t="shared" si="6"/>
        <v>41</v>
      </c>
      <c r="AF21"/>
      <c r="AJ21" s="248" t="str">
        <f t="shared" si="7"/>
        <v/>
      </c>
      <c r="AK21" s="248" t="str">
        <f t="shared" si="8"/>
        <v/>
      </c>
      <c r="AL21">
        <f t="shared" si="9"/>
        <v>0</v>
      </c>
      <c r="AQ21">
        <f t="shared" si="11"/>
        <v>0</v>
      </c>
      <c r="AS21">
        <v>578502</v>
      </c>
      <c r="AT21">
        <f t="shared" si="10"/>
        <v>0</v>
      </c>
    </row>
    <row r="22" spans="1:46" ht="15.65" customHeight="1" x14ac:dyDescent="0.35">
      <c r="A22" s="2">
        <v>21</v>
      </c>
      <c r="B22" s="2">
        <v>643435</v>
      </c>
      <c r="C22" s="2" t="s">
        <v>26</v>
      </c>
      <c r="D22" s="2">
        <v>1913</v>
      </c>
      <c r="E22" s="2" t="s">
        <v>61</v>
      </c>
      <c r="F22" s="2" t="s">
        <v>253</v>
      </c>
      <c r="G22" s="6"/>
      <c r="H22" s="6" t="s">
        <v>49</v>
      </c>
      <c r="I22" s="10">
        <f>SUMIFS('Cutters Consumption Updates'!$F:$F,'Cutters Consumption Updates'!$D:$D,I$1,'Cutters Consumption Updates'!$B:$B,$B22)-SUMIFS('Cutters Consumption Updates'!$E:$E,'Cutters Consumption Updates'!$D:$D,I$1,'Cutters Consumption Updates'!$B:$B,$B22)+ SUMIF('Cutters Consumption Updates'!$AS:$AS,$B22,'Cutters Consumption Updates'!AT:AT)</f>
        <v>0</v>
      </c>
      <c r="J22" s="10">
        <f>SUMIFS('Cutters Consumption Updates'!$F:$F,'Cutters Consumption Updates'!$D:$D,J$1,'Cutters Consumption Updates'!$B:$B,$B22)-SUMIFS('Cutters Consumption Updates'!$E:$E,'Cutters Consumption Updates'!$D:$D,J$1,'Cutters Consumption Updates'!$B:$B,$B22)+ SUMIF('Cutters Consumption Updates'!$AS:$AS,$B22,'Cutters Consumption Updates'!AU:AU)</f>
        <v>6</v>
      </c>
      <c r="K22" s="116">
        <f>SUMIFS('Cutters Consumption Updates'!$F:$F,'Cutters Consumption Updates'!$D:$D,K$1,'Cutters Consumption Updates'!$B:$B,$B22)-SUMIFS('Cutters Consumption Updates'!$E:$E,'Cutters Consumption Updates'!$D:$D,K$1,'Cutters Consumption Updates'!$B:$B,$B22)+ SUMIF('Cutters Consumption Updates'!$AS:$AS,$B22,'Cutters Consumption Updates'!AV:AV)</f>
        <v>0</v>
      </c>
      <c r="L22" s="738">
        <f>SUMIFS('Cutters Consumption Updates'!$F:$F,'Cutters Consumption Updates'!$D:$D,L$1,'Cutters Consumption Updates'!$B:$B,$B22)-SUMIFS('Cutters Consumption Updates'!$E:$E,'Cutters Consumption Updates'!$D:$D,L$1,'Cutters Consumption Updates'!$B:$B,$B22)+ SUMIF('Cutters Consumption Updates'!$AS:$AS,$B22,'Cutters Consumption Updates'!AW:AW)</f>
        <v>0</v>
      </c>
      <c r="M22" s="116">
        <f>SUMIFS('Cutters Consumption Updates'!$F:$F,'Cutters Consumption Updates'!$D:$D,M$1,'Cutters Consumption Updates'!$B:$B,$B22)-SUMIFS('Cutters Consumption Updates'!$E:$E,'Cutters Consumption Updates'!$D:$D,$M$1,'Cutters Consumption Updates'!$B:$B,$B22)+SUMIFS('Cutters Consumption Updates'!$F:$F,'Cutters Consumption Updates'!$D:$D,"Retrofit",'Cutters Consumption Updates'!$B:$B,$B22)-SUMIFS('Cutters Consumption Updates'!$E:$E,'Cutters Consumption Updates'!$D:$D,"Retrofit",'Cutters Consumption Updates'!$B:$B,$B22)+ SUMIF('Cutters Consumption Updates'!$AS:$AS,$B22,'Cutters Consumption Updates'!AX:AX)</f>
        <v>0</v>
      </c>
      <c r="N22" s="10">
        <f t="shared" si="0"/>
        <v>0</v>
      </c>
      <c r="O22" s="701">
        <f ca="1">SUMIFS('Cutters Consumption Updates'!E:E,
        'Cutters Consumption Updates'!B:B, B22,
        'Cutters Consumption Updates'!A:A, "&gt;" &amp; TODAY()-182)</f>
        <v>0</v>
      </c>
      <c r="P22" s="701">
        <f ca="1">SUMIFS('Cutters Consumption Updates'!E:E,
        'Cutters Consumption Updates'!B:B, B22,
        'Cutters Consumption Updates'!A:A, "&gt;" &amp; TODAY()-91)</f>
        <v>0</v>
      </c>
      <c r="Q22" s="701">
        <f t="shared" ca="1" si="1"/>
        <v>0</v>
      </c>
      <c r="R22" s="703">
        <f t="shared" ca="1" si="2"/>
        <v>0</v>
      </c>
      <c r="S22" s="703" t="s">
        <v>29</v>
      </c>
      <c r="T22" s="24">
        <f>IFERROR(INDEX(Table5[],MATCH($B22,Table5[Component],0),2),0)</f>
        <v>0</v>
      </c>
      <c r="U22" s="24">
        <f>SUMIFS(Table7[Balance],Table7[Cutter Mat'#],$B22)</f>
        <v>0</v>
      </c>
      <c r="V22" s="24">
        <f t="shared" si="3"/>
        <v>0</v>
      </c>
      <c r="W22" s="119"/>
      <c r="X22" s="2"/>
      <c r="Z22" s="4">
        <f>IFERROR(INDEX(Table5[],MATCH($B22,Table5[Component],0),2),0)</f>
        <v>0</v>
      </c>
      <c r="AA22" s="4">
        <f>IFERROR(INDEX(Table5[],MATCH($B22,Table5[Component],0),1),0)</f>
        <v>0</v>
      </c>
      <c r="AB22" s="4" t="str">
        <f t="shared" si="4"/>
        <v/>
      </c>
      <c r="AC22" s="4" t="str">
        <f t="shared" si="5"/>
        <v/>
      </c>
      <c r="AE22" s="4">
        <f t="shared" si="6"/>
        <v>6</v>
      </c>
      <c r="AJ22" s="248" t="str">
        <f t="shared" si="7"/>
        <v/>
      </c>
      <c r="AK22" s="248" t="str">
        <f t="shared" si="8"/>
        <v/>
      </c>
      <c r="AL22">
        <f t="shared" si="9"/>
        <v>0</v>
      </c>
      <c r="AQ22">
        <f t="shared" si="11"/>
        <v>0</v>
      </c>
      <c r="AS22">
        <v>584832</v>
      </c>
      <c r="AT22">
        <f t="shared" si="10"/>
        <v>0</v>
      </c>
    </row>
    <row r="23" spans="1:46" ht="15.65" customHeight="1" x14ac:dyDescent="0.35">
      <c r="A23" s="2">
        <v>22</v>
      </c>
      <c r="B23" s="2">
        <v>638561</v>
      </c>
      <c r="C23" s="2" t="s">
        <v>26</v>
      </c>
      <c r="D23" s="2">
        <v>1613</v>
      </c>
      <c r="E23" s="2" t="s">
        <v>61</v>
      </c>
      <c r="F23" s="2" t="s">
        <v>253</v>
      </c>
      <c r="G23" s="6"/>
      <c r="H23" s="6" t="s">
        <v>49</v>
      </c>
      <c r="I23" s="10">
        <f>SUMIFS('Cutters Consumption Updates'!$F:$F,'Cutters Consumption Updates'!$D:$D,I$1,'Cutters Consumption Updates'!$B:$B,$B23)-SUMIFS('Cutters Consumption Updates'!$E:$E,'Cutters Consumption Updates'!$D:$D,I$1,'Cutters Consumption Updates'!$B:$B,$B23)+ SUMIF('Cutters Consumption Updates'!$AS:$AS,$B23,'Cutters Consumption Updates'!AT:AT)</f>
        <v>2</v>
      </c>
      <c r="J23" s="10">
        <f>SUMIFS('Cutters Consumption Updates'!$F:$F,'Cutters Consumption Updates'!$D:$D,J$1,'Cutters Consumption Updates'!$B:$B,$B23)-SUMIFS('Cutters Consumption Updates'!$E:$E,'Cutters Consumption Updates'!$D:$D,J$1,'Cutters Consumption Updates'!$B:$B,$B23)+ SUMIF('Cutters Consumption Updates'!$AS:$AS,$B23,'Cutters Consumption Updates'!AU:AU)</f>
        <v>27</v>
      </c>
      <c r="K23" s="116">
        <f>SUMIFS('Cutters Consumption Updates'!$F:$F,'Cutters Consumption Updates'!$D:$D,K$1,'Cutters Consumption Updates'!$B:$B,$B23)-SUMIFS('Cutters Consumption Updates'!$E:$E,'Cutters Consumption Updates'!$D:$D,K$1,'Cutters Consumption Updates'!$B:$B,$B23)+ SUMIF('Cutters Consumption Updates'!$AS:$AS,$B23,'Cutters Consumption Updates'!AV:AV)</f>
        <v>0</v>
      </c>
      <c r="L23" s="738">
        <f>SUMIFS('Cutters Consumption Updates'!$F:$F,'Cutters Consumption Updates'!$D:$D,L$1,'Cutters Consumption Updates'!$B:$B,$B23)-SUMIFS('Cutters Consumption Updates'!$E:$E,'Cutters Consumption Updates'!$D:$D,L$1,'Cutters Consumption Updates'!$B:$B,$B23)+ SUMIF('Cutters Consumption Updates'!$AS:$AS,$B23,'Cutters Consumption Updates'!AW:AW)</f>
        <v>12</v>
      </c>
      <c r="M23" s="116">
        <f>SUMIFS('Cutters Consumption Updates'!$F:$F,'Cutters Consumption Updates'!$D:$D,M$1,'Cutters Consumption Updates'!$B:$B,$B23)-SUMIFS('Cutters Consumption Updates'!$E:$E,'Cutters Consumption Updates'!$D:$D,$M$1,'Cutters Consumption Updates'!$B:$B,$B23)+SUMIFS('Cutters Consumption Updates'!$F:$F,'Cutters Consumption Updates'!$D:$D,"Retrofit",'Cutters Consumption Updates'!$B:$B,$B23)-SUMIFS('Cutters Consumption Updates'!$E:$E,'Cutters Consumption Updates'!$D:$D,"Retrofit",'Cutters Consumption Updates'!$B:$B,$B23)+ SUMIF('Cutters Consumption Updates'!$AS:$AS,$B23,'Cutters Consumption Updates'!AX:AX)</f>
        <v>0</v>
      </c>
      <c r="N23" s="10">
        <f t="shared" si="0"/>
        <v>2</v>
      </c>
      <c r="O23" s="701">
        <f ca="1">SUMIFS('Cutters Consumption Updates'!E:E,
        'Cutters Consumption Updates'!B:B, B23,
        'Cutters Consumption Updates'!A:A, "&gt;" &amp; TODAY()-182)</f>
        <v>0</v>
      </c>
      <c r="P23" s="701">
        <f ca="1">SUMIFS('Cutters Consumption Updates'!E:E,
        'Cutters Consumption Updates'!B:B, B23,
        'Cutters Consumption Updates'!A:A, "&gt;" &amp; TODAY()-91)</f>
        <v>0</v>
      </c>
      <c r="Q23" s="701">
        <f t="shared" ca="1" si="1"/>
        <v>0</v>
      </c>
      <c r="R23" s="703">
        <f t="shared" ca="1" si="2"/>
        <v>0</v>
      </c>
      <c r="S23" s="703" t="s">
        <v>29</v>
      </c>
      <c r="T23" s="24">
        <f>IFERROR(INDEX(Table5[],MATCH($B23,Table5[Component],0),2),0)</f>
        <v>0</v>
      </c>
      <c r="U23" s="24">
        <f>SUMIFS(Table7[Balance],Table7[Cutter Mat'#],$B23)</f>
        <v>0</v>
      </c>
      <c r="V23" s="24">
        <f t="shared" si="3"/>
        <v>2</v>
      </c>
      <c r="W23" s="119"/>
      <c r="X23" s="2"/>
      <c r="Z23" s="4">
        <f>IFERROR(INDEX(Table5[],MATCH($B23,Table5[Component],0),2),0)</f>
        <v>0</v>
      </c>
      <c r="AA23" s="4">
        <f>IFERROR(INDEX(Table5[],MATCH($B23,Table5[Component],0),1),0)</f>
        <v>0</v>
      </c>
      <c r="AB23" s="4" t="str">
        <f t="shared" si="4"/>
        <v/>
      </c>
      <c r="AC23" s="4" t="str">
        <f t="shared" si="5"/>
        <v/>
      </c>
      <c r="AE23" s="4">
        <f t="shared" si="6"/>
        <v>29</v>
      </c>
      <c r="AJ23" s="248" t="str">
        <f t="shared" si="7"/>
        <v/>
      </c>
      <c r="AK23" s="248" t="str">
        <f t="shared" si="8"/>
        <v/>
      </c>
      <c r="AL23">
        <f t="shared" si="9"/>
        <v>0</v>
      </c>
      <c r="AQ23">
        <f t="shared" si="11"/>
        <v>0</v>
      </c>
      <c r="AS23">
        <v>587493</v>
      </c>
      <c r="AT23">
        <f t="shared" si="10"/>
        <v>0</v>
      </c>
    </row>
    <row r="24" spans="1:46" ht="15.65" customHeight="1" x14ac:dyDescent="0.35">
      <c r="A24" s="2">
        <v>23</v>
      </c>
      <c r="B24" s="2">
        <v>745576</v>
      </c>
      <c r="C24" s="2" t="s">
        <v>26</v>
      </c>
      <c r="D24" s="2">
        <v>1913</v>
      </c>
      <c r="E24" s="2" t="s">
        <v>62</v>
      </c>
      <c r="F24" s="2" t="s">
        <v>253</v>
      </c>
      <c r="G24" s="6"/>
      <c r="H24" s="6" t="s">
        <v>49</v>
      </c>
      <c r="I24" s="10">
        <f>SUMIFS('Cutters Consumption Updates'!$F:$F,'Cutters Consumption Updates'!$D:$D,I$1,'Cutters Consumption Updates'!$B:$B,$B24)-SUMIFS('Cutters Consumption Updates'!$E:$E,'Cutters Consumption Updates'!$D:$D,I$1,'Cutters Consumption Updates'!$B:$B,$B24)+ SUMIF('Cutters Consumption Updates'!$AS:$AS,$B24,'Cutters Consumption Updates'!AT:AT)</f>
        <v>13</v>
      </c>
      <c r="J24" s="10">
        <f>SUMIFS('Cutters Consumption Updates'!$F:$F,'Cutters Consumption Updates'!$D:$D,J$1,'Cutters Consumption Updates'!$B:$B,$B24)-SUMIFS('Cutters Consumption Updates'!$E:$E,'Cutters Consumption Updates'!$D:$D,J$1,'Cutters Consumption Updates'!$B:$B,$B24)+ SUMIF('Cutters Consumption Updates'!$AS:$AS,$B24,'Cutters Consumption Updates'!AU:AU)</f>
        <v>0</v>
      </c>
      <c r="K24" s="116">
        <f>SUMIFS('Cutters Consumption Updates'!$F:$F,'Cutters Consumption Updates'!$D:$D,K$1,'Cutters Consumption Updates'!$B:$B,$B24)-SUMIFS('Cutters Consumption Updates'!$E:$E,'Cutters Consumption Updates'!$D:$D,K$1,'Cutters Consumption Updates'!$B:$B,$B24)+ SUMIF('Cutters Consumption Updates'!$AS:$AS,$B24,'Cutters Consumption Updates'!AV:AV)</f>
        <v>0</v>
      </c>
      <c r="L24" s="738">
        <f>SUMIFS('Cutters Consumption Updates'!$F:$F,'Cutters Consumption Updates'!$D:$D,L$1,'Cutters Consumption Updates'!$B:$B,$B24)-SUMIFS('Cutters Consumption Updates'!$E:$E,'Cutters Consumption Updates'!$D:$D,L$1,'Cutters Consumption Updates'!$B:$B,$B24)+ SUMIF('Cutters Consumption Updates'!$AS:$AS,$B24,'Cutters Consumption Updates'!AW:AW)</f>
        <v>0</v>
      </c>
      <c r="M24" s="116">
        <f>SUMIFS('Cutters Consumption Updates'!$F:$F,'Cutters Consumption Updates'!$D:$D,M$1,'Cutters Consumption Updates'!$B:$B,$B24)-SUMIFS('Cutters Consumption Updates'!$E:$E,'Cutters Consumption Updates'!$D:$D,$M$1,'Cutters Consumption Updates'!$B:$B,$B24)+SUMIFS('Cutters Consumption Updates'!$F:$F,'Cutters Consumption Updates'!$D:$D,"Retrofit",'Cutters Consumption Updates'!$B:$B,$B24)-SUMIFS('Cutters Consumption Updates'!$E:$E,'Cutters Consumption Updates'!$D:$D,"Retrofit",'Cutters Consumption Updates'!$B:$B,$B24)+ SUMIF('Cutters Consumption Updates'!$AS:$AS,$B24,'Cutters Consumption Updates'!AX:AX)</f>
        <v>1</v>
      </c>
      <c r="N24" s="10">
        <f t="shared" si="0"/>
        <v>14</v>
      </c>
      <c r="O24" s="701">
        <f ca="1">SUMIFS('Cutters Consumption Updates'!E:E,
        'Cutters Consumption Updates'!B:B, B24,
        'Cutters Consumption Updates'!A:A, "&gt;" &amp; TODAY()-182)</f>
        <v>0</v>
      </c>
      <c r="P24" s="701">
        <f ca="1">SUMIFS('Cutters Consumption Updates'!E:E,
        'Cutters Consumption Updates'!B:B, B24,
        'Cutters Consumption Updates'!A:A, "&gt;" &amp; TODAY()-91)</f>
        <v>0</v>
      </c>
      <c r="Q24" s="701">
        <f t="shared" ca="1" si="1"/>
        <v>0</v>
      </c>
      <c r="R24" s="703">
        <f t="shared" ca="1" si="2"/>
        <v>0</v>
      </c>
      <c r="S24" s="703" t="s">
        <v>63</v>
      </c>
      <c r="T24" s="24">
        <f>IFERROR(INDEX(Table5[],MATCH($B24,Table5[Component],0),2),0)</f>
        <v>0</v>
      </c>
      <c r="U24" s="24">
        <f>SUMIFS(Table7[Balance],Table7[Cutter Mat'#],$B24)</f>
        <v>0</v>
      </c>
      <c r="V24" s="24">
        <f t="shared" si="3"/>
        <v>14</v>
      </c>
      <c r="W24" s="119"/>
      <c r="X24" s="2"/>
      <c r="Z24" s="4">
        <f>IFERROR(INDEX(Table5[],MATCH($B24,Table5[Component],0),2),0)</f>
        <v>0</v>
      </c>
      <c r="AA24" s="4">
        <f>IFERROR(INDEX(Table5[],MATCH($B24,Table5[Component],0),1),0)</f>
        <v>0</v>
      </c>
      <c r="AB24" s="4" t="str">
        <f t="shared" si="4"/>
        <v/>
      </c>
      <c r="AC24" s="4" t="str">
        <f t="shared" si="5"/>
        <v/>
      </c>
      <c r="AE24" s="4">
        <f t="shared" si="6"/>
        <v>14</v>
      </c>
      <c r="AJ24" s="248" t="str">
        <f t="shared" si="7"/>
        <v/>
      </c>
      <c r="AK24" s="248" t="str">
        <f t="shared" si="8"/>
        <v/>
      </c>
      <c r="AL24">
        <f t="shared" si="9"/>
        <v>0</v>
      </c>
      <c r="AQ24">
        <f t="shared" si="11"/>
        <v>0</v>
      </c>
      <c r="AS24">
        <v>621152</v>
      </c>
      <c r="AT24">
        <f t="shared" si="10"/>
        <v>0</v>
      </c>
    </row>
    <row r="25" spans="1:46" ht="15.65" customHeight="1" x14ac:dyDescent="0.35">
      <c r="A25" s="2">
        <v>24</v>
      </c>
      <c r="B25" s="2">
        <v>729688</v>
      </c>
      <c r="C25" s="2" t="s">
        <v>26</v>
      </c>
      <c r="D25" s="2">
        <v>1308</v>
      </c>
      <c r="E25" s="2" t="s">
        <v>62</v>
      </c>
      <c r="F25" s="2" t="s">
        <v>253</v>
      </c>
      <c r="G25" s="6"/>
      <c r="H25" s="6" t="s">
        <v>49</v>
      </c>
      <c r="I25" s="10">
        <f>SUMIFS('Cutters Consumption Updates'!$F:$F,'Cutters Consumption Updates'!$D:$D,I$1,'Cutters Consumption Updates'!$B:$B,$B25)-SUMIFS('Cutters Consumption Updates'!$E:$E,'Cutters Consumption Updates'!$D:$D,I$1,'Cutters Consumption Updates'!$B:$B,$B25)+ SUMIF('Cutters Consumption Updates'!$AS:$AS,$B25,'Cutters Consumption Updates'!AT:AT)</f>
        <v>0</v>
      </c>
      <c r="J25" s="10">
        <f>SUMIFS('Cutters Consumption Updates'!$F:$F,'Cutters Consumption Updates'!$D:$D,J$1,'Cutters Consumption Updates'!$B:$B,$B25)-SUMIFS('Cutters Consumption Updates'!$E:$E,'Cutters Consumption Updates'!$D:$D,J$1,'Cutters Consumption Updates'!$B:$B,$B25)+ SUMIF('Cutters Consumption Updates'!$AS:$AS,$B25,'Cutters Consumption Updates'!AU:AU)</f>
        <v>0</v>
      </c>
      <c r="K25" s="116">
        <f>SUMIFS('Cutters Consumption Updates'!$F:$F,'Cutters Consumption Updates'!$D:$D,K$1,'Cutters Consumption Updates'!$B:$B,$B25)-SUMIFS('Cutters Consumption Updates'!$E:$E,'Cutters Consumption Updates'!$D:$D,K$1,'Cutters Consumption Updates'!$B:$B,$B25)+ SUMIF('Cutters Consumption Updates'!$AS:$AS,$B25,'Cutters Consumption Updates'!AV:AV)</f>
        <v>0</v>
      </c>
      <c r="L25" s="738">
        <f>SUMIFS('Cutters Consumption Updates'!$F:$F,'Cutters Consumption Updates'!$D:$D,L$1,'Cutters Consumption Updates'!$B:$B,$B25)-SUMIFS('Cutters Consumption Updates'!$E:$E,'Cutters Consumption Updates'!$D:$D,L$1,'Cutters Consumption Updates'!$B:$B,$B25)+ SUMIF('Cutters Consumption Updates'!$AS:$AS,$B25,'Cutters Consumption Updates'!AW:AW)</f>
        <v>0</v>
      </c>
      <c r="M25" s="116">
        <f>SUMIFS('Cutters Consumption Updates'!$F:$F,'Cutters Consumption Updates'!$D:$D,M$1,'Cutters Consumption Updates'!$B:$B,$B25)-SUMIFS('Cutters Consumption Updates'!$E:$E,'Cutters Consumption Updates'!$D:$D,$M$1,'Cutters Consumption Updates'!$B:$B,$B25)+SUMIFS('Cutters Consumption Updates'!$F:$F,'Cutters Consumption Updates'!$D:$D,"Retrofit",'Cutters Consumption Updates'!$B:$B,$B25)-SUMIFS('Cutters Consumption Updates'!$E:$E,'Cutters Consumption Updates'!$D:$D,"Retrofit",'Cutters Consumption Updates'!$B:$B,$B25)+ SUMIF('Cutters Consumption Updates'!$AS:$AS,$B25,'Cutters Consumption Updates'!AX:AX)</f>
        <v>0</v>
      </c>
      <c r="N25" s="10">
        <f t="shared" si="0"/>
        <v>0</v>
      </c>
      <c r="O25" s="701">
        <f ca="1">SUMIFS('Cutters Consumption Updates'!E:E,
        'Cutters Consumption Updates'!B:B, B25,
        'Cutters Consumption Updates'!A:A, "&gt;" &amp; TODAY()-182)</f>
        <v>0</v>
      </c>
      <c r="P25" s="701">
        <f ca="1">SUMIFS('Cutters Consumption Updates'!E:E,
        'Cutters Consumption Updates'!B:B, B25,
        'Cutters Consumption Updates'!A:A, "&gt;" &amp; TODAY()-91)</f>
        <v>0</v>
      </c>
      <c r="Q25" s="701">
        <f t="shared" ca="1" si="1"/>
        <v>0</v>
      </c>
      <c r="R25" s="703">
        <f t="shared" ca="1" si="2"/>
        <v>0</v>
      </c>
      <c r="S25" s="703" t="s">
        <v>29</v>
      </c>
      <c r="T25" s="24">
        <f>IFERROR(INDEX(Table5[],MATCH($B25,Table5[Component],0),2),0)</f>
        <v>0</v>
      </c>
      <c r="U25" s="24">
        <f>SUMIFS(Table7[Balance],Table7[Cutter Mat'#],$B25)</f>
        <v>0</v>
      </c>
      <c r="V25" s="24">
        <f t="shared" si="3"/>
        <v>0</v>
      </c>
      <c r="W25" s="119"/>
      <c r="X25" s="2"/>
      <c r="Z25" s="4">
        <f>IFERROR(INDEX(Table5[],MATCH($B25,Table5[Component],0),2),0)</f>
        <v>0</v>
      </c>
      <c r="AA25" s="4">
        <f>IFERROR(INDEX(Table5[],MATCH($B25,Table5[Component],0),1),0)</f>
        <v>0</v>
      </c>
      <c r="AB25" s="4" t="str">
        <f t="shared" si="4"/>
        <v/>
      </c>
      <c r="AC25" s="4" t="str">
        <f t="shared" si="5"/>
        <v/>
      </c>
      <c r="AE25" s="4">
        <f t="shared" si="6"/>
        <v>0</v>
      </c>
      <c r="AJ25" s="248" t="str">
        <f t="shared" si="7"/>
        <v/>
      </c>
      <c r="AK25" s="248" t="str">
        <f t="shared" si="8"/>
        <v/>
      </c>
      <c r="AL25">
        <f t="shared" si="9"/>
        <v>0</v>
      </c>
      <c r="AQ25">
        <f t="shared" si="11"/>
        <v>0</v>
      </c>
      <c r="AS25">
        <v>625854</v>
      </c>
      <c r="AT25">
        <f t="shared" si="10"/>
        <v>0</v>
      </c>
    </row>
    <row r="26" spans="1:46" ht="15.65" customHeight="1" x14ac:dyDescent="0.35">
      <c r="A26" s="2">
        <v>25</v>
      </c>
      <c r="B26" s="5">
        <v>729691</v>
      </c>
      <c r="C26" s="2" t="s">
        <v>26</v>
      </c>
      <c r="D26" s="2">
        <v>1613</v>
      </c>
      <c r="E26" s="2" t="s">
        <v>62</v>
      </c>
      <c r="F26" s="2" t="s">
        <v>253</v>
      </c>
      <c r="G26" s="6"/>
      <c r="H26" s="6" t="s">
        <v>49</v>
      </c>
      <c r="I26" s="10">
        <f>SUMIFS('Cutters Consumption Updates'!$F:$F,'Cutters Consumption Updates'!$D:$D,I$1,'Cutters Consumption Updates'!$B:$B,$B26)-SUMIFS('Cutters Consumption Updates'!$E:$E,'Cutters Consumption Updates'!$D:$D,I$1,'Cutters Consumption Updates'!$B:$B,$B26)+ SUMIF('Cutters Consumption Updates'!$AS:$AS,$B26,'Cutters Consumption Updates'!AT:AT)</f>
        <v>2</v>
      </c>
      <c r="J26" s="10">
        <f>SUMIFS('Cutters Consumption Updates'!$F:$F,'Cutters Consumption Updates'!$D:$D,J$1,'Cutters Consumption Updates'!$B:$B,$B26)-SUMIFS('Cutters Consumption Updates'!$E:$E,'Cutters Consumption Updates'!$D:$D,J$1,'Cutters Consumption Updates'!$B:$B,$B26)+ SUMIF('Cutters Consumption Updates'!$AS:$AS,$B26,'Cutters Consumption Updates'!AU:AU)</f>
        <v>82</v>
      </c>
      <c r="K26" s="116">
        <f>SUMIFS('Cutters Consumption Updates'!$F:$F,'Cutters Consumption Updates'!$D:$D,K$1,'Cutters Consumption Updates'!$B:$B,$B26)-SUMIFS('Cutters Consumption Updates'!$E:$E,'Cutters Consumption Updates'!$D:$D,K$1,'Cutters Consumption Updates'!$B:$B,$B26)+ SUMIF('Cutters Consumption Updates'!$AS:$AS,$B26,'Cutters Consumption Updates'!AV:AV)</f>
        <v>0</v>
      </c>
      <c r="L26" s="738">
        <f>SUMIFS('Cutters Consumption Updates'!$F:$F,'Cutters Consumption Updates'!$D:$D,L$1,'Cutters Consumption Updates'!$B:$B,$B26)-SUMIFS('Cutters Consumption Updates'!$E:$E,'Cutters Consumption Updates'!$D:$D,L$1,'Cutters Consumption Updates'!$B:$B,$B26)+ SUMIF('Cutters Consumption Updates'!$AS:$AS,$B26,'Cutters Consumption Updates'!AW:AW)</f>
        <v>0</v>
      </c>
      <c r="M26" s="116">
        <f>SUMIFS('Cutters Consumption Updates'!$F:$F,'Cutters Consumption Updates'!$D:$D,M$1,'Cutters Consumption Updates'!$B:$B,$B26)-SUMIFS('Cutters Consumption Updates'!$E:$E,'Cutters Consumption Updates'!$D:$D,$M$1,'Cutters Consumption Updates'!$B:$B,$B26)+SUMIFS('Cutters Consumption Updates'!$F:$F,'Cutters Consumption Updates'!$D:$D,"Retrofit",'Cutters Consumption Updates'!$B:$B,$B26)-SUMIFS('Cutters Consumption Updates'!$E:$E,'Cutters Consumption Updates'!$D:$D,"Retrofit",'Cutters Consumption Updates'!$B:$B,$B26)+ SUMIF('Cutters Consumption Updates'!$AS:$AS,$B26,'Cutters Consumption Updates'!AX:AX)</f>
        <v>0</v>
      </c>
      <c r="N26" s="10">
        <f t="shared" si="0"/>
        <v>2</v>
      </c>
      <c r="O26" s="701">
        <f ca="1">SUMIFS('Cutters Consumption Updates'!E:E,
        'Cutters Consumption Updates'!B:B, B26,
        'Cutters Consumption Updates'!A:A, "&gt;" &amp; TODAY()-182)</f>
        <v>0</v>
      </c>
      <c r="P26" s="701">
        <f ca="1">SUMIFS('Cutters Consumption Updates'!E:E,
        'Cutters Consumption Updates'!B:B, B26,
        'Cutters Consumption Updates'!A:A, "&gt;" &amp; TODAY()-91)</f>
        <v>0</v>
      </c>
      <c r="Q26" s="701">
        <f t="shared" ca="1" si="1"/>
        <v>0</v>
      </c>
      <c r="R26" s="703">
        <f t="shared" ca="1" si="2"/>
        <v>0</v>
      </c>
      <c r="S26" s="703" t="s">
        <v>29</v>
      </c>
      <c r="T26" s="24">
        <f>IFERROR(INDEX(Table5[],MATCH($B26,Table5[Component],0),2),0)</f>
        <v>0</v>
      </c>
      <c r="U26" s="24">
        <f>SUMIFS(Table7[Balance],Table7[Cutter Mat'#],$B26)</f>
        <v>0</v>
      </c>
      <c r="V26" s="24">
        <f t="shared" si="3"/>
        <v>2</v>
      </c>
      <c r="W26" s="119"/>
      <c r="X26" s="2"/>
      <c r="Z26" s="4">
        <f>IFERROR(INDEX(Table5[],MATCH($B26,Table5[Component],0),2),0)</f>
        <v>0</v>
      </c>
      <c r="AA26" s="4">
        <f>IFERROR(INDEX(Table5[],MATCH($B26,Table5[Component],0),1),0)</f>
        <v>0</v>
      </c>
      <c r="AB26" s="4" t="str">
        <f t="shared" si="4"/>
        <v/>
      </c>
      <c r="AC26" s="4" t="str">
        <f t="shared" si="5"/>
        <v/>
      </c>
      <c r="AE26" s="4">
        <f t="shared" si="6"/>
        <v>84</v>
      </c>
      <c r="AJ26" s="248" t="str">
        <f t="shared" si="7"/>
        <v/>
      </c>
      <c r="AK26" s="248" t="str">
        <f t="shared" si="8"/>
        <v/>
      </c>
      <c r="AL26">
        <f t="shared" si="9"/>
        <v>0</v>
      </c>
      <c r="AQ26">
        <f t="shared" si="11"/>
        <v>0</v>
      </c>
      <c r="AS26">
        <v>632948</v>
      </c>
      <c r="AT26">
        <f t="shared" si="10"/>
        <v>0</v>
      </c>
    </row>
    <row r="27" spans="1:46" ht="15.65" customHeight="1" x14ac:dyDescent="0.35">
      <c r="A27" s="2">
        <v>26</v>
      </c>
      <c r="B27" s="2">
        <v>643433</v>
      </c>
      <c r="C27" s="2" t="s">
        <v>26</v>
      </c>
      <c r="D27" s="2">
        <v>1913</v>
      </c>
      <c r="E27" s="2" t="s">
        <v>61</v>
      </c>
      <c r="F27" s="2" t="s">
        <v>248</v>
      </c>
      <c r="G27" s="6"/>
      <c r="H27" s="6" t="s">
        <v>49</v>
      </c>
      <c r="I27" s="10">
        <f>SUMIFS('Cutters Consumption Updates'!$F:$F,'Cutters Consumption Updates'!$D:$D,I$1,'Cutters Consumption Updates'!$B:$B,$B27)-SUMIFS('Cutters Consumption Updates'!$E:$E,'Cutters Consumption Updates'!$D:$D,I$1,'Cutters Consumption Updates'!$B:$B,$B27)+ SUMIF('Cutters Consumption Updates'!$AS:$AS,$B27,'Cutters Consumption Updates'!AT:AT)</f>
        <v>0</v>
      </c>
      <c r="J27" s="10">
        <f>SUMIFS('Cutters Consumption Updates'!$F:$F,'Cutters Consumption Updates'!$D:$D,J$1,'Cutters Consumption Updates'!$B:$B,$B27)-SUMIFS('Cutters Consumption Updates'!$E:$E,'Cutters Consumption Updates'!$D:$D,J$1,'Cutters Consumption Updates'!$B:$B,$B27)+ SUMIF('Cutters Consumption Updates'!$AS:$AS,$B27,'Cutters Consumption Updates'!AU:AU)</f>
        <v>0</v>
      </c>
      <c r="K27" s="116">
        <f>SUMIFS('Cutters Consumption Updates'!$F:$F,'Cutters Consumption Updates'!$D:$D,K$1,'Cutters Consumption Updates'!$B:$B,$B27)-SUMIFS('Cutters Consumption Updates'!$E:$E,'Cutters Consumption Updates'!$D:$D,K$1,'Cutters Consumption Updates'!$B:$B,$B27)+ SUMIF('Cutters Consumption Updates'!$AS:$AS,$B27,'Cutters Consumption Updates'!AV:AV)</f>
        <v>0</v>
      </c>
      <c r="L27" s="738">
        <f>SUMIFS('Cutters Consumption Updates'!$F:$F,'Cutters Consumption Updates'!$D:$D,L$1,'Cutters Consumption Updates'!$B:$B,$B27)-SUMIFS('Cutters Consumption Updates'!$E:$E,'Cutters Consumption Updates'!$D:$D,L$1,'Cutters Consumption Updates'!$B:$B,$B27)+ SUMIF('Cutters Consumption Updates'!$AS:$AS,$B27,'Cutters Consumption Updates'!AW:AW)</f>
        <v>14</v>
      </c>
      <c r="M27" s="116">
        <f>SUMIFS('Cutters Consumption Updates'!$F:$F,'Cutters Consumption Updates'!$D:$D,M$1,'Cutters Consumption Updates'!$B:$B,$B27)-SUMIFS('Cutters Consumption Updates'!$E:$E,'Cutters Consumption Updates'!$D:$D,$M$1,'Cutters Consumption Updates'!$B:$B,$B27)+SUMIFS('Cutters Consumption Updates'!$F:$F,'Cutters Consumption Updates'!$D:$D,"Retrofit",'Cutters Consumption Updates'!$B:$B,$B27)-SUMIFS('Cutters Consumption Updates'!$E:$E,'Cutters Consumption Updates'!$D:$D,"Retrofit",'Cutters Consumption Updates'!$B:$B,$B27)+ SUMIF('Cutters Consumption Updates'!$AS:$AS,$B27,'Cutters Consumption Updates'!AX:AX)</f>
        <v>0</v>
      </c>
      <c r="N27" s="10">
        <f t="shared" si="0"/>
        <v>0</v>
      </c>
      <c r="O27" s="701">
        <f ca="1">SUMIFS('Cutters Consumption Updates'!E:E,
        'Cutters Consumption Updates'!B:B, B27,
        'Cutters Consumption Updates'!A:A, "&gt;" &amp; TODAY()-182)</f>
        <v>0</v>
      </c>
      <c r="P27" s="701">
        <f ca="1">SUMIFS('Cutters Consumption Updates'!E:E,
        'Cutters Consumption Updates'!B:B, B27,
        'Cutters Consumption Updates'!A:A, "&gt;" &amp; TODAY()-91)</f>
        <v>0</v>
      </c>
      <c r="Q27" s="701">
        <f t="shared" ca="1" si="1"/>
        <v>0</v>
      </c>
      <c r="R27" s="703">
        <f t="shared" ca="1" si="2"/>
        <v>0</v>
      </c>
      <c r="S27" s="703" t="s">
        <v>29</v>
      </c>
      <c r="T27" s="24">
        <f>IFERROR(INDEX(Table5[],MATCH($B27,Table5[Component],0),2),0)</f>
        <v>0</v>
      </c>
      <c r="U27" s="24">
        <f>SUMIFS(Table7[Balance],Table7[Cutter Mat'#],$B27)</f>
        <v>0</v>
      </c>
      <c r="V27" s="24">
        <f t="shared" si="3"/>
        <v>0</v>
      </c>
      <c r="W27" s="119"/>
      <c r="X27" s="2"/>
      <c r="Z27" s="4">
        <f>IFERROR(INDEX(Table5[],MATCH($B27,Table5[Component],0),2),0)</f>
        <v>0</v>
      </c>
      <c r="AA27" s="4">
        <f>IFERROR(INDEX(Table5[],MATCH($B27,Table5[Component],0),1),0)</f>
        <v>0</v>
      </c>
      <c r="AB27" s="4" t="str">
        <f t="shared" si="4"/>
        <v/>
      </c>
      <c r="AC27" s="4" t="str">
        <f t="shared" si="5"/>
        <v/>
      </c>
      <c r="AE27" s="4">
        <f t="shared" si="6"/>
        <v>0</v>
      </c>
      <c r="AJ27" s="248" t="str">
        <f t="shared" si="7"/>
        <v/>
      </c>
      <c r="AK27" s="248" t="str">
        <f t="shared" si="8"/>
        <v/>
      </c>
      <c r="AL27">
        <f t="shared" si="9"/>
        <v>0</v>
      </c>
      <c r="AQ27">
        <f t="shared" si="11"/>
        <v>0</v>
      </c>
      <c r="AS27">
        <v>638559</v>
      </c>
      <c r="AT27">
        <f t="shared" si="10"/>
        <v>0</v>
      </c>
    </row>
    <row r="28" spans="1:46" ht="15.65" customHeight="1" x14ac:dyDescent="0.35">
      <c r="A28" s="2">
        <v>27</v>
      </c>
      <c r="B28" s="2">
        <v>729687</v>
      </c>
      <c r="C28" s="2" t="s">
        <v>26</v>
      </c>
      <c r="D28" s="2">
        <v>1613</v>
      </c>
      <c r="E28" s="2" t="s">
        <v>62</v>
      </c>
      <c r="F28" s="2" t="s">
        <v>248</v>
      </c>
      <c r="G28" s="6"/>
      <c r="H28" s="6" t="s">
        <v>49</v>
      </c>
      <c r="I28" s="10">
        <f>SUMIFS('Cutters Consumption Updates'!$F:$F,'Cutters Consumption Updates'!$D:$D,I$1,'Cutters Consumption Updates'!$B:$B,$B28)-SUMIFS('Cutters Consumption Updates'!$E:$E,'Cutters Consumption Updates'!$D:$D,I$1,'Cutters Consumption Updates'!$B:$B,$B28)+ SUMIF('Cutters Consumption Updates'!$AS:$AS,$B28,'Cutters Consumption Updates'!AT:AT)</f>
        <v>0</v>
      </c>
      <c r="J28" s="10">
        <f>SUMIFS('Cutters Consumption Updates'!$F:$F,'Cutters Consumption Updates'!$D:$D,J$1,'Cutters Consumption Updates'!$B:$B,$B28)-SUMIFS('Cutters Consumption Updates'!$E:$E,'Cutters Consumption Updates'!$D:$D,J$1,'Cutters Consumption Updates'!$B:$B,$B28)+ SUMIF('Cutters Consumption Updates'!$AS:$AS,$B28,'Cutters Consumption Updates'!AU:AU)</f>
        <v>0</v>
      </c>
      <c r="K28" s="116">
        <f>SUMIFS('Cutters Consumption Updates'!$F:$F,'Cutters Consumption Updates'!$D:$D,K$1,'Cutters Consumption Updates'!$B:$B,$B28)-SUMIFS('Cutters Consumption Updates'!$E:$E,'Cutters Consumption Updates'!$D:$D,K$1,'Cutters Consumption Updates'!$B:$B,$B28)+ SUMIF('Cutters Consumption Updates'!$AS:$AS,$B28,'Cutters Consumption Updates'!AV:AV)</f>
        <v>5</v>
      </c>
      <c r="L28" s="738">
        <f>SUMIFS('Cutters Consumption Updates'!$F:$F,'Cutters Consumption Updates'!$D:$D,L$1,'Cutters Consumption Updates'!$B:$B,$B28)-SUMIFS('Cutters Consumption Updates'!$E:$E,'Cutters Consumption Updates'!$D:$D,L$1,'Cutters Consumption Updates'!$B:$B,$B28)+ SUMIF('Cutters Consumption Updates'!$AS:$AS,$B28,'Cutters Consumption Updates'!AW:AW)</f>
        <v>14</v>
      </c>
      <c r="M28" s="116">
        <f>SUMIFS('Cutters Consumption Updates'!$F:$F,'Cutters Consumption Updates'!$D:$D,M$1,'Cutters Consumption Updates'!$B:$B,$B28)-SUMIFS('Cutters Consumption Updates'!$E:$E,'Cutters Consumption Updates'!$D:$D,$M$1,'Cutters Consumption Updates'!$B:$B,$B28)+SUMIFS('Cutters Consumption Updates'!$F:$F,'Cutters Consumption Updates'!$D:$D,"Retrofit",'Cutters Consumption Updates'!$B:$B,$B28)-SUMIFS('Cutters Consumption Updates'!$E:$E,'Cutters Consumption Updates'!$D:$D,"Retrofit",'Cutters Consumption Updates'!$B:$B,$B28)+ SUMIF('Cutters Consumption Updates'!$AS:$AS,$B28,'Cutters Consumption Updates'!AX:AX)</f>
        <v>0</v>
      </c>
      <c r="N28" s="10">
        <f t="shared" si="0"/>
        <v>0</v>
      </c>
      <c r="O28" s="701">
        <f ca="1">SUMIFS('Cutters Consumption Updates'!E:E,
        'Cutters Consumption Updates'!B:B, B28,
        'Cutters Consumption Updates'!A:A, "&gt;" &amp; TODAY()-182)</f>
        <v>0</v>
      </c>
      <c r="P28" s="701">
        <f ca="1">SUMIFS('Cutters Consumption Updates'!E:E,
        'Cutters Consumption Updates'!B:B, B28,
        'Cutters Consumption Updates'!A:A, "&gt;" &amp; TODAY()-91)</f>
        <v>0</v>
      </c>
      <c r="Q28" s="701">
        <f t="shared" ca="1" si="1"/>
        <v>0</v>
      </c>
      <c r="R28" s="703">
        <f t="shared" ca="1" si="2"/>
        <v>0</v>
      </c>
      <c r="S28" s="703" t="s">
        <v>64</v>
      </c>
      <c r="T28" s="24">
        <f>IFERROR(INDEX(Table5[],MATCH($B28,Table5[Component],0),2),0)</f>
        <v>0</v>
      </c>
      <c r="U28" s="24">
        <f>SUMIFS(Table7[Balance],Table7[Cutter Mat'#],$B28)</f>
        <v>0</v>
      </c>
      <c r="V28" s="24">
        <f t="shared" si="3"/>
        <v>0</v>
      </c>
      <c r="W28" s="119"/>
      <c r="X28" s="2"/>
      <c r="Z28" s="4">
        <f>IFERROR(INDEX(Table5[],MATCH($B28,Table5[Component],0),2),0)</f>
        <v>0</v>
      </c>
      <c r="AA28" s="4">
        <f>IFERROR(INDEX(Table5[],MATCH($B28,Table5[Component],0),1),0)</f>
        <v>0</v>
      </c>
      <c r="AB28" s="4" t="str">
        <f t="shared" si="4"/>
        <v/>
      </c>
      <c r="AC28" s="4" t="str">
        <f t="shared" si="5"/>
        <v/>
      </c>
      <c r="AE28" s="4">
        <f t="shared" si="6"/>
        <v>5</v>
      </c>
      <c r="AJ28" s="248" t="str">
        <f t="shared" si="7"/>
        <v/>
      </c>
      <c r="AK28" s="248" t="str">
        <f t="shared" si="8"/>
        <v/>
      </c>
      <c r="AL28">
        <f t="shared" si="9"/>
        <v>0</v>
      </c>
      <c r="AQ28">
        <f t="shared" si="11"/>
        <v>0</v>
      </c>
      <c r="AS28">
        <v>638560</v>
      </c>
      <c r="AT28">
        <f t="shared" si="10"/>
        <v>0</v>
      </c>
    </row>
    <row r="29" spans="1:46" ht="15.65" customHeight="1" x14ac:dyDescent="0.35">
      <c r="A29" s="2">
        <v>28</v>
      </c>
      <c r="B29" s="2">
        <v>177778</v>
      </c>
      <c r="C29" s="2" t="s">
        <v>65</v>
      </c>
      <c r="D29" s="2">
        <v>1303</v>
      </c>
      <c r="E29" s="2" t="s">
        <v>51</v>
      </c>
      <c r="F29" s="2"/>
      <c r="G29" s="6"/>
      <c r="H29" s="6" t="s">
        <v>47</v>
      </c>
      <c r="I29" s="10">
        <f>SUMIFS('Cutters Consumption Updates'!$F:$F,'Cutters Consumption Updates'!$D:$D,I$1,'Cutters Consumption Updates'!$B:$B,$B29)-SUMIFS('Cutters Consumption Updates'!$E:$E,'Cutters Consumption Updates'!$D:$D,I$1,'Cutters Consumption Updates'!$B:$B,$B29)+ SUMIF('Cutters Consumption Updates'!$AS:$AS,$B29,'Cutters Consumption Updates'!AT:AT)</f>
        <v>0</v>
      </c>
      <c r="J29" s="10">
        <f>SUMIFS('Cutters Consumption Updates'!$F:$F,'Cutters Consumption Updates'!$D:$D,J$1,'Cutters Consumption Updates'!$B:$B,$B29)-SUMIFS('Cutters Consumption Updates'!$E:$E,'Cutters Consumption Updates'!$D:$D,J$1,'Cutters Consumption Updates'!$B:$B,$B29)+ SUMIF('Cutters Consumption Updates'!$AS:$AS,$B29,'Cutters Consumption Updates'!AU:AU)</f>
        <v>0</v>
      </c>
      <c r="K29" s="116">
        <f>SUMIFS('Cutters Consumption Updates'!$F:$F,'Cutters Consumption Updates'!$D:$D,K$1,'Cutters Consumption Updates'!$B:$B,$B29)-SUMIFS('Cutters Consumption Updates'!$E:$E,'Cutters Consumption Updates'!$D:$D,K$1,'Cutters Consumption Updates'!$B:$B,$B29)+ SUMIF('Cutters Consumption Updates'!$AS:$AS,$B29,'Cutters Consumption Updates'!AV:AV)</f>
        <v>0</v>
      </c>
      <c r="L29" s="738">
        <f>SUMIFS('Cutters Consumption Updates'!$F:$F,'Cutters Consumption Updates'!$D:$D,L$1,'Cutters Consumption Updates'!$B:$B,$B29)-SUMIFS('Cutters Consumption Updates'!$E:$E,'Cutters Consumption Updates'!$D:$D,L$1,'Cutters Consumption Updates'!$B:$B,$B29)+ SUMIF('Cutters Consumption Updates'!$AS:$AS,$B29,'Cutters Consumption Updates'!AW:AW)</f>
        <v>0</v>
      </c>
      <c r="M29" s="116">
        <f>SUMIFS('Cutters Consumption Updates'!$F:$F,'Cutters Consumption Updates'!$D:$D,M$1,'Cutters Consumption Updates'!$B:$B,$B29)-SUMIFS('Cutters Consumption Updates'!$E:$E,'Cutters Consumption Updates'!$D:$D,$M$1,'Cutters Consumption Updates'!$B:$B,$B29)+SUMIFS('Cutters Consumption Updates'!$F:$F,'Cutters Consumption Updates'!$D:$D,"Retrofit",'Cutters Consumption Updates'!$B:$B,$B29)-SUMIFS('Cutters Consumption Updates'!$E:$E,'Cutters Consumption Updates'!$D:$D,"Retrofit",'Cutters Consumption Updates'!$B:$B,$B29)+ SUMIF('Cutters Consumption Updates'!$AS:$AS,$B29,'Cutters Consumption Updates'!AX:AX)</f>
        <v>3</v>
      </c>
      <c r="N29" s="10">
        <f t="shared" si="0"/>
        <v>3</v>
      </c>
      <c r="O29" s="701">
        <f ca="1">SUMIFS('Cutters Consumption Updates'!E:E,
        'Cutters Consumption Updates'!B:B, B29,
        'Cutters Consumption Updates'!A:A, "&gt;" &amp; TODAY()-182)</f>
        <v>0</v>
      </c>
      <c r="P29" s="701">
        <f ca="1">SUMIFS('Cutters Consumption Updates'!E:E,
        'Cutters Consumption Updates'!B:B, B29,
        'Cutters Consumption Updates'!A:A, "&gt;" &amp; TODAY()-91)</f>
        <v>0</v>
      </c>
      <c r="Q29" s="701">
        <f t="shared" ca="1" si="1"/>
        <v>0</v>
      </c>
      <c r="R29" s="703">
        <f t="shared" ca="1" si="2"/>
        <v>0</v>
      </c>
      <c r="S29" s="703" t="s">
        <v>29</v>
      </c>
      <c r="T29" s="24">
        <f>IFERROR(INDEX(Table5[],MATCH($B29,Table5[Component],0),2),0)</f>
        <v>0</v>
      </c>
      <c r="U29" s="24">
        <f>SUMIFS(Table7[Balance],Table7[Cutter Mat'#],$B29)</f>
        <v>0</v>
      </c>
      <c r="V29" s="24">
        <f t="shared" si="3"/>
        <v>3</v>
      </c>
      <c r="W29" s="119"/>
      <c r="X29" s="2"/>
      <c r="Z29" s="4">
        <f>IFERROR(INDEX(Table5[],MATCH($B29,Table5[Component],0),2),0)</f>
        <v>0</v>
      </c>
      <c r="AA29" s="4">
        <f>IFERROR(INDEX(Table5[],MATCH($B29,Table5[Component],0),1),0)</f>
        <v>0</v>
      </c>
      <c r="AB29" s="4" t="str">
        <f t="shared" si="4"/>
        <v/>
      </c>
      <c r="AC29" s="4" t="str">
        <f t="shared" si="5"/>
        <v/>
      </c>
      <c r="AE29" s="4">
        <f t="shared" si="6"/>
        <v>3</v>
      </c>
      <c r="AJ29" s="248" t="str">
        <f t="shared" si="7"/>
        <v/>
      </c>
      <c r="AK29" s="248" t="str">
        <f t="shared" si="8"/>
        <v/>
      </c>
      <c r="AL29">
        <f t="shared" si="9"/>
        <v>0</v>
      </c>
      <c r="AQ29">
        <f t="shared" si="11"/>
        <v>0</v>
      </c>
      <c r="AS29">
        <v>638561</v>
      </c>
      <c r="AT29">
        <f t="shared" si="10"/>
        <v>0</v>
      </c>
    </row>
    <row r="30" spans="1:46" ht="15.65" customHeight="1" x14ac:dyDescent="0.35">
      <c r="A30" s="2">
        <v>29</v>
      </c>
      <c r="B30" s="2">
        <v>638560</v>
      </c>
      <c r="C30" s="2" t="s">
        <v>26</v>
      </c>
      <c r="D30" s="2">
        <v>1313</v>
      </c>
      <c r="E30" s="2" t="s">
        <v>61</v>
      </c>
      <c r="F30" s="2" t="s">
        <v>253</v>
      </c>
      <c r="G30" s="6"/>
      <c r="H30" s="6" t="s">
        <v>49</v>
      </c>
      <c r="I30" s="10">
        <f>SUMIFS('Cutters Consumption Updates'!$F:$F,'Cutters Consumption Updates'!$D:$D,I$1,'Cutters Consumption Updates'!$B:$B,$B30)-SUMIFS('Cutters Consumption Updates'!$E:$E,'Cutters Consumption Updates'!$D:$D,I$1,'Cutters Consumption Updates'!$B:$B,$B30)+ SUMIF('Cutters Consumption Updates'!$AS:$AS,$B30,'Cutters Consumption Updates'!AT:AT)</f>
        <v>3</v>
      </c>
      <c r="J30" s="10">
        <f>SUMIFS('Cutters Consumption Updates'!$F:$F,'Cutters Consumption Updates'!$D:$D,J$1,'Cutters Consumption Updates'!$B:$B,$B30)-SUMIFS('Cutters Consumption Updates'!$E:$E,'Cutters Consumption Updates'!$D:$D,J$1,'Cutters Consumption Updates'!$B:$B,$B30)+ SUMIF('Cutters Consumption Updates'!$AS:$AS,$B30,'Cutters Consumption Updates'!AU:AU)</f>
        <v>9</v>
      </c>
      <c r="K30" s="116">
        <f>SUMIFS('Cutters Consumption Updates'!$F:$F,'Cutters Consumption Updates'!$D:$D,K$1,'Cutters Consumption Updates'!$B:$B,$B30)-SUMIFS('Cutters Consumption Updates'!$E:$E,'Cutters Consumption Updates'!$D:$D,K$1,'Cutters Consumption Updates'!$B:$B,$B30)+ SUMIF('Cutters Consumption Updates'!$AS:$AS,$B30,'Cutters Consumption Updates'!AV:AV)</f>
        <v>0</v>
      </c>
      <c r="L30" s="738">
        <f>SUMIFS('Cutters Consumption Updates'!$F:$F,'Cutters Consumption Updates'!$D:$D,L$1,'Cutters Consumption Updates'!$B:$B,$B30)-SUMIFS('Cutters Consumption Updates'!$E:$E,'Cutters Consumption Updates'!$D:$D,L$1,'Cutters Consumption Updates'!$B:$B,$B30)+ SUMIF('Cutters Consumption Updates'!$AS:$AS,$B30,'Cutters Consumption Updates'!AW:AW)</f>
        <v>0</v>
      </c>
      <c r="M30" s="116">
        <f>SUMIFS('Cutters Consumption Updates'!$F:$F,'Cutters Consumption Updates'!$D:$D,M$1,'Cutters Consumption Updates'!$B:$B,$B30)-SUMIFS('Cutters Consumption Updates'!$E:$E,'Cutters Consumption Updates'!$D:$D,$M$1,'Cutters Consumption Updates'!$B:$B,$B30)+SUMIFS('Cutters Consumption Updates'!$F:$F,'Cutters Consumption Updates'!$D:$D,"Retrofit",'Cutters Consumption Updates'!$B:$B,$B30)-SUMIFS('Cutters Consumption Updates'!$E:$E,'Cutters Consumption Updates'!$D:$D,"Retrofit",'Cutters Consumption Updates'!$B:$B,$B30)+ SUMIF('Cutters Consumption Updates'!$AS:$AS,$B30,'Cutters Consumption Updates'!AX:AX)</f>
        <v>0</v>
      </c>
      <c r="N30" s="10">
        <f t="shared" si="0"/>
        <v>3</v>
      </c>
      <c r="O30" s="701">
        <f ca="1">SUMIFS('Cutters Consumption Updates'!E:E,
        'Cutters Consumption Updates'!B:B, B30,
        'Cutters Consumption Updates'!A:A, "&gt;" &amp; TODAY()-182)</f>
        <v>28</v>
      </c>
      <c r="P30" s="701">
        <f ca="1">SUMIFS('Cutters Consumption Updates'!E:E,
        'Cutters Consumption Updates'!B:B, B30,
        'Cutters Consumption Updates'!A:A, "&gt;" &amp; TODAY()-91)</f>
        <v>28</v>
      </c>
      <c r="Q30" s="701">
        <f t="shared" ca="1" si="1"/>
        <v>10</v>
      </c>
      <c r="R30" s="703">
        <f t="shared" ca="1" si="2"/>
        <v>15</v>
      </c>
      <c r="S30" s="703" t="s">
        <v>29</v>
      </c>
      <c r="T30" s="24">
        <f>IFERROR(INDEX(Table5[],MATCH($B30,Table5[Component],0),2),0)</f>
        <v>0</v>
      </c>
      <c r="U30" s="24">
        <f>SUMIFS(Table7[Balance],Table7[Cutter Mat'#],$B30)</f>
        <v>0</v>
      </c>
      <c r="V30" s="24">
        <f t="shared" si="3"/>
        <v>3</v>
      </c>
      <c r="W30" s="119"/>
      <c r="X30" s="2"/>
      <c r="Z30" s="4">
        <f>IFERROR(INDEX(Table5[],MATCH($B30,Table5[Component],0),2),0)</f>
        <v>0</v>
      </c>
      <c r="AA30" s="4">
        <f>IFERROR(INDEX(Table5[],MATCH($B30,Table5[Component],0),1),0)</f>
        <v>0</v>
      </c>
      <c r="AB30" s="4" t="str">
        <f t="shared" si="4"/>
        <v/>
      </c>
      <c r="AC30" s="4" t="str">
        <f t="shared" si="5"/>
        <v/>
      </c>
      <c r="AE30" s="4">
        <f t="shared" si="6"/>
        <v>12</v>
      </c>
      <c r="AJ30" s="248" t="str">
        <f t="shared" si="7"/>
        <v/>
      </c>
      <c r="AK30" s="248" t="str">
        <f t="shared" si="8"/>
        <v/>
      </c>
      <c r="AL30">
        <f t="shared" si="9"/>
        <v>0</v>
      </c>
      <c r="AQ30">
        <f t="shared" si="11"/>
        <v>0</v>
      </c>
      <c r="AS30">
        <v>642299</v>
      </c>
      <c r="AT30">
        <f t="shared" si="10"/>
        <v>0</v>
      </c>
    </row>
    <row r="31" spans="1:46" ht="15.65" customHeight="1" x14ac:dyDescent="0.35">
      <c r="A31" s="2">
        <v>30</v>
      </c>
      <c r="B31" s="2">
        <v>578502</v>
      </c>
      <c r="C31" s="2" t="s">
        <v>26</v>
      </c>
      <c r="D31" s="2">
        <v>1010</v>
      </c>
      <c r="E31" s="2" t="s">
        <v>50</v>
      </c>
      <c r="F31" s="2" t="s">
        <v>253</v>
      </c>
      <c r="G31" s="6"/>
      <c r="H31" s="6" t="s">
        <v>47</v>
      </c>
      <c r="I31" s="10">
        <f>SUMIFS('Cutters Consumption Updates'!$F:$F,'Cutters Consumption Updates'!$D:$D,I$1,'Cutters Consumption Updates'!$B:$B,$B31)-SUMIFS('Cutters Consumption Updates'!$E:$E,'Cutters Consumption Updates'!$D:$D,I$1,'Cutters Consumption Updates'!$B:$B,$B31)+ SUMIF('Cutters Consumption Updates'!$AS:$AS,$B31,'Cutters Consumption Updates'!AT:AT)</f>
        <v>0</v>
      </c>
      <c r="J31" s="10">
        <f>SUMIFS('Cutters Consumption Updates'!$F:$F,'Cutters Consumption Updates'!$D:$D,J$1,'Cutters Consumption Updates'!$B:$B,$B31)-SUMIFS('Cutters Consumption Updates'!$E:$E,'Cutters Consumption Updates'!$D:$D,J$1,'Cutters Consumption Updates'!$B:$B,$B31)+ SUMIF('Cutters Consumption Updates'!$AS:$AS,$B31,'Cutters Consumption Updates'!AU:AU)</f>
        <v>0</v>
      </c>
      <c r="K31" s="116">
        <f>SUMIFS('Cutters Consumption Updates'!$F:$F,'Cutters Consumption Updates'!$D:$D,K$1,'Cutters Consumption Updates'!$B:$B,$B31)-SUMIFS('Cutters Consumption Updates'!$E:$E,'Cutters Consumption Updates'!$D:$D,K$1,'Cutters Consumption Updates'!$B:$B,$B31)+ SUMIF('Cutters Consumption Updates'!$AS:$AS,$B31,'Cutters Consumption Updates'!AV:AV)</f>
        <v>0</v>
      </c>
      <c r="L31" s="738">
        <f>SUMIFS('Cutters Consumption Updates'!$F:$F,'Cutters Consumption Updates'!$D:$D,L$1,'Cutters Consumption Updates'!$B:$B,$B31)-SUMIFS('Cutters Consumption Updates'!$E:$E,'Cutters Consumption Updates'!$D:$D,L$1,'Cutters Consumption Updates'!$B:$B,$B31)+ SUMIF('Cutters Consumption Updates'!$AS:$AS,$B31,'Cutters Consumption Updates'!AW:AW)</f>
        <v>6</v>
      </c>
      <c r="M31" s="116">
        <f>SUMIFS('Cutters Consumption Updates'!$F:$F,'Cutters Consumption Updates'!$D:$D,M$1,'Cutters Consumption Updates'!$B:$B,$B31)-SUMIFS('Cutters Consumption Updates'!$E:$E,'Cutters Consumption Updates'!$D:$D,$M$1,'Cutters Consumption Updates'!$B:$B,$B31)+SUMIFS('Cutters Consumption Updates'!$F:$F,'Cutters Consumption Updates'!$D:$D,"Retrofit",'Cutters Consumption Updates'!$B:$B,$B31)-SUMIFS('Cutters Consumption Updates'!$E:$E,'Cutters Consumption Updates'!$D:$D,"Retrofit",'Cutters Consumption Updates'!$B:$B,$B31)+ SUMIF('Cutters Consumption Updates'!$AS:$AS,$B31,'Cutters Consumption Updates'!AX:AX)</f>
        <v>0</v>
      </c>
      <c r="N31" s="10">
        <f t="shared" si="0"/>
        <v>0</v>
      </c>
      <c r="O31" s="701">
        <f ca="1">SUMIFS('Cutters Consumption Updates'!E:E,
        'Cutters Consumption Updates'!B:B, B31,
        'Cutters Consumption Updates'!A:A, "&gt;" &amp; TODAY()-182)</f>
        <v>0</v>
      </c>
      <c r="P31" s="701">
        <f ca="1">SUMIFS('Cutters Consumption Updates'!E:E,
        'Cutters Consumption Updates'!B:B, B31,
        'Cutters Consumption Updates'!A:A, "&gt;" &amp; TODAY()-91)</f>
        <v>0</v>
      </c>
      <c r="Q31" s="701">
        <f t="shared" ca="1" si="1"/>
        <v>0</v>
      </c>
      <c r="R31" s="703">
        <f t="shared" ca="1" si="2"/>
        <v>0</v>
      </c>
      <c r="S31" s="703" t="s">
        <v>29</v>
      </c>
      <c r="T31" s="24">
        <f>IFERROR(INDEX(Table5[],MATCH($B31,Table5[Component],0),2),0)</f>
        <v>0</v>
      </c>
      <c r="U31" s="24">
        <f>SUMIFS(Table7[Balance],Table7[Cutter Mat'#],$B31)</f>
        <v>0</v>
      </c>
      <c r="V31" s="24">
        <f t="shared" si="3"/>
        <v>0</v>
      </c>
      <c r="W31" s="119"/>
      <c r="X31" s="2"/>
      <c r="Z31" s="4">
        <f>IFERROR(INDEX(Table5[],MATCH($B31,Table5[Component],0),2),0)</f>
        <v>0</v>
      </c>
      <c r="AA31" s="4">
        <f>IFERROR(INDEX(Table5[],MATCH($B31,Table5[Component],0),1),0)</f>
        <v>0</v>
      </c>
      <c r="AB31" s="4" t="str">
        <f t="shared" si="4"/>
        <v/>
      </c>
      <c r="AC31" s="4" t="str">
        <f t="shared" si="5"/>
        <v/>
      </c>
      <c r="AE31" s="4">
        <f t="shared" si="6"/>
        <v>0</v>
      </c>
      <c r="AJ31" s="248" t="str">
        <f t="shared" si="7"/>
        <v/>
      </c>
      <c r="AK31" s="248" t="str">
        <f t="shared" si="8"/>
        <v/>
      </c>
      <c r="AL31">
        <f t="shared" si="9"/>
        <v>0</v>
      </c>
      <c r="AQ31">
        <f t="shared" si="11"/>
        <v>0</v>
      </c>
      <c r="AS31">
        <v>643433</v>
      </c>
      <c r="AT31">
        <f t="shared" si="10"/>
        <v>0</v>
      </c>
    </row>
    <row r="32" spans="1:46" ht="15.65" customHeight="1" x14ac:dyDescent="0.35">
      <c r="A32" s="2">
        <v>31</v>
      </c>
      <c r="B32" s="2">
        <v>781580</v>
      </c>
      <c r="C32" s="2" t="s">
        <v>26</v>
      </c>
      <c r="D32" s="2">
        <v>1010</v>
      </c>
      <c r="E32" s="2" t="s">
        <v>53</v>
      </c>
      <c r="F32" s="2" t="s">
        <v>253</v>
      </c>
      <c r="G32" s="6"/>
      <c r="H32" s="6" t="s">
        <v>47</v>
      </c>
      <c r="I32" s="10">
        <f>SUMIFS('Cutters Consumption Updates'!$F:$F,'Cutters Consumption Updates'!$D:$D,I$1,'Cutters Consumption Updates'!$B:$B,$B32)-SUMIFS('Cutters Consumption Updates'!$E:$E,'Cutters Consumption Updates'!$D:$D,I$1,'Cutters Consumption Updates'!$B:$B,$B32)+ SUMIF('Cutters Consumption Updates'!$AS:$AS,$B32,'Cutters Consumption Updates'!AT:AT)</f>
        <v>0</v>
      </c>
      <c r="J32" s="10">
        <f>SUMIFS('Cutters Consumption Updates'!$F:$F,'Cutters Consumption Updates'!$D:$D,J$1,'Cutters Consumption Updates'!$B:$B,$B32)-SUMIFS('Cutters Consumption Updates'!$E:$E,'Cutters Consumption Updates'!$D:$D,J$1,'Cutters Consumption Updates'!$B:$B,$B32)+ SUMIF('Cutters Consumption Updates'!$AS:$AS,$B32,'Cutters Consumption Updates'!AU:AU)</f>
        <v>0</v>
      </c>
      <c r="K32" s="116">
        <f>SUMIFS('Cutters Consumption Updates'!$F:$F,'Cutters Consumption Updates'!$D:$D,K$1,'Cutters Consumption Updates'!$B:$B,$B32)-SUMIFS('Cutters Consumption Updates'!$E:$E,'Cutters Consumption Updates'!$D:$D,K$1,'Cutters Consumption Updates'!$B:$B,$B32)+ SUMIF('Cutters Consumption Updates'!$AS:$AS,$B32,'Cutters Consumption Updates'!AV:AV)</f>
        <v>0</v>
      </c>
      <c r="L32" s="738">
        <f>SUMIFS('Cutters Consumption Updates'!$F:$F,'Cutters Consumption Updates'!$D:$D,L$1,'Cutters Consumption Updates'!$B:$B,$B32)-SUMIFS('Cutters Consumption Updates'!$E:$E,'Cutters Consumption Updates'!$D:$D,L$1,'Cutters Consumption Updates'!$B:$B,$B32)+ SUMIF('Cutters Consumption Updates'!$AS:$AS,$B32,'Cutters Consumption Updates'!AW:AW)</f>
        <v>0</v>
      </c>
      <c r="M32" s="116">
        <f>SUMIFS('Cutters Consumption Updates'!$F:$F,'Cutters Consumption Updates'!$D:$D,M$1,'Cutters Consumption Updates'!$B:$B,$B32)-SUMIFS('Cutters Consumption Updates'!$E:$E,'Cutters Consumption Updates'!$D:$D,$M$1,'Cutters Consumption Updates'!$B:$B,$B32)+SUMIFS('Cutters Consumption Updates'!$F:$F,'Cutters Consumption Updates'!$D:$D,"Retrofit",'Cutters Consumption Updates'!$B:$B,$B32)-SUMIFS('Cutters Consumption Updates'!$E:$E,'Cutters Consumption Updates'!$D:$D,"Retrofit",'Cutters Consumption Updates'!$B:$B,$B32)+ SUMIF('Cutters Consumption Updates'!$AS:$AS,$B32,'Cutters Consumption Updates'!AX:AX)</f>
        <v>0</v>
      </c>
      <c r="N32" s="10">
        <f t="shared" si="0"/>
        <v>0</v>
      </c>
      <c r="O32" s="701">
        <f ca="1">SUMIFS('Cutters Consumption Updates'!E:E,
        'Cutters Consumption Updates'!B:B, B32,
        'Cutters Consumption Updates'!A:A, "&gt;" &amp; TODAY()-182)</f>
        <v>0</v>
      </c>
      <c r="P32" s="701">
        <f ca="1">SUMIFS('Cutters Consumption Updates'!E:E,
        'Cutters Consumption Updates'!B:B, B32,
        'Cutters Consumption Updates'!A:A, "&gt;" &amp; TODAY()-91)</f>
        <v>0</v>
      </c>
      <c r="Q32" s="701">
        <f t="shared" ca="1" si="1"/>
        <v>0</v>
      </c>
      <c r="R32" s="703">
        <f t="shared" ca="1" si="2"/>
        <v>0</v>
      </c>
      <c r="S32" s="703" t="s">
        <v>29</v>
      </c>
      <c r="T32" s="24">
        <f>IFERROR(INDEX(Table5[],MATCH($B32,Table5[Component],0),2),0)</f>
        <v>0</v>
      </c>
      <c r="U32" s="24">
        <f>SUMIFS(Table7[Balance],Table7[Cutter Mat'#],$B32)</f>
        <v>0</v>
      </c>
      <c r="V32" s="24">
        <f t="shared" si="3"/>
        <v>0</v>
      </c>
      <c r="W32" s="119"/>
      <c r="X32" s="2"/>
      <c r="Z32" s="4">
        <f>IFERROR(INDEX(Table5[],MATCH($B32,Table5[Component],0),2),0)</f>
        <v>0</v>
      </c>
      <c r="AA32" s="4">
        <f>IFERROR(INDEX(Table5[],MATCH($B32,Table5[Component],0),1),0)</f>
        <v>0</v>
      </c>
      <c r="AB32" s="4" t="str">
        <f t="shared" si="4"/>
        <v/>
      </c>
      <c r="AC32" s="4" t="str">
        <f t="shared" si="5"/>
        <v/>
      </c>
      <c r="AE32" s="4">
        <f t="shared" si="6"/>
        <v>0</v>
      </c>
      <c r="AJ32" s="248" t="str">
        <f t="shared" si="7"/>
        <v/>
      </c>
      <c r="AK32" s="248" t="str">
        <f t="shared" si="8"/>
        <v/>
      </c>
      <c r="AL32">
        <f t="shared" si="9"/>
        <v>0</v>
      </c>
      <c r="AQ32">
        <f t="shared" si="11"/>
        <v>0</v>
      </c>
      <c r="AS32">
        <v>643435</v>
      </c>
      <c r="AT32">
        <f t="shared" si="10"/>
        <v>0</v>
      </c>
    </row>
    <row r="33" spans="1:46" ht="15.65" customHeight="1" x14ac:dyDescent="0.35">
      <c r="A33" s="2">
        <v>32</v>
      </c>
      <c r="B33" s="2">
        <v>646938</v>
      </c>
      <c r="C33" s="2" t="s">
        <v>26</v>
      </c>
      <c r="D33" s="2">
        <v>1308</v>
      </c>
      <c r="E33" s="2" t="s">
        <v>66</v>
      </c>
      <c r="F33" s="2" t="s">
        <v>248</v>
      </c>
      <c r="G33" s="6"/>
      <c r="H33" s="6" t="s">
        <v>28</v>
      </c>
      <c r="I33" s="10">
        <f>SUMIFS('Cutters Consumption Updates'!$F:$F,'Cutters Consumption Updates'!$D:$D,I$1,'Cutters Consumption Updates'!$B:$B,$B33)-SUMIFS('Cutters Consumption Updates'!$E:$E,'Cutters Consumption Updates'!$D:$D,I$1,'Cutters Consumption Updates'!$B:$B,$B33)+ SUMIF('Cutters Consumption Updates'!$AS:$AS,$B33,'Cutters Consumption Updates'!AT:AT)</f>
        <v>0</v>
      </c>
      <c r="J33" s="10">
        <f>SUMIFS('Cutters Consumption Updates'!$F:$F,'Cutters Consumption Updates'!$D:$D,J$1,'Cutters Consumption Updates'!$B:$B,$B33)-SUMIFS('Cutters Consumption Updates'!$E:$E,'Cutters Consumption Updates'!$D:$D,J$1,'Cutters Consumption Updates'!$B:$B,$B33)+ SUMIF('Cutters Consumption Updates'!$AS:$AS,$B33,'Cutters Consumption Updates'!AU:AU)</f>
        <v>0</v>
      </c>
      <c r="K33" s="116">
        <f>SUMIFS('Cutters Consumption Updates'!$F:$F,'Cutters Consumption Updates'!$D:$D,K$1,'Cutters Consumption Updates'!$B:$B,$B33)-SUMIFS('Cutters Consumption Updates'!$E:$E,'Cutters Consumption Updates'!$D:$D,K$1,'Cutters Consumption Updates'!$B:$B,$B33)+ SUMIF('Cutters Consumption Updates'!$AS:$AS,$B33,'Cutters Consumption Updates'!AV:AV)</f>
        <v>0</v>
      </c>
      <c r="L33" s="738">
        <f>SUMIFS('Cutters Consumption Updates'!$F:$F,'Cutters Consumption Updates'!$D:$D,L$1,'Cutters Consumption Updates'!$B:$B,$B33)-SUMIFS('Cutters Consumption Updates'!$E:$E,'Cutters Consumption Updates'!$D:$D,L$1,'Cutters Consumption Updates'!$B:$B,$B33)+ SUMIF('Cutters Consumption Updates'!$AS:$AS,$B33,'Cutters Consumption Updates'!AW:AW)</f>
        <v>5</v>
      </c>
      <c r="M33" s="116">
        <f>SUMIFS('Cutters Consumption Updates'!$F:$F,'Cutters Consumption Updates'!$D:$D,M$1,'Cutters Consumption Updates'!$B:$B,$B33)-SUMIFS('Cutters Consumption Updates'!$E:$E,'Cutters Consumption Updates'!$D:$D,$M$1,'Cutters Consumption Updates'!$B:$B,$B33)+SUMIFS('Cutters Consumption Updates'!$F:$F,'Cutters Consumption Updates'!$D:$D,"Retrofit",'Cutters Consumption Updates'!$B:$B,$B33)-SUMIFS('Cutters Consumption Updates'!$E:$E,'Cutters Consumption Updates'!$D:$D,"Retrofit",'Cutters Consumption Updates'!$B:$B,$B33)+ SUMIF('Cutters Consumption Updates'!$AS:$AS,$B33,'Cutters Consumption Updates'!AX:AX)</f>
        <v>0</v>
      </c>
      <c r="N33" s="10">
        <f t="shared" si="0"/>
        <v>0</v>
      </c>
      <c r="O33" s="701">
        <f ca="1">SUMIFS('Cutters Consumption Updates'!E:E,
        'Cutters Consumption Updates'!B:B, B33,
        'Cutters Consumption Updates'!A:A, "&gt;" &amp; TODAY()-182)</f>
        <v>0</v>
      </c>
      <c r="P33" s="701">
        <f ca="1">SUMIFS('Cutters Consumption Updates'!E:E,
        'Cutters Consumption Updates'!B:B, B33,
        'Cutters Consumption Updates'!A:A, "&gt;" &amp; TODAY()-91)</f>
        <v>0</v>
      </c>
      <c r="Q33" s="701">
        <f t="shared" ca="1" si="1"/>
        <v>0</v>
      </c>
      <c r="R33" s="703">
        <f t="shared" ca="1" si="2"/>
        <v>0</v>
      </c>
      <c r="S33" s="703" t="s">
        <v>29</v>
      </c>
      <c r="T33" s="24">
        <f>IFERROR(INDEX(Table5[],MATCH($B33,Table5[Component],0),2),0)</f>
        <v>0</v>
      </c>
      <c r="U33" s="24">
        <f>SUMIFS(Table7[Balance],Table7[Cutter Mat'#],$B33)</f>
        <v>0</v>
      </c>
      <c r="V33" s="24">
        <f t="shared" si="3"/>
        <v>0</v>
      </c>
      <c r="W33" s="119"/>
      <c r="X33" s="2"/>
      <c r="Z33" s="4">
        <f>IFERROR(INDEX(Table5[],MATCH($B33,Table5[Component],0),2),0)</f>
        <v>0</v>
      </c>
      <c r="AA33" s="4">
        <f>IFERROR(INDEX(Table5[],MATCH($B33,Table5[Component],0),1),0)</f>
        <v>0</v>
      </c>
      <c r="AB33" s="4" t="str">
        <f t="shared" si="4"/>
        <v/>
      </c>
      <c r="AC33" s="4" t="str">
        <f t="shared" si="5"/>
        <v/>
      </c>
      <c r="AE33" s="4">
        <f t="shared" si="6"/>
        <v>0</v>
      </c>
      <c r="AJ33" s="248" t="str">
        <f t="shared" si="7"/>
        <v/>
      </c>
      <c r="AK33" s="248" t="str">
        <f t="shared" si="8"/>
        <v/>
      </c>
      <c r="AL33">
        <f t="shared" si="9"/>
        <v>0</v>
      </c>
      <c r="AQ33">
        <f t="shared" si="11"/>
        <v>0</v>
      </c>
      <c r="AS33">
        <v>643738</v>
      </c>
      <c r="AT33">
        <f t="shared" si="10"/>
        <v>0</v>
      </c>
    </row>
    <row r="34" spans="1:46" ht="15.65" customHeight="1" x14ac:dyDescent="0.35">
      <c r="A34" s="2">
        <v>33</v>
      </c>
      <c r="B34" s="2">
        <v>780654</v>
      </c>
      <c r="C34" s="2" t="s">
        <v>26</v>
      </c>
      <c r="D34" s="2">
        <v>1010</v>
      </c>
      <c r="E34" s="2" t="s">
        <v>53</v>
      </c>
      <c r="F34" s="2" t="s">
        <v>248</v>
      </c>
      <c r="G34" s="6"/>
      <c r="H34" s="6" t="s">
        <v>47</v>
      </c>
      <c r="I34" s="10">
        <f>SUMIFS('Cutters Consumption Updates'!$F:$F,'Cutters Consumption Updates'!$D:$D,I$1,'Cutters Consumption Updates'!$B:$B,$B34)-SUMIFS('Cutters Consumption Updates'!$E:$E,'Cutters Consumption Updates'!$D:$D,I$1,'Cutters Consumption Updates'!$B:$B,$B34)+ SUMIF('Cutters Consumption Updates'!$AS:$AS,$B34,'Cutters Consumption Updates'!AT:AT)</f>
        <v>0</v>
      </c>
      <c r="J34" s="10">
        <f>SUMIFS('Cutters Consumption Updates'!$F:$F,'Cutters Consumption Updates'!$D:$D,J$1,'Cutters Consumption Updates'!$B:$B,$B34)-SUMIFS('Cutters Consumption Updates'!$E:$E,'Cutters Consumption Updates'!$D:$D,J$1,'Cutters Consumption Updates'!$B:$B,$B34)+ SUMIF('Cutters Consumption Updates'!$AS:$AS,$B34,'Cutters Consumption Updates'!AU:AU)</f>
        <v>0</v>
      </c>
      <c r="K34" s="116">
        <f>SUMIFS('Cutters Consumption Updates'!$F:$F,'Cutters Consumption Updates'!$D:$D,K$1,'Cutters Consumption Updates'!$B:$B,$B34)-SUMIFS('Cutters Consumption Updates'!$E:$E,'Cutters Consumption Updates'!$D:$D,K$1,'Cutters Consumption Updates'!$B:$B,$B34)+ SUMIF('Cutters Consumption Updates'!$AS:$AS,$B34,'Cutters Consumption Updates'!AV:AV)</f>
        <v>0</v>
      </c>
      <c r="L34" s="738">
        <f>SUMIFS('Cutters Consumption Updates'!$F:$F,'Cutters Consumption Updates'!$D:$D,L$1,'Cutters Consumption Updates'!$B:$B,$B34)-SUMIFS('Cutters Consumption Updates'!$E:$E,'Cutters Consumption Updates'!$D:$D,L$1,'Cutters Consumption Updates'!$B:$B,$B34)+ SUMIF('Cutters Consumption Updates'!$AS:$AS,$B34,'Cutters Consumption Updates'!AW:AW)</f>
        <v>0</v>
      </c>
      <c r="M34" s="116">
        <f>SUMIFS('Cutters Consumption Updates'!$F:$F,'Cutters Consumption Updates'!$D:$D,M$1,'Cutters Consumption Updates'!$B:$B,$B34)-SUMIFS('Cutters Consumption Updates'!$E:$E,'Cutters Consumption Updates'!$D:$D,$M$1,'Cutters Consumption Updates'!$B:$B,$B34)+SUMIFS('Cutters Consumption Updates'!$F:$F,'Cutters Consumption Updates'!$D:$D,"Retrofit",'Cutters Consumption Updates'!$B:$B,$B34)-SUMIFS('Cutters Consumption Updates'!$E:$E,'Cutters Consumption Updates'!$D:$D,"Retrofit",'Cutters Consumption Updates'!$B:$B,$B34)+ SUMIF('Cutters Consumption Updates'!$AS:$AS,$B34,'Cutters Consumption Updates'!AX:AX)</f>
        <v>0</v>
      </c>
      <c r="N34" s="10">
        <f t="shared" si="0"/>
        <v>0</v>
      </c>
      <c r="O34" s="701">
        <f ca="1">SUMIFS('Cutters Consumption Updates'!E:E,
        'Cutters Consumption Updates'!B:B, B34,
        'Cutters Consumption Updates'!A:A, "&gt;" &amp; TODAY()-182)</f>
        <v>0</v>
      </c>
      <c r="P34" s="701">
        <f ca="1">SUMIFS('Cutters Consumption Updates'!E:E,
        'Cutters Consumption Updates'!B:B, B34,
        'Cutters Consumption Updates'!A:A, "&gt;" &amp; TODAY()-91)</f>
        <v>0</v>
      </c>
      <c r="Q34" s="701">
        <f t="shared" ca="1" si="1"/>
        <v>0</v>
      </c>
      <c r="R34" s="703">
        <f t="shared" ca="1" si="2"/>
        <v>0</v>
      </c>
      <c r="S34" s="703" t="s">
        <v>29</v>
      </c>
      <c r="T34" s="24">
        <f>IFERROR(INDEX(Table5[],MATCH($B34,Table5[Component],0),2),0)</f>
        <v>0</v>
      </c>
      <c r="U34" s="24">
        <f>SUMIFS(Table7[Balance],Table7[Cutter Mat'#],$B34)</f>
        <v>0</v>
      </c>
      <c r="V34" s="24">
        <f t="shared" si="3"/>
        <v>0</v>
      </c>
      <c r="W34" s="119"/>
      <c r="X34" s="2"/>
      <c r="Z34" s="4">
        <f>IFERROR(INDEX(Table5[],MATCH($B34,Table5[Component],0),2),0)</f>
        <v>0</v>
      </c>
      <c r="AA34" s="4">
        <f>IFERROR(INDEX(Table5[],MATCH($B34,Table5[Component],0),1),0)</f>
        <v>780654</v>
      </c>
      <c r="AB34" s="4" t="str">
        <f t="shared" si="4"/>
        <v/>
      </c>
      <c r="AC34" s="4" t="str">
        <f t="shared" si="5"/>
        <v/>
      </c>
      <c r="AE34" s="4">
        <f t="shared" si="6"/>
        <v>0</v>
      </c>
      <c r="AJ34" s="248" t="str">
        <f t="shared" si="7"/>
        <v/>
      </c>
      <c r="AK34" s="248" t="str">
        <f t="shared" si="8"/>
        <v/>
      </c>
      <c r="AL34">
        <f t="shared" si="9"/>
        <v>0</v>
      </c>
      <c r="AQ34">
        <f t="shared" si="11"/>
        <v>0</v>
      </c>
      <c r="AS34">
        <v>646938</v>
      </c>
      <c r="AT34">
        <f t="shared" si="10"/>
        <v>0</v>
      </c>
    </row>
    <row r="35" spans="1:46" ht="15.65" customHeight="1" x14ac:dyDescent="0.35">
      <c r="A35" s="2">
        <v>34</v>
      </c>
      <c r="B35" s="2">
        <v>729434</v>
      </c>
      <c r="C35" s="2" t="s">
        <v>26</v>
      </c>
      <c r="D35" s="2">
        <v>1308</v>
      </c>
      <c r="E35" s="2" t="s">
        <v>62</v>
      </c>
      <c r="F35" s="2" t="s">
        <v>248</v>
      </c>
      <c r="G35" s="6"/>
      <c r="H35" s="6" t="s">
        <v>49</v>
      </c>
      <c r="I35" s="10">
        <f>SUMIFS('Cutters Consumption Updates'!$F:$F,'Cutters Consumption Updates'!$D:$D,I$1,'Cutters Consumption Updates'!$B:$B,$B35)-SUMIFS('Cutters Consumption Updates'!$E:$E,'Cutters Consumption Updates'!$D:$D,I$1,'Cutters Consumption Updates'!$B:$B,$B35)+ SUMIF('Cutters Consumption Updates'!$AS:$AS,$B35,'Cutters Consumption Updates'!AT:AT)</f>
        <v>0</v>
      </c>
      <c r="J35" s="10">
        <f>SUMIFS('Cutters Consumption Updates'!$F:$F,'Cutters Consumption Updates'!$D:$D,J$1,'Cutters Consumption Updates'!$B:$B,$B35)-SUMIFS('Cutters Consumption Updates'!$E:$E,'Cutters Consumption Updates'!$D:$D,J$1,'Cutters Consumption Updates'!$B:$B,$B35)+ SUMIF('Cutters Consumption Updates'!$AS:$AS,$B35,'Cutters Consumption Updates'!AU:AU)</f>
        <v>0</v>
      </c>
      <c r="K35" s="116">
        <f>SUMIFS('Cutters Consumption Updates'!$F:$F,'Cutters Consumption Updates'!$D:$D,K$1,'Cutters Consumption Updates'!$B:$B,$B35)-SUMIFS('Cutters Consumption Updates'!$E:$E,'Cutters Consumption Updates'!$D:$D,K$1,'Cutters Consumption Updates'!$B:$B,$B35)+ SUMIF('Cutters Consumption Updates'!$AS:$AS,$B35,'Cutters Consumption Updates'!AV:AV)</f>
        <v>0</v>
      </c>
      <c r="L35" s="738">
        <f>SUMIFS('Cutters Consumption Updates'!$F:$F,'Cutters Consumption Updates'!$D:$D,L$1,'Cutters Consumption Updates'!$B:$B,$B35)-SUMIFS('Cutters Consumption Updates'!$E:$E,'Cutters Consumption Updates'!$D:$D,L$1,'Cutters Consumption Updates'!$B:$B,$B35)+ SUMIF('Cutters Consumption Updates'!$AS:$AS,$B35,'Cutters Consumption Updates'!AW:AW)</f>
        <v>0</v>
      </c>
      <c r="M35" s="116">
        <f>SUMIFS('Cutters Consumption Updates'!$F:$F,'Cutters Consumption Updates'!$D:$D,M$1,'Cutters Consumption Updates'!$B:$B,$B35)-SUMIFS('Cutters Consumption Updates'!$E:$E,'Cutters Consumption Updates'!$D:$D,$M$1,'Cutters Consumption Updates'!$B:$B,$B35)+SUMIFS('Cutters Consumption Updates'!$F:$F,'Cutters Consumption Updates'!$D:$D,"Retrofit",'Cutters Consumption Updates'!$B:$B,$B35)-SUMIFS('Cutters Consumption Updates'!$E:$E,'Cutters Consumption Updates'!$D:$D,"Retrofit",'Cutters Consumption Updates'!$B:$B,$B35)+ SUMIF('Cutters Consumption Updates'!$AS:$AS,$B35,'Cutters Consumption Updates'!AX:AX)</f>
        <v>0</v>
      </c>
      <c r="N35" s="10">
        <f t="shared" si="0"/>
        <v>0</v>
      </c>
      <c r="O35" s="701">
        <f ca="1">SUMIFS('Cutters Consumption Updates'!E:E,
        'Cutters Consumption Updates'!B:B, B35,
        'Cutters Consumption Updates'!A:A, "&gt;" &amp; TODAY()-182)</f>
        <v>0</v>
      </c>
      <c r="P35" s="701">
        <f ca="1">SUMIFS('Cutters Consumption Updates'!E:E,
        'Cutters Consumption Updates'!B:B, B35,
        'Cutters Consumption Updates'!A:A, "&gt;" &amp; TODAY()-91)</f>
        <v>0</v>
      </c>
      <c r="Q35" s="701">
        <f t="shared" ca="1" si="1"/>
        <v>0</v>
      </c>
      <c r="R35" s="703">
        <f t="shared" ca="1" si="2"/>
        <v>0</v>
      </c>
      <c r="S35" s="703" t="s">
        <v>29</v>
      </c>
      <c r="T35" s="24">
        <f>IFERROR(INDEX(Table5[],MATCH($B35,Table5[Component],0),2),0)</f>
        <v>0</v>
      </c>
      <c r="U35" s="24">
        <f>SUMIFS(Table7[Balance],Table7[Cutter Mat'#],$B35)</f>
        <v>0</v>
      </c>
      <c r="V35" s="24">
        <f t="shared" si="3"/>
        <v>0</v>
      </c>
      <c r="W35" s="119"/>
      <c r="X35" s="2"/>
      <c r="Z35" s="4">
        <f>IFERROR(INDEX(Table5[],MATCH($B35,Table5[Component],0),2),0)</f>
        <v>0</v>
      </c>
      <c r="AA35" s="4">
        <f>IFERROR(INDEX(Table5[],MATCH($B35,Table5[Component],0),1),0)</f>
        <v>0</v>
      </c>
      <c r="AB35" s="4" t="str">
        <f t="shared" si="4"/>
        <v/>
      </c>
      <c r="AC35" s="4" t="str">
        <f t="shared" si="5"/>
        <v/>
      </c>
      <c r="AE35" s="4">
        <f t="shared" si="6"/>
        <v>0</v>
      </c>
      <c r="AJ35" s="248" t="str">
        <f t="shared" si="7"/>
        <v/>
      </c>
      <c r="AK35" s="248" t="str">
        <f t="shared" si="8"/>
        <v/>
      </c>
      <c r="AL35">
        <f t="shared" si="9"/>
        <v>0</v>
      </c>
      <c r="AQ35">
        <f t="shared" si="11"/>
        <v>0</v>
      </c>
      <c r="AS35">
        <v>646941</v>
      </c>
      <c r="AT35">
        <f t="shared" si="10"/>
        <v>0</v>
      </c>
    </row>
    <row r="36" spans="1:46" ht="15.65" customHeight="1" x14ac:dyDescent="0.35">
      <c r="A36" s="2">
        <v>35</v>
      </c>
      <c r="B36" s="2">
        <v>802064</v>
      </c>
      <c r="C36" s="2" t="s">
        <v>26</v>
      </c>
      <c r="D36" s="2">
        <v>1308</v>
      </c>
      <c r="E36" s="2" t="s">
        <v>27</v>
      </c>
      <c r="F36" s="2" t="s">
        <v>248</v>
      </c>
      <c r="G36" s="6"/>
      <c r="H36" s="6" t="s">
        <v>28</v>
      </c>
      <c r="I36" s="10">
        <f>SUMIFS('Cutters Consumption Updates'!$F:$F,'Cutters Consumption Updates'!$D:$D,I$1,'Cutters Consumption Updates'!$B:$B,$B36)-SUMIFS('Cutters Consumption Updates'!$E:$E,'Cutters Consumption Updates'!$D:$D,I$1,'Cutters Consumption Updates'!$B:$B,$B36)+ SUMIF('Cutters Consumption Updates'!$AS:$AS,$B36,'Cutters Consumption Updates'!AT:AT)</f>
        <v>0</v>
      </c>
      <c r="J36" s="10">
        <f>SUMIFS('Cutters Consumption Updates'!$F:$F,'Cutters Consumption Updates'!$D:$D,J$1,'Cutters Consumption Updates'!$B:$B,$B36)-SUMIFS('Cutters Consumption Updates'!$E:$E,'Cutters Consumption Updates'!$D:$D,J$1,'Cutters Consumption Updates'!$B:$B,$B36)+ SUMIF('Cutters Consumption Updates'!$AS:$AS,$B36,'Cutters Consumption Updates'!AU:AU)</f>
        <v>0</v>
      </c>
      <c r="K36" s="116">
        <f>SUMIFS('Cutters Consumption Updates'!$F:$F,'Cutters Consumption Updates'!$D:$D,K$1,'Cutters Consumption Updates'!$B:$B,$B36)-SUMIFS('Cutters Consumption Updates'!$E:$E,'Cutters Consumption Updates'!$D:$D,K$1,'Cutters Consumption Updates'!$B:$B,$B36)+ SUMIF('Cutters Consumption Updates'!$AS:$AS,$B36,'Cutters Consumption Updates'!AV:AV)</f>
        <v>0</v>
      </c>
      <c r="L36" s="738">
        <f>SUMIFS('Cutters Consumption Updates'!$F:$F,'Cutters Consumption Updates'!$D:$D,L$1,'Cutters Consumption Updates'!$B:$B,$B36)-SUMIFS('Cutters Consumption Updates'!$E:$E,'Cutters Consumption Updates'!$D:$D,L$1,'Cutters Consumption Updates'!$B:$B,$B36)+ SUMIF('Cutters Consumption Updates'!$AS:$AS,$B36,'Cutters Consumption Updates'!AW:AW)</f>
        <v>8</v>
      </c>
      <c r="M36" s="116">
        <f>SUMIFS('Cutters Consumption Updates'!$F:$F,'Cutters Consumption Updates'!$D:$D,M$1,'Cutters Consumption Updates'!$B:$B,$B36)-SUMIFS('Cutters Consumption Updates'!$E:$E,'Cutters Consumption Updates'!$D:$D,$M$1,'Cutters Consumption Updates'!$B:$B,$B36)+SUMIFS('Cutters Consumption Updates'!$F:$F,'Cutters Consumption Updates'!$D:$D,"Retrofit",'Cutters Consumption Updates'!$B:$B,$B36)-SUMIFS('Cutters Consumption Updates'!$E:$E,'Cutters Consumption Updates'!$D:$D,"Retrofit",'Cutters Consumption Updates'!$B:$B,$B36)+ SUMIF('Cutters Consumption Updates'!$AS:$AS,$B36,'Cutters Consumption Updates'!AX:AX)</f>
        <v>1</v>
      </c>
      <c r="N36" s="10">
        <f t="shared" si="0"/>
        <v>1</v>
      </c>
      <c r="O36" s="701">
        <f ca="1">SUMIFS('Cutters Consumption Updates'!E:E,
        'Cutters Consumption Updates'!B:B, B36,
        'Cutters Consumption Updates'!A:A, "&gt;" &amp; TODAY()-182)</f>
        <v>13</v>
      </c>
      <c r="P36" s="701">
        <f ca="1">SUMIFS('Cutters Consumption Updates'!E:E,
        'Cutters Consumption Updates'!B:B, B36,
        'Cutters Consumption Updates'!A:A, "&gt;" &amp; TODAY()-91)</f>
        <v>13</v>
      </c>
      <c r="Q36" s="701">
        <f t="shared" ca="1" si="1"/>
        <v>5</v>
      </c>
      <c r="R36" s="703">
        <f t="shared" ca="1" si="2"/>
        <v>10</v>
      </c>
      <c r="S36" s="703" t="s">
        <v>29</v>
      </c>
      <c r="T36" s="24">
        <f>IFERROR(INDEX(Table5[],MATCH($B36,Table5[Component],0),2),0)</f>
        <v>0</v>
      </c>
      <c r="U36" s="24">
        <f>SUMIFS(Table7[Balance],Table7[Cutter Mat'#],$B36)</f>
        <v>0</v>
      </c>
      <c r="V36" s="24">
        <f t="shared" si="3"/>
        <v>1</v>
      </c>
      <c r="W36" s="119"/>
      <c r="X36" s="2"/>
      <c r="Z36" s="4">
        <f>IFERROR(INDEX(Table5[],MATCH($B36,Table5[Component],0),2),0)</f>
        <v>0</v>
      </c>
      <c r="AA36" s="4">
        <f>IFERROR(INDEX(Table5[],MATCH($B36,Table5[Component],0),1),0)</f>
        <v>0</v>
      </c>
      <c r="AB36" s="4" t="str">
        <f t="shared" si="4"/>
        <v/>
      </c>
      <c r="AC36" s="4" t="str">
        <f t="shared" si="5"/>
        <v/>
      </c>
      <c r="AE36" s="4">
        <f t="shared" si="6"/>
        <v>1</v>
      </c>
      <c r="AJ36" s="248" t="str">
        <f t="shared" si="7"/>
        <v/>
      </c>
      <c r="AK36" s="248" t="str">
        <f t="shared" si="8"/>
        <v/>
      </c>
      <c r="AL36">
        <f t="shared" si="9"/>
        <v>0</v>
      </c>
      <c r="AQ36">
        <f t="shared" si="11"/>
        <v>0</v>
      </c>
      <c r="AS36">
        <v>647435</v>
      </c>
      <c r="AT36">
        <f t="shared" si="10"/>
        <v>0</v>
      </c>
    </row>
    <row r="37" spans="1:46" ht="15.65" customHeight="1" x14ac:dyDescent="0.35">
      <c r="A37" s="2">
        <v>36</v>
      </c>
      <c r="B37" s="2">
        <v>717748</v>
      </c>
      <c r="C37" s="2" t="s">
        <v>26</v>
      </c>
      <c r="D37" s="2">
        <v>1010</v>
      </c>
      <c r="E37" s="2" t="s">
        <v>51</v>
      </c>
      <c r="F37" s="2" t="s">
        <v>253</v>
      </c>
      <c r="G37" s="6"/>
      <c r="H37" s="6" t="s">
        <v>47</v>
      </c>
      <c r="I37" s="10">
        <f>SUMIFS('Cutters Consumption Updates'!$F:$F,'Cutters Consumption Updates'!$D:$D,I$1,'Cutters Consumption Updates'!$B:$B,$B37)-SUMIFS('Cutters Consumption Updates'!$E:$E,'Cutters Consumption Updates'!$D:$D,I$1,'Cutters Consumption Updates'!$B:$B,$B37)+ SUMIF('Cutters Consumption Updates'!$AS:$AS,$B37,'Cutters Consumption Updates'!AT:AT)</f>
        <v>0</v>
      </c>
      <c r="J37" s="10">
        <f>SUMIFS('Cutters Consumption Updates'!$F:$F,'Cutters Consumption Updates'!$D:$D,J$1,'Cutters Consumption Updates'!$B:$B,$B37)-SUMIFS('Cutters Consumption Updates'!$E:$E,'Cutters Consumption Updates'!$D:$D,J$1,'Cutters Consumption Updates'!$B:$B,$B37)+ SUMIF('Cutters Consumption Updates'!$AS:$AS,$B37,'Cutters Consumption Updates'!AU:AU)</f>
        <v>0</v>
      </c>
      <c r="K37" s="116">
        <f>SUMIFS('Cutters Consumption Updates'!$F:$F,'Cutters Consumption Updates'!$D:$D,K$1,'Cutters Consumption Updates'!$B:$B,$B37)-SUMIFS('Cutters Consumption Updates'!$E:$E,'Cutters Consumption Updates'!$D:$D,K$1,'Cutters Consumption Updates'!$B:$B,$B37)+ SUMIF('Cutters Consumption Updates'!$AS:$AS,$B37,'Cutters Consumption Updates'!AV:AV)</f>
        <v>2</v>
      </c>
      <c r="L37" s="738">
        <f>SUMIFS('Cutters Consumption Updates'!$F:$F,'Cutters Consumption Updates'!$D:$D,L$1,'Cutters Consumption Updates'!$B:$B,$B37)-SUMIFS('Cutters Consumption Updates'!$E:$E,'Cutters Consumption Updates'!$D:$D,L$1,'Cutters Consumption Updates'!$B:$B,$B37)+ SUMIF('Cutters Consumption Updates'!$AS:$AS,$B37,'Cutters Consumption Updates'!AW:AW)</f>
        <v>3</v>
      </c>
      <c r="M37" s="116">
        <f>SUMIFS('Cutters Consumption Updates'!$F:$F,'Cutters Consumption Updates'!$D:$D,M$1,'Cutters Consumption Updates'!$B:$B,$B37)-SUMIFS('Cutters Consumption Updates'!$E:$E,'Cutters Consumption Updates'!$D:$D,$M$1,'Cutters Consumption Updates'!$B:$B,$B37)+SUMIFS('Cutters Consumption Updates'!$F:$F,'Cutters Consumption Updates'!$D:$D,"Retrofit",'Cutters Consumption Updates'!$B:$B,$B37)-SUMIFS('Cutters Consumption Updates'!$E:$E,'Cutters Consumption Updates'!$D:$D,"Retrofit",'Cutters Consumption Updates'!$B:$B,$B37)+ SUMIF('Cutters Consumption Updates'!$AS:$AS,$B37,'Cutters Consumption Updates'!AX:AX)</f>
        <v>-19</v>
      </c>
      <c r="N37" s="10">
        <f t="shared" si="0"/>
        <v>-19</v>
      </c>
      <c r="O37" s="701">
        <f ca="1">SUMIFS('Cutters Consumption Updates'!E:E,
        'Cutters Consumption Updates'!B:B, B37,
        'Cutters Consumption Updates'!A:A, "&gt;" &amp; TODAY()-182)</f>
        <v>295</v>
      </c>
      <c r="P37" s="701">
        <f ca="1">SUMIFS('Cutters Consumption Updates'!E:E,
        'Cutters Consumption Updates'!B:B, B37,
        'Cutters Consumption Updates'!A:A, "&gt;" &amp; TODAY()-91)</f>
        <v>191</v>
      </c>
      <c r="Q37" s="701">
        <f t="shared" ca="1" si="1"/>
        <v>99</v>
      </c>
      <c r="R37" s="703">
        <f t="shared" ca="1" si="2"/>
        <v>105</v>
      </c>
      <c r="S37" s="703" t="s">
        <v>67</v>
      </c>
      <c r="T37" s="24">
        <f>IFERROR(INDEX(Table5[],MATCH($B37,Table5[Component],0),2),0)</f>
        <v>382</v>
      </c>
      <c r="U37" s="24">
        <f>SUMIFS(Table7[Balance],Table7[Cutter Mat'#],$B37)</f>
        <v>50</v>
      </c>
      <c r="V37" s="24">
        <f t="shared" si="3"/>
        <v>-351</v>
      </c>
      <c r="W37" s="119"/>
      <c r="X37" s="2"/>
      <c r="Z37" s="4">
        <f>IFERROR(INDEX(Table5[],MATCH($B37,Table5[Component],0),2),0)</f>
        <v>382</v>
      </c>
      <c r="AA37" s="4">
        <f>IFERROR(INDEX(Table5[],MATCH($B37,Table5[Component],0),1),0)</f>
        <v>717748</v>
      </c>
      <c r="AB37" s="4">
        <f t="shared" si="4"/>
        <v>717748</v>
      </c>
      <c r="AC37" s="4" t="str">
        <f t="shared" si="5"/>
        <v/>
      </c>
      <c r="AE37" s="4">
        <f t="shared" si="6"/>
        <v>-17</v>
      </c>
      <c r="AJ37" s="248" t="str">
        <f t="shared" si="7"/>
        <v/>
      </c>
      <c r="AK37" s="248" t="str">
        <f t="shared" si="8"/>
        <v/>
      </c>
      <c r="AL37">
        <f t="shared" si="9"/>
        <v>0</v>
      </c>
      <c r="AQ37">
        <f t="shared" si="11"/>
        <v>50</v>
      </c>
      <c r="AS37">
        <v>647436</v>
      </c>
      <c r="AT37">
        <f t="shared" si="10"/>
        <v>0</v>
      </c>
    </row>
    <row r="38" spans="1:46" ht="15.65" customHeight="1" x14ac:dyDescent="0.35">
      <c r="A38" s="2">
        <v>37</v>
      </c>
      <c r="B38" s="2">
        <v>752294</v>
      </c>
      <c r="C38" s="2" t="s">
        <v>26</v>
      </c>
      <c r="D38" s="2">
        <v>1010</v>
      </c>
      <c r="E38" s="2" t="s">
        <v>62</v>
      </c>
      <c r="F38" s="2" t="s">
        <v>253</v>
      </c>
      <c r="G38" s="6"/>
      <c r="H38" s="6" t="s">
        <v>49</v>
      </c>
      <c r="I38" s="10">
        <f>SUMIFS('Cutters Consumption Updates'!$F:$F,'Cutters Consumption Updates'!$D:$D,I$1,'Cutters Consumption Updates'!$B:$B,$B38)-SUMIFS('Cutters Consumption Updates'!$E:$E,'Cutters Consumption Updates'!$D:$D,I$1,'Cutters Consumption Updates'!$B:$B,$B38)+ SUMIF('Cutters Consumption Updates'!$AS:$AS,$B38,'Cutters Consumption Updates'!AT:AT)</f>
        <v>0</v>
      </c>
      <c r="J38" s="10">
        <f>SUMIFS('Cutters Consumption Updates'!$F:$F,'Cutters Consumption Updates'!$D:$D,J$1,'Cutters Consumption Updates'!$B:$B,$B38)-SUMIFS('Cutters Consumption Updates'!$E:$E,'Cutters Consumption Updates'!$D:$D,J$1,'Cutters Consumption Updates'!$B:$B,$B38)+ SUMIF('Cutters Consumption Updates'!$AS:$AS,$B38,'Cutters Consumption Updates'!AU:AU)</f>
        <v>0</v>
      </c>
      <c r="K38" s="116">
        <f>SUMIFS('Cutters Consumption Updates'!$F:$F,'Cutters Consumption Updates'!$D:$D,K$1,'Cutters Consumption Updates'!$B:$B,$B38)-SUMIFS('Cutters Consumption Updates'!$E:$E,'Cutters Consumption Updates'!$D:$D,K$1,'Cutters Consumption Updates'!$B:$B,$B38)+ SUMIF('Cutters Consumption Updates'!$AS:$AS,$B38,'Cutters Consumption Updates'!AV:AV)</f>
        <v>0</v>
      </c>
      <c r="L38" s="738">
        <f>SUMIFS('Cutters Consumption Updates'!$F:$F,'Cutters Consumption Updates'!$D:$D,L$1,'Cutters Consumption Updates'!$B:$B,$B38)-SUMIFS('Cutters Consumption Updates'!$E:$E,'Cutters Consumption Updates'!$D:$D,L$1,'Cutters Consumption Updates'!$B:$B,$B38)+ SUMIF('Cutters Consumption Updates'!$AS:$AS,$B38,'Cutters Consumption Updates'!AW:AW)</f>
        <v>0</v>
      </c>
      <c r="M38" s="116">
        <f>SUMIFS('Cutters Consumption Updates'!$F:$F,'Cutters Consumption Updates'!$D:$D,M$1,'Cutters Consumption Updates'!$B:$B,$B38)-SUMIFS('Cutters Consumption Updates'!$E:$E,'Cutters Consumption Updates'!$D:$D,$M$1,'Cutters Consumption Updates'!$B:$B,$B38)+SUMIFS('Cutters Consumption Updates'!$F:$F,'Cutters Consumption Updates'!$D:$D,"Retrofit",'Cutters Consumption Updates'!$B:$B,$B38)-SUMIFS('Cutters Consumption Updates'!$E:$E,'Cutters Consumption Updates'!$D:$D,"Retrofit",'Cutters Consumption Updates'!$B:$B,$B38)+ SUMIF('Cutters Consumption Updates'!$AS:$AS,$B38,'Cutters Consumption Updates'!AX:AX)</f>
        <v>0</v>
      </c>
      <c r="N38" s="10">
        <f t="shared" si="0"/>
        <v>0</v>
      </c>
      <c r="O38" s="701">
        <f ca="1">SUMIFS('Cutters Consumption Updates'!E:E,
        'Cutters Consumption Updates'!B:B, B38,
        'Cutters Consumption Updates'!A:A, "&gt;" &amp; TODAY()-182)</f>
        <v>0</v>
      </c>
      <c r="P38" s="701">
        <f ca="1">SUMIFS('Cutters Consumption Updates'!E:E,
        'Cutters Consumption Updates'!B:B, B38,
        'Cutters Consumption Updates'!A:A, "&gt;" &amp; TODAY()-91)</f>
        <v>0</v>
      </c>
      <c r="Q38" s="701">
        <f t="shared" ca="1" si="1"/>
        <v>0</v>
      </c>
      <c r="R38" s="703">
        <f t="shared" ca="1" si="2"/>
        <v>0</v>
      </c>
      <c r="S38" s="703" t="s">
        <v>29</v>
      </c>
      <c r="T38" s="24">
        <f>IFERROR(INDEX(Table5[],MATCH($B38,Table5[Component],0),2),0)</f>
        <v>0</v>
      </c>
      <c r="U38" s="24">
        <f>SUMIFS(Table7[Balance],Table7[Cutter Mat'#],$B38)</f>
        <v>0</v>
      </c>
      <c r="V38" s="24">
        <f t="shared" si="3"/>
        <v>0</v>
      </c>
      <c r="W38" s="119"/>
      <c r="X38" s="2"/>
      <c r="Z38" s="4">
        <f>IFERROR(INDEX(Table5[],MATCH($B38,Table5[Component],0),2),0)</f>
        <v>0</v>
      </c>
      <c r="AA38" s="4">
        <f>IFERROR(INDEX(Table5[],MATCH($B38,Table5[Component],0),1),0)</f>
        <v>0</v>
      </c>
      <c r="AB38" s="4" t="str">
        <f t="shared" si="4"/>
        <v/>
      </c>
      <c r="AC38" s="4" t="str">
        <f t="shared" si="5"/>
        <v/>
      </c>
      <c r="AE38" s="4">
        <f t="shared" si="6"/>
        <v>0</v>
      </c>
      <c r="AJ38" s="248" t="str">
        <f t="shared" si="7"/>
        <v/>
      </c>
      <c r="AK38" s="248" t="str">
        <f t="shared" si="8"/>
        <v/>
      </c>
      <c r="AL38">
        <f t="shared" si="9"/>
        <v>0</v>
      </c>
      <c r="AQ38">
        <f t="shared" si="11"/>
        <v>0</v>
      </c>
      <c r="AS38">
        <v>647464</v>
      </c>
      <c r="AT38">
        <f t="shared" si="10"/>
        <v>0</v>
      </c>
    </row>
    <row r="39" spans="1:46" ht="15.65" customHeight="1" x14ac:dyDescent="0.35">
      <c r="A39" s="2">
        <v>38</v>
      </c>
      <c r="B39" s="2">
        <v>761304</v>
      </c>
      <c r="C39" s="5" t="s">
        <v>42</v>
      </c>
      <c r="D39" s="2" t="s">
        <v>38</v>
      </c>
      <c r="E39" s="2" t="s">
        <v>53</v>
      </c>
      <c r="F39" s="2" t="s">
        <v>248</v>
      </c>
      <c r="G39" s="6" t="s">
        <v>68</v>
      </c>
      <c r="H39" s="6" t="s">
        <v>47</v>
      </c>
      <c r="I39" s="10">
        <f>SUMIFS('Cutters Consumption Updates'!$F:$F,'Cutters Consumption Updates'!$D:$D,I$1,'Cutters Consumption Updates'!$B:$B,$B39)-SUMIFS('Cutters Consumption Updates'!$E:$E,'Cutters Consumption Updates'!$D:$D,I$1,'Cutters Consumption Updates'!$B:$B,$B39)+ SUMIF('Cutters Consumption Updates'!$AS:$AS,$B39,'Cutters Consumption Updates'!AT:AT)</f>
        <v>0</v>
      </c>
      <c r="J39" s="10">
        <f>SUMIFS('Cutters Consumption Updates'!$F:$F,'Cutters Consumption Updates'!$D:$D,J$1,'Cutters Consumption Updates'!$B:$B,$B39)-SUMIFS('Cutters Consumption Updates'!$E:$E,'Cutters Consumption Updates'!$D:$D,J$1,'Cutters Consumption Updates'!$B:$B,$B39)+ SUMIF('Cutters Consumption Updates'!$AS:$AS,$B39,'Cutters Consumption Updates'!AU:AU)</f>
        <v>0</v>
      </c>
      <c r="K39" s="116">
        <f>SUMIFS('Cutters Consumption Updates'!$F:$F,'Cutters Consumption Updates'!$D:$D,K$1,'Cutters Consumption Updates'!$B:$B,$B39)-SUMIFS('Cutters Consumption Updates'!$E:$E,'Cutters Consumption Updates'!$D:$D,K$1,'Cutters Consumption Updates'!$B:$B,$B39)+ SUMIF('Cutters Consumption Updates'!$AS:$AS,$B39,'Cutters Consumption Updates'!AV:AV)</f>
        <v>0</v>
      </c>
      <c r="L39" s="738">
        <f>SUMIFS('Cutters Consumption Updates'!$F:$F,'Cutters Consumption Updates'!$D:$D,L$1,'Cutters Consumption Updates'!$B:$B,$B39)-SUMIFS('Cutters Consumption Updates'!$E:$E,'Cutters Consumption Updates'!$D:$D,L$1,'Cutters Consumption Updates'!$B:$B,$B39)+ SUMIF('Cutters Consumption Updates'!$AS:$AS,$B39,'Cutters Consumption Updates'!AW:AW)</f>
        <v>0</v>
      </c>
      <c r="M39" s="116">
        <f>SUMIFS('Cutters Consumption Updates'!$F:$F,'Cutters Consumption Updates'!$D:$D,M$1,'Cutters Consumption Updates'!$B:$B,$B39)-SUMIFS('Cutters Consumption Updates'!$E:$E,'Cutters Consumption Updates'!$D:$D,$M$1,'Cutters Consumption Updates'!$B:$B,$B39)+SUMIFS('Cutters Consumption Updates'!$F:$F,'Cutters Consumption Updates'!$D:$D,"Retrofit",'Cutters Consumption Updates'!$B:$B,$B39)-SUMIFS('Cutters Consumption Updates'!$E:$E,'Cutters Consumption Updates'!$D:$D,"Retrofit",'Cutters Consumption Updates'!$B:$B,$B39)+ SUMIF('Cutters Consumption Updates'!$AS:$AS,$B39,'Cutters Consumption Updates'!AX:AX)</f>
        <v>21</v>
      </c>
      <c r="N39" s="10">
        <f t="shared" si="0"/>
        <v>21</v>
      </c>
      <c r="O39" s="701">
        <f ca="1">SUMIFS('Cutters Consumption Updates'!E:E,
        'Cutters Consumption Updates'!B:B, B39,
        'Cutters Consumption Updates'!A:A, "&gt;" &amp; TODAY()-182)</f>
        <v>0</v>
      </c>
      <c r="P39" s="701">
        <f ca="1">SUMIFS('Cutters Consumption Updates'!E:E,
        'Cutters Consumption Updates'!B:B, B39,
        'Cutters Consumption Updates'!A:A, "&gt;" &amp; TODAY()-91)</f>
        <v>0</v>
      </c>
      <c r="Q39" s="701">
        <f t="shared" ca="1" si="1"/>
        <v>0</v>
      </c>
      <c r="R39" s="703">
        <f t="shared" ca="1" si="2"/>
        <v>0</v>
      </c>
      <c r="S39" s="703" t="s">
        <v>29</v>
      </c>
      <c r="T39" s="24">
        <f>IFERROR(INDEX(Table5[],MATCH($B39,Table5[Component],0),2),0)</f>
        <v>0</v>
      </c>
      <c r="U39" s="24">
        <f>SUMIFS(Table7[Balance],Table7[Cutter Mat'#],$B39)</f>
        <v>0</v>
      </c>
      <c r="V39" s="24">
        <f t="shared" si="3"/>
        <v>21</v>
      </c>
      <c r="W39" s="119"/>
      <c r="X39" s="2"/>
      <c r="Z39" s="4">
        <f>IFERROR(INDEX(Table5[],MATCH($B39,Table5[Component],0),2),0)</f>
        <v>0</v>
      </c>
      <c r="AA39" s="4">
        <f>IFERROR(INDEX(Table5[],MATCH($B39,Table5[Component],0),1),0)</f>
        <v>0</v>
      </c>
      <c r="AB39" s="4" t="str">
        <f t="shared" si="4"/>
        <v/>
      </c>
      <c r="AC39" s="4" t="str">
        <f t="shared" si="5"/>
        <v/>
      </c>
      <c r="AE39" s="4">
        <f t="shared" si="6"/>
        <v>21</v>
      </c>
      <c r="AJ39" s="248" t="str">
        <f t="shared" si="7"/>
        <v/>
      </c>
      <c r="AK39" s="248" t="str">
        <f t="shared" si="8"/>
        <v/>
      </c>
      <c r="AL39">
        <f t="shared" si="9"/>
        <v>0</v>
      </c>
      <c r="AQ39">
        <f t="shared" si="11"/>
        <v>0</v>
      </c>
      <c r="AS39">
        <v>647467</v>
      </c>
      <c r="AT39">
        <f t="shared" si="10"/>
        <v>0</v>
      </c>
    </row>
    <row r="40" spans="1:46" ht="15.65" customHeight="1" x14ac:dyDescent="0.35">
      <c r="A40" s="2">
        <v>39</v>
      </c>
      <c r="B40" s="2">
        <v>770450</v>
      </c>
      <c r="C40" s="2" t="s">
        <v>42</v>
      </c>
      <c r="D40" s="5">
        <v>16</v>
      </c>
      <c r="E40" s="5" t="s">
        <v>53</v>
      </c>
      <c r="F40" s="5" t="s">
        <v>253</v>
      </c>
      <c r="G40" s="7" t="s">
        <v>68</v>
      </c>
      <c r="H40" s="6" t="s">
        <v>47</v>
      </c>
      <c r="I40" s="10">
        <f>SUMIFS('Cutters Consumption Updates'!$F:$F,'Cutters Consumption Updates'!$D:$D,I$1,'Cutters Consumption Updates'!$B:$B,$B40)-SUMIFS('Cutters Consumption Updates'!$E:$E,'Cutters Consumption Updates'!$D:$D,I$1,'Cutters Consumption Updates'!$B:$B,$B40)+ SUMIF('Cutters Consumption Updates'!$AS:$AS,$B40,'Cutters Consumption Updates'!AT:AT)</f>
        <v>0</v>
      </c>
      <c r="J40" s="10">
        <f>SUMIFS('Cutters Consumption Updates'!$F:$F,'Cutters Consumption Updates'!$D:$D,J$1,'Cutters Consumption Updates'!$B:$B,$B40)-SUMIFS('Cutters Consumption Updates'!$E:$E,'Cutters Consumption Updates'!$D:$D,J$1,'Cutters Consumption Updates'!$B:$B,$B40)+ SUMIF('Cutters Consumption Updates'!$AS:$AS,$B40,'Cutters Consumption Updates'!AU:AU)</f>
        <v>0</v>
      </c>
      <c r="K40" s="116">
        <f>SUMIFS('Cutters Consumption Updates'!$F:$F,'Cutters Consumption Updates'!$D:$D,K$1,'Cutters Consumption Updates'!$B:$B,$B40)-SUMIFS('Cutters Consumption Updates'!$E:$E,'Cutters Consumption Updates'!$D:$D,K$1,'Cutters Consumption Updates'!$B:$B,$B40)+ SUMIF('Cutters Consumption Updates'!$AS:$AS,$B40,'Cutters Consumption Updates'!AV:AV)</f>
        <v>0</v>
      </c>
      <c r="L40" s="738">
        <f>SUMIFS('Cutters Consumption Updates'!$F:$F,'Cutters Consumption Updates'!$D:$D,L$1,'Cutters Consumption Updates'!$B:$B,$B40)-SUMIFS('Cutters Consumption Updates'!$E:$E,'Cutters Consumption Updates'!$D:$D,L$1,'Cutters Consumption Updates'!$B:$B,$B40)+ SUMIF('Cutters Consumption Updates'!$AS:$AS,$B40,'Cutters Consumption Updates'!AW:AW)</f>
        <v>13</v>
      </c>
      <c r="M40" s="116">
        <f>SUMIFS('Cutters Consumption Updates'!$F:$F,'Cutters Consumption Updates'!$D:$D,M$1,'Cutters Consumption Updates'!$B:$B,$B40)-SUMIFS('Cutters Consumption Updates'!$E:$E,'Cutters Consumption Updates'!$D:$D,$M$1,'Cutters Consumption Updates'!$B:$B,$B40)+SUMIFS('Cutters Consumption Updates'!$F:$F,'Cutters Consumption Updates'!$D:$D,"Retrofit",'Cutters Consumption Updates'!$B:$B,$B40)-SUMIFS('Cutters Consumption Updates'!$E:$E,'Cutters Consumption Updates'!$D:$D,"Retrofit",'Cutters Consumption Updates'!$B:$B,$B40)+ SUMIF('Cutters Consumption Updates'!$AS:$AS,$B40,'Cutters Consumption Updates'!AX:AX)</f>
        <v>1</v>
      </c>
      <c r="N40" s="10">
        <f t="shared" si="0"/>
        <v>1</v>
      </c>
      <c r="O40" s="701">
        <f ca="1">SUMIFS('Cutters Consumption Updates'!E:E,
        'Cutters Consumption Updates'!B:B, B40,
        'Cutters Consumption Updates'!A:A, "&gt;" &amp; TODAY()-182)</f>
        <v>0</v>
      </c>
      <c r="P40" s="701">
        <f ca="1">SUMIFS('Cutters Consumption Updates'!E:E,
        'Cutters Consumption Updates'!B:B, B40,
        'Cutters Consumption Updates'!A:A, "&gt;" &amp; TODAY()-91)</f>
        <v>0</v>
      </c>
      <c r="Q40" s="701">
        <f t="shared" ca="1" si="1"/>
        <v>0</v>
      </c>
      <c r="R40" s="703">
        <f t="shared" ca="1" si="2"/>
        <v>0</v>
      </c>
      <c r="S40" s="703" t="s">
        <v>29</v>
      </c>
      <c r="T40" s="24">
        <f>IFERROR(INDEX(Table5[],MATCH($B40,Table5[Component],0),2),0)</f>
        <v>0</v>
      </c>
      <c r="U40" s="24">
        <f>SUMIFS(Table7[Balance],Table7[Cutter Mat'#],$B40)</f>
        <v>0</v>
      </c>
      <c r="V40" s="24">
        <f t="shared" si="3"/>
        <v>1</v>
      </c>
      <c r="W40" s="119"/>
      <c r="X40" s="2"/>
      <c r="Z40" s="4">
        <f>IFERROR(INDEX(Table5[],MATCH($B40,Table5[Component],0),2),0)</f>
        <v>0</v>
      </c>
      <c r="AA40" s="4">
        <f>IFERROR(INDEX(Table5[],MATCH($B40,Table5[Component],0),1),0)</f>
        <v>0</v>
      </c>
      <c r="AB40" s="4" t="str">
        <f t="shared" si="4"/>
        <v/>
      </c>
      <c r="AC40" s="4" t="str">
        <f t="shared" si="5"/>
        <v/>
      </c>
      <c r="AE40" s="4">
        <f t="shared" si="6"/>
        <v>1</v>
      </c>
      <c r="AJ40" s="248" t="str">
        <f t="shared" si="7"/>
        <v/>
      </c>
      <c r="AK40" s="248" t="str">
        <f t="shared" si="8"/>
        <v/>
      </c>
      <c r="AL40">
        <f t="shared" si="9"/>
        <v>0</v>
      </c>
      <c r="AQ40">
        <f t="shared" si="11"/>
        <v>0</v>
      </c>
      <c r="AS40">
        <v>649901</v>
      </c>
      <c r="AT40">
        <f t="shared" si="10"/>
        <v>0</v>
      </c>
    </row>
    <row r="41" spans="1:46" ht="15.65" customHeight="1" x14ac:dyDescent="0.35">
      <c r="A41" s="2">
        <v>40</v>
      </c>
      <c r="B41" s="2">
        <v>761246</v>
      </c>
      <c r="C41" s="2" t="s">
        <v>69</v>
      </c>
      <c r="D41" s="2">
        <v>16</v>
      </c>
      <c r="E41" s="2" t="s">
        <v>53</v>
      </c>
      <c r="F41" s="2" t="s">
        <v>253</v>
      </c>
      <c r="G41" s="6" t="s">
        <v>70</v>
      </c>
      <c r="H41" s="6" t="s">
        <v>47</v>
      </c>
      <c r="I41" s="10">
        <f>SUMIFS('Cutters Consumption Updates'!$F:$F,'Cutters Consumption Updates'!$D:$D,I$1,'Cutters Consumption Updates'!$B:$B,$B41)-SUMIFS('Cutters Consumption Updates'!$E:$E,'Cutters Consumption Updates'!$D:$D,I$1,'Cutters Consumption Updates'!$B:$B,$B41)+ SUMIF('Cutters Consumption Updates'!$AS:$AS,$B41,'Cutters Consumption Updates'!AT:AT)</f>
        <v>0</v>
      </c>
      <c r="J41" s="10">
        <f>SUMIFS('Cutters Consumption Updates'!$F:$F,'Cutters Consumption Updates'!$D:$D,J$1,'Cutters Consumption Updates'!$B:$B,$B41)-SUMIFS('Cutters Consumption Updates'!$E:$E,'Cutters Consumption Updates'!$D:$D,J$1,'Cutters Consumption Updates'!$B:$B,$B41)+ SUMIF('Cutters Consumption Updates'!$AS:$AS,$B41,'Cutters Consumption Updates'!AU:AU)</f>
        <v>0</v>
      </c>
      <c r="K41" s="116">
        <f>SUMIFS('Cutters Consumption Updates'!$F:$F,'Cutters Consumption Updates'!$D:$D,K$1,'Cutters Consumption Updates'!$B:$B,$B41)-SUMIFS('Cutters Consumption Updates'!$E:$E,'Cutters Consumption Updates'!$D:$D,K$1,'Cutters Consumption Updates'!$B:$B,$B41)+ SUMIF('Cutters Consumption Updates'!$AS:$AS,$B41,'Cutters Consumption Updates'!AV:AV)</f>
        <v>0</v>
      </c>
      <c r="L41" s="738">
        <f>SUMIFS('Cutters Consumption Updates'!$F:$F,'Cutters Consumption Updates'!$D:$D,L$1,'Cutters Consumption Updates'!$B:$B,$B41)-SUMIFS('Cutters Consumption Updates'!$E:$E,'Cutters Consumption Updates'!$D:$D,L$1,'Cutters Consumption Updates'!$B:$B,$B41)+ SUMIF('Cutters Consumption Updates'!$AS:$AS,$B41,'Cutters Consumption Updates'!AW:AW)</f>
        <v>0</v>
      </c>
      <c r="M41" s="116">
        <f>SUMIFS('Cutters Consumption Updates'!$F:$F,'Cutters Consumption Updates'!$D:$D,M$1,'Cutters Consumption Updates'!$B:$B,$B41)-SUMIFS('Cutters Consumption Updates'!$E:$E,'Cutters Consumption Updates'!$D:$D,$M$1,'Cutters Consumption Updates'!$B:$B,$B41)+SUMIFS('Cutters Consumption Updates'!$F:$F,'Cutters Consumption Updates'!$D:$D,"Retrofit",'Cutters Consumption Updates'!$B:$B,$B41)-SUMIFS('Cutters Consumption Updates'!$E:$E,'Cutters Consumption Updates'!$D:$D,"Retrofit",'Cutters Consumption Updates'!$B:$B,$B41)+ SUMIF('Cutters Consumption Updates'!$AS:$AS,$B41,'Cutters Consumption Updates'!AX:AX)</f>
        <v>91</v>
      </c>
      <c r="N41" s="10">
        <f t="shared" si="0"/>
        <v>91</v>
      </c>
      <c r="O41" s="701">
        <f ca="1">SUMIFS('Cutters Consumption Updates'!E:E,
        'Cutters Consumption Updates'!B:B, B41,
        'Cutters Consumption Updates'!A:A, "&gt;" &amp; TODAY()-182)</f>
        <v>1</v>
      </c>
      <c r="P41" s="701">
        <f ca="1">SUMIFS('Cutters Consumption Updates'!E:E,
        'Cutters Consumption Updates'!B:B, B41,
        'Cutters Consumption Updates'!A:A, "&gt;" &amp; TODAY()-91)</f>
        <v>0</v>
      </c>
      <c r="Q41" s="701">
        <f t="shared" ca="1" si="1"/>
        <v>1</v>
      </c>
      <c r="R41" s="703">
        <f t="shared" ca="1" si="2"/>
        <v>0</v>
      </c>
      <c r="S41" s="703" t="s">
        <v>29</v>
      </c>
      <c r="T41" s="24">
        <f>IFERROR(INDEX(Table5[],MATCH($B41,Table5[Component],0),2),0)</f>
        <v>0</v>
      </c>
      <c r="U41" s="24">
        <f>SUMIFS(Table7[Balance],Table7[Cutter Mat'#],$B41)</f>
        <v>0</v>
      </c>
      <c r="V41" s="24">
        <f t="shared" si="3"/>
        <v>91</v>
      </c>
      <c r="W41" s="119"/>
      <c r="X41" s="2"/>
      <c r="Z41" s="4">
        <f>IFERROR(INDEX(Table5[],MATCH($B41,Table5[Component],0),2),0)</f>
        <v>0</v>
      </c>
      <c r="AA41" s="4">
        <f>IFERROR(INDEX(Table5[],MATCH($B41,Table5[Component],0),1),0)</f>
        <v>0</v>
      </c>
      <c r="AB41" s="4" t="str">
        <f t="shared" si="4"/>
        <v/>
      </c>
      <c r="AC41" s="4" t="str">
        <f t="shared" si="5"/>
        <v/>
      </c>
      <c r="AE41" s="4">
        <f t="shared" si="6"/>
        <v>91</v>
      </c>
      <c r="AF41" s="9"/>
      <c r="AJ41" s="248" t="str">
        <f t="shared" si="7"/>
        <v/>
      </c>
      <c r="AK41" s="248" t="str">
        <f t="shared" si="8"/>
        <v/>
      </c>
      <c r="AL41">
        <f t="shared" si="9"/>
        <v>0</v>
      </c>
      <c r="AQ41">
        <f t="shared" si="11"/>
        <v>0</v>
      </c>
      <c r="AS41">
        <v>653400</v>
      </c>
      <c r="AT41">
        <f t="shared" si="10"/>
        <v>25</v>
      </c>
    </row>
    <row r="42" spans="1:46" ht="15.65" customHeight="1" x14ac:dyDescent="0.35">
      <c r="A42" s="2">
        <v>41</v>
      </c>
      <c r="B42" s="2">
        <v>745573</v>
      </c>
      <c r="C42" s="2" t="s">
        <v>26</v>
      </c>
      <c r="D42" s="2">
        <v>1913</v>
      </c>
      <c r="E42" s="2" t="s">
        <v>62</v>
      </c>
      <c r="F42" s="2" t="s">
        <v>248</v>
      </c>
      <c r="G42" s="6"/>
      <c r="H42" s="6" t="s">
        <v>49</v>
      </c>
      <c r="I42" s="10">
        <f>SUMIFS('Cutters Consumption Updates'!$F:$F,'Cutters Consumption Updates'!$D:$D,I$1,'Cutters Consumption Updates'!$B:$B,$B42)-SUMIFS('Cutters Consumption Updates'!$E:$E,'Cutters Consumption Updates'!$D:$D,I$1,'Cutters Consumption Updates'!$B:$B,$B42)+ SUMIF('Cutters Consumption Updates'!$AS:$AS,$B42,'Cutters Consumption Updates'!AT:AT)</f>
        <v>0</v>
      </c>
      <c r="J42" s="10">
        <f>SUMIFS('Cutters Consumption Updates'!$F:$F,'Cutters Consumption Updates'!$D:$D,J$1,'Cutters Consumption Updates'!$B:$B,$B42)-SUMIFS('Cutters Consumption Updates'!$E:$E,'Cutters Consumption Updates'!$D:$D,J$1,'Cutters Consumption Updates'!$B:$B,$B42)+ SUMIF('Cutters Consumption Updates'!$AS:$AS,$B42,'Cutters Consumption Updates'!AU:AU)</f>
        <v>0</v>
      </c>
      <c r="K42" s="116">
        <f>SUMIFS('Cutters Consumption Updates'!$F:$F,'Cutters Consumption Updates'!$D:$D,K$1,'Cutters Consumption Updates'!$B:$B,$B42)-SUMIFS('Cutters Consumption Updates'!$E:$E,'Cutters Consumption Updates'!$D:$D,K$1,'Cutters Consumption Updates'!$B:$B,$B42)+ SUMIF('Cutters Consumption Updates'!$AS:$AS,$B42,'Cutters Consumption Updates'!AV:AV)</f>
        <v>10</v>
      </c>
      <c r="L42" s="738">
        <f>SUMIFS('Cutters Consumption Updates'!$F:$F,'Cutters Consumption Updates'!$D:$D,L$1,'Cutters Consumption Updates'!$B:$B,$B42)-SUMIFS('Cutters Consumption Updates'!$E:$E,'Cutters Consumption Updates'!$D:$D,L$1,'Cutters Consumption Updates'!$B:$B,$B42)+ SUMIF('Cutters Consumption Updates'!$AS:$AS,$B42,'Cutters Consumption Updates'!AW:AW)</f>
        <v>0</v>
      </c>
      <c r="M42" s="116">
        <f>SUMIFS('Cutters Consumption Updates'!$F:$F,'Cutters Consumption Updates'!$D:$D,M$1,'Cutters Consumption Updates'!$B:$B,$B42)-SUMIFS('Cutters Consumption Updates'!$E:$E,'Cutters Consumption Updates'!$D:$D,$M$1,'Cutters Consumption Updates'!$B:$B,$B42)+SUMIFS('Cutters Consumption Updates'!$F:$F,'Cutters Consumption Updates'!$D:$D,"Retrofit",'Cutters Consumption Updates'!$B:$B,$B42)-SUMIFS('Cutters Consumption Updates'!$E:$E,'Cutters Consumption Updates'!$D:$D,"Retrofit",'Cutters Consumption Updates'!$B:$B,$B42)+ SUMIF('Cutters Consumption Updates'!$AS:$AS,$B42,'Cutters Consumption Updates'!AX:AX)</f>
        <v>27</v>
      </c>
      <c r="N42" s="10">
        <f t="shared" si="0"/>
        <v>27</v>
      </c>
      <c r="O42" s="701">
        <f ca="1">SUMIFS('Cutters Consumption Updates'!E:E,
        'Cutters Consumption Updates'!B:B, B42,
        'Cutters Consumption Updates'!A:A, "&gt;" &amp; TODAY()-182)</f>
        <v>0</v>
      </c>
      <c r="P42" s="701">
        <f ca="1">SUMIFS('Cutters Consumption Updates'!E:E,
        'Cutters Consumption Updates'!B:B, B42,
        'Cutters Consumption Updates'!A:A, "&gt;" &amp; TODAY()-91)</f>
        <v>0</v>
      </c>
      <c r="Q42" s="701">
        <f t="shared" ca="1" si="1"/>
        <v>0</v>
      </c>
      <c r="R42" s="703">
        <f t="shared" ca="1" si="2"/>
        <v>0</v>
      </c>
      <c r="S42" s="703" t="s">
        <v>29</v>
      </c>
      <c r="T42" s="24">
        <f>IFERROR(INDEX(Table5[],MATCH($B42,Table5[Component],0),2),0)</f>
        <v>0</v>
      </c>
      <c r="U42" s="24">
        <f>SUMIFS(Table7[Balance],Table7[Cutter Mat'#],$B42)</f>
        <v>0</v>
      </c>
      <c r="V42" s="24">
        <f t="shared" si="3"/>
        <v>27</v>
      </c>
      <c r="W42" s="119"/>
      <c r="X42" s="2"/>
      <c r="Z42" s="4">
        <f>IFERROR(INDEX(Table5[],MATCH($B42,Table5[Component],0),2),0)</f>
        <v>0</v>
      </c>
      <c r="AA42" s="4">
        <f>IFERROR(INDEX(Table5[],MATCH($B42,Table5[Component],0),1),0)</f>
        <v>0</v>
      </c>
      <c r="AB42" s="4" t="str">
        <f t="shared" si="4"/>
        <v/>
      </c>
      <c r="AC42" s="4" t="str">
        <f t="shared" si="5"/>
        <v/>
      </c>
      <c r="AE42" s="4">
        <f t="shared" si="6"/>
        <v>37</v>
      </c>
      <c r="AF42" s="9"/>
      <c r="AJ42" s="248" t="str">
        <f t="shared" si="7"/>
        <v/>
      </c>
      <c r="AK42" s="248" t="str">
        <f t="shared" si="8"/>
        <v/>
      </c>
      <c r="AL42">
        <f t="shared" si="9"/>
        <v>0</v>
      </c>
      <c r="AQ42">
        <f t="shared" si="11"/>
        <v>0</v>
      </c>
      <c r="AS42">
        <v>661065</v>
      </c>
      <c r="AT42">
        <f t="shared" si="10"/>
        <v>0</v>
      </c>
    </row>
    <row r="43" spans="1:46" ht="15.65" customHeight="1" x14ac:dyDescent="0.35">
      <c r="A43" s="2">
        <v>42</v>
      </c>
      <c r="B43" s="2">
        <v>418525</v>
      </c>
      <c r="C43" s="2" t="s">
        <v>65</v>
      </c>
      <c r="D43" s="2">
        <v>1308</v>
      </c>
      <c r="E43" s="2" t="s">
        <v>71</v>
      </c>
      <c r="F43" s="2"/>
      <c r="G43" s="6"/>
      <c r="H43" s="6" t="s">
        <v>47</v>
      </c>
      <c r="I43" s="10">
        <f>SUMIFS('Cutters Consumption Updates'!$F:$F,'Cutters Consumption Updates'!$D:$D,I$1,'Cutters Consumption Updates'!$B:$B,$B43)-SUMIFS('Cutters Consumption Updates'!$E:$E,'Cutters Consumption Updates'!$D:$D,I$1,'Cutters Consumption Updates'!$B:$B,$B43)+ SUMIF('Cutters Consumption Updates'!$AS:$AS,$B43,'Cutters Consumption Updates'!AT:AT)</f>
        <v>0</v>
      </c>
      <c r="J43" s="10">
        <f>SUMIFS('Cutters Consumption Updates'!$F:$F,'Cutters Consumption Updates'!$D:$D,J$1,'Cutters Consumption Updates'!$B:$B,$B43)-SUMIFS('Cutters Consumption Updates'!$E:$E,'Cutters Consumption Updates'!$D:$D,J$1,'Cutters Consumption Updates'!$B:$B,$B43)+ SUMIF('Cutters Consumption Updates'!$AS:$AS,$B43,'Cutters Consumption Updates'!AU:AU)</f>
        <v>0</v>
      </c>
      <c r="K43" s="116">
        <f>SUMIFS('Cutters Consumption Updates'!$F:$F,'Cutters Consumption Updates'!$D:$D,K$1,'Cutters Consumption Updates'!$B:$B,$B43)-SUMIFS('Cutters Consumption Updates'!$E:$E,'Cutters Consumption Updates'!$D:$D,K$1,'Cutters Consumption Updates'!$B:$B,$B43)+ SUMIF('Cutters Consumption Updates'!$AS:$AS,$B43,'Cutters Consumption Updates'!AV:AV)</f>
        <v>0</v>
      </c>
      <c r="L43" s="738">
        <f>SUMIFS('Cutters Consumption Updates'!$F:$F,'Cutters Consumption Updates'!$D:$D,L$1,'Cutters Consumption Updates'!$B:$B,$B43)-SUMIFS('Cutters Consumption Updates'!$E:$E,'Cutters Consumption Updates'!$D:$D,L$1,'Cutters Consumption Updates'!$B:$B,$B43)+ SUMIF('Cutters Consumption Updates'!$AS:$AS,$B43,'Cutters Consumption Updates'!AW:AW)</f>
        <v>0</v>
      </c>
      <c r="M43" s="116">
        <f>SUMIFS('Cutters Consumption Updates'!$F:$F,'Cutters Consumption Updates'!$D:$D,M$1,'Cutters Consumption Updates'!$B:$B,$B43)-SUMIFS('Cutters Consumption Updates'!$E:$E,'Cutters Consumption Updates'!$D:$D,$M$1,'Cutters Consumption Updates'!$B:$B,$B43)+SUMIFS('Cutters Consumption Updates'!$F:$F,'Cutters Consumption Updates'!$D:$D,"Retrofit",'Cutters Consumption Updates'!$B:$B,$B43)-SUMIFS('Cutters Consumption Updates'!$E:$E,'Cutters Consumption Updates'!$D:$D,"Retrofit",'Cutters Consumption Updates'!$B:$B,$B43)+ SUMIF('Cutters Consumption Updates'!$AS:$AS,$B43,'Cutters Consumption Updates'!AX:AX)</f>
        <v>163</v>
      </c>
      <c r="N43" s="10">
        <f t="shared" si="0"/>
        <v>163</v>
      </c>
      <c r="O43" s="701">
        <f ca="1">SUMIFS('Cutters Consumption Updates'!E:E,
        'Cutters Consumption Updates'!B:B, B43,
        'Cutters Consumption Updates'!A:A, "&gt;" &amp; TODAY()-182)</f>
        <v>933</v>
      </c>
      <c r="P43" s="701">
        <f ca="1">SUMIFS('Cutters Consumption Updates'!E:E,
        'Cutters Consumption Updates'!B:B, B43,
        'Cutters Consumption Updates'!A:A, "&gt;" &amp; TODAY()-91)</f>
        <v>477</v>
      </c>
      <c r="Q43" s="701">
        <f t="shared" ca="1" si="1"/>
        <v>311</v>
      </c>
      <c r="R43" s="703">
        <f t="shared" ca="1" si="2"/>
        <v>325</v>
      </c>
      <c r="S43" s="703" t="s">
        <v>29</v>
      </c>
      <c r="T43" s="24">
        <f>IFERROR(INDEX(Table5[],MATCH($B43,Table5[Component],0),2),0)</f>
        <v>715</v>
      </c>
      <c r="U43" s="24">
        <f>SUMIFS(Table7[Balance],Table7[Cutter Mat'#],$B43)</f>
        <v>150</v>
      </c>
      <c r="V43" s="24">
        <f t="shared" si="3"/>
        <v>-402</v>
      </c>
      <c r="W43" s="119"/>
      <c r="X43" s="2"/>
      <c r="Z43" s="4">
        <f>IFERROR(INDEX(Table5[],MATCH($B43,Table5[Component],0),2),0)</f>
        <v>715</v>
      </c>
      <c r="AA43" s="4">
        <f>IFERROR(INDEX(Table5[],MATCH($B43,Table5[Component],0),1),0)</f>
        <v>418525</v>
      </c>
      <c r="AB43" s="4">
        <f t="shared" si="4"/>
        <v>418525</v>
      </c>
      <c r="AC43" s="4" t="str">
        <f t="shared" si="5"/>
        <v/>
      </c>
      <c r="AE43" s="4">
        <f t="shared" si="6"/>
        <v>163</v>
      </c>
      <c r="AF43" s="9"/>
      <c r="AJ43" s="248" t="str">
        <f t="shared" si="7"/>
        <v/>
      </c>
      <c r="AK43" s="248" t="str">
        <f t="shared" si="8"/>
        <v/>
      </c>
      <c r="AL43">
        <f t="shared" si="9"/>
        <v>0</v>
      </c>
      <c r="AQ43">
        <f t="shared" si="11"/>
        <v>150</v>
      </c>
      <c r="AS43">
        <v>661066</v>
      </c>
      <c r="AT43">
        <f t="shared" si="10"/>
        <v>0</v>
      </c>
    </row>
    <row r="44" spans="1:46" ht="15.65" customHeight="1" x14ac:dyDescent="0.35">
      <c r="A44" s="2">
        <v>43</v>
      </c>
      <c r="B44" s="2">
        <v>717751</v>
      </c>
      <c r="C44" s="2" t="s">
        <v>26</v>
      </c>
      <c r="D44" s="2">
        <v>1308</v>
      </c>
      <c r="E44" s="2" t="s">
        <v>51</v>
      </c>
      <c r="F44" s="2" t="s">
        <v>253</v>
      </c>
      <c r="G44" s="6"/>
      <c r="H44" s="6" t="s">
        <v>47</v>
      </c>
      <c r="I44" s="10">
        <f>SUMIFS('Cutters Consumption Updates'!$F:$F,'Cutters Consumption Updates'!$D:$D,I$1,'Cutters Consumption Updates'!$B:$B,$B44)-SUMIFS('Cutters Consumption Updates'!$E:$E,'Cutters Consumption Updates'!$D:$D,I$1,'Cutters Consumption Updates'!$B:$B,$B44)+ SUMIF('Cutters Consumption Updates'!$AS:$AS,$B44,'Cutters Consumption Updates'!AT:AT)</f>
        <v>0</v>
      </c>
      <c r="J44" s="10">
        <f>SUMIFS('Cutters Consumption Updates'!$F:$F,'Cutters Consumption Updates'!$D:$D,J$1,'Cutters Consumption Updates'!$B:$B,$B44)-SUMIFS('Cutters Consumption Updates'!$E:$E,'Cutters Consumption Updates'!$D:$D,J$1,'Cutters Consumption Updates'!$B:$B,$B44)+ SUMIF('Cutters Consumption Updates'!$AS:$AS,$B44,'Cutters Consumption Updates'!AU:AU)</f>
        <v>0</v>
      </c>
      <c r="K44" s="116">
        <f>SUMIFS('Cutters Consumption Updates'!$F:$F,'Cutters Consumption Updates'!$D:$D,K$1,'Cutters Consumption Updates'!$B:$B,$B44)-SUMIFS('Cutters Consumption Updates'!$E:$E,'Cutters Consumption Updates'!$D:$D,K$1,'Cutters Consumption Updates'!$B:$B,$B44)+ SUMIF('Cutters Consumption Updates'!$AS:$AS,$B44,'Cutters Consumption Updates'!AV:AV)</f>
        <v>11</v>
      </c>
      <c r="L44" s="738">
        <f>SUMIFS('Cutters Consumption Updates'!$F:$F,'Cutters Consumption Updates'!$D:$D,L$1,'Cutters Consumption Updates'!$B:$B,$B44)-SUMIFS('Cutters Consumption Updates'!$E:$E,'Cutters Consumption Updates'!$D:$D,L$1,'Cutters Consumption Updates'!$B:$B,$B44)+ SUMIF('Cutters Consumption Updates'!$AS:$AS,$B44,'Cutters Consumption Updates'!AW:AW)</f>
        <v>0</v>
      </c>
      <c r="M44" s="116">
        <f>SUMIFS('Cutters Consumption Updates'!$F:$F,'Cutters Consumption Updates'!$D:$D,M$1,'Cutters Consumption Updates'!$B:$B,$B44)-SUMIFS('Cutters Consumption Updates'!$E:$E,'Cutters Consumption Updates'!$D:$D,$M$1,'Cutters Consumption Updates'!$B:$B,$B44)+SUMIFS('Cutters Consumption Updates'!$F:$F,'Cutters Consumption Updates'!$D:$D,"Retrofit",'Cutters Consumption Updates'!$B:$B,$B44)-SUMIFS('Cutters Consumption Updates'!$E:$E,'Cutters Consumption Updates'!$D:$D,"Retrofit",'Cutters Consumption Updates'!$B:$B,$B44)+ SUMIF('Cutters Consumption Updates'!$AS:$AS,$B44,'Cutters Consumption Updates'!AX:AX)</f>
        <v>449</v>
      </c>
      <c r="N44" s="10">
        <f t="shared" si="0"/>
        <v>449</v>
      </c>
      <c r="O44" s="701">
        <f ca="1">SUMIFS('Cutters Consumption Updates'!E:E,
        'Cutters Consumption Updates'!B:B, B44,
        'Cutters Consumption Updates'!A:A, "&gt;" &amp; TODAY()-182)</f>
        <v>28</v>
      </c>
      <c r="P44" s="701">
        <f ca="1">SUMIFS('Cutters Consumption Updates'!E:E,
        'Cutters Consumption Updates'!B:B, B44,
        'Cutters Consumption Updates'!A:A, "&gt;" &amp; TODAY()-91)</f>
        <v>12</v>
      </c>
      <c r="Q44" s="701">
        <f t="shared" ca="1" si="1"/>
        <v>10</v>
      </c>
      <c r="R44" s="703">
        <f t="shared" ca="1" si="2"/>
        <v>15</v>
      </c>
      <c r="S44" s="703" t="s">
        <v>29</v>
      </c>
      <c r="T44" s="24">
        <f>IFERROR(INDEX(Table5[],MATCH($B44,Table5[Component],0),2),0)</f>
        <v>248</v>
      </c>
      <c r="U44" s="24">
        <f>SUMIFS(Table7[Balance],Table7[Cutter Mat'#],$B44)</f>
        <v>0</v>
      </c>
      <c r="V44" s="24">
        <f t="shared" si="3"/>
        <v>201</v>
      </c>
      <c r="W44" s="119"/>
      <c r="X44" s="2"/>
      <c r="Z44" s="4">
        <f>IFERROR(INDEX(Table5[],MATCH($B44,Table5[Component],0),2),0)</f>
        <v>248</v>
      </c>
      <c r="AA44" s="4">
        <f>IFERROR(INDEX(Table5[],MATCH($B44,Table5[Component],0),1),0)</f>
        <v>717751</v>
      </c>
      <c r="AB44" s="4">
        <f t="shared" si="4"/>
        <v>717751</v>
      </c>
      <c r="AC44" s="4" t="str">
        <f t="shared" si="5"/>
        <v/>
      </c>
      <c r="AE44" s="4">
        <f t="shared" si="6"/>
        <v>460</v>
      </c>
      <c r="AF44" s="9"/>
      <c r="AJ44" s="248" t="str">
        <f t="shared" si="7"/>
        <v/>
      </c>
      <c r="AK44" s="248" t="str">
        <f t="shared" si="8"/>
        <v/>
      </c>
      <c r="AL44">
        <f t="shared" si="9"/>
        <v>0</v>
      </c>
      <c r="AQ44">
        <f t="shared" si="11"/>
        <v>0</v>
      </c>
      <c r="AS44">
        <v>703670</v>
      </c>
      <c r="AT44">
        <f t="shared" si="10"/>
        <v>0</v>
      </c>
    </row>
    <row r="45" spans="1:46" ht="15.65" customHeight="1" x14ac:dyDescent="0.35">
      <c r="A45" s="2">
        <v>44</v>
      </c>
      <c r="B45" s="2">
        <v>729435</v>
      </c>
      <c r="C45" s="2" t="s">
        <v>26</v>
      </c>
      <c r="D45" s="2">
        <v>1313</v>
      </c>
      <c r="E45" s="2" t="s">
        <v>62</v>
      </c>
      <c r="F45" s="2" t="s">
        <v>248</v>
      </c>
      <c r="G45" s="6"/>
      <c r="H45" s="6" t="s">
        <v>49</v>
      </c>
      <c r="I45" s="10">
        <f>SUMIFS('Cutters Consumption Updates'!$F:$F,'Cutters Consumption Updates'!$D:$D,I$1,'Cutters Consumption Updates'!$B:$B,$B45)-SUMIFS('Cutters Consumption Updates'!$E:$E,'Cutters Consumption Updates'!$D:$D,I$1,'Cutters Consumption Updates'!$B:$B,$B45)+ SUMIF('Cutters Consumption Updates'!$AS:$AS,$B45,'Cutters Consumption Updates'!AT:AT)</f>
        <v>0</v>
      </c>
      <c r="J45" s="10">
        <f>SUMIFS('Cutters Consumption Updates'!$F:$F,'Cutters Consumption Updates'!$D:$D,J$1,'Cutters Consumption Updates'!$B:$B,$B45)-SUMIFS('Cutters Consumption Updates'!$E:$E,'Cutters Consumption Updates'!$D:$D,J$1,'Cutters Consumption Updates'!$B:$B,$B45)+ SUMIF('Cutters Consumption Updates'!$AS:$AS,$B45,'Cutters Consumption Updates'!AU:AU)</f>
        <v>0</v>
      </c>
      <c r="K45" s="116">
        <f>SUMIFS('Cutters Consumption Updates'!$F:$F,'Cutters Consumption Updates'!$D:$D,K$1,'Cutters Consumption Updates'!$B:$B,$B45)-SUMIFS('Cutters Consumption Updates'!$E:$E,'Cutters Consumption Updates'!$D:$D,K$1,'Cutters Consumption Updates'!$B:$B,$B45)+ SUMIF('Cutters Consumption Updates'!$AS:$AS,$B45,'Cutters Consumption Updates'!AV:AV)</f>
        <v>0</v>
      </c>
      <c r="L45" s="738">
        <f>SUMIFS('Cutters Consumption Updates'!$F:$F,'Cutters Consumption Updates'!$D:$D,L$1,'Cutters Consumption Updates'!$B:$B,$B45)-SUMIFS('Cutters Consumption Updates'!$E:$E,'Cutters Consumption Updates'!$D:$D,L$1,'Cutters Consumption Updates'!$B:$B,$B45)+ SUMIF('Cutters Consumption Updates'!$AS:$AS,$B45,'Cutters Consumption Updates'!AW:AW)</f>
        <v>0</v>
      </c>
      <c r="M45" s="116">
        <f>SUMIFS('Cutters Consumption Updates'!$F:$F,'Cutters Consumption Updates'!$D:$D,M$1,'Cutters Consumption Updates'!$B:$B,$B45)-SUMIFS('Cutters Consumption Updates'!$E:$E,'Cutters Consumption Updates'!$D:$D,$M$1,'Cutters Consumption Updates'!$B:$B,$B45)+SUMIFS('Cutters Consumption Updates'!$F:$F,'Cutters Consumption Updates'!$D:$D,"Retrofit",'Cutters Consumption Updates'!$B:$B,$B45)-SUMIFS('Cutters Consumption Updates'!$E:$E,'Cutters Consumption Updates'!$D:$D,"Retrofit",'Cutters Consumption Updates'!$B:$B,$B45)+ SUMIF('Cutters Consumption Updates'!$AS:$AS,$B45,'Cutters Consumption Updates'!AX:AX)</f>
        <v>0</v>
      </c>
      <c r="N45" s="10">
        <f t="shared" si="0"/>
        <v>0</v>
      </c>
      <c r="O45" s="701">
        <f ca="1">SUMIFS('Cutters Consumption Updates'!E:E,
        'Cutters Consumption Updates'!B:B, B45,
        'Cutters Consumption Updates'!A:A, "&gt;" &amp; TODAY()-182)</f>
        <v>0</v>
      </c>
      <c r="P45" s="701">
        <f ca="1">SUMIFS('Cutters Consumption Updates'!E:E,
        'Cutters Consumption Updates'!B:B, B45,
        'Cutters Consumption Updates'!A:A, "&gt;" &amp; TODAY()-91)</f>
        <v>0</v>
      </c>
      <c r="Q45" s="701">
        <f t="shared" ca="1" si="1"/>
        <v>0</v>
      </c>
      <c r="R45" s="703">
        <f t="shared" ca="1" si="2"/>
        <v>0</v>
      </c>
      <c r="S45" s="703" t="s">
        <v>29</v>
      </c>
      <c r="T45" s="24">
        <f>IFERROR(INDEX(Table5[],MATCH($B45,Table5[Component],0),2),0)</f>
        <v>0</v>
      </c>
      <c r="U45" s="24">
        <f>SUMIFS(Table7[Balance],Table7[Cutter Mat'#],$B45)</f>
        <v>0</v>
      </c>
      <c r="V45" s="24">
        <f t="shared" si="3"/>
        <v>0</v>
      </c>
      <c r="W45" s="119"/>
      <c r="X45" s="2"/>
      <c r="Z45" s="4">
        <f>IFERROR(INDEX(Table5[],MATCH($B45,Table5[Component],0),2),0)</f>
        <v>0</v>
      </c>
      <c r="AA45" s="4">
        <f>IFERROR(INDEX(Table5[],MATCH($B45,Table5[Component],0),1),0)</f>
        <v>0</v>
      </c>
      <c r="AB45" s="4" t="str">
        <f t="shared" si="4"/>
        <v/>
      </c>
      <c r="AC45" s="4" t="str">
        <f t="shared" si="5"/>
        <v/>
      </c>
      <c r="AE45" s="4">
        <f t="shared" si="6"/>
        <v>0</v>
      </c>
      <c r="AF45" s="9"/>
      <c r="AJ45" s="248" t="str">
        <f t="shared" si="7"/>
        <v/>
      </c>
      <c r="AK45" s="248" t="str">
        <f t="shared" si="8"/>
        <v/>
      </c>
      <c r="AL45">
        <f t="shared" si="9"/>
        <v>0</v>
      </c>
      <c r="AQ45">
        <f t="shared" si="11"/>
        <v>0</v>
      </c>
      <c r="AS45">
        <v>703671</v>
      </c>
      <c r="AT45">
        <f t="shared" si="10"/>
        <v>0</v>
      </c>
    </row>
    <row r="46" spans="1:46" ht="15.65" customHeight="1" x14ac:dyDescent="0.35">
      <c r="A46" s="2">
        <v>45</v>
      </c>
      <c r="B46" s="2">
        <v>729689</v>
      </c>
      <c r="C46" s="2" t="s">
        <v>26</v>
      </c>
      <c r="D46" s="2">
        <v>1313</v>
      </c>
      <c r="E46" s="2" t="s">
        <v>62</v>
      </c>
      <c r="F46" s="2" t="s">
        <v>253</v>
      </c>
      <c r="G46" s="6"/>
      <c r="H46" s="6" t="s">
        <v>49</v>
      </c>
      <c r="I46" s="10">
        <f>SUMIFS('Cutters Consumption Updates'!$F:$F,'Cutters Consumption Updates'!$D:$D,I$1,'Cutters Consumption Updates'!$B:$B,$B46)-SUMIFS('Cutters Consumption Updates'!$E:$E,'Cutters Consumption Updates'!$D:$D,I$1,'Cutters Consumption Updates'!$B:$B,$B46)+ SUMIF('Cutters Consumption Updates'!$AS:$AS,$B46,'Cutters Consumption Updates'!AT:AT)</f>
        <v>0</v>
      </c>
      <c r="J46" s="10">
        <f>SUMIFS('Cutters Consumption Updates'!$F:$F,'Cutters Consumption Updates'!$D:$D,J$1,'Cutters Consumption Updates'!$B:$B,$B46)-SUMIFS('Cutters Consumption Updates'!$E:$E,'Cutters Consumption Updates'!$D:$D,J$1,'Cutters Consumption Updates'!$B:$B,$B46)+ SUMIF('Cutters Consumption Updates'!$AS:$AS,$B46,'Cutters Consumption Updates'!AU:AU)</f>
        <v>39</v>
      </c>
      <c r="K46" s="116">
        <f>SUMIFS('Cutters Consumption Updates'!$F:$F,'Cutters Consumption Updates'!$D:$D,K$1,'Cutters Consumption Updates'!$B:$B,$B46)-SUMIFS('Cutters Consumption Updates'!$E:$E,'Cutters Consumption Updates'!$D:$D,K$1,'Cutters Consumption Updates'!$B:$B,$B46)+ SUMIF('Cutters Consumption Updates'!$AS:$AS,$B46,'Cutters Consumption Updates'!AV:AV)</f>
        <v>0</v>
      </c>
      <c r="L46" s="738">
        <f>SUMIFS('Cutters Consumption Updates'!$F:$F,'Cutters Consumption Updates'!$D:$D,L$1,'Cutters Consumption Updates'!$B:$B,$B46)-SUMIFS('Cutters Consumption Updates'!$E:$E,'Cutters Consumption Updates'!$D:$D,L$1,'Cutters Consumption Updates'!$B:$B,$B46)+ SUMIF('Cutters Consumption Updates'!$AS:$AS,$B46,'Cutters Consumption Updates'!AW:AW)</f>
        <v>0</v>
      </c>
      <c r="M46" s="116">
        <f>SUMIFS('Cutters Consumption Updates'!$F:$F,'Cutters Consumption Updates'!$D:$D,M$1,'Cutters Consumption Updates'!$B:$B,$B46)-SUMIFS('Cutters Consumption Updates'!$E:$E,'Cutters Consumption Updates'!$D:$D,$M$1,'Cutters Consumption Updates'!$B:$B,$B46)+SUMIFS('Cutters Consumption Updates'!$F:$F,'Cutters Consumption Updates'!$D:$D,"Retrofit",'Cutters Consumption Updates'!$B:$B,$B46)-SUMIFS('Cutters Consumption Updates'!$E:$E,'Cutters Consumption Updates'!$D:$D,"Retrofit",'Cutters Consumption Updates'!$B:$B,$B46)+ SUMIF('Cutters Consumption Updates'!$AS:$AS,$B46,'Cutters Consumption Updates'!AX:AX)</f>
        <v>0</v>
      </c>
      <c r="N46" s="10">
        <f t="shared" si="0"/>
        <v>0</v>
      </c>
      <c r="O46" s="701">
        <f ca="1">SUMIFS('Cutters Consumption Updates'!E:E,
        'Cutters Consumption Updates'!B:B, B46,
        'Cutters Consumption Updates'!A:A, "&gt;" &amp; TODAY()-182)</f>
        <v>0</v>
      </c>
      <c r="P46" s="701">
        <f ca="1">SUMIFS('Cutters Consumption Updates'!E:E,
        'Cutters Consumption Updates'!B:B, B46,
        'Cutters Consumption Updates'!A:A, "&gt;" &amp; TODAY()-91)</f>
        <v>0</v>
      </c>
      <c r="Q46" s="701">
        <f t="shared" ca="1" si="1"/>
        <v>0</v>
      </c>
      <c r="R46" s="703">
        <f t="shared" ca="1" si="2"/>
        <v>0</v>
      </c>
      <c r="S46" s="703" t="s">
        <v>29</v>
      </c>
      <c r="T46" s="24">
        <f>IFERROR(INDEX(Table5[],MATCH($B46,Table5[Component],0),2),0)</f>
        <v>0</v>
      </c>
      <c r="U46" s="24">
        <f>SUMIFS(Table7[Balance],Table7[Cutter Mat'#],$B46)</f>
        <v>0</v>
      </c>
      <c r="V46" s="24">
        <f t="shared" si="3"/>
        <v>0</v>
      </c>
      <c r="W46" s="119"/>
      <c r="X46" s="2"/>
      <c r="Z46" s="4">
        <f>IFERROR(INDEX(Table5[],MATCH($B46,Table5[Component],0),2),0)</f>
        <v>0</v>
      </c>
      <c r="AA46" s="4">
        <f>IFERROR(INDEX(Table5[],MATCH($B46,Table5[Component],0),1),0)</f>
        <v>0</v>
      </c>
      <c r="AB46" s="4" t="str">
        <f t="shared" si="4"/>
        <v/>
      </c>
      <c r="AC46" s="4" t="str">
        <f t="shared" si="5"/>
        <v/>
      </c>
      <c r="AE46" s="4">
        <f t="shared" si="6"/>
        <v>39</v>
      </c>
      <c r="AF46" s="9"/>
      <c r="AJ46" s="248" t="str">
        <f t="shared" si="7"/>
        <v/>
      </c>
      <c r="AK46" s="248" t="str">
        <f t="shared" si="8"/>
        <v/>
      </c>
      <c r="AL46">
        <f t="shared" si="9"/>
        <v>0</v>
      </c>
      <c r="AQ46">
        <f t="shared" si="11"/>
        <v>0</v>
      </c>
      <c r="AS46">
        <v>708305</v>
      </c>
      <c r="AT46">
        <f t="shared" si="10"/>
        <v>0</v>
      </c>
    </row>
    <row r="47" spans="1:46" ht="15.65" customHeight="1" x14ac:dyDescent="0.35">
      <c r="A47" s="2">
        <v>46</v>
      </c>
      <c r="B47" s="2">
        <v>742473</v>
      </c>
      <c r="C47" s="2" t="s">
        <v>26</v>
      </c>
      <c r="D47" s="2">
        <v>1308</v>
      </c>
      <c r="E47" s="2" t="s">
        <v>72</v>
      </c>
      <c r="F47" s="2" t="s">
        <v>248</v>
      </c>
      <c r="G47" s="6"/>
      <c r="H47" s="6" t="s">
        <v>47</v>
      </c>
      <c r="I47" s="10">
        <f>SUMIFS('Cutters Consumption Updates'!$F:$F,'Cutters Consumption Updates'!$D:$D,I$1,'Cutters Consumption Updates'!$B:$B,$B47)-SUMIFS('Cutters Consumption Updates'!$E:$E,'Cutters Consumption Updates'!$D:$D,I$1,'Cutters Consumption Updates'!$B:$B,$B47)+ SUMIF('Cutters Consumption Updates'!$AS:$AS,$B47,'Cutters Consumption Updates'!AT:AT)</f>
        <v>0</v>
      </c>
      <c r="J47" s="10">
        <f>SUMIFS('Cutters Consumption Updates'!$F:$F,'Cutters Consumption Updates'!$D:$D,J$1,'Cutters Consumption Updates'!$B:$B,$B47)-SUMIFS('Cutters Consumption Updates'!$E:$E,'Cutters Consumption Updates'!$D:$D,J$1,'Cutters Consumption Updates'!$B:$B,$B47)+ SUMIF('Cutters Consumption Updates'!$AS:$AS,$B47,'Cutters Consumption Updates'!AU:AU)</f>
        <v>0</v>
      </c>
      <c r="K47" s="116">
        <f>SUMIFS('Cutters Consumption Updates'!$F:$F,'Cutters Consumption Updates'!$D:$D,K$1,'Cutters Consumption Updates'!$B:$B,$B47)-SUMIFS('Cutters Consumption Updates'!$E:$E,'Cutters Consumption Updates'!$D:$D,K$1,'Cutters Consumption Updates'!$B:$B,$B47)+ SUMIF('Cutters Consumption Updates'!$AS:$AS,$B47,'Cutters Consumption Updates'!AV:AV)</f>
        <v>0</v>
      </c>
      <c r="L47" s="738">
        <f>SUMIFS('Cutters Consumption Updates'!$F:$F,'Cutters Consumption Updates'!$D:$D,L$1,'Cutters Consumption Updates'!$B:$B,$B47)-SUMIFS('Cutters Consumption Updates'!$E:$E,'Cutters Consumption Updates'!$D:$D,L$1,'Cutters Consumption Updates'!$B:$B,$B47)+ SUMIF('Cutters Consumption Updates'!$AS:$AS,$B47,'Cutters Consumption Updates'!AW:AW)</f>
        <v>0</v>
      </c>
      <c r="M47" s="116">
        <f>SUMIFS('Cutters Consumption Updates'!$F:$F,'Cutters Consumption Updates'!$D:$D,M$1,'Cutters Consumption Updates'!$B:$B,$B47)-SUMIFS('Cutters Consumption Updates'!$E:$E,'Cutters Consumption Updates'!$D:$D,$M$1,'Cutters Consumption Updates'!$B:$B,$B47)+SUMIFS('Cutters Consumption Updates'!$F:$F,'Cutters Consumption Updates'!$D:$D,"Retrofit",'Cutters Consumption Updates'!$B:$B,$B47)-SUMIFS('Cutters Consumption Updates'!$E:$E,'Cutters Consumption Updates'!$D:$D,"Retrofit",'Cutters Consumption Updates'!$B:$B,$B47)+ SUMIF('Cutters Consumption Updates'!$AS:$AS,$B47,'Cutters Consumption Updates'!AX:AX)</f>
        <v>11</v>
      </c>
      <c r="N47" s="10">
        <f t="shared" si="0"/>
        <v>11</v>
      </c>
      <c r="O47" s="701">
        <f ca="1">SUMIFS('Cutters Consumption Updates'!E:E,
        'Cutters Consumption Updates'!B:B, B47,
        'Cutters Consumption Updates'!A:A, "&gt;" &amp; TODAY()-182)</f>
        <v>0</v>
      </c>
      <c r="P47" s="701">
        <f ca="1">SUMIFS('Cutters Consumption Updates'!E:E,
        'Cutters Consumption Updates'!B:B, B47,
        'Cutters Consumption Updates'!A:A, "&gt;" &amp; TODAY()-91)</f>
        <v>0</v>
      </c>
      <c r="Q47" s="701">
        <f t="shared" ca="1" si="1"/>
        <v>0</v>
      </c>
      <c r="R47" s="703">
        <f t="shared" ca="1" si="2"/>
        <v>0</v>
      </c>
      <c r="S47" s="703" t="s">
        <v>29</v>
      </c>
      <c r="T47" s="24">
        <f>IFERROR(INDEX(Table5[],MATCH($B47,Table5[Component],0),2),0)</f>
        <v>0</v>
      </c>
      <c r="U47" s="24">
        <f>SUMIFS(Table7[Balance],Table7[Cutter Mat'#],$B47)</f>
        <v>0</v>
      </c>
      <c r="V47" s="24">
        <f t="shared" si="3"/>
        <v>11</v>
      </c>
      <c r="W47" s="119"/>
      <c r="X47" s="2"/>
      <c r="Z47" s="4">
        <f>IFERROR(INDEX(Table5[],MATCH($B47,Table5[Component],0),2),0)</f>
        <v>0</v>
      </c>
      <c r="AA47" s="4">
        <f>IFERROR(INDEX(Table5[],MATCH($B47,Table5[Component],0),1),0)</f>
        <v>0</v>
      </c>
      <c r="AB47" s="4" t="str">
        <f t="shared" si="4"/>
        <v/>
      </c>
      <c r="AC47" s="4" t="str">
        <f t="shared" si="5"/>
        <v/>
      </c>
      <c r="AE47" s="4">
        <f t="shared" si="6"/>
        <v>11</v>
      </c>
      <c r="AF47" s="9"/>
      <c r="AJ47" s="248" t="str">
        <f t="shared" si="7"/>
        <v/>
      </c>
      <c r="AK47" s="248" t="str">
        <f t="shared" si="8"/>
        <v/>
      </c>
      <c r="AL47">
        <f t="shared" si="9"/>
        <v>0</v>
      </c>
      <c r="AQ47">
        <f t="shared" si="11"/>
        <v>0</v>
      </c>
      <c r="AS47">
        <v>708306</v>
      </c>
      <c r="AT47">
        <f t="shared" si="10"/>
        <v>0</v>
      </c>
    </row>
    <row r="48" spans="1:46" ht="15.65" customHeight="1" x14ac:dyDescent="0.35">
      <c r="A48" s="2">
        <v>47</v>
      </c>
      <c r="B48" s="2">
        <v>742617</v>
      </c>
      <c r="C48" s="2" t="s">
        <v>26</v>
      </c>
      <c r="D48" s="2">
        <v>1308</v>
      </c>
      <c r="E48" s="2" t="s">
        <v>72</v>
      </c>
      <c r="F48" s="2" t="s">
        <v>253</v>
      </c>
      <c r="G48" s="6"/>
      <c r="H48" s="6" t="s">
        <v>47</v>
      </c>
      <c r="I48" s="10">
        <f>SUMIFS('Cutters Consumption Updates'!$F:$F,'Cutters Consumption Updates'!$D:$D,I$1,'Cutters Consumption Updates'!$B:$B,$B48)-SUMIFS('Cutters Consumption Updates'!$E:$E,'Cutters Consumption Updates'!$D:$D,I$1,'Cutters Consumption Updates'!$B:$B,$B48)+ SUMIF('Cutters Consumption Updates'!$AS:$AS,$B48,'Cutters Consumption Updates'!AT:AT)</f>
        <v>0</v>
      </c>
      <c r="J48" s="10">
        <f>SUMIFS('Cutters Consumption Updates'!$F:$F,'Cutters Consumption Updates'!$D:$D,J$1,'Cutters Consumption Updates'!$B:$B,$B48)-SUMIFS('Cutters Consumption Updates'!$E:$E,'Cutters Consumption Updates'!$D:$D,J$1,'Cutters Consumption Updates'!$B:$B,$B48)+ SUMIF('Cutters Consumption Updates'!$AS:$AS,$B48,'Cutters Consumption Updates'!AU:AU)</f>
        <v>0</v>
      </c>
      <c r="K48" s="116">
        <f>SUMIFS('Cutters Consumption Updates'!$F:$F,'Cutters Consumption Updates'!$D:$D,K$1,'Cutters Consumption Updates'!$B:$B,$B48)-SUMIFS('Cutters Consumption Updates'!$E:$E,'Cutters Consumption Updates'!$D:$D,K$1,'Cutters Consumption Updates'!$B:$B,$B48)+ SUMIF('Cutters Consumption Updates'!$AS:$AS,$B48,'Cutters Consumption Updates'!AV:AV)</f>
        <v>0</v>
      </c>
      <c r="L48" s="738">
        <f>SUMIFS('Cutters Consumption Updates'!$F:$F,'Cutters Consumption Updates'!$D:$D,L$1,'Cutters Consumption Updates'!$B:$B,$B48)-SUMIFS('Cutters Consumption Updates'!$E:$E,'Cutters Consumption Updates'!$D:$D,L$1,'Cutters Consumption Updates'!$B:$B,$B48)+ SUMIF('Cutters Consumption Updates'!$AS:$AS,$B48,'Cutters Consumption Updates'!AW:AW)</f>
        <v>0</v>
      </c>
      <c r="M48" s="116">
        <f>SUMIFS('Cutters Consumption Updates'!$F:$F,'Cutters Consumption Updates'!$D:$D,M$1,'Cutters Consumption Updates'!$B:$B,$B48)-SUMIFS('Cutters Consumption Updates'!$E:$E,'Cutters Consumption Updates'!$D:$D,$M$1,'Cutters Consumption Updates'!$B:$B,$B48)+SUMIFS('Cutters Consumption Updates'!$F:$F,'Cutters Consumption Updates'!$D:$D,"Retrofit",'Cutters Consumption Updates'!$B:$B,$B48)-SUMIFS('Cutters Consumption Updates'!$E:$E,'Cutters Consumption Updates'!$D:$D,"Retrofit",'Cutters Consumption Updates'!$B:$B,$B48)+ SUMIF('Cutters Consumption Updates'!$AS:$AS,$B48,'Cutters Consumption Updates'!AX:AX)</f>
        <v>2</v>
      </c>
      <c r="N48" s="10">
        <f t="shared" si="0"/>
        <v>2</v>
      </c>
      <c r="O48" s="701">
        <f ca="1">SUMIFS('Cutters Consumption Updates'!E:E,
        'Cutters Consumption Updates'!B:B, B48,
        'Cutters Consumption Updates'!A:A, "&gt;" &amp; TODAY()-182)</f>
        <v>0</v>
      </c>
      <c r="P48" s="701">
        <f ca="1">SUMIFS('Cutters Consumption Updates'!E:E,
        'Cutters Consumption Updates'!B:B, B48,
        'Cutters Consumption Updates'!A:A, "&gt;" &amp; TODAY()-91)</f>
        <v>0</v>
      </c>
      <c r="Q48" s="701">
        <f t="shared" ca="1" si="1"/>
        <v>0</v>
      </c>
      <c r="R48" s="703">
        <f t="shared" ca="1" si="2"/>
        <v>0</v>
      </c>
      <c r="S48" s="703" t="s">
        <v>29</v>
      </c>
      <c r="T48" s="24">
        <f>IFERROR(INDEX(Table5[],MATCH($B48,Table5[Component],0),2),0)</f>
        <v>0</v>
      </c>
      <c r="U48" s="24">
        <f>SUMIFS(Table7[Balance],Table7[Cutter Mat'#],$B48)</f>
        <v>0</v>
      </c>
      <c r="V48" s="24">
        <f t="shared" si="3"/>
        <v>2</v>
      </c>
      <c r="W48" s="119"/>
      <c r="X48" s="2"/>
      <c r="Z48" s="4">
        <f>IFERROR(INDEX(Table5[],MATCH($B48,Table5[Component],0),2),0)</f>
        <v>0</v>
      </c>
      <c r="AA48" s="4">
        <f>IFERROR(INDEX(Table5[],MATCH($B48,Table5[Component],0),1),0)</f>
        <v>0</v>
      </c>
      <c r="AB48" s="4" t="str">
        <f t="shared" si="4"/>
        <v/>
      </c>
      <c r="AC48" s="4" t="str">
        <f t="shared" si="5"/>
        <v/>
      </c>
      <c r="AE48" s="4">
        <f t="shared" si="6"/>
        <v>2</v>
      </c>
      <c r="AF48" s="9"/>
      <c r="AJ48" s="248" t="str">
        <f t="shared" si="7"/>
        <v/>
      </c>
      <c r="AK48" s="248" t="str">
        <f t="shared" si="8"/>
        <v/>
      </c>
      <c r="AL48">
        <f t="shared" si="9"/>
        <v>0</v>
      </c>
      <c r="AQ48">
        <f t="shared" si="11"/>
        <v>0</v>
      </c>
      <c r="AS48">
        <v>717747</v>
      </c>
      <c r="AT48">
        <f t="shared" si="10"/>
        <v>0</v>
      </c>
    </row>
    <row r="49" spans="1:46" ht="15.65" customHeight="1" x14ac:dyDescent="0.35">
      <c r="A49" s="2">
        <v>48</v>
      </c>
      <c r="B49" s="2">
        <v>882800</v>
      </c>
      <c r="C49" s="2" t="s">
        <v>26</v>
      </c>
      <c r="D49" s="2" t="s">
        <v>73</v>
      </c>
      <c r="E49" s="2" t="s">
        <v>53</v>
      </c>
      <c r="F49" s="2" t="s">
        <v>253</v>
      </c>
      <c r="G49" s="6"/>
      <c r="H49" s="6" t="s">
        <v>47</v>
      </c>
      <c r="I49" s="10">
        <f>SUMIFS('Cutters Consumption Updates'!$F:$F,'Cutters Consumption Updates'!$D:$D,I$1,'Cutters Consumption Updates'!$B:$B,$B49)-SUMIFS('Cutters Consumption Updates'!$E:$E,'Cutters Consumption Updates'!$D:$D,I$1,'Cutters Consumption Updates'!$B:$B,$B49)+ SUMIF('Cutters Consumption Updates'!$AS:$AS,$B49,'Cutters Consumption Updates'!AT:AT)</f>
        <v>0</v>
      </c>
      <c r="J49" s="10">
        <f>SUMIFS('Cutters Consumption Updates'!$F:$F,'Cutters Consumption Updates'!$D:$D,J$1,'Cutters Consumption Updates'!$B:$B,$B49)-SUMIFS('Cutters Consumption Updates'!$E:$E,'Cutters Consumption Updates'!$D:$D,J$1,'Cutters Consumption Updates'!$B:$B,$B49)+ SUMIF('Cutters Consumption Updates'!$AS:$AS,$B49,'Cutters Consumption Updates'!AU:AU)</f>
        <v>0</v>
      </c>
      <c r="K49" s="116">
        <f>SUMIFS('Cutters Consumption Updates'!$F:$F,'Cutters Consumption Updates'!$D:$D,K$1,'Cutters Consumption Updates'!$B:$B,$B49)-SUMIFS('Cutters Consumption Updates'!$E:$E,'Cutters Consumption Updates'!$D:$D,K$1,'Cutters Consumption Updates'!$B:$B,$B49)+ SUMIF('Cutters Consumption Updates'!$AS:$AS,$B49,'Cutters Consumption Updates'!AV:AV)</f>
        <v>0</v>
      </c>
      <c r="L49" s="738">
        <f>SUMIFS('Cutters Consumption Updates'!$F:$F,'Cutters Consumption Updates'!$D:$D,L$1,'Cutters Consumption Updates'!$B:$B,$B49)-SUMIFS('Cutters Consumption Updates'!$E:$E,'Cutters Consumption Updates'!$D:$D,L$1,'Cutters Consumption Updates'!$B:$B,$B49)+ SUMIF('Cutters Consumption Updates'!$AS:$AS,$B49,'Cutters Consumption Updates'!AW:AW)</f>
        <v>8</v>
      </c>
      <c r="M49" s="116">
        <f>SUMIFS('Cutters Consumption Updates'!$F:$F,'Cutters Consumption Updates'!$D:$D,M$1,'Cutters Consumption Updates'!$B:$B,$B49)-SUMIFS('Cutters Consumption Updates'!$E:$E,'Cutters Consumption Updates'!$D:$D,$M$1,'Cutters Consumption Updates'!$B:$B,$B49)+SUMIFS('Cutters Consumption Updates'!$F:$F,'Cutters Consumption Updates'!$D:$D,"Retrofit",'Cutters Consumption Updates'!$B:$B,$B49)-SUMIFS('Cutters Consumption Updates'!$E:$E,'Cutters Consumption Updates'!$D:$D,"Retrofit",'Cutters Consumption Updates'!$B:$B,$B49)+ SUMIF('Cutters Consumption Updates'!$AS:$AS,$B49,'Cutters Consumption Updates'!AX:AX)</f>
        <v>0</v>
      </c>
      <c r="N49" s="10">
        <f t="shared" si="0"/>
        <v>0</v>
      </c>
      <c r="O49" s="701">
        <f ca="1">SUMIFS('Cutters Consumption Updates'!E:E,
        'Cutters Consumption Updates'!B:B, B49,
        'Cutters Consumption Updates'!A:A, "&gt;" &amp; TODAY()-182)</f>
        <v>0</v>
      </c>
      <c r="P49" s="701">
        <f ca="1">SUMIFS('Cutters Consumption Updates'!E:E,
        'Cutters Consumption Updates'!B:B, B49,
        'Cutters Consumption Updates'!A:A, "&gt;" &amp; TODAY()-91)</f>
        <v>0</v>
      </c>
      <c r="Q49" s="701">
        <f t="shared" ca="1" si="1"/>
        <v>0</v>
      </c>
      <c r="R49" s="703">
        <f t="shared" ca="1" si="2"/>
        <v>0</v>
      </c>
      <c r="S49" s="703" t="s">
        <v>29</v>
      </c>
      <c r="T49" s="24">
        <f>IFERROR(INDEX(Table5[],MATCH($B49,Table5[Component],0),2),0)</f>
        <v>0</v>
      </c>
      <c r="U49" s="24">
        <f>SUMIFS(Table7[Balance],Table7[Cutter Mat'#],$B49)</f>
        <v>0</v>
      </c>
      <c r="V49" s="24">
        <f t="shared" si="3"/>
        <v>0</v>
      </c>
      <c r="W49" s="119"/>
      <c r="X49" s="2"/>
      <c r="Z49" s="4">
        <f>IFERROR(INDEX(Table5[],MATCH($B49,Table5[Component],0),2),0)</f>
        <v>0</v>
      </c>
      <c r="AA49" s="4">
        <f>IFERROR(INDEX(Table5[],MATCH($B49,Table5[Component],0),1),0)</f>
        <v>0</v>
      </c>
      <c r="AB49" s="4" t="str">
        <f t="shared" si="4"/>
        <v/>
      </c>
      <c r="AC49" s="4" t="str">
        <f t="shared" si="5"/>
        <v/>
      </c>
      <c r="AE49" s="4">
        <f t="shared" si="6"/>
        <v>0</v>
      </c>
      <c r="AF49" s="9"/>
      <c r="AJ49" s="248" t="str">
        <f t="shared" si="7"/>
        <v/>
      </c>
      <c r="AK49" s="248" t="str">
        <f t="shared" si="8"/>
        <v/>
      </c>
      <c r="AL49">
        <f t="shared" si="9"/>
        <v>0</v>
      </c>
      <c r="AQ49">
        <f t="shared" si="11"/>
        <v>0</v>
      </c>
      <c r="AS49">
        <v>717748</v>
      </c>
      <c r="AT49">
        <f t="shared" si="10"/>
        <v>50</v>
      </c>
    </row>
    <row r="50" spans="1:46" ht="15.65" customHeight="1" x14ac:dyDescent="0.35">
      <c r="A50" s="2">
        <v>49</v>
      </c>
      <c r="B50" s="2">
        <v>729690</v>
      </c>
      <c r="C50" s="2" t="s">
        <v>26</v>
      </c>
      <c r="D50" s="2">
        <v>1608</v>
      </c>
      <c r="E50" s="2" t="s">
        <v>62</v>
      </c>
      <c r="F50" s="2" t="s">
        <v>253</v>
      </c>
      <c r="G50" s="6"/>
      <c r="H50" s="6" t="s">
        <v>49</v>
      </c>
      <c r="I50" s="10">
        <f>SUMIFS('Cutters Consumption Updates'!$F:$F,'Cutters Consumption Updates'!$D:$D,I$1,'Cutters Consumption Updates'!$B:$B,$B50)-SUMIFS('Cutters Consumption Updates'!$E:$E,'Cutters Consumption Updates'!$D:$D,I$1,'Cutters Consumption Updates'!$B:$B,$B50)+ SUMIF('Cutters Consumption Updates'!$AS:$AS,$B50,'Cutters Consumption Updates'!AT:AT)</f>
        <v>0</v>
      </c>
      <c r="J50" s="10">
        <f>SUMIFS('Cutters Consumption Updates'!$F:$F,'Cutters Consumption Updates'!$D:$D,J$1,'Cutters Consumption Updates'!$B:$B,$B50)-SUMIFS('Cutters Consumption Updates'!$E:$E,'Cutters Consumption Updates'!$D:$D,J$1,'Cutters Consumption Updates'!$B:$B,$B50)+ SUMIF('Cutters Consumption Updates'!$AS:$AS,$B50,'Cutters Consumption Updates'!AU:AU)</f>
        <v>0</v>
      </c>
      <c r="K50" s="116">
        <f>SUMIFS('Cutters Consumption Updates'!$F:$F,'Cutters Consumption Updates'!$D:$D,K$1,'Cutters Consumption Updates'!$B:$B,$B50)-SUMIFS('Cutters Consumption Updates'!$E:$E,'Cutters Consumption Updates'!$D:$D,K$1,'Cutters Consumption Updates'!$B:$B,$B50)+ SUMIF('Cutters Consumption Updates'!$AS:$AS,$B50,'Cutters Consumption Updates'!AV:AV)</f>
        <v>0</v>
      </c>
      <c r="L50" s="738">
        <f>SUMIFS('Cutters Consumption Updates'!$F:$F,'Cutters Consumption Updates'!$D:$D,L$1,'Cutters Consumption Updates'!$B:$B,$B50)-SUMIFS('Cutters Consumption Updates'!$E:$E,'Cutters Consumption Updates'!$D:$D,L$1,'Cutters Consumption Updates'!$B:$B,$B50)+ SUMIF('Cutters Consumption Updates'!$AS:$AS,$B50,'Cutters Consumption Updates'!AW:AW)</f>
        <v>0</v>
      </c>
      <c r="M50" s="116">
        <f>SUMIFS('Cutters Consumption Updates'!$F:$F,'Cutters Consumption Updates'!$D:$D,M$1,'Cutters Consumption Updates'!$B:$B,$B50)-SUMIFS('Cutters Consumption Updates'!$E:$E,'Cutters Consumption Updates'!$D:$D,$M$1,'Cutters Consumption Updates'!$B:$B,$B50)+SUMIFS('Cutters Consumption Updates'!$F:$F,'Cutters Consumption Updates'!$D:$D,"Retrofit",'Cutters Consumption Updates'!$B:$B,$B50)-SUMIFS('Cutters Consumption Updates'!$E:$E,'Cutters Consumption Updates'!$D:$D,"Retrofit",'Cutters Consumption Updates'!$B:$B,$B50)+ SUMIF('Cutters Consumption Updates'!$AS:$AS,$B50,'Cutters Consumption Updates'!AX:AX)</f>
        <v>0</v>
      </c>
      <c r="N50" s="10">
        <f t="shared" si="0"/>
        <v>0</v>
      </c>
      <c r="O50" s="701">
        <f ca="1">SUMIFS('Cutters Consumption Updates'!E:E,
        'Cutters Consumption Updates'!B:B, B50,
        'Cutters Consumption Updates'!A:A, "&gt;" &amp; TODAY()-182)</f>
        <v>0</v>
      </c>
      <c r="P50" s="701">
        <f ca="1">SUMIFS('Cutters Consumption Updates'!E:E,
        'Cutters Consumption Updates'!B:B, B50,
        'Cutters Consumption Updates'!A:A, "&gt;" &amp; TODAY()-91)</f>
        <v>0</v>
      </c>
      <c r="Q50" s="701">
        <f t="shared" ca="1" si="1"/>
        <v>0</v>
      </c>
      <c r="R50" s="703">
        <f t="shared" ca="1" si="2"/>
        <v>0</v>
      </c>
      <c r="S50" s="703" t="s">
        <v>29</v>
      </c>
      <c r="T50" s="24">
        <f>IFERROR(INDEX(Table5[],MATCH($B50,Table5[Component],0),2),0)</f>
        <v>0</v>
      </c>
      <c r="U50" s="24">
        <f>SUMIFS(Table7[Balance],Table7[Cutter Mat'#],$B50)</f>
        <v>0</v>
      </c>
      <c r="V50" s="24">
        <f t="shared" si="3"/>
        <v>0</v>
      </c>
      <c r="W50" s="119"/>
      <c r="X50" s="2"/>
      <c r="Z50" s="4">
        <f>IFERROR(INDEX(Table5[],MATCH($B50,Table5[Component],0),2),0)</f>
        <v>0</v>
      </c>
      <c r="AA50" s="4">
        <f>IFERROR(INDEX(Table5[],MATCH($B50,Table5[Component],0),1),0)</f>
        <v>0</v>
      </c>
      <c r="AB50" s="4" t="str">
        <f t="shared" si="4"/>
        <v/>
      </c>
      <c r="AC50" s="4" t="str">
        <f t="shared" si="5"/>
        <v/>
      </c>
      <c r="AE50" s="4">
        <f t="shared" si="6"/>
        <v>0</v>
      </c>
      <c r="AF50" s="9"/>
      <c r="AJ50" s="248" t="str">
        <f t="shared" si="7"/>
        <v/>
      </c>
      <c r="AK50" s="248" t="str">
        <f t="shared" si="8"/>
        <v/>
      </c>
      <c r="AL50">
        <f t="shared" si="9"/>
        <v>0</v>
      </c>
      <c r="AQ50">
        <f t="shared" si="11"/>
        <v>0</v>
      </c>
      <c r="AS50">
        <v>717749</v>
      </c>
      <c r="AT50">
        <f t="shared" si="10"/>
        <v>0</v>
      </c>
    </row>
    <row r="51" spans="1:46" ht="15.65" customHeight="1" x14ac:dyDescent="0.35">
      <c r="A51" s="2">
        <v>50</v>
      </c>
      <c r="B51" s="2">
        <v>1010264</v>
      </c>
      <c r="C51" s="2" t="s">
        <v>26</v>
      </c>
      <c r="D51" s="2">
        <v>1005</v>
      </c>
      <c r="E51" s="2" t="s">
        <v>74</v>
      </c>
      <c r="F51" s="2" t="s">
        <v>248</v>
      </c>
      <c r="G51" s="6" t="s">
        <v>75</v>
      </c>
      <c r="H51" s="6" t="s">
        <v>49</v>
      </c>
      <c r="I51" s="10">
        <f>SUMIFS('Cutters Consumption Updates'!$F:$F,'Cutters Consumption Updates'!$D:$D,I$1,'Cutters Consumption Updates'!$B:$B,$B51)-SUMIFS('Cutters Consumption Updates'!$E:$E,'Cutters Consumption Updates'!$D:$D,I$1,'Cutters Consumption Updates'!$B:$B,$B51)+ SUMIF('Cutters Consumption Updates'!$AS:$AS,$B51,'Cutters Consumption Updates'!AT:AT)</f>
        <v>0</v>
      </c>
      <c r="J51" s="10">
        <f>SUMIFS('Cutters Consumption Updates'!$F:$F,'Cutters Consumption Updates'!$D:$D,J$1,'Cutters Consumption Updates'!$B:$B,$B51)-SUMIFS('Cutters Consumption Updates'!$E:$E,'Cutters Consumption Updates'!$D:$D,J$1,'Cutters Consumption Updates'!$B:$B,$B51)+ SUMIF('Cutters Consumption Updates'!$AS:$AS,$B51,'Cutters Consumption Updates'!AU:AU)</f>
        <v>0</v>
      </c>
      <c r="K51" s="116">
        <f>SUMIFS('Cutters Consumption Updates'!$F:$F,'Cutters Consumption Updates'!$D:$D,K$1,'Cutters Consumption Updates'!$B:$B,$B51)-SUMIFS('Cutters Consumption Updates'!$E:$E,'Cutters Consumption Updates'!$D:$D,K$1,'Cutters Consumption Updates'!$B:$B,$B51)+ SUMIF('Cutters Consumption Updates'!$AS:$AS,$B51,'Cutters Consumption Updates'!AV:AV)</f>
        <v>0</v>
      </c>
      <c r="L51" s="738">
        <f>SUMIFS('Cutters Consumption Updates'!$F:$F,'Cutters Consumption Updates'!$D:$D,L$1,'Cutters Consumption Updates'!$B:$B,$B51)-SUMIFS('Cutters Consumption Updates'!$E:$E,'Cutters Consumption Updates'!$D:$D,L$1,'Cutters Consumption Updates'!$B:$B,$B51)+ SUMIF('Cutters Consumption Updates'!$AS:$AS,$B51,'Cutters Consumption Updates'!AW:AW)</f>
        <v>0</v>
      </c>
      <c r="M51" s="116">
        <f>SUMIFS('Cutters Consumption Updates'!$F:$F,'Cutters Consumption Updates'!$D:$D,M$1,'Cutters Consumption Updates'!$B:$B,$B51)-SUMIFS('Cutters Consumption Updates'!$E:$E,'Cutters Consumption Updates'!$D:$D,$M$1,'Cutters Consumption Updates'!$B:$B,$B51)+SUMIFS('Cutters Consumption Updates'!$F:$F,'Cutters Consumption Updates'!$D:$D,"Retrofit",'Cutters Consumption Updates'!$B:$B,$B51)-SUMIFS('Cutters Consumption Updates'!$E:$E,'Cutters Consumption Updates'!$D:$D,"Retrofit",'Cutters Consumption Updates'!$B:$B,$B51)+ SUMIF('Cutters Consumption Updates'!$AS:$AS,$B51,'Cutters Consumption Updates'!AX:AX)</f>
        <v>5</v>
      </c>
      <c r="N51" s="10">
        <f t="shared" si="0"/>
        <v>5</v>
      </c>
      <c r="O51" s="701">
        <f ca="1">SUMIFS('Cutters Consumption Updates'!E:E,
        'Cutters Consumption Updates'!B:B, B51,
        'Cutters Consumption Updates'!A:A, "&gt;" &amp; TODAY()-182)</f>
        <v>0</v>
      </c>
      <c r="P51" s="701">
        <f ca="1">SUMIFS('Cutters Consumption Updates'!E:E,
        'Cutters Consumption Updates'!B:B, B51,
        'Cutters Consumption Updates'!A:A, "&gt;" &amp; TODAY()-91)</f>
        <v>0</v>
      </c>
      <c r="Q51" s="701">
        <f t="shared" ca="1" si="1"/>
        <v>0</v>
      </c>
      <c r="R51" s="703">
        <f t="shared" ca="1" si="2"/>
        <v>0</v>
      </c>
      <c r="S51" s="703" t="s">
        <v>29</v>
      </c>
      <c r="T51" s="24">
        <f>IFERROR(INDEX(Table5[],MATCH($B51,Table5[Component],0),2),0)</f>
        <v>0</v>
      </c>
      <c r="U51" s="24">
        <f>SUMIFS(Table7[Balance],Table7[Cutter Mat'#],$B51)</f>
        <v>0</v>
      </c>
      <c r="V51" s="24">
        <f t="shared" si="3"/>
        <v>5</v>
      </c>
      <c r="W51" s="119"/>
      <c r="X51" s="2"/>
      <c r="Z51" s="4">
        <f>IFERROR(INDEX(Table5[],MATCH($B51,Table5[Component],0),2),0)</f>
        <v>0</v>
      </c>
      <c r="AA51" s="4">
        <f>IFERROR(INDEX(Table5[],MATCH($B51,Table5[Component],0),1),0)</f>
        <v>0</v>
      </c>
      <c r="AB51" s="4" t="str">
        <f t="shared" si="4"/>
        <v/>
      </c>
      <c r="AC51" s="4" t="str">
        <f t="shared" si="5"/>
        <v/>
      </c>
      <c r="AE51" s="4">
        <f t="shared" si="6"/>
        <v>5</v>
      </c>
      <c r="AF51" s="9"/>
      <c r="AJ51" s="248" t="str">
        <f t="shared" si="7"/>
        <v/>
      </c>
      <c r="AK51" s="248" t="str">
        <f t="shared" si="8"/>
        <v/>
      </c>
      <c r="AL51">
        <f t="shared" si="9"/>
        <v>0</v>
      </c>
      <c r="AQ51">
        <f t="shared" si="11"/>
        <v>0</v>
      </c>
      <c r="AS51">
        <v>717751</v>
      </c>
      <c r="AT51">
        <f t="shared" si="10"/>
        <v>0</v>
      </c>
    </row>
    <row r="52" spans="1:46" ht="15.65" customHeight="1" x14ac:dyDescent="0.35">
      <c r="A52" s="2">
        <v>51</v>
      </c>
      <c r="B52" s="2">
        <v>930925</v>
      </c>
      <c r="C52" s="2" t="s">
        <v>26</v>
      </c>
      <c r="D52" s="2">
        <v>1010</v>
      </c>
      <c r="E52" s="2" t="s">
        <v>74</v>
      </c>
      <c r="F52" s="2" t="s">
        <v>248</v>
      </c>
      <c r="G52" s="6" t="s">
        <v>75</v>
      </c>
      <c r="H52" s="6" t="s">
        <v>49</v>
      </c>
      <c r="I52" s="10">
        <f>SUMIFS('Cutters Consumption Updates'!$F:$F,'Cutters Consumption Updates'!$D:$D,I$1,'Cutters Consumption Updates'!$B:$B,$B52)-SUMIFS('Cutters Consumption Updates'!$E:$E,'Cutters Consumption Updates'!$D:$D,I$1,'Cutters Consumption Updates'!$B:$B,$B52)+ SUMIF('Cutters Consumption Updates'!$AS:$AS,$B52,'Cutters Consumption Updates'!AT:AT)</f>
        <v>0</v>
      </c>
      <c r="J52" s="10">
        <f>SUMIFS('Cutters Consumption Updates'!$F:$F,'Cutters Consumption Updates'!$D:$D,J$1,'Cutters Consumption Updates'!$B:$B,$B52)-SUMIFS('Cutters Consumption Updates'!$E:$E,'Cutters Consumption Updates'!$D:$D,J$1,'Cutters Consumption Updates'!$B:$B,$B52)+ SUMIF('Cutters Consumption Updates'!$AS:$AS,$B52,'Cutters Consumption Updates'!AU:AU)</f>
        <v>0</v>
      </c>
      <c r="K52" s="116">
        <f>SUMIFS('Cutters Consumption Updates'!$F:$F,'Cutters Consumption Updates'!$D:$D,K$1,'Cutters Consumption Updates'!$B:$B,$B52)-SUMIFS('Cutters Consumption Updates'!$E:$E,'Cutters Consumption Updates'!$D:$D,K$1,'Cutters Consumption Updates'!$B:$B,$B52)+ SUMIF('Cutters Consumption Updates'!$AS:$AS,$B52,'Cutters Consumption Updates'!AV:AV)</f>
        <v>0</v>
      </c>
      <c r="L52" s="738">
        <f>SUMIFS('Cutters Consumption Updates'!$F:$F,'Cutters Consumption Updates'!$D:$D,L$1,'Cutters Consumption Updates'!$B:$B,$B52)-SUMIFS('Cutters Consumption Updates'!$E:$E,'Cutters Consumption Updates'!$D:$D,L$1,'Cutters Consumption Updates'!$B:$B,$B52)+ SUMIF('Cutters Consumption Updates'!$AS:$AS,$B52,'Cutters Consumption Updates'!AW:AW)</f>
        <v>0</v>
      </c>
      <c r="M52" s="116">
        <f>SUMIFS('Cutters Consumption Updates'!$F:$F,'Cutters Consumption Updates'!$D:$D,M$1,'Cutters Consumption Updates'!$B:$B,$B52)-SUMIFS('Cutters Consumption Updates'!$E:$E,'Cutters Consumption Updates'!$D:$D,$M$1,'Cutters Consumption Updates'!$B:$B,$B52)+SUMIFS('Cutters Consumption Updates'!$F:$F,'Cutters Consumption Updates'!$D:$D,"Retrofit",'Cutters Consumption Updates'!$B:$B,$B52)-SUMIFS('Cutters Consumption Updates'!$E:$E,'Cutters Consumption Updates'!$D:$D,"Retrofit",'Cutters Consumption Updates'!$B:$B,$B52)+ SUMIF('Cutters Consumption Updates'!$AS:$AS,$B52,'Cutters Consumption Updates'!AX:AX)</f>
        <v>0</v>
      </c>
      <c r="N52" s="10">
        <f t="shared" si="0"/>
        <v>0</v>
      </c>
      <c r="O52" s="701">
        <f ca="1">SUMIFS('Cutters Consumption Updates'!E:E,
        'Cutters Consumption Updates'!B:B, B52,
        'Cutters Consumption Updates'!A:A, "&gt;" &amp; TODAY()-182)</f>
        <v>0</v>
      </c>
      <c r="P52" s="701">
        <f ca="1">SUMIFS('Cutters Consumption Updates'!E:E,
        'Cutters Consumption Updates'!B:B, B52,
        'Cutters Consumption Updates'!A:A, "&gt;" &amp; TODAY()-91)</f>
        <v>0</v>
      </c>
      <c r="Q52" s="701">
        <f t="shared" ca="1" si="1"/>
        <v>0</v>
      </c>
      <c r="R52" s="703">
        <f t="shared" ca="1" si="2"/>
        <v>0</v>
      </c>
      <c r="S52" s="703" t="s">
        <v>29</v>
      </c>
      <c r="T52" s="24">
        <f>IFERROR(INDEX(Table5[],MATCH($B52,Table5[Component],0),2),0)</f>
        <v>0</v>
      </c>
      <c r="U52" s="24">
        <f>SUMIFS(Table7[Balance],Table7[Cutter Mat'#],$B52)</f>
        <v>0</v>
      </c>
      <c r="V52" s="24">
        <f t="shared" si="3"/>
        <v>0</v>
      </c>
      <c r="W52" s="119"/>
      <c r="X52" s="2"/>
      <c r="Z52" s="4">
        <f>IFERROR(INDEX(Table5[],MATCH($B52,Table5[Component],0),2),0)</f>
        <v>0</v>
      </c>
      <c r="AA52" s="4">
        <f>IFERROR(INDEX(Table5[],MATCH($B52,Table5[Component],0),1),0)</f>
        <v>0</v>
      </c>
      <c r="AB52" s="4" t="str">
        <f t="shared" si="4"/>
        <v/>
      </c>
      <c r="AC52" s="4" t="str">
        <f t="shared" si="5"/>
        <v/>
      </c>
      <c r="AE52" s="4">
        <f t="shared" si="6"/>
        <v>0</v>
      </c>
      <c r="AF52" s="9"/>
      <c r="AJ52" s="248" t="str">
        <f t="shared" si="7"/>
        <v/>
      </c>
      <c r="AK52" s="248" t="str">
        <f t="shared" si="8"/>
        <v/>
      </c>
      <c r="AL52">
        <f t="shared" si="9"/>
        <v>0</v>
      </c>
      <c r="AQ52">
        <f t="shared" si="11"/>
        <v>0</v>
      </c>
      <c r="AS52">
        <v>729434</v>
      </c>
      <c r="AT52">
        <f t="shared" si="10"/>
        <v>0</v>
      </c>
    </row>
    <row r="53" spans="1:46" ht="15.65" customHeight="1" x14ac:dyDescent="0.35">
      <c r="A53" s="2">
        <v>52</v>
      </c>
      <c r="B53" s="2">
        <v>752563</v>
      </c>
      <c r="C53" s="2" t="s">
        <v>26</v>
      </c>
      <c r="D53" s="2">
        <v>1010</v>
      </c>
      <c r="E53" s="2" t="s">
        <v>76</v>
      </c>
      <c r="F53" s="2" t="s">
        <v>253</v>
      </c>
      <c r="G53" s="6"/>
      <c r="H53" s="6" t="s">
        <v>28</v>
      </c>
      <c r="I53" s="10">
        <f>SUMIFS('Cutters Consumption Updates'!$F:$F,'Cutters Consumption Updates'!$D:$D,I$1,'Cutters Consumption Updates'!$B:$B,$B53)-SUMIFS('Cutters Consumption Updates'!$E:$E,'Cutters Consumption Updates'!$D:$D,I$1,'Cutters Consumption Updates'!$B:$B,$B53)+ SUMIF('Cutters Consumption Updates'!$AS:$AS,$B53,'Cutters Consumption Updates'!AT:AT)</f>
        <v>0</v>
      </c>
      <c r="J53" s="10">
        <f>SUMIFS('Cutters Consumption Updates'!$F:$F,'Cutters Consumption Updates'!$D:$D,J$1,'Cutters Consumption Updates'!$B:$B,$B53)-SUMIFS('Cutters Consumption Updates'!$E:$E,'Cutters Consumption Updates'!$D:$D,J$1,'Cutters Consumption Updates'!$B:$B,$B53)+ SUMIF('Cutters Consumption Updates'!$AS:$AS,$B53,'Cutters Consumption Updates'!AU:AU)</f>
        <v>0</v>
      </c>
      <c r="K53" s="116">
        <f>SUMIFS('Cutters Consumption Updates'!$F:$F,'Cutters Consumption Updates'!$D:$D,K$1,'Cutters Consumption Updates'!$B:$B,$B53)-SUMIFS('Cutters Consumption Updates'!$E:$E,'Cutters Consumption Updates'!$D:$D,K$1,'Cutters Consumption Updates'!$B:$B,$B53)+ SUMIF('Cutters Consumption Updates'!$AS:$AS,$B53,'Cutters Consumption Updates'!AV:AV)</f>
        <v>0</v>
      </c>
      <c r="L53" s="738">
        <f>SUMIFS('Cutters Consumption Updates'!$F:$F,'Cutters Consumption Updates'!$D:$D,L$1,'Cutters Consumption Updates'!$B:$B,$B53)-SUMIFS('Cutters Consumption Updates'!$E:$E,'Cutters Consumption Updates'!$D:$D,L$1,'Cutters Consumption Updates'!$B:$B,$B53)+ SUMIF('Cutters Consumption Updates'!$AS:$AS,$B53,'Cutters Consumption Updates'!AW:AW)</f>
        <v>0</v>
      </c>
      <c r="M53" s="116">
        <f>SUMIFS('Cutters Consumption Updates'!$F:$F,'Cutters Consumption Updates'!$D:$D,M$1,'Cutters Consumption Updates'!$B:$B,$B53)-SUMIFS('Cutters Consumption Updates'!$E:$E,'Cutters Consumption Updates'!$D:$D,$M$1,'Cutters Consumption Updates'!$B:$B,$B53)+SUMIFS('Cutters Consumption Updates'!$F:$F,'Cutters Consumption Updates'!$D:$D,"Retrofit",'Cutters Consumption Updates'!$B:$B,$B53)-SUMIFS('Cutters Consumption Updates'!$E:$E,'Cutters Consumption Updates'!$D:$D,"Retrofit",'Cutters Consumption Updates'!$B:$B,$B53)+ SUMIF('Cutters Consumption Updates'!$AS:$AS,$B53,'Cutters Consumption Updates'!AX:AX)</f>
        <v>0</v>
      </c>
      <c r="N53" s="10">
        <f t="shared" si="0"/>
        <v>0</v>
      </c>
      <c r="O53" s="701">
        <f ca="1">SUMIFS('Cutters Consumption Updates'!E:E,
        'Cutters Consumption Updates'!B:B, B53,
        'Cutters Consumption Updates'!A:A, "&gt;" &amp; TODAY()-182)</f>
        <v>0</v>
      </c>
      <c r="P53" s="701">
        <f ca="1">SUMIFS('Cutters Consumption Updates'!E:E,
        'Cutters Consumption Updates'!B:B, B53,
        'Cutters Consumption Updates'!A:A, "&gt;" &amp; TODAY()-91)</f>
        <v>0</v>
      </c>
      <c r="Q53" s="701">
        <f t="shared" ca="1" si="1"/>
        <v>0</v>
      </c>
      <c r="R53" s="703">
        <f t="shared" ca="1" si="2"/>
        <v>0</v>
      </c>
      <c r="S53" s="703" t="s">
        <v>29</v>
      </c>
      <c r="T53" s="24">
        <f>IFERROR(INDEX(Table5[],MATCH($B53,Table5[Component],0),2),0)</f>
        <v>0</v>
      </c>
      <c r="U53" s="24">
        <f>SUMIFS(Table7[Balance],Table7[Cutter Mat'#],$B53)</f>
        <v>0</v>
      </c>
      <c r="V53" s="24">
        <f t="shared" si="3"/>
        <v>0</v>
      </c>
      <c r="W53" s="119"/>
      <c r="X53" s="2"/>
      <c r="Z53" s="4">
        <f>IFERROR(INDEX(Table5[],MATCH($B53,Table5[Component],0),2),0)</f>
        <v>0</v>
      </c>
      <c r="AA53" s="4">
        <f>IFERROR(INDEX(Table5[],MATCH($B53,Table5[Component],0),1),0)</f>
        <v>0</v>
      </c>
      <c r="AB53" s="4" t="str">
        <f t="shared" si="4"/>
        <v/>
      </c>
      <c r="AC53" s="4" t="str">
        <f t="shared" si="5"/>
        <v/>
      </c>
      <c r="AE53" s="4">
        <f t="shared" si="6"/>
        <v>0</v>
      </c>
      <c r="AF53" s="9"/>
      <c r="AJ53" s="248" t="str">
        <f t="shared" si="7"/>
        <v/>
      </c>
      <c r="AK53" s="248" t="str">
        <f t="shared" si="8"/>
        <v/>
      </c>
      <c r="AL53">
        <f t="shared" si="9"/>
        <v>0</v>
      </c>
      <c r="AQ53">
        <f t="shared" si="11"/>
        <v>0</v>
      </c>
      <c r="AS53">
        <v>729435</v>
      </c>
      <c r="AT53">
        <f t="shared" si="10"/>
        <v>0</v>
      </c>
    </row>
    <row r="54" spans="1:46" ht="15.65" customHeight="1" x14ac:dyDescent="0.35">
      <c r="A54" s="2">
        <v>53</v>
      </c>
      <c r="B54" s="2">
        <v>708306</v>
      </c>
      <c r="C54" s="2" t="s">
        <v>26</v>
      </c>
      <c r="D54" s="2">
        <v>1913</v>
      </c>
      <c r="E54" s="2" t="s">
        <v>51</v>
      </c>
      <c r="F54" s="2" t="s">
        <v>253</v>
      </c>
      <c r="G54" s="6"/>
      <c r="H54" s="6" t="s">
        <v>47</v>
      </c>
      <c r="I54" s="10">
        <f>SUMIFS('Cutters Consumption Updates'!$F:$F,'Cutters Consumption Updates'!$D:$D,I$1,'Cutters Consumption Updates'!$B:$B,$B54)-SUMIFS('Cutters Consumption Updates'!$E:$E,'Cutters Consumption Updates'!$D:$D,I$1,'Cutters Consumption Updates'!$B:$B,$B54)+ SUMIF('Cutters Consumption Updates'!$AS:$AS,$B54,'Cutters Consumption Updates'!AT:AT)</f>
        <v>0</v>
      </c>
      <c r="J54" s="10">
        <f>SUMIFS('Cutters Consumption Updates'!$F:$F,'Cutters Consumption Updates'!$D:$D,J$1,'Cutters Consumption Updates'!$B:$B,$B54)-SUMIFS('Cutters Consumption Updates'!$E:$E,'Cutters Consumption Updates'!$D:$D,J$1,'Cutters Consumption Updates'!$B:$B,$B54)+ SUMIF('Cutters Consumption Updates'!$AS:$AS,$B54,'Cutters Consumption Updates'!AU:AU)</f>
        <v>0</v>
      </c>
      <c r="K54" s="116">
        <f>SUMIFS('Cutters Consumption Updates'!$F:$F,'Cutters Consumption Updates'!$D:$D,K$1,'Cutters Consumption Updates'!$B:$B,$B54)-SUMIFS('Cutters Consumption Updates'!$E:$E,'Cutters Consumption Updates'!$D:$D,K$1,'Cutters Consumption Updates'!$B:$B,$B54)+ SUMIF('Cutters Consumption Updates'!$AS:$AS,$B54,'Cutters Consumption Updates'!AV:AV)</f>
        <v>0</v>
      </c>
      <c r="L54" s="738">
        <f>SUMIFS('Cutters Consumption Updates'!$F:$F,'Cutters Consumption Updates'!$D:$D,L$1,'Cutters Consumption Updates'!$B:$B,$B54)-SUMIFS('Cutters Consumption Updates'!$E:$E,'Cutters Consumption Updates'!$D:$D,L$1,'Cutters Consumption Updates'!$B:$B,$B54)+ SUMIF('Cutters Consumption Updates'!$AS:$AS,$B54,'Cutters Consumption Updates'!AW:AW)</f>
        <v>1</v>
      </c>
      <c r="M54" s="116">
        <f>SUMIFS('Cutters Consumption Updates'!$F:$F,'Cutters Consumption Updates'!$D:$D,M$1,'Cutters Consumption Updates'!$B:$B,$B54)-SUMIFS('Cutters Consumption Updates'!$E:$E,'Cutters Consumption Updates'!$D:$D,$M$1,'Cutters Consumption Updates'!$B:$B,$B54)+SUMIFS('Cutters Consumption Updates'!$F:$F,'Cutters Consumption Updates'!$D:$D,"Retrofit",'Cutters Consumption Updates'!$B:$B,$B54)-SUMIFS('Cutters Consumption Updates'!$E:$E,'Cutters Consumption Updates'!$D:$D,"Retrofit",'Cutters Consumption Updates'!$B:$B,$B54)+ SUMIF('Cutters Consumption Updates'!$AS:$AS,$B54,'Cutters Consumption Updates'!AX:AX)</f>
        <v>146</v>
      </c>
      <c r="N54" s="10">
        <f t="shared" si="0"/>
        <v>146</v>
      </c>
      <c r="O54" s="701">
        <f ca="1">SUMIFS('Cutters Consumption Updates'!E:E,
        'Cutters Consumption Updates'!B:B, B54,
        'Cutters Consumption Updates'!A:A, "&gt;" &amp; TODAY()-182)</f>
        <v>82</v>
      </c>
      <c r="P54" s="701">
        <f ca="1">SUMIFS('Cutters Consumption Updates'!E:E,
        'Cutters Consumption Updates'!B:B, B54,
        'Cutters Consumption Updates'!A:A, "&gt;" &amp; TODAY()-91)</f>
        <v>82</v>
      </c>
      <c r="Q54" s="701">
        <f t="shared" ca="1" si="1"/>
        <v>28</v>
      </c>
      <c r="R54" s="703">
        <f t="shared" ca="1" si="2"/>
        <v>30</v>
      </c>
      <c r="S54" s="703" t="s">
        <v>77</v>
      </c>
      <c r="T54" s="24">
        <f>IFERROR(INDEX(Table5[],MATCH($B54,Table5[Component],0),2),0)</f>
        <v>272</v>
      </c>
      <c r="U54" s="24">
        <f>SUMIFS(Table7[Balance],Table7[Cutter Mat'#],$B54)</f>
        <v>0</v>
      </c>
      <c r="V54" s="24">
        <f t="shared" si="3"/>
        <v>-126</v>
      </c>
      <c r="W54" s="119"/>
      <c r="X54" s="2"/>
      <c r="Z54" s="4">
        <f>IFERROR(INDEX(Table5[],MATCH($B54,Table5[Component],0),2),0)</f>
        <v>272</v>
      </c>
      <c r="AA54" s="4">
        <f>IFERROR(INDEX(Table5[],MATCH($B54,Table5[Component],0),1),0)</f>
        <v>708306</v>
      </c>
      <c r="AB54" s="4">
        <f t="shared" si="4"/>
        <v>708306</v>
      </c>
      <c r="AC54" s="4" t="str">
        <f t="shared" si="5"/>
        <v/>
      </c>
      <c r="AE54" s="4">
        <f t="shared" si="6"/>
        <v>146</v>
      </c>
      <c r="AF54" s="9"/>
      <c r="AJ54" s="248" t="str">
        <f t="shared" si="7"/>
        <v/>
      </c>
      <c r="AK54" s="248" t="str">
        <f t="shared" si="8"/>
        <v/>
      </c>
      <c r="AL54">
        <f t="shared" si="9"/>
        <v>0</v>
      </c>
      <c r="AQ54">
        <f t="shared" si="11"/>
        <v>0</v>
      </c>
      <c r="AS54">
        <v>729687</v>
      </c>
      <c r="AT54">
        <f t="shared" si="10"/>
        <v>0</v>
      </c>
    </row>
    <row r="55" spans="1:46" ht="15.65" customHeight="1" x14ac:dyDescent="0.35">
      <c r="A55" s="2">
        <v>54</v>
      </c>
      <c r="B55" s="2">
        <v>744015</v>
      </c>
      <c r="C55" s="2" t="s">
        <v>26</v>
      </c>
      <c r="D55" s="2">
        <v>1613</v>
      </c>
      <c r="E55" s="2" t="s">
        <v>76</v>
      </c>
      <c r="F55" s="2" t="s">
        <v>253</v>
      </c>
      <c r="G55" s="6"/>
      <c r="H55" s="6" t="s">
        <v>28</v>
      </c>
      <c r="I55" s="10">
        <f>SUMIFS('Cutters Consumption Updates'!$F:$F,'Cutters Consumption Updates'!$D:$D,I$1,'Cutters Consumption Updates'!$B:$B,$B55)-SUMIFS('Cutters Consumption Updates'!$E:$E,'Cutters Consumption Updates'!$D:$D,I$1,'Cutters Consumption Updates'!$B:$B,$B55)+ SUMIF('Cutters Consumption Updates'!$AS:$AS,$B55,'Cutters Consumption Updates'!AT:AT)</f>
        <v>0</v>
      </c>
      <c r="J55" s="10">
        <f>SUMIFS('Cutters Consumption Updates'!$F:$F,'Cutters Consumption Updates'!$D:$D,J$1,'Cutters Consumption Updates'!$B:$B,$B55)-SUMIFS('Cutters Consumption Updates'!$E:$E,'Cutters Consumption Updates'!$D:$D,J$1,'Cutters Consumption Updates'!$B:$B,$B55)+ SUMIF('Cutters Consumption Updates'!$AS:$AS,$B55,'Cutters Consumption Updates'!AU:AU)</f>
        <v>0</v>
      </c>
      <c r="K55" s="116">
        <f>SUMIFS('Cutters Consumption Updates'!$F:$F,'Cutters Consumption Updates'!$D:$D,K$1,'Cutters Consumption Updates'!$B:$B,$B55)-SUMIFS('Cutters Consumption Updates'!$E:$E,'Cutters Consumption Updates'!$D:$D,K$1,'Cutters Consumption Updates'!$B:$B,$B55)+ SUMIF('Cutters Consumption Updates'!$AS:$AS,$B55,'Cutters Consumption Updates'!AV:AV)</f>
        <v>0</v>
      </c>
      <c r="L55" s="738">
        <f>SUMIFS('Cutters Consumption Updates'!$F:$F,'Cutters Consumption Updates'!$D:$D,L$1,'Cutters Consumption Updates'!$B:$B,$B55)-SUMIFS('Cutters Consumption Updates'!$E:$E,'Cutters Consumption Updates'!$D:$D,L$1,'Cutters Consumption Updates'!$B:$B,$B55)+ SUMIF('Cutters Consumption Updates'!$AS:$AS,$B55,'Cutters Consumption Updates'!AW:AW)</f>
        <v>0</v>
      </c>
      <c r="M55" s="116">
        <f>SUMIFS('Cutters Consumption Updates'!$F:$F,'Cutters Consumption Updates'!$D:$D,M$1,'Cutters Consumption Updates'!$B:$B,$B55)-SUMIFS('Cutters Consumption Updates'!$E:$E,'Cutters Consumption Updates'!$D:$D,$M$1,'Cutters Consumption Updates'!$B:$B,$B55)+SUMIFS('Cutters Consumption Updates'!$F:$F,'Cutters Consumption Updates'!$D:$D,"Retrofit",'Cutters Consumption Updates'!$B:$B,$B55)-SUMIFS('Cutters Consumption Updates'!$E:$E,'Cutters Consumption Updates'!$D:$D,"Retrofit",'Cutters Consumption Updates'!$B:$B,$B55)+ SUMIF('Cutters Consumption Updates'!$AS:$AS,$B55,'Cutters Consumption Updates'!AX:AX)</f>
        <v>0</v>
      </c>
      <c r="N55" s="10">
        <f t="shared" si="0"/>
        <v>0</v>
      </c>
      <c r="O55" s="701">
        <f ca="1">SUMIFS('Cutters Consumption Updates'!E:E,
        'Cutters Consumption Updates'!B:B, B55,
        'Cutters Consumption Updates'!A:A, "&gt;" &amp; TODAY()-182)</f>
        <v>0</v>
      </c>
      <c r="P55" s="701">
        <f ca="1">SUMIFS('Cutters Consumption Updates'!E:E,
        'Cutters Consumption Updates'!B:B, B55,
        'Cutters Consumption Updates'!A:A, "&gt;" &amp; TODAY()-91)</f>
        <v>0</v>
      </c>
      <c r="Q55" s="701">
        <f t="shared" ca="1" si="1"/>
        <v>0</v>
      </c>
      <c r="R55" s="703">
        <f t="shared" ca="1" si="2"/>
        <v>0</v>
      </c>
      <c r="S55" s="703" t="s">
        <v>29</v>
      </c>
      <c r="T55" s="24">
        <f>IFERROR(INDEX(Table5[],MATCH($B55,Table5[Component],0),2),0)</f>
        <v>0</v>
      </c>
      <c r="U55" s="24">
        <f>SUMIFS(Table7[Balance],Table7[Cutter Mat'#],$B55)</f>
        <v>0</v>
      </c>
      <c r="V55" s="24">
        <f t="shared" si="3"/>
        <v>0</v>
      </c>
      <c r="W55" s="119"/>
      <c r="X55" s="2"/>
      <c r="Z55" s="4">
        <f>IFERROR(INDEX(Table5[],MATCH($B55,Table5[Component],0),2),0)</f>
        <v>0</v>
      </c>
      <c r="AA55" s="4">
        <f>IFERROR(INDEX(Table5[],MATCH($B55,Table5[Component],0),1),0)</f>
        <v>0</v>
      </c>
      <c r="AB55" s="4" t="str">
        <f t="shared" si="4"/>
        <v/>
      </c>
      <c r="AC55" s="4" t="str">
        <f t="shared" si="5"/>
        <v/>
      </c>
      <c r="AE55" s="4">
        <f t="shared" si="6"/>
        <v>0</v>
      </c>
      <c r="AF55" s="9"/>
      <c r="AJ55" s="248" t="str">
        <f t="shared" si="7"/>
        <v/>
      </c>
      <c r="AK55" s="248" t="str">
        <f t="shared" si="8"/>
        <v/>
      </c>
      <c r="AL55">
        <f t="shared" si="9"/>
        <v>0</v>
      </c>
      <c r="AQ55">
        <f t="shared" si="11"/>
        <v>0</v>
      </c>
      <c r="AS55">
        <v>729688</v>
      </c>
      <c r="AT55">
        <f t="shared" si="10"/>
        <v>0</v>
      </c>
    </row>
    <row r="56" spans="1:46" ht="15.65" customHeight="1" x14ac:dyDescent="0.35">
      <c r="A56" s="2">
        <v>55</v>
      </c>
      <c r="B56" s="2">
        <v>932725</v>
      </c>
      <c r="C56" s="2" t="s">
        <v>26</v>
      </c>
      <c r="D56" s="2">
        <v>1313</v>
      </c>
      <c r="E56" s="2" t="s">
        <v>78</v>
      </c>
      <c r="F56" s="2" t="s">
        <v>248</v>
      </c>
      <c r="G56" s="6"/>
      <c r="H56" s="6" t="s">
        <v>28</v>
      </c>
      <c r="I56" s="10">
        <f>SUMIFS('Cutters Consumption Updates'!$F:$F,'Cutters Consumption Updates'!$D:$D,I$1,'Cutters Consumption Updates'!$B:$B,$B56)-SUMIFS('Cutters Consumption Updates'!$E:$E,'Cutters Consumption Updates'!$D:$D,I$1,'Cutters Consumption Updates'!$B:$B,$B56)+ SUMIF('Cutters Consumption Updates'!$AS:$AS,$B56,'Cutters Consumption Updates'!AT:AT)</f>
        <v>0</v>
      </c>
      <c r="J56" s="10">
        <f>SUMIFS('Cutters Consumption Updates'!$F:$F,'Cutters Consumption Updates'!$D:$D,J$1,'Cutters Consumption Updates'!$B:$B,$B56)-SUMIFS('Cutters Consumption Updates'!$E:$E,'Cutters Consumption Updates'!$D:$D,J$1,'Cutters Consumption Updates'!$B:$B,$B56)+ SUMIF('Cutters Consumption Updates'!$AS:$AS,$B56,'Cutters Consumption Updates'!AU:AU)</f>
        <v>0</v>
      </c>
      <c r="K56" s="116">
        <f>SUMIFS('Cutters Consumption Updates'!$F:$F,'Cutters Consumption Updates'!$D:$D,K$1,'Cutters Consumption Updates'!$B:$B,$B56)-SUMIFS('Cutters Consumption Updates'!$E:$E,'Cutters Consumption Updates'!$D:$D,K$1,'Cutters Consumption Updates'!$B:$B,$B56)+ SUMIF('Cutters Consumption Updates'!$AS:$AS,$B56,'Cutters Consumption Updates'!AV:AV)</f>
        <v>0</v>
      </c>
      <c r="L56" s="738">
        <f>SUMIFS('Cutters Consumption Updates'!$F:$F,'Cutters Consumption Updates'!$D:$D,L$1,'Cutters Consumption Updates'!$B:$B,$B56)-SUMIFS('Cutters Consumption Updates'!$E:$E,'Cutters Consumption Updates'!$D:$D,L$1,'Cutters Consumption Updates'!$B:$B,$B56)+ SUMIF('Cutters Consumption Updates'!$AS:$AS,$B56,'Cutters Consumption Updates'!AW:AW)</f>
        <v>0</v>
      </c>
      <c r="M56" s="116">
        <f>SUMIFS('Cutters Consumption Updates'!$F:$F,'Cutters Consumption Updates'!$D:$D,M$1,'Cutters Consumption Updates'!$B:$B,$B56)-SUMIFS('Cutters Consumption Updates'!$E:$E,'Cutters Consumption Updates'!$D:$D,$M$1,'Cutters Consumption Updates'!$B:$B,$B56)+SUMIFS('Cutters Consumption Updates'!$F:$F,'Cutters Consumption Updates'!$D:$D,"Retrofit",'Cutters Consumption Updates'!$B:$B,$B56)-SUMIFS('Cutters Consumption Updates'!$E:$E,'Cutters Consumption Updates'!$D:$D,"Retrofit",'Cutters Consumption Updates'!$B:$B,$B56)+ SUMIF('Cutters Consumption Updates'!$AS:$AS,$B56,'Cutters Consumption Updates'!AX:AX)</f>
        <v>0</v>
      </c>
      <c r="N56" s="10">
        <f t="shared" si="0"/>
        <v>0</v>
      </c>
      <c r="O56" s="701">
        <f ca="1">SUMIFS('Cutters Consumption Updates'!E:E,
        'Cutters Consumption Updates'!B:B, B56,
        'Cutters Consumption Updates'!A:A, "&gt;" &amp; TODAY()-182)</f>
        <v>0</v>
      </c>
      <c r="P56" s="701">
        <f ca="1">SUMIFS('Cutters Consumption Updates'!E:E,
        'Cutters Consumption Updates'!B:B, B56,
        'Cutters Consumption Updates'!A:A, "&gt;" &amp; TODAY()-91)</f>
        <v>0</v>
      </c>
      <c r="Q56" s="701">
        <f t="shared" ca="1" si="1"/>
        <v>0</v>
      </c>
      <c r="R56" s="703">
        <f t="shared" ca="1" si="2"/>
        <v>0</v>
      </c>
      <c r="S56" s="703" t="s">
        <v>29</v>
      </c>
      <c r="T56" s="24">
        <f>IFERROR(INDEX(Table5[],MATCH($B56,Table5[Component],0),2),0)</f>
        <v>0</v>
      </c>
      <c r="U56" s="24">
        <f>SUMIFS(Table7[Balance],Table7[Cutter Mat'#],$B56)</f>
        <v>0</v>
      </c>
      <c r="V56" s="24">
        <f t="shared" si="3"/>
        <v>0</v>
      </c>
      <c r="W56" s="119"/>
      <c r="X56" s="2"/>
      <c r="Z56" s="4">
        <f>IFERROR(INDEX(Table5[],MATCH($B56,Table5[Component],0),2),0)</f>
        <v>0</v>
      </c>
      <c r="AA56" s="4">
        <f>IFERROR(INDEX(Table5[],MATCH($B56,Table5[Component],0),1),0)</f>
        <v>0</v>
      </c>
      <c r="AB56" s="4" t="str">
        <f t="shared" si="4"/>
        <v/>
      </c>
      <c r="AC56" s="4" t="str">
        <f t="shared" si="5"/>
        <v/>
      </c>
      <c r="AE56" s="4">
        <f t="shared" si="6"/>
        <v>0</v>
      </c>
      <c r="AF56" s="9"/>
      <c r="AJ56" s="248" t="str">
        <f t="shared" si="7"/>
        <v/>
      </c>
      <c r="AK56" s="248" t="str">
        <f t="shared" si="8"/>
        <v/>
      </c>
      <c r="AL56">
        <f t="shared" si="9"/>
        <v>0</v>
      </c>
      <c r="AQ56">
        <f t="shared" si="11"/>
        <v>0</v>
      </c>
      <c r="AS56">
        <v>729689</v>
      </c>
      <c r="AT56">
        <f t="shared" si="10"/>
        <v>0</v>
      </c>
    </row>
    <row r="57" spans="1:46" ht="15.65" customHeight="1" x14ac:dyDescent="0.35">
      <c r="A57" s="2">
        <v>56</v>
      </c>
      <c r="B57" s="2">
        <v>983094</v>
      </c>
      <c r="C57" s="2" t="s">
        <v>26</v>
      </c>
      <c r="D57" s="2">
        <v>1308</v>
      </c>
      <c r="E57" s="2" t="s">
        <v>79</v>
      </c>
      <c r="F57" s="2" t="s">
        <v>253</v>
      </c>
      <c r="G57" s="6"/>
      <c r="H57" s="6" t="s">
        <v>49</v>
      </c>
      <c r="I57" s="10">
        <f>SUMIFS('Cutters Consumption Updates'!$F:$F,'Cutters Consumption Updates'!$D:$D,I$1,'Cutters Consumption Updates'!$B:$B,$B57)-SUMIFS('Cutters Consumption Updates'!$E:$E,'Cutters Consumption Updates'!$D:$D,I$1,'Cutters Consumption Updates'!$B:$B,$B57)+ SUMIF('Cutters Consumption Updates'!$AS:$AS,$B57,'Cutters Consumption Updates'!AT:AT)</f>
        <v>0</v>
      </c>
      <c r="J57" s="10">
        <f>SUMIFS('Cutters Consumption Updates'!$F:$F,'Cutters Consumption Updates'!$D:$D,J$1,'Cutters Consumption Updates'!$B:$B,$B57)-SUMIFS('Cutters Consumption Updates'!$E:$E,'Cutters Consumption Updates'!$D:$D,J$1,'Cutters Consumption Updates'!$B:$B,$B57)+ SUMIF('Cutters Consumption Updates'!$AS:$AS,$B57,'Cutters Consumption Updates'!AU:AU)</f>
        <v>0</v>
      </c>
      <c r="K57" s="116">
        <f>SUMIFS('Cutters Consumption Updates'!$F:$F,'Cutters Consumption Updates'!$D:$D,K$1,'Cutters Consumption Updates'!$B:$B,$B57)-SUMIFS('Cutters Consumption Updates'!$E:$E,'Cutters Consumption Updates'!$D:$D,K$1,'Cutters Consumption Updates'!$B:$B,$B57)+ SUMIF('Cutters Consumption Updates'!$AS:$AS,$B57,'Cutters Consumption Updates'!AV:AV)</f>
        <v>0</v>
      </c>
      <c r="L57" s="738">
        <f>SUMIFS('Cutters Consumption Updates'!$F:$F,'Cutters Consumption Updates'!$D:$D,L$1,'Cutters Consumption Updates'!$B:$B,$B57)-SUMIFS('Cutters Consumption Updates'!$E:$E,'Cutters Consumption Updates'!$D:$D,L$1,'Cutters Consumption Updates'!$B:$B,$B57)+ SUMIF('Cutters Consumption Updates'!$AS:$AS,$B57,'Cutters Consumption Updates'!AW:AW)</f>
        <v>0</v>
      </c>
      <c r="M57" s="116">
        <f>SUMIFS('Cutters Consumption Updates'!$F:$F,'Cutters Consumption Updates'!$D:$D,M$1,'Cutters Consumption Updates'!$B:$B,$B57)-SUMIFS('Cutters Consumption Updates'!$E:$E,'Cutters Consumption Updates'!$D:$D,$M$1,'Cutters Consumption Updates'!$B:$B,$B57)+SUMIFS('Cutters Consumption Updates'!$F:$F,'Cutters Consumption Updates'!$D:$D,"Retrofit",'Cutters Consumption Updates'!$B:$B,$B57)-SUMIFS('Cutters Consumption Updates'!$E:$E,'Cutters Consumption Updates'!$D:$D,"Retrofit",'Cutters Consumption Updates'!$B:$B,$B57)+ SUMIF('Cutters Consumption Updates'!$AS:$AS,$B57,'Cutters Consumption Updates'!AX:AX)</f>
        <v>0</v>
      </c>
      <c r="N57" s="10">
        <f t="shared" si="0"/>
        <v>0</v>
      </c>
      <c r="O57" s="701">
        <f ca="1">SUMIFS('Cutters Consumption Updates'!E:E,
        'Cutters Consumption Updates'!B:B, B57,
        'Cutters Consumption Updates'!A:A, "&gt;" &amp; TODAY()-182)</f>
        <v>0</v>
      </c>
      <c r="P57" s="701">
        <f ca="1">SUMIFS('Cutters Consumption Updates'!E:E,
        'Cutters Consumption Updates'!B:B, B57,
        'Cutters Consumption Updates'!A:A, "&gt;" &amp; TODAY()-91)</f>
        <v>0</v>
      </c>
      <c r="Q57" s="701">
        <f t="shared" ca="1" si="1"/>
        <v>0</v>
      </c>
      <c r="R57" s="703">
        <f t="shared" ca="1" si="2"/>
        <v>0</v>
      </c>
      <c r="S57" s="703" t="s">
        <v>29</v>
      </c>
      <c r="T57" s="24">
        <f>IFERROR(INDEX(Table5[],MATCH($B57,Table5[Component],0),2),0)</f>
        <v>0</v>
      </c>
      <c r="U57" s="24">
        <f>SUMIFS(Table7[Balance],Table7[Cutter Mat'#],$B57)</f>
        <v>0</v>
      </c>
      <c r="V57" s="24">
        <f t="shared" si="3"/>
        <v>0</v>
      </c>
      <c r="W57" s="119"/>
      <c r="X57" s="2"/>
      <c r="Z57" s="4">
        <f>IFERROR(INDEX(Table5[],MATCH($B57,Table5[Component],0),2),0)</f>
        <v>0</v>
      </c>
      <c r="AA57" s="4">
        <f>IFERROR(INDEX(Table5[],MATCH($B57,Table5[Component],0),1),0)</f>
        <v>0</v>
      </c>
      <c r="AB57" s="4" t="str">
        <f t="shared" si="4"/>
        <v/>
      </c>
      <c r="AC57" s="4" t="str">
        <f t="shared" si="5"/>
        <v/>
      </c>
      <c r="AE57" s="4">
        <f t="shared" si="6"/>
        <v>0</v>
      </c>
      <c r="AF57" s="9"/>
      <c r="AJ57" s="248" t="str">
        <f t="shared" si="7"/>
        <v/>
      </c>
      <c r="AK57" s="248" t="str">
        <f t="shared" si="8"/>
        <v/>
      </c>
      <c r="AL57">
        <f t="shared" si="9"/>
        <v>0</v>
      </c>
      <c r="AQ57">
        <f t="shared" si="11"/>
        <v>0</v>
      </c>
      <c r="AS57">
        <v>729690</v>
      </c>
      <c r="AT57">
        <f t="shared" si="10"/>
        <v>0</v>
      </c>
    </row>
    <row r="58" spans="1:46" ht="15.65" customHeight="1" x14ac:dyDescent="0.35">
      <c r="A58" s="2">
        <v>57</v>
      </c>
      <c r="B58" s="2">
        <v>752555</v>
      </c>
      <c r="C58" s="2" t="s">
        <v>26</v>
      </c>
      <c r="D58" s="2">
        <v>1313</v>
      </c>
      <c r="E58" s="2" t="s">
        <v>76</v>
      </c>
      <c r="F58" s="2" t="s">
        <v>253</v>
      </c>
      <c r="G58" s="6"/>
      <c r="H58" s="6" t="s">
        <v>28</v>
      </c>
      <c r="I58" s="10">
        <f>SUMIFS('Cutters Consumption Updates'!$F:$F,'Cutters Consumption Updates'!$D:$D,I$1,'Cutters Consumption Updates'!$B:$B,$B58)-SUMIFS('Cutters Consumption Updates'!$E:$E,'Cutters Consumption Updates'!$D:$D,I$1,'Cutters Consumption Updates'!$B:$B,$B58)+ SUMIF('Cutters Consumption Updates'!$AS:$AS,$B58,'Cutters Consumption Updates'!AT:AT)</f>
        <v>0</v>
      </c>
      <c r="J58" s="10">
        <f>SUMIFS('Cutters Consumption Updates'!$F:$F,'Cutters Consumption Updates'!$D:$D,J$1,'Cutters Consumption Updates'!$B:$B,$B58)-SUMIFS('Cutters Consumption Updates'!$E:$E,'Cutters Consumption Updates'!$D:$D,J$1,'Cutters Consumption Updates'!$B:$B,$B58)+ SUMIF('Cutters Consumption Updates'!$AS:$AS,$B58,'Cutters Consumption Updates'!AU:AU)</f>
        <v>0</v>
      </c>
      <c r="K58" s="116">
        <f>SUMIFS('Cutters Consumption Updates'!$F:$F,'Cutters Consumption Updates'!$D:$D,K$1,'Cutters Consumption Updates'!$B:$B,$B58)-SUMIFS('Cutters Consumption Updates'!$E:$E,'Cutters Consumption Updates'!$D:$D,K$1,'Cutters Consumption Updates'!$B:$B,$B58)+ SUMIF('Cutters Consumption Updates'!$AS:$AS,$B58,'Cutters Consumption Updates'!AV:AV)</f>
        <v>0</v>
      </c>
      <c r="L58" s="738">
        <f>SUMIFS('Cutters Consumption Updates'!$F:$F,'Cutters Consumption Updates'!$D:$D,L$1,'Cutters Consumption Updates'!$B:$B,$B58)-SUMIFS('Cutters Consumption Updates'!$E:$E,'Cutters Consumption Updates'!$D:$D,L$1,'Cutters Consumption Updates'!$B:$B,$B58)+ SUMIF('Cutters Consumption Updates'!$AS:$AS,$B58,'Cutters Consumption Updates'!AW:AW)</f>
        <v>0</v>
      </c>
      <c r="M58" s="116">
        <f>SUMIFS('Cutters Consumption Updates'!$F:$F,'Cutters Consumption Updates'!$D:$D,M$1,'Cutters Consumption Updates'!$B:$B,$B58)-SUMIFS('Cutters Consumption Updates'!$E:$E,'Cutters Consumption Updates'!$D:$D,$M$1,'Cutters Consumption Updates'!$B:$B,$B58)+SUMIFS('Cutters Consumption Updates'!$F:$F,'Cutters Consumption Updates'!$D:$D,"Retrofit",'Cutters Consumption Updates'!$B:$B,$B58)-SUMIFS('Cutters Consumption Updates'!$E:$E,'Cutters Consumption Updates'!$D:$D,"Retrofit",'Cutters Consumption Updates'!$B:$B,$B58)+ SUMIF('Cutters Consumption Updates'!$AS:$AS,$B58,'Cutters Consumption Updates'!AX:AX)</f>
        <v>1</v>
      </c>
      <c r="N58" s="10">
        <f t="shared" si="0"/>
        <v>1</v>
      </c>
      <c r="O58" s="701">
        <f ca="1">SUMIFS('Cutters Consumption Updates'!E:E,
        'Cutters Consumption Updates'!B:B, B58,
        'Cutters Consumption Updates'!A:A, "&gt;" &amp; TODAY()-182)</f>
        <v>0</v>
      </c>
      <c r="P58" s="701">
        <f ca="1">SUMIFS('Cutters Consumption Updates'!E:E,
        'Cutters Consumption Updates'!B:B, B58,
        'Cutters Consumption Updates'!A:A, "&gt;" &amp; TODAY()-91)</f>
        <v>0</v>
      </c>
      <c r="Q58" s="701">
        <f t="shared" ca="1" si="1"/>
        <v>0</v>
      </c>
      <c r="R58" s="703">
        <f t="shared" ca="1" si="2"/>
        <v>0</v>
      </c>
      <c r="S58" s="703" t="s">
        <v>29</v>
      </c>
      <c r="T58" s="24">
        <f>IFERROR(INDEX(Table5[],MATCH($B58,Table5[Component],0),2),0)</f>
        <v>0</v>
      </c>
      <c r="U58" s="24">
        <f>SUMIFS(Table7[Balance],Table7[Cutter Mat'#],$B58)</f>
        <v>0</v>
      </c>
      <c r="V58" s="24">
        <f t="shared" si="3"/>
        <v>1</v>
      </c>
      <c r="W58" s="119"/>
      <c r="X58" s="2"/>
      <c r="Z58" s="4">
        <f>IFERROR(INDEX(Table5[],MATCH($B58,Table5[Component],0),2),0)</f>
        <v>0</v>
      </c>
      <c r="AA58" s="4">
        <f>IFERROR(INDEX(Table5[],MATCH($B58,Table5[Component],0),1),0)</f>
        <v>0</v>
      </c>
      <c r="AB58" s="4" t="str">
        <f t="shared" si="4"/>
        <v/>
      </c>
      <c r="AC58" s="4" t="str">
        <f t="shared" si="5"/>
        <v/>
      </c>
      <c r="AE58" s="4">
        <f t="shared" si="6"/>
        <v>1</v>
      </c>
      <c r="AF58" s="9"/>
      <c r="AJ58" s="248" t="str">
        <f t="shared" si="7"/>
        <v/>
      </c>
      <c r="AK58" s="248" t="str">
        <f t="shared" si="8"/>
        <v/>
      </c>
      <c r="AL58">
        <f t="shared" si="9"/>
        <v>0</v>
      </c>
      <c r="AQ58">
        <f t="shared" si="11"/>
        <v>0</v>
      </c>
      <c r="AS58">
        <v>729691</v>
      </c>
      <c r="AT58">
        <f t="shared" si="10"/>
        <v>0</v>
      </c>
    </row>
    <row r="59" spans="1:46" ht="15.65" customHeight="1" x14ac:dyDescent="0.35">
      <c r="A59" s="2">
        <v>58</v>
      </c>
      <c r="B59" s="2">
        <v>647436</v>
      </c>
      <c r="C59" s="2" t="s">
        <v>26</v>
      </c>
      <c r="D59" s="2">
        <v>1613</v>
      </c>
      <c r="E59" s="2" t="s">
        <v>51</v>
      </c>
      <c r="F59" s="2" t="s">
        <v>253</v>
      </c>
      <c r="G59" s="6"/>
      <c r="H59" s="6" t="s">
        <v>47</v>
      </c>
      <c r="I59" s="10">
        <f>SUMIFS('Cutters Consumption Updates'!$F:$F,'Cutters Consumption Updates'!$D:$D,I$1,'Cutters Consumption Updates'!$B:$B,$B59)-SUMIFS('Cutters Consumption Updates'!$E:$E,'Cutters Consumption Updates'!$D:$D,I$1,'Cutters Consumption Updates'!$B:$B,$B59)+ SUMIF('Cutters Consumption Updates'!$AS:$AS,$B59,'Cutters Consumption Updates'!AT:AT)</f>
        <v>68</v>
      </c>
      <c r="J59" s="10">
        <f>SUMIFS('Cutters Consumption Updates'!$F:$F,'Cutters Consumption Updates'!$D:$D,J$1,'Cutters Consumption Updates'!$B:$B,$B59)-SUMIFS('Cutters Consumption Updates'!$E:$E,'Cutters Consumption Updates'!$D:$D,J$1,'Cutters Consumption Updates'!$B:$B,$B59)+ SUMIF('Cutters Consumption Updates'!$AS:$AS,$B59,'Cutters Consumption Updates'!AU:AU)</f>
        <v>42</v>
      </c>
      <c r="K59" s="116">
        <f>SUMIFS('Cutters Consumption Updates'!$F:$F,'Cutters Consumption Updates'!$D:$D,K$1,'Cutters Consumption Updates'!$B:$B,$B59)-SUMIFS('Cutters Consumption Updates'!$E:$E,'Cutters Consumption Updates'!$D:$D,K$1,'Cutters Consumption Updates'!$B:$B,$B59)+ SUMIF('Cutters Consumption Updates'!$AS:$AS,$B59,'Cutters Consumption Updates'!AV:AV)</f>
        <v>0</v>
      </c>
      <c r="L59" s="738">
        <f>SUMIFS('Cutters Consumption Updates'!$F:$F,'Cutters Consumption Updates'!$D:$D,L$1,'Cutters Consumption Updates'!$B:$B,$B59)-SUMIFS('Cutters Consumption Updates'!$E:$E,'Cutters Consumption Updates'!$D:$D,L$1,'Cutters Consumption Updates'!$B:$B,$B59)+ SUMIF('Cutters Consumption Updates'!$AS:$AS,$B59,'Cutters Consumption Updates'!AW:AW)</f>
        <v>1</v>
      </c>
      <c r="M59" s="116">
        <f>SUMIFS('Cutters Consumption Updates'!$F:$F,'Cutters Consumption Updates'!$D:$D,M$1,'Cutters Consumption Updates'!$B:$B,$B59)-SUMIFS('Cutters Consumption Updates'!$E:$E,'Cutters Consumption Updates'!$D:$D,$M$1,'Cutters Consumption Updates'!$B:$B,$B59)+SUMIFS('Cutters Consumption Updates'!$F:$F,'Cutters Consumption Updates'!$D:$D,"Retrofit",'Cutters Consumption Updates'!$B:$B,$B59)-SUMIFS('Cutters Consumption Updates'!$E:$E,'Cutters Consumption Updates'!$D:$D,"Retrofit",'Cutters Consumption Updates'!$B:$B,$B59)+ SUMIF('Cutters Consumption Updates'!$AS:$AS,$B59,'Cutters Consumption Updates'!AX:AX)</f>
        <v>285</v>
      </c>
      <c r="N59" s="10">
        <f t="shared" si="0"/>
        <v>353</v>
      </c>
      <c r="O59" s="701">
        <f ca="1">SUMIFS('Cutters Consumption Updates'!E:E,
        'Cutters Consumption Updates'!B:B, B59,
        'Cutters Consumption Updates'!A:A, "&gt;" &amp; TODAY()-182)</f>
        <v>412</v>
      </c>
      <c r="P59" s="701">
        <f ca="1">SUMIFS('Cutters Consumption Updates'!E:E,
        'Cutters Consumption Updates'!B:B, B59,
        'Cutters Consumption Updates'!A:A, "&gt;" &amp; TODAY()-91)</f>
        <v>120</v>
      </c>
      <c r="Q59" s="701">
        <f t="shared" ca="1" si="1"/>
        <v>138</v>
      </c>
      <c r="R59" s="703">
        <f t="shared" ca="1" si="2"/>
        <v>145</v>
      </c>
      <c r="S59" s="703" t="s">
        <v>80</v>
      </c>
      <c r="T59" s="24">
        <f>IFERROR(INDEX(Table5[],MATCH($B59,Table5[Component],0),2),0)</f>
        <v>705</v>
      </c>
      <c r="U59" s="24">
        <f>SUMIFS(Table7[Balance],Table7[Cutter Mat'#],$B59)</f>
        <v>0</v>
      </c>
      <c r="V59" s="24">
        <f t="shared" si="3"/>
        <v>-352</v>
      </c>
      <c r="W59" s="119"/>
      <c r="X59" s="2"/>
      <c r="Z59" s="4">
        <f>IFERROR(INDEX(Table5[],MATCH($B59,Table5[Component],0),2),0)</f>
        <v>705</v>
      </c>
      <c r="AA59" s="4">
        <f>IFERROR(INDEX(Table5[],MATCH($B59,Table5[Component],0),1),0)</f>
        <v>647436</v>
      </c>
      <c r="AB59" s="4">
        <f t="shared" si="4"/>
        <v>647436</v>
      </c>
      <c r="AC59" s="4" t="str">
        <f t="shared" si="5"/>
        <v/>
      </c>
      <c r="AE59" s="4">
        <f t="shared" si="6"/>
        <v>395</v>
      </c>
      <c r="AF59" s="9"/>
      <c r="AJ59" s="248" t="str">
        <f t="shared" si="7"/>
        <v/>
      </c>
      <c r="AK59" s="248" t="str">
        <f t="shared" si="8"/>
        <v/>
      </c>
      <c r="AL59">
        <f t="shared" si="9"/>
        <v>0</v>
      </c>
      <c r="AQ59">
        <f t="shared" si="11"/>
        <v>0</v>
      </c>
      <c r="AS59">
        <v>738227</v>
      </c>
      <c r="AT59">
        <f t="shared" si="10"/>
        <v>0</v>
      </c>
    </row>
    <row r="60" spans="1:46" ht="15.65" customHeight="1" x14ac:dyDescent="0.35">
      <c r="A60" s="2">
        <v>59</v>
      </c>
      <c r="B60" s="2">
        <v>871781</v>
      </c>
      <c r="C60" s="2" t="s">
        <v>26</v>
      </c>
      <c r="D60" s="2">
        <v>1313</v>
      </c>
      <c r="E60" s="2" t="s">
        <v>51</v>
      </c>
      <c r="F60" s="2" t="s">
        <v>253</v>
      </c>
      <c r="G60" s="6"/>
      <c r="H60" s="6" t="s">
        <v>47</v>
      </c>
      <c r="I60" s="10">
        <f>SUMIFS('Cutters Consumption Updates'!$F:$F,'Cutters Consumption Updates'!$D:$D,I$1,'Cutters Consumption Updates'!$B:$B,$B60)-SUMIFS('Cutters Consumption Updates'!$E:$E,'Cutters Consumption Updates'!$D:$D,I$1,'Cutters Consumption Updates'!$B:$B,$B60)+ SUMIF('Cutters Consumption Updates'!$AS:$AS,$B60,'Cutters Consumption Updates'!AT:AT)</f>
        <v>18</v>
      </c>
      <c r="J60" s="10">
        <f>SUMIFS('Cutters Consumption Updates'!$F:$F,'Cutters Consumption Updates'!$D:$D,J$1,'Cutters Consumption Updates'!$B:$B,$B60)-SUMIFS('Cutters Consumption Updates'!$E:$E,'Cutters Consumption Updates'!$D:$D,J$1,'Cutters Consumption Updates'!$B:$B,$B60)+ SUMIF('Cutters Consumption Updates'!$AS:$AS,$B60,'Cutters Consumption Updates'!AU:AU)</f>
        <v>1</v>
      </c>
      <c r="K60" s="116">
        <f>SUMIFS('Cutters Consumption Updates'!$F:$F,'Cutters Consumption Updates'!$D:$D,K$1,'Cutters Consumption Updates'!$B:$B,$B60)-SUMIFS('Cutters Consumption Updates'!$E:$E,'Cutters Consumption Updates'!$D:$D,K$1,'Cutters Consumption Updates'!$B:$B,$B60)+ SUMIF('Cutters Consumption Updates'!$AS:$AS,$B60,'Cutters Consumption Updates'!AV:AV)</f>
        <v>0</v>
      </c>
      <c r="L60" s="738">
        <f>SUMIFS('Cutters Consumption Updates'!$F:$F,'Cutters Consumption Updates'!$D:$D,L$1,'Cutters Consumption Updates'!$B:$B,$B60)-SUMIFS('Cutters Consumption Updates'!$E:$E,'Cutters Consumption Updates'!$D:$D,L$1,'Cutters Consumption Updates'!$B:$B,$B60)+ SUMIF('Cutters Consumption Updates'!$AS:$AS,$B60,'Cutters Consumption Updates'!AW:AW)</f>
        <v>33</v>
      </c>
      <c r="M60" s="116">
        <f>SUMIFS('Cutters Consumption Updates'!$F:$F,'Cutters Consumption Updates'!$D:$D,M$1,'Cutters Consumption Updates'!$B:$B,$B60)-SUMIFS('Cutters Consumption Updates'!$E:$E,'Cutters Consumption Updates'!$D:$D,$M$1,'Cutters Consumption Updates'!$B:$B,$B60)+SUMIFS('Cutters Consumption Updates'!$F:$F,'Cutters Consumption Updates'!$D:$D,"Retrofit",'Cutters Consumption Updates'!$B:$B,$B60)-SUMIFS('Cutters Consumption Updates'!$E:$E,'Cutters Consumption Updates'!$D:$D,"Retrofit",'Cutters Consumption Updates'!$B:$B,$B60)+ SUMIF('Cutters Consumption Updates'!$AS:$AS,$B60,'Cutters Consumption Updates'!AX:AX)</f>
        <v>-266</v>
      </c>
      <c r="N60" s="10">
        <f t="shared" si="0"/>
        <v>-248</v>
      </c>
      <c r="O60" s="701">
        <f ca="1">SUMIFS('Cutters Consumption Updates'!E:E,
        'Cutters Consumption Updates'!B:B, B60,
        'Cutters Consumption Updates'!A:A, "&gt;" &amp; TODAY()-182)</f>
        <v>843</v>
      </c>
      <c r="P60" s="701">
        <f ca="1">SUMIFS('Cutters Consumption Updates'!E:E,
        'Cutters Consumption Updates'!B:B, B60,
        'Cutters Consumption Updates'!A:A, "&gt;" &amp; TODAY()-91)</f>
        <v>522</v>
      </c>
      <c r="Q60" s="701">
        <f t="shared" ca="1" si="1"/>
        <v>281</v>
      </c>
      <c r="R60" s="703">
        <f t="shared" ca="1" si="2"/>
        <v>290</v>
      </c>
      <c r="S60" s="703" t="s">
        <v>52</v>
      </c>
      <c r="T60" s="24">
        <f>IFERROR(INDEX(Table5[],MATCH($B60,Table5[Component],0),2),0)</f>
        <v>772</v>
      </c>
      <c r="U60" s="24">
        <f>SUMIFS(Table7[Balance],Table7[Cutter Mat'#],$B60)</f>
        <v>300</v>
      </c>
      <c r="V60" s="24">
        <f t="shared" si="3"/>
        <v>-720</v>
      </c>
      <c r="W60" s="119"/>
      <c r="X60" s="2"/>
      <c r="Z60" s="4">
        <f>IFERROR(INDEX(Table5[],MATCH($B60,Table5[Component],0),2),0)</f>
        <v>772</v>
      </c>
      <c r="AA60" s="4">
        <f>IFERROR(INDEX(Table5[],MATCH($B60,Table5[Component],0),1),0)</f>
        <v>871781</v>
      </c>
      <c r="AB60" s="4">
        <f t="shared" si="4"/>
        <v>871781</v>
      </c>
      <c r="AC60" s="4" t="str">
        <f t="shared" si="5"/>
        <v/>
      </c>
      <c r="AE60" s="4">
        <f t="shared" si="6"/>
        <v>-247</v>
      </c>
      <c r="AF60" s="9"/>
      <c r="AJ60" s="248" t="str">
        <f t="shared" si="7"/>
        <v/>
      </c>
      <c r="AK60" s="248" t="str">
        <f t="shared" si="8"/>
        <v/>
      </c>
      <c r="AL60">
        <f t="shared" si="9"/>
        <v>0</v>
      </c>
      <c r="AQ60">
        <f t="shared" si="11"/>
        <v>300</v>
      </c>
      <c r="AS60">
        <v>738228</v>
      </c>
      <c r="AT60">
        <f t="shared" si="10"/>
        <v>0</v>
      </c>
    </row>
    <row r="61" spans="1:46" ht="15.65" customHeight="1" x14ac:dyDescent="0.35">
      <c r="A61" s="2">
        <v>60</v>
      </c>
      <c r="B61" s="2">
        <v>625854</v>
      </c>
      <c r="C61" s="2" t="s">
        <v>81</v>
      </c>
      <c r="D61" s="2">
        <v>1318</v>
      </c>
      <c r="E61" s="2" t="s">
        <v>35</v>
      </c>
      <c r="F61" s="2"/>
      <c r="G61" s="6"/>
      <c r="H61" s="6" t="s">
        <v>36</v>
      </c>
      <c r="I61" s="10">
        <f>SUMIFS('Cutters Consumption Updates'!$F:$F,'Cutters Consumption Updates'!$D:$D,I$1,'Cutters Consumption Updates'!$B:$B,$B61)-SUMIFS('Cutters Consumption Updates'!$E:$E,'Cutters Consumption Updates'!$D:$D,I$1,'Cutters Consumption Updates'!$B:$B,$B61)+ SUMIF('Cutters Consumption Updates'!$AS:$AS,$B61,'Cutters Consumption Updates'!AT:AT)</f>
        <v>53</v>
      </c>
      <c r="J61" s="10">
        <f>SUMIFS('Cutters Consumption Updates'!$F:$F,'Cutters Consumption Updates'!$D:$D,J$1,'Cutters Consumption Updates'!$B:$B,$B61)-SUMIFS('Cutters Consumption Updates'!$E:$E,'Cutters Consumption Updates'!$D:$D,J$1,'Cutters Consumption Updates'!$B:$B,$B61)+ SUMIF('Cutters Consumption Updates'!$AS:$AS,$B61,'Cutters Consumption Updates'!AU:AU)</f>
        <v>0</v>
      </c>
      <c r="K61" s="116">
        <f>SUMIFS('Cutters Consumption Updates'!$F:$F,'Cutters Consumption Updates'!$D:$D,K$1,'Cutters Consumption Updates'!$B:$B,$B61)-SUMIFS('Cutters Consumption Updates'!$E:$E,'Cutters Consumption Updates'!$D:$D,K$1,'Cutters Consumption Updates'!$B:$B,$B61)+ SUMIF('Cutters Consumption Updates'!$AS:$AS,$B61,'Cutters Consumption Updates'!AV:AV)</f>
        <v>0</v>
      </c>
      <c r="L61" s="738">
        <f>SUMIFS('Cutters Consumption Updates'!$F:$F,'Cutters Consumption Updates'!$D:$D,L$1,'Cutters Consumption Updates'!$B:$B,$B61)-SUMIFS('Cutters Consumption Updates'!$E:$E,'Cutters Consumption Updates'!$D:$D,L$1,'Cutters Consumption Updates'!$B:$B,$B61)+ SUMIF('Cutters Consumption Updates'!$AS:$AS,$B61,'Cutters Consumption Updates'!AW:AW)</f>
        <v>0</v>
      </c>
      <c r="M61" s="116">
        <f>SUMIFS('Cutters Consumption Updates'!$F:$F,'Cutters Consumption Updates'!$D:$D,M$1,'Cutters Consumption Updates'!$B:$B,$B61)-SUMIFS('Cutters Consumption Updates'!$E:$E,'Cutters Consumption Updates'!$D:$D,$M$1,'Cutters Consumption Updates'!$B:$B,$B61)+SUMIFS('Cutters Consumption Updates'!$F:$F,'Cutters Consumption Updates'!$D:$D,"Retrofit",'Cutters Consumption Updates'!$B:$B,$B61)-SUMIFS('Cutters Consumption Updates'!$E:$E,'Cutters Consumption Updates'!$D:$D,"Retrofit",'Cutters Consumption Updates'!$B:$B,$B61)+ SUMIF('Cutters Consumption Updates'!$AS:$AS,$B61,'Cutters Consumption Updates'!AX:AX)</f>
        <v>110</v>
      </c>
      <c r="N61" s="10">
        <f t="shared" si="0"/>
        <v>163</v>
      </c>
      <c r="O61" s="701">
        <f ca="1">SUMIFS('Cutters Consumption Updates'!E:E,
        'Cutters Consumption Updates'!B:B, B61,
        'Cutters Consumption Updates'!A:A, "&gt;" &amp; TODAY()-182)</f>
        <v>74</v>
      </c>
      <c r="P61" s="701">
        <f ca="1">SUMIFS('Cutters Consumption Updates'!E:E,
        'Cutters Consumption Updates'!B:B, B61,
        'Cutters Consumption Updates'!A:A, "&gt;" &amp; TODAY()-91)</f>
        <v>44</v>
      </c>
      <c r="Q61" s="701">
        <f t="shared" ca="1" si="1"/>
        <v>25</v>
      </c>
      <c r="R61" s="703">
        <f t="shared" ca="1" si="2"/>
        <v>30</v>
      </c>
      <c r="S61" s="703" t="s">
        <v>29</v>
      </c>
      <c r="T61" s="24">
        <f>IFERROR(INDEX(Table5[],MATCH($B61,Table5[Component],0),2),0)</f>
        <v>245</v>
      </c>
      <c r="U61" s="24">
        <f>SUMIFS(Table7[Balance],Table7[Cutter Mat'#],$B61)</f>
        <v>0</v>
      </c>
      <c r="V61" s="24">
        <f t="shared" si="3"/>
        <v>-82</v>
      </c>
      <c r="W61" s="119"/>
      <c r="X61" s="2"/>
      <c r="Z61" s="4">
        <f>IFERROR(INDEX(Table5[],MATCH($B61,Table5[Component],0),2),0)</f>
        <v>245</v>
      </c>
      <c r="AA61" s="4">
        <f>IFERROR(INDEX(Table5[],MATCH($B61,Table5[Component],0),1),0)</f>
        <v>625854</v>
      </c>
      <c r="AB61" s="4">
        <f t="shared" si="4"/>
        <v>625854</v>
      </c>
      <c r="AC61" s="4" t="str">
        <f t="shared" si="5"/>
        <v/>
      </c>
      <c r="AE61" s="4">
        <f t="shared" si="6"/>
        <v>163</v>
      </c>
      <c r="AF61" s="9"/>
      <c r="AJ61" s="248" t="str">
        <f t="shared" si="7"/>
        <v/>
      </c>
      <c r="AK61" s="248" t="str">
        <f t="shared" si="8"/>
        <v/>
      </c>
      <c r="AL61">
        <f t="shared" si="9"/>
        <v>0</v>
      </c>
      <c r="AQ61">
        <f t="shared" si="11"/>
        <v>0</v>
      </c>
      <c r="AS61">
        <v>742473</v>
      </c>
      <c r="AT61">
        <f t="shared" si="10"/>
        <v>0</v>
      </c>
    </row>
    <row r="62" spans="1:46" ht="15.65" customHeight="1" x14ac:dyDescent="0.35">
      <c r="A62" s="2">
        <v>61</v>
      </c>
      <c r="B62" s="2">
        <v>770451</v>
      </c>
      <c r="C62" s="2" t="s">
        <v>42</v>
      </c>
      <c r="D62" s="2">
        <v>19</v>
      </c>
      <c r="E62" s="2" t="s">
        <v>53</v>
      </c>
      <c r="F62" s="2" t="s">
        <v>253</v>
      </c>
      <c r="G62" s="6" t="s">
        <v>68</v>
      </c>
      <c r="H62" s="6" t="s">
        <v>47</v>
      </c>
      <c r="I62" s="10">
        <f>SUMIFS('Cutters Consumption Updates'!$F:$F,'Cutters Consumption Updates'!$D:$D,I$1,'Cutters Consumption Updates'!$B:$B,$B62)-SUMIFS('Cutters Consumption Updates'!$E:$E,'Cutters Consumption Updates'!$D:$D,I$1,'Cutters Consumption Updates'!$B:$B,$B62)+ SUMIF('Cutters Consumption Updates'!$AS:$AS,$B62,'Cutters Consumption Updates'!AT:AT)</f>
        <v>0</v>
      </c>
      <c r="J62" s="10">
        <f>SUMIFS('Cutters Consumption Updates'!$F:$F,'Cutters Consumption Updates'!$D:$D,J$1,'Cutters Consumption Updates'!$B:$B,$B62)-SUMIFS('Cutters Consumption Updates'!$E:$E,'Cutters Consumption Updates'!$D:$D,J$1,'Cutters Consumption Updates'!$B:$B,$B62)+ SUMIF('Cutters Consumption Updates'!$AS:$AS,$B62,'Cutters Consumption Updates'!AU:AU)</f>
        <v>0</v>
      </c>
      <c r="K62" s="116">
        <f>SUMIFS('Cutters Consumption Updates'!$F:$F,'Cutters Consumption Updates'!$D:$D,K$1,'Cutters Consumption Updates'!$B:$B,$B62)-SUMIFS('Cutters Consumption Updates'!$E:$E,'Cutters Consumption Updates'!$D:$D,K$1,'Cutters Consumption Updates'!$B:$B,$B62)+ SUMIF('Cutters Consumption Updates'!$AS:$AS,$B62,'Cutters Consumption Updates'!AV:AV)</f>
        <v>0</v>
      </c>
      <c r="L62" s="738">
        <f>SUMIFS('Cutters Consumption Updates'!$F:$F,'Cutters Consumption Updates'!$D:$D,L$1,'Cutters Consumption Updates'!$B:$B,$B62)-SUMIFS('Cutters Consumption Updates'!$E:$E,'Cutters Consumption Updates'!$D:$D,L$1,'Cutters Consumption Updates'!$B:$B,$B62)+ SUMIF('Cutters Consumption Updates'!$AS:$AS,$B62,'Cutters Consumption Updates'!AW:AW)</f>
        <v>6</v>
      </c>
      <c r="M62" s="116">
        <f>SUMIFS('Cutters Consumption Updates'!$F:$F,'Cutters Consumption Updates'!$D:$D,M$1,'Cutters Consumption Updates'!$B:$B,$B62)-SUMIFS('Cutters Consumption Updates'!$E:$E,'Cutters Consumption Updates'!$D:$D,$M$1,'Cutters Consumption Updates'!$B:$B,$B62)+SUMIFS('Cutters Consumption Updates'!$F:$F,'Cutters Consumption Updates'!$D:$D,"Retrofit",'Cutters Consumption Updates'!$B:$B,$B62)-SUMIFS('Cutters Consumption Updates'!$E:$E,'Cutters Consumption Updates'!$D:$D,"Retrofit",'Cutters Consumption Updates'!$B:$B,$B62)+ SUMIF('Cutters Consumption Updates'!$AS:$AS,$B62,'Cutters Consumption Updates'!AX:AX)</f>
        <v>12</v>
      </c>
      <c r="N62" s="10">
        <f t="shared" si="0"/>
        <v>12</v>
      </c>
      <c r="O62" s="701">
        <f ca="1">SUMIFS('Cutters Consumption Updates'!E:E,
        'Cutters Consumption Updates'!B:B, B62,
        'Cutters Consumption Updates'!A:A, "&gt;" &amp; TODAY()-182)</f>
        <v>0</v>
      </c>
      <c r="P62" s="701">
        <f ca="1">SUMIFS('Cutters Consumption Updates'!E:E,
        'Cutters Consumption Updates'!B:B, B62,
        'Cutters Consumption Updates'!A:A, "&gt;" &amp; TODAY()-91)</f>
        <v>0</v>
      </c>
      <c r="Q62" s="701">
        <f t="shared" ca="1" si="1"/>
        <v>0</v>
      </c>
      <c r="R62" s="703">
        <f t="shared" ca="1" si="2"/>
        <v>0</v>
      </c>
      <c r="S62" s="703" t="s">
        <v>29</v>
      </c>
      <c r="T62" s="24">
        <f>IFERROR(INDEX(Table5[],MATCH($B62,Table5[Component],0),2),0)</f>
        <v>0</v>
      </c>
      <c r="U62" s="24">
        <f>SUMIFS(Table7[Balance],Table7[Cutter Mat'#],$B62)</f>
        <v>0</v>
      </c>
      <c r="V62" s="24">
        <f t="shared" si="3"/>
        <v>12</v>
      </c>
      <c r="W62" s="119"/>
      <c r="X62" s="2"/>
      <c r="Z62" s="4">
        <f>IFERROR(INDEX(Table5[],MATCH($B62,Table5[Component],0),2),0)</f>
        <v>0</v>
      </c>
      <c r="AA62" s="4">
        <f>IFERROR(INDEX(Table5[],MATCH($B62,Table5[Component],0),1),0)</f>
        <v>0</v>
      </c>
      <c r="AB62" s="4" t="str">
        <f t="shared" si="4"/>
        <v/>
      </c>
      <c r="AC62" s="4" t="str">
        <f t="shared" si="5"/>
        <v/>
      </c>
      <c r="AE62" s="4">
        <f t="shared" si="6"/>
        <v>12</v>
      </c>
      <c r="AF62" s="9"/>
      <c r="AJ62" s="248" t="str">
        <f t="shared" si="7"/>
        <v/>
      </c>
      <c r="AK62" s="248" t="str">
        <f t="shared" si="8"/>
        <v/>
      </c>
      <c r="AL62">
        <f t="shared" si="9"/>
        <v>0</v>
      </c>
      <c r="AQ62">
        <f t="shared" si="11"/>
        <v>0</v>
      </c>
      <c r="AS62">
        <v>742617</v>
      </c>
      <c r="AT62">
        <f t="shared" si="10"/>
        <v>0</v>
      </c>
    </row>
    <row r="63" spans="1:46" ht="15.65" customHeight="1" x14ac:dyDescent="0.35">
      <c r="A63" s="2">
        <v>62</v>
      </c>
      <c r="B63" s="2">
        <v>755975</v>
      </c>
      <c r="C63" s="2" t="s">
        <v>26</v>
      </c>
      <c r="D63" s="2">
        <v>1913</v>
      </c>
      <c r="E63" s="2" t="s">
        <v>53</v>
      </c>
      <c r="F63" s="2" t="s">
        <v>253</v>
      </c>
      <c r="G63" s="6"/>
      <c r="H63" s="6" t="s">
        <v>47</v>
      </c>
      <c r="I63" s="10">
        <f>SUMIFS('Cutters Consumption Updates'!$F:$F,'Cutters Consumption Updates'!$D:$D,I$1,'Cutters Consumption Updates'!$B:$B,$B63)-SUMIFS('Cutters Consumption Updates'!$E:$E,'Cutters Consumption Updates'!$D:$D,I$1,'Cutters Consumption Updates'!$B:$B,$B63)+ SUMIF('Cutters Consumption Updates'!$AS:$AS,$B63,'Cutters Consumption Updates'!AT:AT)</f>
        <v>0</v>
      </c>
      <c r="J63" s="10">
        <f>SUMIFS('Cutters Consumption Updates'!$F:$F,'Cutters Consumption Updates'!$D:$D,J$1,'Cutters Consumption Updates'!$B:$B,$B63)-SUMIFS('Cutters Consumption Updates'!$E:$E,'Cutters Consumption Updates'!$D:$D,J$1,'Cutters Consumption Updates'!$B:$B,$B63)+ SUMIF('Cutters Consumption Updates'!$AS:$AS,$B63,'Cutters Consumption Updates'!AU:AU)</f>
        <v>0</v>
      </c>
      <c r="K63" s="116">
        <f>SUMIFS('Cutters Consumption Updates'!$F:$F,'Cutters Consumption Updates'!$D:$D,K$1,'Cutters Consumption Updates'!$B:$B,$B63)-SUMIFS('Cutters Consumption Updates'!$E:$E,'Cutters Consumption Updates'!$D:$D,K$1,'Cutters Consumption Updates'!$B:$B,$B63)+ SUMIF('Cutters Consumption Updates'!$AS:$AS,$B63,'Cutters Consumption Updates'!AV:AV)</f>
        <v>0</v>
      </c>
      <c r="L63" s="738">
        <f>SUMIFS('Cutters Consumption Updates'!$F:$F,'Cutters Consumption Updates'!$D:$D,L$1,'Cutters Consumption Updates'!$B:$B,$B63)-SUMIFS('Cutters Consumption Updates'!$E:$E,'Cutters Consumption Updates'!$D:$D,L$1,'Cutters Consumption Updates'!$B:$B,$B63)+ SUMIF('Cutters Consumption Updates'!$AS:$AS,$B63,'Cutters Consumption Updates'!AW:AW)</f>
        <v>1</v>
      </c>
      <c r="M63" s="116">
        <f>SUMIFS('Cutters Consumption Updates'!$F:$F,'Cutters Consumption Updates'!$D:$D,M$1,'Cutters Consumption Updates'!$B:$B,$B63)-SUMIFS('Cutters Consumption Updates'!$E:$E,'Cutters Consumption Updates'!$D:$D,$M$1,'Cutters Consumption Updates'!$B:$B,$B63)+SUMIFS('Cutters Consumption Updates'!$F:$F,'Cutters Consumption Updates'!$D:$D,"Retrofit",'Cutters Consumption Updates'!$B:$B,$B63)-SUMIFS('Cutters Consumption Updates'!$E:$E,'Cutters Consumption Updates'!$D:$D,"Retrofit",'Cutters Consumption Updates'!$B:$B,$B63)+ SUMIF('Cutters Consumption Updates'!$AS:$AS,$B63,'Cutters Consumption Updates'!AX:AX)</f>
        <v>0</v>
      </c>
      <c r="N63" s="10">
        <f t="shared" si="0"/>
        <v>0</v>
      </c>
      <c r="O63" s="701">
        <f ca="1">SUMIFS('Cutters Consumption Updates'!E:E,
        'Cutters Consumption Updates'!B:B, B63,
        'Cutters Consumption Updates'!A:A, "&gt;" &amp; TODAY()-182)</f>
        <v>0</v>
      </c>
      <c r="P63" s="701">
        <f ca="1">SUMIFS('Cutters Consumption Updates'!E:E,
        'Cutters Consumption Updates'!B:B, B63,
        'Cutters Consumption Updates'!A:A, "&gt;" &amp; TODAY()-91)</f>
        <v>0</v>
      </c>
      <c r="Q63" s="701">
        <f t="shared" ca="1" si="1"/>
        <v>0</v>
      </c>
      <c r="R63" s="703">
        <f t="shared" ca="1" si="2"/>
        <v>0</v>
      </c>
      <c r="S63" s="703" t="s">
        <v>29</v>
      </c>
      <c r="T63" s="24">
        <f>IFERROR(INDEX(Table5[],MATCH($B63,Table5[Component],0),2),0)</f>
        <v>0</v>
      </c>
      <c r="U63" s="24">
        <f>SUMIFS(Table7[Balance],Table7[Cutter Mat'#],$B63)</f>
        <v>0</v>
      </c>
      <c r="V63" s="24">
        <f t="shared" si="3"/>
        <v>0</v>
      </c>
      <c r="W63" s="119"/>
      <c r="X63" s="2"/>
      <c r="Z63" s="4">
        <f>IFERROR(INDEX(Table5[],MATCH($B63,Table5[Component],0),2),0)</f>
        <v>0</v>
      </c>
      <c r="AA63" s="4">
        <f>IFERROR(INDEX(Table5[],MATCH($B63,Table5[Component],0),1),0)</f>
        <v>0</v>
      </c>
      <c r="AB63" s="4" t="str">
        <f t="shared" si="4"/>
        <v/>
      </c>
      <c r="AC63" s="4" t="str">
        <f t="shared" si="5"/>
        <v/>
      </c>
      <c r="AE63" s="4">
        <f t="shared" si="6"/>
        <v>0</v>
      </c>
      <c r="AF63" s="9"/>
      <c r="AJ63" s="248" t="str">
        <f t="shared" si="7"/>
        <v/>
      </c>
      <c r="AK63" s="248" t="str">
        <f t="shared" si="8"/>
        <v/>
      </c>
      <c r="AL63">
        <f t="shared" si="9"/>
        <v>0</v>
      </c>
      <c r="AQ63">
        <f t="shared" si="11"/>
        <v>0</v>
      </c>
      <c r="AS63">
        <v>744015</v>
      </c>
      <c r="AT63">
        <f t="shared" si="10"/>
        <v>0</v>
      </c>
    </row>
    <row r="64" spans="1:46" ht="15.65" customHeight="1" x14ac:dyDescent="0.35">
      <c r="A64" s="2">
        <v>63</v>
      </c>
      <c r="B64" s="2">
        <v>745338</v>
      </c>
      <c r="C64" s="2" t="s">
        <v>26</v>
      </c>
      <c r="D64" s="2">
        <v>1613</v>
      </c>
      <c r="E64" s="2" t="s">
        <v>53</v>
      </c>
      <c r="F64" s="2" t="s">
        <v>253</v>
      </c>
      <c r="G64" s="6"/>
      <c r="H64" s="6" t="s">
        <v>47</v>
      </c>
      <c r="I64" s="10">
        <f>SUMIFS('Cutters Consumption Updates'!$F:$F,'Cutters Consumption Updates'!$D:$D,I$1,'Cutters Consumption Updates'!$B:$B,$B64)-SUMIFS('Cutters Consumption Updates'!$E:$E,'Cutters Consumption Updates'!$D:$D,I$1,'Cutters Consumption Updates'!$B:$B,$B64)+ SUMIF('Cutters Consumption Updates'!$AS:$AS,$B64,'Cutters Consumption Updates'!AT:AT)</f>
        <v>0</v>
      </c>
      <c r="J64" s="10">
        <f>SUMIFS('Cutters Consumption Updates'!$F:$F,'Cutters Consumption Updates'!$D:$D,J$1,'Cutters Consumption Updates'!$B:$B,$B64)-SUMIFS('Cutters Consumption Updates'!$E:$E,'Cutters Consumption Updates'!$D:$D,J$1,'Cutters Consumption Updates'!$B:$B,$B64)+ SUMIF('Cutters Consumption Updates'!$AS:$AS,$B64,'Cutters Consumption Updates'!AU:AU)</f>
        <v>0</v>
      </c>
      <c r="K64" s="116">
        <f>SUMIFS('Cutters Consumption Updates'!$F:$F,'Cutters Consumption Updates'!$D:$D,K$1,'Cutters Consumption Updates'!$B:$B,$B64)-SUMIFS('Cutters Consumption Updates'!$E:$E,'Cutters Consumption Updates'!$D:$D,K$1,'Cutters Consumption Updates'!$B:$B,$B64)+ SUMIF('Cutters Consumption Updates'!$AS:$AS,$B64,'Cutters Consumption Updates'!AV:AV)</f>
        <v>0</v>
      </c>
      <c r="L64" s="738">
        <f>SUMIFS('Cutters Consumption Updates'!$F:$F,'Cutters Consumption Updates'!$D:$D,L$1,'Cutters Consumption Updates'!$B:$B,$B64)-SUMIFS('Cutters Consumption Updates'!$E:$E,'Cutters Consumption Updates'!$D:$D,L$1,'Cutters Consumption Updates'!$B:$B,$B64)+ SUMIF('Cutters Consumption Updates'!$AS:$AS,$B64,'Cutters Consumption Updates'!AW:AW)</f>
        <v>4</v>
      </c>
      <c r="M64" s="116">
        <f>SUMIFS('Cutters Consumption Updates'!$F:$F,'Cutters Consumption Updates'!$D:$D,M$1,'Cutters Consumption Updates'!$B:$B,$B64)-SUMIFS('Cutters Consumption Updates'!$E:$E,'Cutters Consumption Updates'!$D:$D,$M$1,'Cutters Consumption Updates'!$B:$B,$B64)+SUMIFS('Cutters Consumption Updates'!$F:$F,'Cutters Consumption Updates'!$D:$D,"Retrofit",'Cutters Consumption Updates'!$B:$B,$B64)-SUMIFS('Cutters Consumption Updates'!$E:$E,'Cutters Consumption Updates'!$D:$D,"Retrofit",'Cutters Consumption Updates'!$B:$B,$B64)+ SUMIF('Cutters Consumption Updates'!$AS:$AS,$B64,'Cutters Consumption Updates'!AX:AX)</f>
        <v>0</v>
      </c>
      <c r="N64" s="10">
        <f t="shared" si="0"/>
        <v>0</v>
      </c>
      <c r="O64" s="701">
        <f ca="1">SUMIFS('Cutters Consumption Updates'!E:E,
        'Cutters Consumption Updates'!B:B, B64,
        'Cutters Consumption Updates'!A:A, "&gt;" &amp; TODAY()-182)</f>
        <v>0</v>
      </c>
      <c r="P64" s="701">
        <f ca="1">SUMIFS('Cutters Consumption Updates'!E:E,
        'Cutters Consumption Updates'!B:B, B64,
        'Cutters Consumption Updates'!A:A, "&gt;" &amp; TODAY()-91)</f>
        <v>0</v>
      </c>
      <c r="Q64" s="701">
        <f t="shared" ca="1" si="1"/>
        <v>0</v>
      </c>
      <c r="R64" s="703">
        <f t="shared" ca="1" si="2"/>
        <v>0</v>
      </c>
      <c r="S64" s="703" t="s">
        <v>29</v>
      </c>
      <c r="T64" s="24">
        <f>IFERROR(INDEX(Table5[],MATCH($B64,Table5[Component],0),2),0)</f>
        <v>0</v>
      </c>
      <c r="U64" s="24">
        <f>SUMIFS(Table7[Balance],Table7[Cutter Mat'#],$B64)</f>
        <v>0</v>
      </c>
      <c r="V64" s="24">
        <f t="shared" si="3"/>
        <v>0</v>
      </c>
      <c r="W64" s="119"/>
      <c r="X64" s="2"/>
      <c r="Z64" s="4">
        <f>IFERROR(INDEX(Table5[],MATCH($B64,Table5[Component],0),2),0)</f>
        <v>0</v>
      </c>
      <c r="AA64" s="4">
        <f>IFERROR(INDEX(Table5[],MATCH($B64,Table5[Component],0),1),0)</f>
        <v>0</v>
      </c>
      <c r="AB64" s="4" t="str">
        <f t="shared" si="4"/>
        <v/>
      </c>
      <c r="AC64" s="4" t="str">
        <f t="shared" si="5"/>
        <v/>
      </c>
      <c r="AE64" s="4">
        <f t="shared" si="6"/>
        <v>0</v>
      </c>
      <c r="AF64" s="9"/>
      <c r="AJ64" s="248" t="str">
        <f t="shared" si="7"/>
        <v/>
      </c>
      <c r="AK64" s="248" t="str">
        <f t="shared" si="8"/>
        <v/>
      </c>
      <c r="AL64">
        <f t="shared" si="9"/>
        <v>0</v>
      </c>
      <c r="AQ64">
        <f t="shared" si="11"/>
        <v>0</v>
      </c>
      <c r="AS64">
        <v>745171</v>
      </c>
      <c r="AT64">
        <f t="shared" si="10"/>
        <v>0</v>
      </c>
    </row>
    <row r="65" spans="1:46" ht="15.65" customHeight="1" x14ac:dyDescent="0.35">
      <c r="A65" s="2">
        <v>64</v>
      </c>
      <c r="B65" s="2">
        <v>642299</v>
      </c>
      <c r="C65" s="2" t="s">
        <v>26</v>
      </c>
      <c r="D65" s="2">
        <v>1308</v>
      </c>
      <c r="E65" s="2" t="s">
        <v>66</v>
      </c>
      <c r="F65" s="2" t="s">
        <v>253</v>
      </c>
      <c r="G65" s="6"/>
      <c r="H65" s="6" t="s">
        <v>28</v>
      </c>
      <c r="I65" s="10">
        <f>SUMIFS('Cutters Consumption Updates'!$F:$F,'Cutters Consumption Updates'!$D:$D,I$1,'Cutters Consumption Updates'!$B:$B,$B65)-SUMIFS('Cutters Consumption Updates'!$E:$E,'Cutters Consumption Updates'!$D:$D,I$1,'Cutters Consumption Updates'!$B:$B,$B65)+ SUMIF('Cutters Consumption Updates'!$AS:$AS,$B65,'Cutters Consumption Updates'!AT:AT)</f>
        <v>0</v>
      </c>
      <c r="J65" s="10">
        <f>SUMIFS('Cutters Consumption Updates'!$F:$F,'Cutters Consumption Updates'!$D:$D,J$1,'Cutters Consumption Updates'!$B:$B,$B65)-SUMIFS('Cutters Consumption Updates'!$E:$E,'Cutters Consumption Updates'!$D:$D,J$1,'Cutters Consumption Updates'!$B:$B,$B65)+ SUMIF('Cutters Consumption Updates'!$AS:$AS,$B65,'Cutters Consumption Updates'!AU:AU)</f>
        <v>0</v>
      </c>
      <c r="K65" s="116">
        <f>SUMIFS('Cutters Consumption Updates'!$F:$F,'Cutters Consumption Updates'!$D:$D,K$1,'Cutters Consumption Updates'!$B:$B,$B65)-SUMIFS('Cutters Consumption Updates'!$E:$E,'Cutters Consumption Updates'!$D:$D,K$1,'Cutters Consumption Updates'!$B:$B,$B65)+ SUMIF('Cutters Consumption Updates'!$AS:$AS,$B65,'Cutters Consumption Updates'!AV:AV)</f>
        <v>0</v>
      </c>
      <c r="L65" s="738">
        <f>SUMIFS('Cutters Consumption Updates'!$F:$F,'Cutters Consumption Updates'!$D:$D,L$1,'Cutters Consumption Updates'!$B:$B,$B65)-SUMIFS('Cutters Consumption Updates'!$E:$E,'Cutters Consumption Updates'!$D:$D,L$1,'Cutters Consumption Updates'!$B:$B,$B65)+ SUMIF('Cutters Consumption Updates'!$AS:$AS,$B65,'Cutters Consumption Updates'!AW:AW)</f>
        <v>0</v>
      </c>
      <c r="M65" s="116">
        <f>SUMIFS('Cutters Consumption Updates'!$F:$F,'Cutters Consumption Updates'!$D:$D,M$1,'Cutters Consumption Updates'!$B:$B,$B65)-SUMIFS('Cutters Consumption Updates'!$E:$E,'Cutters Consumption Updates'!$D:$D,$M$1,'Cutters Consumption Updates'!$B:$B,$B65)+SUMIFS('Cutters Consumption Updates'!$F:$F,'Cutters Consumption Updates'!$D:$D,"Retrofit",'Cutters Consumption Updates'!$B:$B,$B65)-SUMIFS('Cutters Consumption Updates'!$E:$E,'Cutters Consumption Updates'!$D:$D,"Retrofit",'Cutters Consumption Updates'!$B:$B,$B65)+ SUMIF('Cutters Consumption Updates'!$AS:$AS,$B65,'Cutters Consumption Updates'!AX:AX)</f>
        <v>0</v>
      </c>
      <c r="N65" s="10">
        <f t="shared" si="0"/>
        <v>0</v>
      </c>
      <c r="O65" s="701">
        <f ca="1">SUMIFS('Cutters Consumption Updates'!E:E,
        'Cutters Consumption Updates'!B:B, B65,
        'Cutters Consumption Updates'!A:A, "&gt;" &amp; TODAY()-182)</f>
        <v>0</v>
      </c>
      <c r="P65" s="701">
        <f ca="1">SUMIFS('Cutters Consumption Updates'!E:E,
        'Cutters Consumption Updates'!B:B, B65,
        'Cutters Consumption Updates'!A:A, "&gt;" &amp; TODAY()-91)</f>
        <v>0</v>
      </c>
      <c r="Q65" s="701">
        <f t="shared" ca="1" si="1"/>
        <v>0</v>
      </c>
      <c r="R65" s="703">
        <f t="shared" ca="1" si="2"/>
        <v>0</v>
      </c>
      <c r="S65" s="703" t="s">
        <v>29</v>
      </c>
      <c r="T65" s="24">
        <f>IFERROR(INDEX(Table5[],MATCH($B65,Table5[Component],0),2),0)</f>
        <v>0</v>
      </c>
      <c r="U65" s="24">
        <f>SUMIFS(Table7[Balance],Table7[Cutter Mat'#],$B65)</f>
        <v>0</v>
      </c>
      <c r="V65" s="24">
        <f t="shared" si="3"/>
        <v>0</v>
      </c>
      <c r="W65" s="119"/>
      <c r="X65" s="2"/>
      <c r="Z65" s="4">
        <f>IFERROR(INDEX(Table5[],MATCH($B65,Table5[Component],0),2),0)</f>
        <v>0</v>
      </c>
      <c r="AA65" s="4">
        <f>IFERROR(INDEX(Table5[],MATCH($B65,Table5[Component],0),1),0)</f>
        <v>0</v>
      </c>
      <c r="AB65" s="4" t="str">
        <f t="shared" si="4"/>
        <v/>
      </c>
      <c r="AC65" s="4" t="str">
        <f t="shared" si="5"/>
        <v/>
      </c>
      <c r="AE65" s="4">
        <f t="shared" si="6"/>
        <v>0</v>
      </c>
      <c r="AF65" s="9"/>
      <c r="AJ65" s="248" t="str">
        <f t="shared" si="7"/>
        <v/>
      </c>
      <c r="AK65" s="248" t="str">
        <f t="shared" si="8"/>
        <v/>
      </c>
      <c r="AL65">
        <f t="shared" si="9"/>
        <v>0</v>
      </c>
      <c r="AQ65">
        <f t="shared" si="11"/>
        <v>0</v>
      </c>
      <c r="AS65">
        <v>745338</v>
      </c>
      <c r="AT65">
        <f t="shared" si="10"/>
        <v>0</v>
      </c>
    </row>
    <row r="66" spans="1:46" ht="15.65" customHeight="1" x14ac:dyDescent="0.35">
      <c r="A66" s="2">
        <v>65</v>
      </c>
      <c r="B66" s="2">
        <v>661065</v>
      </c>
      <c r="C66" s="2" t="s">
        <v>26</v>
      </c>
      <c r="D66" s="2">
        <v>1313</v>
      </c>
      <c r="E66" s="2" t="s">
        <v>82</v>
      </c>
      <c r="F66" s="2" t="s">
        <v>253</v>
      </c>
      <c r="G66" s="6"/>
      <c r="H66" s="6" t="s">
        <v>83</v>
      </c>
      <c r="I66" s="10">
        <f>SUMIFS('Cutters Consumption Updates'!$F:$F,'Cutters Consumption Updates'!$D:$D,I$1,'Cutters Consumption Updates'!$B:$B,$B66)-SUMIFS('Cutters Consumption Updates'!$E:$E,'Cutters Consumption Updates'!$D:$D,I$1,'Cutters Consumption Updates'!$B:$B,$B66)+ SUMIF('Cutters Consumption Updates'!$AS:$AS,$B66,'Cutters Consumption Updates'!AT:AT)</f>
        <v>0</v>
      </c>
      <c r="J66" s="10">
        <f>SUMIFS('Cutters Consumption Updates'!$F:$F,'Cutters Consumption Updates'!$D:$D,J$1,'Cutters Consumption Updates'!$B:$B,$B66)-SUMIFS('Cutters Consumption Updates'!$E:$E,'Cutters Consumption Updates'!$D:$D,J$1,'Cutters Consumption Updates'!$B:$B,$B66)+ SUMIF('Cutters Consumption Updates'!$AS:$AS,$B66,'Cutters Consumption Updates'!AU:AU)</f>
        <v>0</v>
      </c>
      <c r="K66" s="116">
        <f>SUMIFS('Cutters Consumption Updates'!$F:$F,'Cutters Consumption Updates'!$D:$D,K$1,'Cutters Consumption Updates'!$B:$B,$B66)-SUMIFS('Cutters Consumption Updates'!$E:$E,'Cutters Consumption Updates'!$D:$D,K$1,'Cutters Consumption Updates'!$B:$B,$B66)+ SUMIF('Cutters Consumption Updates'!$AS:$AS,$B66,'Cutters Consumption Updates'!AV:AV)</f>
        <v>0</v>
      </c>
      <c r="L66" s="738">
        <f>SUMIFS('Cutters Consumption Updates'!$F:$F,'Cutters Consumption Updates'!$D:$D,L$1,'Cutters Consumption Updates'!$B:$B,$B66)-SUMIFS('Cutters Consumption Updates'!$E:$E,'Cutters Consumption Updates'!$D:$D,L$1,'Cutters Consumption Updates'!$B:$B,$B66)+ SUMIF('Cutters Consumption Updates'!$AS:$AS,$B66,'Cutters Consumption Updates'!AW:AW)</f>
        <v>0</v>
      </c>
      <c r="M66" s="116">
        <f>SUMIFS('Cutters Consumption Updates'!$F:$F,'Cutters Consumption Updates'!$D:$D,M$1,'Cutters Consumption Updates'!$B:$B,$B66)-SUMIFS('Cutters Consumption Updates'!$E:$E,'Cutters Consumption Updates'!$D:$D,$M$1,'Cutters Consumption Updates'!$B:$B,$B66)+SUMIFS('Cutters Consumption Updates'!$F:$F,'Cutters Consumption Updates'!$D:$D,"Retrofit",'Cutters Consumption Updates'!$B:$B,$B66)-SUMIFS('Cutters Consumption Updates'!$E:$E,'Cutters Consumption Updates'!$D:$D,"Retrofit",'Cutters Consumption Updates'!$B:$B,$B66)+ SUMIF('Cutters Consumption Updates'!$AS:$AS,$B66,'Cutters Consumption Updates'!AX:AX)</f>
        <v>11</v>
      </c>
      <c r="N66" s="10">
        <f t="shared" ref="N66:N129" si="12">M66+I66</f>
        <v>11</v>
      </c>
      <c r="O66" s="701">
        <f ca="1">SUMIFS('Cutters Consumption Updates'!E:E,
        'Cutters Consumption Updates'!B:B, B66,
        'Cutters Consumption Updates'!A:A, "&gt;" &amp; TODAY()-182)</f>
        <v>0</v>
      </c>
      <c r="P66" s="701">
        <f ca="1">SUMIFS('Cutters Consumption Updates'!E:E,
        'Cutters Consumption Updates'!B:B, B66,
        'Cutters Consumption Updates'!A:A, "&gt;" &amp; TODAY()-91)</f>
        <v>0</v>
      </c>
      <c r="Q66" s="701">
        <f t="shared" ref="Q66:Q129" ca="1" si="13">IF(O66&lt;&gt;0,_xlfn.CEILING.MATH(O66/3),0)</f>
        <v>0</v>
      </c>
      <c r="R66" s="703">
        <f t="shared" ref="R66:R129" ca="1" si="14">IF(Q66&lt;=1, 0,
 CEILING(
  IF(Q66&gt;=300, Q66+10,
  IF(Q66&gt;=200, Q66+5,
  IF(Q66&gt;=100, Q66+5,
  IF(Q66&gt;=50, Q66+2,
  IF(Q66&gt;=20, Q66+2,
  IF(Q66&gt;=10, Q66+2,
  IF(Q66&gt;=5,  Q66+2,
  Q66+1))))))), 5))</f>
        <v>0</v>
      </c>
      <c r="S66" s="703" t="s">
        <v>29</v>
      </c>
      <c r="T66" s="24">
        <f>IFERROR(INDEX(Table5[],MATCH($B66,Table5[Component],0),2),0)</f>
        <v>0</v>
      </c>
      <c r="U66" s="24">
        <f>SUMIFS(Table7[Balance],Table7[Cutter Mat'#],$B66)</f>
        <v>0</v>
      </c>
      <c r="V66" s="24">
        <f t="shared" ref="V66:V129" si="15">N66+U66-T66</f>
        <v>11</v>
      </c>
      <c r="W66" s="119"/>
      <c r="X66" s="2"/>
      <c r="Z66" s="4">
        <f>IFERROR(INDEX(Table5[],MATCH($B66,Table5[Component],0),2),0)</f>
        <v>0</v>
      </c>
      <c r="AA66" s="4">
        <f>IFERROR(INDEX(Table5[],MATCH($B66,Table5[Component],0),1),0)</f>
        <v>0</v>
      </c>
      <c r="AB66" s="4" t="str">
        <f t="shared" ref="AB66:AB129" si="16">IF(Z66&lt;&gt;0,B66,"")</f>
        <v/>
      </c>
      <c r="AC66" s="4" t="str">
        <f t="shared" ref="AC66:AC129" si="17">IF(T66&lt;&gt;Z66,1,"")</f>
        <v/>
      </c>
      <c r="AE66" s="4">
        <f t="shared" ref="AE66:AE129" si="18">I66+J66+K66+M66</f>
        <v>11</v>
      </c>
      <c r="AF66" s="9"/>
      <c r="AJ66" s="248" t="str">
        <f t="shared" ref="AJ66:AJ129" si="19">IFERROR(INDEX($B$1:$AL$243,MATCH(X66,$B$1:$B$243,0),13),"")</f>
        <v/>
      </c>
      <c r="AK66" s="248" t="str">
        <f t="shared" ref="AK66:AK129" si="20">IFERROR(INDEX($B$1:$AL$243,MATCH(X66,$B$1:$B$243,0),15),"")</f>
        <v/>
      </c>
      <c r="AL66">
        <f t="shared" ref="AL66:AL129" si="21">SUMIF($X$2:$X$243,B66,$T$2:$T$243)</f>
        <v>0</v>
      </c>
      <c r="AQ66">
        <f t="shared" si="11"/>
        <v>0</v>
      </c>
      <c r="AS66">
        <v>745573</v>
      </c>
      <c r="AT66">
        <f t="shared" ref="AT66:AT129" si="22">SUMIF($B:$B,AS66,$AQ:$AQ)</f>
        <v>0</v>
      </c>
    </row>
    <row r="67" spans="1:46" ht="15.65" customHeight="1" x14ac:dyDescent="0.35">
      <c r="A67" s="2">
        <v>66</v>
      </c>
      <c r="B67" s="2">
        <v>738227</v>
      </c>
      <c r="C67" s="2" t="s">
        <v>26</v>
      </c>
      <c r="D67" s="2">
        <v>1308</v>
      </c>
      <c r="E67" s="2" t="s">
        <v>82</v>
      </c>
      <c r="F67" s="2" t="s">
        <v>253</v>
      </c>
      <c r="G67" s="6"/>
      <c r="H67" s="6" t="s">
        <v>83</v>
      </c>
      <c r="I67" s="10">
        <f>SUMIFS('Cutters Consumption Updates'!$F:$F,'Cutters Consumption Updates'!$D:$D,I$1,'Cutters Consumption Updates'!$B:$B,$B67)-SUMIFS('Cutters Consumption Updates'!$E:$E,'Cutters Consumption Updates'!$D:$D,I$1,'Cutters Consumption Updates'!$B:$B,$B67)+ SUMIF('Cutters Consumption Updates'!$AS:$AS,$B67,'Cutters Consumption Updates'!AT:AT)</f>
        <v>0</v>
      </c>
      <c r="J67" s="10">
        <f>SUMIFS('Cutters Consumption Updates'!$F:$F,'Cutters Consumption Updates'!$D:$D,J$1,'Cutters Consumption Updates'!$B:$B,$B67)-SUMIFS('Cutters Consumption Updates'!$E:$E,'Cutters Consumption Updates'!$D:$D,J$1,'Cutters Consumption Updates'!$B:$B,$B67)+ SUMIF('Cutters Consumption Updates'!$AS:$AS,$B67,'Cutters Consumption Updates'!AU:AU)</f>
        <v>0</v>
      </c>
      <c r="K67" s="116">
        <f>SUMIFS('Cutters Consumption Updates'!$F:$F,'Cutters Consumption Updates'!$D:$D,K$1,'Cutters Consumption Updates'!$B:$B,$B67)-SUMIFS('Cutters Consumption Updates'!$E:$E,'Cutters Consumption Updates'!$D:$D,K$1,'Cutters Consumption Updates'!$B:$B,$B67)+ SUMIF('Cutters Consumption Updates'!$AS:$AS,$B67,'Cutters Consumption Updates'!AV:AV)</f>
        <v>0</v>
      </c>
      <c r="L67" s="738">
        <f>SUMIFS('Cutters Consumption Updates'!$F:$F,'Cutters Consumption Updates'!$D:$D,L$1,'Cutters Consumption Updates'!$B:$B,$B67)-SUMIFS('Cutters Consumption Updates'!$E:$E,'Cutters Consumption Updates'!$D:$D,L$1,'Cutters Consumption Updates'!$B:$B,$B67)+ SUMIF('Cutters Consumption Updates'!$AS:$AS,$B67,'Cutters Consumption Updates'!AW:AW)</f>
        <v>0</v>
      </c>
      <c r="M67" s="116">
        <f>SUMIFS('Cutters Consumption Updates'!$F:$F,'Cutters Consumption Updates'!$D:$D,M$1,'Cutters Consumption Updates'!$B:$B,$B67)-SUMIFS('Cutters Consumption Updates'!$E:$E,'Cutters Consumption Updates'!$D:$D,$M$1,'Cutters Consumption Updates'!$B:$B,$B67)+SUMIFS('Cutters Consumption Updates'!$F:$F,'Cutters Consumption Updates'!$D:$D,"Retrofit",'Cutters Consumption Updates'!$B:$B,$B67)-SUMIFS('Cutters Consumption Updates'!$E:$E,'Cutters Consumption Updates'!$D:$D,"Retrofit",'Cutters Consumption Updates'!$B:$B,$B67)+ SUMIF('Cutters Consumption Updates'!$AS:$AS,$B67,'Cutters Consumption Updates'!AX:AX)</f>
        <v>0</v>
      </c>
      <c r="N67" s="10">
        <f t="shared" si="12"/>
        <v>0</v>
      </c>
      <c r="O67" s="701">
        <f ca="1">SUMIFS('Cutters Consumption Updates'!E:E,
        'Cutters Consumption Updates'!B:B, B67,
        'Cutters Consumption Updates'!A:A, "&gt;" &amp; TODAY()-182)</f>
        <v>0</v>
      </c>
      <c r="P67" s="701">
        <f ca="1">SUMIFS('Cutters Consumption Updates'!E:E,
        'Cutters Consumption Updates'!B:B, B67,
        'Cutters Consumption Updates'!A:A, "&gt;" &amp; TODAY()-91)</f>
        <v>0</v>
      </c>
      <c r="Q67" s="701">
        <f t="shared" ca="1" si="13"/>
        <v>0</v>
      </c>
      <c r="R67" s="703">
        <f t="shared" ca="1" si="14"/>
        <v>0</v>
      </c>
      <c r="S67" s="703" t="s">
        <v>29</v>
      </c>
      <c r="T67" s="24">
        <f>IFERROR(INDEX(Table5[],MATCH($B67,Table5[Component],0),2),0)</f>
        <v>0</v>
      </c>
      <c r="U67" s="24">
        <f>SUMIFS(Table7[Balance],Table7[Cutter Mat'#],$B67)</f>
        <v>0</v>
      </c>
      <c r="V67" s="24">
        <f t="shared" si="15"/>
        <v>0</v>
      </c>
      <c r="W67" s="119"/>
      <c r="X67" s="2"/>
      <c r="Z67" s="4">
        <f>IFERROR(INDEX(Table5[],MATCH($B67,Table5[Component],0),2),0)</f>
        <v>0</v>
      </c>
      <c r="AA67" s="4">
        <f>IFERROR(INDEX(Table5[],MATCH($B67,Table5[Component],0),1),0)</f>
        <v>0</v>
      </c>
      <c r="AB67" s="4" t="str">
        <f t="shared" si="16"/>
        <v/>
      </c>
      <c r="AC67" s="4" t="str">
        <f t="shared" si="17"/>
        <v/>
      </c>
      <c r="AE67" s="4">
        <f t="shared" si="18"/>
        <v>0</v>
      </c>
      <c r="AF67" s="9"/>
      <c r="AJ67" s="248" t="str">
        <f t="shared" si="19"/>
        <v/>
      </c>
      <c r="AK67" s="248" t="str">
        <f t="shared" si="20"/>
        <v/>
      </c>
      <c r="AL67">
        <f t="shared" si="21"/>
        <v>0</v>
      </c>
      <c r="AQ67">
        <f t="shared" ref="AQ67:AQ130" si="23">U67</f>
        <v>0</v>
      </c>
      <c r="AS67">
        <v>745576</v>
      </c>
      <c r="AT67">
        <f t="shared" si="22"/>
        <v>0</v>
      </c>
    </row>
    <row r="68" spans="1:46" ht="15.65" customHeight="1" x14ac:dyDescent="0.35">
      <c r="A68" s="2">
        <v>67</v>
      </c>
      <c r="B68" s="2">
        <v>886466</v>
      </c>
      <c r="C68" s="2" t="s">
        <v>26</v>
      </c>
      <c r="D68" s="2">
        <v>1308</v>
      </c>
      <c r="E68" s="2" t="s">
        <v>74</v>
      </c>
      <c r="F68" s="2" t="s">
        <v>253</v>
      </c>
      <c r="G68" s="6"/>
      <c r="H68" s="6" t="s">
        <v>49</v>
      </c>
      <c r="I68" s="10">
        <f>SUMIFS('Cutters Consumption Updates'!$F:$F,'Cutters Consumption Updates'!$D:$D,I$1,'Cutters Consumption Updates'!$B:$B,$B68)-SUMIFS('Cutters Consumption Updates'!$E:$E,'Cutters Consumption Updates'!$D:$D,I$1,'Cutters Consumption Updates'!$B:$B,$B68)+ SUMIF('Cutters Consumption Updates'!$AS:$AS,$B68,'Cutters Consumption Updates'!AT:AT)</f>
        <v>0</v>
      </c>
      <c r="J68" s="10">
        <f>SUMIFS('Cutters Consumption Updates'!$F:$F,'Cutters Consumption Updates'!$D:$D,J$1,'Cutters Consumption Updates'!$B:$B,$B68)-SUMIFS('Cutters Consumption Updates'!$E:$E,'Cutters Consumption Updates'!$D:$D,J$1,'Cutters Consumption Updates'!$B:$B,$B68)+ SUMIF('Cutters Consumption Updates'!$AS:$AS,$B68,'Cutters Consumption Updates'!AU:AU)</f>
        <v>0</v>
      </c>
      <c r="K68" s="116">
        <f>SUMIFS('Cutters Consumption Updates'!$F:$F,'Cutters Consumption Updates'!$D:$D,K$1,'Cutters Consumption Updates'!$B:$B,$B68)-SUMIFS('Cutters Consumption Updates'!$E:$E,'Cutters Consumption Updates'!$D:$D,K$1,'Cutters Consumption Updates'!$B:$B,$B68)+ SUMIF('Cutters Consumption Updates'!$AS:$AS,$B68,'Cutters Consumption Updates'!AV:AV)</f>
        <v>0</v>
      </c>
      <c r="L68" s="738">
        <f>SUMIFS('Cutters Consumption Updates'!$F:$F,'Cutters Consumption Updates'!$D:$D,L$1,'Cutters Consumption Updates'!$B:$B,$B68)-SUMIFS('Cutters Consumption Updates'!$E:$E,'Cutters Consumption Updates'!$D:$D,L$1,'Cutters Consumption Updates'!$B:$B,$B68)+ SUMIF('Cutters Consumption Updates'!$AS:$AS,$B68,'Cutters Consumption Updates'!AW:AW)</f>
        <v>0</v>
      </c>
      <c r="M68" s="116">
        <f>SUMIFS('Cutters Consumption Updates'!$F:$F,'Cutters Consumption Updates'!$D:$D,M$1,'Cutters Consumption Updates'!$B:$B,$B68)-SUMIFS('Cutters Consumption Updates'!$E:$E,'Cutters Consumption Updates'!$D:$D,$M$1,'Cutters Consumption Updates'!$B:$B,$B68)+SUMIFS('Cutters Consumption Updates'!$F:$F,'Cutters Consumption Updates'!$D:$D,"Retrofit",'Cutters Consumption Updates'!$B:$B,$B68)-SUMIFS('Cutters Consumption Updates'!$E:$E,'Cutters Consumption Updates'!$D:$D,"Retrofit",'Cutters Consumption Updates'!$B:$B,$B68)+ SUMIF('Cutters Consumption Updates'!$AS:$AS,$B68,'Cutters Consumption Updates'!AX:AX)</f>
        <v>0</v>
      </c>
      <c r="N68" s="10">
        <f t="shared" si="12"/>
        <v>0</v>
      </c>
      <c r="O68" s="701">
        <f ca="1">SUMIFS('Cutters Consumption Updates'!E:E,
        'Cutters Consumption Updates'!B:B, B68,
        'Cutters Consumption Updates'!A:A, "&gt;" &amp; TODAY()-182)</f>
        <v>0</v>
      </c>
      <c r="P68" s="701">
        <f ca="1">SUMIFS('Cutters Consumption Updates'!E:E,
        'Cutters Consumption Updates'!B:B, B68,
        'Cutters Consumption Updates'!A:A, "&gt;" &amp; TODAY()-91)</f>
        <v>0</v>
      </c>
      <c r="Q68" s="701">
        <f t="shared" ca="1" si="13"/>
        <v>0</v>
      </c>
      <c r="R68" s="703">
        <f t="shared" ca="1" si="14"/>
        <v>0</v>
      </c>
      <c r="S68" s="703" t="s">
        <v>29</v>
      </c>
      <c r="T68" s="24">
        <f>IFERROR(INDEX(Table5[],MATCH($B68,Table5[Component],0),2),0)</f>
        <v>0</v>
      </c>
      <c r="U68" s="24">
        <f>SUMIFS(Table7[Balance],Table7[Cutter Mat'#],$B68)</f>
        <v>0</v>
      </c>
      <c r="V68" s="24">
        <f t="shared" si="15"/>
        <v>0</v>
      </c>
      <c r="W68" s="119"/>
      <c r="X68" s="2"/>
      <c r="Z68" s="4">
        <f>IFERROR(INDEX(Table5[],MATCH($B68,Table5[Component],0),2),0)</f>
        <v>0</v>
      </c>
      <c r="AA68" s="4">
        <f>IFERROR(INDEX(Table5[],MATCH($B68,Table5[Component],0),1),0)</f>
        <v>0</v>
      </c>
      <c r="AB68" s="4" t="str">
        <f t="shared" si="16"/>
        <v/>
      </c>
      <c r="AC68" s="4" t="str">
        <f t="shared" si="17"/>
        <v/>
      </c>
      <c r="AE68" s="4">
        <f t="shared" si="18"/>
        <v>0</v>
      </c>
      <c r="AF68" s="9"/>
      <c r="AJ68" s="248" t="str">
        <f t="shared" si="19"/>
        <v/>
      </c>
      <c r="AK68" s="248" t="str">
        <f t="shared" si="20"/>
        <v/>
      </c>
      <c r="AL68">
        <f t="shared" si="21"/>
        <v>0</v>
      </c>
      <c r="AQ68">
        <f t="shared" si="23"/>
        <v>0</v>
      </c>
      <c r="AS68">
        <v>752294</v>
      </c>
      <c r="AT68">
        <f t="shared" si="22"/>
        <v>0</v>
      </c>
    </row>
    <row r="69" spans="1:46" ht="15.65" customHeight="1" x14ac:dyDescent="0.35">
      <c r="A69" s="2">
        <v>68</v>
      </c>
      <c r="B69" s="2">
        <v>887028</v>
      </c>
      <c r="C69" s="2" t="s">
        <v>26</v>
      </c>
      <c r="D69" s="2">
        <v>1313</v>
      </c>
      <c r="E69" s="2" t="s">
        <v>74</v>
      </c>
      <c r="F69" s="2" t="s">
        <v>253</v>
      </c>
      <c r="G69" s="6"/>
      <c r="H69" s="6" t="s">
        <v>49</v>
      </c>
      <c r="I69" s="10">
        <f>SUMIFS('Cutters Consumption Updates'!$F:$F,'Cutters Consumption Updates'!$D:$D,I$1,'Cutters Consumption Updates'!$B:$B,$B69)-SUMIFS('Cutters Consumption Updates'!$E:$E,'Cutters Consumption Updates'!$D:$D,I$1,'Cutters Consumption Updates'!$B:$B,$B69)+ SUMIF('Cutters Consumption Updates'!$AS:$AS,$B69,'Cutters Consumption Updates'!AT:AT)</f>
        <v>0</v>
      </c>
      <c r="J69" s="10">
        <f>SUMIFS('Cutters Consumption Updates'!$F:$F,'Cutters Consumption Updates'!$D:$D,J$1,'Cutters Consumption Updates'!$B:$B,$B69)-SUMIFS('Cutters Consumption Updates'!$E:$E,'Cutters Consumption Updates'!$D:$D,J$1,'Cutters Consumption Updates'!$B:$B,$B69)+ SUMIF('Cutters Consumption Updates'!$AS:$AS,$B69,'Cutters Consumption Updates'!AU:AU)</f>
        <v>0</v>
      </c>
      <c r="K69" s="116">
        <f>SUMIFS('Cutters Consumption Updates'!$F:$F,'Cutters Consumption Updates'!$D:$D,K$1,'Cutters Consumption Updates'!$B:$B,$B69)-SUMIFS('Cutters Consumption Updates'!$E:$E,'Cutters Consumption Updates'!$D:$D,K$1,'Cutters Consumption Updates'!$B:$B,$B69)+ SUMIF('Cutters Consumption Updates'!$AS:$AS,$B69,'Cutters Consumption Updates'!AV:AV)</f>
        <v>12</v>
      </c>
      <c r="L69" s="738">
        <f>SUMIFS('Cutters Consumption Updates'!$F:$F,'Cutters Consumption Updates'!$D:$D,L$1,'Cutters Consumption Updates'!$B:$B,$B69)-SUMIFS('Cutters Consumption Updates'!$E:$E,'Cutters Consumption Updates'!$D:$D,L$1,'Cutters Consumption Updates'!$B:$B,$B69)+ SUMIF('Cutters Consumption Updates'!$AS:$AS,$B69,'Cutters Consumption Updates'!AW:AW)</f>
        <v>0</v>
      </c>
      <c r="M69" s="116">
        <f>SUMIFS('Cutters Consumption Updates'!$F:$F,'Cutters Consumption Updates'!$D:$D,M$1,'Cutters Consumption Updates'!$B:$B,$B69)-SUMIFS('Cutters Consumption Updates'!$E:$E,'Cutters Consumption Updates'!$D:$D,$M$1,'Cutters Consumption Updates'!$B:$B,$B69)+SUMIFS('Cutters Consumption Updates'!$F:$F,'Cutters Consumption Updates'!$D:$D,"Retrofit",'Cutters Consumption Updates'!$B:$B,$B69)-SUMIFS('Cutters Consumption Updates'!$E:$E,'Cutters Consumption Updates'!$D:$D,"Retrofit",'Cutters Consumption Updates'!$B:$B,$B69)+ SUMIF('Cutters Consumption Updates'!$AS:$AS,$B69,'Cutters Consumption Updates'!AX:AX)</f>
        <v>0</v>
      </c>
      <c r="N69" s="10">
        <f t="shared" si="12"/>
        <v>0</v>
      </c>
      <c r="O69" s="701">
        <f ca="1">SUMIFS('Cutters Consumption Updates'!E:E,
        'Cutters Consumption Updates'!B:B, B69,
        'Cutters Consumption Updates'!A:A, "&gt;" &amp; TODAY()-182)</f>
        <v>0</v>
      </c>
      <c r="P69" s="701">
        <f ca="1">SUMIFS('Cutters Consumption Updates'!E:E,
        'Cutters Consumption Updates'!B:B, B69,
        'Cutters Consumption Updates'!A:A, "&gt;" &amp; TODAY()-91)</f>
        <v>0</v>
      </c>
      <c r="Q69" s="701">
        <f t="shared" ca="1" si="13"/>
        <v>0</v>
      </c>
      <c r="R69" s="703">
        <f t="shared" ca="1" si="14"/>
        <v>0</v>
      </c>
      <c r="S69" s="703" t="s">
        <v>29</v>
      </c>
      <c r="T69" s="24">
        <f>IFERROR(INDEX(Table5[],MATCH($B69,Table5[Component],0),2),0)</f>
        <v>0</v>
      </c>
      <c r="U69" s="24">
        <f>SUMIFS(Table7[Balance],Table7[Cutter Mat'#],$B69)</f>
        <v>0</v>
      </c>
      <c r="V69" s="24">
        <f t="shared" si="15"/>
        <v>0</v>
      </c>
      <c r="W69" s="119"/>
      <c r="X69" s="2"/>
      <c r="Z69" s="4">
        <f>IFERROR(INDEX(Table5[],MATCH($B69,Table5[Component],0),2),0)</f>
        <v>0</v>
      </c>
      <c r="AA69" s="4">
        <f>IFERROR(INDEX(Table5[],MATCH($B69,Table5[Component],0),1),0)</f>
        <v>0</v>
      </c>
      <c r="AB69" s="4" t="str">
        <f t="shared" si="16"/>
        <v/>
      </c>
      <c r="AC69" s="4" t="str">
        <f t="shared" si="17"/>
        <v/>
      </c>
      <c r="AE69" s="4">
        <f t="shared" si="18"/>
        <v>12</v>
      </c>
      <c r="AF69" s="9"/>
      <c r="AJ69" s="248" t="str">
        <f t="shared" si="19"/>
        <v/>
      </c>
      <c r="AK69" s="248" t="str">
        <f t="shared" si="20"/>
        <v/>
      </c>
      <c r="AL69">
        <f t="shared" si="21"/>
        <v>0</v>
      </c>
      <c r="AQ69">
        <f t="shared" si="23"/>
        <v>0</v>
      </c>
      <c r="AS69">
        <v>752555</v>
      </c>
      <c r="AT69">
        <f t="shared" si="22"/>
        <v>0</v>
      </c>
    </row>
    <row r="70" spans="1:46" ht="15.65" customHeight="1" x14ac:dyDescent="0.35">
      <c r="A70" s="2">
        <v>69</v>
      </c>
      <c r="B70" s="2">
        <v>773384</v>
      </c>
      <c r="C70" s="2" t="s">
        <v>26</v>
      </c>
      <c r="D70" s="2">
        <v>1005</v>
      </c>
      <c r="E70" s="2" t="s">
        <v>51</v>
      </c>
      <c r="F70" s="2" t="s">
        <v>253</v>
      </c>
      <c r="G70" s="6"/>
      <c r="H70" s="6" t="s">
        <v>47</v>
      </c>
      <c r="I70" s="10">
        <f>SUMIFS('Cutters Consumption Updates'!$F:$F,'Cutters Consumption Updates'!$D:$D,I$1,'Cutters Consumption Updates'!$B:$B,$B70)-SUMIFS('Cutters Consumption Updates'!$E:$E,'Cutters Consumption Updates'!$D:$D,I$1,'Cutters Consumption Updates'!$B:$B,$B70)+ SUMIF('Cutters Consumption Updates'!$AS:$AS,$B70,'Cutters Consumption Updates'!AT:AT)</f>
        <v>0</v>
      </c>
      <c r="J70" s="10">
        <f>SUMIFS('Cutters Consumption Updates'!$F:$F,'Cutters Consumption Updates'!$D:$D,J$1,'Cutters Consumption Updates'!$B:$B,$B70)-SUMIFS('Cutters Consumption Updates'!$E:$E,'Cutters Consumption Updates'!$D:$D,J$1,'Cutters Consumption Updates'!$B:$B,$B70)+ SUMIF('Cutters Consumption Updates'!$AS:$AS,$B70,'Cutters Consumption Updates'!AU:AU)</f>
        <v>0</v>
      </c>
      <c r="K70" s="116">
        <f>SUMIFS('Cutters Consumption Updates'!$F:$F,'Cutters Consumption Updates'!$D:$D,K$1,'Cutters Consumption Updates'!$B:$B,$B70)-SUMIFS('Cutters Consumption Updates'!$E:$E,'Cutters Consumption Updates'!$D:$D,K$1,'Cutters Consumption Updates'!$B:$B,$B70)+ SUMIF('Cutters Consumption Updates'!$AS:$AS,$B70,'Cutters Consumption Updates'!AV:AV)</f>
        <v>0</v>
      </c>
      <c r="L70" s="738">
        <f>SUMIFS('Cutters Consumption Updates'!$F:$F,'Cutters Consumption Updates'!$D:$D,L$1,'Cutters Consumption Updates'!$B:$B,$B70)-SUMIFS('Cutters Consumption Updates'!$E:$E,'Cutters Consumption Updates'!$D:$D,L$1,'Cutters Consumption Updates'!$B:$B,$B70)+ SUMIF('Cutters Consumption Updates'!$AS:$AS,$B70,'Cutters Consumption Updates'!AW:AW)</f>
        <v>0</v>
      </c>
      <c r="M70" s="116">
        <f>SUMIFS('Cutters Consumption Updates'!$F:$F,'Cutters Consumption Updates'!$D:$D,M$1,'Cutters Consumption Updates'!$B:$B,$B70)-SUMIFS('Cutters Consumption Updates'!$E:$E,'Cutters Consumption Updates'!$D:$D,$M$1,'Cutters Consumption Updates'!$B:$B,$B70)+SUMIFS('Cutters Consumption Updates'!$F:$F,'Cutters Consumption Updates'!$D:$D,"Retrofit",'Cutters Consumption Updates'!$B:$B,$B70)-SUMIFS('Cutters Consumption Updates'!$E:$E,'Cutters Consumption Updates'!$D:$D,"Retrofit",'Cutters Consumption Updates'!$B:$B,$B70)+ SUMIF('Cutters Consumption Updates'!$AS:$AS,$B70,'Cutters Consumption Updates'!AX:AX)</f>
        <v>34</v>
      </c>
      <c r="N70" s="10">
        <f t="shared" si="12"/>
        <v>34</v>
      </c>
      <c r="O70" s="701">
        <f ca="1">SUMIFS('Cutters Consumption Updates'!E:E,
        'Cutters Consumption Updates'!B:B, B70,
        'Cutters Consumption Updates'!A:A, "&gt;" &amp; TODAY()-182)</f>
        <v>54</v>
      </c>
      <c r="P70" s="701">
        <f ca="1">SUMIFS('Cutters Consumption Updates'!E:E,
        'Cutters Consumption Updates'!B:B, B70,
        'Cutters Consumption Updates'!A:A, "&gt;" &amp; TODAY()-91)</f>
        <v>54</v>
      </c>
      <c r="Q70" s="701">
        <f t="shared" ca="1" si="13"/>
        <v>18</v>
      </c>
      <c r="R70" s="703">
        <f t="shared" ca="1" si="14"/>
        <v>20</v>
      </c>
      <c r="S70" s="703" t="s">
        <v>84</v>
      </c>
      <c r="T70" s="24">
        <f>IFERROR(INDEX(Table5[],MATCH($B70,Table5[Component],0),2),0)</f>
        <v>100</v>
      </c>
      <c r="U70" s="24">
        <f>SUMIFS(Table7[Balance],Table7[Cutter Mat'#],$B70)</f>
        <v>0</v>
      </c>
      <c r="V70" s="24">
        <f t="shared" si="15"/>
        <v>-66</v>
      </c>
      <c r="W70" s="119"/>
      <c r="X70" s="2"/>
      <c r="Z70" s="4">
        <f>IFERROR(INDEX(Table5[],MATCH($B70,Table5[Component],0),2),0)</f>
        <v>100</v>
      </c>
      <c r="AA70" s="4">
        <f>IFERROR(INDEX(Table5[],MATCH($B70,Table5[Component],0),1),0)</f>
        <v>773384</v>
      </c>
      <c r="AB70" s="4">
        <f t="shared" si="16"/>
        <v>773384</v>
      </c>
      <c r="AC70" s="4" t="str">
        <f t="shared" si="17"/>
        <v/>
      </c>
      <c r="AE70" s="4">
        <f t="shared" si="18"/>
        <v>34</v>
      </c>
      <c r="AF70" s="9"/>
      <c r="AJ70" s="248" t="str">
        <f t="shared" si="19"/>
        <v/>
      </c>
      <c r="AK70" s="248" t="str">
        <f t="shared" si="20"/>
        <v/>
      </c>
      <c r="AL70">
        <f t="shared" si="21"/>
        <v>0</v>
      </c>
      <c r="AQ70">
        <f t="shared" si="23"/>
        <v>0</v>
      </c>
      <c r="AS70">
        <v>752563</v>
      </c>
      <c r="AT70">
        <f t="shared" si="22"/>
        <v>0</v>
      </c>
    </row>
    <row r="71" spans="1:46" ht="15.65" customHeight="1" x14ac:dyDescent="0.35">
      <c r="A71" s="2">
        <v>70</v>
      </c>
      <c r="B71" s="2">
        <v>971055</v>
      </c>
      <c r="C71" s="2" t="s">
        <v>85</v>
      </c>
      <c r="D71" s="2">
        <v>10.5</v>
      </c>
      <c r="E71" s="2" t="s">
        <v>86</v>
      </c>
      <c r="F71" s="2" t="s">
        <v>253</v>
      </c>
      <c r="G71" s="6" t="s">
        <v>87</v>
      </c>
      <c r="H71" s="6" t="s">
        <v>47</v>
      </c>
      <c r="I71" s="10">
        <f>SUMIFS('Cutters Consumption Updates'!$F:$F,'Cutters Consumption Updates'!$D:$D,I$1,'Cutters Consumption Updates'!$B:$B,$B71)-SUMIFS('Cutters Consumption Updates'!$E:$E,'Cutters Consumption Updates'!$D:$D,I$1,'Cutters Consumption Updates'!$B:$B,$B71)+ SUMIF('Cutters Consumption Updates'!$AS:$AS,$B71,'Cutters Consumption Updates'!AT:AT)</f>
        <v>0</v>
      </c>
      <c r="J71" s="10">
        <f>SUMIFS('Cutters Consumption Updates'!$F:$F,'Cutters Consumption Updates'!$D:$D,J$1,'Cutters Consumption Updates'!$B:$B,$B71)-SUMIFS('Cutters Consumption Updates'!$E:$E,'Cutters Consumption Updates'!$D:$D,J$1,'Cutters Consumption Updates'!$B:$B,$B71)+ SUMIF('Cutters Consumption Updates'!$AS:$AS,$B71,'Cutters Consumption Updates'!AU:AU)</f>
        <v>0</v>
      </c>
      <c r="K71" s="116">
        <f>SUMIFS('Cutters Consumption Updates'!$F:$F,'Cutters Consumption Updates'!$D:$D,K$1,'Cutters Consumption Updates'!$B:$B,$B71)-SUMIFS('Cutters Consumption Updates'!$E:$E,'Cutters Consumption Updates'!$D:$D,K$1,'Cutters Consumption Updates'!$B:$B,$B71)+ SUMIF('Cutters Consumption Updates'!$AS:$AS,$B71,'Cutters Consumption Updates'!AV:AV)</f>
        <v>0</v>
      </c>
      <c r="L71" s="738">
        <f>SUMIFS('Cutters Consumption Updates'!$F:$F,'Cutters Consumption Updates'!$D:$D,L$1,'Cutters Consumption Updates'!$B:$B,$B71)-SUMIFS('Cutters Consumption Updates'!$E:$E,'Cutters Consumption Updates'!$D:$D,L$1,'Cutters Consumption Updates'!$B:$B,$B71)+ SUMIF('Cutters Consumption Updates'!$AS:$AS,$B71,'Cutters Consumption Updates'!AW:AW)</f>
        <v>21</v>
      </c>
      <c r="M71" s="116">
        <f>SUMIFS('Cutters Consumption Updates'!$F:$F,'Cutters Consumption Updates'!$D:$D,M$1,'Cutters Consumption Updates'!$B:$B,$B71)-SUMIFS('Cutters Consumption Updates'!$E:$E,'Cutters Consumption Updates'!$D:$D,$M$1,'Cutters Consumption Updates'!$B:$B,$B71)+SUMIFS('Cutters Consumption Updates'!$F:$F,'Cutters Consumption Updates'!$D:$D,"Retrofit",'Cutters Consumption Updates'!$B:$B,$B71)-SUMIFS('Cutters Consumption Updates'!$E:$E,'Cutters Consumption Updates'!$D:$D,"Retrofit",'Cutters Consumption Updates'!$B:$B,$B71)+ SUMIF('Cutters Consumption Updates'!$AS:$AS,$B71,'Cutters Consumption Updates'!AX:AX)</f>
        <v>30</v>
      </c>
      <c r="N71" s="10">
        <f t="shared" si="12"/>
        <v>30</v>
      </c>
      <c r="O71" s="701">
        <f ca="1">SUMIFS('Cutters Consumption Updates'!E:E,
        'Cutters Consumption Updates'!B:B, B71,
        'Cutters Consumption Updates'!A:A, "&gt;" &amp; TODAY()-182)</f>
        <v>0</v>
      </c>
      <c r="P71" s="701">
        <f ca="1">SUMIFS('Cutters Consumption Updates'!E:E,
        'Cutters Consumption Updates'!B:B, B71,
        'Cutters Consumption Updates'!A:A, "&gt;" &amp; TODAY()-91)</f>
        <v>0</v>
      </c>
      <c r="Q71" s="701">
        <f t="shared" ca="1" si="13"/>
        <v>0</v>
      </c>
      <c r="R71" s="703">
        <f t="shared" ca="1" si="14"/>
        <v>0</v>
      </c>
      <c r="S71" s="703" t="s">
        <v>29</v>
      </c>
      <c r="T71" s="24">
        <f>IFERROR(INDEX(Table5[],MATCH($B71,Table5[Component],0),2),0)</f>
        <v>0</v>
      </c>
      <c r="U71" s="24">
        <f>SUMIFS(Table7[Balance],Table7[Cutter Mat'#],$B71)</f>
        <v>0</v>
      </c>
      <c r="V71" s="24">
        <f t="shared" si="15"/>
        <v>30</v>
      </c>
      <c r="W71" s="119"/>
      <c r="X71" s="2"/>
      <c r="Z71" s="4">
        <f>IFERROR(INDEX(Table5[],MATCH($B71,Table5[Component],0),2),0)</f>
        <v>0</v>
      </c>
      <c r="AA71" s="4">
        <f>IFERROR(INDEX(Table5[],MATCH($B71,Table5[Component],0),1),0)</f>
        <v>971055</v>
      </c>
      <c r="AB71" s="4" t="str">
        <f t="shared" si="16"/>
        <v/>
      </c>
      <c r="AC71" s="4" t="str">
        <f t="shared" si="17"/>
        <v/>
      </c>
      <c r="AE71" s="4">
        <f t="shared" si="18"/>
        <v>30</v>
      </c>
      <c r="AF71" s="9"/>
      <c r="AJ71" s="248" t="str">
        <f t="shared" si="19"/>
        <v/>
      </c>
      <c r="AK71" s="248" t="str">
        <f t="shared" si="20"/>
        <v/>
      </c>
      <c r="AL71">
        <f t="shared" si="21"/>
        <v>0</v>
      </c>
      <c r="AQ71">
        <f t="shared" si="23"/>
        <v>0</v>
      </c>
      <c r="AS71">
        <v>752583</v>
      </c>
      <c r="AT71">
        <f t="shared" si="22"/>
        <v>0</v>
      </c>
    </row>
    <row r="72" spans="1:46" ht="15.65" customHeight="1" x14ac:dyDescent="0.35">
      <c r="A72" s="2">
        <v>71</v>
      </c>
      <c r="B72" s="2">
        <v>1039036</v>
      </c>
      <c r="C72" s="2" t="s">
        <v>26</v>
      </c>
      <c r="D72" s="2">
        <v>1313</v>
      </c>
      <c r="E72" s="2" t="s">
        <v>88</v>
      </c>
      <c r="F72" s="2" t="s">
        <v>253</v>
      </c>
      <c r="G72" s="6"/>
      <c r="H72" s="6" t="s">
        <v>49</v>
      </c>
      <c r="I72" s="10">
        <f>SUMIFS('Cutters Consumption Updates'!$F:$F,'Cutters Consumption Updates'!$D:$D,I$1,'Cutters Consumption Updates'!$B:$B,$B72)-SUMIFS('Cutters Consumption Updates'!$E:$E,'Cutters Consumption Updates'!$D:$D,I$1,'Cutters Consumption Updates'!$B:$B,$B72)+ SUMIF('Cutters Consumption Updates'!$AS:$AS,$B72,'Cutters Consumption Updates'!AT:AT)</f>
        <v>0</v>
      </c>
      <c r="J72" s="10">
        <f>SUMIFS('Cutters Consumption Updates'!$F:$F,'Cutters Consumption Updates'!$D:$D,J$1,'Cutters Consumption Updates'!$B:$B,$B72)-SUMIFS('Cutters Consumption Updates'!$E:$E,'Cutters Consumption Updates'!$D:$D,J$1,'Cutters Consumption Updates'!$B:$B,$B72)+ SUMIF('Cutters Consumption Updates'!$AS:$AS,$B72,'Cutters Consumption Updates'!AU:AU)</f>
        <v>0</v>
      </c>
      <c r="K72" s="116">
        <f>SUMIFS('Cutters Consumption Updates'!$F:$F,'Cutters Consumption Updates'!$D:$D,K$1,'Cutters Consumption Updates'!$B:$B,$B72)-SUMIFS('Cutters Consumption Updates'!$E:$E,'Cutters Consumption Updates'!$D:$D,K$1,'Cutters Consumption Updates'!$B:$B,$B72)+ SUMIF('Cutters Consumption Updates'!$AS:$AS,$B72,'Cutters Consumption Updates'!AV:AV)</f>
        <v>6</v>
      </c>
      <c r="L72" s="738">
        <f>SUMIFS('Cutters Consumption Updates'!$F:$F,'Cutters Consumption Updates'!$D:$D,L$1,'Cutters Consumption Updates'!$B:$B,$B72)-SUMIFS('Cutters Consumption Updates'!$E:$E,'Cutters Consumption Updates'!$D:$D,L$1,'Cutters Consumption Updates'!$B:$B,$B72)+ SUMIF('Cutters Consumption Updates'!$AS:$AS,$B72,'Cutters Consumption Updates'!AW:AW)</f>
        <v>0</v>
      </c>
      <c r="M72" s="116">
        <f>SUMIFS('Cutters Consumption Updates'!$F:$F,'Cutters Consumption Updates'!$D:$D,M$1,'Cutters Consumption Updates'!$B:$B,$B72)-SUMIFS('Cutters Consumption Updates'!$E:$E,'Cutters Consumption Updates'!$D:$D,$M$1,'Cutters Consumption Updates'!$B:$B,$B72)+SUMIFS('Cutters Consumption Updates'!$F:$F,'Cutters Consumption Updates'!$D:$D,"Retrofit",'Cutters Consumption Updates'!$B:$B,$B72)-SUMIFS('Cutters Consumption Updates'!$E:$E,'Cutters Consumption Updates'!$D:$D,"Retrofit",'Cutters Consumption Updates'!$B:$B,$B72)+ SUMIF('Cutters Consumption Updates'!$AS:$AS,$B72,'Cutters Consumption Updates'!AX:AX)</f>
        <v>4</v>
      </c>
      <c r="N72" s="10">
        <f t="shared" si="12"/>
        <v>4</v>
      </c>
      <c r="O72" s="701">
        <f ca="1">SUMIFS('Cutters Consumption Updates'!E:E,
        'Cutters Consumption Updates'!B:B, B72,
        'Cutters Consumption Updates'!A:A, "&gt;" &amp; TODAY()-182)</f>
        <v>2</v>
      </c>
      <c r="P72" s="701">
        <f ca="1">SUMIFS('Cutters Consumption Updates'!E:E,
        'Cutters Consumption Updates'!B:B, B72,
        'Cutters Consumption Updates'!A:A, "&gt;" &amp; TODAY()-91)</f>
        <v>2</v>
      </c>
      <c r="Q72" s="701">
        <f t="shared" ca="1" si="13"/>
        <v>1</v>
      </c>
      <c r="R72" s="703">
        <f t="shared" ca="1" si="14"/>
        <v>0</v>
      </c>
      <c r="S72" s="703" t="s">
        <v>89</v>
      </c>
      <c r="T72" s="24">
        <f>IFERROR(INDEX(Table5[],MATCH($B72,Table5[Component],0),2),0)</f>
        <v>0</v>
      </c>
      <c r="U72" s="24">
        <f>SUMIFS(Table7[Balance],Table7[Cutter Mat'#],$B72)</f>
        <v>0</v>
      </c>
      <c r="V72" s="24">
        <f t="shared" si="15"/>
        <v>4</v>
      </c>
      <c r="W72" s="119"/>
      <c r="X72" s="2"/>
      <c r="Z72" s="4">
        <f>IFERROR(INDEX(Table5[],MATCH($B72,Table5[Component],0),2),0)</f>
        <v>0</v>
      </c>
      <c r="AA72" s="4">
        <f>IFERROR(INDEX(Table5[],MATCH($B72,Table5[Component],0),1),0)</f>
        <v>1039036</v>
      </c>
      <c r="AB72" s="4" t="str">
        <f t="shared" si="16"/>
        <v/>
      </c>
      <c r="AC72" s="4" t="str">
        <f t="shared" si="17"/>
        <v/>
      </c>
      <c r="AE72" s="4">
        <f t="shared" si="18"/>
        <v>10</v>
      </c>
      <c r="AF72" s="9"/>
      <c r="AJ72" s="248" t="str">
        <f t="shared" si="19"/>
        <v/>
      </c>
      <c r="AK72" s="248" t="str">
        <f t="shared" si="20"/>
        <v/>
      </c>
      <c r="AL72">
        <f t="shared" si="21"/>
        <v>0</v>
      </c>
      <c r="AQ72">
        <f t="shared" si="23"/>
        <v>0</v>
      </c>
      <c r="AS72">
        <v>755889</v>
      </c>
      <c r="AT72">
        <f t="shared" si="22"/>
        <v>0</v>
      </c>
    </row>
    <row r="73" spans="1:46" ht="15.65" customHeight="1" x14ac:dyDescent="0.35">
      <c r="A73" s="2">
        <v>72</v>
      </c>
      <c r="B73" s="2">
        <v>1039034</v>
      </c>
      <c r="C73" s="2" t="s">
        <v>26</v>
      </c>
      <c r="D73" s="2">
        <v>1308</v>
      </c>
      <c r="E73" s="2" t="s">
        <v>88</v>
      </c>
      <c r="F73" s="2" t="s">
        <v>253</v>
      </c>
      <c r="G73" s="6"/>
      <c r="H73" s="6" t="s">
        <v>49</v>
      </c>
      <c r="I73" s="10">
        <f>SUMIFS('Cutters Consumption Updates'!$F:$F,'Cutters Consumption Updates'!$D:$D,I$1,'Cutters Consumption Updates'!$B:$B,$B73)-SUMIFS('Cutters Consumption Updates'!$E:$E,'Cutters Consumption Updates'!$D:$D,I$1,'Cutters Consumption Updates'!$B:$B,$B73)+ SUMIF('Cutters Consumption Updates'!$AS:$AS,$B73,'Cutters Consumption Updates'!AT:AT)</f>
        <v>-22</v>
      </c>
      <c r="J73" s="10">
        <f>SUMIFS('Cutters Consumption Updates'!$F:$F,'Cutters Consumption Updates'!$D:$D,J$1,'Cutters Consumption Updates'!$B:$B,$B73)-SUMIFS('Cutters Consumption Updates'!$E:$E,'Cutters Consumption Updates'!$D:$D,J$1,'Cutters Consumption Updates'!$B:$B,$B73)+ SUMIF('Cutters Consumption Updates'!$AS:$AS,$B73,'Cutters Consumption Updates'!AU:AU)</f>
        <v>0</v>
      </c>
      <c r="K73" s="116">
        <f>SUMIFS('Cutters Consumption Updates'!$F:$F,'Cutters Consumption Updates'!$D:$D,K$1,'Cutters Consumption Updates'!$B:$B,$B73)-SUMIFS('Cutters Consumption Updates'!$E:$E,'Cutters Consumption Updates'!$D:$D,K$1,'Cutters Consumption Updates'!$B:$B,$B73)+ SUMIF('Cutters Consumption Updates'!$AS:$AS,$B73,'Cutters Consumption Updates'!AV:AV)</f>
        <v>0</v>
      </c>
      <c r="L73" s="738">
        <f>SUMIFS('Cutters Consumption Updates'!$F:$F,'Cutters Consumption Updates'!$D:$D,L$1,'Cutters Consumption Updates'!$B:$B,$B73)-SUMIFS('Cutters Consumption Updates'!$E:$E,'Cutters Consumption Updates'!$D:$D,L$1,'Cutters Consumption Updates'!$B:$B,$B73)+ SUMIF('Cutters Consumption Updates'!$AS:$AS,$B73,'Cutters Consumption Updates'!AW:AW)</f>
        <v>0</v>
      </c>
      <c r="M73" s="116">
        <f>SUMIFS('Cutters Consumption Updates'!$F:$F,'Cutters Consumption Updates'!$D:$D,M$1,'Cutters Consumption Updates'!$B:$B,$B73)-SUMIFS('Cutters Consumption Updates'!$E:$E,'Cutters Consumption Updates'!$D:$D,$M$1,'Cutters Consumption Updates'!$B:$B,$B73)+SUMIFS('Cutters Consumption Updates'!$F:$F,'Cutters Consumption Updates'!$D:$D,"Retrofit",'Cutters Consumption Updates'!$B:$B,$B73)-SUMIFS('Cutters Consumption Updates'!$E:$E,'Cutters Consumption Updates'!$D:$D,"Retrofit",'Cutters Consumption Updates'!$B:$B,$B73)+ SUMIF('Cutters Consumption Updates'!$AS:$AS,$B73,'Cutters Consumption Updates'!AX:AX)</f>
        <v>0</v>
      </c>
      <c r="N73" s="10">
        <f t="shared" si="12"/>
        <v>-22</v>
      </c>
      <c r="O73" s="701">
        <f ca="1">SUMIFS('Cutters Consumption Updates'!E:E,
        'Cutters Consumption Updates'!B:B, B73,
        'Cutters Consumption Updates'!A:A, "&gt;" &amp; TODAY()-182)</f>
        <v>22</v>
      </c>
      <c r="P73" s="701">
        <f ca="1">SUMIFS('Cutters Consumption Updates'!E:E,
        'Cutters Consumption Updates'!B:B, B73,
        'Cutters Consumption Updates'!A:A, "&gt;" &amp; TODAY()-91)</f>
        <v>22</v>
      </c>
      <c r="Q73" s="701">
        <f t="shared" ca="1" si="13"/>
        <v>8</v>
      </c>
      <c r="R73" s="703">
        <f t="shared" ca="1" si="14"/>
        <v>10</v>
      </c>
      <c r="S73" s="703" t="s">
        <v>29</v>
      </c>
      <c r="T73" s="24">
        <f>IFERROR(INDEX(Table5[],MATCH($B73,Table5[Component],0),2),0)</f>
        <v>0</v>
      </c>
      <c r="U73" s="24">
        <f>SUMIFS(Table7[Balance],Table7[Cutter Mat'#],$B73)</f>
        <v>0</v>
      </c>
      <c r="V73" s="24">
        <f t="shared" si="15"/>
        <v>-22</v>
      </c>
      <c r="W73" s="119"/>
      <c r="X73" s="2"/>
      <c r="Z73" s="4">
        <f>IFERROR(INDEX(Table5[],MATCH($B73,Table5[Component],0),2),0)</f>
        <v>0</v>
      </c>
      <c r="AA73" s="4">
        <f>IFERROR(INDEX(Table5[],MATCH($B73,Table5[Component],0),1),0)</f>
        <v>1039034</v>
      </c>
      <c r="AB73" s="4" t="str">
        <f t="shared" si="16"/>
        <v/>
      </c>
      <c r="AC73" s="4" t="str">
        <f t="shared" si="17"/>
        <v/>
      </c>
      <c r="AE73" s="4">
        <f t="shared" si="18"/>
        <v>-22</v>
      </c>
      <c r="AF73" s="9"/>
      <c r="AJ73" s="248" t="str">
        <f t="shared" si="19"/>
        <v/>
      </c>
      <c r="AK73" s="248" t="str">
        <f t="shared" si="20"/>
        <v/>
      </c>
      <c r="AL73">
        <f t="shared" si="21"/>
        <v>0</v>
      </c>
      <c r="AQ73">
        <f t="shared" si="23"/>
        <v>0</v>
      </c>
      <c r="AS73">
        <v>755975</v>
      </c>
      <c r="AT73">
        <f t="shared" si="22"/>
        <v>0</v>
      </c>
    </row>
    <row r="74" spans="1:46" ht="15.65" customHeight="1" x14ac:dyDescent="0.35">
      <c r="A74" s="2">
        <v>73</v>
      </c>
      <c r="B74" s="2">
        <v>1017002</v>
      </c>
      <c r="C74" s="12" t="s">
        <v>90</v>
      </c>
      <c r="D74" s="2">
        <v>1313</v>
      </c>
      <c r="E74" s="2"/>
      <c r="F74" s="2"/>
      <c r="G74" s="6"/>
      <c r="H74" s="6" t="s">
        <v>47</v>
      </c>
      <c r="I74" s="10">
        <f>SUMIFS('Cutters Consumption Updates'!$F:$F,'Cutters Consumption Updates'!$D:$D,I$1,'Cutters Consumption Updates'!$B:$B,$B74)-SUMIFS('Cutters Consumption Updates'!$E:$E,'Cutters Consumption Updates'!$D:$D,I$1,'Cutters Consumption Updates'!$B:$B,$B74)+ SUMIF('Cutters Consumption Updates'!$AS:$AS,$B74,'Cutters Consumption Updates'!AT:AT)</f>
        <v>0</v>
      </c>
      <c r="J74" s="10">
        <f>SUMIFS('Cutters Consumption Updates'!$F:$F,'Cutters Consumption Updates'!$D:$D,J$1,'Cutters Consumption Updates'!$B:$B,$B74)-SUMIFS('Cutters Consumption Updates'!$E:$E,'Cutters Consumption Updates'!$D:$D,J$1,'Cutters Consumption Updates'!$B:$B,$B74)+ SUMIF('Cutters Consumption Updates'!$AS:$AS,$B74,'Cutters Consumption Updates'!AU:AU)</f>
        <v>0</v>
      </c>
      <c r="K74" s="116">
        <f>SUMIFS('Cutters Consumption Updates'!$F:$F,'Cutters Consumption Updates'!$D:$D,K$1,'Cutters Consumption Updates'!$B:$B,$B74)-SUMIFS('Cutters Consumption Updates'!$E:$E,'Cutters Consumption Updates'!$D:$D,K$1,'Cutters Consumption Updates'!$B:$B,$B74)+ SUMIF('Cutters Consumption Updates'!$AS:$AS,$B74,'Cutters Consumption Updates'!AV:AV)</f>
        <v>0</v>
      </c>
      <c r="L74" s="738">
        <f>SUMIFS('Cutters Consumption Updates'!$F:$F,'Cutters Consumption Updates'!$D:$D,L$1,'Cutters Consumption Updates'!$B:$B,$B74)-SUMIFS('Cutters Consumption Updates'!$E:$E,'Cutters Consumption Updates'!$D:$D,L$1,'Cutters Consumption Updates'!$B:$B,$B74)+ SUMIF('Cutters Consumption Updates'!$AS:$AS,$B74,'Cutters Consumption Updates'!AW:AW)</f>
        <v>0</v>
      </c>
      <c r="M74" s="116">
        <f>SUMIFS('Cutters Consumption Updates'!$F:$F,'Cutters Consumption Updates'!$D:$D,M$1,'Cutters Consumption Updates'!$B:$B,$B74)-SUMIFS('Cutters Consumption Updates'!$E:$E,'Cutters Consumption Updates'!$D:$D,$M$1,'Cutters Consumption Updates'!$B:$B,$B74)+SUMIFS('Cutters Consumption Updates'!$F:$F,'Cutters Consumption Updates'!$D:$D,"Retrofit",'Cutters Consumption Updates'!$B:$B,$B74)-SUMIFS('Cutters Consumption Updates'!$E:$E,'Cutters Consumption Updates'!$D:$D,"Retrofit",'Cutters Consumption Updates'!$B:$B,$B74)+ SUMIF('Cutters Consumption Updates'!$AS:$AS,$B74,'Cutters Consumption Updates'!AX:AX)</f>
        <v>3</v>
      </c>
      <c r="N74" s="10">
        <f t="shared" si="12"/>
        <v>3</v>
      </c>
      <c r="O74" s="701">
        <f ca="1">SUMIFS('Cutters Consumption Updates'!E:E,
        'Cutters Consumption Updates'!B:B, B74,
        'Cutters Consumption Updates'!A:A, "&gt;" &amp; TODAY()-182)</f>
        <v>0</v>
      </c>
      <c r="P74" s="701">
        <f ca="1">SUMIFS('Cutters Consumption Updates'!E:E,
        'Cutters Consumption Updates'!B:B, B74,
        'Cutters Consumption Updates'!A:A, "&gt;" &amp; TODAY()-91)</f>
        <v>0</v>
      </c>
      <c r="Q74" s="701">
        <f t="shared" ca="1" si="13"/>
        <v>0</v>
      </c>
      <c r="R74" s="703">
        <f t="shared" ca="1" si="14"/>
        <v>0</v>
      </c>
      <c r="S74" s="703" t="s">
        <v>29</v>
      </c>
      <c r="T74" s="24">
        <f>IFERROR(INDEX(Table5[],MATCH($B74,Table5[Component],0),2),0)</f>
        <v>0</v>
      </c>
      <c r="U74" s="24">
        <f>SUMIFS(Table7[Balance],Table7[Cutter Mat'#],$B74)</f>
        <v>0</v>
      </c>
      <c r="V74" s="24">
        <f t="shared" si="15"/>
        <v>3</v>
      </c>
      <c r="W74" s="119"/>
      <c r="X74" s="2"/>
      <c r="Z74" s="4">
        <f>IFERROR(INDEX(Table5[],MATCH($B74,Table5[Component],0),2),0)</f>
        <v>0</v>
      </c>
      <c r="AA74" s="4">
        <f>IFERROR(INDEX(Table5[],MATCH($B74,Table5[Component],0),1),0)</f>
        <v>0</v>
      </c>
      <c r="AB74" s="4" t="str">
        <f t="shared" si="16"/>
        <v/>
      </c>
      <c r="AC74" s="4" t="str">
        <f t="shared" si="17"/>
        <v/>
      </c>
      <c r="AE74" s="4">
        <f t="shared" si="18"/>
        <v>3</v>
      </c>
      <c r="AF74" s="9"/>
      <c r="AJ74" s="248" t="str">
        <f t="shared" si="19"/>
        <v/>
      </c>
      <c r="AK74" s="248" t="str">
        <f t="shared" si="20"/>
        <v/>
      </c>
      <c r="AL74">
        <f t="shared" si="21"/>
        <v>0</v>
      </c>
      <c r="AQ74">
        <f t="shared" si="23"/>
        <v>0</v>
      </c>
      <c r="AS74">
        <v>761246</v>
      </c>
      <c r="AT74">
        <f t="shared" si="22"/>
        <v>0</v>
      </c>
    </row>
    <row r="75" spans="1:46" ht="15.65" customHeight="1" x14ac:dyDescent="0.35">
      <c r="A75" s="2">
        <v>74</v>
      </c>
      <c r="B75" s="2">
        <v>1039060</v>
      </c>
      <c r="C75" s="2" t="s">
        <v>26</v>
      </c>
      <c r="D75" s="2">
        <v>1613</v>
      </c>
      <c r="E75" s="2" t="s">
        <v>88</v>
      </c>
      <c r="F75" s="2" t="s">
        <v>253</v>
      </c>
      <c r="G75" s="6"/>
      <c r="H75" s="6" t="s">
        <v>49</v>
      </c>
      <c r="I75" s="10">
        <f>SUMIFS('Cutters Consumption Updates'!$F:$F,'Cutters Consumption Updates'!$D:$D,I$1,'Cutters Consumption Updates'!$B:$B,$B75)-SUMIFS('Cutters Consumption Updates'!$E:$E,'Cutters Consumption Updates'!$D:$D,I$1,'Cutters Consumption Updates'!$B:$B,$B75)+ SUMIF('Cutters Consumption Updates'!$AS:$AS,$B75,'Cutters Consumption Updates'!AT:AT)</f>
        <v>0</v>
      </c>
      <c r="J75" s="10">
        <f>SUMIFS('Cutters Consumption Updates'!$F:$F,'Cutters Consumption Updates'!$D:$D,J$1,'Cutters Consumption Updates'!$B:$B,$B75)-SUMIFS('Cutters Consumption Updates'!$E:$E,'Cutters Consumption Updates'!$D:$D,J$1,'Cutters Consumption Updates'!$B:$B,$B75)+ SUMIF('Cutters Consumption Updates'!$AS:$AS,$B75,'Cutters Consumption Updates'!AU:AU)</f>
        <v>0</v>
      </c>
      <c r="K75" s="116">
        <f>SUMIFS('Cutters Consumption Updates'!$F:$F,'Cutters Consumption Updates'!$D:$D,K$1,'Cutters Consumption Updates'!$B:$B,$B75)-SUMIFS('Cutters Consumption Updates'!$E:$E,'Cutters Consumption Updates'!$D:$D,K$1,'Cutters Consumption Updates'!$B:$B,$B75)+ SUMIF('Cutters Consumption Updates'!$AS:$AS,$B75,'Cutters Consumption Updates'!AV:AV)</f>
        <v>0</v>
      </c>
      <c r="L75" s="738">
        <f>SUMIFS('Cutters Consumption Updates'!$F:$F,'Cutters Consumption Updates'!$D:$D,L$1,'Cutters Consumption Updates'!$B:$B,$B75)-SUMIFS('Cutters Consumption Updates'!$E:$E,'Cutters Consumption Updates'!$D:$D,L$1,'Cutters Consumption Updates'!$B:$B,$B75)+ SUMIF('Cutters Consumption Updates'!$AS:$AS,$B75,'Cutters Consumption Updates'!AW:AW)</f>
        <v>7</v>
      </c>
      <c r="M75" s="116">
        <f>SUMIFS('Cutters Consumption Updates'!$F:$F,'Cutters Consumption Updates'!$D:$D,M$1,'Cutters Consumption Updates'!$B:$B,$B75)-SUMIFS('Cutters Consumption Updates'!$E:$E,'Cutters Consumption Updates'!$D:$D,$M$1,'Cutters Consumption Updates'!$B:$B,$B75)+SUMIFS('Cutters Consumption Updates'!$F:$F,'Cutters Consumption Updates'!$D:$D,"Retrofit",'Cutters Consumption Updates'!$B:$B,$B75)-SUMIFS('Cutters Consumption Updates'!$E:$E,'Cutters Consumption Updates'!$D:$D,"Retrofit",'Cutters Consumption Updates'!$B:$B,$B75)+ SUMIF('Cutters Consumption Updates'!$AS:$AS,$B75,'Cutters Consumption Updates'!AX:AX)</f>
        <v>0</v>
      </c>
      <c r="N75" s="10">
        <f t="shared" si="12"/>
        <v>0</v>
      </c>
      <c r="O75" s="701">
        <f ca="1">SUMIFS('Cutters Consumption Updates'!E:E,
        'Cutters Consumption Updates'!B:B, B75,
        'Cutters Consumption Updates'!A:A, "&gt;" &amp; TODAY()-182)</f>
        <v>0</v>
      </c>
      <c r="P75" s="701">
        <f ca="1">SUMIFS('Cutters Consumption Updates'!E:E,
        'Cutters Consumption Updates'!B:B, B75,
        'Cutters Consumption Updates'!A:A, "&gt;" &amp; TODAY()-91)</f>
        <v>0</v>
      </c>
      <c r="Q75" s="701">
        <f t="shared" ca="1" si="13"/>
        <v>0</v>
      </c>
      <c r="R75" s="703">
        <f t="shared" ca="1" si="14"/>
        <v>0</v>
      </c>
      <c r="S75" s="703" t="s">
        <v>29</v>
      </c>
      <c r="T75" s="24">
        <f>IFERROR(INDEX(Table5[],MATCH($B75,Table5[Component],0),2),0)</f>
        <v>0</v>
      </c>
      <c r="U75" s="24">
        <f>SUMIFS(Table7[Balance],Table7[Cutter Mat'#],$B75)</f>
        <v>0</v>
      </c>
      <c r="V75" s="24">
        <f t="shared" si="15"/>
        <v>0</v>
      </c>
      <c r="W75" s="119"/>
      <c r="X75" s="2"/>
      <c r="Z75" s="4">
        <f>IFERROR(INDEX(Table5[],MATCH($B75,Table5[Component],0),2),0)</f>
        <v>0</v>
      </c>
      <c r="AA75" s="4">
        <f>IFERROR(INDEX(Table5[],MATCH($B75,Table5[Component],0),1),0)</f>
        <v>0</v>
      </c>
      <c r="AB75" s="4" t="str">
        <f t="shared" si="16"/>
        <v/>
      </c>
      <c r="AC75" s="4" t="str">
        <f t="shared" si="17"/>
        <v/>
      </c>
      <c r="AE75" s="4">
        <f t="shared" si="18"/>
        <v>0</v>
      </c>
      <c r="AF75" s="9"/>
      <c r="AJ75" s="248" t="str">
        <f t="shared" si="19"/>
        <v/>
      </c>
      <c r="AK75" s="248" t="str">
        <f t="shared" si="20"/>
        <v/>
      </c>
      <c r="AL75">
        <f t="shared" si="21"/>
        <v>0</v>
      </c>
      <c r="AQ75">
        <f t="shared" si="23"/>
        <v>0</v>
      </c>
      <c r="AS75">
        <v>761304</v>
      </c>
      <c r="AT75">
        <f t="shared" si="22"/>
        <v>0</v>
      </c>
    </row>
    <row r="76" spans="1:46" ht="15.65" customHeight="1" x14ac:dyDescent="0.35">
      <c r="A76" s="2">
        <v>75</v>
      </c>
      <c r="B76" s="2">
        <v>1039058</v>
      </c>
      <c r="C76" s="2" t="s">
        <v>26</v>
      </c>
      <c r="D76" s="2">
        <v>1608</v>
      </c>
      <c r="E76" s="2" t="s">
        <v>88</v>
      </c>
      <c r="F76" s="2" t="s">
        <v>253</v>
      </c>
      <c r="G76" s="6"/>
      <c r="H76" s="6" t="s">
        <v>49</v>
      </c>
      <c r="I76" s="10">
        <f>SUMIFS('Cutters Consumption Updates'!$F:$F,'Cutters Consumption Updates'!$D:$D,I$1,'Cutters Consumption Updates'!$B:$B,$B76)-SUMIFS('Cutters Consumption Updates'!$E:$E,'Cutters Consumption Updates'!$D:$D,I$1,'Cutters Consumption Updates'!$B:$B,$B76)+ SUMIF('Cutters Consumption Updates'!$AS:$AS,$B76,'Cutters Consumption Updates'!AT:AT)</f>
        <v>0</v>
      </c>
      <c r="J76" s="10">
        <f>SUMIFS('Cutters Consumption Updates'!$F:$F,'Cutters Consumption Updates'!$D:$D,J$1,'Cutters Consumption Updates'!$B:$B,$B76)-SUMIFS('Cutters Consumption Updates'!$E:$E,'Cutters Consumption Updates'!$D:$D,J$1,'Cutters Consumption Updates'!$B:$B,$B76)+ SUMIF('Cutters Consumption Updates'!$AS:$AS,$B76,'Cutters Consumption Updates'!AU:AU)</f>
        <v>0</v>
      </c>
      <c r="K76" s="116">
        <f>SUMIFS('Cutters Consumption Updates'!$F:$F,'Cutters Consumption Updates'!$D:$D,K$1,'Cutters Consumption Updates'!$B:$B,$B76)-SUMIFS('Cutters Consumption Updates'!$E:$E,'Cutters Consumption Updates'!$D:$D,K$1,'Cutters Consumption Updates'!$B:$B,$B76)+ SUMIF('Cutters Consumption Updates'!$AS:$AS,$B76,'Cutters Consumption Updates'!AV:AV)</f>
        <v>0</v>
      </c>
      <c r="L76" s="738">
        <f>SUMIFS('Cutters Consumption Updates'!$F:$F,'Cutters Consumption Updates'!$D:$D,L$1,'Cutters Consumption Updates'!$B:$B,$B76)-SUMIFS('Cutters Consumption Updates'!$E:$E,'Cutters Consumption Updates'!$D:$D,L$1,'Cutters Consumption Updates'!$B:$B,$B76)+ SUMIF('Cutters Consumption Updates'!$AS:$AS,$B76,'Cutters Consumption Updates'!AW:AW)</f>
        <v>0</v>
      </c>
      <c r="M76" s="116">
        <f>SUMIFS('Cutters Consumption Updates'!$F:$F,'Cutters Consumption Updates'!$D:$D,M$1,'Cutters Consumption Updates'!$B:$B,$B76)-SUMIFS('Cutters Consumption Updates'!$E:$E,'Cutters Consumption Updates'!$D:$D,$M$1,'Cutters Consumption Updates'!$B:$B,$B76)+SUMIFS('Cutters Consumption Updates'!$F:$F,'Cutters Consumption Updates'!$D:$D,"Retrofit",'Cutters Consumption Updates'!$B:$B,$B76)-SUMIFS('Cutters Consumption Updates'!$E:$E,'Cutters Consumption Updates'!$D:$D,"Retrofit",'Cutters Consumption Updates'!$B:$B,$B76)+ SUMIF('Cutters Consumption Updates'!$AS:$AS,$B76,'Cutters Consumption Updates'!AX:AX)</f>
        <v>7</v>
      </c>
      <c r="N76" s="10">
        <f t="shared" si="12"/>
        <v>7</v>
      </c>
      <c r="O76" s="701">
        <f ca="1">SUMIFS('Cutters Consumption Updates'!E:E,
        'Cutters Consumption Updates'!B:B, B76,
        'Cutters Consumption Updates'!A:A, "&gt;" &amp; TODAY()-182)</f>
        <v>15</v>
      </c>
      <c r="P76" s="701">
        <f ca="1">SUMIFS('Cutters Consumption Updates'!E:E,
        'Cutters Consumption Updates'!B:B, B76,
        'Cutters Consumption Updates'!A:A, "&gt;" &amp; TODAY()-91)</f>
        <v>15</v>
      </c>
      <c r="Q76" s="701">
        <f t="shared" ca="1" si="13"/>
        <v>5</v>
      </c>
      <c r="R76" s="703">
        <f t="shared" ca="1" si="14"/>
        <v>10</v>
      </c>
      <c r="S76" s="703" t="s">
        <v>29</v>
      </c>
      <c r="T76" s="24">
        <f>IFERROR(INDEX(Table5[],MATCH($B76,Table5[Component],0),2),0)</f>
        <v>0</v>
      </c>
      <c r="U76" s="24">
        <f>SUMIFS(Table7[Balance],Table7[Cutter Mat'#],$B76)</f>
        <v>0</v>
      </c>
      <c r="V76" s="24">
        <f t="shared" si="15"/>
        <v>7</v>
      </c>
      <c r="W76" s="119"/>
      <c r="X76" s="2"/>
      <c r="Z76" s="4">
        <f>IFERROR(INDEX(Table5[],MATCH($B76,Table5[Component],0),2),0)</f>
        <v>0</v>
      </c>
      <c r="AA76" s="4">
        <f>IFERROR(INDEX(Table5[],MATCH($B76,Table5[Component],0),1),0)</f>
        <v>1039058</v>
      </c>
      <c r="AB76" s="4" t="str">
        <f t="shared" si="16"/>
        <v/>
      </c>
      <c r="AC76" s="4" t="str">
        <f t="shared" si="17"/>
        <v/>
      </c>
      <c r="AE76" s="4">
        <f t="shared" si="18"/>
        <v>7</v>
      </c>
      <c r="AF76" s="9"/>
      <c r="AJ76" s="248" t="str">
        <f t="shared" si="19"/>
        <v/>
      </c>
      <c r="AK76" s="248" t="str">
        <f t="shared" si="20"/>
        <v/>
      </c>
      <c r="AL76">
        <f t="shared" si="21"/>
        <v>0</v>
      </c>
      <c r="AQ76">
        <f t="shared" si="23"/>
        <v>0</v>
      </c>
      <c r="AS76">
        <v>768848</v>
      </c>
      <c r="AT76">
        <f t="shared" si="22"/>
        <v>0</v>
      </c>
    </row>
    <row r="77" spans="1:46" ht="15.65" customHeight="1" x14ac:dyDescent="0.35">
      <c r="A77" s="2">
        <v>76</v>
      </c>
      <c r="B77" s="2">
        <v>1014885</v>
      </c>
      <c r="C77" s="2" t="s">
        <v>26</v>
      </c>
      <c r="D77" s="2">
        <v>1308</v>
      </c>
      <c r="E77" s="2" t="s">
        <v>91</v>
      </c>
      <c r="F77" s="2" t="s">
        <v>253</v>
      </c>
      <c r="G77" s="6"/>
      <c r="H77" s="6" t="s">
        <v>49</v>
      </c>
      <c r="I77" s="10">
        <f>SUMIFS('Cutters Consumption Updates'!$F:$F,'Cutters Consumption Updates'!$D:$D,I$1,'Cutters Consumption Updates'!$B:$B,$B77)-SUMIFS('Cutters Consumption Updates'!$E:$E,'Cutters Consumption Updates'!$D:$D,I$1,'Cutters Consumption Updates'!$B:$B,$B77)+ SUMIF('Cutters Consumption Updates'!$AS:$AS,$B77,'Cutters Consumption Updates'!AT:AT)</f>
        <v>0</v>
      </c>
      <c r="J77" s="10">
        <f>SUMIFS('Cutters Consumption Updates'!$F:$F,'Cutters Consumption Updates'!$D:$D,J$1,'Cutters Consumption Updates'!$B:$B,$B77)-SUMIFS('Cutters Consumption Updates'!$E:$E,'Cutters Consumption Updates'!$D:$D,J$1,'Cutters Consumption Updates'!$B:$B,$B77)+ SUMIF('Cutters Consumption Updates'!$AS:$AS,$B77,'Cutters Consumption Updates'!AU:AU)</f>
        <v>0</v>
      </c>
      <c r="K77" s="116">
        <f>SUMIFS('Cutters Consumption Updates'!$F:$F,'Cutters Consumption Updates'!$D:$D,K$1,'Cutters Consumption Updates'!$B:$B,$B77)-SUMIFS('Cutters Consumption Updates'!$E:$E,'Cutters Consumption Updates'!$D:$D,K$1,'Cutters Consumption Updates'!$B:$B,$B77)+ SUMIF('Cutters Consumption Updates'!$AS:$AS,$B77,'Cutters Consumption Updates'!AV:AV)</f>
        <v>0</v>
      </c>
      <c r="L77" s="738">
        <f>SUMIFS('Cutters Consumption Updates'!$F:$F,'Cutters Consumption Updates'!$D:$D,L$1,'Cutters Consumption Updates'!$B:$B,$B77)-SUMIFS('Cutters Consumption Updates'!$E:$E,'Cutters Consumption Updates'!$D:$D,L$1,'Cutters Consumption Updates'!$B:$B,$B77)+ SUMIF('Cutters Consumption Updates'!$AS:$AS,$B77,'Cutters Consumption Updates'!AW:AW)</f>
        <v>0</v>
      </c>
      <c r="M77" s="116">
        <f>SUMIFS('Cutters Consumption Updates'!$F:$F,'Cutters Consumption Updates'!$D:$D,M$1,'Cutters Consumption Updates'!$B:$B,$B77)-SUMIFS('Cutters Consumption Updates'!$E:$E,'Cutters Consumption Updates'!$D:$D,$M$1,'Cutters Consumption Updates'!$B:$B,$B77)+SUMIFS('Cutters Consumption Updates'!$F:$F,'Cutters Consumption Updates'!$D:$D,"Retrofit",'Cutters Consumption Updates'!$B:$B,$B77)-SUMIFS('Cutters Consumption Updates'!$E:$E,'Cutters Consumption Updates'!$D:$D,"Retrofit",'Cutters Consumption Updates'!$B:$B,$B77)+ SUMIF('Cutters Consumption Updates'!$AS:$AS,$B77,'Cutters Consumption Updates'!AX:AX)</f>
        <v>0</v>
      </c>
      <c r="N77" s="10">
        <f t="shared" si="12"/>
        <v>0</v>
      </c>
      <c r="O77" s="701">
        <f ca="1">SUMIFS('Cutters Consumption Updates'!E:E,
        'Cutters Consumption Updates'!B:B, B77,
        'Cutters Consumption Updates'!A:A, "&gt;" &amp; TODAY()-182)</f>
        <v>0</v>
      </c>
      <c r="P77" s="701">
        <f ca="1">SUMIFS('Cutters Consumption Updates'!E:E,
        'Cutters Consumption Updates'!B:B, B77,
        'Cutters Consumption Updates'!A:A, "&gt;" &amp; TODAY()-91)</f>
        <v>0</v>
      </c>
      <c r="Q77" s="701">
        <f t="shared" ca="1" si="13"/>
        <v>0</v>
      </c>
      <c r="R77" s="703">
        <f t="shared" ca="1" si="14"/>
        <v>0</v>
      </c>
      <c r="S77" s="703" t="s">
        <v>29</v>
      </c>
      <c r="T77" s="24">
        <f>IFERROR(INDEX(Table5[],MATCH($B77,Table5[Component],0),2),0)</f>
        <v>0</v>
      </c>
      <c r="U77" s="24">
        <f>SUMIFS(Table7[Balance],Table7[Cutter Mat'#],$B77)</f>
        <v>0</v>
      </c>
      <c r="V77" s="24">
        <f t="shared" si="15"/>
        <v>0</v>
      </c>
      <c r="W77" s="119"/>
      <c r="X77" s="2"/>
      <c r="Z77" s="4">
        <f>IFERROR(INDEX(Table5[],MATCH($B77,Table5[Component],0),2),0)</f>
        <v>0</v>
      </c>
      <c r="AA77" s="4">
        <f>IFERROR(INDEX(Table5[],MATCH($B77,Table5[Component],0),1),0)</f>
        <v>0</v>
      </c>
      <c r="AB77" s="4" t="str">
        <f t="shared" si="16"/>
        <v/>
      </c>
      <c r="AC77" s="4" t="str">
        <f t="shared" si="17"/>
        <v/>
      </c>
      <c r="AE77" s="4">
        <f t="shared" si="18"/>
        <v>0</v>
      </c>
      <c r="AF77" s="9"/>
      <c r="AJ77" s="248" t="str">
        <f t="shared" si="19"/>
        <v/>
      </c>
      <c r="AK77" s="248" t="str">
        <f t="shared" si="20"/>
        <v/>
      </c>
      <c r="AL77">
        <f t="shared" si="21"/>
        <v>0</v>
      </c>
      <c r="AQ77">
        <f t="shared" si="23"/>
        <v>0</v>
      </c>
      <c r="AS77">
        <v>770450</v>
      </c>
      <c r="AT77">
        <f t="shared" si="22"/>
        <v>0</v>
      </c>
    </row>
    <row r="78" spans="1:46" ht="15.65" customHeight="1" x14ac:dyDescent="0.35">
      <c r="A78" s="2">
        <v>77</v>
      </c>
      <c r="B78" s="2">
        <v>1014939</v>
      </c>
      <c r="C78" s="2" t="s">
        <v>26</v>
      </c>
      <c r="D78" s="2">
        <v>1608</v>
      </c>
      <c r="E78" s="2" t="s">
        <v>91</v>
      </c>
      <c r="F78" s="2" t="s">
        <v>253</v>
      </c>
      <c r="G78" s="6"/>
      <c r="H78" s="6" t="s">
        <v>49</v>
      </c>
      <c r="I78" s="10">
        <f>SUMIFS('Cutters Consumption Updates'!$F:$F,'Cutters Consumption Updates'!$D:$D,I$1,'Cutters Consumption Updates'!$B:$B,$B78)-SUMIFS('Cutters Consumption Updates'!$E:$E,'Cutters Consumption Updates'!$D:$D,I$1,'Cutters Consumption Updates'!$B:$B,$B78)+ SUMIF('Cutters Consumption Updates'!$AS:$AS,$B78,'Cutters Consumption Updates'!AT:AT)</f>
        <v>0</v>
      </c>
      <c r="J78" s="10">
        <f>SUMIFS('Cutters Consumption Updates'!$F:$F,'Cutters Consumption Updates'!$D:$D,J$1,'Cutters Consumption Updates'!$B:$B,$B78)-SUMIFS('Cutters Consumption Updates'!$E:$E,'Cutters Consumption Updates'!$D:$D,J$1,'Cutters Consumption Updates'!$B:$B,$B78)+ SUMIF('Cutters Consumption Updates'!$AS:$AS,$B78,'Cutters Consumption Updates'!AU:AU)</f>
        <v>0</v>
      </c>
      <c r="K78" s="116">
        <f>SUMIFS('Cutters Consumption Updates'!$F:$F,'Cutters Consumption Updates'!$D:$D,K$1,'Cutters Consumption Updates'!$B:$B,$B78)-SUMIFS('Cutters Consumption Updates'!$E:$E,'Cutters Consumption Updates'!$D:$D,K$1,'Cutters Consumption Updates'!$B:$B,$B78)+ SUMIF('Cutters Consumption Updates'!$AS:$AS,$B78,'Cutters Consumption Updates'!AV:AV)</f>
        <v>0</v>
      </c>
      <c r="L78" s="738">
        <f>SUMIFS('Cutters Consumption Updates'!$F:$F,'Cutters Consumption Updates'!$D:$D,L$1,'Cutters Consumption Updates'!$B:$B,$B78)-SUMIFS('Cutters Consumption Updates'!$E:$E,'Cutters Consumption Updates'!$D:$D,L$1,'Cutters Consumption Updates'!$B:$B,$B78)+ SUMIF('Cutters Consumption Updates'!$AS:$AS,$B78,'Cutters Consumption Updates'!AW:AW)</f>
        <v>16</v>
      </c>
      <c r="M78" s="116">
        <f>SUMIFS('Cutters Consumption Updates'!$F:$F,'Cutters Consumption Updates'!$D:$D,M$1,'Cutters Consumption Updates'!$B:$B,$B78)-SUMIFS('Cutters Consumption Updates'!$E:$E,'Cutters Consumption Updates'!$D:$D,$M$1,'Cutters Consumption Updates'!$B:$B,$B78)+SUMIFS('Cutters Consumption Updates'!$F:$F,'Cutters Consumption Updates'!$D:$D,"Retrofit",'Cutters Consumption Updates'!$B:$B,$B78)-SUMIFS('Cutters Consumption Updates'!$E:$E,'Cutters Consumption Updates'!$D:$D,"Retrofit",'Cutters Consumption Updates'!$B:$B,$B78)+ SUMIF('Cutters Consumption Updates'!$AS:$AS,$B78,'Cutters Consumption Updates'!AX:AX)</f>
        <v>0</v>
      </c>
      <c r="N78" s="10">
        <f t="shared" si="12"/>
        <v>0</v>
      </c>
      <c r="O78" s="701">
        <f ca="1">SUMIFS('Cutters Consumption Updates'!E:E,
        'Cutters Consumption Updates'!B:B, B78,
        'Cutters Consumption Updates'!A:A, "&gt;" &amp; TODAY()-182)</f>
        <v>0</v>
      </c>
      <c r="P78" s="701">
        <f ca="1">SUMIFS('Cutters Consumption Updates'!E:E,
        'Cutters Consumption Updates'!B:B, B78,
        'Cutters Consumption Updates'!A:A, "&gt;" &amp; TODAY()-91)</f>
        <v>0</v>
      </c>
      <c r="Q78" s="701">
        <f t="shared" ca="1" si="13"/>
        <v>0</v>
      </c>
      <c r="R78" s="703">
        <f t="shared" ca="1" si="14"/>
        <v>0</v>
      </c>
      <c r="S78" s="703" t="s">
        <v>29</v>
      </c>
      <c r="T78" s="24">
        <f>IFERROR(INDEX(Table5[],MATCH($B78,Table5[Component],0),2),0)</f>
        <v>0</v>
      </c>
      <c r="U78" s="24">
        <f>SUMIFS(Table7[Balance],Table7[Cutter Mat'#],$B78)</f>
        <v>0</v>
      </c>
      <c r="V78" s="24">
        <f t="shared" si="15"/>
        <v>0</v>
      </c>
      <c r="W78" s="119"/>
      <c r="X78" s="2"/>
      <c r="Z78" s="4">
        <f>IFERROR(INDEX(Table5[],MATCH($B78,Table5[Component],0),2),0)</f>
        <v>0</v>
      </c>
      <c r="AA78" s="4">
        <f>IFERROR(INDEX(Table5[],MATCH($B78,Table5[Component],0),1),0)</f>
        <v>0</v>
      </c>
      <c r="AB78" s="4" t="str">
        <f t="shared" si="16"/>
        <v/>
      </c>
      <c r="AC78" s="4" t="str">
        <f t="shared" si="17"/>
        <v/>
      </c>
      <c r="AE78" s="4">
        <f t="shared" si="18"/>
        <v>0</v>
      </c>
      <c r="AF78" s="9"/>
      <c r="AJ78" s="248" t="str">
        <f t="shared" si="19"/>
        <v/>
      </c>
      <c r="AK78" s="248" t="str">
        <f t="shared" si="20"/>
        <v/>
      </c>
      <c r="AL78">
        <f t="shared" si="21"/>
        <v>0</v>
      </c>
      <c r="AQ78">
        <f t="shared" si="23"/>
        <v>0</v>
      </c>
      <c r="AS78">
        <v>770451</v>
      </c>
      <c r="AT78">
        <f t="shared" si="22"/>
        <v>0</v>
      </c>
    </row>
    <row r="79" spans="1:46" ht="15.65" customHeight="1" x14ac:dyDescent="0.35">
      <c r="A79" s="2">
        <v>78</v>
      </c>
      <c r="B79" s="2">
        <v>646941</v>
      </c>
      <c r="C79" s="2" t="s">
        <v>26</v>
      </c>
      <c r="D79" s="2">
        <v>1613</v>
      </c>
      <c r="E79" s="2" t="s">
        <v>66</v>
      </c>
      <c r="F79" s="2" t="s">
        <v>248</v>
      </c>
      <c r="G79" s="6"/>
      <c r="H79" s="6" t="s">
        <v>28</v>
      </c>
      <c r="I79" s="10">
        <f>SUMIFS('Cutters Consumption Updates'!$F:$F,'Cutters Consumption Updates'!$D:$D,I$1,'Cutters Consumption Updates'!$B:$B,$B79)-SUMIFS('Cutters Consumption Updates'!$E:$E,'Cutters Consumption Updates'!$D:$D,I$1,'Cutters Consumption Updates'!$B:$B,$B79)+ SUMIF('Cutters Consumption Updates'!$AS:$AS,$B79,'Cutters Consumption Updates'!AT:AT)</f>
        <v>0</v>
      </c>
      <c r="J79" s="10">
        <f>SUMIFS('Cutters Consumption Updates'!$F:$F,'Cutters Consumption Updates'!$D:$D,J$1,'Cutters Consumption Updates'!$B:$B,$B79)-SUMIFS('Cutters Consumption Updates'!$E:$E,'Cutters Consumption Updates'!$D:$D,J$1,'Cutters Consumption Updates'!$B:$B,$B79)+ SUMIF('Cutters Consumption Updates'!$AS:$AS,$B79,'Cutters Consumption Updates'!AU:AU)</f>
        <v>0</v>
      </c>
      <c r="K79" s="116">
        <f>SUMIFS('Cutters Consumption Updates'!$F:$F,'Cutters Consumption Updates'!$D:$D,K$1,'Cutters Consumption Updates'!$B:$B,$B79)-SUMIFS('Cutters Consumption Updates'!$E:$E,'Cutters Consumption Updates'!$D:$D,K$1,'Cutters Consumption Updates'!$B:$B,$B79)+ SUMIF('Cutters Consumption Updates'!$AS:$AS,$B79,'Cutters Consumption Updates'!AV:AV)</f>
        <v>0</v>
      </c>
      <c r="L79" s="738">
        <f>SUMIFS('Cutters Consumption Updates'!$F:$F,'Cutters Consumption Updates'!$D:$D,L$1,'Cutters Consumption Updates'!$B:$B,$B79)-SUMIFS('Cutters Consumption Updates'!$E:$E,'Cutters Consumption Updates'!$D:$D,L$1,'Cutters Consumption Updates'!$B:$B,$B79)+ SUMIF('Cutters Consumption Updates'!$AS:$AS,$B79,'Cutters Consumption Updates'!AW:AW)</f>
        <v>0</v>
      </c>
      <c r="M79" s="116">
        <f>SUMIFS('Cutters Consumption Updates'!$F:$F,'Cutters Consumption Updates'!$D:$D,M$1,'Cutters Consumption Updates'!$B:$B,$B79)-SUMIFS('Cutters Consumption Updates'!$E:$E,'Cutters Consumption Updates'!$D:$D,$M$1,'Cutters Consumption Updates'!$B:$B,$B79)+SUMIFS('Cutters Consumption Updates'!$F:$F,'Cutters Consumption Updates'!$D:$D,"Retrofit",'Cutters Consumption Updates'!$B:$B,$B79)-SUMIFS('Cutters Consumption Updates'!$E:$E,'Cutters Consumption Updates'!$D:$D,"Retrofit",'Cutters Consumption Updates'!$B:$B,$B79)+ SUMIF('Cutters Consumption Updates'!$AS:$AS,$B79,'Cutters Consumption Updates'!AX:AX)</f>
        <v>0</v>
      </c>
      <c r="N79" s="10">
        <f t="shared" si="12"/>
        <v>0</v>
      </c>
      <c r="O79" s="701">
        <f ca="1">SUMIFS('Cutters Consumption Updates'!E:E,
        'Cutters Consumption Updates'!B:B, B79,
        'Cutters Consumption Updates'!A:A, "&gt;" &amp; TODAY()-182)</f>
        <v>0</v>
      </c>
      <c r="P79" s="701">
        <f ca="1">SUMIFS('Cutters Consumption Updates'!E:E,
        'Cutters Consumption Updates'!B:B, B79,
        'Cutters Consumption Updates'!A:A, "&gt;" &amp; TODAY()-91)</f>
        <v>0</v>
      </c>
      <c r="Q79" s="701">
        <f t="shared" ca="1" si="13"/>
        <v>0</v>
      </c>
      <c r="R79" s="703">
        <f t="shared" ca="1" si="14"/>
        <v>0</v>
      </c>
      <c r="S79" s="703" t="s">
        <v>29</v>
      </c>
      <c r="T79" s="24">
        <f>IFERROR(INDEX(Table5[],MATCH($B79,Table5[Component],0),2),0)</f>
        <v>0</v>
      </c>
      <c r="U79" s="24">
        <f>SUMIFS(Table7[Balance],Table7[Cutter Mat'#],$B79)</f>
        <v>0</v>
      </c>
      <c r="V79" s="24">
        <f t="shared" si="15"/>
        <v>0</v>
      </c>
      <c r="W79" s="119"/>
      <c r="X79" s="2"/>
      <c r="Z79" s="4">
        <f>IFERROR(INDEX(Table5[],MATCH($B79,Table5[Component],0),2),0)</f>
        <v>0</v>
      </c>
      <c r="AA79" s="4">
        <f>IFERROR(INDEX(Table5[],MATCH($B79,Table5[Component],0),1),0)</f>
        <v>0</v>
      </c>
      <c r="AB79" s="4" t="str">
        <f t="shared" si="16"/>
        <v/>
      </c>
      <c r="AC79" s="4" t="str">
        <f t="shared" si="17"/>
        <v/>
      </c>
      <c r="AE79" s="4">
        <f t="shared" si="18"/>
        <v>0</v>
      </c>
      <c r="AF79" s="9"/>
      <c r="AJ79" s="248" t="str">
        <f t="shared" si="19"/>
        <v/>
      </c>
      <c r="AK79" s="248" t="str">
        <f t="shared" si="20"/>
        <v/>
      </c>
      <c r="AL79">
        <f t="shared" si="21"/>
        <v>0</v>
      </c>
      <c r="AQ79">
        <f t="shared" si="23"/>
        <v>0</v>
      </c>
      <c r="AS79">
        <v>773383</v>
      </c>
      <c r="AT79">
        <f t="shared" si="22"/>
        <v>0</v>
      </c>
    </row>
    <row r="80" spans="1:46" ht="15.65" customHeight="1" x14ac:dyDescent="0.35">
      <c r="A80" s="2">
        <v>79</v>
      </c>
      <c r="B80" s="2">
        <v>647464</v>
      </c>
      <c r="C80" s="2" t="s">
        <v>42</v>
      </c>
      <c r="D80" s="2">
        <v>16</v>
      </c>
      <c r="E80" s="2" t="s">
        <v>66</v>
      </c>
      <c r="F80" s="2" t="s">
        <v>253</v>
      </c>
      <c r="G80" s="6" t="s">
        <v>68</v>
      </c>
      <c r="H80" s="6" t="s">
        <v>28</v>
      </c>
      <c r="I80" s="10">
        <f>SUMIFS('Cutters Consumption Updates'!$F:$F,'Cutters Consumption Updates'!$D:$D,I$1,'Cutters Consumption Updates'!$B:$B,$B80)-SUMIFS('Cutters Consumption Updates'!$E:$E,'Cutters Consumption Updates'!$D:$D,I$1,'Cutters Consumption Updates'!$B:$B,$B80)+ SUMIF('Cutters Consumption Updates'!$AS:$AS,$B80,'Cutters Consumption Updates'!AT:AT)</f>
        <v>0</v>
      </c>
      <c r="J80" s="10">
        <f>SUMIFS('Cutters Consumption Updates'!$F:$F,'Cutters Consumption Updates'!$D:$D,J$1,'Cutters Consumption Updates'!$B:$B,$B80)-SUMIFS('Cutters Consumption Updates'!$E:$E,'Cutters Consumption Updates'!$D:$D,J$1,'Cutters Consumption Updates'!$B:$B,$B80)+ SUMIF('Cutters Consumption Updates'!$AS:$AS,$B80,'Cutters Consumption Updates'!AU:AU)</f>
        <v>0</v>
      </c>
      <c r="K80" s="116">
        <f>SUMIFS('Cutters Consumption Updates'!$F:$F,'Cutters Consumption Updates'!$D:$D,K$1,'Cutters Consumption Updates'!$B:$B,$B80)-SUMIFS('Cutters Consumption Updates'!$E:$E,'Cutters Consumption Updates'!$D:$D,K$1,'Cutters Consumption Updates'!$B:$B,$B80)+ SUMIF('Cutters Consumption Updates'!$AS:$AS,$B80,'Cutters Consumption Updates'!AV:AV)</f>
        <v>0</v>
      </c>
      <c r="L80" s="738">
        <f>SUMIFS('Cutters Consumption Updates'!$F:$F,'Cutters Consumption Updates'!$D:$D,L$1,'Cutters Consumption Updates'!$B:$B,$B80)-SUMIFS('Cutters Consumption Updates'!$E:$E,'Cutters Consumption Updates'!$D:$D,L$1,'Cutters Consumption Updates'!$B:$B,$B80)+ SUMIF('Cutters Consumption Updates'!$AS:$AS,$B80,'Cutters Consumption Updates'!AW:AW)</f>
        <v>6</v>
      </c>
      <c r="M80" s="116">
        <f>SUMIFS('Cutters Consumption Updates'!$F:$F,'Cutters Consumption Updates'!$D:$D,M$1,'Cutters Consumption Updates'!$B:$B,$B80)-SUMIFS('Cutters Consumption Updates'!$E:$E,'Cutters Consumption Updates'!$D:$D,$M$1,'Cutters Consumption Updates'!$B:$B,$B80)+SUMIFS('Cutters Consumption Updates'!$F:$F,'Cutters Consumption Updates'!$D:$D,"Retrofit",'Cutters Consumption Updates'!$B:$B,$B80)-SUMIFS('Cutters Consumption Updates'!$E:$E,'Cutters Consumption Updates'!$D:$D,"Retrofit",'Cutters Consumption Updates'!$B:$B,$B80)+ SUMIF('Cutters Consumption Updates'!$AS:$AS,$B80,'Cutters Consumption Updates'!AX:AX)</f>
        <v>0</v>
      </c>
      <c r="N80" s="10">
        <f t="shared" si="12"/>
        <v>0</v>
      </c>
      <c r="O80" s="701">
        <f ca="1">SUMIFS('Cutters Consumption Updates'!E:E,
        'Cutters Consumption Updates'!B:B, B80,
        'Cutters Consumption Updates'!A:A, "&gt;" &amp; TODAY()-182)</f>
        <v>0</v>
      </c>
      <c r="P80" s="701">
        <f ca="1">SUMIFS('Cutters Consumption Updates'!E:E,
        'Cutters Consumption Updates'!B:B, B80,
        'Cutters Consumption Updates'!A:A, "&gt;" &amp; TODAY()-91)</f>
        <v>0</v>
      </c>
      <c r="Q80" s="701">
        <f t="shared" ca="1" si="13"/>
        <v>0</v>
      </c>
      <c r="R80" s="703">
        <f t="shared" ca="1" si="14"/>
        <v>0</v>
      </c>
      <c r="S80" s="703" t="s">
        <v>29</v>
      </c>
      <c r="T80" s="24">
        <f>IFERROR(INDEX(Table5[],MATCH($B80,Table5[Component],0),2),0)</f>
        <v>0</v>
      </c>
      <c r="U80" s="24">
        <f>SUMIFS(Table7[Balance],Table7[Cutter Mat'#],$B80)</f>
        <v>0</v>
      </c>
      <c r="V80" s="24">
        <f t="shared" si="15"/>
        <v>0</v>
      </c>
      <c r="W80" s="119"/>
      <c r="X80" s="2"/>
      <c r="Z80" s="4">
        <f>IFERROR(INDEX(Table5[],MATCH($B80,Table5[Component],0),2),0)</f>
        <v>0</v>
      </c>
      <c r="AA80" s="4">
        <f>IFERROR(INDEX(Table5[],MATCH($B80,Table5[Component],0),1),0)</f>
        <v>0</v>
      </c>
      <c r="AB80" s="4" t="str">
        <f t="shared" si="16"/>
        <v/>
      </c>
      <c r="AC80" s="4" t="str">
        <f t="shared" si="17"/>
        <v/>
      </c>
      <c r="AE80" s="4">
        <f t="shared" si="18"/>
        <v>0</v>
      </c>
      <c r="AF80" s="9"/>
      <c r="AJ80" s="248" t="str">
        <f t="shared" si="19"/>
        <v/>
      </c>
      <c r="AK80" s="248" t="str">
        <f t="shared" si="20"/>
        <v/>
      </c>
      <c r="AL80">
        <f t="shared" si="21"/>
        <v>0</v>
      </c>
      <c r="AQ80">
        <f t="shared" si="23"/>
        <v>0</v>
      </c>
      <c r="AS80">
        <v>773384</v>
      </c>
      <c r="AT80">
        <f t="shared" si="22"/>
        <v>0</v>
      </c>
    </row>
    <row r="81" spans="1:46" ht="15.65" customHeight="1" x14ac:dyDescent="0.35">
      <c r="A81" s="2">
        <v>80</v>
      </c>
      <c r="B81" s="2">
        <v>647467</v>
      </c>
      <c r="C81" s="2" t="s">
        <v>69</v>
      </c>
      <c r="D81" s="2">
        <v>16</v>
      </c>
      <c r="E81" s="2" t="s">
        <v>66</v>
      </c>
      <c r="F81" s="2" t="s">
        <v>253</v>
      </c>
      <c r="G81" s="6" t="s">
        <v>70</v>
      </c>
      <c r="H81" s="6" t="s">
        <v>28</v>
      </c>
      <c r="I81" s="10">
        <f>SUMIFS('Cutters Consumption Updates'!$F:$F,'Cutters Consumption Updates'!$D:$D,I$1,'Cutters Consumption Updates'!$B:$B,$B81)-SUMIFS('Cutters Consumption Updates'!$E:$E,'Cutters Consumption Updates'!$D:$D,I$1,'Cutters Consumption Updates'!$B:$B,$B81)+ SUMIF('Cutters Consumption Updates'!$AS:$AS,$B81,'Cutters Consumption Updates'!AT:AT)</f>
        <v>0</v>
      </c>
      <c r="J81" s="10">
        <f>SUMIFS('Cutters Consumption Updates'!$F:$F,'Cutters Consumption Updates'!$D:$D,J$1,'Cutters Consumption Updates'!$B:$B,$B81)-SUMIFS('Cutters Consumption Updates'!$E:$E,'Cutters Consumption Updates'!$D:$D,J$1,'Cutters Consumption Updates'!$B:$B,$B81)+ SUMIF('Cutters Consumption Updates'!$AS:$AS,$B81,'Cutters Consumption Updates'!AU:AU)</f>
        <v>0</v>
      </c>
      <c r="K81" s="116">
        <f>SUMIFS('Cutters Consumption Updates'!$F:$F,'Cutters Consumption Updates'!$D:$D,K$1,'Cutters Consumption Updates'!$B:$B,$B81)-SUMIFS('Cutters Consumption Updates'!$E:$E,'Cutters Consumption Updates'!$D:$D,K$1,'Cutters Consumption Updates'!$B:$B,$B81)+ SUMIF('Cutters Consumption Updates'!$AS:$AS,$B81,'Cutters Consumption Updates'!AV:AV)</f>
        <v>0</v>
      </c>
      <c r="L81" s="738">
        <f>SUMIFS('Cutters Consumption Updates'!$F:$F,'Cutters Consumption Updates'!$D:$D,L$1,'Cutters Consumption Updates'!$B:$B,$B81)-SUMIFS('Cutters Consumption Updates'!$E:$E,'Cutters Consumption Updates'!$D:$D,L$1,'Cutters Consumption Updates'!$B:$B,$B81)+ SUMIF('Cutters Consumption Updates'!$AS:$AS,$B81,'Cutters Consumption Updates'!AW:AW)</f>
        <v>4</v>
      </c>
      <c r="M81" s="116">
        <f>SUMIFS('Cutters Consumption Updates'!$F:$F,'Cutters Consumption Updates'!$D:$D,M$1,'Cutters Consumption Updates'!$B:$B,$B81)-SUMIFS('Cutters Consumption Updates'!$E:$E,'Cutters Consumption Updates'!$D:$D,$M$1,'Cutters Consumption Updates'!$B:$B,$B81)+SUMIFS('Cutters Consumption Updates'!$F:$F,'Cutters Consumption Updates'!$D:$D,"Retrofit",'Cutters Consumption Updates'!$B:$B,$B81)-SUMIFS('Cutters Consumption Updates'!$E:$E,'Cutters Consumption Updates'!$D:$D,"Retrofit",'Cutters Consumption Updates'!$B:$B,$B81)+ SUMIF('Cutters Consumption Updates'!$AS:$AS,$B81,'Cutters Consumption Updates'!AX:AX)</f>
        <v>0</v>
      </c>
      <c r="N81" s="10">
        <f t="shared" si="12"/>
        <v>0</v>
      </c>
      <c r="O81" s="701">
        <f ca="1">SUMIFS('Cutters Consumption Updates'!E:E,
        'Cutters Consumption Updates'!B:B, B81,
        'Cutters Consumption Updates'!A:A, "&gt;" &amp; TODAY()-182)</f>
        <v>0</v>
      </c>
      <c r="P81" s="701">
        <f ca="1">SUMIFS('Cutters Consumption Updates'!E:E,
        'Cutters Consumption Updates'!B:B, B81,
        'Cutters Consumption Updates'!A:A, "&gt;" &amp; TODAY()-91)</f>
        <v>0</v>
      </c>
      <c r="Q81" s="701">
        <f t="shared" ca="1" si="13"/>
        <v>0</v>
      </c>
      <c r="R81" s="703">
        <f t="shared" ca="1" si="14"/>
        <v>0</v>
      </c>
      <c r="S81" s="703" t="s">
        <v>29</v>
      </c>
      <c r="T81" s="24">
        <f>IFERROR(INDEX(Table5[],MATCH($B81,Table5[Component],0),2),0)</f>
        <v>0</v>
      </c>
      <c r="U81" s="24">
        <f>SUMIFS(Table7[Balance],Table7[Cutter Mat'#],$B81)</f>
        <v>0</v>
      </c>
      <c r="V81" s="24">
        <f t="shared" si="15"/>
        <v>0</v>
      </c>
      <c r="W81" s="119"/>
      <c r="X81" s="2"/>
      <c r="Z81" s="4">
        <f>IFERROR(INDEX(Table5[],MATCH($B81,Table5[Component],0),2),0)</f>
        <v>0</v>
      </c>
      <c r="AA81" s="4">
        <f>IFERROR(INDEX(Table5[],MATCH($B81,Table5[Component],0),1),0)</f>
        <v>0</v>
      </c>
      <c r="AB81" s="4" t="str">
        <f t="shared" si="16"/>
        <v/>
      </c>
      <c r="AC81" s="4" t="str">
        <f t="shared" si="17"/>
        <v/>
      </c>
      <c r="AE81" s="4">
        <f t="shared" si="18"/>
        <v>0</v>
      </c>
      <c r="AF81" s="9"/>
      <c r="AJ81" s="248" t="str">
        <f t="shared" si="19"/>
        <v/>
      </c>
      <c r="AK81" s="248" t="str">
        <f t="shared" si="20"/>
        <v/>
      </c>
      <c r="AL81">
        <f t="shared" si="21"/>
        <v>0</v>
      </c>
      <c r="AQ81">
        <f t="shared" si="23"/>
        <v>0</v>
      </c>
      <c r="AS81">
        <v>774371</v>
      </c>
      <c r="AT81">
        <f t="shared" si="22"/>
        <v>0</v>
      </c>
    </row>
    <row r="82" spans="1:46" ht="15.65" customHeight="1" x14ac:dyDescent="0.35">
      <c r="A82" s="2">
        <v>81</v>
      </c>
      <c r="B82" s="2">
        <v>907609</v>
      </c>
      <c r="C82" s="2" t="s">
        <v>26</v>
      </c>
      <c r="D82" s="2">
        <v>1313</v>
      </c>
      <c r="E82" s="2" t="s">
        <v>92</v>
      </c>
      <c r="F82" s="2" t="s">
        <v>248</v>
      </c>
      <c r="G82" s="6" t="s">
        <v>93</v>
      </c>
      <c r="H82" s="6" t="s">
        <v>49</v>
      </c>
      <c r="I82" s="10">
        <f>SUMIFS('Cutters Consumption Updates'!$F:$F,'Cutters Consumption Updates'!$D:$D,I$1,'Cutters Consumption Updates'!$B:$B,$B82)-SUMIFS('Cutters Consumption Updates'!$E:$E,'Cutters Consumption Updates'!$D:$D,I$1,'Cutters Consumption Updates'!$B:$B,$B82)+ SUMIF('Cutters Consumption Updates'!$AS:$AS,$B82,'Cutters Consumption Updates'!AT:AT)</f>
        <v>0</v>
      </c>
      <c r="J82" s="10">
        <f>SUMIFS('Cutters Consumption Updates'!$F:$F,'Cutters Consumption Updates'!$D:$D,J$1,'Cutters Consumption Updates'!$B:$B,$B82)-SUMIFS('Cutters Consumption Updates'!$E:$E,'Cutters Consumption Updates'!$D:$D,J$1,'Cutters Consumption Updates'!$B:$B,$B82)+ SUMIF('Cutters Consumption Updates'!$AS:$AS,$B82,'Cutters Consumption Updates'!AU:AU)</f>
        <v>0</v>
      </c>
      <c r="K82" s="116">
        <f>SUMIFS('Cutters Consumption Updates'!$F:$F,'Cutters Consumption Updates'!$D:$D,K$1,'Cutters Consumption Updates'!$B:$B,$B82)-SUMIFS('Cutters Consumption Updates'!$E:$E,'Cutters Consumption Updates'!$D:$D,K$1,'Cutters Consumption Updates'!$B:$B,$B82)+ SUMIF('Cutters Consumption Updates'!$AS:$AS,$B82,'Cutters Consumption Updates'!AV:AV)</f>
        <v>0</v>
      </c>
      <c r="L82" s="738">
        <f>SUMIFS('Cutters Consumption Updates'!$F:$F,'Cutters Consumption Updates'!$D:$D,L$1,'Cutters Consumption Updates'!$B:$B,$B82)-SUMIFS('Cutters Consumption Updates'!$E:$E,'Cutters Consumption Updates'!$D:$D,L$1,'Cutters Consumption Updates'!$B:$B,$B82)+ SUMIF('Cutters Consumption Updates'!$AS:$AS,$B82,'Cutters Consumption Updates'!AW:AW)</f>
        <v>8</v>
      </c>
      <c r="M82" s="116">
        <f>SUMIFS('Cutters Consumption Updates'!$F:$F,'Cutters Consumption Updates'!$D:$D,M$1,'Cutters Consumption Updates'!$B:$B,$B82)-SUMIFS('Cutters Consumption Updates'!$E:$E,'Cutters Consumption Updates'!$D:$D,$M$1,'Cutters Consumption Updates'!$B:$B,$B82)+SUMIFS('Cutters Consumption Updates'!$F:$F,'Cutters Consumption Updates'!$D:$D,"Retrofit",'Cutters Consumption Updates'!$B:$B,$B82)-SUMIFS('Cutters Consumption Updates'!$E:$E,'Cutters Consumption Updates'!$D:$D,"Retrofit",'Cutters Consumption Updates'!$B:$B,$B82)+ SUMIF('Cutters Consumption Updates'!$AS:$AS,$B82,'Cutters Consumption Updates'!AX:AX)</f>
        <v>0</v>
      </c>
      <c r="N82" s="10">
        <f t="shared" si="12"/>
        <v>0</v>
      </c>
      <c r="O82" s="701">
        <f ca="1">SUMIFS('Cutters Consumption Updates'!E:E,
        'Cutters Consumption Updates'!B:B, B82,
        'Cutters Consumption Updates'!A:A, "&gt;" &amp; TODAY()-182)</f>
        <v>0</v>
      </c>
      <c r="P82" s="701">
        <f ca="1">SUMIFS('Cutters Consumption Updates'!E:E,
        'Cutters Consumption Updates'!B:B, B82,
        'Cutters Consumption Updates'!A:A, "&gt;" &amp; TODAY()-91)</f>
        <v>0</v>
      </c>
      <c r="Q82" s="701">
        <f t="shared" ca="1" si="13"/>
        <v>0</v>
      </c>
      <c r="R82" s="703">
        <f t="shared" ca="1" si="14"/>
        <v>0</v>
      </c>
      <c r="S82" s="703" t="s">
        <v>29</v>
      </c>
      <c r="T82" s="24">
        <f>IFERROR(INDEX(Table5[],MATCH($B82,Table5[Component],0),2),0)</f>
        <v>0</v>
      </c>
      <c r="U82" s="24">
        <f>SUMIFS(Table7[Balance],Table7[Cutter Mat'#],$B82)</f>
        <v>0</v>
      </c>
      <c r="V82" s="24">
        <f t="shared" si="15"/>
        <v>0</v>
      </c>
      <c r="W82" s="119"/>
      <c r="X82" s="2"/>
      <c r="Z82" s="4">
        <f>IFERROR(INDEX(Table5[],MATCH($B82,Table5[Component],0),2),0)</f>
        <v>0</v>
      </c>
      <c r="AA82" s="4">
        <f>IFERROR(INDEX(Table5[],MATCH($B82,Table5[Component],0),1),0)</f>
        <v>0</v>
      </c>
      <c r="AB82" s="4" t="str">
        <f t="shared" si="16"/>
        <v/>
      </c>
      <c r="AC82" s="4" t="str">
        <f t="shared" si="17"/>
        <v/>
      </c>
      <c r="AE82" s="4">
        <f t="shared" si="18"/>
        <v>0</v>
      </c>
      <c r="AF82" s="9"/>
      <c r="AJ82" s="248" t="str">
        <f t="shared" si="19"/>
        <v/>
      </c>
      <c r="AK82" s="248" t="str">
        <f t="shared" si="20"/>
        <v/>
      </c>
      <c r="AL82">
        <f t="shared" si="21"/>
        <v>0</v>
      </c>
      <c r="AQ82">
        <f t="shared" si="23"/>
        <v>0</v>
      </c>
      <c r="AS82">
        <v>780654</v>
      </c>
      <c r="AT82">
        <f t="shared" si="22"/>
        <v>0</v>
      </c>
    </row>
    <row r="83" spans="1:46" ht="15.65" customHeight="1" x14ac:dyDescent="0.35">
      <c r="A83" s="2">
        <v>82</v>
      </c>
      <c r="B83" s="2">
        <v>638559</v>
      </c>
      <c r="C83" s="2" t="s">
        <v>26</v>
      </c>
      <c r="D83" s="2">
        <v>1308</v>
      </c>
      <c r="E83" s="2" t="s">
        <v>61</v>
      </c>
      <c r="F83" s="2" t="s">
        <v>253</v>
      </c>
      <c r="G83" s="6"/>
      <c r="H83" s="6" t="s">
        <v>49</v>
      </c>
      <c r="I83" s="10">
        <f>SUMIFS('Cutters Consumption Updates'!$F:$F,'Cutters Consumption Updates'!$D:$D,I$1,'Cutters Consumption Updates'!$B:$B,$B83)-SUMIFS('Cutters Consumption Updates'!$E:$E,'Cutters Consumption Updates'!$D:$D,I$1,'Cutters Consumption Updates'!$B:$B,$B83)+ SUMIF('Cutters Consumption Updates'!$AS:$AS,$B83,'Cutters Consumption Updates'!AT:AT)</f>
        <v>0</v>
      </c>
      <c r="J83" s="10">
        <f>SUMIFS('Cutters Consumption Updates'!$F:$F,'Cutters Consumption Updates'!$D:$D,J$1,'Cutters Consumption Updates'!$B:$B,$B83)-SUMIFS('Cutters Consumption Updates'!$E:$E,'Cutters Consumption Updates'!$D:$D,J$1,'Cutters Consumption Updates'!$B:$B,$B83)+ SUMIF('Cutters Consumption Updates'!$AS:$AS,$B83,'Cutters Consumption Updates'!AU:AU)</f>
        <v>6</v>
      </c>
      <c r="K83" s="116">
        <f>SUMIFS('Cutters Consumption Updates'!$F:$F,'Cutters Consumption Updates'!$D:$D,K$1,'Cutters Consumption Updates'!$B:$B,$B83)-SUMIFS('Cutters Consumption Updates'!$E:$E,'Cutters Consumption Updates'!$D:$D,K$1,'Cutters Consumption Updates'!$B:$B,$B83)+ SUMIF('Cutters Consumption Updates'!$AS:$AS,$B83,'Cutters Consumption Updates'!AV:AV)</f>
        <v>0</v>
      </c>
      <c r="L83" s="738">
        <f>SUMIFS('Cutters Consumption Updates'!$F:$F,'Cutters Consumption Updates'!$D:$D,L$1,'Cutters Consumption Updates'!$B:$B,$B83)-SUMIFS('Cutters Consumption Updates'!$E:$E,'Cutters Consumption Updates'!$D:$D,L$1,'Cutters Consumption Updates'!$B:$B,$B83)+ SUMIF('Cutters Consumption Updates'!$AS:$AS,$B83,'Cutters Consumption Updates'!AW:AW)</f>
        <v>0</v>
      </c>
      <c r="M83" s="116">
        <f>SUMIFS('Cutters Consumption Updates'!$F:$F,'Cutters Consumption Updates'!$D:$D,M$1,'Cutters Consumption Updates'!$B:$B,$B83)-SUMIFS('Cutters Consumption Updates'!$E:$E,'Cutters Consumption Updates'!$D:$D,$M$1,'Cutters Consumption Updates'!$B:$B,$B83)+SUMIFS('Cutters Consumption Updates'!$F:$F,'Cutters Consumption Updates'!$D:$D,"Retrofit",'Cutters Consumption Updates'!$B:$B,$B83)-SUMIFS('Cutters Consumption Updates'!$E:$E,'Cutters Consumption Updates'!$D:$D,"Retrofit",'Cutters Consumption Updates'!$B:$B,$B83)+ SUMIF('Cutters Consumption Updates'!$AS:$AS,$B83,'Cutters Consumption Updates'!AX:AX)</f>
        <v>0</v>
      </c>
      <c r="N83" s="10">
        <f t="shared" si="12"/>
        <v>0</v>
      </c>
      <c r="O83" s="701">
        <f ca="1">SUMIFS('Cutters Consumption Updates'!E:E,
        'Cutters Consumption Updates'!B:B, B83,
        'Cutters Consumption Updates'!A:A, "&gt;" &amp; TODAY()-182)</f>
        <v>0</v>
      </c>
      <c r="P83" s="701">
        <f ca="1">SUMIFS('Cutters Consumption Updates'!E:E,
        'Cutters Consumption Updates'!B:B, B83,
        'Cutters Consumption Updates'!A:A, "&gt;" &amp; TODAY()-91)</f>
        <v>0</v>
      </c>
      <c r="Q83" s="701">
        <f t="shared" ca="1" si="13"/>
        <v>0</v>
      </c>
      <c r="R83" s="703">
        <f t="shared" ca="1" si="14"/>
        <v>0</v>
      </c>
      <c r="S83" s="703" t="s">
        <v>29</v>
      </c>
      <c r="T83" s="24">
        <f>IFERROR(INDEX(Table5[],MATCH($B83,Table5[Component],0),2),0)</f>
        <v>0</v>
      </c>
      <c r="U83" s="24">
        <f>SUMIFS(Table7[Balance],Table7[Cutter Mat'#],$B83)</f>
        <v>0</v>
      </c>
      <c r="V83" s="24">
        <f t="shared" si="15"/>
        <v>0</v>
      </c>
      <c r="W83" s="119"/>
      <c r="X83" s="2"/>
      <c r="Z83" s="4">
        <f>IFERROR(INDEX(Table5[],MATCH($B83,Table5[Component],0),2),0)</f>
        <v>0</v>
      </c>
      <c r="AA83" s="4">
        <f>IFERROR(INDEX(Table5[],MATCH($B83,Table5[Component],0),1),0)</f>
        <v>0</v>
      </c>
      <c r="AB83" s="4" t="str">
        <f t="shared" si="16"/>
        <v/>
      </c>
      <c r="AC83" s="4" t="str">
        <f t="shared" si="17"/>
        <v/>
      </c>
      <c r="AE83" s="4">
        <f t="shared" si="18"/>
        <v>6</v>
      </c>
      <c r="AF83" s="9"/>
      <c r="AJ83" s="248" t="str">
        <f t="shared" si="19"/>
        <v/>
      </c>
      <c r="AK83" s="248" t="str">
        <f t="shared" si="20"/>
        <v/>
      </c>
      <c r="AL83">
        <f t="shared" si="21"/>
        <v>0</v>
      </c>
      <c r="AQ83">
        <f t="shared" si="23"/>
        <v>0</v>
      </c>
      <c r="AS83">
        <v>781580</v>
      </c>
      <c r="AT83">
        <f t="shared" si="22"/>
        <v>0</v>
      </c>
    </row>
    <row r="84" spans="1:46" ht="15.65" customHeight="1" x14ac:dyDescent="0.35">
      <c r="A84" s="2">
        <v>83</v>
      </c>
      <c r="B84" s="2">
        <v>773383</v>
      </c>
      <c r="C84" s="2" t="s">
        <v>26</v>
      </c>
      <c r="D84" s="2">
        <v>1005</v>
      </c>
      <c r="E84" s="2" t="s">
        <v>51</v>
      </c>
      <c r="F84" s="2" t="s">
        <v>248</v>
      </c>
      <c r="G84" s="6"/>
      <c r="H84" s="6" t="s">
        <v>47</v>
      </c>
      <c r="I84" s="10">
        <f>SUMIFS('Cutters Consumption Updates'!$F:$F,'Cutters Consumption Updates'!$D:$D,I$1,'Cutters Consumption Updates'!$B:$B,$B84)-SUMIFS('Cutters Consumption Updates'!$E:$E,'Cutters Consumption Updates'!$D:$D,I$1,'Cutters Consumption Updates'!$B:$B,$B84)+ SUMIF('Cutters Consumption Updates'!$AS:$AS,$B84,'Cutters Consumption Updates'!AT:AT)</f>
        <v>0</v>
      </c>
      <c r="J84" s="10">
        <f>SUMIFS('Cutters Consumption Updates'!$F:$F,'Cutters Consumption Updates'!$D:$D,J$1,'Cutters Consumption Updates'!$B:$B,$B84)-SUMIFS('Cutters Consumption Updates'!$E:$E,'Cutters Consumption Updates'!$D:$D,J$1,'Cutters Consumption Updates'!$B:$B,$B84)+ SUMIF('Cutters Consumption Updates'!$AS:$AS,$B84,'Cutters Consumption Updates'!AU:AU)</f>
        <v>0</v>
      </c>
      <c r="K84" s="116">
        <f>SUMIFS('Cutters Consumption Updates'!$F:$F,'Cutters Consumption Updates'!$D:$D,K$1,'Cutters Consumption Updates'!$B:$B,$B84)-SUMIFS('Cutters Consumption Updates'!$E:$E,'Cutters Consumption Updates'!$D:$D,K$1,'Cutters Consumption Updates'!$B:$B,$B84)+ SUMIF('Cutters Consumption Updates'!$AS:$AS,$B84,'Cutters Consumption Updates'!AV:AV)</f>
        <v>0</v>
      </c>
      <c r="L84" s="738">
        <f>SUMIFS('Cutters Consumption Updates'!$F:$F,'Cutters Consumption Updates'!$D:$D,L$1,'Cutters Consumption Updates'!$B:$B,$B84)-SUMIFS('Cutters Consumption Updates'!$E:$E,'Cutters Consumption Updates'!$D:$D,L$1,'Cutters Consumption Updates'!$B:$B,$B84)+ SUMIF('Cutters Consumption Updates'!$AS:$AS,$B84,'Cutters Consumption Updates'!AW:AW)</f>
        <v>0</v>
      </c>
      <c r="M84" s="116">
        <f>SUMIFS('Cutters Consumption Updates'!$F:$F,'Cutters Consumption Updates'!$D:$D,M$1,'Cutters Consumption Updates'!$B:$B,$B84)-SUMIFS('Cutters Consumption Updates'!$E:$E,'Cutters Consumption Updates'!$D:$D,$M$1,'Cutters Consumption Updates'!$B:$B,$B84)+SUMIFS('Cutters Consumption Updates'!$F:$F,'Cutters Consumption Updates'!$D:$D,"Retrofit",'Cutters Consumption Updates'!$B:$B,$B84)-SUMIFS('Cutters Consumption Updates'!$E:$E,'Cutters Consumption Updates'!$D:$D,"Retrofit",'Cutters Consumption Updates'!$B:$B,$B84)+ SUMIF('Cutters Consumption Updates'!$AS:$AS,$B84,'Cutters Consumption Updates'!AX:AX)</f>
        <v>56</v>
      </c>
      <c r="N84" s="10">
        <f t="shared" si="12"/>
        <v>56</v>
      </c>
      <c r="O84" s="701">
        <f ca="1">SUMIFS('Cutters Consumption Updates'!E:E,
        'Cutters Consumption Updates'!B:B, B84,
        'Cutters Consumption Updates'!A:A, "&gt;" &amp; TODAY()-182)</f>
        <v>0</v>
      </c>
      <c r="P84" s="701">
        <f ca="1">SUMIFS('Cutters Consumption Updates'!E:E,
        'Cutters Consumption Updates'!B:B, B84,
        'Cutters Consumption Updates'!A:A, "&gt;" &amp; TODAY()-91)</f>
        <v>0</v>
      </c>
      <c r="Q84" s="701">
        <f t="shared" ca="1" si="13"/>
        <v>0</v>
      </c>
      <c r="R84" s="703">
        <f t="shared" ca="1" si="14"/>
        <v>0</v>
      </c>
      <c r="S84" s="703" t="s">
        <v>84</v>
      </c>
      <c r="T84" s="24">
        <f>IFERROR(INDEX(Table5[],MATCH($B84,Table5[Component],0),2),0)</f>
        <v>56</v>
      </c>
      <c r="U84" s="24">
        <f>SUMIFS(Table7[Balance],Table7[Cutter Mat'#],$B84)</f>
        <v>0</v>
      </c>
      <c r="V84" s="24">
        <f t="shared" si="15"/>
        <v>0</v>
      </c>
      <c r="W84" s="119"/>
      <c r="X84" s="2"/>
      <c r="Z84" s="4">
        <f>IFERROR(INDEX(Table5[],MATCH($B84,Table5[Component],0),2),0)</f>
        <v>56</v>
      </c>
      <c r="AA84" s="4">
        <f>IFERROR(INDEX(Table5[],MATCH($B84,Table5[Component],0),1),0)</f>
        <v>773383</v>
      </c>
      <c r="AB84" s="4">
        <f t="shared" si="16"/>
        <v>773383</v>
      </c>
      <c r="AC84" s="4" t="str">
        <f t="shared" si="17"/>
        <v/>
      </c>
      <c r="AE84" s="4">
        <f t="shared" si="18"/>
        <v>56</v>
      </c>
      <c r="AF84" s="9"/>
      <c r="AJ84" s="248" t="str">
        <f t="shared" si="19"/>
        <v/>
      </c>
      <c r="AK84" s="248" t="str">
        <f t="shared" si="20"/>
        <v/>
      </c>
      <c r="AL84">
        <f t="shared" si="21"/>
        <v>0</v>
      </c>
      <c r="AQ84">
        <f t="shared" si="23"/>
        <v>0</v>
      </c>
      <c r="AS84">
        <v>785001</v>
      </c>
      <c r="AT84">
        <f t="shared" si="22"/>
        <v>0</v>
      </c>
    </row>
    <row r="85" spans="1:46" ht="15.65" customHeight="1" x14ac:dyDescent="0.35">
      <c r="A85" s="2">
        <v>84</v>
      </c>
      <c r="B85" s="2">
        <v>1027339</v>
      </c>
      <c r="C85" s="2" t="s">
        <v>94</v>
      </c>
      <c r="D85" s="2">
        <v>1608</v>
      </c>
      <c r="E85" s="2" t="s">
        <v>95</v>
      </c>
      <c r="F85" s="2" t="s">
        <v>248</v>
      </c>
      <c r="G85" s="6"/>
      <c r="H85" s="6" t="s">
        <v>49</v>
      </c>
      <c r="I85" s="10">
        <f>SUMIFS('Cutters Consumption Updates'!$F:$F,'Cutters Consumption Updates'!$D:$D,I$1,'Cutters Consumption Updates'!$B:$B,$B85)-SUMIFS('Cutters Consumption Updates'!$E:$E,'Cutters Consumption Updates'!$D:$D,I$1,'Cutters Consumption Updates'!$B:$B,$B85)+ SUMIF('Cutters Consumption Updates'!$AS:$AS,$B85,'Cutters Consumption Updates'!AT:AT)</f>
        <v>0</v>
      </c>
      <c r="J85" s="10">
        <f>SUMIFS('Cutters Consumption Updates'!$F:$F,'Cutters Consumption Updates'!$D:$D,J$1,'Cutters Consumption Updates'!$B:$B,$B85)-SUMIFS('Cutters Consumption Updates'!$E:$E,'Cutters Consumption Updates'!$D:$D,J$1,'Cutters Consumption Updates'!$B:$B,$B85)+ SUMIF('Cutters Consumption Updates'!$AS:$AS,$B85,'Cutters Consumption Updates'!AU:AU)</f>
        <v>0</v>
      </c>
      <c r="K85" s="116">
        <f>SUMIFS('Cutters Consumption Updates'!$F:$F,'Cutters Consumption Updates'!$D:$D,K$1,'Cutters Consumption Updates'!$B:$B,$B85)-SUMIFS('Cutters Consumption Updates'!$E:$E,'Cutters Consumption Updates'!$D:$D,K$1,'Cutters Consumption Updates'!$B:$B,$B85)+ SUMIF('Cutters Consumption Updates'!$AS:$AS,$B85,'Cutters Consumption Updates'!AV:AV)</f>
        <v>0</v>
      </c>
      <c r="L85" s="738">
        <f>SUMIFS('Cutters Consumption Updates'!$F:$F,'Cutters Consumption Updates'!$D:$D,L$1,'Cutters Consumption Updates'!$B:$B,$B85)-SUMIFS('Cutters Consumption Updates'!$E:$E,'Cutters Consumption Updates'!$D:$D,L$1,'Cutters Consumption Updates'!$B:$B,$B85)+ SUMIF('Cutters Consumption Updates'!$AS:$AS,$B85,'Cutters Consumption Updates'!AW:AW)</f>
        <v>0</v>
      </c>
      <c r="M85" s="116">
        <f>SUMIFS('Cutters Consumption Updates'!$F:$F,'Cutters Consumption Updates'!$D:$D,M$1,'Cutters Consumption Updates'!$B:$B,$B85)-SUMIFS('Cutters Consumption Updates'!$E:$E,'Cutters Consumption Updates'!$D:$D,$M$1,'Cutters Consumption Updates'!$B:$B,$B85)+SUMIFS('Cutters Consumption Updates'!$F:$F,'Cutters Consumption Updates'!$D:$D,"Retrofit",'Cutters Consumption Updates'!$B:$B,$B85)-SUMIFS('Cutters Consumption Updates'!$E:$E,'Cutters Consumption Updates'!$D:$D,"Retrofit",'Cutters Consumption Updates'!$B:$B,$B85)+ SUMIF('Cutters Consumption Updates'!$AS:$AS,$B85,'Cutters Consumption Updates'!AX:AX)</f>
        <v>16</v>
      </c>
      <c r="N85" s="10">
        <f t="shared" si="12"/>
        <v>16</v>
      </c>
      <c r="O85" s="701">
        <f ca="1">SUMIFS('Cutters Consumption Updates'!E:E,
        'Cutters Consumption Updates'!B:B, B85,
        'Cutters Consumption Updates'!A:A, "&gt;" &amp; TODAY()-182)</f>
        <v>0</v>
      </c>
      <c r="P85" s="701">
        <f ca="1">SUMIFS('Cutters Consumption Updates'!E:E,
        'Cutters Consumption Updates'!B:B, B85,
        'Cutters Consumption Updates'!A:A, "&gt;" &amp; TODAY()-91)</f>
        <v>0</v>
      </c>
      <c r="Q85" s="701">
        <f t="shared" ca="1" si="13"/>
        <v>0</v>
      </c>
      <c r="R85" s="703">
        <f t="shared" ca="1" si="14"/>
        <v>0</v>
      </c>
      <c r="S85" s="703" t="s">
        <v>29</v>
      </c>
      <c r="T85" s="24">
        <f>IFERROR(INDEX(Table5[],MATCH($B85,Table5[Component],0),2),0)</f>
        <v>0</v>
      </c>
      <c r="U85" s="24">
        <f>SUMIFS(Table7[Balance],Table7[Cutter Mat'#],$B85)</f>
        <v>0</v>
      </c>
      <c r="V85" s="24">
        <f t="shared" si="15"/>
        <v>16</v>
      </c>
      <c r="W85" s="119"/>
      <c r="X85" s="2"/>
      <c r="Z85" s="4">
        <f>IFERROR(INDEX(Table5[],MATCH($B85,Table5[Component],0),2),0)</f>
        <v>0</v>
      </c>
      <c r="AA85" s="4">
        <f>IFERROR(INDEX(Table5[],MATCH($B85,Table5[Component],0),1),0)</f>
        <v>0</v>
      </c>
      <c r="AB85" s="4" t="str">
        <f t="shared" si="16"/>
        <v/>
      </c>
      <c r="AC85" s="4" t="str">
        <f t="shared" si="17"/>
        <v/>
      </c>
      <c r="AE85" s="4">
        <f t="shared" si="18"/>
        <v>16</v>
      </c>
      <c r="AF85" s="9"/>
      <c r="AJ85" s="248" t="str">
        <f t="shared" si="19"/>
        <v/>
      </c>
      <c r="AK85" s="248" t="str">
        <f t="shared" si="20"/>
        <v/>
      </c>
      <c r="AL85">
        <f t="shared" si="21"/>
        <v>0</v>
      </c>
      <c r="AQ85">
        <f t="shared" si="23"/>
        <v>0</v>
      </c>
      <c r="AS85">
        <v>794672</v>
      </c>
      <c r="AT85">
        <f t="shared" si="22"/>
        <v>0</v>
      </c>
    </row>
    <row r="86" spans="1:46" ht="15.65" customHeight="1" x14ac:dyDescent="0.35">
      <c r="A86" s="2">
        <v>85</v>
      </c>
      <c r="B86" s="2">
        <v>853552</v>
      </c>
      <c r="C86" s="2" t="s">
        <v>26</v>
      </c>
      <c r="D86" s="2">
        <v>1913</v>
      </c>
      <c r="E86" s="2" t="s">
        <v>92</v>
      </c>
      <c r="F86" s="2" t="s">
        <v>253</v>
      </c>
      <c r="G86" s="6"/>
      <c r="H86" s="6" t="s">
        <v>49</v>
      </c>
      <c r="I86" s="10">
        <f>SUMIFS('Cutters Consumption Updates'!$F:$F,'Cutters Consumption Updates'!$D:$D,I$1,'Cutters Consumption Updates'!$B:$B,$B86)-SUMIFS('Cutters Consumption Updates'!$E:$E,'Cutters Consumption Updates'!$D:$D,I$1,'Cutters Consumption Updates'!$B:$B,$B86)+ SUMIF('Cutters Consumption Updates'!$AS:$AS,$B86,'Cutters Consumption Updates'!AT:AT)</f>
        <v>0</v>
      </c>
      <c r="J86" s="10">
        <f>SUMIFS('Cutters Consumption Updates'!$F:$F,'Cutters Consumption Updates'!$D:$D,J$1,'Cutters Consumption Updates'!$B:$B,$B86)-SUMIFS('Cutters Consumption Updates'!$E:$E,'Cutters Consumption Updates'!$D:$D,J$1,'Cutters Consumption Updates'!$B:$B,$B86)+ SUMIF('Cutters Consumption Updates'!$AS:$AS,$B86,'Cutters Consumption Updates'!AU:AU)</f>
        <v>0</v>
      </c>
      <c r="K86" s="116">
        <f>SUMIFS('Cutters Consumption Updates'!$F:$F,'Cutters Consumption Updates'!$D:$D,K$1,'Cutters Consumption Updates'!$B:$B,$B86)-SUMIFS('Cutters Consumption Updates'!$E:$E,'Cutters Consumption Updates'!$D:$D,K$1,'Cutters Consumption Updates'!$B:$B,$B86)+ SUMIF('Cutters Consumption Updates'!$AS:$AS,$B86,'Cutters Consumption Updates'!AV:AV)</f>
        <v>13</v>
      </c>
      <c r="L86" s="738">
        <f>SUMIFS('Cutters Consumption Updates'!$F:$F,'Cutters Consumption Updates'!$D:$D,L$1,'Cutters Consumption Updates'!$B:$B,$B86)-SUMIFS('Cutters Consumption Updates'!$E:$E,'Cutters Consumption Updates'!$D:$D,L$1,'Cutters Consumption Updates'!$B:$B,$B86)+ SUMIF('Cutters Consumption Updates'!$AS:$AS,$B86,'Cutters Consumption Updates'!AW:AW)</f>
        <v>0</v>
      </c>
      <c r="M86" s="116">
        <f>SUMIFS('Cutters Consumption Updates'!$F:$F,'Cutters Consumption Updates'!$D:$D,M$1,'Cutters Consumption Updates'!$B:$B,$B86)-SUMIFS('Cutters Consumption Updates'!$E:$E,'Cutters Consumption Updates'!$D:$D,$M$1,'Cutters Consumption Updates'!$B:$B,$B86)+SUMIFS('Cutters Consumption Updates'!$F:$F,'Cutters Consumption Updates'!$D:$D,"Retrofit",'Cutters Consumption Updates'!$B:$B,$B86)-SUMIFS('Cutters Consumption Updates'!$E:$E,'Cutters Consumption Updates'!$D:$D,"Retrofit",'Cutters Consumption Updates'!$B:$B,$B86)+ SUMIF('Cutters Consumption Updates'!$AS:$AS,$B86,'Cutters Consumption Updates'!AX:AX)</f>
        <v>47</v>
      </c>
      <c r="N86" s="10">
        <f t="shared" si="12"/>
        <v>47</v>
      </c>
      <c r="O86" s="701">
        <f ca="1">SUMIFS('Cutters Consumption Updates'!E:E,
        'Cutters Consumption Updates'!B:B, B86,
        'Cutters Consumption Updates'!A:A, "&gt;" &amp; TODAY()-182)</f>
        <v>0</v>
      </c>
      <c r="P86" s="701">
        <f ca="1">SUMIFS('Cutters Consumption Updates'!E:E,
        'Cutters Consumption Updates'!B:B, B86,
        'Cutters Consumption Updates'!A:A, "&gt;" &amp; TODAY()-91)</f>
        <v>0</v>
      </c>
      <c r="Q86" s="701">
        <f t="shared" ca="1" si="13"/>
        <v>0</v>
      </c>
      <c r="R86" s="703">
        <f t="shared" ca="1" si="14"/>
        <v>0</v>
      </c>
      <c r="S86" s="703" t="s">
        <v>29</v>
      </c>
      <c r="T86" s="24">
        <f>IFERROR(INDEX(Table5[],MATCH($B86,Table5[Component],0),2),0)</f>
        <v>0</v>
      </c>
      <c r="U86" s="24">
        <f>SUMIFS(Table7[Balance],Table7[Cutter Mat'#],$B86)</f>
        <v>0</v>
      </c>
      <c r="V86" s="24">
        <f t="shared" si="15"/>
        <v>47</v>
      </c>
      <c r="W86" s="119"/>
      <c r="X86" s="2"/>
      <c r="Z86" s="4">
        <f>IFERROR(INDEX(Table5[],MATCH($B86,Table5[Component],0),2),0)</f>
        <v>0</v>
      </c>
      <c r="AA86" s="4">
        <f>IFERROR(INDEX(Table5[],MATCH($B86,Table5[Component],0),1),0)</f>
        <v>0</v>
      </c>
      <c r="AB86" s="4" t="str">
        <f t="shared" si="16"/>
        <v/>
      </c>
      <c r="AC86" s="4" t="str">
        <f t="shared" si="17"/>
        <v/>
      </c>
      <c r="AE86" s="4">
        <f t="shared" si="18"/>
        <v>60</v>
      </c>
      <c r="AF86" s="9"/>
      <c r="AJ86" s="248" t="str">
        <f t="shared" si="19"/>
        <v/>
      </c>
      <c r="AK86" s="248" t="str">
        <f t="shared" si="20"/>
        <v/>
      </c>
      <c r="AL86">
        <f t="shared" si="21"/>
        <v>0</v>
      </c>
      <c r="AQ86">
        <f t="shared" si="23"/>
        <v>0</v>
      </c>
      <c r="AS86">
        <v>802063</v>
      </c>
      <c r="AT86">
        <f t="shared" si="22"/>
        <v>0</v>
      </c>
    </row>
    <row r="87" spans="1:46" ht="15.65" customHeight="1" x14ac:dyDescent="0.35">
      <c r="A87" s="2">
        <v>86</v>
      </c>
      <c r="B87" s="2">
        <v>1039064</v>
      </c>
      <c r="C87" s="2" t="s">
        <v>26</v>
      </c>
      <c r="D87" s="2">
        <v>1913</v>
      </c>
      <c r="E87" s="2" t="s">
        <v>88</v>
      </c>
      <c r="F87" s="2" t="s">
        <v>253</v>
      </c>
      <c r="G87" s="6" t="s">
        <v>96</v>
      </c>
      <c r="H87" s="6" t="s">
        <v>49</v>
      </c>
      <c r="I87" s="10">
        <f>SUMIFS('Cutters Consumption Updates'!$F:$F,'Cutters Consumption Updates'!$D:$D,I$1,'Cutters Consumption Updates'!$B:$B,$B87)-SUMIFS('Cutters Consumption Updates'!$E:$E,'Cutters Consumption Updates'!$D:$D,I$1,'Cutters Consumption Updates'!$B:$B,$B87)+ SUMIF('Cutters Consumption Updates'!$AS:$AS,$B87,'Cutters Consumption Updates'!AT:AT)</f>
        <v>-39</v>
      </c>
      <c r="J87" s="10">
        <f>SUMIFS('Cutters Consumption Updates'!$F:$F,'Cutters Consumption Updates'!$D:$D,J$1,'Cutters Consumption Updates'!$B:$B,$B87)-SUMIFS('Cutters Consumption Updates'!$E:$E,'Cutters Consumption Updates'!$D:$D,J$1,'Cutters Consumption Updates'!$B:$B,$B87)+ SUMIF('Cutters Consumption Updates'!$AS:$AS,$B87,'Cutters Consumption Updates'!AU:AU)</f>
        <v>0</v>
      </c>
      <c r="K87" s="116">
        <f>SUMIFS('Cutters Consumption Updates'!$F:$F,'Cutters Consumption Updates'!$D:$D,K$1,'Cutters Consumption Updates'!$B:$B,$B87)-SUMIFS('Cutters Consumption Updates'!$E:$E,'Cutters Consumption Updates'!$D:$D,K$1,'Cutters Consumption Updates'!$B:$B,$B87)+ SUMIF('Cutters Consumption Updates'!$AS:$AS,$B87,'Cutters Consumption Updates'!AV:AV)</f>
        <v>0</v>
      </c>
      <c r="L87" s="738">
        <f>SUMIFS('Cutters Consumption Updates'!$F:$F,'Cutters Consumption Updates'!$D:$D,L$1,'Cutters Consumption Updates'!$B:$B,$B87)-SUMIFS('Cutters Consumption Updates'!$E:$E,'Cutters Consumption Updates'!$D:$D,L$1,'Cutters Consumption Updates'!$B:$B,$B87)+ SUMIF('Cutters Consumption Updates'!$AS:$AS,$B87,'Cutters Consumption Updates'!AW:AW)</f>
        <v>0</v>
      </c>
      <c r="M87" s="116">
        <f>SUMIFS('Cutters Consumption Updates'!$F:$F,'Cutters Consumption Updates'!$D:$D,M$1,'Cutters Consumption Updates'!$B:$B,$B87)-SUMIFS('Cutters Consumption Updates'!$E:$E,'Cutters Consumption Updates'!$D:$D,$M$1,'Cutters Consumption Updates'!$B:$B,$B87)+SUMIFS('Cutters Consumption Updates'!$F:$F,'Cutters Consumption Updates'!$D:$D,"Retrofit",'Cutters Consumption Updates'!$B:$B,$B87)-SUMIFS('Cutters Consumption Updates'!$E:$E,'Cutters Consumption Updates'!$D:$D,"Retrofit",'Cutters Consumption Updates'!$B:$B,$B87)+ SUMIF('Cutters Consumption Updates'!$AS:$AS,$B87,'Cutters Consumption Updates'!AX:AX)</f>
        <v>7</v>
      </c>
      <c r="N87" s="10">
        <f t="shared" si="12"/>
        <v>-32</v>
      </c>
      <c r="O87" s="701">
        <f ca="1">SUMIFS('Cutters Consumption Updates'!E:E,
        'Cutters Consumption Updates'!B:B, B87,
        'Cutters Consumption Updates'!A:A, "&gt;" &amp; TODAY()-182)</f>
        <v>39</v>
      </c>
      <c r="P87" s="701">
        <f ca="1">SUMIFS('Cutters Consumption Updates'!E:E,
        'Cutters Consumption Updates'!B:B, B87,
        'Cutters Consumption Updates'!A:A, "&gt;" &amp; TODAY()-91)</f>
        <v>39</v>
      </c>
      <c r="Q87" s="701">
        <f t="shared" ca="1" si="13"/>
        <v>13</v>
      </c>
      <c r="R87" s="703">
        <f t="shared" ca="1" si="14"/>
        <v>15</v>
      </c>
      <c r="S87" s="703" t="s">
        <v>29</v>
      </c>
      <c r="T87" s="24">
        <f>IFERROR(INDEX(Table5[],MATCH($B87,Table5[Component],0),2),0)</f>
        <v>0</v>
      </c>
      <c r="U87" s="24">
        <f>SUMIFS(Table7[Balance],Table7[Cutter Mat'#],$B87)</f>
        <v>0</v>
      </c>
      <c r="V87" s="24">
        <f t="shared" si="15"/>
        <v>-32</v>
      </c>
      <c r="W87" s="119"/>
      <c r="X87" s="2"/>
      <c r="Z87" s="4">
        <f>IFERROR(INDEX(Table5[],MATCH($B87,Table5[Component],0),2),0)</f>
        <v>0</v>
      </c>
      <c r="AA87" s="4">
        <f>IFERROR(INDEX(Table5[],MATCH($B87,Table5[Component],0),1),0)</f>
        <v>0</v>
      </c>
      <c r="AB87" s="4" t="str">
        <f t="shared" si="16"/>
        <v/>
      </c>
      <c r="AC87" s="4" t="str">
        <f t="shared" si="17"/>
        <v/>
      </c>
      <c r="AE87" s="4">
        <f t="shared" si="18"/>
        <v>-32</v>
      </c>
      <c r="AF87" s="9"/>
      <c r="AJ87" s="248" t="str">
        <f t="shared" si="19"/>
        <v/>
      </c>
      <c r="AK87" s="248" t="str">
        <f t="shared" si="20"/>
        <v/>
      </c>
      <c r="AL87">
        <f t="shared" si="21"/>
        <v>0</v>
      </c>
      <c r="AQ87">
        <f t="shared" si="23"/>
        <v>0</v>
      </c>
      <c r="AS87">
        <v>802064</v>
      </c>
      <c r="AT87">
        <f t="shared" si="22"/>
        <v>0</v>
      </c>
    </row>
    <row r="88" spans="1:46" ht="15.65" customHeight="1" x14ac:dyDescent="0.35">
      <c r="A88" s="2">
        <v>87</v>
      </c>
      <c r="B88" s="2">
        <v>983150</v>
      </c>
      <c r="C88" s="2" t="s">
        <v>26</v>
      </c>
      <c r="D88" s="2">
        <v>1613</v>
      </c>
      <c r="E88" s="2" t="s">
        <v>79</v>
      </c>
      <c r="F88" s="2" t="s">
        <v>253</v>
      </c>
      <c r="G88" s="6"/>
      <c r="H88" s="6" t="s">
        <v>49</v>
      </c>
      <c r="I88" s="10">
        <f>SUMIFS('Cutters Consumption Updates'!$F:$F,'Cutters Consumption Updates'!$D:$D,I$1,'Cutters Consumption Updates'!$B:$B,$B88)-SUMIFS('Cutters Consumption Updates'!$E:$E,'Cutters Consumption Updates'!$D:$D,I$1,'Cutters Consumption Updates'!$B:$B,$B88)+ SUMIF('Cutters Consumption Updates'!$AS:$AS,$B88,'Cutters Consumption Updates'!AT:AT)</f>
        <v>5</v>
      </c>
      <c r="J88" s="10">
        <f>SUMIFS('Cutters Consumption Updates'!$F:$F,'Cutters Consumption Updates'!$D:$D,J$1,'Cutters Consumption Updates'!$B:$B,$B88)-SUMIFS('Cutters Consumption Updates'!$E:$E,'Cutters Consumption Updates'!$D:$D,J$1,'Cutters Consumption Updates'!$B:$B,$B88)+ SUMIF('Cutters Consumption Updates'!$AS:$AS,$B88,'Cutters Consumption Updates'!AU:AU)</f>
        <v>0</v>
      </c>
      <c r="K88" s="116">
        <f>SUMIFS('Cutters Consumption Updates'!$F:$F,'Cutters Consumption Updates'!$D:$D,K$1,'Cutters Consumption Updates'!$B:$B,$B88)-SUMIFS('Cutters Consumption Updates'!$E:$E,'Cutters Consumption Updates'!$D:$D,K$1,'Cutters Consumption Updates'!$B:$B,$B88)+ SUMIF('Cutters Consumption Updates'!$AS:$AS,$B88,'Cutters Consumption Updates'!AV:AV)</f>
        <v>0</v>
      </c>
      <c r="L88" s="738">
        <f>SUMIFS('Cutters Consumption Updates'!$F:$F,'Cutters Consumption Updates'!$D:$D,L$1,'Cutters Consumption Updates'!$B:$B,$B88)-SUMIFS('Cutters Consumption Updates'!$E:$E,'Cutters Consumption Updates'!$D:$D,L$1,'Cutters Consumption Updates'!$B:$B,$B88)+ SUMIF('Cutters Consumption Updates'!$AS:$AS,$B88,'Cutters Consumption Updates'!AW:AW)</f>
        <v>0</v>
      </c>
      <c r="M88" s="116">
        <f>SUMIFS('Cutters Consumption Updates'!$F:$F,'Cutters Consumption Updates'!$D:$D,M$1,'Cutters Consumption Updates'!$B:$B,$B88)-SUMIFS('Cutters Consumption Updates'!$E:$E,'Cutters Consumption Updates'!$D:$D,$M$1,'Cutters Consumption Updates'!$B:$B,$B88)+SUMIFS('Cutters Consumption Updates'!$F:$F,'Cutters Consumption Updates'!$D:$D,"Retrofit",'Cutters Consumption Updates'!$B:$B,$B88)-SUMIFS('Cutters Consumption Updates'!$E:$E,'Cutters Consumption Updates'!$D:$D,"Retrofit",'Cutters Consumption Updates'!$B:$B,$B88)+ SUMIF('Cutters Consumption Updates'!$AS:$AS,$B88,'Cutters Consumption Updates'!AX:AX)</f>
        <v>0</v>
      </c>
      <c r="N88" s="10">
        <f t="shared" si="12"/>
        <v>5</v>
      </c>
      <c r="O88" s="701">
        <f ca="1">SUMIFS('Cutters Consumption Updates'!E:E,
        'Cutters Consumption Updates'!B:B, B88,
        'Cutters Consumption Updates'!A:A, "&gt;" &amp; TODAY()-182)</f>
        <v>61</v>
      </c>
      <c r="P88" s="701">
        <f ca="1">SUMIFS('Cutters Consumption Updates'!E:E,
        'Cutters Consumption Updates'!B:B, B88,
        'Cutters Consumption Updates'!A:A, "&gt;" &amp; TODAY()-91)</f>
        <v>0</v>
      </c>
      <c r="Q88" s="701">
        <f t="shared" ca="1" si="13"/>
        <v>21</v>
      </c>
      <c r="R88" s="703">
        <f t="shared" ca="1" si="14"/>
        <v>25</v>
      </c>
      <c r="S88" s="703" t="s">
        <v>64</v>
      </c>
      <c r="T88" s="24">
        <f>IFERROR(INDEX(Table5[],MATCH($B88,Table5[Component],0),2),0)</f>
        <v>0</v>
      </c>
      <c r="U88" s="24">
        <f>SUMIFS(Table7[Balance],Table7[Cutter Mat'#],$B88)</f>
        <v>0</v>
      </c>
      <c r="V88" s="24">
        <f t="shared" si="15"/>
        <v>5</v>
      </c>
      <c r="W88" s="119"/>
      <c r="X88" s="2"/>
      <c r="Z88" s="4">
        <f>IFERROR(INDEX(Table5[],MATCH($B88,Table5[Component],0),2),0)</f>
        <v>0</v>
      </c>
      <c r="AA88" s="4">
        <f>IFERROR(INDEX(Table5[],MATCH($B88,Table5[Component],0),1),0)</f>
        <v>0</v>
      </c>
      <c r="AB88" s="4" t="str">
        <f t="shared" si="16"/>
        <v/>
      </c>
      <c r="AC88" s="4" t="str">
        <f t="shared" si="17"/>
        <v/>
      </c>
      <c r="AE88" s="4">
        <f t="shared" si="18"/>
        <v>5</v>
      </c>
      <c r="AF88" s="9"/>
      <c r="AJ88" s="248" t="str">
        <f t="shared" si="19"/>
        <v/>
      </c>
      <c r="AK88" s="248" t="str">
        <f t="shared" si="20"/>
        <v/>
      </c>
      <c r="AL88">
        <f t="shared" si="21"/>
        <v>0</v>
      </c>
      <c r="AQ88">
        <f t="shared" si="23"/>
        <v>0</v>
      </c>
      <c r="AS88">
        <v>802065</v>
      </c>
      <c r="AT88">
        <f t="shared" si="22"/>
        <v>0</v>
      </c>
    </row>
    <row r="89" spans="1:46" ht="15.65" customHeight="1" x14ac:dyDescent="0.35">
      <c r="A89" s="2">
        <v>88</v>
      </c>
      <c r="B89" s="2">
        <v>983096</v>
      </c>
      <c r="C89" s="2" t="s">
        <v>26</v>
      </c>
      <c r="D89" s="2">
        <v>1313</v>
      </c>
      <c r="E89" s="2" t="s">
        <v>79</v>
      </c>
      <c r="F89" s="2" t="s">
        <v>253</v>
      </c>
      <c r="G89" s="6"/>
      <c r="H89" s="6" t="s">
        <v>49</v>
      </c>
      <c r="I89" s="10">
        <f>SUMIFS('Cutters Consumption Updates'!$F:$F,'Cutters Consumption Updates'!$D:$D,I$1,'Cutters Consumption Updates'!$B:$B,$B89)-SUMIFS('Cutters Consumption Updates'!$E:$E,'Cutters Consumption Updates'!$D:$D,I$1,'Cutters Consumption Updates'!$B:$B,$B89)+ SUMIF('Cutters Consumption Updates'!$AS:$AS,$B89,'Cutters Consumption Updates'!AT:AT)</f>
        <v>0</v>
      </c>
      <c r="J89" s="10">
        <f>SUMIFS('Cutters Consumption Updates'!$F:$F,'Cutters Consumption Updates'!$D:$D,J$1,'Cutters Consumption Updates'!$B:$B,$B89)-SUMIFS('Cutters Consumption Updates'!$E:$E,'Cutters Consumption Updates'!$D:$D,J$1,'Cutters Consumption Updates'!$B:$B,$B89)+ SUMIF('Cutters Consumption Updates'!$AS:$AS,$B89,'Cutters Consumption Updates'!AU:AU)</f>
        <v>0</v>
      </c>
      <c r="K89" s="116">
        <f>SUMIFS('Cutters Consumption Updates'!$F:$F,'Cutters Consumption Updates'!$D:$D,K$1,'Cutters Consumption Updates'!$B:$B,$B89)-SUMIFS('Cutters Consumption Updates'!$E:$E,'Cutters Consumption Updates'!$D:$D,K$1,'Cutters Consumption Updates'!$B:$B,$B89)+ SUMIF('Cutters Consumption Updates'!$AS:$AS,$B89,'Cutters Consumption Updates'!AV:AV)</f>
        <v>0</v>
      </c>
      <c r="L89" s="738">
        <f>SUMIFS('Cutters Consumption Updates'!$F:$F,'Cutters Consumption Updates'!$D:$D,L$1,'Cutters Consumption Updates'!$B:$B,$B89)-SUMIFS('Cutters Consumption Updates'!$E:$E,'Cutters Consumption Updates'!$D:$D,L$1,'Cutters Consumption Updates'!$B:$B,$B89)+ SUMIF('Cutters Consumption Updates'!$AS:$AS,$B89,'Cutters Consumption Updates'!AW:AW)</f>
        <v>0</v>
      </c>
      <c r="M89" s="116">
        <f>SUMIFS('Cutters Consumption Updates'!$F:$F,'Cutters Consumption Updates'!$D:$D,M$1,'Cutters Consumption Updates'!$B:$B,$B89)-SUMIFS('Cutters Consumption Updates'!$E:$E,'Cutters Consumption Updates'!$D:$D,$M$1,'Cutters Consumption Updates'!$B:$B,$B89)+SUMIFS('Cutters Consumption Updates'!$F:$F,'Cutters Consumption Updates'!$D:$D,"Retrofit",'Cutters Consumption Updates'!$B:$B,$B89)-SUMIFS('Cutters Consumption Updates'!$E:$E,'Cutters Consumption Updates'!$D:$D,"Retrofit",'Cutters Consumption Updates'!$B:$B,$B89)+ SUMIF('Cutters Consumption Updates'!$AS:$AS,$B89,'Cutters Consumption Updates'!AX:AX)</f>
        <v>0</v>
      </c>
      <c r="N89" s="10">
        <f t="shared" si="12"/>
        <v>0</v>
      </c>
      <c r="O89" s="701">
        <f ca="1">SUMIFS('Cutters Consumption Updates'!E:E,
        'Cutters Consumption Updates'!B:B, B89,
        'Cutters Consumption Updates'!A:A, "&gt;" &amp; TODAY()-182)</f>
        <v>2</v>
      </c>
      <c r="P89" s="701">
        <f ca="1">SUMIFS('Cutters Consumption Updates'!E:E,
        'Cutters Consumption Updates'!B:B, B89,
        'Cutters Consumption Updates'!A:A, "&gt;" &amp; TODAY()-91)</f>
        <v>2</v>
      </c>
      <c r="Q89" s="701">
        <f t="shared" ca="1" si="13"/>
        <v>1</v>
      </c>
      <c r="R89" s="703">
        <f t="shared" ca="1" si="14"/>
        <v>0</v>
      </c>
      <c r="S89" s="703" t="s">
        <v>29</v>
      </c>
      <c r="T89" s="24">
        <f>IFERROR(INDEX(Table5[],MATCH($B89,Table5[Component],0),2),0)</f>
        <v>0</v>
      </c>
      <c r="U89" s="24">
        <f>SUMIFS(Table7[Balance],Table7[Cutter Mat'#],$B89)</f>
        <v>0</v>
      </c>
      <c r="V89" s="24">
        <f t="shared" si="15"/>
        <v>0</v>
      </c>
      <c r="W89" s="119"/>
      <c r="X89" s="2"/>
      <c r="Z89" s="4">
        <f>IFERROR(INDEX(Table5[],MATCH($B89,Table5[Component],0),2),0)</f>
        <v>0</v>
      </c>
      <c r="AA89" s="4">
        <f>IFERROR(INDEX(Table5[],MATCH($B89,Table5[Component],0),1),0)</f>
        <v>0</v>
      </c>
      <c r="AB89" s="4" t="str">
        <f t="shared" si="16"/>
        <v/>
      </c>
      <c r="AC89" s="4" t="str">
        <f t="shared" si="17"/>
        <v/>
      </c>
      <c r="AE89" s="4">
        <f t="shared" si="18"/>
        <v>0</v>
      </c>
      <c r="AF89" s="9"/>
      <c r="AJ89" s="248" t="str">
        <f t="shared" si="19"/>
        <v/>
      </c>
      <c r="AK89" s="248" t="str">
        <f t="shared" si="20"/>
        <v/>
      </c>
      <c r="AL89">
        <f t="shared" si="21"/>
        <v>0</v>
      </c>
      <c r="AQ89">
        <f t="shared" si="23"/>
        <v>0</v>
      </c>
      <c r="AS89">
        <v>853550</v>
      </c>
      <c r="AT89">
        <f t="shared" si="22"/>
        <v>0</v>
      </c>
    </row>
    <row r="90" spans="1:46" ht="15.65" customHeight="1" x14ac:dyDescent="0.35">
      <c r="A90" s="2">
        <v>89</v>
      </c>
      <c r="B90" s="2">
        <v>983152</v>
      </c>
      <c r="C90" s="2" t="s">
        <v>26</v>
      </c>
      <c r="D90" s="2">
        <v>1913</v>
      </c>
      <c r="E90" s="2" t="s">
        <v>79</v>
      </c>
      <c r="F90" s="2" t="s">
        <v>253</v>
      </c>
      <c r="G90" s="6"/>
      <c r="H90" s="6" t="s">
        <v>49</v>
      </c>
      <c r="I90" s="10">
        <f>SUMIFS('Cutters Consumption Updates'!$F:$F,'Cutters Consumption Updates'!$D:$D,I$1,'Cutters Consumption Updates'!$B:$B,$B90)-SUMIFS('Cutters Consumption Updates'!$E:$E,'Cutters Consumption Updates'!$D:$D,I$1,'Cutters Consumption Updates'!$B:$B,$B90)+ SUMIF('Cutters Consumption Updates'!$AS:$AS,$B90,'Cutters Consumption Updates'!AT:AT)</f>
        <v>0</v>
      </c>
      <c r="J90" s="10">
        <f>SUMIFS('Cutters Consumption Updates'!$F:$F,'Cutters Consumption Updates'!$D:$D,J$1,'Cutters Consumption Updates'!$B:$B,$B90)-SUMIFS('Cutters Consumption Updates'!$E:$E,'Cutters Consumption Updates'!$D:$D,J$1,'Cutters Consumption Updates'!$B:$B,$B90)+ SUMIF('Cutters Consumption Updates'!$AS:$AS,$B90,'Cutters Consumption Updates'!AU:AU)</f>
        <v>0</v>
      </c>
      <c r="K90" s="116">
        <f>SUMIFS('Cutters Consumption Updates'!$F:$F,'Cutters Consumption Updates'!$D:$D,K$1,'Cutters Consumption Updates'!$B:$B,$B90)-SUMIFS('Cutters Consumption Updates'!$E:$E,'Cutters Consumption Updates'!$D:$D,K$1,'Cutters Consumption Updates'!$B:$B,$B90)+ SUMIF('Cutters Consumption Updates'!$AS:$AS,$B90,'Cutters Consumption Updates'!AV:AV)</f>
        <v>0</v>
      </c>
      <c r="L90" s="738">
        <f>SUMIFS('Cutters Consumption Updates'!$F:$F,'Cutters Consumption Updates'!$D:$D,L$1,'Cutters Consumption Updates'!$B:$B,$B90)-SUMIFS('Cutters Consumption Updates'!$E:$E,'Cutters Consumption Updates'!$D:$D,L$1,'Cutters Consumption Updates'!$B:$B,$B90)+ SUMIF('Cutters Consumption Updates'!$AS:$AS,$B90,'Cutters Consumption Updates'!AW:AW)</f>
        <v>0</v>
      </c>
      <c r="M90" s="116">
        <f>SUMIFS('Cutters Consumption Updates'!$F:$F,'Cutters Consumption Updates'!$D:$D,M$1,'Cutters Consumption Updates'!$B:$B,$B90)-SUMIFS('Cutters Consumption Updates'!$E:$E,'Cutters Consumption Updates'!$D:$D,$M$1,'Cutters Consumption Updates'!$B:$B,$B90)+SUMIFS('Cutters Consumption Updates'!$F:$F,'Cutters Consumption Updates'!$D:$D,"Retrofit",'Cutters Consumption Updates'!$B:$B,$B90)-SUMIFS('Cutters Consumption Updates'!$E:$E,'Cutters Consumption Updates'!$D:$D,"Retrofit",'Cutters Consumption Updates'!$B:$B,$B90)+ SUMIF('Cutters Consumption Updates'!$AS:$AS,$B90,'Cutters Consumption Updates'!AX:AX)</f>
        <v>22</v>
      </c>
      <c r="N90" s="10">
        <f t="shared" si="12"/>
        <v>22</v>
      </c>
      <c r="O90" s="701">
        <f ca="1">SUMIFS('Cutters Consumption Updates'!E:E,
        'Cutters Consumption Updates'!B:B, B90,
        'Cutters Consumption Updates'!A:A, "&gt;" &amp; TODAY()-182)</f>
        <v>0</v>
      </c>
      <c r="P90" s="701">
        <f ca="1">SUMIFS('Cutters Consumption Updates'!E:E,
        'Cutters Consumption Updates'!B:B, B90,
        'Cutters Consumption Updates'!A:A, "&gt;" &amp; TODAY()-91)</f>
        <v>0</v>
      </c>
      <c r="Q90" s="701">
        <f t="shared" ca="1" si="13"/>
        <v>0</v>
      </c>
      <c r="R90" s="703">
        <f t="shared" ca="1" si="14"/>
        <v>0</v>
      </c>
      <c r="S90" s="703" t="s">
        <v>63</v>
      </c>
      <c r="T90" s="24">
        <f>IFERROR(INDEX(Table5[],MATCH($B90,Table5[Component],0),2),0)</f>
        <v>0</v>
      </c>
      <c r="U90" s="24">
        <f>SUMIFS(Table7[Balance],Table7[Cutter Mat'#],$B90)</f>
        <v>0</v>
      </c>
      <c r="V90" s="24">
        <f t="shared" si="15"/>
        <v>22</v>
      </c>
      <c r="W90" s="119"/>
      <c r="X90" s="2"/>
      <c r="Z90" s="4">
        <f>IFERROR(INDEX(Table5[],MATCH($B90,Table5[Component],0),2),0)</f>
        <v>0</v>
      </c>
      <c r="AA90" s="4">
        <f>IFERROR(INDEX(Table5[],MATCH($B90,Table5[Component],0),1),0)</f>
        <v>0</v>
      </c>
      <c r="AB90" s="4" t="str">
        <f t="shared" si="16"/>
        <v/>
      </c>
      <c r="AC90" s="4" t="str">
        <f t="shared" si="17"/>
        <v/>
      </c>
      <c r="AE90" s="4">
        <f t="shared" si="18"/>
        <v>22</v>
      </c>
      <c r="AF90" s="9"/>
      <c r="AJ90" s="248" t="str">
        <f t="shared" si="19"/>
        <v/>
      </c>
      <c r="AK90" s="248" t="str">
        <f t="shared" si="20"/>
        <v/>
      </c>
      <c r="AL90">
        <f t="shared" si="21"/>
        <v>0</v>
      </c>
      <c r="AQ90">
        <f t="shared" si="23"/>
        <v>0</v>
      </c>
      <c r="AS90">
        <v>853551</v>
      </c>
      <c r="AT90">
        <f t="shared" si="22"/>
        <v>0</v>
      </c>
    </row>
    <row r="91" spans="1:46" ht="15.65" customHeight="1" x14ac:dyDescent="0.35">
      <c r="A91" s="2">
        <v>90</v>
      </c>
      <c r="B91" s="2">
        <v>853551</v>
      </c>
      <c r="C91" s="2" t="s">
        <v>26</v>
      </c>
      <c r="D91" s="2">
        <v>1613</v>
      </c>
      <c r="E91" s="2" t="s">
        <v>92</v>
      </c>
      <c r="F91" s="2" t="s">
        <v>253</v>
      </c>
      <c r="G91" s="6" t="s">
        <v>93</v>
      </c>
      <c r="H91" s="6" t="s">
        <v>49</v>
      </c>
      <c r="I91" s="10">
        <f>SUMIFS('Cutters Consumption Updates'!$F:$F,'Cutters Consumption Updates'!$D:$D,I$1,'Cutters Consumption Updates'!$B:$B,$B91)-SUMIFS('Cutters Consumption Updates'!$E:$E,'Cutters Consumption Updates'!$D:$D,I$1,'Cutters Consumption Updates'!$B:$B,$B91)+ SUMIF('Cutters Consumption Updates'!$AS:$AS,$B91,'Cutters Consumption Updates'!AT:AT)</f>
        <v>0</v>
      </c>
      <c r="J91" s="10">
        <f>SUMIFS('Cutters Consumption Updates'!$F:$F,'Cutters Consumption Updates'!$D:$D,J$1,'Cutters Consumption Updates'!$B:$B,$B91)-SUMIFS('Cutters Consumption Updates'!$E:$E,'Cutters Consumption Updates'!$D:$D,J$1,'Cutters Consumption Updates'!$B:$B,$B91)+ SUMIF('Cutters Consumption Updates'!$AS:$AS,$B91,'Cutters Consumption Updates'!AU:AU)</f>
        <v>0</v>
      </c>
      <c r="K91" s="116">
        <f>SUMIFS('Cutters Consumption Updates'!$F:$F,'Cutters Consumption Updates'!$D:$D,K$1,'Cutters Consumption Updates'!$B:$B,$B91)-SUMIFS('Cutters Consumption Updates'!$E:$E,'Cutters Consumption Updates'!$D:$D,K$1,'Cutters Consumption Updates'!$B:$B,$B91)+ SUMIF('Cutters Consumption Updates'!$AS:$AS,$B91,'Cutters Consumption Updates'!AV:AV)</f>
        <v>20</v>
      </c>
      <c r="L91" s="738">
        <f>SUMIFS('Cutters Consumption Updates'!$F:$F,'Cutters Consumption Updates'!$D:$D,L$1,'Cutters Consumption Updates'!$B:$B,$B91)-SUMIFS('Cutters Consumption Updates'!$E:$E,'Cutters Consumption Updates'!$D:$D,L$1,'Cutters Consumption Updates'!$B:$B,$B91)+ SUMIF('Cutters Consumption Updates'!$AS:$AS,$B91,'Cutters Consumption Updates'!AW:AW)</f>
        <v>0</v>
      </c>
      <c r="M91" s="116">
        <f>SUMIFS('Cutters Consumption Updates'!$F:$F,'Cutters Consumption Updates'!$D:$D,M$1,'Cutters Consumption Updates'!$B:$B,$B91)-SUMIFS('Cutters Consumption Updates'!$E:$E,'Cutters Consumption Updates'!$D:$D,$M$1,'Cutters Consumption Updates'!$B:$B,$B91)+SUMIFS('Cutters Consumption Updates'!$F:$F,'Cutters Consumption Updates'!$D:$D,"Retrofit",'Cutters Consumption Updates'!$B:$B,$B91)-SUMIFS('Cutters Consumption Updates'!$E:$E,'Cutters Consumption Updates'!$D:$D,"Retrofit",'Cutters Consumption Updates'!$B:$B,$B91)+ SUMIF('Cutters Consumption Updates'!$AS:$AS,$B91,'Cutters Consumption Updates'!AX:AX)</f>
        <v>0</v>
      </c>
      <c r="N91" s="10">
        <f t="shared" si="12"/>
        <v>0</v>
      </c>
      <c r="O91" s="701">
        <f ca="1">SUMIFS('Cutters Consumption Updates'!E:E,
        'Cutters Consumption Updates'!B:B, B91,
        'Cutters Consumption Updates'!A:A, "&gt;" &amp; TODAY()-182)</f>
        <v>0</v>
      </c>
      <c r="P91" s="701">
        <f ca="1">SUMIFS('Cutters Consumption Updates'!E:E,
        'Cutters Consumption Updates'!B:B, B91,
        'Cutters Consumption Updates'!A:A, "&gt;" &amp; TODAY()-91)</f>
        <v>0</v>
      </c>
      <c r="Q91" s="701">
        <f t="shared" ca="1" si="13"/>
        <v>0</v>
      </c>
      <c r="R91" s="703">
        <f t="shared" ca="1" si="14"/>
        <v>0</v>
      </c>
      <c r="S91" s="703" t="s">
        <v>64</v>
      </c>
      <c r="T91" s="24">
        <f>IFERROR(INDEX(Table5[],MATCH($B91,Table5[Component],0),2),0)</f>
        <v>0</v>
      </c>
      <c r="U91" s="24">
        <f>SUMIFS(Table7[Balance],Table7[Cutter Mat'#],$B91)</f>
        <v>0</v>
      </c>
      <c r="V91" s="24">
        <f t="shared" si="15"/>
        <v>0</v>
      </c>
      <c r="W91" s="119"/>
      <c r="X91" s="2"/>
      <c r="Z91" s="4">
        <f>IFERROR(INDEX(Table5[],MATCH($B91,Table5[Component],0),2),0)</f>
        <v>0</v>
      </c>
      <c r="AA91" s="4">
        <f>IFERROR(INDEX(Table5[],MATCH($B91,Table5[Component],0),1),0)</f>
        <v>0</v>
      </c>
      <c r="AB91" s="4" t="str">
        <f t="shared" si="16"/>
        <v/>
      </c>
      <c r="AC91" s="4" t="str">
        <f t="shared" si="17"/>
        <v/>
      </c>
      <c r="AE91" s="4">
        <f t="shared" si="18"/>
        <v>20</v>
      </c>
      <c r="AF91" s="9"/>
      <c r="AJ91" s="248" t="str">
        <f t="shared" si="19"/>
        <v/>
      </c>
      <c r="AK91" s="248" t="str">
        <f t="shared" si="20"/>
        <v/>
      </c>
      <c r="AL91">
        <f t="shared" si="21"/>
        <v>0</v>
      </c>
      <c r="AQ91">
        <f t="shared" si="23"/>
        <v>0</v>
      </c>
      <c r="AS91">
        <v>853552</v>
      </c>
      <c r="AT91">
        <f t="shared" si="22"/>
        <v>0</v>
      </c>
    </row>
    <row r="92" spans="1:46" ht="15.65" customHeight="1" x14ac:dyDescent="0.35">
      <c r="A92" s="2">
        <v>91</v>
      </c>
      <c r="B92" s="2">
        <v>717747</v>
      </c>
      <c r="C92" s="2" t="s">
        <v>26</v>
      </c>
      <c r="D92" s="2">
        <v>1010</v>
      </c>
      <c r="E92" s="2" t="s">
        <v>51</v>
      </c>
      <c r="F92" s="2" t="s">
        <v>248</v>
      </c>
      <c r="G92" s="6"/>
      <c r="H92" s="6" t="s">
        <v>47</v>
      </c>
      <c r="I92" s="10">
        <f>SUMIFS('Cutters Consumption Updates'!$F:$F,'Cutters Consumption Updates'!$D:$D,I$1,'Cutters Consumption Updates'!$B:$B,$B92)-SUMIFS('Cutters Consumption Updates'!$E:$E,'Cutters Consumption Updates'!$D:$D,I$1,'Cutters Consumption Updates'!$B:$B,$B92)+ SUMIF('Cutters Consumption Updates'!$AS:$AS,$B92,'Cutters Consumption Updates'!AT:AT)</f>
        <v>0</v>
      </c>
      <c r="J92" s="10">
        <f>SUMIFS('Cutters Consumption Updates'!$F:$F,'Cutters Consumption Updates'!$D:$D,J$1,'Cutters Consumption Updates'!$B:$B,$B92)-SUMIFS('Cutters Consumption Updates'!$E:$E,'Cutters Consumption Updates'!$D:$D,J$1,'Cutters Consumption Updates'!$B:$B,$B92)+ SUMIF('Cutters Consumption Updates'!$AS:$AS,$B92,'Cutters Consumption Updates'!AU:AU)</f>
        <v>0</v>
      </c>
      <c r="K92" s="116">
        <f>SUMIFS('Cutters Consumption Updates'!$F:$F,'Cutters Consumption Updates'!$D:$D,K$1,'Cutters Consumption Updates'!$B:$B,$B92)-SUMIFS('Cutters Consumption Updates'!$E:$E,'Cutters Consumption Updates'!$D:$D,K$1,'Cutters Consumption Updates'!$B:$B,$B92)+ SUMIF('Cutters Consumption Updates'!$AS:$AS,$B92,'Cutters Consumption Updates'!AV:AV)</f>
        <v>0</v>
      </c>
      <c r="L92" s="738">
        <f>SUMIFS('Cutters Consumption Updates'!$F:$F,'Cutters Consumption Updates'!$D:$D,L$1,'Cutters Consumption Updates'!$B:$B,$B92)-SUMIFS('Cutters Consumption Updates'!$E:$E,'Cutters Consumption Updates'!$D:$D,L$1,'Cutters Consumption Updates'!$B:$B,$B92)+ SUMIF('Cutters Consumption Updates'!$AS:$AS,$B92,'Cutters Consumption Updates'!AW:AW)</f>
        <v>0</v>
      </c>
      <c r="M92" s="116">
        <f>SUMIFS('Cutters Consumption Updates'!$F:$F,'Cutters Consumption Updates'!$D:$D,M$1,'Cutters Consumption Updates'!$B:$B,$B92)-SUMIFS('Cutters Consumption Updates'!$E:$E,'Cutters Consumption Updates'!$D:$D,$M$1,'Cutters Consumption Updates'!$B:$B,$B92)+SUMIFS('Cutters Consumption Updates'!$F:$F,'Cutters Consumption Updates'!$D:$D,"Retrofit",'Cutters Consumption Updates'!$B:$B,$B92)-SUMIFS('Cutters Consumption Updates'!$E:$E,'Cutters Consumption Updates'!$D:$D,"Retrofit",'Cutters Consumption Updates'!$B:$B,$B92)+ SUMIF('Cutters Consumption Updates'!$AS:$AS,$B92,'Cutters Consumption Updates'!AX:AX)</f>
        <v>0</v>
      </c>
      <c r="N92" s="10">
        <f t="shared" si="12"/>
        <v>0</v>
      </c>
      <c r="O92" s="701">
        <f ca="1">SUMIFS('Cutters Consumption Updates'!E:E,
        'Cutters Consumption Updates'!B:B, B92,
        'Cutters Consumption Updates'!A:A, "&gt;" &amp; TODAY()-182)</f>
        <v>0</v>
      </c>
      <c r="P92" s="701">
        <f ca="1">SUMIFS('Cutters Consumption Updates'!E:E,
        'Cutters Consumption Updates'!B:B, B92,
        'Cutters Consumption Updates'!A:A, "&gt;" &amp; TODAY()-91)</f>
        <v>0</v>
      </c>
      <c r="Q92" s="701">
        <f t="shared" ca="1" si="13"/>
        <v>0</v>
      </c>
      <c r="R92" s="703">
        <f t="shared" ca="1" si="14"/>
        <v>0</v>
      </c>
      <c r="S92" s="703" t="s">
        <v>29</v>
      </c>
      <c r="T92" s="24">
        <f>IFERROR(INDEX(Table5[],MATCH($B92,Table5[Component],0),2),0)</f>
        <v>0</v>
      </c>
      <c r="U92" s="24">
        <f>SUMIFS(Table7[Balance],Table7[Cutter Mat'#],$B92)</f>
        <v>0</v>
      </c>
      <c r="V92" s="24">
        <f t="shared" si="15"/>
        <v>0</v>
      </c>
      <c r="W92" s="119"/>
      <c r="X92" s="2"/>
      <c r="Z92" s="4">
        <f>IFERROR(INDEX(Table5[],MATCH($B92,Table5[Component],0),2),0)</f>
        <v>0</v>
      </c>
      <c r="AA92" s="4">
        <f>IFERROR(INDEX(Table5[],MATCH($B92,Table5[Component],0),1),0)</f>
        <v>0</v>
      </c>
      <c r="AB92" s="4" t="str">
        <f t="shared" si="16"/>
        <v/>
      </c>
      <c r="AC92" s="4" t="str">
        <f t="shared" si="17"/>
        <v/>
      </c>
      <c r="AE92" s="4">
        <f t="shared" si="18"/>
        <v>0</v>
      </c>
      <c r="AF92" s="9"/>
      <c r="AJ92" s="248" t="str">
        <f t="shared" si="19"/>
        <v/>
      </c>
      <c r="AK92" s="248" t="str">
        <f t="shared" si="20"/>
        <v/>
      </c>
      <c r="AL92">
        <f t="shared" si="21"/>
        <v>0</v>
      </c>
      <c r="AQ92">
        <f t="shared" si="23"/>
        <v>0</v>
      </c>
      <c r="AS92">
        <v>871781</v>
      </c>
      <c r="AT92">
        <f t="shared" si="22"/>
        <v>300</v>
      </c>
    </row>
    <row r="93" spans="1:46" ht="15.65" customHeight="1" x14ac:dyDescent="0.35">
      <c r="A93" s="2">
        <v>92</v>
      </c>
      <c r="B93" s="2">
        <v>768848</v>
      </c>
      <c r="C93" s="2" t="s">
        <v>26</v>
      </c>
      <c r="D93" s="14" t="s">
        <v>73</v>
      </c>
      <c r="E93" s="2" t="s">
        <v>62</v>
      </c>
      <c r="F93" s="2" t="s">
        <v>248</v>
      </c>
      <c r="G93" s="6"/>
      <c r="H93" s="6" t="s">
        <v>49</v>
      </c>
      <c r="I93" s="10">
        <f>SUMIFS('Cutters Consumption Updates'!$F:$F,'Cutters Consumption Updates'!$D:$D,I$1,'Cutters Consumption Updates'!$B:$B,$B93)-SUMIFS('Cutters Consumption Updates'!$E:$E,'Cutters Consumption Updates'!$D:$D,I$1,'Cutters Consumption Updates'!$B:$B,$B93)+ SUMIF('Cutters Consumption Updates'!$AS:$AS,$B93,'Cutters Consumption Updates'!AT:AT)</f>
        <v>0</v>
      </c>
      <c r="J93" s="10">
        <f>SUMIFS('Cutters Consumption Updates'!$F:$F,'Cutters Consumption Updates'!$D:$D,J$1,'Cutters Consumption Updates'!$B:$B,$B93)-SUMIFS('Cutters Consumption Updates'!$E:$E,'Cutters Consumption Updates'!$D:$D,J$1,'Cutters Consumption Updates'!$B:$B,$B93)+ SUMIF('Cutters Consumption Updates'!$AS:$AS,$B93,'Cutters Consumption Updates'!AU:AU)</f>
        <v>0</v>
      </c>
      <c r="K93" s="116">
        <f>SUMIFS('Cutters Consumption Updates'!$F:$F,'Cutters Consumption Updates'!$D:$D,K$1,'Cutters Consumption Updates'!$B:$B,$B93)-SUMIFS('Cutters Consumption Updates'!$E:$E,'Cutters Consumption Updates'!$D:$D,K$1,'Cutters Consumption Updates'!$B:$B,$B93)+ SUMIF('Cutters Consumption Updates'!$AS:$AS,$B93,'Cutters Consumption Updates'!AV:AV)</f>
        <v>0</v>
      </c>
      <c r="L93" s="738">
        <f>SUMIFS('Cutters Consumption Updates'!$F:$F,'Cutters Consumption Updates'!$D:$D,L$1,'Cutters Consumption Updates'!$B:$B,$B93)-SUMIFS('Cutters Consumption Updates'!$E:$E,'Cutters Consumption Updates'!$D:$D,L$1,'Cutters Consumption Updates'!$B:$B,$B93)+ SUMIF('Cutters Consumption Updates'!$AS:$AS,$B93,'Cutters Consumption Updates'!AW:AW)</f>
        <v>0</v>
      </c>
      <c r="M93" s="116">
        <f>SUMIFS('Cutters Consumption Updates'!$F:$F,'Cutters Consumption Updates'!$D:$D,M$1,'Cutters Consumption Updates'!$B:$B,$B93)-SUMIFS('Cutters Consumption Updates'!$E:$E,'Cutters Consumption Updates'!$D:$D,$M$1,'Cutters Consumption Updates'!$B:$B,$B93)+SUMIFS('Cutters Consumption Updates'!$F:$F,'Cutters Consumption Updates'!$D:$D,"Retrofit",'Cutters Consumption Updates'!$B:$B,$B93)-SUMIFS('Cutters Consumption Updates'!$E:$E,'Cutters Consumption Updates'!$D:$D,"Retrofit",'Cutters Consumption Updates'!$B:$B,$B93)+ SUMIF('Cutters Consumption Updates'!$AS:$AS,$B93,'Cutters Consumption Updates'!AX:AX)</f>
        <v>7</v>
      </c>
      <c r="N93" s="10">
        <f t="shared" si="12"/>
        <v>7</v>
      </c>
      <c r="O93" s="701">
        <f ca="1">SUMIFS('Cutters Consumption Updates'!E:E,
        'Cutters Consumption Updates'!B:B, B93,
        'Cutters Consumption Updates'!A:A, "&gt;" &amp; TODAY()-182)</f>
        <v>0</v>
      </c>
      <c r="P93" s="701">
        <f ca="1">SUMIFS('Cutters Consumption Updates'!E:E,
        'Cutters Consumption Updates'!B:B, B93,
        'Cutters Consumption Updates'!A:A, "&gt;" &amp; TODAY()-91)</f>
        <v>0</v>
      </c>
      <c r="Q93" s="701">
        <f t="shared" ca="1" si="13"/>
        <v>0</v>
      </c>
      <c r="R93" s="703">
        <f t="shared" ca="1" si="14"/>
        <v>0</v>
      </c>
      <c r="S93" s="703" t="s">
        <v>29</v>
      </c>
      <c r="T93" s="24">
        <f>IFERROR(INDEX(Table5[],MATCH($B93,Table5[Component],0),2),0)</f>
        <v>0</v>
      </c>
      <c r="U93" s="24">
        <f>SUMIFS(Table7[Balance],Table7[Cutter Mat'#],$B93)</f>
        <v>0</v>
      </c>
      <c r="V93" s="24">
        <f t="shared" si="15"/>
        <v>7</v>
      </c>
      <c r="W93" s="119"/>
      <c r="X93" s="2"/>
      <c r="Z93" s="4">
        <f>IFERROR(INDEX(Table5[],MATCH($B93,Table5[Component],0),2),0)</f>
        <v>0</v>
      </c>
      <c r="AA93" s="4">
        <f>IFERROR(INDEX(Table5[],MATCH($B93,Table5[Component],0),1),0)</f>
        <v>0</v>
      </c>
      <c r="AB93" s="4" t="str">
        <f t="shared" si="16"/>
        <v/>
      </c>
      <c r="AC93" s="4" t="str">
        <f t="shared" si="17"/>
        <v/>
      </c>
      <c r="AE93" s="4">
        <f t="shared" si="18"/>
        <v>7</v>
      </c>
      <c r="AF93" s="9"/>
      <c r="AJ93" s="248" t="str">
        <f t="shared" si="19"/>
        <v/>
      </c>
      <c r="AK93" s="248" t="str">
        <f t="shared" si="20"/>
        <v/>
      </c>
      <c r="AL93">
        <f t="shared" si="21"/>
        <v>0</v>
      </c>
      <c r="AQ93">
        <f t="shared" si="23"/>
        <v>0</v>
      </c>
      <c r="AS93">
        <v>874583</v>
      </c>
      <c r="AT93">
        <f t="shared" si="22"/>
        <v>0</v>
      </c>
    </row>
    <row r="94" spans="1:46" ht="15.65" customHeight="1" x14ac:dyDescent="0.35">
      <c r="A94" s="2">
        <v>93</v>
      </c>
      <c r="B94" s="2">
        <v>785001</v>
      </c>
      <c r="C94" s="2" t="s">
        <v>26</v>
      </c>
      <c r="D94" s="2">
        <v>1313</v>
      </c>
      <c r="E94" s="2" t="s">
        <v>27</v>
      </c>
      <c r="F94" s="2" t="s">
        <v>253</v>
      </c>
      <c r="G94" s="6" t="s">
        <v>97</v>
      </c>
      <c r="H94" s="6" t="s">
        <v>49</v>
      </c>
      <c r="I94" s="10">
        <f>SUMIFS('Cutters Consumption Updates'!$F:$F,'Cutters Consumption Updates'!$D:$D,I$1,'Cutters Consumption Updates'!$B:$B,$B94)-SUMIFS('Cutters Consumption Updates'!$E:$E,'Cutters Consumption Updates'!$D:$D,I$1,'Cutters Consumption Updates'!$B:$B,$B94)+ SUMIF('Cutters Consumption Updates'!$AS:$AS,$B94,'Cutters Consumption Updates'!AT:AT)</f>
        <v>0</v>
      </c>
      <c r="J94" s="10">
        <f>SUMIFS('Cutters Consumption Updates'!$F:$F,'Cutters Consumption Updates'!$D:$D,J$1,'Cutters Consumption Updates'!$B:$B,$B94)-SUMIFS('Cutters Consumption Updates'!$E:$E,'Cutters Consumption Updates'!$D:$D,J$1,'Cutters Consumption Updates'!$B:$B,$B94)+ SUMIF('Cutters Consumption Updates'!$AS:$AS,$B94,'Cutters Consumption Updates'!AU:AU)</f>
        <v>0</v>
      </c>
      <c r="K94" s="116">
        <f>SUMIFS('Cutters Consumption Updates'!$F:$F,'Cutters Consumption Updates'!$D:$D,K$1,'Cutters Consumption Updates'!$B:$B,$B94)-SUMIFS('Cutters Consumption Updates'!$E:$E,'Cutters Consumption Updates'!$D:$D,K$1,'Cutters Consumption Updates'!$B:$B,$B94)+ SUMIF('Cutters Consumption Updates'!$AS:$AS,$B94,'Cutters Consumption Updates'!AV:AV)</f>
        <v>0</v>
      </c>
      <c r="L94" s="738">
        <f>SUMIFS('Cutters Consumption Updates'!$F:$F,'Cutters Consumption Updates'!$D:$D,L$1,'Cutters Consumption Updates'!$B:$B,$B94)-SUMIFS('Cutters Consumption Updates'!$E:$E,'Cutters Consumption Updates'!$D:$D,L$1,'Cutters Consumption Updates'!$B:$B,$B94)+ SUMIF('Cutters Consumption Updates'!$AS:$AS,$B94,'Cutters Consumption Updates'!AW:AW)</f>
        <v>0</v>
      </c>
      <c r="M94" s="116">
        <f>SUMIFS('Cutters Consumption Updates'!$F:$F,'Cutters Consumption Updates'!$D:$D,M$1,'Cutters Consumption Updates'!$B:$B,$B94)-SUMIFS('Cutters Consumption Updates'!$E:$E,'Cutters Consumption Updates'!$D:$D,$M$1,'Cutters Consumption Updates'!$B:$B,$B94)+SUMIFS('Cutters Consumption Updates'!$F:$F,'Cutters Consumption Updates'!$D:$D,"Retrofit",'Cutters Consumption Updates'!$B:$B,$B94)-SUMIFS('Cutters Consumption Updates'!$E:$E,'Cutters Consumption Updates'!$D:$D,"Retrofit",'Cutters Consumption Updates'!$B:$B,$B94)+ SUMIF('Cutters Consumption Updates'!$AS:$AS,$B94,'Cutters Consumption Updates'!AX:AX)</f>
        <v>0</v>
      </c>
      <c r="N94" s="10">
        <f t="shared" si="12"/>
        <v>0</v>
      </c>
      <c r="O94" s="701">
        <f ca="1">SUMIFS('Cutters Consumption Updates'!E:E,
        'Cutters Consumption Updates'!B:B, B94,
        'Cutters Consumption Updates'!A:A, "&gt;" &amp; TODAY()-182)</f>
        <v>3</v>
      </c>
      <c r="P94" s="701">
        <f ca="1">SUMIFS('Cutters Consumption Updates'!E:E,
        'Cutters Consumption Updates'!B:B, B94,
        'Cutters Consumption Updates'!A:A, "&gt;" &amp; TODAY()-91)</f>
        <v>3</v>
      </c>
      <c r="Q94" s="701">
        <f t="shared" ca="1" si="13"/>
        <v>1</v>
      </c>
      <c r="R94" s="703">
        <f t="shared" ca="1" si="14"/>
        <v>0</v>
      </c>
      <c r="S94" s="703" t="s">
        <v>29</v>
      </c>
      <c r="T94" s="24">
        <f>IFERROR(INDEX(Table5[],MATCH($B94,Table5[Component],0),2),0)</f>
        <v>0</v>
      </c>
      <c r="U94" s="24">
        <f>SUMIFS(Table7[Balance],Table7[Cutter Mat'#],$B94)</f>
        <v>0</v>
      </c>
      <c r="V94" s="24">
        <f t="shared" si="15"/>
        <v>0</v>
      </c>
      <c r="W94" s="119"/>
      <c r="X94" s="2"/>
      <c r="Z94" s="4">
        <f>IFERROR(INDEX(Table5[],MATCH($B94,Table5[Component],0),2),0)</f>
        <v>0</v>
      </c>
      <c r="AA94" s="4">
        <f>IFERROR(INDEX(Table5[],MATCH($B94,Table5[Component],0),1),0)</f>
        <v>0</v>
      </c>
      <c r="AB94" s="4" t="str">
        <f t="shared" si="16"/>
        <v/>
      </c>
      <c r="AC94" s="4" t="str">
        <f t="shared" si="17"/>
        <v/>
      </c>
      <c r="AE94" s="4">
        <f t="shared" si="18"/>
        <v>0</v>
      </c>
      <c r="AF94" s="9"/>
      <c r="AJ94" s="248" t="str">
        <f t="shared" si="19"/>
        <v/>
      </c>
      <c r="AK94" s="248" t="str">
        <f t="shared" si="20"/>
        <v/>
      </c>
      <c r="AL94">
        <f t="shared" si="21"/>
        <v>0</v>
      </c>
      <c r="AQ94">
        <f t="shared" si="23"/>
        <v>0</v>
      </c>
      <c r="AS94">
        <v>882800</v>
      </c>
      <c r="AT94">
        <f t="shared" si="22"/>
        <v>0</v>
      </c>
    </row>
    <row r="95" spans="1:46" ht="15.65" customHeight="1" x14ac:dyDescent="0.35">
      <c r="A95" s="2">
        <v>94</v>
      </c>
      <c r="B95" s="2">
        <v>932807</v>
      </c>
      <c r="C95" s="2" t="s">
        <v>26</v>
      </c>
      <c r="D95" s="2">
        <v>1313</v>
      </c>
      <c r="E95" s="2" t="s">
        <v>98</v>
      </c>
      <c r="F95" s="2" t="s">
        <v>248</v>
      </c>
      <c r="G95" s="6" t="s">
        <v>93</v>
      </c>
      <c r="H95" s="6" t="s">
        <v>47</v>
      </c>
      <c r="I95" s="10">
        <f>SUMIFS('Cutters Consumption Updates'!$F:$F,'Cutters Consumption Updates'!$D:$D,I$1,'Cutters Consumption Updates'!$B:$B,$B95)-SUMIFS('Cutters Consumption Updates'!$E:$E,'Cutters Consumption Updates'!$D:$D,I$1,'Cutters Consumption Updates'!$B:$B,$B95)+ SUMIF('Cutters Consumption Updates'!$AS:$AS,$B95,'Cutters Consumption Updates'!AT:AT)</f>
        <v>0</v>
      </c>
      <c r="J95" s="10">
        <f>SUMIFS('Cutters Consumption Updates'!$F:$F,'Cutters Consumption Updates'!$D:$D,J$1,'Cutters Consumption Updates'!$B:$B,$B95)-SUMIFS('Cutters Consumption Updates'!$E:$E,'Cutters Consumption Updates'!$D:$D,J$1,'Cutters Consumption Updates'!$B:$B,$B95)+ SUMIF('Cutters Consumption Updates'!$AS:$AS,$B95,'Cutters Consumption Updates'!AU:AU)</f>
        <v>0</v>
      </c>
      <c r="K95" s="116">
        <f>SUMIFS('Cutters Consumption Updates'!$F:$F,'Cutters Consumption Updates'!$D:$D,K$1,'Cutters Consumption Updates'!$B:$B,$B95)-SUMIFS('Cutters Consumption Updates'!$E:$E,'Cutters Consumption Updates'!$D:$D,K$1,'Cutters Consumption Updates'!$B:$B,$B95)+ SUMIF('Cutters Consumption Updates'!$AS:$AS,$B95,'Cutters Consumption Updates'!AV:AV)</f>
        <v>0</v>
      </c>
      <c r="L95" s="738">
        <f>SUMIFS('Cutters Consumption Updates'!$F:$F,'Cutters Consumption Updates'!$D:$D,L$1,'Cutters Consumption Updates'!$B:$B,$B95)-SUMIFS('Cutters Consumption Updates'!$E:$E,'Cutters Consumption Updates'!$D:$D,L$1,'Cutters Consumption Updates'!$B:$B,$B95)+ SUMIF('Cutters Consumption Updates'!$AS:$AS,$B95,'Cutters Consumption Updates'!AW:AW)</f>
        <v>0</v>
      </c>
      <c r="M95" s="116">
        <f>SUMIFS('Cutters Consumption Updates'!$F:$F,'Cutters Consumption Updates'!$D:$D,M$1,'Cutters Consumption Updates'!$B:$B,$B95)-SUMIFS('Cutters Consumption Updates'!$E:$E,'Cutters Consumption Updates'!$D:$D,$M$1,'Cutters Consumption Updates'!$B:$B,$B95)+SUMIFS('Cutters Consumption Updates'!$F:$F,'Cutters Consumption Updates'!$D:$D,"Retrofit",'Cutters Consumption Updates'!$B:$B,$B95)-SUMIFS('Cutters Consumption Updates'!$E:$E,'Cutters Consumption Updates'!$D:$D,"Retrofit",'Cutters Consumption Updates'!$B:$B,$B95)+ SUMIF('Cutters Consumption Updates'!$AS:$AS,$B95,'Cutters Consumption Updates'!AX:AX)</f>
        <v>0</v>
      </c>
      <c r="N95" s="10">
        <f t="shared" si="12"/>
        <v>0</v>
      </c>
      <c r="O95" s="701">
        <f ca="1">SUMIFS('Cutters Consumption Updates'!E:E,
        'Cutters Consumption Updates'!B:B, B95,
        'Cutters Consumption Updates'!A:A, "&gt;" &amp; TODAY()-182)</f>
        <v>0</v>
      </c>
      <c r="P95" s="701">
        <f ca="1">SUMIFS('Cutters Consumption Updates'!E:E,
        'Cutters Consumption Updates'!B:B, B95,
        'Cutters Consumption Updates'!A:A, "&gt;" &amp; TODAY()-91)</f>
        <v>0</v>
      </c>
      <c r="Q95" s="701">
        <f t="shared" ca="1" si="13"/>
        <v>0</v>
      </c>
      <c r="R95" s="703">
        <f t="shared" ca="1" si="14"/>
        <v>0</v>
      </c>
      <c r="S95" s="703" t="s">
        <v>29</v>
      </c>
      <c r="T95" s="24">
        <f>IFERROR(INDEX(Table5[],MATCH($B95,Table5[Component],0),2),0)</f>
        <v>0</v>
      </c>
      <c r="U95" s="24">
        <f>SUMIFS(Table7[Balance],Table7[Cutter Mat'#],$B95)</f>
        <v>0</v>
      </c>
      <c r="V95" s="24">
        <f t="shared" si="15"/>
        <v>0</v>
      </c>
      <c r="W95" s="119"/>
      <c r="X95" s="2"/>
      <c r="Z95" s="4">
        <f>IFERROR(INDEX(Table5[],MATCH($B95,Table5[Component],0),2),0)</f>
        <v>0</v>
      </c>
      <c r="AA95" s="4">
        <f>IFERROR(INDEX(Table5[],MATCH($B95,Table5[Component],0),1),0)</f>
        <v>0</v>
      </c>
      <c r="AB95" s="4" t="str">
        <f t="shared" si="16"/>
        <v/>
      </c>
      <c r="AC95" s="4" t="str">
        <f t="shared" si="17"/>
        <v/>
      </c>
      <c r="AE95" s="4">
        <f t="shared" si="18"/>
        <v>0</v>
      </c>
      <c r="AF95" s="9"/>
      <c r="AJ95" s="248" t="str">
        <f t="shared" si="19"/>
        <v/>
      </c>
      <c r="AK95" s="248" t="str">
        <f t="shared" si="20"/>
        <v/>
      </c>
      <c r="AL95">
        <f t="shared" si="21"/>
        <v>0</v>
      </c>
      <c r="AQ95">
        <f t="shared" si="23"/>
        <v>0</v>
      </c>
      <c r="AS95">
        <v>886466</v>
      </c>
      <c r="AT95">
        <f t="shared" si="22"/>
        <v>0</v>
      </c>
    </row>
    <row r="96" spans="1:46" ht="15.65" customHeight="1" x14ac:dyDescent="0.35">
      <c r="A96" s="2">
        <v>95</v>
      </c>
      <c r="B96" s="2">
        <v>703671</v>
      </c>
      <c r="C96" s="2" t="s">
        <v>26</v>
      </c>
      <c r="D96" s="2">
        <v>1613</v>
      </c>
      <c r="E96" s="2" t="s">
        <v>51</v>
      </c>
      <c r="F96" s="2" t="s">
        <v>248</v>
      </c>
      <c r="G96" s="6"/>
      <c r="H96" s="6" t="s">
        <v>47</v>
      </c>
      <c r="I96" s="10">
        <f>SUMIFS('Cutters Consumption Updates'!$F:$F,'Cutters Consumption Updates'!$D:$D,I$1,'Cutters Consumption Updates'!$B:$B,$B96)-SUMIFS('Cutters Consumption Updates'!$E:$E,'Cutters Consumption Updates'!$D:$D,I$1,'Cutters Consumption Updates'!$B:$B,$B96)+ SUMIF('Cutters Consumption Updates'!$AS:$AS,$B96,'Cutters Consumption Updates'!AT:AT)</f>
        <v>0</v>
      </c>
      <c r="J96" s="10">
        <f>SUMIFS('Cutters Consumption Updates'!$F:$F,'Cutters Consumption Updates'!$D:$D,J$1,'Cutters Consumption Updates'!$B:$B,$B96)-SUMIFS('Cutters Consumption Updates'!$E:$E,'Cutters Consumption Updates'!$D:$D,J$1,'Cutters Consumption Updates'!$B:$B,$B96)+ SUMIF('Cutters Consumption Updates'!$AS:$AS,$B96,'Cutters Consumption Updates'!AU:AU)</f>
        <v>6</v>
      </c>
      <c r="K96" s="116">
        <f>SUMIFS('Cutters Consumption Updates'!$F:$F,'Cutters Consumption Updates'!$D:$D,K$1,'Cutters Consumption Updates'!$B:$B,$B96)-SUMIFS('Cutters Consumption Updates'!$E:$E,'Cutters Consumption Updates'!$D:$D,K$1,'Cutters Consumption Updates'!$B:$B,$B96)+ SUMIF('Cutters Consumption Updates'!$AS:$AS,$B96,'Cutters Consumption Updates'!AV:AV)</f>
        <v>0</v>
      </c>
      <c r="L96" s="738">
        <f>SUMIFS('Cutters Consumption Updates'!$F:$F,'Cutters Consumption Updates'!$D:$D,L$1,'Cutters Consumption Updates'!$B:$B,$B96)-SUMIFS('Cutters Consumption Updates'!$E:$E,'Cutters Consumption Updates'!$D:$D,L$1,'Cutters Consumption Updates'!$B:$B,$B96)+ SUMIF('Cutters Consumption Updates'!$AS:$AS,$B96,'Cutters Consumption Updates'!AW:AW)</f>
        <v>0</v>
      </c>
      <c r="M96" s="116">
        <f>SUMIFS('Cutters Consumption Updates'!$F:$F,'Cutters Consumption Updates'!$D:$D,M$1,'Cutters Consumption Updates'!$B:$B,$B96)-SUMIFS('Cutters Consumption Updates'!$E:$E,'Cutters Consumption Updates'!$D:$D,$M$1,'Cutters Consumption Updates'!$B:$B,$B96)+SUMIFS('Cutters Consumption Updates'!$F:$F,'Cutters Consumption Updates'!$D:$D,"Retrofit",'Cutters Consumption Updates'!$B:$B,$B96)-SUMIFS('Cutters Consumption Updates'!$E:$E,'Cutters Consumption Updates'!$D:$D,"Retrofit",'Cutters Consumption Updates'!$B:$B,$B96)+ SUMIF('Cutters Consumption Updates'!$AS:$AS,$B96,'Cutters Consumption Updates'!AX:AX)</f>
        <v>2</v>
      </c>
      <c r="N96" s="10">
        <f t="shared" si="12"/>
        <v>2</v>
      </c>
      <c r="O96" s="701">
        <f ca="1">SUMIFS('Cutters Consumption Updates'!E:E,
        'Cutters Consumption Updates'!B:B, B96,
        'Cutters Consumption Updates'!A:A, "&gt;" &amp; TODAY()-182)</f>
        <v>0</v>
      </c>
      <c r="P96" s="701">
        <f ca="1">SUMIFS('Cutters Consumption Updates'!E:E,
        'Cutters Consumption Updates'!B:B, B96,
        'Cutters Consumption Updates'!A:A, "&gt;" &amp; TODAY()-91)</f>
        <v>0</v>
      </c>
      <c r="Q96" s="701">
        <f t="shared" ca="1" si="13"/>
        <v>0</v>
      </c>
      <c r="R96" s="703">
        <f t="shared" ca="1" si="14"/>
        <v>0</v>
      </c>
      <c r="S96" s="703" t="s">
        <v>29</v>
      </c>
      <c r="T96" s="24">
        <f>IFERROR(INDEX(Table5[],MATCH($B96,Table5[Component],0),2),0)</f>
        <v>0</v>
      </c>
      <c r="U96" s="24">
        <f>SUMIFS(Table7[Balance],Table7[Cutter Mat'#],$B96)</f>
        <v>0</v>
      </c>
      <c r="V96" s="24">
        <f t="shared" si="15"/>
        <v>2</v>
      </c>
      <c r="W96" s="119"/>
      <c r="X96" s="2"/>
      <c r="Z96" s="4">
        <f>IFERROR(INDEX(Table5[],MATCH($B96,Table5[Component],0),2),0)</f>
        <v>0</v>
      </c>
      <c r="AA96" s="4">
        <f>IFERROR(INDEX(Table5[],MATCH($B96,Table5[Component],0),1),0)</f>
        <v>0</v>
      </c>
      <c r="AB96" s="4" t="str">
        <f t="shared" si="16"/>
        <v/>
      </c>
      <c r="AC96" s="4" t="str">
        <f t="shared" si="17"/>
        <v/>
      </c>
      <c r="AE96" s="4">
        <f t="shared" si="18"/>
        <v>8</v>
      </c>
      <c r="AF96" s="9"/>
      <c r="AJ96" s="248" t="str">
        <f t="shared" si="19"/>
        <v/>
      </c>
      <c r="AK96" s="248" t="str">
        <f t="shared" si="20"/>
        <v/>
      </c>
      <c r="AL96">
        <f t="shared" si="21"/>
        <v>0</v>
      </c>
      <c r="AQ96">
        <f t="shared" si="23"/>
        <v>0</v>
      </c>
      <c r="AS96">
        <v>887028</v>
      </c>
      <c r="AT96">
        <f t="shared" si="22"/>
        <v>0</v>
      </c>
    </row>
    <row r="97" spans="1:46" ht="15.65" customHeight="1" x14ac:dyDescent="0.35">
      <c r="A97" s="2">
        <v>96</v>
      </c>
      <c r="B97" s="2">
        <v>932811</v>
      </c>
      <c r="C97" s="2" t="s">
        <v>26</v>
      </c>
      <c r="D97" s="2">
        <v>1613</v>
      </c>
      <c r="E97" s="2" t="s">
        <v>98</v>
      </c>
      <c r="F97" s="2" t="s">
        <v>248</v>
      </c>
      <c r="G97" s="6" t="s">
        <v>93</v>
      </c>
      <c r="H97" s="6" t="s">
        <v>47</v>
      </c>
      <c r="I97" s="10">
        <f>SUMIFS('Cutters Consumption Updates'!$F:$F,'Cutters Consumption Updates'!$D:$D,I$1,'Cutters Consumption Updates'!$B:$B,$B97)-SUMIFS('Cutters Consumption Updates'!$E:$E,'Cutters Consumption Updates'!$D:$D,I$1,'Cutters Consumption Updates'!$B:$B,$B97)+ SUMIF('Cutters Consumption Updates'!$AS:$AS,$B97,'Cutters Consumption Updates'!AT:AT)</f>
        <v>0</v>
      </c>
      <c r="J97" s="10">
        <f>SUMIFS('Cutters Consumption Updates'!$F:$F,'Cutters Consumption Updates'!$D:$D,J$1,'Cutters Consumption Updates'!$B:$B,$B97)-SUMIFS('Cutters Consumption Updates'!$E:$E,'Cutters Consumption Updates'!$D:$D,J$1,'Cutters Consumption Updates'!$B:$B,$B97)+ SUMIF('Cutters Consumption Updates'!$AS:$AS,$B97,'Cutters Consumption Updates'!AU:AU)</f>
        <v>0</v>
      </c>
      <c r="K97" s="116">
        <f>SUMIFS('Cutters Consumption Updates'!$F:$F,'Cutters Consumption Updates'!$D:$D,K$1,'Cutters Consumption Updates'!$B:$B,$B97)-SUMIFS('Cutters Consumption Updates'!$E:$E,'Cutters Consumption Updates'!$D:$D,K$1,'Cutters Consumption Updates'!$B:$B,$B97)+ SUMIF('Cutters Consumption Updates'!$AS:$AS,$B97,'Cutters Consumption Updates'!AV:AV)</f>
        <v>0</v>
      </c>
      <c r="L97" s="738">
        <f>SUMIFS('Cutters Consumption Updates'!$F:$F,'Cutters Consumption Updates'!$D:$D,L$1,'Cutters Consumption Updates'!$B:$B,$B97)-SUMIFS('Cutters Consumption Updates'!$E:$E,'Cutters Consumption Updates'!$D:$D,L$1,'Cutters Consumption Updates'!$B:$B,$B97)+ SUMIF('Cutters Consumption Updates'!$AS:$AS,$B97,'Cutters Consumption Updates'!AW:AW)</f>
        <v>0</v>
      </c>
      <c r="M97" s="116">
        <f>SUMIFS('Cutters Consumption Updates'!$F:$F,'Cutters Consumption Updates'!$D:$D,M$1,'Cutters Consumption Updates'!$B:$B,$B97)-SUMIFS('Cutters Consumption Updates'!$E:$E,'Cutters Consumption Updates'!$D:$D,$M$1,'Cutters Consumption Updates'!$B:$B,$B97)+SUMIFS('Cutters Consumption Updates'!$F:$F,'Cutters Consumption Updates'!$D:$D,"Retrofit",'Cutters Consumption Updates'!$B:$B,$B97)-SUMIFS('Cutters Consumption Updates'!$E:$E,'Cutters Consumption Updates'!$D:$D,"Retrofit",'Cutters Consumption Updates'!$B:$B,$B97)+ SUMIF('Cutters Consumption Updates'!$AS:$AS,$B97,'Cutters Consumption Updates'!AX:AX)</f>
        <v>0</v>
      </c>
      <c r="N97" s="10">
        <f t="shared" si="12"/>
        <v>0</v>
      </c>
      <c r="O97" s="701">
        <f ca="1">SUMIFS('Cutters Consumption Updates'!E:E,
        'Cutters Consumption Updates'!B:B, B97,
        'Cutters Consumption Updates'!A:A, "&gt;" &amp; TODAY()-182)</f>
        <v>0</v>
      </c>
      <c r="P97" s="701">
        <f ca="1">SUMIFS('Cutters Consumption Updates'!E:E,
        'Cutters Consumption Updates'!B:B, B97,
        'Cutters Consumption Updates'!A:A, "&gt;" &amp; TODAY()-91)</f>
        <v>0</v>
      </c>
      <c r="Q97" s="701">
        <f t="shared" ca="1" si="13"/>
        <v>0</v>
      </c>
      <c r="R97" s="703">
        <f t="shared" ca="1" si="14"/>
        <v>0</v>
      </c>
      <c r="S97" s="703" t="s">
        <v>29</v>
      </c>
      <c r="T97" s="24">
        <f>IFERROR(INDEX(Table5[],MATCH($B97,Table5[Component],0),2),0)</f>
        <v>0</v>
      </c>
      <c r="U97" s="24">
        <f>SUMIFS(Table7[Balance],Table7[Cutter Mat'#],$B97)</f>
        <v>0</v>
      </c>
      <c r="V97" s="24">
        <f t="shared" si="15"/>
        <v>0</v>
      </c>
      <c r="W97" s="119"/>
      <c r="X97" s="2"/>
      <c r="Z97" s="4">
        <f>IFERROR(INDEX(Table5[],MATCH($B97,Table5[Component],0),2),0)</f>
        <v>0</v>
      </c>
      <c r="AA97" s="4">
        <f>IFERROR(INDEX(Table5[],MATCH($B97,Table5[Component],0),1),0)</f>
        <v>0</v>
      </c>
      <c r="AB97" s="4" t="str">
        <f t="shared" si="16"/>
        <v/>
      </c>
      <c r="AC97" s="4" t="str">
        <f t="shared" si="17"/>
        <v/>
      </c>
      <c r="AE97" s="4">
        <f t="shared" si="18"/>
        <v>0</v>
      </c>
      <c r="AF97" s="9"/>
      <c r="AJ97" s="248" t="str">
        <f t="shared" si="19"/>
        <v/>
      </c>
      <c r="AK97" s="248" t="str">
        <f t="shared" si="20"/>
        <v/>
      </c>
      <c r="AL97">
        <f t="shared" si="21"/>
        <v>0</v>
      </c>
      <c r="AQ97">
        <f t="shared" si="23"/>
        <v>0</v>
      </c>
      <c r="AS97">
        <v>907609</v>
      </c>
      <c r="AT97">
        <f t="shared" si="22"/>
        <v>0</v>
      </c>
    </row>
    <row r="98" spans="1:46" ht="15.65" customHeight="1" x14ac:dyDescent="0.35">
      <c r="A98" s="2">
        <v>97</v>
      </c>
      <c r="B98" s="2">
        <v>410851</v>
      </c>
      <c r="C98" s="2" t="s">
        <v>99</v>
      </c>
      <c r="D98" s="2">
        <v>1308</v>
      </c>
      <c r="E98" s="2" t="s">
        <v>71</v>
      </c>
      <c r="F98" s="2"/>
      <c r="G98" s="6"/>
      <c r="H98" s="6" t="s">
        <v>47</v>
      </c>
      <c r="I98" s="10">
        <f>SUMIFS('Cutters Consumption Updates'!$F:$F,'Cutters Consumption Updates'!$D:$D,I$1,'Cutters Consumption Updates'!$B:$B,$B98)-SUMIFS('Cutters Consumption Updates'!$E:$E,'Cutters Consumption Updates'!$D:$D,I$1,'Cutters Consumption Updates'!$B:$B,$B98)+ SUMIF('Cutters Consumption Updates'!$AS:$AS,$B98,'Cutters Consumption Updates'!AT:AT)</f>
        <v>0</v>
      </c>
      <c r="J98" s="10">
        <f>SUMIFS('Cutters Consumption Updates'!$F:$F,'Cutters Consumption Updates'!$D:$D,J$1,'Cutters Consumption Updates'!$B:$B,$B98)-SUMIFS('Cutters Consumption Updates'!$E:$E,'Cutters Consumption Updates'!$D:$D,J$1,'Cutters Consumption Updates'!$B:$B,$B98)+ SUMIF('Cutters Consumption Updates'!$AS:$AS,$B98,'Cutters Consumption Updates'!AU:AU)</f>
        <v>0</v>
      </c>
      <c r="K98" s="116">
        <f>SUMIFS('Cutters Consumption Updates'!$F:$F,'Cutters Consumption Updates'!$D:$D,K$1,'Cutters Consumption Updates'!$B:$B,$B98)-SUMIFS('Cutters Consumption Updates'!$E:$E,'Cutters Consumption Updates'!$D:$D,K$1,'Cutters Consumption Updates'!$B:$B,$B98)+ SUMIF('Cutters Consumption Updates'!$AS:$AS,$B98,'Cutters Consumption Updates'!AV:AV)</f>
        <v>0</v>
      </c>
      <c r="L98" s="738">
        <f>SUMIFS('Cutters Consumption Updates'!$F:$F,'Cutters Consumption Updates'!$D:$D,L$1,'Cutters Consumption Updates'!$B:$B,$B98)-SUMIFS('Cutters Consumption Updates'!$E:$E,'Cutters Consumption Updates'!$D:$D,L$1,'Cutters Consumption Updates'!$B:$B,$B98)+ SUMIF('Cutters Consumption Updates'!$AS:$AS,$B98,'Cutters Consumption Updates'!AW:AW)</f>
        <v>0</v>
      </c>
      <c r="M98" s="116">
        <f>SUMIFS('Cutters Consumption Updates'!$F:$F,'Cutters Consumption Updates'!$D:$D,M$1,'Cutters Consumption Updates'!$B:$B,$B98)-SUMIFS('Cutters Consumption Updates'!$E:$E,'Cutters Consumption Updates'!$D:$D,$M$1,'Cutters Consumption Updates'!$B:$B,$B98)+SUMIFS('Cutters Consumption Updates'!$F:$F,'Cutters Consumption Updates'!$D:$D,"Retrofit",'Cutters Consumption Updates'!$B:$B,$B98)-SUMIFS('Cutters Consumption Updates'!$E:$E,'Cutters Consumption Updates'!$D:$D,"Retrofit",'Cutters Consumption Updates'!$B:$B,$B98)+ SUMIF('Cutters Consumption Updates'!$AS:$AS,$B98,'Cutters Consumption Updates'!AX:AX)</f>
        <v>558</v>
      </c>
      <c r="N98" s="10">
        <f t="shared" si="12"/>
        <v>558</v>
      </c>
      <c r="O98" s="701">
        <f ca="1">SUMIFS('Cutters Consumption Updates'!E:E,
        'Cutters Consumption Updates'!B:B, B98,
        'Cutters Consumption Updates'!A:A, "&gt;" &amp; TODAY()-182)</f>
        <v>93</v>
      </c>
      <c r="P98" s="701">
        <f ca="1">SUMIFS('Cutters Consumption Updates'!E:E,
        'Cutters Consumption Updates'!B:B, B98,
        'Cutters Consumption Updates'!A:A, "&gt;" &amp; TODAY()-91)</f>
        <v>40</v>
      </c>
      <c r="Q98" s="701">
        <f t="shared" ca="1" si="13"/>
        <v>31</v>
      </c>
      <c r="R98" s="703">
        <f t="shared" ca="1" si="14"/>
        <v>35</v>
      </c>
      <c r="S98" s="703" t="s">
        <v>29</v>
      </c>
      <c r="T98" s="24">
        <f>IFERROR(INDEX(Table5[],MATCH($B98,Table5[Component],0),2),0)</f>
        <v>570</v>
      </c>
      <c r="U98" s="24">
        <f>SUMIFS(Table7[Balance],Table7[Cutter Mat'#],$B98)</f>
        <v>0</v>
      </c>
      <c r="V98" s="24">
        <f t="shared" si="15"/>
        <v>-12</v>
      </c>
      <c r="W98" s="119"/>
      <c r="X98" s="2"/>
      <c r="Z98" s="4">
        <f>IFERROR(INDEX(Table5[],MATCH($B98,Table5[Component],0),2),0)</f>
        <v>570</v>
      </c>
      <c r="AA98" s="4">
        <f>IFERROR(INDEX(Table5[],MATCH($B98,Table5[Component],0),1),0)</f>
        <v>410851</v>
      </c>
      <c r="AB98" s="4">
        <f t="shared" si="16"/>
        <v>410851</v>
      </c>
      <c r="AC98" s="4" t="str">
        <f t="shared" si="17"/>
        <v/>
      </c>
      <c r="AE98" s="4">
        <f t="shared" si="18"/>
        <v>558</v>
      </c>
      <c r="AF98" s="9"/>
      <c r="AJ98" s="248" t="str">
        <f t="shared" si="19"/>
        <v/>
      </c>
      <c r="AK98" s="248" t="str">
        <f t="shared" si="20"/>
        <v/>
      </c>
      <c r="AL98">
        <f t="shared" si="21"/>
        <v>0</v>
      </c>
      <c r="AQ98">
        <f t="shared" si="23"/>
        <v>0</v>
      </c>
      <c r="AS98">
        <v>930925</v>
      </c>
      <c r="AT98">
        <f t="shared" si="22"/>
        <v>0</v>
      </c>
    </row>
    <row r="99" spans="1:46" ht="15.65" customHeight="1" x14ac:dyDescent="0.35">
      <c r="A99" s="2">
        <v>98</v>
      </c>
      <c r="B99" s="2">
        <v>802063</v>
      </c>
      <c r="C99" s="2" t="s">
        <v>26</v>
      </c>
      <c r="D99" s="2">
        <v>1613</v>
      </c>
      <c r="E99" s="2" t="s">
        <v>27</v>
      </c>
      <c r="F99" s="2" t="s">
        <v>248</v>
      </c>
      <c r="G99" s="6" t="s">
        <v>97</v>
      </c>
      <c r="H99" s="6" t="s">
        <v>49</v>
      </c>
      <c r="I99" s="10">
        <f>SUMIFS('Cutters Consumption Updates'!$F:$F,'Cutters Consumption Updates'!$D:$D,I$1,'Cutters Consumption Updates'!$B:$B,$B99)-SUMIFS('Cutters Consumption Updates'!$E:$E,'Cutters Consumption Updates'!$D:$D,I$1,'Cutters Consumption Updates'!$B:$B,$B99)+ SUMIF('Cutters Consumption Updates'!$AS:$AS,$B99,'Cutters Consumption Updates'!AT:AT)</f>
        <v>0</v>
      </c>
      <c r="J99" s="10">
        <f>SUMIFS('Cutters Consumption Updates'!$F:$F,'Cutters Consumption Updates'!$D:$D,J$1,'Cutters Consumption Updates'!$B:$B,$B99)-SUMIFS('Cutters Consumption Updates'!$E:$E,'Cutters Consumption Updates'!$D:$D,J$1,'Cutters Consumption Updates'!$B:$B,$B99)+ SUMIF('Cutters Consumption Updates'!$AS:$AS,$B99,'Cutters Consumption Updates'!AU:AU)</f>
        <v>0</v>
      </c>
      <c r="K99" s="116">
        <f>SUMIFS('Cutters Consumption Updates'!$F:$F,'Cutters Consumption Updates'!$D:$D,K$1,'Cutters Consumption Updates'!$B:$B,$B99)-SUMIFS('Cutters Consumption Updates'!$E:$E,'Cutters Consumption Updates'!$D:$D,K$1,'Cutters Consumption Updates'!$B:$B,$B99)+ SUMIF('Cutters Consumption Updates'!$AS:$AS,$B99,'Cutters Consumption Updates'!AV:AV)</f>
        <v>0</v>
      </c>
      <c r="L99" s="738">
        <f>SUMIFS('Cutters Consumption Updates'!$F:$F,'Cutters Consumption Updates'!$D:$D,L$1,'Cutters Consumption Updates'!$B:$B,$B99)-SUMIFS('Cutters Consumption Updates'!$E:$E,'Cutters Consumption Updates'!$D:$D,L$1,'Cutters Consumption Updates'!$B:$B,$B99)+ SUMIF('Cutters Consumption Updates'!$AS:$AS,$B99,'Cutters Consumption Updates'!AW:AW)</f>
        <v>0</v>
      </c>
      <c r="M99" s="116">
        <f>SUMIFS('Cutters Consumption Updates'!$F:$F,'Cutters Consumption Updates'!$D:$D,M$1,'Cutters Consumption Updates'!$B:$B,$B99)-SUMIFS('Cutters Consumption Updates'!$E:$E,'Cutters Consumption Updates'!$D:$D,$M$1,'Cutters Consumption Updates'!$B:$B,$B99)+SUMIFS('Cutters Consumption Updates'!$F:$F,'Cutters Consumption Updates'!$D:$D,"Retrofit",'Cutters Consumption Updates'!$B:$B,$B99)-SUMIFS('Cutters Consumption Updates'!$E:$E,'Cutters Consumption Updates'!$D:$D,"Retrofit",'Cutters Consumption Updates'!$B:$B,$B99)+ SUMIF('Cutters Consumption Updates'!$AS:$AS,$B99,'Cutters Consumption Updates'!AX:AX)</f>
        <v>0</v>
      </c>
      <c r="N99" s="10">
        <f t="shared" si="12"/>
        <v>0</v>
      </c>
      <c r="O99" s="701">
        <f ca="1">SUMIFS('Cutters Consumption Updates'!E:E,
        'Cutters Consumption Updates'!B:B, B99,
        'Cutters Consumption Updates'!A:A, "&gt;" &amp; TODAY()-182)</f>
        <v>0</v>
      </c>
      <c r="P99" s="701">
        <f ca="1">SUMIFS('Cutters Consumption Updates'!E:E,
        'Cutters Consumption Updates'!B:B, B99,
        'Cutters Consumption Updates'!A:A, "&gt;" &amp; TODAY()-91)</f>
        <v>0</v>
      </c>
      <c r="Q99" s="701">
        <f t="shared" ca="1" si="13"/>
        <v>0</v>
      </c>
      <c r="R99" s="703">
        <f t="shared" ca="1" si="14"/>
        <v>0</v>
      </c>
      <c r="S99" s="703" t="s">
        <v>64</v>
      </c>
      <c r="T99" s="24">
        <f>IFERROR(INDEX(Table5[],MATCH($B99,Table5[Component],0),2),0)</f>
        <v>0</v>
      </c>
      <c r="U99" s="24">
        <f>SUMIFS(Table7[Balance],Table7[Cutter Mat'#],$B99)</f>
        <v>0</v>
      </c>
      <c r="V99" s="24">
        <f t="shared" si="15"/>
        <v>0</v>
      </c>
      <c r="W99" s="119"/>
      <c r="X99" s="2"/>
      <c r="Z99" s="4">
        <f>IFERROR(INDEX(Table5[],MATCH($B99,Table5[Component],0),2),0)</f>
        <v>0</v>
      </c>
      <c r="AA99" s="4">
        <f>IFERROR(INDEX(Table5[],MATCH($B99,Table5[Component],0),1),0)</f>
        <v>0</v>
      </c>
      <c r="AB99" s="4" t="str">
        <f t="shared" si="16"/>
        <v/>
      </c>
      <c r="AC99" s="4" t="str">
        <f t="shared" si="17"/>
        <v/>
      </c>
      <c r="AE99" s="4">
        <f t="shared" si="18"/>
        <v>0</v>
      </c>
      <c r="AF99" s="9"/>
      <c r="AJ99" s="248" t="str">
        <f t="shared" si="19"/>
        <v/>
      </c>
      <c r="AK99" s="248" t="str">
        <f t="shared" si="20"/>
        <v/>
      </c>
      <c r="AL99">
        <f t="shared" si="21"/>
        <v>0</v>
      </c>
      <c r="AQ99">
        <f t="shared" si="23"/>
        <v>0</v>
      </c>
      <c r="AS99">
        <v>932725</v>
      </c>
      <c r="AT99">
        <f t="shared" si="22"/>
        <v>0</v>
      </c>
    </row>
    <row r="100" spans="1:46" ht="15.65" customHeight="1" x14ac:dyDescent="0.35">
      <c r="A100" s="2">
        <v>99</v>
      </c>
      <c r="B100" s="2">
        <v>794672</v>
      </c>
      <c r="C100" s="2" t="s">
        <v>26</v>
      </c>
      <c r="D100" s="2">
        <v>1913</v>
      </c>
      <c r="E100" s="2" t="s">
        <v>27</v>
      </c>
      <c r="F100" s="2" t="s">
        <v>253</v>
      </c>
      <c r="G100" s="6" t="s">
        <v>97</v>
      </c>
      <c r="H100" s="6" t="s">
        <v>49</v>
      </c>
      <c r="I100" s="10">
        <f>SUMIFS('Cutters Consumption Updates'!$F:$F,'Cutters Consumption Updates'!$D:$D,I$1,'Cutters Consumption Updates'!$B:$B,$B100)-SUMIFS('Cutters Consumption Updates'!$E:$E,'Cutters Consumption Updates'!$D:$D,I$1,'Cutters Consumption Updates'!$B:$B,$B100)+ SUMIF('Cutters Consumption Updates'!$AS:$AS,$B100,'Cutters Consumption Updates'!AT:AT)</f>
        <v>0</v>
      </c>
      <c r="J100" s="10">
        <f>SUMIFS('Cutters Consumption Updates'!$F:$F,'Cutters Consumption Updates'!$D:$D,J$1,'Cutters Consumption Updates'!$B:$B,$B100)-SUMIFS('Cutters Consumption Updates'!$E:$E,'Cutters Consumption Updates'!$D:$D,J$1,'Cutters Consumption Updates'!$B:$B,$B100)+ SUMIF('Cutters Consumption Updates'!$AS:$AS,$B100,'Cutters Consumption Updates'!AU:AU)</f>
        <v>0</v>
      </c>
      <c r="K100" s="116">
        <f>SUMIFS('Cutters Consumption Updates'!$F:$F,'Cutters Consumption Updates'!$D:$D,K$1,'Cutters Consumption Updates'!$B:$B,$B100)-SUMIFS('Cutters Consumption Updates'!$E:$E,'Cutters Consumption Updates'!$D:$D,K$1,'Cutters Consumption Updates'!$B:$B,$B100)+ SUMIF('Cutters Consumption Updates'!$AS:$AS,$B100,'Cutters Consumption Updates'!AV:AV)</f>
        <v>0</v>
      </c>
      <c r="L100" s="738">
        <f>SUMIFS('Cutters Consumption Updates'!$F:$F,'Cutters Consumption Updates'!$D:$D,L$1,'Cutters Consumption Updates'!$B:$B,$B100)-SUMIFS('Cutters Consumption Updates'!$E:$E,'Cutters Consumption Updates'!$D:$D,L$1,'Cutters Consumption Updates'!$B:$B,$B100)+ SUMIF('Cutters Consumption Updates'!$AS:$AS,$B100,'Cutters Consumption Updates'!AW:AW)</f>
        <v>0</v>
      </c>
      <c r="M100" s="116">
        <f>SUMIFS('Cutters Consumption Updates'!$F:$F,'Cutters Consumption Updates'!$D:$D,M$1,'Cutters Consumption Updates'!$B:$B,$B100)-SUMIFS('Cutters Consumption Updates'!$E:$E,'Cutters Consumption Updates'!$D:$D,$M$1,'Cutters Consumption Updates'!$B:$B,$B100)+SUMIFS('Cutters Consumption Updates'!$F:$F,'Cutters Consumption Updates'!$D:$D,"Retrofit",'Cutters Consumption Updates'!$B:$B,$B100)-SUMIFS('Cutters Consumption Updates'!$E:$E,'Cutters Consumption Updates'!$D:$D,"Retrofit",'Cutters Consumption Updates'!$B:$B,$B100)+ SUMIF('Cutters Consumption Updates'!$AS:$AS,$B100,'Cutters Consumption Updates'!AX:AX)</f>
        <v>3</v>
      </c>
      <c r="N100" s="10">
        <f t="shared" si="12"/>
        <v>3</v>
      </c>
      <c r="O100" s="701">
        <f ca="1">SUMIFS('Cutters Consumption Updates'!E:E,
        'Cutters Consumption Updates'!B:B, B100,
        'Cutters Consumption Updates'!A:A, "&gt;" &amp; TODAY()-182)</f>
        <v>0</v>
      </c>
      <c r="P100" s="701">
        <f ca="1">SUMIFS('Cutters Consumption Updates'!E:E,
        'Cutters Consumption Updates'!B:B, B100,
        'Cutters Consumption Updates'!A:A, "&gt;" &amp; TODAY()-91)</f>
        <v>0</v>
      </c>
      <c r="Q100" s="701">
        <f t="shared" ca="1" si="13"/>
        <v>0</v>
      </c>
      <c r="R100" s="703">
        <f t="shared" ca="1" si="14"/>
        <v>0</v>
      </c>
      <c r="S100" s="703" t="s">
        <v>29</v>
      </c>
      <c r="T100" s="24">
        <f>IFERROR(INDEX(Table5[],MATCH($B100,Table5[Component],0),2),0)</f>
        <v>0</v>
      </c>
      <c r="U100" s="24">
        <f>SUMIFS(Table7[Balance],Table7[Cutter Mat'#],$B100)</f>
        <v>0</v>
      </c>
      <c r="V100" s="24">
        <f t="shared" si="15"/>
        <v>3</v>
      </c>
      <c r="W100" s="119"/>
      <c r="X100" s="2"/>
      <c r="Z100" s="4">
        <f>IFERROR(INDEX(Table5[],MATCH($B100,Table5[Component],0),2),0)</f>
        <v>0</v>
      </c>
      <c r="AA100" s="4">
        <f>IFERROR(INDEX(Table5[],MATCH($B100,Table5[Component],0),1),0)</f>
        <v>0</v>
      </c>
      <c r="AB100" s="4" t="str">
        <f t="shared" si="16"/>
        <v/>
      </c>
      <c r="AC100" s="4" t="str">
        <f t="shared" si="17"/>
        <v/>
      </c>
      <c r="AE100" s="4">
        <f t="shared" si="18"/>
        <v>3</v>
      </c>
      <c r="AF100" s="9"/>
      <c r="AJ100" s="248" t="str">
        <f t="shared" si="19"/>
        <v/>
      </c>
      <c r="AK100" s="248" t="str">
        <f t="shared" si="20"/>
        <v/>
      </c>
      <c r="AL100">
        <f t="shared" si="21"/>
        <v>0</v>
      </c>
      <c r="AQ100">
        <f t="shared" si="23"/>
        <v>0</v>
      </c>
      <c r="AS100">
        <v>932807</v>
      </c>
      <c r="AT100">
        <f t="shared" si="22"/>
        <v>0</v>
      </c>
    </row>
    <row r="101" spans="1:46" ht="15.65" customHeight="1" x14ac:dyDescent="0.35">
      <c r="A101" s="2">
        <v>100</v>
      </c>
      <c r="B101" s="2">
        <v>755889</v>
      </c>
      <c r="C101" s="2" t="s">
        <v>69</v>
      </c>
      <c r="D101" s="2">
        <v>16</v>
      </c>
      <c r="E101" s="2" t="s">
        <v>53</v>
      </c>
      <c r="F101" s="2" t="s">
        <v>248</v>
      </c>
      <c r="G101" s="6" t="s">
        <v>70</v>
      </c>
      <c r="H101" s="6" t="s">
        <v>47</v>
      </c>
      <c r="I101" s="10">
        <f>SUMIFS('Cutters Consumption Updates'!$F:$F,'Cutters Consumption Updates'!$D:$D,I$1,'Cutters Consumption Updates'!$B:$B,$B101)-SUMIFS('Cutters Consumption Updates'!$E:$E,'Cutters Consumption Updates'!$D:$D,I$1,'Cutters Consumption Updates'!$B:$B,$B101)+ SUMIF('Cutters Consumption Updates'!$AS:$AS,$B101,'Cutters Consumption Updates'!AT:AT)</f>
        <v>0</v>
      </c>
      <c r="J101" s="10">
        <f>SUMIFS('Cutters Consumption Updates'!$F:$F,'Cutters Consumption Updates'!$D:$D,J$1,'Cutters Consumption Updates'!$B:$B,$B101)-SUMIFS('Cutters Consumption Updates'!$E:$E,'Cutters Consumption Updates'!$D:$D,J$1,'Cutters Consumption Updates'!$B:$B,$B101)+ SUMIF('Cutters Consumption Updates'!$AS:$AS,$B101,'Cutters Consumption Updates'!AU:AU)</f>
        <v>0</v>
      </c>
      <c r="K101" s="116">
        <f>SUMIFS('Cutters Consumption Updates'!$F:$F,'Cutters Consumption Updates'!$D:$D,K$1,'Cutters Consumption Updates'!$B:$B,$B101)-SUMIFS('Cutters Consumption Updates'!$E:$E,'Cutters Consumption Updates'!$D:$D,K$1,'Cutters Consumption Updates'!$B:$B,$B101)+ SUMIF('Cutters Consumption Updates'!$AS:$AS,$B101,'Cutters Consumption Updates'!AV:AV)</f>
        <v>0</v>
      </c>
      <c r="L101" s="738">
        <f>SUMIFS('Cutters Consumption Updates'!$F:$F,'Cutters Consumption Updates'!$D:$D,L$1,'Cutters Consumption Updates'!$B:$B,$B101)-SUMIFS('Cutters Consumption Updates'!$E:$E,'Cutters Consumption Updates'!$D:$D,L$1,'Cutters Consumption Updates'!$B:$B,$B101)+ SUMIF('Cutters Consumption Updates'!$AS:$AS,$B101,'Cutters Consumption Updates'!AW:AW)</f>
        <v>0</v>
      </c>
      <c r="M101" s="116">
        <f>SUMIFS('Cutters Consumption Updates'!$F:$F,'Cutters Consumption Updates'!$D:$D,M$1,'Cutters Consumption Updates'!$B:$B,$B101)-SUMIFS('Cutters Consumption Updates'!$E:$E,'Cutters Consumption Updates'!$D:$D,$M$1,'Cutters Consumption Updates'!$B:$B,$B101)+SUMIFS('Cutters Consumption Updates'!$F:$F,'Cutters Consumption Updates'!$D:$D,"Retrofit",'Cutters Consumption Updates'!$B:$B,$B101)-SUMIFS('Cutters Consumption Updates'!$E:$E,'Cutters Consumption Updates'!$D:$D,"Retrofit",'Cutters Consumption Updates'!$B:$B,$B101)+ SUMIF('Cutters Consumption Updates'!$AS:$AS,$B101,'Cutters Consumption Updates'!AX:AX)</f>
        <v>15</v>
      </c>
      <c r="N101" s="10">
        <f t="shared" si="12"/>
        <v>15</v>
      </c>
      <c r="O101" s="701">
        <f ca="1">SUMIFS('Cutters Consumption Updates'!E:E,
        'Cutters Consumption Updates'!B:B, B101,
        'Cutters Consumption Updates'!A:A, "&gt;" &amp; TODAY()-182)</f>
        <v>0</v>
      </c>
      <c r="P101" s="701">
        <f ca="1">SUMIFS('Cutters Consumption Updates'!E:E,
        'Cutters Consumption Updates'!B:B, B101,
        'Cutters Consumption Updates'!A:A, "&gt;" &amp; TODAY()-91)</f>
        <v>0</v>
      </c>
      <c r="Q101" s="701">
        <f t="shared" ca="1" si="13"/>
        <v>0</v>
      </c>
      <c r="R101" s="703">
        <f t="shared" ca="1" si="14"/>
        <v>0</v>
      </c>
      <c r="S101" s="703" t="s">
        <v>29</v>
      </c>
      <c r="T101" s="24">
        <f>IFERROR(INDEX(Table5[],MATCH($B101,Table5[Component],0),2),0)</f>
        <v>0</v>
      </c>
      <c r="U101" s="24">
        <f>SUMIFS(Table7[Balance],Table7[Cutter Mat'#],$B101)</f>
        <v>0</v>
      </c>
      <c r="V101" s="24">
        <f t="shared" si="15"/>
        <v>15</v>
      </c>
      <c r="W101" s="119"/>
      <c r="X101" s="2"/>
      <c r="Z101" s="4">
        <f>IFERROR(INDEX(Table5[],MATCH($B101,Table5[Component],0),2),0)</f>
        <v>0</v>
      </c>
      <c r="AA101" s="4">
        <f>IFERROR(INDEX(Table5[],MATCH($B101,Table5[Component],0),1),0)</f>
        <v>0</v>
      </c>
      <c r="AB101" s="4" t="str">
        <f t="shared" si="16"/>
        <v/>
      </c>
      <c r="AC101" s="4" t="str">
        <f t="shared" si="17"/>
        <v/>
      </c>
      <c r="AE101" s="4">
        <f t="shared" si="18"/>
        <v>15</v>
      </c>
      <c r="AF101" s="9"/>
      <c r="AJ101" s="248" t="str">
        <f t="shared" si="19"/>
        <v/>
      </c>
      <c r="AK101" s="248" t="str">
        <f t="shared" si="20"/>
        <v/>
      </c>
      <c r="AL101">
        <f t="shared" si="21"/>
        <v>0</v>
      </c>
      <c r="AQ101">
        <f t="shared" si="23"/>
        <v>0</v>
      </c>
      <c r="AS101">
        <v>932811</v>
      </c>
      <c r="AT101">
        <f t="shared" si="22"/>
        <v>0</v>
      </c>
    </row>
    <row r="102" spans="1:46" ht="15.65" customHeight="1" x14ac:dyDescent="0.35">
      <c r="A102" s="2">
        <v>101</v>
      </c>
      <c r="B102" s="2">
        <v>853550</v>
      </c>
      <c r="C102" s="2" t="s">
        <v>26</v>
      </c>
      <c r="D102" s="2">
        <v>1313</v>
      </c>
      <c r="E102" s="2" t="s">
        <v>92</v>
      </c>
      <c r="F102" s="2" t="s">
        <v>253</v>
      </c>
      <c r="G102" s="6" t="s">
        <v>93</v>
      </c>
      <c r="H102" s="6" t="s">
        <v>49</v>
      </c>
      <c r="I102" s="10">
        <f>SUMIFS('Cutters Consumption Updates'!$F:$F,'Cutters Consumption Updates'!$D:$D,I$1,'Cutters Consumption Updates'!$B:$B,$B102)-SUMIFS('Cutters Consumption Updates'!$E:$E,'Cutters Consumption Updates'!$D:$D,I$1,'Cutters Consumption Updates'!$B:$B,$B102)+ SUMIF('Cutters Consumption Updates'!$AS:$AS,$B102,'Cutters Consumption Updates'!AT:AT)</f>
        <v>0</v>
      </c>
      <c r="J102" s="10">
        <f>SUMIFS('Cutters Consumption Updates'!$F:$F,'Cutters Consumption Updates'!$D:$D,J$1,'Cutters Consumption Updates'!$B:$B,$B102)-SUMIFS('Cutters Consumption Updates'!$E:$E,'Cutters Consumption Updates'!$D:$D,J$1,'Cutters Consumption Updates'!$B:$B,$B102)+ SUMIF('Cutters Consumption Updates'!$AS:$AS,$B102,'Cutters Consumption Updates'!AU:AU)</f>
        <v>0</v>
      </c>
      <c r="K102" s="116">
        <f>SUMIFS('Cutters Consumption Updates'!$F:$F,'Cutters Consumption Updates'!$D:$D,K$1,'Cutters Consumption Updates'!$B:$B,$B102)-SUMIFS('Cutters Consumption Updates'!$E:$E,'Cutters Consumption Updates'!$D:$D,K$1,'Cutters Consumption Updates'!$B:$B,$B102)+ SUMIF('Cutters Consumption Updates'!$AS:$AS,$B102,'Cutters Consumption Updates'!AV:AV)</f>
        <v>0</v>
      </c>
      <c r="L102" s="738">
        <f>SUMIFS('Cutters Consumption Updates'!$F:$F,'Cutters Consumption Updates'!$D:$D,L$1,'Cutters Consumption Updates'!$B:$B,$B102)-SUMIFS('Cutters Consumption Updates'!$E:$E,'Cutters Consumption Updates'!$D:$D,L$1,'Cutters Consumption Updates'!$B:$B,$B102)+ SUMIF('Cutters Consumption Updates'!$AS:$AS,$B102,'Cutters Consumption Updates'!AW:AW)</f>
        <v>6</v>
      </c>
      <c r="M102" s="116">
        <f>SUMIFS('Cutters Consumption Updates'!$F:$F,'Cutters Consumption Updates'!$D:$D,M$1,'Cutters Consumption Updates'!$B:$B,$B102)-SUMIFS('Cutters Consumption Updates'!$E:$E,'Cutters Consumption Updates'!$D:$D,$M$1,'Cutters Consumption Updates'!$B:$B,$B102)+SUMIFS('Cutters Consumption Updates'!$F:$F,'Cutters Consumption Updates'!$D:$D,"Retrofit",'Cutters Consumption Updates'!$B:$B,$B102)-SUMIFS('Cutters Consumption Updates'!$E:$E,'Cutters Consumption Updates'!$D:$D,"Retrofit",'Cutters Consumption Updates'!$B:$B,$B102)+ SUMIF('Cutters Consumption Updates'!$AS:$AS,$B102,'Cutters Consumption Updates'!AX:AX)</f>
        <v>0</v>
      </c>
      <c r="N102" s="10">
        <f t="shared" si="12"/>
        <v>0</v>
      </c>
      <c r="O102" s="701">
        <f ca="1">SUMIFS('Cutters Consumption Updates'!E:E,
        'Cutters Consumption Updates'!B:B, B102,
        'Cutters Consumption Updates'!A:A, "&gt;" &amp; TODAY()-182)</f>
        <v>6</v>
      </c>
      <c r="P102" s="701">
        <f ca="1">SUMIFS('Cutters Consumption Updates'!E:E,
        'Cutters Consumption Updates'!B:B, B102,
        'Cutters Consumption Updates'!A:A, "&gt;" &amp; TODAY()-91)</f>
        <v>6</v>
      </c>
      <c r="Q102" s="701">
        <f t="shared" ca="1" si="13"/>
        <v>2</v>
      </c>
      <c r="R102" s="703">
        <f t="shared" ca="1" si="14"/>
        <v>5</v>
      </c>
      <c r="S102" s="703" t="s">
        <v>29</v>
      </c>
      <c r="T102" s="24">
        <f>IFERROR(INDEX(Table5[],MATCH($B102,Table5[Component],0),2),0)</f>
        <v>0</v>
      </c>
      <c r="U102" s="24">
        <f>SUMIFS(Table7[Balance],Table7[Cutter Mat'#],$B102)</f>
        <v>0</v>
      </c>
      <c r="V102" s="24">
        <f t="shared" si="15"/>
        <v>0</v>
      </c>
      <c r="W102" s="119"/>
      <c r="X102" s="2"/>
      <c r="Z102" s="4">
        <f>IFERROR(INDEX(Table5[],MATCH($B102,Table5[Component],0),2),0)</f>
        <v>0</v>
      </c>
      <c r="AA102" s="4">
        <f>IFERROR(INDEX(Table5[],MATCH($B102,Table5[Component],0),1),0)</f>
        <v>0</v>
      </c>
      <c r="AB102" s="4" t="str">
        <f t="shared" si="16"/>
        <v/>
      </c>
      <c r="AC102" s="4" t="str">
        <f t="shared" si="17"/>
        <v/>
      </c>
      <c r="AE102" s="4">
        <f t="shared" si="18"/>
        <v>0</v>
      </c>
      <c r="AF102" s="9"/>
      <c r="AJ102" s="248" t="str">
        <f t="shared" si="19"/>
        <v/>
      </c>
      <c r="AK102" s="248" t="str">
        <f t="shared" si="20"/>
        <v/>
      </c>
      <c r="AL102">
        <f t="shared" si="21"/>
        <v>0</v>
      </c>
      <c r="AQ102">
        <f t="shared" si="23"/>
        <v>0</v>
      </c>
      <c r="AS102">
        <v>933120</v>
      </c>
      <c r="AT102">
        <f t="shared" si="22"/>
        <v>0</v>
      </c>
    </row>
    <row r="103" spans="1:46" ht="15.65" customHeight="1" x14ac:dyDescent="0.35">
      <c r="A103" s="2">
        <v>102</v>
      </c>
      <c r="B103" s="2">
        <v>933120</v>
      </c>
      <c r="C103" s="2" t="s">
        <v>26</v>
      </c>
      <c r="D103" s="2">
        <v>1613</v>
      </c>
      <c r="E103" s="2" t="s">
        <v>78</v>
      </c>
      <c r="F103" s="2" t="s">
        <v>253</v>
      </c>
      <c r="G103" s="6" t="s">
        <v>93</v>
      </c>
      <c r="H103" s="6" t="s">
        <v>28</v>
      </c>
      <c r="I103" s="10">
        <f>SUMIFS('Cutters Consumption Updates'!$F:$F,'Cutters Consumption Updates'!$D:$D,I$1,'Cutters Consumption Updates'!$B:$B,$B103)-SUMIFS('Cutters Consumption Updates'!$E:$E,'Cutters Consumption Updates'!$D:$D,I$1,'Cutters Consumption Updates'!$B:$B,$B103)+ SUMIF('Cutters Consumption Updates'!$AS:$AS,$B103,'Cutters Consumption Updates'!AT:AT)</f>
        <v>0</v>
      </c>
      <c r="J103" s="10">
        <f>SUMIFS('Cutters Consumption Updates'!$F:$F,'Cutters Consumption Updates'!$D:$D,J$1,'Cutters Consumption Updates'!$B:$B,$B103)-SUMIFS('Cutters Consumption Updates'!$E:$E,'Cutters Consumption Updates'!$D:$D,J$1,'Cutters Consumption Updates'!$B:$B,$B103)+ SUMIF('Cutters Consumption Updates'!$AS:$AS,$B103,'Cutters Consumption Updates'!AU:AU)</f>
        <v>0</v>
      </c>
      <c r="K103" s="116">
        <f>SUMIFS('Cutters Consumption Updates'!$F:$F,'Cutters Consumption Updates'!$D:$D,K$1,'Cutters Consumption Updates'!$B:$B,$B103)-SUMIFS('Cutters Consumption Updates'!$E:$E,'Cutters Consumption Updates'!$D:$D,K$1,'Cutters Consumption Updates'!$B:$B,$B103)+ SUMIF('Cutters Consumption Updates'!$AS:$AS,$B103,'Cutters Consumption Updates'!AV:AV)</f>
        <v>0</v>
      </c>
      <c r="L103" s="738">
        <f>SUMIFS('Cutters Consumption Updates'!$F:$F,'Cutters Consumption Updates'!$D:$D,L$1,'Cutters Consumption Updates'!$B:$B,$B103)-SUMIFS('Cutters Consumption Updates'!$E:$E,'Cutters Consumption Updates'!$D:$D,L$1,'Cutters Consumption Updates'!$B:$B,$B103)+ SUMIF('Cutters Consumption Updates'!$AS:$AS,$B103,'Cutters Consumption Updates'!AW:AW)</f>
        <v>0</v>
      </c>
      <c r="M103" s="116">
        <f>SUMIFS('Cutters Consumption Updates'!$F:$F,'Cutters Consumption Updates'!$D:$D,M$1,'Cutters Consumption Updates'!$B:$B,$B103)-SUMIFS('Cutters Consumption Updates'!$E:$E,'Cutters Consumption Updates'!$D:$D,$M$1,'Cutters Consumption Updates'!$B:$B,$B103)+SUMIFS('Cutters Consumption Updates'!$F:$F,'Cutters Consumption Updates'!$D:$D,"Retrofit",'Cutters Consumption Updates'!$B:$B,$B103)-SUMIFS('Cutters Consumption Updates'!$E:$E,'Cutters Consumption Updates'!$D:$D,"Retrofit",'Cutters Consumption Updates'!$B:$B,$B103)+ SUMIF('Cutters Consumption Updates'!$AS:$AS,$B103,'Cutters Consumption Updates'!AX:AX)</f>
        <v>0</v>
      </c>
      <c r="N103" s="10">
        <f t="shared" si="12"/>
        <v>0</v>
      </c>
      <c r="O103" s="701">
        <f ca="1">SUMIFS('Cutters Consumption Updates'!E:E,
        'Cutters Consumption Updates'!B:B, B103,
        'Cutters Consumption Updates'!A:A, "&gt;" &amp; TODAY()-182)</f>
        <v>0</v>
      </c>
      <c r="P103" s="701">
        <f ca="1">SUMIFS('Cutters Consumption Updates'!E:E,
        'Cutters Consumption Updates'!B:B, B103,
        'Cutters Consumption Updates'!A:A, "&gt;" &amp; TODAY()-91)</f>
        <v>0</v>
      </c>
      <c r="Q103" s="701">
        <f t="shared" ca="1" si="13"/>
        <v>0</v>
      </c>
      <c r="R103" s="703">
        <f t="shared" ca="1" si="14"/>
        <v>0</v>
      </c>
      <c r="S103" s="703" t="s">
        <v>29</v>
      </c>
      <c r="T103" s="24">
        <f>IFERROR(INDEX(Table5[],MATCH($B103,Table5[Component],0),2),0)</f>
        <v>0</v>
      </c>
      <c r="U103" s="24">
        <f>SUMIFS(Table7[Balance],Table7[Cutter Mat'#],$B103)</f>
        <v>0</v>
      </c>
      <c r="V103" s="24">
        <f t="shared" si="15"/>
        <v>0</v>
      </c>
      <c r="W103" s="119"/>
      <c r="X103" s="2"/>
      <c r="Z103" s="4">
        <f>IFERROR(INDEX(Table5[],MATCH($B103,Table5[Component],0),2),0)</f>
        <v>0</v>
      </c>
      <c r="AA103" s="4">
        <f>IFERROR(INDEX(Table5[],MATCH($B103,Table5[Component],0),1),0)</f>
        <v>0</v>
      </c>
      <c r="AB103" s="4" t="str">
        <f t="shared" si="16"/>
        <v/>
      </c>
      <c r="AC103" s="4" t="str">
        <f t="shared" si="17"/>
        <v/>
      </c>
      <c r="AE103" s="4">
        <f t="shared" si="18"/>
        <v>0</v>
      </c>
      <c r="AF103" s="9"/>
      <c r="AJ103" s="248" t="str">
        <f t="shared" si="19"/>
        <v/>
      </c>
      <c r="AK103" s="248" t="str">
        <f t="shared" si="20"/>
        <v/>
      </c>
      <c r="AL103">
        <f t="shared" si="21"/>
        <v>0</v>
      </c>
      <c r="AQ103">
        <f t="shared" si="23"/>
        <v>0</v>
      </c>
      <c r="AS103">
        <v>971055</v>
      </c>
      <c r="AT103">
        <f t="shared" si="22"/>
        <v>0</v>
      </c>
    </row>
    <row r="104" spans="1:46" ht="15.65" customHeight="1" x14ac:dyDescent="0.35">
      <c r="A104" s="2">
        <v>103</v>
      </c>
      <c r="B104" s="2">
        <v>971093</v>
      </c>
      <c r="C104" s="2" t="s">
        <v>69</v>
      </c>
      <c r="D104" s="2">
        <v>16</v>
      </c>
      <c r="E104" s="2" t="s">
        <v>86</v>
      </c>
      <c r="F104" s="2" t="s">
        <v>253</v>
      </c>
      <c r="G104" s="6" t="s">
        <v>70</v>
      </c>
      <c r="H104" s="6" t="s">
        <v>47</v>
      </c>
      <c r="I104" s="10">
        <f>SUMIFS('Cutters Consumption Updates'!$F:$F,'Cutters Consumption Updates'!$D:$D,I$1,'Cutters Consumption Updates'!$B:$B,$B104)-SUMIFS('Cutters Consumption Updates'!$E:$E,'Cutters Consumption Updates'!$D:$D,I$1,'Cutters Consumption Updates'!$B:$B,$B104)+ SUMIF('Cutters Consumption Updates'!$AS:$AS,$B104,'Cutters Consumption Updates'!AT:AT)</f>
        <v>0</v>
      </c>
      <c r="J104" s="10">
        <f>SUMIFS('Cutters Consumption Updates'!$F:$F,'Cutters Consumption Updates'!$D:$D,J$1,'Cutters Consumption Updates'!$B:$B,$B104)-SUMIFS('Cutters Consumption Updates'!$E:$E,'Cutters Consumption Updates'!$D:$D,J$1,'Cutters Consumption Updates'!$B:$B,$B104)+ SUMIF('Cutters Consumption Updates'!$AS:$AS,$B104,'Cutters Consumption Updates'!AU:AU)</f>
        <v>0</v>
      </c>
      <c r="K104" s="116">
        <f>SUMIFS('Cutters Consumption Updates'!$F:$F,'Cutters Consumption Updates'!$D:$D,K$1,'Cutters Consumption Updates'!$B:$B,$B104)-SUMIFS('Cutters Consumption Updates'!$E:$E,'Cutters Consumption Updates'!$D:$D,K$1,'Cutters Consumption Updates'!$B:$B,$B104)+ SUMIF('Cutters Consumption Updates'!$AS:$AS,$B104,'Cutters Consumption Updates'!AV:AV)</f>
        <v>0</v>
      </c>
      <c r="L104" s="738">
        <f>SUMIFS('Cutters Consumption Updates'!$F:$F,'Cutters Consumption Updates'!$D:$D,L$1,'Cutters Consumption Updates'!$B:$B,$B104)-SUMIFS('Cutters Consumption Updates'!$E:$E,'Cutters Consumption Updates'!$D:$D,L$1,'Cutters Consumption Updates'!$B:$B,$B104)+ SUMIF('Cutters Consumption Updates'!$AS:$AS,$B104,'Cutters Consumption Updates'!AW:AW)</f>
        <v>0</v>
      </c>
      <c r="M104" s="116">
        <f>SUMIFS('Cutters Consumption Updates'!$F:$F,'Cutters Consumption Updates'!$D:$D,M$1,'Cutters Consumption Updates'!$B:$B,$B104)-SUMIFS('Cutters Consumption Updates'!$E:$E,'Cutters Consumption Updates'!$D:$D,$M$1,'Cutters Consumption Updates'!$B:$B,$B104)+SUMIFS('Cutters Consumption Updates'!$F:$F,'Cutters Consumption Updates'!$D:$D,"Retrofit",'Cutters Consumption Updates'!$B:$B,$B104)-SUMIFS('Cutters Consumption Updates'!$E:$E,'Cutters Consumption Updates'!$D:$D,"Retrofit",'Cutters Consumption Updates'!$B:$B,$B104)+ SUMIF('Cutters Consumption Updates'!$AS:$AS,$B104,'Cutters Consumption Updates'!AX:AX)</f>
        <v>2</v>
      </c>
      <c r="N104" s="10">
        <f t="shared" si="12"/>
        <v>2</v>
      </c>
      <c r="O104" s="701">
        <f ca="1">SUMIFS('Cutters Consumption Updates'!E:E,
        'Cutters Consumption Updates'!B:B, B104,
        'Cutters Consumption Updates'!A:A, "&gt;" &amp; TODAY()-182)</f>
        <v>0</v>
      </c>
      <c r="P104" s="701">
        <f ca="1">SUMIFS('Cutters Consumption Updates'!E:E,
        'Cutters Consumption Updates'!B:B, B104,
        'Cutters Consumption Updates'!A:A, "&gt;" &amp; TODAY()-91)</f>
        <v>0</v>
      </c>
      <c r="Q104" s="701">
        <f t="shared" ca="1" si="13"/>
        <v>0</v>
      </c>
      <c r="R104" s="703">
        <f t="shared" ca="1" si="14"/>
        <v>0</v>
      </c>
      <c r="S104" s="703" t="s">
        <v>29</v>
      </c>
      <c r="T104" s="24">
        <f>IFERROR(INDEX(Table5[],MATCH($B104,Table5[Component],0),2),0)</f>
        <v>0</v>
      </c>
      <c r="U104" s="24">
        <f>SUMIFS(Table7[Balance],Table7[Cutter Mat'#],$B104)</f>
        <v>0</v>
      </c>
      <c r="V104" s="24">
        <f t="shared" si="15"/>
        <v>2</v>
      </c>
      <c r="W104" s="119"/>
      <c r="X104" s="2"/>
      <c r="Z104" s="4">
        <f>IFERROR(INDEX(Table5[],MATCH($B104,Table5[Component],0),2),0)</f>
        <v>0</v>
      </c>
      <c r="AA104" s="4">
        <f>IFERROR(INDEX(Table5[],MATCH($B104,Table5[Component],0),1),0)</f>
        <v>0</v>
      </c>
      <c r="AB104" s="4" t="str">
        <f t="shared" si="16"/>
        <v/>
      </c>
      <c r="AC104" s="4" t="str">
        <f t="shared" si="17"/>
        <v/>
      </c>
      <c r="AE104" s="4">
        <f t="shared" si="18"/>
        <v>2</v>
      </c>
      <c r="AF104" s="9"/>
      <c r="AJ104" s="248" t="str">
        <f t="shared" si="19"/>
        <v/>
      </c>
      <c r="AK104" s="248" t="str">
        <f t="shared" si="20"/>
        <v/>
      </c>
      <c r="AL104">
        <f t="shared" si="21"/>
        <v>0</v>
      </c>
      <c r="AQ104">
        <f t="shared" si="23"/>
        <v>0</v>
      </c>
      <c r="AS104">
        <v>971088</v>
      </c>
      <c r="AT104">
        <f t="shared" si="22"/>
        <v>0</v>
      </c>
    </row>
    <row r="105" spans="1:46" ht="15.65" customHeight="1" x14ac:dyDescent="0.35">
      <c r="A105" s="2">
        <v>104</v>
      </c>
      <c r="B105" s="2">
        <v>1086351</v>
      </c>
      <c r="C105" s="2" t="s">
        <v>26</v>
      </c>
      <c r="D105" s="2">
        <v>1318</v>
      </c>
      <c r="E105" s="2" t="s">
        <v>100</v>
      </c>
      <c r="F105" s="2"/>
      <c r="G105" s="6" t="s">
        <v>101</v>
      </c>
      <c r="H105" s="6" t="s">
        <v>47</v>
      </c>
      <c r="I105" s="10">
        <f>SUMIFS('Cutters Consumption Updates'!$F:$F,'Cutters Consumption Updates'!$D:$D,I$1,'Cutters Consumption Updates'!$B:$B,$B105)-SUMIFS('Cutters Consumption Updates'!$E:$E,'Cutters Consumption Updates'!$D:$D,I$1,'Cutters Consumption Updates'!$B:$B,$B105)+ SUMIF('Cutters Consumption Updates'!$AS:$AS,$B105,'Cutters Consumption Updates'!AT:AT)</f>
        <v>0</v>
      </c>
      <c r="J105" s="10">
        <f>SUMIFS('Cutters Consumption Updates'!$F:$F,'Cutters Consumption Updates'!$D:$D,J$1,'Cutters Consumption Updates'!$B:$B,$B105)-SUMIFS('Cutters Consumption Updates'!$E:$E,'Cutters Consumption Updates'!$D:$D,J$1,'Cutters Consumption Updates'!$B:$B,$B105)+ SUMIF('Cutters Consumption Updates'!$AS:$AS,$B105,'Cutters Consumption Updates'!AU:AU)</f>
        <v>0</v>
      </c>
      <c r="K105" s="116">
        <f>SUMIFS('Cutters Consumption Updates'!$F:$F,'Cutters Consumption Updates'!$D:$D,K$1,'Cutters Consumption Updates'!$B:$B,$B105)-SUMIFS('Cutters Consumption Updates'!$E:$E,'Cutters Consumption Updates'!$D:$D,K$1,'Cutters Consumption Updates'!$B:$B,$B105)+ SUMIF('Cutters Consumption Updates'!$AS:$AS,$B105,'Cutters Consumption Updates'!AV:AV)</f>
        <v>0</v>
      </c>
      <c r="L105" s="738">
        <f>SUMIFS('Cutters Consumption Updates'!$F:$F,'Cutters Consumption Updates'!$D:$D,L$1,'Cutters Consumption Updates'!$B:$B,$B105)-SUMIFS('Cutters Consumption Updates'!$E:$E,'Cutters Consumption Updates'!$D:$D,L$1,'Cutters Consumption Updates'!$B:$B,$B105)+ SUMIF('Cutters Consumption Updates'!$AS:$AS,$B105,'Cutters Consumption Updates'!AW:AW)</f>
        <v>3</v>
      </c>
      <c r="M105" s="116">
        <f>SUMIFS('Cutters Consumption Updates'!$F:$F,'Cutters Consumption Updates'!$D:$D,M$1,'Cutters Consumption Updates'!$B:$B,$B105)-SUMIFS('Cutters Consumption Updates'!$E:$E,'Cutters Consumption Updates'!$D:$D,$M$1,'Cutters Consumption Updates'!$B:$B,$B105)+SUMIFS('Cutters Consumption Updates'!$F:$F,'Cutters Consumption Updates'!$D:$D,"Retrofit",'Cutters Consumption Updates'!$B:$B,$B105)-SUMIFS('Cutters Consumption Updates'!$E:$E,'Cutters Consumption Updates'!$D:$D,"Retrofit",'Cutters Consumption Updates'!$B:$B,$B105)+ SUMIF('Cutters Consumption Updates'!$AS:$AS,$B105,'Cutters Consumption Updates'!AX:AX)</f>
        <v>1</v>
      </c>
      <c r="N105" s="10">
        <f t="shared" si="12"/>
        <v>1</v>
      </c>
      <c r="O105" s="701">
        <f ca="1">SUMIFS('Cutters Consumption Updates'!E:E,
        'Cutters Consumption Updates'!B:B, B105,
        'Cutters Consumption Updates'!A:A, "&gt;" &amp; TODAY()-182)</f>
        <v>0</v>
      </c>
      <c r="P105" s="701">
        <f ca="1">SUMIFS('Cutters Consumption Updates'!E:E,
        'Cutters Consumption Updates'!B:B, B105,
        'Cutters Consumption Updates'!A:A, "&gt;" &amp; TODAY()-91)</f>
        <v>0</v>
      </c>
      <c r="Q105" s="701">
        <f t="shared" ca="1" si="13"/>
        <v>0</v>
      </c>
      <c r="R105" s="703">
        <f t="shared" ca="1" si="14"/>
        <v>0</v>
      </c>
      <c r="S105" s="703" t="s">
        <v>29</v>
      </c>
      <c r="T105" s="24">
        <f>IFERROR(INDEX(Table5[],MATCH($B105,Table5[Component],0),2),0)</f>
        <v>0</v>
      </c>
      <c r="U105" s="24">
        <f>SUMIFS(Table7[Balance],Table7[Cutter Mat'#],$B105)</f>
        <v>0</v>
      </c>
      <c r="V105" s="24">
        <f t="shared" si="15"/>
        <v>1</v>
      </c>
      <c r="W105" s="119"/>
      <c r="X105" s="2"/>
      <c r="Z105" s="4">
        <f>IFERROR(INDEX(Table5[],MATCH($B105,Table5[Component],0),2),0)</f>
        <v>0</v>
      </c>
      <c r="AA105" s="4">
        <f>IFERROR(INDEX(Table5[],MATCH($B105,Table5[Component],0),1),0)</f>
        <v>0</v>
      </c>
      <c r="AB105" s="4" t="str">
        <f t="shared" si="16"/>
        <v/>
      </c>
      <c r="AC105" s="4" t="str">
        <f t="shared" si="17"/>
        <v/>
      </c>
      <c r="AE105" s="4">
        <f t="shared" si="18"/>
        <v>1</v>
      </c>
      <c r="AF105" s="9"/>
      <c r="AJ105" s="248" t="str">
        <f t="shared" si="19"/>
        <v/>
      </c>
      <c r="AK105" s="248" t="str">
        <f t="shared" si="20"/>
        <v/>
      </c>
      <c r="AL105">
        <f t="shared" si="21"/>
        <v>0</v>
      </c>
      <c r="AQ105">
        <f t="shared" si="23"/>
        <v>0</v>
      </c>
      <c r="AS105">
        <v>971093</v>
      </c>
      <c r="AT105">
        <f t="shared" si="22"/>
        <v>0</v>
      </c>
    </row>
    <row r="106" spans="1:46" ht="15.65" customHeight="1" x14ac:dyDescent="0.35">
      <c r="A106" s="5">
        <v>105</v>
      </c>
      <c r="B106" s="5">
        <v>632948</v>
      </c>
      <c r="C106" s="2" t="s">
        <v>102</v>
      </c>
      <c r="D106" s="5">
        <v>1313</v>
      </c>
      <c r="E106" s="5" t="s">
        <v>103</v>
      </c>
      <c r="F106" s="5" t="s">
        <v>103</v>
      </c>
      <c r="G106" s="7"/>
      <c r="H106" s="7" t="s">
        <v>57</v>
      </c>
      <c r="I106" s="10">
        <f>SUMIFS('Cutters Consumption Updates'!$F:$F,'Cutters Consumption Updates'!$D:$D,I$1,'Cutters Consumption Updates'!$B:$B,$B106)-SUMIFS('Cutters Consumption Updates'!$E:$E,'Cutters Consumption Updates'!$D:$D,I$1,'Cutters Consumption Updates'!$B:$B,$B106)+ SUMIF('Cutters Consumption Updates'!$AS:$AS,$B106,'Cutters Consumption Updates'!AT:AT)</f>
        <v>0</v>
      </c>
      <c r="J106" s="10">
        <f>SUMIFS('Cutters Consumption Updates'!$F:$F,'Cutters Consumption Updates'!$D:$D,J$1,'Cutters Consumption Updates'!$B:$B,$B106)-SUMIFS('Cutters Consumption Updates'!$E:$E,'Cutters Consumption Updates'!$D:$D,J$1,'Cutters Consumption Updates'!$B:$B,$B106)+ SUMIF('Cutters Consumption Updates'!$AS:$AS,$B106,'Cutters Consumption Updates'!AU:AU)</f>
        <v>0</v>
      </c>
      <c r="K106" s="116">
        <f>SUMIFS('Cutters Consumption Updates'!$F:$F,'Cutters Consumption Updates'!$D:$D,K$1,'Cutters Consumption Updates'!$B:$B,$B106)-SUMIFS('Cutters Consumption Updates'!$E:$E,'Cutters Consumption Updates'!$D:$D,K$1,'Cutters Consumption Updates'!$B:$B,$B106)+ SUMIF('Cutters Consumption Updates'!$AS:$AS,$B106,'Cutters Consumption Updates'!AV:AV)</f>
        <v>0</v>
      </c>
      <c r="L106" s="738">
        <f>SUMIFS('Cutters Consumption Updates'!$F:$F,'Cutters Consumption Updates'!$D:$D,L$1,'Cutters Consumption Updates'!$B:$B,$B106)-SUMIFS('Cutters Consumption Updates'!$E:$E,'Cutters Consumption Updates'!$D:$D,L$1,'Cutters Consumption Updates'!$B:$B,$B106)+ SUMIF('Cutters Consumption Updates'!$AS:$AS,$B106,'Cutters Consumption Updates'!AW:AW)</f>
        <v>0</v>
      </c>
      <c r="M106" s="116">
        <f>SUMIFS('Cutters Consumption Updates'!$F:$F,'Cutters Consumption Updates'!$D:$D,M$1,'Cutters Consumption Updates'!$B:$B,$B106)-SUMIFS('Cutters Consumption Updates'!$E:$E,'Cutters Consumption Updates'!$D:$D,$M$1,'Cutters Consumption Updates'!$B:$B,$B106)+SUMIFS('Cutters Consumption Updates'!$F:$F,'Cutters Consumption Updates'!$D:$D,"Retrofit",'Cutters Consumption Updates'!$B:$B,$B106)-SUMIFS('Cutters Consumption Updates'!$E:$E,'Cutters Consumption Updates'!$D:$D,"Retrofit",'Cutters Consumption Updates'!$B:$B,$B106)+ SUMIF('Cutters Consumption Updates'!$AS:$AS,$B106,'Cutters Consumption Updates'!AX:AX)</f>
        <v>0</v>
      </c>
      <c r="N106" s="10">
        <f t="shared" si="12"/>
        <v>0</v>
      </c>
      <c r="O106" s="701">
        <f ca="1">SUMIFS('Cutters Consumption Updates'!E:E,
        'Cutters Consumption Updates'!B:B, B106,
        'Cutters Consumption Updates'!A:A, "&gt;" &amp; TODAY()-182)</f>
        <v>0</v>
      </c>
      <c r="P106" s="701">
        <f ca="1">SUMIFS('Cutters Consumption Updates'!E:E,
        'Cutters Consumption Updates'!B:B, B106,
        'Cutters Consumption Updates'!A:A, "&gt;" &amp; TODAY()-91)</f>
        <v>0</v>
      </c>
      <c r="Q106" s="701">
        <f t="shared" ca="1" si="13"/>
        <v>0</v>
      </c>
      <c r="R106" s="703">
        <f t="shared" ca="1" si="14"/>
        <v>0</v>
      </c>
      <c r="S106" s="703" t="s">
        <v>29</v>
      </c>
      <c r="T106" s="24">
        <f>IFERROR(INDEX(Table5[],MATCH($B106,Table5[Component],0),2),0)</f>
        <v>0</v>
      </c>
      <c r="U106" s="24">
        <f>SUMIFS(Table7[Balance],Table7[Cutter Mat'#],$B106)</f>
        <v>0</v>
      </c>
      <c r="V106" s="24">
        <f t="shared" si="15"/>
        <v>0</v>
      </c>
      <c r="W106" s="119"/>
      <c r="X106" s="2"/>
      <c r="Z106" s="4">
        <f>IFERROR(INDEX(Table5[],MATCH($B106,Table5[Component],0),2),0)</f>
        <v>0</v>
      </c>
      <c r="AA106" s="4">
        <f>IFERROR(INDEX(Table5[],MATCH($B106,Table5[Component],0),1),0)</f>
        <v>0</v>
      </c>
      <c r="AB106" s="4" t="str">
        <f t="shared" si="16"/>
        <v/>
      </c>
      <c r="AC106" s="4" t="str">
        <f t="shared" si="17"/>
        <v/>
      </c>
      <c r="AE106" s="4">
        <f t="shared" si="18"/>
        <v>0</v>
      </c>
      <c r="AF106" s="9"/>
      <c r="AJ106" s="248" t="str">
        <f t="shared" si="19"/>
        <v/>
      </c>
      <c r="AK106" s="248" t="str">
        <f t="shared" si="20"/>
        <v/>
      </c>
      <c r="AL106">
        <f t="shared" si="21"/>
        <v>0</v>
      </c>
      <c r="AQ106">
        <f t="shared" si="23"/>
        <v>0</v>
      </c>
      <c r="AS106">
        <v>976348</v>
      </c>
      <c r="AT106">
        <f t="shared" si="22"/>
        <v>0</v>
      </c>
    </row>
    <row r="107" spans="1:46" ht="15.65" customHeight="1" x14ac:dyDescent="0.35">
      <c r="A107" s="2">
        <v>106</v>
      </c>
      <c r="B107" s="2">
        <v>647435</v>
      </c>
      <c r="C107" s="2" t="s">
        <v>26</v>
      </c>
      <c r="D107" s="2">
        <v>1608</v>
      </c>
      <c r="E107" s="2" t="s">
        <v>51</v>
      </c>
      <c r="F107" s="2" t="s">
        <v>253</v>
      </c>
      <c r="G107" s="6"/>
      <c r="H107" s="6" t="s">
        <v>47</v>
      </c>
      <c r="I107" s="10">
        <f>SUMIFS('Cutters Consumption Updates'!$F:$F,'Cutters Consumption Updates'!$D:$D,I$1,'Cutters Consumption Updates'!$B:$B,$B107)-SUMIFS('Cutters Consumption Updates'!$E:$E,'Cutters Consumption Updates'!$D:$D,I$1,'Cutters Consumption Updates'!$B:$B,$B107)+ SUMIF('Cutters Consumption Updates'!$AS:$AS,$B107,'Cutters Consumption Updates'!AT:AT)</f>
        <v>9</v>
      </c>
      <c r="J107" s="10">
        <f>SUMIFS('Cutters Consumption Updates'!$F:$F,'Cutters Consumption Updates'!$D:$D,J$1,'Cutters Consumption Updates'!$B:$B,$B107)-SUMIFS('Cutters Consumption Updates'!$E:$E,'Cutters Consumption Updates'!$D:$D,J$1,'Cutters Consumption Updates'!$B:$B,$B107)+ SUMIF('Cutters Consumption Updates'!$AS:$AS,$B107,'Cutters Consumption Updates'!AU:AU)</f>
        <v>0</v>
      </c>
      <c r="K107" s="116">
        <f>SUMIFS('Cutters Consumption Updates'!$F:$F,'Cutters Consumption Updates'!$D:$D,K$1,'Cutters Consumption Updates'!$B:$B,$B107)-SUMIFS('Cutters Consumption Updates'!$E:$E,'Cutters Consumption Updates'!$D:$D,K$1,'Cutters Consumption Updates'!$B:$B,$B107)+ SUMIF('Cutters Consumption Updates'!$AS:$AS,$B107,'Cutters Consumption Updates'!AV:AV)</f>
        <v>0</v>
      </c>
      <c r="L107" s="738">
        <f>SUMIFS('Cutters Consumption Updates'!$F:$F,'Cutters Consumption Updates'!$D:$D,L$1,'Cutters Consumption Updates'!$B:$B,$B107)-SUMIFS('Cutters Consumption Updates'!$E:$E,'Cutters Consumption Updates'!$D:$D,L$1,'Cutters Consumption Updates'!$B:$B,$B107)+ SUMIF('Cutters Consumption Updates'!$AS:$AS,$B107,'Cutters Consumption Updates'!AW:AW)</f>
        <v>0</v>
      </c>
      <c r="M107" s="116">
        <f>SUMIFS('Cutters Consumption Updates'!$F:$F,'Cutters Consumption Updates'!$D:$D,M$1,'Cutters Consumption Updates'!$B:$B,$B107)-SUMIFS('Cutters Consumption Updates'!$E:$E,'Cutters Consumption Updates'!$D:$D,$M$1,'Cutters Consumption Updates'!$B:$B,$B107)+SUMIFS('Cutters Consumption Updates'!$F:$F,'Cutters Consumption Updates'!$D:$D,"Retrofit",'Cutters Consumption Updates'!$B:$B,$B107)-SUMIFS('Cutters Consumption Updates'!$E:$E,'Cutters Consumption Updates'!$D:$D,"Retrofit",'Cutters Consumption Updates'!$B:$B,$B107)+ SUMIF('Cutters Consumption Updates'!$AS:$AS,$B107,'Cutters Consumption Updates'!AX:AX)</f>
        <v>193</v>
      </c>
      <c r="N107" s="10">
        <f t="shared" si="12"/>
        <v>202</v>
      </c>
      <c r="O107" s="701">
        <f ca="1">SUMIFS('Cutters Consumption Updates'!E:E,
        'Cutters Consumption Updates'!B:B, B107,
        'Cutters Consumption Updates'!A:A, "&gt;" &amp; TODAY()-182)</f>
        <v>284</v>
      </c>
      <c r="P107" s="701">
        <f ca="1">SUMIFS('Cutters Consumption Updates'!E:E,
        'Cutters Consumption Updates'!B:B, B107,
        'Cutters Consumption Updates'!A:A, "&gt;" &amp; TODAY()-91)</f>
        <v>149</v>
      </c>
      <c r="Q107" s="701">
        <f t="shared" ca="1" si="13"/>
        <v>95</v>
      </c>
      <c r="R107" s="703">
        <f t="shared" ca="1" si="14"/>
        <v>100</v>
      </c>
      <c r="S107" s="703" t="s">
        <v>104</v>
      </c>
      <c r="T107" s="24">
        <f>IFERROR(INDEX(Table5[],MATCH($B107,Table5[Component],0),2),0)</f>
        <v>287</v>
      </c>
      <c r="U107" s="24">
        <f>SUMIFS(Table7[Balance],Table7[Cutter Mat'#],$B107)</f>
        <v>0</v>
      </c>
      <c r="V107" s="24">
        <f t="shared" si="15"/>
        <v>-85</v>
      </c>
      <c r="W107" s="119"/>
      <c r="X107" s="2"/>
      <c r="Z107" s="4">
        <f>IFERROR(INDEX(Table5[],MATCH($B107,Table5[Component],0),2),0)</f>
        <v>287</v>
      </c>
      <c r="AA107" s="4">
        <f>IFERROR(INDEX(Table5[],MATCH($B107,Table5[Component],0),1),0)</f>
        <v>647435</v>
      </c>
      <c r="AB107" s="4">
        <f t="shared" si="16"/>
        <v>647435</v>
      </c>
      <c r="AC107" s="4" t="str">
        <f t="shared" si="17"/>
        <v/>
      </c>
      <c r="AE107" s="4">
        <f t="shared" si="18"/>
        <v>202</v>
      </c>
      <c r="AF107" s="9"/>
      <c r="AJ107" s="248" t="str">
        <f t="shared" si="19"/>
        <v/>
      </c>
      <c r="AK107" s="248" t="str">
        <f t="shared" si="20"/>
        <v/>
      </c>
      <c r="AL107">
        <f t="shared" si="21"/>
        <v>0</v>
      </c>
      <c r="AQ107">
        <f t="shared" si="23"/>
        <v>0</v>
      </c>
      <c r="AS107">
        <v>976360</v>
      </c>
      <c r="AT107">
        <f t="shared" si="22"/>
        <v>0</v>
      </c>
    </row>
    <row r="108" spans="1:46" ht="15.65" customHeight="1" x14ac:dyDescent="0.35">
      <c r="A108" s="2">
        <v>107</v>
      </c>
      <c r="B108" s="2">
        <v>983148</v>
      </c>
      <c r="C108" s="2" t="s">
        <v>26</v>
      </c>
      <c r="D108" s="2">
        <v>1608</v>
      </c>
      <c r="E108" s="2" t="s">
        <v>79</v>
      </c>
      <c r="F108" s="2" t="s">
        <v>253</v>
      </c>
      <c r="G108" s="6"/>
      <c r="H108" s="6" t="s">
        <v>49</v>
      </c>
      <c r="I108" s="10">
        <f>SUMIFS('Cutters Consumption Updates'!$F:$F,'Cutters Consumption Updates'!$D:$D,I$1,'Cutters Consumption Updates'!$B:$B,$B108)-SUMIFS('Cutters Consumption Updates'!$E:$E,'Cutters Consumption Updates'!$D:$D,I$1,'Cutters Consumption Updates'!$B:$B,$B108)+ SUMIF('Cutters Consumption Updates'!$AS:$AS,$B108,'Cutters Consumption Updates'!AT:AT)</f>
        <v>0</v>
      </c>
      <c r="J108" s="10">
        <f>SUMIFS('Cutters Consumption Updates'!$F:$F,'Cutters Consumption Updates'!$D:$D,J$1,'Cutters Consumption Updates'!$B:$B,$B108)-SUMIFS('Cutters Consumption Updates'!$E:$E,'Cutters Consumption Updates'!$D:$D,J$1,'Cutters Consumption Updates'!$B:$B,$B108)+ SUMIF('Cutters Consumption Updates'!$AS:$AS,$B108,'Cutters Consumption Updates'!AU:AU)</f>
        <v>0</v>
      </c>
      <c r="K108" s="116">
        <f>SUMIFS('Cutters Consumption Updates'!$F:$F,'Cutters Consumption Updates'!$D:$D,K$1,'Cutters Consumption Updates'!$B:$B,$B108)-SUMIFS('Cutters Consumption Updates'!$E:$E,'Cutters Consumption Updates'!$D:$D,K$1,'Cutters Consumption Updates'!$B:$B,$B108)+ SUMIF('Cutters Consumption Updates'!$AS:$AS,$B108,'Cutters Consumption Updates'!AV:AV)</f>
        <v>0</v>
      </c>
      <c r="L108" s="738">
        <f>SUMIFS('Cutters Consumption Updates'!$F:$F,'Cutters Consumption Updates'!$D:$D,L$1,'Cutters Consumption Updates'!$B:$B,$B108)-SUMIFS('Cutters Consumption Updates'!$E:$E,'Cutters Consumption Updates'!$D:$D,L$1,'Cutters Consumption Updates'!$B:$B,$B108)+ SUMIF('Cutters Consumption Updates'!$AS:$AS,$B108,'Cutters Consumption Updates'!AW:AW)</f>
        <v>0</v>
      </c>
      <c r="M108" s="116">
        <f>SUMIFS('Cutters Consumption Updates'!$F:$F,'Cutters Consumption Updates'!$D:$D,M$1,'Cutters Consumption Updates'!$B:$B,$B108)-SUMIFS('Cutters Consumption Updates'!$E:$E,'Cutters Consumption Updates'!$D:$D,$M$1,'Cutters Consumption Updates'!$B:$B,$B108)+SUMIFS('Cutters Consumption Updates'!$F:$F,'Cutters Consumption Updates'!$D:$D,"Retrofit",'Cutters Consumption Updates'!$B:$B,$B108)-SUMIFS('Cutters Consumption Updates'!$E:$E,'Cutters Consumption Updates'!$D:$D,"Retrofit",'Cutters Consumption Updates'!$B:$B,$B108)+ SUMIF('Cutters Consumption Updates'!$AS:$AS,$B108,'Cutters Consumption Updates'!AX:AX)</f>
        <v>0</v>
      </c>
      <c r="N108" s="10">
        <f t="shared" si="12"/>
        <v>0</v>
      </c>
      <c r="O108" s="701">
        <f ca="1">SUMIFS('Cutters Consumption Updates'!E:E,
        'Cutters Consumption Updates'!B:B, B108,
        'Cutters Consumption Updates'!A:A, "&gt;" &amp; TODAY()-182)</f>
        <v>0</v>
      </c>
      <c r="P108" s="701">
        <f ca="1">SUMIFS('Cutters Consumption Updates'!E:E,
        'Cutters Consumption Updates'!B:B, B108,
        'Cutters Consumption Updates'!A:A, "&gt;" &amp; TODAY()-91)</f>
        <v>0</v>
      </c>
      <c r="Q108" s="701">
        <f t="shared" ca="1" si="13"/>
        <v>0</v>
      </c>
      <c r="R108" s="703">
        <f t="shared" ca="1" si="14"/>
        <v>0</v>
      </c>
      <c r="S108" s="703" t="s">
        <v>29</v>
      </c>
      <c r="T108" s="24">
        <f>IFERROR(INDEX(Table5[],MATCH($B108,Table5[Component],0),2),0)</f>
        <v>0</v>
      </c>
      <c r="U108" s="24">
        <f>SUMIFS(Table7[Balance],Table7[Cutter Mat'#],$B108)</f>
        <v>0</v>
      </c>
      <c r="V108" s="24">
        <f t="shared" si="15"/>
        <v>0</v>
      </c>
      <c r="W108" s="119"/>
      <c r="X108" s="2"/>
      <c r="Z108" s="4">
        <f>IFERROR(INDEX(Table5[],MATCH($B108,Table5[Component],0),2),0)</f>
        <v>0</v>
      </c>
      <c r="AA108" s="4">
        <f>IFERROR(INDEX(Table5[],MATCH($B108,Table5[Component],0),1),0)</f>
        <v>0</v>
      </c>
      <c r="AB108" s="4" t="str">
        <f t="shared" si="16"/>
        <v/>
      </c>
      <c r="AC108" s="4" t="str">
        <f t="shared" si="17"/>
        <v/>
      </c>
      <c r="AE108" s="4">
        <f t="shared" si="18"/>
        <v>0</v>
      </c>
      <c r="AF108" s="9"/>
      <c r="AJ108" s="248" t="str">
        <f t="shared" si="19"/>
        <v/>
      </c>
      <c r="AK108" s="248" t="str">
        <f t="shared" si="20"/>
        <v/>
      </c>
      <c r="AL108">
        <f t="shared" si="21"/>
        <v>0</v>
      </c>
      <c r="AQ108">
        <f t="shared" si="23"/>
        <v>0</v>
      </c>
      <c r="AS108">
        <v>983094</v>
      </c>
      <c r="AT108">
        <f t="shared" si="22"/>
        <v>0</v>
      </c>
    </row>
    <row r="109" spans="1:46" ht="15.65" customHeight="1" x14ac:dyDescent="0.35">
      <c r="A109" s="2">
        <v>108</v>
      </c>
      <c r="B109" s="2">
        <v>738228</v>
      </c>
      <c r="C109" s="2" t="s">
        <v>26</v>
      </c>
      <c r="D109" s="2">
        <v>1608</v>
      </c>
      <c r="E109" s="2" t="s">
        <v>82</v>
      </c>
      <c r="F109" s="2" t="s">
        <v>253</v>
      </c>
      <c r="G109" s="6"/>
      <c r="H109" s="6" t="s">
        <v>83</v>
      </c>
      <c r="I109" s="10">
        <f>SUMIFS('Cutters Consumption Updates'!$F:$F,'Cutters Consumption Updates'!$D:$D,I$1,'Cutters Consumption Updates'!$B:$B,$B109)-SUMIFS('Cutters Consumption Updates'!$E:$E,'Cutters Consumption Updates'!$D:$D,I$1,'Cutters Consumption Updates'!$B:$B,$B109)+ SUMIF('Cutters Consumption Updates'!$AS:$AS,$B109,'Cutters Consumption Updates'!AT:AT)</f>
        <v>0</v>
      </c>
      <c r="J109" s="10">
        <f>SUMIFS('Cutters Consumption Updates'!$F:$F,'Cutters Consumption Updates'!$D:$D,J$1,'Cutters Consumption Updates'!$B:$B,$B109)-SUMIFS('Cutters Consumption Updates'!$E:$E,'Cutters Consumption Updates'!$D:$D,J$1,'Cutters Consumption Updates'!$B:$B,$B109)+ SUMIF('Cutters Consumption Updates'!$AS:$AS,$B109,'Cutters Consumption Updates'!AU:AU)</f>
        <v>0</v>
      </c>
      <c r="K109" s="116">
        <f>SUMIFS('Cutters Consumption Updates'!$F:$F,'Cutters Consumption Updates'!$D:$D,K$1,'Cutters Consumption Updates'!$B:$B,$B109)-SUMIFS('Cutters Consumption Updates'!$E:$E,'Cutters Consumption Updates'!$D:$D,K$1,'Cutters Consumption Updates'!$B:$B,$B109)+ SUMIF('Cutters Consumption Updates'!$AS:$AS,$B109,'Cutters Consumption Updates'!AV:AV)</f>
        <v>0</v>
      </c>
      <c r="L109" s="738">
        <f>SUMIFS('Cutters Consumption Updates'!$F:$F,'Cutters Consumption Updates'!$D:$D,L$1,'Cutters Consumption Updates'!$B:$B,$B109)-SUMIFS('Cutters Consumption Updates'!$E:$E,'Cutters Consumption Updates'!$D:$D,L$1,'Cutters Consumption Updates'!$B:$B,$B109)+ SUMIF('Cutters Consumption Updates'!$AS:$AS,$B109,'Cutters Consumption Updates'!AW:AW)</f>
        <v>0</v>
      </c>
      <c r="M109" s="116">
        <f>SUMIFS('Cutters Consumption Updates'!$F:$F,'Cutters Consumption Updates'!$D:$D,M$1,'Cutters Consumption Updates'!$B:$B,$B109)-SUMIFS('Cutters Consumption Updates'!$E:$E,'Cutters Consumption Updates'!$D:$D,$M$1,'Cutters Consumption Updates'!$B:$B,$B109)+SUMIFS('Cutters Consumption Updates'!$F:$F,'Cutters Consumption Updates'!$D:$D,"Retrofit",'Cutters Consumption Updates'!$B:$B,$B109)-SUMIFS('Cutters Consumption Updates'!$E:$E,'Cutters Consumption Updates'!$D:$D,"Retrofit",'Cutters Consumption Updates'!$B:$B,$B109)+ SUMIF('Cutters Consumption Updates'!$AS:$AS,$B109,'Cutters Consumption Updates'!AX:AX)</f>
        <v>41</v>
      </c>
      <c r="N109" s="10">
        <f t="shared" si="12"/>
        <v>41</v>
      </c>
      <c r="O109" s="701">
        <f ca="1">SUMIFS('Cutters Consumption Updates'!E:E,
        'Cutters Consumption Updates'!B:B, B109,
        'Cutters Consumption Updates'!A:A, "&gt;" &amp; TODAY()-182)</f>
        <v>29</v>
      </c>
      <c r="P109" s="701">
        <f ca="1">SUMIFS('Cutters Consumption Updates'!E:E,
        'Cutters Consumption Updates'!B:B, B109,
        'Cutters Consumption Updates'!A:A, "&gt;" &amp; TODAY()-91)</f>
        <v>23</v>
      </c>
      <c r="Q109" s="701">
        <f t="shared" ca="1" si="13"/>
        <v>10</v>
      </c>
      <c r="R109" s="703">
        <f t="shared" ca="1" si="14"/>
        <v>15</v>
      </c>
      <c r="S109" s="703" t="s">
        <v>29</v>
      </c>
      <c r="T109" s="24">
        <f>IFERROR(INDEX(Table5[],MATCH($B109,Table5[Component],0),2),0)</f>
        <v>0</v>
      </c>
      <c r="U109" s="24">
        <f>SUMIFS(Table7[Balance],Table7[Cutter Mat'#],$B109)</f>
        <v>0</v>
      </c>
      <c r="V109" s="24">
        <f t="shared" si="15"/>
        <v>41</v>
      </c>
      <c r="W109" s="119"/>
      <c r="X109" s="2"/>
      <c r="Z109" s="4">
        <f>IFERROR(INDEX(Table5[],MATCH($B109,Table5[Component],0),2),0)</f>
        <v>0</v>
      </c>
      <c r="AA109" s="4">
        <f>IFERROR(INDEX(Table5[],MATCH($B109,Table5[Component],0),1),0)</f>
        <v>0</v>
      </c>
      <c r="AB109" s="4" t="str">
        <f t="shared" si="16"/>
        <v/>
      </c>
      <c r="AC109" s="4" t="str">
        <f t="shared" si="17"/>
        <v/>
      </c>
      <c r="AE109" s="4">
        <f t="shared" si="18"/>
        <v>41</v>
      </c>
      <c r="AF109" s="9"/>
      <c r="AJ109" s="248" t="str">
        <f t="shared" si="19"/>
        <v/>
      </c>
      <c r="AK109" s="248" t="str">
        <f t="shared" si="20"/>
        <v/>
      </c>
      <c r="AL109">
        <f t="shared" si="21"/>
        <v>0</v>
      </c>
      <c r="AQ109">
        <f t="shared" si="23"/>
        <v>0</v>
      </c>
      <c r="AS109">
        <v>983096</v>
      </c>
      <c r="AT109">
        <f t="shared" si="22"/>
        <v>0</v>
      </c>
    </row>
    <row r="110" spans="1:46" ht="15.65" customHeight="1" x14ac:dyDescent="0.35">
      <c r="A110" s="2">
        <v>109</v>
      </c>
      <c r="B110" s="2">
        <v>661066</v>
      </c>
      <c r="C110" s="2" t="s">
        <v>26</v>
      </c>
      <c r="D110" s="2">
        <v>1613</v>
      </c>
      <c r="E110" s="3" t="s">
        <v>105</v>
      </c>
      <c r="F110" s="2" t="s">
        <v>253</v>
      </c>
      <c r="G110" s="6" t="s">
        <v>106</v>
      </c>
      <c r="H110" s="6" t="s">
        <v>107</v>
      </c>
      <c r="I110" s="10">
        <f>SUMIFS('Cutters Consumption Updates'!$F:$F,'Cutters Consumption Updates'!$D:$D,I$1,'Cutters Consumption Updates'!$B:$B,$B110)-SUMIFS('Cutters Consumption Updates'!$E:$E,'Cutters Consumption Updates'!$D:$D,I$1,'Cutters Consumption Updates'!$B:$B,$B110)+ SUMIF('Cutters Consumption Updates'!$AS:$AS,$B110,'Cutters Consumption Updates'!AT:AT)</f>
        <v>0</v>
      </c>
      <c r="J110" s="10">
        <f>SUMIFS('Cutters Consumption Updates'!$F:$F,'Cutters Consumption Updates'!$D:$D,J$1,'Cutters Consumption Updates'!$B:$B,$B110)-SUMIFS('Cutters Consumption Updates'!$E:$E,'Cutters Consumption Updates'!$D:$D,J$1,'Cutters Consumption Updates'!$B:$B,$B110)+ SUMIF('Cutters Consumption Updates'!$AS:$AS,$B110,'Cutters Consumption Updates'!AU:AU)</f>
        <v>0</v>
      </c>
      <c r="K110" s="116">
        <f>SUMIFS('Cutters Consumption Updates'!$F:$F,'Cutters Consumption Updates'!$D:$D,K$1,'Cutters Consumption Updates'!$B:$B,$B110)-SUMIFS('Cutters Consumption Updates'!$E:$E,'Cutters Consumption Updates'!$D:$D,K$1,'Cutters Consumption Updates'!$B:$B,$B110)+ SUMIF('Cutters Consumption Updates'!$AS:$AS,$B110,'Cutters Consumption Updates'!AV:AV)</f>
        <v>0</v>
      </c>
      <c r="L110" s="738">
        <f>SUMIFS('Cutters Consumption Updates'!$F:$F,'Cutters Consumption Updates'!$D:$D,L$1,'Cutters Consumption Updates'!$B:$B,$B110)-SUMIFS('Cutters Consumption Updates'!$E:$E,'Cutters Consumption Updates'!$D:$D,L$1,'Cutters Consumption Updates'!$B:$B,$B110)+ SUMIF('Cutters Consumption Updates'!$AS:$AS,$B110,'Cutters Consumption Updates'!AW:AW)</f>
        <v>0</v>
      </c>
      <c r="M110" s="116">
        <f>SUMIFS('Cutters Consumption Updates'!$F:$F,'Cutters Consumption Updates'!$D:$D,M$1,'Cutters Consumption Updates'!$B:$B,$B110)-SUMIFS('Cutters Consumption Updates'!$E:$E,'Cutters Consumption Updates'!$D:$D,$M$1,'Cutters Consumption Updates'!$B:$B,$B110)+SUMIFS('Cutters Consumption Updates'!$F:$F,'Cutters Consumption Updates'!$D:$D,"Retrofit",'Cutters Consumption Updates'!$B:$B,$B110)-SUMIFS('Cutters Consumption Updates'!$E:$E,'Cutters Consumption Updates'!$D:$D,"Retrofit",'Cutters Consumption Updates'!$B:$B,$B110)+ SUMIF('Cutters Consumption Updates'!$AS:$AS,$B110,'Cutters Consumption Updates'!AX:AX)</f>
        <v>19</v>
      </c>
      <c r="N110" s="10">
        <f t="shared" si="12"/>
        <v>19</v>
      </c>
      <c r="O110" s="701">
        <f ca="1">SUMIFS('Cutters Consumption Updates'!E:E,
        'Cutters Consumption Updates'!B:B, B110,
        'Cutters Consumption Updates'!A:A, "&gt;" &amp; TODAY()-182)</f>
        <v>0</v>
      </c>
      <c r="P110" s="701">
        <f ca="1">SUMIFS('Cutters Consumption Updates'!E:E,
        'Cutters Consumption Updates'!B:B, B110,
        'Cutters Consumption Updates'!A:A, "&gt;" &amp; TODAY()-91)</f>
        <v>0</v>
      </c>
      <c r="Q110" s="701">
        <f t="shared" ca="1" si="13"/>
        <v>0</v>
      </c>
      <c r="R110" s="703">
        <f t="shared" ca="1" si="14"/>
        <v>0</v>
      </c>
      <c r="S110" s="703" t="s">
        <v>29</v>
      </c>
      <c r="T110" s="24">
        <f>IFERROR(INDEX(Table5[],MATCH($B110,Table5[Component],0),2),0)</f>
        <v>0</v>
      </c>
      <c r="U110" s="24">
        <f>SUMIFS(Table7[Balance],Table7[Cutter Mat'#],$B110)</f>
        <v>0</v>
      </c>
      <c r="V110" s="24">
        <f t="shared" si="15"/>
        <v>19</v>
      </c>
      <c r="W110" s="119"/>
      <c r="X110" s="2"/>
      <c r="Z110" s="4">
        <f>IFERROR(INDEX(Table5[],MATCH($B110,Table5[Component],0),2),0)</f>
        <v>0</v>
      </c>
      <c r="AA110" s="4">
        <f>IFERROR(INDEX(Table5[],MATCH($B110,Table5[Component],0),1),0)</f>
        <v>0</v>
      </c>
      <c r="AB110" s="4" t="str">
        <f t="shared" si="16"/>
        <v/>
      </c>
      <c r="AC110" s="4" t="str">
        <f t="shared" si="17"/>
        <v/>
      </c>
      <c r="AE110" s="4">
        <f t="shared" si="18"/>
        <v>19</v>
      </c>
      <c r="AF110" s="9"/>
      <c r="AJ110" s="248" t="str">
        <f t="shared" si="19"/>
        <v/>
      </c>
      <c r="AK110" s="248" t="str">
        <f t="shared" si="20"/>
        <v/>
      </c>
      <c r="AL110">
        <f t="shared" si="21"/>
        <v>0</v>
      </c>
      <c r="AQ110">
        <f t="shared" si="23"/>
        <v>0</v>
      </c>
      <c r="AS110">
        <v>983148</v>
      </c>
      <c r="AT110">
        <f t="shared" si="22"/>
        <v>0</v>
      </c>
    </row>
    <row r="111" spans="1:46" ht="15.65" customHeight="1" x14ac:dyDescent="0.35">
      <c r="A111" s="2">
        <v>110</v>
      </c>
      <c r="B111" s="2">
        <v>1104743</v>
      </c>
      <c r="C111" s="2" t="s">
        <v>26</v>
      </c>
      <c r="D111" s="2">
        <v>1308</v>
      </c>
      <c r="E111" s="3" t="s">
        <v>108</v>
      </c>
      <c r="F111" s="3" t="s">
        <v>109</v>
      </c>
      <c r="G111" s="6" t="s">
        <v>110</v>
      </c>
      <c r="H111" s="6" t="s">
        <v>107</v>
      </c>
      <c r="I111" s="10">
        <f>SUMIFS('Cutters Consumption Updates'!$F:$F,'Cutters Consumption Updates'!$D:$D,I$1,'Cutters Consumption Updates'!$B:$B,$B111)-SUMIFS('Cutters Consumption Updates'!$E:$E,'Cutters Consumption Updates'!$D:$D,I$1,'Cutters Consumption Updates'!$B:$B,$B111)+ SUMIF('Cutters Consumption Updates'!$AS:$AS,$B111,'Cutters Consumption Updates'!AT:AT)</f>
        <v>0</v>
      </c>
      <c r="J111" s="10">
        <f>SUMIFS('Cutters Consumption Updates'!$F:$F,'Cutters Consumption Updates'!$D:$D,J$1,'Cutters Consumption Updates'!$B:$B,$B111)-SUMIFS('Cutters Consumption Updates'!$E:$E,'Cutters Consumption Updates'!$D:$D,J$1,'Cutters Consumption Updates'!$B:$B,$B111)+ SUMIF('Cutters Consumption Updates'!$AS:$AS,$B111,'Cutters Consumption Updates'!AU:AU)</f>
        <v>0</v>
      </c>
      <c r="K111" s="116">
        <f>SUMIFS('Cutters Consumption Updates'!$F:$F,'Cutters Consumption Updates'!$D:$D,K$1,'Cutters Consumption Updates'!$B:$B,$B111)-SUMIFS('Cutters Consumption Updates'!$E:$E,'Cutters Consumption Updates'!$D:$D,K$1,'Cutters Consumption Updates'!$B:$B,$B111)+ SUMIF('Cutters Consumption Updates'!$AS:$AS,$B111,'Cutters Consumption Updates'!AV:AV)</f>
        <v>0</v>
      </c>
      <c r="L111" s="738">
        <f>SUMIFS('Cutters Consumption Updates'!$F:$F,'Cutters Consumption Updates'!$D:$D,L$1,'Cutters Consumption Updates'!$B:$B,$B111)-SUMIFS('Cutters Consumption Updates'!$E:$E,'Cutters Consumption Updates'!$D:$D,L$1,'Cutters Consumption Updates'!$B:$B,$B111)+ SUMIF('Cutters Consumption Updates'!$AS:$AS,$B111,'Cutters Consumption Updates'!AW:AW)</f>
        <v>0</v>
      </c>
      <c r="M111" s="116">
        <f>SUMIFS('Cutters Consumption Updates'!$F:$F,'Cutters Consumption Updates'!$D:$D,M$1,'Cutters Consumption Updates'!$B:$B,$B111)-SUMIFS('Cutters Consumption Updates'!$E:$E,'Cutters Consumption Updates'!$D:$D,$M$1,'Cutters Consumption Updates'!$B:$B,$B111)+SUMIFS('Cutters Consumption Updates'!$F:$F,'Cutters Consumption Updates'!$D:$D,"Retrofit",'Cutters Consumption Updates'!$B:$B,$B111)-SUMIFS('Cutters Consumption Updates'!$E:$E,'Cutters Consumption Updates'!$D:$D,"Retrofit",'Cutters Consumption Updates'!$B:$B,$B111)+ SUMIF('Cutters Consumption Updates'!$AS:$AS,$B111,'Cutters Consumption Updates'!AX:AX)</f>
        <v>0</v>
      </c>
      <c r="N111" s="10">
        <f t="shared" si="12"/>
        <v>0</v>
      </c>
      <c r="O111" s="701">
        <f ca="1">SUMIFS('Cutters Consumption Updates'!E:E,
        'Cutters Consumption Updates'!B:B, B111,
        'Cutters Consumption Updates'!A:A, "&gt;" &amp; TODAY()-182)</f>
        <v>0</v>
      </c>
      <c r="P111" s="701">
        <f ca="1">SUMIFS('Cutters Consumption Updates'!E:E,
        'Cutters Consumption Updates'!B:B, B111,
        'Cutters Consumption Updates'!A:A, "&gt;" &amp; TODAY()-91)</f>
        <v>0</v>
      </c>
      <c r="Q111" s="701">
        <f t="shared" ca="1" si="13"/>
        <v>0</v>
      </c>
      <c r="R111" s="703">
        <f t="shared" ca="1" si="14"/>
        <v>0</v>
      </c>
      <c r="S111" s="703" t="s">
        <v>29</v>
      </c>
      <c r="T111" s="24">
        <f>IFERROR(INDEX(Table5[],MATCH($B111,Table5[Component],0),2),0)</f>
        <v>0</v>
      </c>
      <c r="U111" s="24">
        <f>SUMIFS(Table7[Balance],Table7[Cutter Mat'#],$B111)</f>
        <v>0</v>
      </c>
      <c r="V111" s="24">
        <f t="shared" si="15"/>
        <v>0</v>
      </c>
      <c r="W111" s="119"/>
      <c r="X111" s="2"/>
      <c r="Z111" s="4">
        <f>IFERROR(INDEX(Table5[],MATCH($B111,Table5[Component],0),2),0)</f>
        <v>0</v>
      </c>
      <c r="AA111" s="4">
        <f>IFERROR(INDEX(Table5[],MATCH($B111,Table5[Component],0),1),0)</f>
        <v>0</v>
      </c>
      <c r="AB111" s="4" t="str">
        <f t="shared" si="16"/>
        <v/>
      </c>
      <c r="AC111" s="4" t="str">
        <f t="shared" si="17"/>
        <v/>
      </c>
      <c r="AE111" s="4">
        <f t="shared" si="18"/>
        <v>0</v>
      </c>
      <c r="AF111" s="9"/>
      <c r="AJ111" s="248" t="str">
        <f t="shared" si="19"/>
        <v/>
      </c>
      <c r="AK111" s="248" t="str">
        <f t="shared" si="20"/>
        <v/>
      </c>
      <c r="AL111">
        <f t="shared" si="21"/>
        <v>0</v>
      </c>
      <c r="AQ111">
        <f t="shared" si="23"/>
        <v>0</v>
      </c>
      <c r="AS111">
        <v>983150</v>
      </c>
      <c r="AT111">
        <f t="shared" si="22"/>
        <v>0</v>
      </c>
    </row>
    <row r="112" spans="1:46" ht="15.65" customHeight="1" x14ac:dyDescent="0.35">
      <c r="A112" s="2">
        <v>111</v>
      </c>
      <c r="B112" s="2">
        <v>1100696</v>
      </c>
      <c r="C112" s="2" t="s">
        <v>26</v>
      </c>
      <c r="D112" s="2">
        <v>1313</v>
      </c>
      <c r="E112" s="2" t="s">
        <v>111</v>
      </c>
      <c r="F112" s="2" t="s">
        <v>248</v>
      </c>
      <c r="G112" s="6"/>
      <c r="H112" s="6" t="s">
        <v>49</v>
      </c>
      <c r="I112" s="10">
        <f>SUMIFS('Cutters Consumption Updates'!$F:$F,'Cutters Consumption Updates'!$D:$D,I$1,'Cutters Consumption Updates'!$B:$B,$B112)-SUMIFS('Cutters Consumption Updates'!$E:$E,'Cutters Consumption Updates'!$D:$D,I$1,'Cutters Consumption Updates'!$B:$B,$B112)+ SUMIF('Cutters Consumption Updates'!$AS:$AS,$B112,'Cutters Consumption Updates'!AT:AT)</f>
        <v>0</v>
      </c>
      <c r="J112" s="10">
        <f>SUMIFS('Cutters Consumption Updates'!$F:$F,'Cutters Consumption Updates'!$D:$D,J$1,'Cutters Consumption Updates'!$B:$B,$B112)-SUMIFS('Cutters Consumption Updates'!$E:$E,'Cutters Consumption Updates'!$D:$D,J$1,'Cutters Consumption Updates'!$B:$B,$B112)+ SUMIF('Cutters Consumption Updates'!$AS:$AS,$B112,'Cutters Consumption Updates'!AU:AU)</f>
        <v>0</v>
      </c>
      <c r="K112" s="116">
        <f>SUMIFS('Cutters Consumption Updates'!$F:$F,'Cutters Consumption Updates'!$D:$D,K$1,'Cutters Consumption Updates'!$B:$B,$B112)-SUMIFS('Cutters Consumption Updates'!$E:$E,'Cutters Consumption Updates'!$D:$D,K$1,'Cutters Consumption Updates'!$B:$B,$B112)+ SUMIF('Cutters Consumption Updates'!$AS:$AS,$B112,'Cutters Consumption Updates'!AV:AV)</f>
        <v>1</v>
      </c>
      <c r="L112" s="738">
        <f>SUMIFS('Cutters Consumption Updates'!$F:$F,'Cutters Consumption Updates'!$D:$D,L$1,'Cutters Consumption Updates'!$B:$B,$B112)-SUMIFS('Cutters Consumption Updates'!$E:$E,'Cutters Consumption Updates'!$D:$D,L$1,'Cutters Consumption Updates'!$B:$B,$B112)+ SUMIF('Cutters Consumption Updates'!$AS:$AS,$B112,'Cutters Consumption Updates'!AW:AW)</f>
        <v>-1</v>
      </c>
      <c r="M112" s="116">
        <f>SUMIFS('Cutters Consumption Updates'!$F:$F,'Cutters Consumption Updates'!$D:$D,M$1,'Cutters Consumption Updates'!$B:$B,$B112)-SUMIFS('Cutters Consumption Updates'!$E:$E,'Cutters Consumption Updates'!$D:$D,$M$1,'Cutters Consumption Updates'!$B:$B,$B112)+SUMIFS('Cutters Consumption Updates'!$F:$F,'Cutters Consumption Updates'!$D:$D,"Retrofit",'Cutters Consumption Updates'!$B:$B,$B112)-SUMIFS('Cutters Consumption Updates'!$E:$E,'Cutters Consumption Updates'!$D:$D,"Retrofit",'Cutters Consumption Updates'!$B:$B,$B112)+ SUMIF('Cutters Consumption Updates'!$AS:$AS,$B112,'Cutters Consumption Updates'!AX:AX)</f>
        <v>0</v>
      </c>
      <c r="N112" s="10">
        <f t="shared" si="12"/>
        <v>0</v>
      </c>
      <c r="O112" s="701">
        <f ca="1">SUMIFS('Cutters Consumption Updates'!E:E,
        'Cutters Consumption Updates'!B:B, B112,
        'Cutters Consumption Updates'!A:A, "&gt;" &amp; TODAY()-182)</f>
        <v>19</v>
      </c>
      <c r="P112" s="701">
        <f ca="1">SUMIFS('Cutters Consumption Updates'!E:E,
        'Cutters Consumption Updates'!B:B, B112,
        'Cutters Consumption Updates'!A:A, "&gt;" &amp; TODAY()-91)</f>
        <v>13</v>
      </c>
      <c r="Q112" s="701">
        <f t="shared" ca="1" si="13"/>
        <v>7</v>
      </c>
      <c r="R112" s="703">
        <f t="shared" ca="1" si="14"/>
        <v>10</v>
      </c>
      <c r="S112" s="703" t="s">
        <v>112</v>
      </c>
      <c r="T112" s="24">
        <f>IFERROR(INDEX(Table5[],MATCH($B112,Table5[Component],0),2),0)</f>
        <v>136</v>
      </c>
      <c r="U112" s="24">
        <f>SUMIFS(Table7[Balance],Table7[Cutter Mat'#],$B112)</f>
        <v>0</v>
      </c>
      <c r="V112" s="24">
        <f t="shared" si="15"/>
        <v>-136</v>
      </c>
      <c r="W112" s="119"/>
      <c r="X112" s="2"/>
      <c r="Z112" s="4">
        <f>IFERROR(INDEX(Table5[],MATCH($B112,Table5[Component],0),2),0)</f>
        <v>136</v>
      </c>
      <c r="AA112" s="4">
        <f>IFERROR(INDEX(Table5[],MATCH($B112,Table5[Component],0),1),0)</f>
        <v>1100696</v>
      </c>
      <c r="AB112" s="4">
        <f t="shared" si="16"/>
        <v>1100696</v>
      </c>
      <c r="AC112" s="4" t="str">
        <f t="shared" si="17"/>
        <v/>
      </c>
      <c r="AE112" s="4">
        <f t="shared" si="18"/>
        <v>1</v>
      </c>
      <c r="AF112" s="9"/>
      <c r="AJ112" s="248" t="str">
        <f t="shared" si="19"/>
        <v/>
      </c>
      <c r="AK112" s="248" t="str">
        <f t="shared" si="20"/>
        <v/>
      </c>
      <c r="AL112">
        <f t="shared" si="21"/>
        <v>0</v>
      </c>
      <c r="AQ112">
        <f t="shared" si="23"/>
        <v>0</v>
      </c>
      <c r="AS112">
        <v>983152</v>
      </c>
      <c r="AT112">
        <f t="shared" si="22"/>
        <v>0</v>
      </c>
    </row>
    <row r="113" spans="1:46" ht="15.65" customHeight="1" x14ac:dyDescent="0.35">
      <c r="A113" s="2">
        <v>112</v>
      </c>
      <c r="B113" s="2">
        <v>1100745</v>
      </c>
      <c r="C113" s="2" t="s">
        <v>26</v>
      </c>
      <c r="D113" s="2">
        <v>1913</v>
      </c>
      <c r="E113" s="2" t="s">
        <v>111</v>
      </c>
      <c r="F113" s="2" t="s">
        <v>253</v>
      </c>
      <c r="G113" s="6"/>
      <c r="H113" s="6" t="s">
        <v>49</v>
      </c>
      <c r="I113" s="10">
        <f>SUMIFS('Cutters Consumption Updates'!$F:$F,'Cutters Consumption Updates'!$D:$D,I$1,'Cutters Consumption Updates'!$B:$B,$B113)-SUMIFS('Cutters Consumption Updates'!$E:$E,'Cutters Consumption Updates'!$D:$D,I$1,'Cutters Consumption Updates'!$B:$B,$B113)+ SUMIF('Cutters Consumption Updates'!$AS:$AS,$B113,'Cutters Consumption Updates'!AT:AT)</f>
        <v>0</v>
      </c>
      <c r="J113" s="10">
        <f>SUMIFS('Cutters Consumption Updates'!$F:$F,'Cutters Consumption Updates'!$D:$D,J$1,'Cutters Consumption Updates'!$B:$B,$B113)-SUMIFS('Cutters Consumption Updates'!$E:$E,'Cutters Consumption Updates'!$D:$D,J$1,'Cutters Consumption Updates'!$B:$B,$B113)+ SUMIF('Cutters Consumption Updates'!$AS:$AS,$B113,'Cutters Consumption Updates'!AU:AU)</f>
        <v>0</v>
      </c>
      <c r="K113" s="116">
        <f>SUMIFS('Cutters Consumption Updates'!$F:$F,'Cutters Consumption Updates'!$D:$D,K$1,'Cutters Consumption Updates'!$B:$B,$B113)-SUMIFS('Cutters Consumption Updates'!$E:$E,'Cutters Consumption Updates'!$D:$D,K$1,'Cutters Consumption Updates'!$B:$B,$B113)+ SUMIF('Cutters Consumption Updates'!$AS:$AS,$B113,'Cutters Consumption Updates'!AV:AV)</f>
        <v>0</v>
      </c>
      <c r="L113" s="738">
        <f>SUMIFS('Cutters Consumption Updates'!$F:$F,'Cutters Consumption Updates'!$D:$D,L$1,'Cutters Consumption Updates'!$B:$B,$B113)-SUMIFS('Cutters Consumption Updates'!$E:$E,'Cutters Consumption Updates'!$D:$D,L$1,'Cutters Consumption Updates'!$B:$B,$B113)+ SUMIF('Cutters Consumption Updates'!$AS:$AS,$B113,'Cutters Consumption Updates'!AW:AW)</f>
        <v>0</v>
      </c>
      <c r="M113" s="116">
        <f>SUMIFS('Cutters Consumption Updates'!$F:$F,'Cutters Consumption Updates'!$D:$D,M$1,'Cutters Consumption Updates'!$B:$B,$B113)-SUMIFS('Cutters Consumption Updates'!$E:$E,'Cutters Consumption Updates'!$D:$D,$M$1,'Cutters Consumption Updates'!$B:$B,$B113)+SUMIFS('Cutters Consumption Updates'!$F:$F,'Cutters Consumption Updates'!$D:$D,"Retrofit",'Cutters Consumption Updates'!$B:$B,$B113)-SUMIFS('Cutters Consumption Updates'!$E:$E,'Cutters Consumption Updates'!$D:$D,"Retrofit",'Cutters Consumption Updates'!$B:$B,$B113)+ SUMIF('Cutters Consumption Updates'!$AS:$AS,$B113,'Cutters Consumption Updates'!AX:AX)</f>
        <v>0</v>
      </c>
      <c r="N113" s="10">
        <f t="shared" si="12"/>
        <v>0</v>
      </c>
      <c r="O113" s="701">
        <f ca="1">SUMIFS('Cutters Consumption Updates'!E:E,
        'Cutters Consumption Updates'!B:B, B113,
        'Cutters Consumption Updates'!A:A, "&gt;" &amp; TODAY()-182)</f>
        <v>0</v>
      </c>
      <c r="P113" s="701">
        <f ca="1">SUMIFS('Cutters Consumption Updates'!E:E,
        'Cutters Consumption Updates'!B:B, B113,
        'Cutters Consumption Updates'!A:A, "&gt;" &amp; TODAY()-91)</f>
        <v>0</v>
      </c>
      <c r="Q113" s="701">
        <f t="shared" ca="1" si="13"/>
        <v>0</v>
      </c>
      <c r="R113" s="703">
        <f t="shared" ca="1" si="14"/>
        <v>0</v>
      </c>
      <c r="S113" s="703" t="s">
        <v>113</v>
      </c>
      <c r="T113" s="24">
        <f>IFERROR(INDEX(Table5[],MATCH($B113,Table5[Component],0),2),0)</f>
        <v>0</v>
      </c>
      <c r="U113" s="24">
        <f>SUMIFS(Table7[Balance],Table7[Cutter Mat'#],$B113)</f>
        <v>0</v>
      </c>
      <c r="V113" s="24">
        <f t="shared" si="15"/>
        <v>0</v>
      </c>
      <c r="W113" s="119"/>
      <c r="X113" s="2"/>
      <c r="Z113" s="4">
        <f>IFERROR(INDEX(Table5[],MATCH($B113,Table5[Component],0),2),0)</f>
        <v>0</v>
      </c>
      <c r="AA113" s="4">
        <f>IFERROR(INDEX(Table5[],MATCH($B113,Table5[Component],0),1),0)</f>
        <v>0</v>
      </c>
      <c r="AB113" s="4" t="str">
        <f t="shared" si="16"/>
        <v/>
      </c>
      <c r="AC113" s="4" t="str">
        <f t="shared" si="17"/>
        <v/>
      </c>
      <c r="AE113" s="4">
        <f t="shared" si="18"/>
        <v>0</v>
      </c>
      <c r="AF113" s="9"/>
      <c r="AJ113" s="248" t="str">
        <f t="shared" si="19"/>
        <v/>
      </c>
      <c r="AK113" s="248" t="str">
        <f t="shared" si="20"/>
        <v/>
      </c>
      <c r="AL113">
        <f t="shared" si="21"/>
        <v>0</v>
      </c>
      <c r="AQ113">
        <f t="shared" si="23"/>
        <v>0</v>
      </c>
      <c r="AS113">
        <v>1010264</v>
      </c>
      <c r="AT113">
        <f t="shared" si="22"/>
        <v>0</v>
      </c>
    </row>
    <row r="114" spans="1:46" ht="15.65" customHeight="1" x14ac:dyDescent="0.35">
      <c r="A114" s="2">
        <v>113</v>
      </c>
      <c r="B114" s="2">
        <v>1130198</v>
      </c>
      <c r="C114" s="2" t="s">
        <v>26</v>
      </c>
      <c r="D114" s="2">
        <v>1613</v>
      </c>
      <c r="E114" s="2" t="s">
        <v>114</v>
      </c>
      <c r="F114" s="2" t="s">
        <v>253</v>
      </c>
      <c r="G114" s="6"/>
      <c r="H114" s="6" t="s">
        <v>49</v>
      </c>
      <c r="I114" s="10">
        <f>SUMIFS('Cutters Consumption Updates'!$F:$F,'Cutters Consumption Updates'!$D:$D,I$1,'Cutters Consumption Updates'!$B:$B,$B114)-SUMIFS('Cutters Consumption Updates'!$E:$E,'Cutters Consumption Updates'!$D:$D,I$1,'Cutters Consumption Updates'!$B:$B,$B114)+ SUMIF('Cutters Consumption Updates'!$AS:$AS,$B114,'Cutters Consumption Updates'!AT:AT)</f>
        <v>-78</v>
      </c>
      <c r="J114" s="10">
        <f>SUMIFS('Cutters Consumption Updates'!$F:$F,'Cutters Consumption Updates'!$D:$D,J$1,'Cutters Consumption Updates'!$B:$B,$B114)-SUMIFS('Cutters Consumption Updates'!$E:$E,'Cutters Consumption Updates'!$D:$D,J$1,'Cutters Consumption Updates'!$B:$B,$B114)+ SUMIF('Cutters Consumption Updates'!$AS:$AS,$B114,'Cutters Consumption Updates'!AU:AU)</f>
        <v>21</v>
      </c>
      <c r="K114" s="116">
        <f>SUMIFS('Cutters Consumption Updates'!$F:$F,'Cutters Consumption Updates'!$D:$D,K$1,'Cutters Consumption Updates'!$B:$B,$B114)-SUMIFS('Cutters Consumption Updates'!$E:$E,'Cutters Consumption Updates'!$D:$D,K$1,'Cutters Consumption Updates'!$B:$B,$B114)+ SUMIF('Cutters Consumption Updates'!$AS:$AS,$B114,'Cutters Consumption Updates'!AV:AV)</f>
        <v>118</v>
      </c>
      <c r="L114" s="738">
        <f>SUMIFS('Cutters Consumption Updates'!$F:$F,'Cutters Consumption Updates'!$D:$D,L$1,'Cutters Consumption Updates'!$B:$B,$B114)-SUMIFS('Cutters Consumption Updates'!$E:$E,'Cutters Consumption Updates'!$D:$D,L$1,'Cutters Consumption Updates'!$B:$B,$B114)+ SUMIF('Cutters Consumption Updates'!$AS:$AS,$B114,'Cutters Consumption Updates'!AW:AW)</f>
        <v>30</v>
      </c>
      <c r="M114" s="116">
        <f>SUMIFS('Cutters Consumption Updates'!$F:$F,'Cutters Consumption Updates'!$D:$D,M$1,'Cutters Consumption Updates'!$B:$B,$B114)-SUMIFS('Cutters Consumption Updates'!$E:$E,'Cutters Consumption Updates'!$D:$D,$M$1,'Cutters Consumption Updates'!$B:$B,$B114)+SUMIFS('Cutters Consumption Updates'!$F:$F,'Cutters Consumption Updates'!$D:$D,"Retrofit",'Cutters Consumption Updates'!$B:$B,$B114)-SUMIFS('Cutters Consumption Updates'!$E:$E,'Cutters Consumption Updates'!$D:$D,"Retrofit",'Cutters Consumption Updates'!$B:$B,$B114)+ SUMIF('Cutters Consumption Updates'!$AS:$AS,$B114,'Cutters Consumption Updates'!AX:AX)</f>
        <v>17</v>
      </c>
      <c r="N114" s="10">
        <f t="shared" si="12"/>
        <v>-61</v>
      </c>
      <c r="O114" s="701">
        <f ca="1">SUMIFS('Cutters Consumption Updates'!E:E,
        'Cutters Consumption Updates'!B:B, B114,
        'Cutters Consumption Updates'!A:A, "&gt;" &amp; TODAY()-182)</f>
        <v>632</v>
      </c>
      <c r="P114" s="701">
        <f ca="1">SUMIFS('Cutters Consumption Updates'!E:E,
        'Cutters Consumption Updates'!B:B, B114,
        'Cutters Consumption Updates'!A:A, "&gt;" &amp; TODAY()-91)</f>
        <v>190</v>
      </c>
      <c r="Q114" s="701">
        <f t="shared" ca="1" si="13"/>
        <v>211</v>
      </c>
      <c r="R114" s="703">
        <f t="shared" ca="1" si="14"/>
        <v>220</v>
      </c>
      <c r="S114" s="703" t="s">
        <v>64</v>
      </c>
      <c r="T114" s="24">
        <f>IFERROR(INDEX(Table5[],MATCH($B114,Table5[Component],0),2),0)</f>
        <v>0</v>
      </c>
      <c r="U114" s="24">
        <f>SUMIFS(Table7[Balance],Table7[Cutter Mat'#],$B114)</f>
        <v>0</v>
      </c>
      <c r="V114" s="24">
        <f t="shared" si="15"/>
        <v>-61</v>
      </c>
      <c r="W114" s="119"/>
      <c r="X114" s="2"/>
      <c r="Z114" s="4">
        <f>IFERROR(INDEX(Table5[],MATCH($B114,Table5[Component],0),2),0)</f>
        <v>0</v>
      </c>
      <c r="AA114" s="4">
        <f>IFERROR(INDEX(Table5[],MATCH($B114,Table5[Component],0),1),0)</f>
        <v>0</v>
      </c>
      <c r="AB114" s="4" t="str">
        <f t="shared" si="16"/>
        <v/>
      </c>
      <c r="AC114" s="4" t="str">
        <f t="shared" si="17"/>
        <v/>
      </c>
      <c r="AE114" s="4">
        <f t="shared" si="18"/>
        <v>78</v>
      </c>
      <c r="AF114" s="9"/>
      <c r="AJ114" s="248" t="str">
        <f t="shared" si="19"/>
        <v/>
      </c>
      <c r="AK114" s="248" t="str">
        <f t="shared" si="20"/>
        <v/>
      </c>
      <c r="AL114">
        <f t="shared" si="21"/>
        <v>0</v>
      </c>
      <c r="AQ114">
        <f t="shared" si="23"/>
        <v>0</v>
      </c>
      <c r="AS114">
        <v>1014885</v>
      </c>
      <c r="AT114">
        <f t="shared" si="22"/>
        <v>0</v>
      </c>
    </row>
    <row r="115" spans="1:46" ht="15.65" customHeight="1" x14ac:dyDescent="0.35">
      <c r="A115" s="2">
        <v>114</v>
      </c>
      <c r="B115" s="2">
        <v>1130196</v>
      </c>
      <c r="C115" s="2" t="s">
        <v>26</v>
      </c>
      <c r="D115" s="2">
        <v>1313</v>
      </c>
      <c r="E115" s="2" t="s">
        <v>114</v>
      </c>
      <c r="F115" s="2" t="s">
        <v>253</v>
      </c>
      <c r="G115" s="6"/>
      <c r="H115" s="6" t="s">
        <v>49</v>
      </c>
      <c r="I115" s="10">
        <f>SUMIFS('Cutters Consumption Updates'!$F:$F,'Cutters Consumption Updates'!$D:$D,I$1,'Cutters Consumption Updates'!$B:$B,$B115)-SUMIFS('Cutters Consumption Updates'!$E:$E,'Cutters Consumption Updates'!$D:$D,I$1,'Cutters Consumption Updates'!$B:$B,$B115)+ SUMIF('Cutters Consumption Updates'!$AS:$AS,$B115,'Cutters Consumption Updates'!AT:AT)</f>
        <v>0</v>
      </c>
      <c r="J115" s="10">
        <f>SUMIFS('Cutters Consumption Updates'!$F:$F,'Cutters Consumption Updates'!$D:$D,J$1,'Cutters Consumption Updates'!$B:$B,$B115)-SUMIFS('Cutters Consumption Updates'!$E:$E,'Cutters Consumption Updates'!$D:$D,J$1,'Cutters Consumption Updates'!$B:$B,$B115)+ SUMIF('Cutters Consumption Updates'!$AS:$AS,$B115,'Cutters Consumption Updates'!AU:AU)</f>
        <v>0</v>
      </c>
      <c r="K115" s="116">
        <f>SUMIFS('Cutters Consumption Updates'!$F:$F,'Cutters Consumption Updates'!$D:$D,K$1,'Cutters Consumption Updates'!$B:$B,$B115)-SUMIFS('Cutters Consumption Updates'!$E:$E,'Cutters Consumption Updates'!$D:$D,K$1,'Cutters Consumption Updates'!$B:$B,$B115)+ SUMIF('Cutters Consumption Updates'!$AS:$AS,$B115,'Cutters Consumption Updates'!AV:AV)</f>
        <v>0</v>
      </c>
      <c r="L115" s="738">
        <f>SUMIFS('Cutters Consumption Updates'!$F:$F,'Cutters Consumption Updates'!$D:$D,L$1,'Cutters Consumption Updates'!$B:$B,$B115)-SUMIFS('Cutters Consumption Updates'!$E:$E,'Cutters Consumption Updates'!$D:$D,L$1,'Cutters Consumption Updates'!$B:$B,$B115)+ SUMIF('Cutters Consumption Updates'!$AS:$AS,$B115,'Cutters Consumption Updates'!AW:AW)</f>
        <v>0</v>
      </c>
      <c r="M115" s="116">
        <f>SUMIFS('Cutters Consumption Updates'!$F:$F,'Cutters Consumption Updates'!$D:$D,M$1,'Cutters Consumption Updates'!$B:$B,$B115)-SUMIFS('Cutters Consumption Updates'!$E:$E,'Cutters Consumption Updates'!$D:$D,$M$1,'Cutters Consumption Updates'!$B:$B,$B115)+SUMIFS('Cutters Consumption Updates'!$F:$F,'Cutters Consumption Updates'!$D:$D,"Retrofit",'Cutters Consumption Updates'!$B:$B,$B115)-SUMIFS('Cutters Consumption Updates'!$E:$E,'Cutters Consumption Updates'!$D:$D,"Retrofit",'Cutters Consumption Updates'!$B:$B,$B115)+ SUMIF('Cutters Consumption Updates'!$AS:$AS,$B115,'Cutters Consumption Updates'!AX:AX)</f>
        <v>0</v>
      </c>
      <c r="N115" s="10">
        <f t="shared" si="12"/>
        <v>0</v>
      </c>
      <c r="O115" s="701">
        <f ca="1">SUMIFS('Cutters Consumption Updates'!E:E,
        'Cutters Consumption Updates'!B:B, B115,
        'Cutters Consumption Updates'!A:A, "&gt;" &amp; TODAY()-182)</f>
        <v>6</v>
      </c>
      <c r="P115" s="701">
        <f ca="1">SUMIFS('Cutters Consumption Updates'!E:E,
        'Cutters Consumption Updates'!B:B, B115,
        'Cutters Consumption Updates'!A:A, "&gt;" &amp; TODAY()-91)</f>
        <v>6</v>
      </c>
      <c r="Q115" s="701">
        <f t="shared" ca="1" si="13"/>
        <v>2</v>
      </c>
      <c r="R115" s="703">
        <f t="shared" ca="1" si="14"/>
        <v>5</v>
      </c>
      <c r="S115" s="703" t="s">
        <v>89</v>
      </c>
      <c r="T115" s="24">
        <f>IFERROR(INDEX(Table5[],MATCH($B115,Table5[Component],0),2),0)</f>
        <v>77</v>
      </c>
      <c r="U115" s="24">
        <f>SUMIFS(Table7[Balance],Table7[Cutter Mat'#],$B115)</f>
        <v>0</v>
      </c>
      <c r="V115" s="24">
        <f t="shared" si="15"/>
        <v>-77</v>
      </c>
      <c r="W115" s="119"/>
      <c r="X115" s="2">
        <v>1100751</v>
      </c>
      <c r="Z115" s="4">
        <f>IFERROR(INDEX(Table5[],MATCH($B115,Table5[Component],0),2),0)</f>
        <v>77</v>
      </c>
      <c r="AA115" s="4">
        <f>IFERROR(INDEX(Table5[],MATCH($B115,Table5[Component],0),1),0)</f>
        <v>1130196</v>
      </c>
      <c r="AB115" s="4">
        <f t="shared" si="16"/>
        <v>1130196</v>
      </c>
      <c r="AC115" s="4" t="str">
        <f t="shared" si="17"/>
        <v/>
      </c>
      <c r="AE115" s="4">
        <f t="shared" si="18"/>
        <v>0</v>
      </c>
      <c r="AF115" s="9"/>
      <c r="AJ115" s="248">
        <f t="shared" si="19"/>
        <v>17</v>
      </c>
      <c r="AK115" s="248">
        <f t="shared" ca="1" si="20"/>
        <v>0</v>
      </c>
      <c r="AL115">
        <f t="shared" si="21"/>
        <v>0</v>
      </c>
      <c r="AQ115">
        <f t="shared" si="23"/>
        <v>0</v>
      </c>
      <c r="AS115">
        <v>1014939</v>
      </c>
      <c r="AT115">
        <f t="shared" si="22"/>
        <v>0</v>
      </c>
    </row>
    <row r="116" spans="1:46" ht="15.65" customHeight="1" x14ac:dyDescent="0.35">
      <c r="A116" s="2">
        <v>115</v>
      </c>
      <c r="B116" s="2">
        <v>752583</v>
      </c>
      <c r="C116" s="2" t="s">
        <v>26</v>
      </c>
      <c r="D116" s="2">
        <v>1913</v>
      </c>
      <c r="E116" s="2" t="s">
        <v>76</v>
      </c>
      <c r="F116" s="2" t="s">
        <v>253</v>
      </c>
      <c r="G116" s="6"/>
      <c r="H116" s="6" t="s">
        <v>28</v>
      </c>
      <c r="I116" s="10">
        <f>SUMIFS('Cutters Consumption Updates'!$F:$F,'Cutters Consumption Updates'!$D:$D,I$1,'Cutters Consumption Updates'!$B:$B,$B116)-SUMIFS('Cutters Consumption Updates'!$E:$E,'Cutters Consumption Updates'!$D:$D,I$1,'Cutters Consumption Updates'!$B:$B,$B116)+ SUMIF('Cutters Consumption Updates'!$AS:$AS,$B116,'Cutters Consumption Updates'!AT:AT)</f>
        <v>0</v>
      </c>
      <c r="J116" s="10">
        <f>SUMIFS('Cutters Consumption Updates'!$F:$F,'Cutters Consumption Updates'!$D:$D,J$1,'Cutters Consumption Updates'!$B:$B,$B116)-SUMIFS('Cutters Consumption Updates'!$E:$E,'Cutters Consumption Updates'!$D:$D,J$1,'Cutters Consumption Updates'!$B:$B,$B116)+ SUMIF('Cutters Consumption Updates'!$AS:$AS,$B116,'Cutters Consumption Updates'!AU:AU)</f>
        <v>0</v>
      </c>
      <c r="K116" s="116">
        <f>SUMIFS('Cutters Consumption Updates'!$F:$F,'Cutters Consumption Updates'!$D:$D,K$1,'Cutters Consumption Updates'!$B:$B,$B116)-SUMIFS('Cutters Consumption Updates'!$E:$E,'Cutters Consumption Updates'!$D:$D,K$1,'Cutters Consumption Updates'!$B:$B,$B116)+ SUMIF('Cutters Consumption Updates'!$AS:$AS,$B116,'Cutters Consumption Updates'!AV:AV)</f>
        <v>0</v>
      </c>
      <c r="L116" s="738">
        <f>SUMIFS('Cutters Consumption Updates'!$F:$F,'Cutters Consumption Updates'!$D:$D,L$1,'Cutters Consumption Updates'!$B:$B,$B116)-SUMIFS('Cutters Consumption Updates'!$E:$E,'Cutters Consumption Updates'!$D:$D,L$1,'Cutters Consumption Updates'!$B:$B,$B116)+ SUMIF('Cutters Consumption Updates'!$AS:$AS,$B116,'Cutters Consumption Updates'!AW:AW)</f>
        <v>3</v>
      </c>
      <c r="M116" s="116">
        <f>SUMIFS('Cutters Consumption Updates'!$F:$F,'Cutters Consumption Updates'!$D:$D,M$1,'Cutters Consumption Updates'!$B:$B,$B116)-SUMIFS('Cutters Consumption Updates'!$E:$E,'Cutters Consumption Updates'!$D:$D,$M$1,'Cutters Consumption Updates'!$B:$B,$B116)+SUMIFS('Cutters Consumption Updates'!$F:$F,'Cutters Consumption Updates'!$D:$D,"Retrofit",'Cutters Consumption Updates'!$B:$B,$B116)-SUMIFS('Cutters Consumption Updates'!$E:$E,'Cutters Consumption Updates'!$D:$D,"Retrofit",'Cutters Consumption Updates'!$B:$B,$B116)+ SUMIF('Cutters Consumption Updates'!$AS:$AS,$B116,'Cutters Consumption Updates'!AX:AX)</f>
        <v>0</v>
      </c>
      <c r="N116" s="10">
        <f t="shared" si="12"/>
        <v>0</v>
      </c>
      <c r="O116" s="701">
        <f ca="1">SUMIFS('Cutters Consumption Updates'!E:E,
        'Cutters Consumption Updates'!B:B, B116,
        'Cutters Consumption Updates'!A:A, "&gt;" &amp; TODAY()-182)</f>
        <v>0</v>
      </c>
      <c r="P116" s="701">
        <f ca="1">SUMIFS('Cutters Consumption Updates'!E:E,
        'Cutters Consumption Updates'!B:B, B116,
        'Cutters Consumption Updates'!A:A, "&gt;" &amp; TODAY()-91)</f>
        <v>0</v>
      </c>
      <c r="Q116" s="701">
        <f t="shared" ca="1" si="13"/>
        <v>0</v>
      </c>
      <c r="R116" s="703">
        <f t="shared" ca="1" si="14"/>
        <v>0</v>
      </c>
      <c r="S116" s="703" t="s">
        <v>29</v>
      </c>
      <c r="T116" s="24">
        <f>IFERROR(INDEX(Table5[],MATCH($B116,Table5[Component],0),2),0)</f>
        <v>0</v>
      </c>
      <c r="U116" s="24">
        <f>SUMIFS(Table7[Balance],Table7[Cutter Mat'#],$B116)</f>
        <v>0</v>
      </c>
      <c r="V116" s="24">
        <f t="shared" si="15"/>
        <v>0</v>
      </c>
      <c r="W116" s="119"/>
      <c r="X116" s="2"/>
      <c r="Z116" s="4">
        <f>IFERROR(INDEX(Table5[],MATCH($B116,Table5[Component],0),2),0)</f>
        <v>0</v>
      </c>
      <c r="AA116" s="4">
        <f>IFERROR(INDEX(Table5[],MATCH($B116,Table5[Component],0),1),0)</f>
        <v>0</v>
      </c>
      <c r="AB116" s="4" t="str">
        <f t="shared" si="16"/>
        <v/>
      </c>
      <c r="AC116" s="4" t="str">
        <f t="shared" si="17"/>
        <v/>
      </c>
      <c r="AE116" s="4">
        <f t="shared" si="18"/>
        <v>0</v>
      </c>
      <c r="AF116" s="9"/>
      <c r="AJ116" s="248" t="str">
        <f t="shared" si="19"/>
        <v/>
      </c>
      <c r="AK116" s="248" t="str">
        <f t="shared" si="20"/>
        <v/>
      </c>
      <c r="AL116">
        <f t="shared" si="21"/>
        <v>0</v>
      </c>
      <c r="AQ116">
        <f t="shared" si="23"/>
        <v>0</v>
      </c>
      <c r="AS116">
        <v>1014941</v>
      </c>
      <c r="AT116">
        <f t="shared" si="22"/>
        <v>0</v>
      </c>
    </row>
    <row r="117" spans="1:46" ht="15.65" customHeight="1" x14ac:dyDescent="0.35">
      <c r="A117" s="2">
        <v>116</v>
      </c>
      <c r="B117" s="2">
        <v>1100741</v>
      </c>
      <c r="C117" s="2" t="s">
        <v>26</v>
      </c>
      <c r="D117" s="2">
        <v>1613</v>
      </c>
      <c r="E117" s="2" t="s">
        <v>111</v>
      </c>
      <c r="F117" s="2" t="s">
        <v>253</v>
      </c>
      <c r="G117" s="6"/>
      <c r="H117" s="6" t="s">
        <v>49</v>
      </c>
      <c r="I117" s="10">
        <f>SUMIFS('Cutters Consumption Updates'!$F:$F,'Cutters Consumption Updates'!$D:$D,I$1,'Cutters Consumption Updates'!$B:$B,$B117)-SUMIFS('Cutters Consumption Updates'!$E:$E,'Cutters Consumption Updates'!$D:$D,I$1,'Cutters Consumption Updates'!$B:$B,$B117)+ SUMIF('Cutters Consumption Updates'!$AS:$AS,$B117,'Cutters Consumption Updates'!AT:AT)</f>
        <v>0</v>
      </c>
      <c r="J117" s="10">
        <f>SUMIFS('Cutters Consumption Updates'!$F:$F,'Cutters Consumption Updates'!$D:$D,J$1,'Cutters Consumption Updates'!$B:$B,$B117)-SUMIFS('Cutters Consumption Updates'!$E:$E,'Cutters Consumption Updates'!$D:$D,J$1,'Cutters Consumption Updates'!$B:$B,$B117)+ SUMIF('Cutters Consumption Updates'!$AS:$AS,$B117,'Cutters Consumption Updates'!AU:AU)</f>
        <v>0</v>
      </c>
      <c r="K117" s="116">
        <f>SUMIFS('Cutters Consumption Updates'!$F:$F,'Cutters Consumption Updates'!$D:$D,K$1,'Cutters Consumption Updates'!$B:$B,$B117)-SUMIFS('Cutters Consumption Updates'!$E:$E,'Cutters Consumption Updates'!$D:$D,K$1,'Cutters Consumption Updates'!$B:$B,$B117)+ SUMIF('Cutters Consumption Updates'!$AS:$AS,$B117,'Cutters Consumption Updates'!AV:AV)</f>
        <v>5</v>
      </c>
      <c r="L117" s="738">
        <f>SUMIFS('Cutters Consumption Updates'!$F:$F,'Cutters Consumption Updates'!$D:$D,L$1,'Cutters Consumption Updates'!$B:$B,$B117)-SUMIFS('Cutters Consumption Updates'!$E:$E,'Cutters Consumption Updates'!$D:$D,L$1,'Cutters Consumption Updates'!$B:$B,$B117)+ SUMIF('Cutters Consumption Updates'!$AS:$AS,$B117,'Cutters Consumption Updates'!AW:AW)</f>
        <v>0</v>
      </c>
      <c r="M117" s="116">
        <f>SUMIFS('Cutters Consumption Updates'!$F:$F,'Cutters Consumption Updates'!$D:$D,M$1,'Cutters Consumption Updates'!$B:$B,$B117)-SUMIFS('Cutters Consumption Updates'!$E:$E,'Cutters Consumption Updates'!$D:$D,$M$1,'Cutters Consumption Updates'!$B:$B,$B117)+SUMIFS('Cutters Consumption Updates'!$F:$F,'Cutters Consumption Updates'!$D:$D,"Retrofit",'Cutters Consumption Updates'!$B:$B,$B117)-SUMIFS('Cutters Consumption Updates'!$E:$E,'Cutters Consumption Updates'!$D:$D,"Retrofit",'Cutters Consumption Updates'!$B:$B,$B117)+ SUMIF('Cutters Consumption Updates'!$AS:$AS,$B117,'Cutters Consumption Updates'!AX:AX)</f>
        <v>26</v>
      </c>
      <c r="N117" s="10">
        <f t="shared" si="12"/>
        <v>26</v>
      </c>
      <c r="O117" s="701">
        <f ca="1">SUMIFS('Cutters Consumption Updates'!E:E,
        'Cutters Consumption Updates'!B:B, B117,
        'Cutters Consumption Updates'!A:A, "&gt;" &amp; TODAY()-182)</f>
        <v>0</v>
      </c>
      <c r="P117" s="701">
        <f ca="1">SUMIFS('Cutters Consumption Updates'!E:E,
        'Cutters Consumption Updates'!B:B, B117,
        'Cutters Consumption Updates'!A:A, "&gt;" &amp; TODAY()-91)</f>
        <v>0</v>
      </c>
      <c r="Q117" s="701">
        <f t="shared" ca="1" si="13"/>
        <v>0</v>
      </c>
      <c r="R117" s="703">
        <f t="shared" ca="1" si="14"/>
        <v>0</v>
      </c>
      <c r="S117" s="703" t="s">
        <v>115</v>
      </c>
      <c r="T117" s="24">
        <f>IFERROR(INDEX(Table5[],MATCH($B117,Table5[Component],0),2),0)</f>
        <v>0</v>
      </c>
      <c r="U117" s="24">
        <f>SUMIFS(Table7[Balance],Table7[Cutter Mat'#],$B117)</f>
        <v>0</v>
      </c>
      <c r="V117" s="24">
        <f t="shared" si="15"/>
        <v>26</v>
      </c>
      <c r="W117" s="119"/>
      <c r="X117" s="2"/>
      <c r="Z117" s="4">
        <f>IFERROR(INDEX(Table5[],MATCH($B117,Table5[Component],0),2),0)</f>
        <v>0</v>
      </c>
      <c r="AA117" s="4">
        <f>IFERROR(INDEX(Table5[],MATCH($B117,Table5[Component],0),1),0)</f>
        <v>0</v>
      </c>
      <c r="AB117" s="4" t="str">
        <f t="shared" si="16"/>
        <v/>
      </c>
      <c r="AC117" s="4" t="str">
        <f t="shared" si="17"/>
        <v/>
      </c>
      <c r="AE117" s="4">
        <f t="shared" si="18"/>
        <v>31</v>
      </c>
      <c r="AF117" s="9"/>
      <c r="AJ117" s="248" t="str">
        <f t="shared" si="19"/>
        <v/>
      </c>
      <c r="AK117" s="248" t="str">
        <f t="shared" si="20"/>
        <v/>
      </c>
      <c r="AL117">
        <f t="shared" si="21"/>
        <v>0</v>
      </c>
      <c r="AQ117">
        <f t="shared" si="23"/>
        <v>0</v>
      </c>
      <c r="AS117">
        <v>1014950</v>
      </c>
      <c r="AT117">
        <f t="shared" si="22"/>
        <v>0</v>
      </c>
    </row>
    <row r="118" spans="1:46" ht="15.65" customHeight="1" x14ac:dyDescent="0.35">
      <c r="A118" s="2">
        <v>117</v>
      </c>
      <c r="B118" s="2">
        <v>1014941</v>
      </c>
      <c r="C118" s="2" t="s">
        <v>26</v>
      </c>
      <c r="D118" s="2">
        <v>1613</v>
      </c>
      <c r="E118" s="2" t="s">
        <v>91</v>
      </c>
      <c r="F118" s="2" t="s">
        <v>253</v>
      </c>
      <c r="G118" s="6"/>
      <c r="H118" s="6" t="s">
        <v>49</v>
      </c>
      <c r="I118" s="10">
        <f>SUMIFS('Cutters Consumption Updates'!$F:$F,'Cutters Consumption Updates'!$D:$D,I$1,'Cutters Consumption Updates'!$B:$B,$B118)-SUMIFS('Cutters Consumption Updates'!$E:$E,'Cutters Consumption Updates'!$D:$D,I$1,'Cutters Consumption Updates'!$B:$B,$B118)+ SUMIF('Cutters Consumption Updates'!$AS:$AS,$B118,'Cutters Consumption Updates'!AT:AT)</f>
        <v>0</v>
      </c>
      <c r="J118" s="10">
        <f>SUMIFS('Cutters Consumption Updates'!$F:$F,'Cutters Consumption Updates'!$D:$D,J$1,'Cutters Consumption Updates'!$B:$B,$B118)-SUMIFS('Cutters Consumption Updates'!$E:$E,'Cutters Consumption Updates'!$D:$D,J$1,'Cutters Consumption Updates'!$B:$B,$B118)+ SUMIF('Cutters Consumption Updates'!$AS:$AS,$B118,'Cutters Consumption Updates'!AU:AU)</f>
        <v>0</v>
      </c>
      <c r="K118" s="116">
        <f>SUMIFS('Cutters Consumption Updates'!$F:$F,'Cutters Consumption Updates'!$D:$D,K$1,'Cutters Consumption Updates'!$B:$B,$B118)-SUMIFS('Cutters Consumption Updates'!$E:$E,'Cutters Consumption Updates'!$D:$D,K$1,'Cutters Consumption Updates'!$B:$B,$B118)+ SUMIF('Cutters Consumption Updates'!$AS:$AS,$B118,'Cutters Consumption Updates'!AV:AV)</f>
        <v>0</v>
      </c>
      <c r="L118" s="738">
        <f>SUMIFS('Cutters Consumption Updates'!$F:$F,'Cutters Consumption Updates'!$D:$D,L$1,'Cutters Consumption Updates'!$B:$B,$B118)-SUMIFS('Cutters Consumption Updates'!$E:$E,'Cutters Consumption Updates'!$D:$D,L$1,'Cutters Consumption Updates'!$B:$B,$B118)+ SUMIF('Cutters Consumption Updates'!$AS:$AS,$B118,'Cutters Consumption Updates'!AW:AW)</f>
        <v>6</v>
      </c>
      <c r="M118" s="116">
        <f>SUMIFS('Cutters Consumption Updates'!$F:$F,'Cutters Consumption Updates'!$D:$D,M$1,'Cutters Consumption Updates'!$B:$B,$B118)-SUMIFS('Cutters Consumption Updates'!$E:$E,'Cutters Consumption Updates'!$D:$D,$M$1,'Cutters Consumption Updates'!$B:$B,$B118)+SUMIFS('Cutters Consumption Updates'!$F:$F,'Cutters Consumption Updates'!$D:$D,"Retrofit",'Cutters Consumption Updates'!$B:$B,$B118)-SUMIFS('Cutters Consumption Updates'!$E:$E,'Cutters Consumption Updates'!$D:$D,"Retrofit",'Cutters Consumption Updates'!$B:$B,$B118)+ SUMIF('Cutters Consumption Updates'!$AS:$AS,$B118,'Cutters Consumption Updates'!AX:AX)</f>
        <v>1</v>
      </c>
      <c r="N118" s="10">
        <f t="shared" si="12"/>
        <v>1</v>
      </c>
      <c r="O118" s="701">
        <f ca="1">SUMIFS('Cutters Consumption Updates'!E:E,
        'Cutters Consumption Updates'!B:B, B118,
        'Cutters Consumption Updates'!A:A, "&gt;" &amp; TODAY()-182)</f>
        <v>0</v>
      </c>
      <c r="P118" s="701">
        <f ca="1">SUMIFS('Cutters Consumption Updates'!E:E,
        'Cutters Consumption Updates'!B:B, B118,
        'Cutters Consumption Updates'!A:A, "&gt;" &amp; TODAY()-91)</f>
        <v>0</v>
      </c>
      <c r="Q118" s="701">
        <f t="shared" ca="1" si="13"/>
        <v>0</v>
      </c>
      <c r="R118" s="703">
        <f t="shared" ca="1" si="14"/>
        <v>0</v>
      </c>
      <c r="S118" s="703" t="s">
        <v>29</v>
      </c>
      <c r="T118" s="24">
        <f>IFERROR(INDEX(Table5[],MATCH($B118,Table5[Component],0),2),0)</f>
        <v>0</v>
      </c>
      <c r="U118" s="24">
        <f>SUMIFS(Table7[Balance],Table7[Cutter Mat'#],$B118)</f>
        <v>0</v>
      </c>
      <c r="V118" s="24">
        <f t="shared" si="15"/>
        <v>1</v>
      </c>
      <c r="W118" s="119"/>
      <c r="X118" s="2"/>
      <c r="Z118" s="4">
        <f>IFERROR(INDEX(Table5[],MATCH($B118,Table5[Component],0),2),0)</f>
        <v>0</v>
      </c>
      <c r="AA118" s="4">
        <f>IFERROR(INDEX(Table5[],MATCH($B118,Table5[Component],0),1),0)</f>
        <v>0</v>
      </c>
      <c r="AB118" s="4" t="str">
        <f t="shared" si="16"/>
        <v/>
      </c>
      <c r="AC118" s="4" t="str">
        <f t="shared" si="17"/>
        <v/>
      </c>
      <c r="AE118" s="4">
        <f t="shared" si="18"/>
        <v>1</v>
      </c>
      <c r="AF118" s="9"/>
      <c r="AJ118" s="248" t="str">
        <f t="shared" si="19"/>
        <v/>
      </c>
      <c r="AK118" s="248" t="str">
        <f t="shared" si="20"/>
        <v/>
      </c>
      <c r="AL118">
        <f t="shared" si="21"/>
        <v>0</v>
      </c>
      <c r="AQ118">
        <f t="shared" si="23"/>
        <v>0</v>
      </c>
      <c r="AS118">
        <v>1017002</v>
      </c>
      <c r="AT118">
        <f t="shared" si="22"/>
        <v>0</v>
      </c>
    </row>
    <row r="119" spans="1:46" ht="15.65" customHeight="1" x14ac:dyDescent="0.35">
      <c r="A119" s="2">
        <v>118</v>
      </c>
      <c r="B119" s="2">
        <v>1130200</v>
      </c>
      <c r="C119" s="2" t="s">
        <v>26</v>
      </c>
      <c r="D119" s="2">
        <v>1913</v>
      </c>
      <c r="E119" s="2" t="s">
        <v>114</v>
      </c>
      <c r="F119" s="2" t="s">
        <v>253</v>
      </c>
      <c r="G119" s="6"/>
      <c r="H119" s="6" t="s">
        <v>49</v>
      </c>
      <c r="I119" s="10">
        <f>SUMIFS('Cutters Consumption Updates'!$F:$F,'Cutters Consumption Updates'!$D:$D,I$1,'Cutters Consumption Updates'!$B:$B,$B119)-SUMIFS('Cutters Consumption Updates'!$E:$E,'Cutters Consumption Updates'!$D:$D,I$1,'Cutters Consumption Updates'!$B:$B,$B119)+ SUMIF('Cutters Consumption Updates'!$AS:$AS,$B119,'Cutters Consumption Updates'!AT:AT)</f>
        <v>5</v>
      </c>
      <c r="J119" s="10">
        <f>SUMIFS('Cutters Consumption Updates'!$F:$F,'Cutters Consumption Updates'!$D:$D,J$1,'Cutters Consumption Updates'!$B:$B,$B119)-SUMIFS('Cutters Consumption Updates'!$E:$E,'Cutters Consumption Updates'!$D:$D,J$1,'Cutters Consumption Updates'!$B:$B,$B119)+ SUMIF('Cutters Consumption Updates'!$AS:$AS,$B119,'Cutters Consumption Updates'!AU:AU)</f>
        <v>0</v>
      </c>
      <c r="K119" s="116">
        <f>SUMIFS('Cutters Consumption Updates'!$F:$F,'Cutters Consumption Updates'!$D:$D,K$1,'Cutters Consumption Updates'!$B:$B,$B119)-SUMIFS('Cutters Consumption Updates'!$E:$E,'Cutters Consumption Updates'!$D:$D,K$1,'Cutters Consumption Updates'!$B:$B,$B119)+ SUMIF('Cutters Consumption Updates'!$AS:$AS,$B119,'Cutters Consumption Updates'!AV:AV)</f>
        <v>10</v>
      </c>
      <c r="L119" s="738">
        <f>SUMIFS('Cutters Consumption Updates'!$F:$F,'Cutters Consumption Updates'!$D:$D,L$1,'Cutters Consumption Updates'!$B:$B,$B119)-SUMIFS('Cutters Consumption Updates'!$E:$E,'Cutters Consumption Updates'!$D:$D,L$1,'Cutters Consumption Updates'!$B:$B,$B119)+ SUMIF('Cutters Consumption Updates'!$AS:$AS,$B119,'Cutters Consumption Updates'!AW:AW)</f>
        <v>0</v>
      </c>
      <c r="M119" s="116">
        <f>SUMIFS('Cutters Consumption Updates'!$F:$F,'Cutters Consumption Updates'!$D:$D,M$1,'Cutters Consumption Updates'!$B:$B,$B119)-SUMIFS('Cutters Consumption Updates'!$E:$E,'Cutters Consumption Updates'!$D:$D,$M$1,'Cutters Consumption Updates'!$B:$B,$B119)+SUMIFS('Cutters Consumption Updates'!$F:$F,'Cutters Consumption Updates'!$D:$D,"Retrofit",'Cutters Consumption Updates'!$B:$B,$B119)-SUMIFS('Cutters Consumption Updates'!$E:$E,'Cutters Consumption Updates'!$D:$D,"Retrofit",'Cutters Consumption Updates'!$B:$B,$B119)+ SUMIF('Cutters Consumption Updates'!$AS:$AS,$B119,'Cutters Consumption Updates'!AX:AX)</f>
        <v>1</v>
      </c>
      <c r="N119" s="10">
        <f t="shared" si="12"/>
        <v>6</v>
      </c>
      <c r="O119" s="701">
        <f ca="1">SUMIFS('Cutters Consumption Updates'!E:E,
        'Cutters Consumption Updates'!B:B, B119,
        'Cutters Consumption Updates'!A:A, "&gt;" &amp; TODAY()-182)</f>
        <v>108</v>
      </c>
      <c r="P119" s="701">
        <f ca="1">SUMIFS('Cutters Consumption Updates'!E:E,
        'Cutters Consumption Updates'!B:B, B119,
        'Cutters Consumption Updates'!A:A, "&gt;" &amp; TODAY()-91)</f>
        <v>108</v>
      </c>
      <c r="Q119" s="701">
        <f t="shared" ca="1" si="13"/>
        <v>36</v>
      </c>
      <c r="R119" s="703">
        <f t="shared" ca="1" si="14"/>
        <v>40</v>
      </c>
      <c r="S119" s="703" t="s">
        <v>63</v>
      </c>
      <c r="T119" s="24">
        <f>IFERROR(INDEX(Table5[],MATCH($B119,Table5[Component],0),2),0)</f>
        <v>0</v>
      </c>
      <c r="U119" s="24">
        <f>SUMIFS(Table7[Balance],Table7[Cutter Mat'#],$B119)</f>
        <v>0</v>
      </c>
      <c r="V119" s="24">
        <f t="shared" si="15"/>
        <v>6</v>
      </c>
      <c r="W119" s="123"/>
      <c r="X119" s="2"/>
      <c r="Y119"/>
      <c r="Z119" s="4">
        <f>IFERROR(INDEX(Table5[],MATCH($B119,Table5[Component],0),2),0)</f>
        <v>0</v>
      </c>
      <c r="AA119" s="4">
        <f>IFERROR(INDEX(Table5[],MATCH($B119,Table5[Component],0),1),0)</f>
        <v>0</v>
      </c>
      <c r="AB119" s="4" t="str">
        <f t="shared" si="16"/>
        <v/>
      </c>
      <c r="AC119" s="4" t="str">
        <f t="shared" si="17"/>
        <v/>
      </c>
      <c r="AE119" s="4">
        <f t="shared" si="18"/>
        <v>16</v>
      </c>
      <c r="AF119" s="9"/>
      <c r="AJ119" s="248" t="str">
        <f t="shared" si="19"/>
        <v/>
      </c>
      <c r="AK119" s="248" t="str">
        <f t="shared" si="20"/>
        <v/>
      </c>
      <c r="AL119">
        <f t="shared" si="21"/>
        <v>0</v>
      </c>
      <c r="AQ119">
        <f t="shared" si="23"/>
        <v>0</v>
      </c>
      <c r="AS119">
        <v>1022971</v>
      </c>
      <c r="AT119">
        <f t="shared" si="22"/>
        <v>0</v>
      </c>
    </row>
    <row r="120" spans="1:46" ht="15.65" customHeight="1" x14ac:dyDescent="0.35">
      <c r="A120" s="2">
        <v>119</v>
      </c>
      <c r="B120" s="2">
        <v>1144821</v>
      </c>
      <c r="C120" s="2" t="s">
        <v>26</v>
      </c>
      <c r="D120" s="2">
        <v>1613</v>
      </c>
      <c r="E120" s="2" t="s">
        <v>116</v>
      </c>
      <c r="F120" s="2" t="s">
        <v>253</v>
      </c>
      <c r="G120" s="6" t="s">
        <v>117</v>
      </c>
      <c r="H120" s="6" t="s">
        <v>107</v>
      </c>
      <c r="I120" s="10">
        <f>SUMIFS('Cutters Consumption Updates'!$F:$F,'Cutters Consumption Updates'!$D:$D,I$1,'Cutters Consumption Updates'!$B:$B,$B120)-SUMIFS('Cutters Consumption Updates'!$E:$E,'Cutters Consumption Updates'!$D:$D,I$1,'Cutters Consumption Updates'!$B:$B,$B120)+ SUMIF('Cutters Consumption Updates'!$AS:$AS,$B120,'Cutters Consumption Updates'!AT:AT)</f>
        <v>0</v>
      </c>
      <c r="J120" s="10">
        <f>SUMIFS('Cutters Consumption Updates'!$F:$F,'Cutters Consumption Updates'!$D:$D,J$1,'Cutters Consumption Updates'!$B:$B,$B120)-SUMIFS('Cutters Consumption Updates'!$E:$E,'Cutters Consumption Updates'!$D:$D,J$1,'Cutters Consumption Updates'!$B:$B,$B120)+ SUMIF('Cutters Consumption Updates'!$AS:$AS,$B120,'Cutters Consumption Updates'!AU:AU)</f>
        <v>0</v>
      </c>
      <c r="K120" s="116">
        <f>SUMIFS('Cutters Consumption Updates'!$F:$F,'Cutters Consumption Updates'!$D:$D,K$1,'Cutters Consumption Updates'!$B:$B,$B120)-SUMIFS('Cutters Consumption Updates'!$E:$E,'Cutters Consumption Updates'!$D:$D,K$1,'Cutters Consumption Updates'!$B:$B,$B120)+ SUMIF('Cutters Consumption Updates'!$AS:$AS,$B120,'Cutters Consumption Updates'!AV:AV)</f>
        <v>0</v>
      </c>
      <c r="L120" s="738">
        <f>SUMIFS('Cutters Consumption Updates'!$F:$F,'Cutters Consumption Updates'!$D:$D,L$1,'Cutters Consumption Updates'!$B:$B,$B120)-SUMIFS('Cutters Consumption Updates'!$E:$E,'Cutters Consumption Updates'!$D:$D,L$1,'Cutters Consumption Updates'!$B:$B,$B120)+ SUMIF('Cutters Consumption Updates'!$AS:$AS,$B120,'Cutters Consumption Updates'!AW:AW)</f>
        <v>0</v>
      </c>
      <c r="M120" s="116">
        <f>SUMIFS('Cutters Consumption Updates'!$F:$F,'Cutters Consumption Updates'!$D:$D,M$1,'Cutters Consumption Updates'!$B:$B,$B120)-SUMIFS('Cutters Consumption Updates'!$E:$E,'Cutters Consumption Updates'!$D:$D,$M$1,'Cutters Consumption Updates'!$B:$B,$B120)+SUMIFS('Cutters Consumption Updates'!$F:$F,'Cutters Consumption Updates'!$D:$D,"Retrofit",'Cutters Consumption Updates'!$B:$B,$B120)-SUMIFS('Cutters Consumption Updates'!$E:$E,'Cutters Consumption Updates'!$D:$D,"Retrofit",'Cutters Consumption Updates'!$B:$B,$B120)+ SUMIF('Cutters Consumption Updates'!$AS:$AS,$B120,'Cutters Consumption Updates'!AX:AX)</f>
        <v>107</v>
      </c>
      <c r="N120" s="10">
        <f t="shared" si="12"/>
        <v>107</v>
      </c>
      <c r="O120" s="701">
        <f ca="1">SUMIFS('Cutters Consumption Updates'!E:E,
        'Cutters Consumption Updates'!B:B, B120,
        'Cutters Consumption Updates'!A:A, "&gt;" &amp; TODAY()-182)</f>
        <v>0</v>
      </c>
      <c r="P120" s="701">
        <f ca="1">SUMIFS('Cutters Consumption Updates'!E:E,
        'Cutters Consumption Updates'!B:B, B120,
        'Cutters Consumption Updates'!A:A, "&gt;" &amp; TODAY()-91)</f>
        <v>0</v>
      </c>
      <c r="Q120" s="701">
        <f t="shared" ca="1" si="13"/>
        <v>0</v>
      </c>
      <c r="R120" s="703">
        <f t="shared" ca="1" si="14"/>
        <v>0</v>
      </c>
      <c r="S120" s="703" t="s">
        <v>29</v>
      </c>
      <c r="T120" s="24">
        <f>IFERROR(INDEX(Table5[],MATCH($B120,Table5[Component],0),2),0)</f>
        <v>0</v>
      </c>
      <c r="U120" s="24">
        <f>SUMIFS(Table7[Balance],Table7[Cutter Mat'#],$B120)</f>
        <v>0</v>
      </c>
      <c r="V120" s="24">
        <f t="shared" si="15"/>
        <v>107</v>
      </c>
      <c r="W120" s="119"/>
      <c r="X120" s="2"/>
      <c r="Z120" s="4">
        <f>IFERROR(INDEX(Table5[],MATCH($B120,Table5[Component],0),2),0)</f>
        <v>0</v>
      </c>
      <c r="AA120" s="4">
        <f>IFERROR(INDEX(Table5[],MATCH($B120,Table5[Component],0),1),0)</f>
        <v>0</v>
      </c>
      <c r="AB120" s="4" t="str">
        <f t="shared" si="16"/>
        <v/>
      </c>
      <c r="AC120" s="4" t="str">
        <f t="shared" si="17"/>
        <v/>
      </c>
      <c r="AE120" s="4">
        <f t="shared" si="18"/>
        <v>107</v>
      </c>
      <c r="AF120" s="9"/>
      <c r="AJ120" s="248" t="str">
        <f t="shared" si="19"/>
        <v/>
      </c>
      <c r="AK120" s="248" t="str">
        <f t="shared" si="20"/>
        <v/>
      </c>
      <c r="AL120">
        <f t="shared" si="21"/>
        <v>0</v>
      </c>
      <c r="AQ120">
        <f t="shared" si="23"/>
        <v>0</v>
      </c>
      <c r="AS120">
        <v>1027339</v>
      </c>
      <c r="AT120">
        <f t="shared" si="22"/>
        <v>0</v>
      </c>
    </row>
    <row r="121" spans="1:46" ht="15.65" customHeight="1" x14ac:dyDescent="0.35">
      <c r="A121" s="2">
        <v>120</v>
      </c>
      <c r="B121" s="2">
        <v>1134752</v>
      </c>
      <c r="C121" s="2" t="s">
        <v>26</v>
      </c>
      <c r="D121" s="2">
        <v>1308</v>
      </c>
      <c r="E121" s="2" t="s">
        <v>114</v>
      </c>
      <c r="F121" s="2" t="s">
        <v>253</v>
      </c>
      <c r="G121" s="6"/>
      <c r="H121" s="6" t="s">
        <v>49</v>
      </c>
      <c r="I121" s="10">
        <f>SUMIFS('Cutters Consumption Updates'!$F:$F,'Cutters Consumption Updates'!$D:$D,I$1,'Cutters Consumption Updates'!$B:$B,$B121)-SUMIFS('Cutters Consumption Updates'!$E:$E,'Cutters Consumption Updates'!$D:$D,I$1,'Cutters Consumption Updates'!$B:$B,$B121)+ SUMIF('Cutters Consumption Updates'!$AS:$AS,$B121,'Cutters Consumption Updates'!AT:AT)</f>
        <v>1</v>
      </c>
      <c r="J121" s="10">
        <f>SUMIFS('Cutters Consumption Updates'!$F:$F,'Cutters Consumption Updates'!$D:$D,J$1,'Cutters Consumption Updates'!$B:$B,$B121)-SUMIFS('Cutters Consumption Updates'!$E:$E,'Cutters Consumption Updates'!$D:$D,J$1,'Cutters Consumption Updates'!$B:$B,$B121)+ SUMIF('Cutters Consumption Updates'!$AS:$AS,$B121,'Cutters Consumption Updates'!AU:AU)</f>
        <v>2</v>
      </c>
      <c r="K121" s="116">
        <f>SUMIFS('Cutters Consumption Updates'!$F:$F,'Cutters Consumption Updates'!$D:$D,K$1,'Cutters Consumption Updates'!$B:$B,$B121)-SUMIFS('Cutters Consumption Updates'!$E:$E,'Cutters Consumption Updates'!$D:$D,K$1,'Cutters Consumption Updates'!$B:$B,$B121)+ SUMIF('Cutters Consumption Updates'!$AS:$AS,$B121,'Cutters Consumption Updates'!AV:AV)</f>
        <v>0</v>
      </c>
      <c r="L121" s="738">
        <f>SUMIFS('Cutters Consumption Updates'!$F:$F,'Cutters Consumption Updates'!$D:$D,L$1,'Cutters Consumption Updates'!$B:$B,$B121)-SUMIFS('Cutters Consumption Updates'!$E:$E,'Cutters Consumption Updates'!$D:$D,L$1,'Cutters Consumption Updates'!$B:$B,$B121)+ SUMIF('Cutters Consumption Updates'!$AS:$AS,$B121,'Cutters Consumption Updates'!AW:AW)</f>
        <v>0</v>
      </c>
      <c r="M121" s="116">
        <f>SUMIFS('Cutters Consumption Updates'!$F:$F,'Cutters Consumption Updates'!$D:$D,M$1,'Cutters Consumption Updates'!$B:$B,$B121)-SUMIFS('Cutters Consumption Updates'!$E:$E,'Cutters Consumption Updates'!$D:$D,$M$1,'Cutters Consumption Updates'!$B:$B,$B121)+SUMIFS('Cutters Consumption Updates'!$F:$F,'Cutters Consumption Updates'!$D:$D,"Retrofit",'Cutters Consumption Updates'!$B:$B,$B121)-SUMIFS('Cutters Consumption Updates'!$E:$E,'Cutters Consumption Updates'!$D:$D,"Retrofit",'Cutters Consumption Updates'!$B:$B,$B121)+ SUMIF('Cutters Consumption Updates'!$AS:$AS,$B121,'Cutters Consumption Updates'!AX:AX)</f>
        <v>0</v>
      </c>
      <c r="N121" s="10">
        <f t="shared" si="12"/>
        <v>1</v>
      </c>
      <c r="O121" s="701">
        <f ca="1">SUMIFS('Cutters Consumption Updates'!E:E,
        'Cutters Consumption Updates'!B:B, B121,
        'Cutters Consumption Updates'!A:A, "&gt;" &amp; TODAY()-182)</f>
        <v>38</v>
      </c>
      <c r="P121" s="701">
        <f ca="1">SUMIFS('Cutters Consumption Updates'!E:E,
        'Cutters Consumption Updates'!B:B, B121,
        'Cutters Consumption Updates'!A:A, "&gt;" &amp; TODAY()-91)</f>
        <v>11</v>
      </c>
      <c r="Q121" s="701">
        <f t="shared" ca="1" si="13"/>
        <v>13</v>
      </c>
      <c r="R121" s="703">
        <f t="shared" ca="1" si="14"/>
        <v>15</v>
      </c>
      <c r="S121" s="703" t="s">
        <v>118</v>
      </c>
      <c r="T121" s="24">
        <f>IFERROR(INDEX(Table5[],MATCH($B121,Table5[Component],0),2),0)</f>
        <v>102</v>
      </c>
      <c r="U121" s="24">
        <f>SUMIFS(Table7[Balance],Table7[Cutter Mat'#],$B121)</f>
        <v>0</v>
      </c>
      <c r="V121" s="24">
        <f t="shared" si="15"/>
        <v>-101</v>
      </c>
      <c r="W121" s="119"/>
      <c r="X121" s="2"/>
      <c r="Z121" s="4">
        <f>IFERROR(INDEX(Table5[],MATCH($B121,Table5[Component],0),2),0)</f>
        <v>102</v>
      </c>
      <c r="AA121" s="4">
        <f>IFERROR(INDEX(Table5[],MATCH($B121,Table5[Component],0),1),0)</f>
        <v>1134752</v>
      </c>
      <c r="AB121" s="4">
        <f t="shared" si="16"/>
        <v>1134752</v>
      </c>
      <c r="AC121" s="4" t="str">
        <f t="shared" si="17"/>
        <v/>
      </c>
      <c r="AE121" s="4">
        <f t="shared" si="18"/>
        <v>3</v>
      </c>
      <c r="AF121" s="9"/>
      <c r="AJ121" s="248" t="str">
        <f t="shared" si="19"/>
        <v/>
      </c>
      <c r="AK121" s="248" t="str">
        <f t="shared" si="20"/>
        <v/>
      </c>
      <c r="AL121">
        <f t="shared" si="21"/>
        <v>0</v>
      </c>
      <c r="AQ121">
        <f t="shared" si="23"/>
        <v>0</v>
      </c>
      <c r="AS121">
        <v>1039029</v>
      </c>
      <c r="AT121">
        <f t="shared" si="22"/>
        <v>0</v>
      </c>
    </row>
    <row r="122" spans="1:46" ht="15.65" customHeight="1" x14ac:dyDescent="0.35">
      <c r="A122" s="2">
        <v>121</v>
      </c>
      <c r="B122" s="2">
        <v>1130197</v>
      </c>
      <c r="C122" s="2" t="s">
        <v>26</v>
      </c>
      <c r="D122" s="2">
        <v>1608</v>
      </c>
      <c r="E122" s="2" t="s">
        <v>114</v>
      </c>
      <c r="F122" s="2" t="s">
        <v>253</v>
      </c>
      <c r="G122" s="6"/>
      <c r="H122" s="6" t="s">
        <v>49</v>
      </c>
      <c r="I122" s="10">
        <f>SUMIFS('Cutters Consumption Updates'!$F:$F,'Cutters Consumption Updates'!$D:$D,I$1,'Cutters Consumption Updates'!$B:$B,$B122)-SUMIFS('Cutters Consumption Updates'!$E:$E,'Cutters Consumption Updates'!$D:$D,I$1,'Cutters Consumption Updates'!$B:$B,$B122)+ SUMIF('Cutters Consumption Updates'!$AS:$AS,$B122,'Cutters Consumption Updates'!AT:AT)</f>
        <v>0</v>
      </c>
      <c r="J122" s="10">
        <f>SUMIFS('Cutters Consumption Updates'!$F:$F,'Cutters Consumption Updates'!$D:$D,J$1,'Cutters Consumption Updates'!$B:$B,$B122)-SUMIFS('Cutters Consumption Updates'!$E:$E,'Cutters Consumption Updates'!$D:$D,J$1,'Cutters Consumption Updates'!$B:$B,$B122)+ SUMIF('Cutters Consumption Updates'!$AS:$AS,$B122,'Cutters Consumption Updates'!AU:AU)</f>
        <v>0</v>
      </c>
      <c r="K122" s="116">
        <f>SUMIFS('Cutters Consumption Updates'!$F:$F,'Cutters Consumption Updates'!$D:$D,K$1,'Cutters Consumption Updates'!$B:$B,$B122)-SUMIFS('Cutters Consumption Updates'!$E:$E,'Cutters Consumption Updates'!$D:$D,K$1,'Cutters Consumption Updates'!$B:$B,$B122)+ SUMIF('Cutters Consumption Updates'!$AS:$AS,$B122,'Cutters Consumption Updates'!AV:AV)</f>
        <v>0</v>
      </c>
      <c r="L122" s="738">
        <f>SUMIFS('Cutters Consumption Updates'!$F:$F,'Cutters Consumption Updates'!$D:$D,L$1,'Cutters Consumption Updates'!$B:$B,$B122)-SUMIFS('Cutters Consumption Updates'!$E:$E,'Cutters Consumption Updates'!$D:$D,L$1,'Cutters Consumption Updates'!$B:$B,$B122)+ SUMIF('Cutters Consumption Updates'!$AS:$AS,$B122,'Cutters Consumption Updates'!AW:AW)</f>
        <v>0</v>
      </c>
      <c r="M122" s="116">
        <f>SUMIFS('Cutters Consumption Updates'!$F:$F,'Cutters Consumption Updates'!$D:$D,M$1,'Cutters Consumption Updates'!$B:$B,$B122)-SUMIFS('Cutters Consumption Updates'!$E:$E,'Cutters Consumption Updates'!$D:$D,$M$1,'Cutters Consumption Updates'!$B:$B,$B122)+SUMIFS('Cutters Consumption Updates'!$F:$F,'Cutters Consumption Updates'!$D:$D,"Retrofit",'Cutters Consumption Updates'!$B:$B,$B122)-SUMIFS('Cutters Consumption Updates'!$E:$E,'Cutters Consumption Updates'!$D:$D,"Retrofit",'Cutters Consumption Updates'!$B:$B,$B122)+ SUMIF('Cutters Consumption Updates'!$AS:$AS,$B122,'Cutters Consumption Updates'!AX:AX)</f>
        <v>0</v>
      </c>
      <c r="N122" s="10">
        <f t="shared" si="12"/>
        <v>0</v>
      </c>
      <c r="O122" s="701">
        <f ca="1">SUMIFS('Cutters Consumption Updates'!E:E,
        'Cutters Consumption Updates'!B:B, B122,
        'Cutters Consumption Updates'!A:A, "&gt;" &amp; TODAY()-182)</f>
        <v>39</v>
      </c>
      <c r="P122" s="701">
        <f ca="1">SUMIFS('Cutters Consumption Updates'!E:E,
        'Cutters Consumption Updates'!B:B, B122,
        'Cutters Consumption Updates'!A:A, "&gt;" &amp; TODAY()-91)</f>
        <v>1</v>
      </c>
      <c r="Q122" s="701">
        <f t="shared" ca="1" si="13"/>
        <v>13</v>
      </c>
      <c r="R122" s="703">
        <f t="shared" ca="1" si="14"/>
        <v>15</v>
      </c>
      <c r="S122" s="703" t="s">
        <v>119</v>
      </c>
      <c r="T122" s="24">
        <f>IFERROR(INDEX(Table5[],MATCH($B122,Table5[Component],0),2),0)</f>
        <v>80</v>
      </c>
      <c r="U122" s="24">
        <f>SUMIFS(Table7[Balance],Table7[Cutter Mat'#],$B122)</f>
        <v>0</v>
      </c>
      <c r="V122" s="24">
        <f t="shared" si="15"/>
        <v>-80</v>
      </c>
      <c r="W122" s="119"/>
      <c r="X122" s="2"/>
      <c r="Z122" s="4">
        <f>IFERROR(INDEX(Table5[],MATCH($B122,Table5[Component],0),2),0)</f>
        <v>80</v>
      </c>
      <c r="AA122" s="4">
        <f>IFERROR(INDEX(Table5[],MATCH($B122,Table5[Component],0),1),0)</f>
        <v>1130197</v>
      </c>
      <c r="AB122" s="4">
        <f t="shared" si="16"/>
        <v>1130197</v>
      </c>
      <c r="AC122" s="4" t="str">
        <f t="shared" si="17"/>
        <v/>
      </c>
      <c r="AE122" s="4">
        <f t="shared" si="18"/>
        <v>0</v>
      </c>
      <c r="AF122" s="9"/>
      <c r="AJ122" s="248" t="str">
        <f t="shared" si="19"/>
        <v/>
      </c>
      <c r="AK122" s="248" t="str">
        <f t="shared" si="20"/>
        <v/>
      </c>
      <c r="AL122">
        <f t="shared" si="21"/>
        <v>0</v>
      </c>
      <c r="AQ122">
        <f t="shared" si="23"/>
        <v>0</v>
      </c>
      <c r="AS122">
        <v>1039033</v>
      </c>
      <c r="AT122">
        <f t="shared" si="22"/>
        <v>0</v>
      </c>
    </row>
    <row r="123" spans="1:46" ht="15.65" customHeight="1" x14ac:dyDescent="0.35">
      <c r="A123" s="2">
        <v>122</v>
      </c>
      <c r="B123" s="2">
        <v>1130204</v>
      </c>
      <c r="C123" s="3" t="s">
        <v>42</v>
      </c>
      <c r="D123" s="2" t="s">
        <v>120</v>
      </c>
      <c r="E123" s="2" t="s">
        <v>114</v>
      </c>
      <c r="F123" s="2" t="s">
        <v>253</v>
      </c>
      <c r="G123" s="13" t="s">
        <v>68</v>
      </c>
      <c r="H123" s="6" t="s">
        <v>49</v>
      </c>
      <c r="I123" s="10">
        <f>SUMIFS('Cutters Consumption Updates'!$F:$F,'Cutters Consumption Updates'!$D:$D,I$1,'Cutters Consumption Updates'!$B:$B,$B123)-SUMIFS('Cutters Consumption Updates'!$E:$E,'Cutters Consumption Updates'!$D:$D,I$1,'Cutters Consumption Updates'!$B:$B,$B123)+ SUMIF('Cutters Consumption Updates'!$AS:$AS,$B123,'Cutters Consumption Updates'!AT:AT)</f>
        <v>0</v>
      </c>
      <c r="J123" s="10">
        <f>SUMIFS('Cutters Consumption Updates'!$F:$F,'Cutters Consumption Updates'!$D:$D,J$1,'Cutters Consumption Updates'!$B:$B,$B123)-SUMIFS('Cutters Consumption Updates'!$E:$E,'Cutters Consumption Updates'!$D:$D,J$1,'Cutters Consumption Updates'!$B:$B,$B123)+ SUMIF('Cutters Consumption Updates'!$AS:$AS,$B123,'Cutters Consumption Updates'!AU:AU)</f>
        <v>0</v>
      </c>
      <c r="K123" s="116">
        <f>SUMIFS('Cutters Consumption Updates'!$F:$F,'Cutters Consumption Updates'!$D:$D,K$1,'Cutters Consumption Updates'!$B:$B,$B123)-SUMIFS('Cutters Consumption Updates'!$E:$E,'Cutters Consumption Updates'!$D:$D,K$1,'Cutters Consumption Updates'!$B:$B,$B123)+ SUMIF('Cutters Consumption Updates'!$AS:$AS,$B123,'Cutters Consumption Updates'!AV:AV)</f>
        <v>0</v>
      </c>
      <c r="L123" s="738">
        <f>SUMIFS('Cutters Consumption Updates'!$F:$F,'Cutters Consumption Updates'!$D:$D,L$1,'Cutters Consumption Updates'!$B:$B,$B123)-SUMIFS('Cutters Consumption Updates'!$E:$E,'Cutters Consumption Updates'!$D:$D,L$1,'Cutters Consumption Updates'!$B:$B,$B123)+ SUMIF('Cutters Consumption Updates'!$AS:$AS,$B123,'Cutters Consumption Updates'!AW:AW)</f>
        <v>0</v>
      </c>
      <c r="M123" s="116">
        <f>SUMIFS('Cutters Consumption Updates'!$F:$F,'Cutters Consumption Updates'!$D:$D,M$1,'Cutters Consumption Updates'!$B:$B,$B123)-SUMIFS('Cutters Consumption Updates'!$E:$E,'Cutters Consumption Updates'!$D:$D,$M$1,'Cutters Consumption Updates'!$B:$B,$B123)+SUMIFS('Cutters Consumption Updates'!$F:$F,'Cutters Consumption Updates'!$D:$D,"Retrofit",'Cutters Consumption Updates'!$B:$B,$B123)-SUMIFS('Cutters Consumption Updates'!$E:$E,'Cutters Consumption Updates'!$D:$D,"Retrofit",'Cutters Consumption Updates'!$B:$B,$B123)+ SUMIF('Cutters Consumption Updates'!$AS:$AS,$B123,'Cutters Consumption Updates'!AX:AX)</f>
        <v>87</v>
      </c>
      <c r="N123" s="10">
        <f t="shared" si="12"/>
        <v>87</v>
      </c>
      <c r="O123" s="701">
        <f ca="1">SUMIFS('Cutters Consumption Updates'!E:E,
        'Cutters Consumption Updates'!B:B, B123,
        'Cutters Consumption Updates'!A:A, "&gt;" &amp; TODAY()-182)</f>
        <v>2</v>
      </c>
      <c r="P123" s="701">
        <f ca="1">SUMIFS('Cutters Consumption Updates'!E:E,
        'Cutters Consumption Updates'!B:B, B123,
        'Cutters Consumption Updates'!A:A, "&gt;" &amp; TODAY()-91)</f>
        <v>0</v>
      </c>
      <c r="Q123" s="701">
        <f t="shared" ca="1" si="13"/>
        <v>1</v>
      </c>
      <c r="R123" s="703">
        <f t="shared" ca="1" si="14"/>
        <v>0</v>
      </c>
      <c r="S123" s="703" t="s">
        <v>29</v>
      </c>
      <c r="T123" s="24">
        <f>IFERROR(INDEX(Table5[],MATCH($B123,Table5[Component],0),2),0)</f>
        <v>0</v>
      </c>
      <c r="U123" s="24">
        <f>SUMIFS(Table7[Balance],Table7[Cutter Mat'#],$B123)</f>
        <v>0</v>
      </c>
      <c r="V123" s="24">
        <f t="shared" si="15"/>
        <v>87</v>
      </c>
      <c r="W123" s="119"/>
      <c r="X123" s="2"/>
      <c r="Z123" s="4">
        <f>IFERROR(INDEX(Table5[],MATCH($B123,Table5[Component],0),2),0)</f>
        <v>0</v>
      </c>
      <c r="AA123" s="4">
        <f>IFERROR(INDEX(Table5[],MATCH($B123,Table5[Component],0),1),0)</f>
        <v>0</v>
      </c>
      <c r="AB123" s="4" t="str">
        <f t="shared" si="16"/>
        <v/>
      </c>
      <c r="AC123" s="4" t="str">
        <f t="shared" si="17"/>
        <v/>
      </c>
      <c r="AE123" s="4">
        <f t="shared" si="18"/>
        <v>87</v>
      </c>
      <c r="AF123" s="9"/>
      <c r="AJ123" s="248" t="str">
        <f t="shared" si="19"/>
        <v/>
      </c>
      <c r="AK123" s="248" t="str">
        <f t="shared" si="20"/>
        <v/>
      </c>
      <c r="AL123">
        <f t="shared" si="21"/>
        <v>0</v>
      </c>
      <c r="AQ123">
        <f t="shared" si="23"/>
        <v>0</v>
      </c>
      <c r="AS123">
        <v>1039034</v>
      </c>
      <c r="AT123">
        <f t="shared" si="22"/>
        <v>0</v>
      </c>
    </row>
    <row r="124" spans="1:46" ht="15.65" customHeight="1" x14ac:dyDescent="0.35">
      <c r="A124" s="2">
        <v>123</v>
      </c>
      <c r="B124" s="2">
        <v>971088</v>
      </c>
      <c r="C124" s="2" t="s">
        <v>42</v>
      </c>
      <c r="D124" s="2" t="s">
        <v>38</v>
      </c>
      <c r="E124" s="2" t="s">
        <v>86</v>
      </c>
      <c r="F124" s="2" t="s">
        <v>253</v>
      </c>
      <c r="G124" s="6" t="s">
        <v>68</v>
      </c>
      <c r="H124" s="6" t="s">
        <v>47</v>
      </c>
      <c r="I124" s="10">
        <f>SUMIFS('Cutters Consumption Updates'!$F:$F,'Cutters Consumption Updates'!$D:$D,I$1,'Cutters Consumption Updates'!$B:$B,$B124)-SUMIFS('Cutters Consumption Updates'!$E:$E,'Cutters Consumption Updates'!$D:$D,I$1,'Cutters Consumption Updates'!$B:$B,$B124)+ SUMIF('Cutters Consumption Updates'!$AS:$AS,$B124,'Cutters Consumption Updates'!AT:AT)</f>
        <v>0</v>
      </c>
      <c r="J124" s="10">
        <f>SUMIFS('Cutters Consumption Updates'!$F:$F,'Cutters Consumption Updates'!$D:$D,J$1,'Cutters Consumption Updates'!$B:$B,$B124)-SUMIFS('Cutters Consumption Updates'!$E:$E,'Cutters Consumption Updates'!$D:$D,J$1,'Cutters Consumption Updates'!$B:$B,$B124)+ SUMIF('Cutters Consumption Updates'!$AS:$AS,$B124,'Cutters Consumption Updates'!AU:AU)</f>
        <v>0</v>
      </c>
      <c r="K124" s="116">
        <f>SUMIFS('Cutters Consumption Updates'!$F:$F,'Cutters Consumption Updates'!$D:$D,K$1,'Cutters Consumption Updates'!$B:$B,$B124)-SUMIFS('Cutters Consumption Updates'!$E:$E,'Cutters Consumption Updates'!$D:$D,K$1,'Cutters Consumption Updates'!$B:$B,$B124)+ SUMIF('Cutters Consumption Updates'!$AS:$AS,$B124,'Cutters Consumption Updates'!AV:AV)</f>
        <v>0</v>
      </c>
      <c r="L124" s="738">
        <f>SUMIFS('Cutters Consumption Updates'!$F:$F,'Cutters Consumption Updates'!$D:$D,L$1,'Cutters Consumption Updates'!$B:$B,$B124)-SUMIFS('Cutters Consumption Updates'!$E:$E,'Cutters Consumption Updates'!$D:$D,L$1,'Cutters Consumption Updates'!$B:$B,$B124)+ SUMIF('Cutters Consumption Updates'!$AS:$AS,$B124,'Cutters Consumption Updates'!AW:AW)</f>
        <v>0</v>
      </c>
      <c r="M124" s="116">
        <f>SUMIFS('Cutters Consumption Updates'!$F:$F,'Cutters Consumption Updates'!$D:$D,M$1,'Cutters Consumption Updates'!$B:$B,$B124)-SUMIFS('Cutters Consumption Updates'!$E:$E,'Cutters Consumption Updates'!$D:$D,$M$1,'Cutters Consumption Updates'!$B:$B,$B124)+SUMIFS('Cutters Consumption Updates'!$F:$F,'Cutters Consumption Updates'!$D:$D,"Retrofit",'Cutters Consumption Updates'!$B:$B,$B124)-SUMIFS('Cutters Consumption Updates'!$E:$E,'Cutters Consumption Updates'!$D:$D,"Retrofit",'Cutters Consumption Updates'!$B:$B,$B124)+ SUMIF('Cutters Consumption Updates'!$AS:$AS,$B124,'Cutters Consumption Updates'!AX:AX)</f>
        <v>116</v>
      </c>
      <c r="N124" s="10">
        <f t="shared" si="12"/>
        <v>116</v>
      </c>
      <c r="O124" s="701">
        <f ca="1">SUMIFS('Cutters Consumption Updates'!E:E,
        'Cutters Consumption Updates'!B:B, B124,
        'Cutters Consumption Updates'!A:A, "&gt;" &amp; TODAY()-182)</f>
        <v>1</v>
      </c>
      <c r="P124" s="701">
        <f ca="1">SUMIFS('Cutters Consumption Updates'!E:E,
        'Cutters Consumption Updates'!B:B, B124,
        'Cutters Consumption Updates'!A:A, "&gt;" &amp; TODAY()-91)</f>
        <v>0</v>
      </c>
      <c r="Q124" s="701">
        <f t="shared" ca="1" si="13"/>
        <v>1</v>
      </c>
      <c r="R124" s="703">
        <f t="shared" ca="1" si="14"/>
        <v>0</v>
      </c>
      <c r="S124" s="703" t="s">
        <v>29</v>
      </c>
      <c r="T124" s="24">
        <f>IFERROR(INDEX(Table5[],MATCH($B124,Table5[Component],0),2),0)</f>
        <v>0</v>
      </c>
      <c r="U124" s="24">
        <f>SUMIFS(Table7[Balance],Table7[Cutter Mat'#],$B124)</f>
        <v>0</v>
      </c>
      <c r="V124" s="24">
        <f t="shared" si="15"/>
        <v>116</v>
      </c>
      <c r="W124" s="119"/>
      <c r="X124" s="2"/>
      <c r="Z124" s="4">
        <f>IFERROR(INDEX(Table5[],MATCH($B124,Table5[Component],0),2),0)</f>
        <v>0</v>
      </c>
      <c r="AA124" s="4">
        <f>IFERROR(INDEX(Table5[],MATCH($B124,Table5[Component],0),1),0)</f>
        <v>0</v>
      </c>
      <c r="AB124" s="4" t="str">
        <f t="shared" si="16"/>
        <v/>
      </c>
      <c r="AC124" s="4" t="str">
        <f t="shared" si="17"/>
        <v/>
      </c>
      <c r="AE124" s="4">
        <f t="shared" si="18"/>
        <v>116</v>
      </c>
      <c r="AF124" s="9"/>
      <c r="AJ124" s="248" t="str">
        <f t="shared" si="19"/>
        <v/>
      </c>
      <c r="AK124" s="248" t="str">
        <f t="shared" si="20"/>
        <v/>
      </c>
      <c r="AL124">
        <f t="shared" si="21"/>
        <v>0</v>
      </c>
      <c r="AQ124">
        <f t="shared" si="23"/>
        <v>0</v>
      </c>
      <c r="AS124">
        <v>1039035</v>
      </c>
      <c r="AT124">
        <f t="shared" si="22"/>
        <v>0</v>
      </c>
    </row>
    <row r="125" spans="1:46" ht="15.65" customHeight="1" x14ac:dyDescent="0.35">
      <c r="A125" s="2">
        <v>124</v>
      </c>
      <c r="B125" s="2">
        <v>1039033</v>
      </c>
      <c r="C125" s="2" t="s">
        <v>26</v>
      </c>
      <c r="D125" s="2">
        <v>1308</v>
      </c>
      <c r="E125" s="2" t="s">
        <v>88</v>
      </c>
      <c r="F125" s="2" t="s">
        <v>248</v>
      </c>
      <c r="G125" s="6"/>
      <c r="H125" s="6" t="s">
        <v>49</v>
      </c>
      <c r="I125" s="10">
        <f>SUMIFS('Cutters Consumption Updates'!$F:$F,'Cutters Consumption Updates'!$D:$D,I$1,'Cutters Consumption Updates'!$B:$B,$B125)-SUMIFS('Cutters Consumption Updates'!$E:$E,'Cutters Consumption Updates'!$D:$D,I$1,'Cutters Consumption Updates'!$B:$B,$B125)+ SUMIF('Cutters Consumption Updates'!$AS:$AS,$B125,'Cutters Consumption Updates'!AT:AT)</f>
        <v>0</v>
      </c>
      <c r="J125" s="10">
        <f>SUMIFS('Cutters Consumption Updates'!$F:$F,'Cutters Consumption Updates'!$D:$D,J$1,'Cutters Consumption Updates'!$B:$B,$B125)-SUMIFS('Cutters Consumption Updates'!$E:$E,'Cutters Consumption Updates'!$D:$D,J$1,'Cutters Consumption Updates'!$B:$B,$B125)+ SUMIF('Cutters Consumption Updates'!$AS:$AS,$B125,'Cutters Consumption Updates'!AU:AU)</f>
        <v>0</v>
      </c>
      <c r="K125" s="116">
        <f>SUMIFS('Cutters Consumption Updates'!$F:$F,'Cutters Consumption Updates'!$D:$D,K$1,'Cutters Consumption Updates'!$B:$B,$B125)-SUMIFS('Cutters Consumption Updates'!$E:$E,'Cutters Consumption Updates'!$D:$D,K$1,'Cutters Consumption Updates'!$B:$B,$B125)+ SUMIF('Cutters Consumption Updates'!$AS:$AS,$B125,'Cutters Consumption Updates'!AV:AV)</f>
        <v>0</v>
      </c>
      <c r="L125" s="738">
        <f>SUMIFS('Cutters Consumption Updates'!$F:$F,'Cutters Consumption Updates'!$D:$D,L$1,'Cutters Consumption Updates'!$B:$B,$B125)-SUMIFS('Cutters Consumption Updates'!$E:$E,'Cutters Consumption Updates'!$D:$D,L$1,'Cutters Consumption Updates'!$B:$B,$B125)+ SUMIF('Cutters Consumption Updates'!$AS:$AS,$B125,'Cutters Consumption Updates'!AW:AW)</f>
        <v>0</v>
      </c>
      <c r="M125" s="116">
        <f>SUMIFS('Cutters Consumption Updates'!$F:$F,'Cutters Consumption Updates'!$D:$D,M$1,'Cutters Consumption Updates'!$B:$B,$B125)-SUMIFS('Cutters Consumption Updates'!$E:$E,'Cutters Consumption Updates'!$D:$D,$M$1,'Cutters Consumption Updates'!$B:$B,$B125)+SUMIFS('Cutters Consumption Updates'!$F:$F,'Cutters Consumption Updates'!$D:$D,"Retrofit",'Cutters Consumption Updates'!$B:$B,$B125)-SUMIFS('Cutters Consumption Updates'!$E:$E,'Cutters Consumption Updates'!$D:$D,"Retrofit",'Cutters Consumption Updates'!$B:$B,$B125)+ SUMIF('Cutters Consumption Updates'!$AS:$AS,$B125,'Cutters Consumption Updates'!AX:AX)</f>
        <v>0</v>
      </c>
      <c r="N125" s="10">
        <f t="shared" si="12"/>
        <v>0</v>
      </c>
      <c r="O125" s="701">
        <f ca="1">SUMIFS('Cutters Consumption Updates'!E:E,
        'Cutters Consumption Updates'!B:B, B125,
        'Cutters Consumption Updates'!A:A, "&gt;" &amp; TODAY()-182)</f>
        <v>0</v>
      </c>
      <c r="P125" s="701">
        <f ca="1">SUMIFS('Cutters Consumption Updates'!E:E,
        'Cutters Consumption Updates'!B:B, B125,
        'Cutters Consumption Updates'!A:A, "&gt;" &amp; TODAY()-91)</f>
        <v>0</v>
      </c>
      <c r="Q125" s="701">
        <f t="shared" ca="1" si="13"/>
        <v>0</v>
      </c>
      <c r="R125" s="703">
        <f t="shared" ca="1" si="14"/>
        <v>0</v>
      </c>
      <c r="S125" s="703" t="s">
        <v>29</v>
      </c>
      <c r="T125" s="24">
        <f>IFERROR(INDEX(Table5[],MATCH($B125,Table5[Component],0),2),0)</f>
        <v>0</v>
      </c>
      <c r="U125" s="24">
        <f>SUMIFS(Table7[Balance],Table7[Cutter Mat'#],$B125)</f>
        <v>0</v>
      </c>
      <c r="V125" s="24">
        <f t="shared" si="15"/>
        <v>0</v>
      </c>
      <c r="W125" s="119"/>
      <c r="X125" s="2"/>
      <c r="Z125" s="4">
        <f>IFERROR(INDEX(Table5[],MATCH($B125,Table5[Component],0),2),0)</f>
        <v>0</v>
      </c>
      <c r="AA125" s="4">
        <f>IFERROR(INDEX(Table5[],MATCH($B125,Table5[Component],0),1),0)</f>
        <v>1039033</v>
      </c>
      <c r="AB125" s="4" t="str">
        <f t="shared" si="16"/>
        <v/>
      </c>
      <c r="AC125" s="4" t="str">
        <f t="shared" si="17"/>
        <v/>
      </c>
      <c r="AE125" s="4">
        <f t="shared" si="18"/>
        <v>0</v>
      </c>
      <c r="AF125" s="9"/>
      <c r="AJ125" s="248" t="str">
        <f t="shared" si="19"/>
        <v/>
      </c>
      <c r="AK125" s="248" t="str">
        <f t="shared" si="20"/>
        <v/>
      </c>
      <c r="AL125">
        <f t="shared" si="21"/>
        <v>0</v>
      </c>
      <c r="AQ125">
        <f t="shared" si="23"/>
        <v>0</v>
      </c>
      <c r="AS125">
        <v>1039036</v>
      </c>
      <c r="AT125">
        <f t="shared" si="22"/>
        <v>0</v>
      </c>
    </row>
    <row r="126" spans="1:46" ht="15.65" customHeight="1" x14ac:dyDescent="0.35">
      <c r="A126" s="2">
        <v>125</v>
      </c>
      <c r="B126" s="2">
        <v>1144818</v>
      </c>
      <c r="C126" s="2" t="s">
        <v>26</v>
      </c>
      <c r="D126" s="2">
        <v>1308</v>
      </c>
      <c r="E126" s="2" t="s">
        <v>116</v>
      </c>
      <c r="F126" s="2" t="s">
        <v>253</v>
      </c>
      <c r="G126" s="6" t="s">
        <v>117</v>
      </c>
      <c r="H126" s="6" t="s">
        <v>107</v>
      </c>
      <c r="I126" s="10">
        <f>SUMIFS('Cutters Consumption Updates'!$F:$F,'Cutters Consumption Updates'!$D:$D,I$1,'Cutters Consumption Updates'!$B:$B,$B126)-SUMIFS('Cutters Consumption Updates'!$E:$E,'Cutters Consumption Updates'!$D:$D,I$1,'Cutters Consumption Updates'!$B:$B,$B126)+ SUMIF('Cutters Consumption Updates'!$AS:$AS,$B126,'Cutters Consumption Updates'!AT:AT)</f>
        <v>0</v>
      </c>
      <c r="J126" s="10">
        <f>SUMIFS('Cutters Consumption Updates'!$F:$F,'Cutters Consumption Updates'!$D:$D,J$1,'Cutters Consumption Updates'!$B:$B,$B126)-SUMIFS('Cutters Consumption Updates'!$E:$E,'Cutters Consumption Updates'!$D:$D,J$1,'Cutters Consumption Updates'!$B:$B,$B126)+ SUMIF('Cutters Consumption Updates'!$AS:$AS,$B126,'Cutters Consumption Updates'!AU:AU)</f>
        <v>0</v>
      </c>
      <c r="K126" s="116">
        <f>SUMIFS('Cutters Consumption Updates'!$F:$F,'Cutters Consumption Updates'!$D:$D,K$1,'Cutters Consumption Updates'!$B:$B,$B126)-SUMIFS('Cutters Consumption Updates'!$E:$E,'Cutters Consumption Updates'!$D:$D,K$1,'Cutters Consumption Updates'!$B:$B,$B126)+ SUMIF('Cutters Consumption Updates'!$AS:$AS,$B126,'Cutters Consumption Updates'!AV:AV)</f>
        <v>0</v>
      </c>
      <c r="L126" s="738">
        <f>SUMIFS('Cutters Consumption Updates'!$F:$F,'Cutters Consumption Updates'!$D:$D,L$1,'Cutters Consumption Updates'!$B:$B,$B126)-SUMIFS('Cutters Consumption Updates'!$E:$E,'Cutters Consumption Updates'!$D:$D,L$1,'Cutters Consumption Updates'!$B:$B,$B126)+ SUMIF('Cutters Consumption Updates'!$AS:$AS,$B126,'Cutters Consumption Updates'!AW:AW)</f>
        <v>0</v>
      </c>
      <c r="M126" s="116">
        <f>SUMIFS('Cutters Consumption Updates'!$F:$F,'Cutters Consumption Updates'!$D:$D,M$1,'Cutters Consumption Updates'!$B:$B,$B126)-SUMIFS('Cutters Consumption Updates'!$E:$E,'Cutters Consumption Updates'!$D:$D,$M$1,'Cutters Consumption Updates'!$B:$B,$B126)+SUMIFS('Cutters Consumption Updates'!$F:$F,'Cutters Consumption Updates'!$D:$D,"Retrofit",'Cutters Consumption Updates'!$B:$B,$B126)-SUMIFS('Cutters Consumption Updates'!$E:$E,'Cutters Consumption Updates'!$D:$D,"Retrofit",'Cutters Consumption Updates'!$B:$B,$B126)+ SUMIF('Cutters Consumption Updates'!$AS:$AS,$B126,'Cutters Consumption Updates'!AX:AX)</f>
        <v>0</v>
      </c>
      <c r="N126" s="10">
        <f t="shared" si="12"/>
        <v>0</v>
      </c>
      <c r="O126" s="701">
        <f ca="1">SUMIFS('Cutters Consumption Updates'!E:E,
        'Cutters Consumption Updates'!B:B, B126,
        'Cutters Consumption Updates'!A:A, "&gt;" &amp; TODAY()-182)</f>
        <v>1</v>
      </c>
      <c r="P126" s="701">
        <f ca="1">SUMIFS('Cutters Consumption Updates'!E:E,
        'Cutters Consumption Updates'!B:B, B126,
        'Cutters Consumption Updates'!A:A, "&gt;" &amp; TODAY()-91)</f>
        <v>1</v>
      </c>
      <c r="Q126" s="701">
        <f t="shared" ca="1" si="13"/>
        <v>1</v>
      </c>
      <c r="R126" s="703">
        <f t="shared" ca="1" si="14"/>
        <v>0</v>
      </c>
      <c r="S126" s="703" t="s">
        <v>121</v>
      </c>
      <c r="T126" s="24">
        <f>IFERROR(INDEX(Table5[],MATCH($B126,Table5[Component],0),2),0)</f>
        <v>0</v>
      </c>
      <c r="U126" s="24">
        <f>SUMIFS(Table7[Balance],Table7[Cutter Mat'#],$B126)</f>
        <v>0</v>
      </c>
      <c r="V126" s="24">
        <f t="shared" si="15"/>
        <v>0</v>
      </c>
      <c r="W126" s="119"/>
      <c r="X126" s="2"/>
      <c r="Z126" s="4">
        <f>IFERROR(INDEX(Table5[],MATCH($B126,Table5[Component],0),2),0)</f>
        <v>0</v>
      </c>
      <c r="AA126" s="4">
        <f>IFERROR(INDEX(Table5[],MATCH($B126,Table5[Component],0),1),0)</f>
        <v>0</v>
      </c>
      <c r="AB126" s="4" t="str">
        <f t="shared" si="16"/>
        <v/>
      </c>
      <c r="AC126" s="4" t="str">
        <f t="shared" si="17"/>
        <v/>
      </c>
      <c r="AE126" s="4">
        <f t="shared" si="18"/>
        <v>0</v>
      </c>
      <c r="AJ126" s="248" t="str">
        <f t="shared" si="19"/>
        <v/>
      </c>
      <c r="AK126" s="248" t="str">
        <f t="shared" si="20"/>
        <v/>
      </c>
      <c r="AL126">
        <f t="shared" si="21"/>
        <v>0</v>
      </c>
      <c r="AQ126">
        <f t="shared" si="23"/>
        <v>0</v>
      </c>
      <c r="AS126">
        <v>1039057</v>
      </c>
      <c r="AT126">
        <f t="shared" si="22"/>
        <v>0</v>
      </c>
    </row>
    <row r="127" spans="1:46" ht="15.65" customHeight="1" x14ac:dyDescent="0.35">
      <c r="A127" s="2">
        <v>126</v>
      </c>
      <c r="B127" s="2">
        <v>1144820</v>
      </c>
      <c r="C127" s="2" t="s">
        <v>26</v>
      </c>
      <c r="D127" s="3">
        <v>1608</v>
      </c>
      <c r="E127" s="2" t="s">
        <v>116</v>
      </c>
      <c r="F127" s="2" t="s">
        <v>253</v>
      </c>
      <c r="G127" s="6" t="s">
        <v>117</v>
      </c>
      <c r="H127" s="6" t="s">
        <v>107</v>
      </c>
      <c r="I127" s="10">
        <f>SUMIFS('Cutters Consumption Updates'!$F:$F,'Cutters Consumption Updates'!$D:$D,I$1,'Cutters Consumption Updates'!$B:$B,$B127)-SUMIFS('Cutters Consumption Updates'!$E:$E,'Cutters Consumption Updates'!$D:$D,I$1,'Cutters Consumption Updates'!$B:$B,$B127)+ SUMIF('Cutters Consumption Updates'!$AS:$AS,$B127,'Cutters Consumption Updates'!AT:AT)</f>
        <v>0</v>
      </c>
      <c r="J127" s="10">
        <f>SUMIFS('Cutters Consumption Updates'!$F:$F,'Cutters Consumption Updates'!$D:$D,J$1,'Cutters Consumption Updates'!$B:$B,$B127)-SUMIFS('Cutters Consumption Updates'!$E:$E,'Cutters Consumption Updates'!$D:$D,J$1,'Cutters Consumption Updates'!$B:$B,$B127)+ SUMIF('Cutters Consumption Updates'!$AS:$AS,$B127,'Cutters Consumption Updates'!AU:AU)</f>
        <v>0</v>
      </c>
      <c r="K127" s="116">
        <f>SUMIFS('Cutters Consumption Updates'!$F:$F,'Cutters Consumption Updates'!$D:$D,K$1,'Cutters Consumption Updates'!$B:$B,$B127)-SUMIFS('Cutters Consumption Updates'!$E:$E,'Cutters Consumption Updates'!$D:$D,K$1,'Cutters Consumption Updates'!$B:$B,$B127)+ SUMIF('Cutters Consumption Updates'!$AS:$AS,$B127,'Cutters Consumption Updates'!AV:AV)</f>
        <v>0</v>
      </c>
      <c r="L127" s="738">
        <f>SUMIFS('Cutters Consumption Updates'!$F:$F,'Cutters Consumption Updates'!$D:$D,L$1,'Cutters Consumption Updates'!$B:$B,$B127)-SUMIFS('Cutters Consumption Updates'!$E:$E,'Cutters Consumption Updates'!$D:$D,L$1,'Cutters Consumption Updates'!$B:$B,$B127)+ SUMIF('Cutters Consumption Updates'!$AS:$AS,$B127,'Cutters Consumption Updates'!AW:AW)</f>
        <v>0</v>
      </c>
      <c r="M127" s="116">
        <f>SUMIFS('Cutters Consumption Updates'!$F:$F,'Cutters Consumption Updates'!$D:$D,M$1,'Cutters Consumption Updates'!$B:$B,$B127)-SUMIFS('Cutters Consumption Updates'!$E:$E,'Cutters Consumption Updates'!$D:$D,$M$1,'Cutters Consumption Updates'!$B:$B,$B127)+SUMIFS('Cutters Consumption Updates'!$F:$F,'Cutters Consumption Updates'!$D:$D,"Retrofit",'Cutters Consumption Updates'!$B:$B,$B127)-SUMIFS('Cutters Consumption Updates'!$E:$E,'Cutters Consumption Updates'!$D:$D,"Retrofit",'Cutters Consumption Updates'!$B:$B,$B127)+ SUMIF('Cutters Consumption Updates'!$AS:$AS,$B127,'Cutters Consumption Updates'!AX:AX)</f>
        <v>6</v>
      </c>
      <c r="N127" s="10">
        <f t="shared" si="12"/>
        <v>6</v>
      </c>
      <c r="O127" s="701">
        <f ca="1">SUMIFS('Cutters Consumption Updates'!E:E,
        'Cutters Consumption Updates'!B:B, B127,
        'Cutters Consumption Updates'!A:A, "&gt;" &amp; TODAY()-182)</f>
        <v>0</v>
      </c>
      <c r="P127" s="701">
        <f ca="1">SUMIFS('Cutters Consumption Updates'!E:E,
        'Cutters Consumption Updates'!B:B, B127,
        'Cutters Consumption Updates'!A:A, "&gt;" &amp; TODAY()-91)</f>
        <v>0</v>
      </c>
      <c r="Q127" s="701">
        <f t="shared" ca="1" si="13"/>
        <v>0</v>
      </c>
      <c r="R127" s="703">
        <f t="shared" ca="1" si="14"/>
        <v>0</v>
      </c>
      <c r="S127" s="703" t="s">
        <v>29</v>
      </c>
      <c r="T127" s="24">
        <f>IFERROR(INDEX(Table5[],MATCH($B127,Table5[Component],0),2),0)</f>
        <v>0</v>
      </c>
      <c r="U127" s="24">
        <f>SUMIFS(Table7[Balance],Table7[Cutter Mat'#],$B127)</f>
        <v>0</v>
      </c>
      <c r="V127" s="24">
        <f t="shared" si="15"/>
        <v>6</v>
      </c>
      <c r="W127" s="119"/>
      <c r="X127" s="2"/>
      <c r="Z127" s="4">
        <f>IFERROR(INDEX(Table5[],MATCH($B127,Table5[Component],0),2),0)</f>
        <v>0</v>
      </c>
      <c r="AA127" s="4">
        <f>IFERROR(INDEX(Table5[],MATCH($B127,Table5[Component],0),1),0)</f>
        <v>0</v>
      </c>
      <c r="AB127" s="4" t="str">
        <f t="shared" si="16"/>
        <v/>
      </c>
      <c r="AC127" s="4" t="str">
        <f t="shared" si="17"/>
        <v/>
      </c>
      <c r="AE127" s="4">
        <f t="shared" si="18"/>
        <v>6</v>
      </c>
      <c r="AJ127" s="248" t="str">
        <f t="shared" si="19"/>
        <v/>
      </c>
      <c r="AK127" s="248" t="str">
        <f t="shared" si="20"/>
        <v/>
      </c>
      <c r="AL127">
        <f t="shared" si="21"/>
        <v>0</v>
      </c>
      <c r="AQ127">
        <f t="shared" si="23"/>
        <v>0</v>
      </c>
      <c r="AS127">
        <v>1039058</v>
      </c>
      <c r="AT127">
        <f t="shared" si="22"/>
        <v>0</v>
      </c>
    </row>
    <row r="128" spans="1:46" ht="15.65" customHeight="1" x14ac:dyDescent="0.35">
      <c r="A128" s="2">
        <v>127</v>
      </c>
      <c r="B128" s="2">
        <v>1144689</v>
      </c>
      <c r="C128" s="2" t="s">
        <v>26</v>
      </c>
      <c r="D128" s="2">
        <v>1308</v>
      </c>
      <c r="E128" s="2" t="s">
        <v>116</v>
      </c>
      <c r="F128" s="2" t="s">
        <v>248</v>
      </c>
      <c r="G128" s="6" t="s">
        <v>117</v>
      </c>
      <c r="H128" s="6" t="s">
        <v>107</v>
      </c>
      <c r="I128" s="10">
        <f>SUMIFS('Cutters Consumption Updates'!$F:$F,'Cutters Consumption Updates'!$D:$D,I$1,'Cutters Consumption Updates'!$B:$B,$B128)-SUMIFS('Cutters Consumption Updates'!$E:$E,'Cutters Consumption Updates'!$D:$D,I$1,'Cutters Consumption Updates'!$B:$B,$B128)+ SUMIF('Cutters Consumption Updates'!$AS:$AS,$B128,'Cutters Consumption Updates'!AT:AT)</f>
        <v>0</v>
      </c>
      <c r="J128" s="10">
        <f>SUMIFS('Cutters Consumption Updates'!$F:$F,'Cutters Consumption Updates'!$D:$D,J$1,'Cutters Consumption Updates'!$B:$B,$B128)-SUMIFS('Cutters Consumption Updates'!$E:$E,'Cutters Consumption Updates'!$D:$D,J$1,'Cutters Consumption Updates'!$B:$B,$B128)+ SUMIF('Cutters Consumption Updates'!$AS:$AS,$B128,'Cutters Consumption Updates'!AU:AU)</f>
        <v>0</v>
      </c>
      <c r="K128" s="116">
        <f>SUMIFS('Cutters Consumption Updates'!$F:$F,'Cutters Consumption Updates'!$D:$D,K$1,'Cutters Consumption Updates'!$B:$B,$B128)-SUMIFS('Cutters Consumption Updates'!$E:$E,'Cutters Consumption Updates'!$D:$D,K$1,'Cutters Consumption Updates'!$B:$B,$B128)+ SUMIF('Cutters Consumption Updates'!$AS:$AS,$B128,'Cutters Consumption Updates'!AV:AV)</f>
        <v>0</v>
      </c>
      <c r="L128" s="738">
        <f>SUMIFS('Cutters Consumption Updates'!$F:$F,'Cutters Consumption Updates'!$D:$D,L$1,'Cutters Consumption Updates'!$B:$B,$B128)-SUMIFS('Cutters Consumption Updates'!$E:$E,'Cutters Consumption Updates'!$D:$D,L$1,'Cutters Consumption Updates'!$B:$B,$B128)+ SUMIF('Cutters Consumption Updates'!$AS:$AS,$B128,'Cutters Consumption Updates'!AW:AW)</f>
        <v>0</v>
      </c>
      <c r="M128" s="116">
        <f>SUMIFS('Cutters Consumption Updates'!$F:$F,'Cutters Consumption Updates'!$D:$D,M$1,'Cutters Consumption Updates'!$B:$B,$B128)-SUMIFS('Cutters Consumption Updates'!$E:$E,'Cutters Consumption Updates'!$D:$D,$M$1,'Cutters Consumption Updates'!$B:$B,$B128)+SUMIFS('Cutters Consumption Updates'!$F:$F,'Cutters Consumption Updates'!$D:$D,"Retrofit",'Cutters Consumption Updates'!$B:$B,$B128)-SUMIFS('Cutters Consumption Updates'!$E:$E,'Cutters Consumption Updates'!$D:$D,"Retrofit",'Cutters Consumption Updates'!$B:$B,$B128)+ SUMIF('Cutters Consumption Updates'!$AS:$AS,$B128,'Cutters Consumption Updates'!AX:AX)</f>
        <v>0</v>
      </c>
      <c r="N128" s="10">
        <f t="shared" si="12"/>
        <v>0</v>
      </c>
      <c r="O128" s="701">
        <f ca="1">SUMIFS('Cutters Consumption Updates'!E:E,
        'Cutters Consumption Updates'!B:B, B128,
        'Cutters Consumption Updates'!A:A, "&gt;" &amp; TODAY()-182)</f>
        <v>0</v>
      </c>
      <c r="P128" s="701">
        <f ca="1">SUMIFS('Cutters Consumption Updates'!E:E,
        'Cutters Consumption Updates'!B:B, B128,
        'Cutters Consumption Updates'!A:A, "&gt;" &amp; TODAY()-91)</f>
        <v>0</v>
      </c>
      <c r="Q128" s="701">
        <f t="shared" ca="1" si="13"/>
        <v>0</v>
      </c>
      <c r="R128" s="703">
        <f t="shared" ca="1" si="14"/>
        <v>0</v>
      </c>
      <c r="S128" s="703" t="s">
        <v>29</v>
      </c>
      <c r="T128" s="24">
        <f>IFERROR(INDEX(Table5[],MATCH($B128,Table5[Component],0),2),0)</f>
        <v>0</v>
      </c>
      <c r="U128" s="24">
        <f>SUMIFS(Table7[Balance],Table7[Cutter Mat'#],$B128)</f>
        <v>0</v>
      </c>
      <c r="V128" s="24">
        <f t="shared" si="15"/>
        <v>0</v>
      </c>
      <c r="W128" s="119"/>
      <c r="X128" s="2"/>
      <c r="Z128" s="4">
        <f>IFERROR(INDEX(Table5[],MATCH($B128,Table5[Component],0),2),0)</f>
        <v>0</v>
      </c>
      <c r="AA128" s="4">
        <f>IFERROR(INDEX(Table5[],MATCH($B128,Table5[Component],0),1),0)</f>
        <v>0</v>
      </c>
      <c r="AB128" s="4" t="str">
        <f t="shared" si="16"/>
        <v/>
      </c>
      <c r="AC128" s="4" t="str">
        <f t="shared" si="17"/>
        <v/>
      </c>
      <c r="AE128" s="4">
        <f t="shared" si="18"/>
        <v>0</v>
      </c>
      <c r="AJ128" s="248" t="str">
        <f t="shared" si="19"/>
        <v/>
      </c>
      <c r="AK128" s="248" t="str">
        <f t="shared" si="20"/>
        <v/>
      </c>
      <c r="AL128">
        <f t="shared" si="21"/>
        <v>0</v>
      </c>
      <c r="AQ128">
        <f t="shared" si="23"/>
        <v>0</v>
      </c>
      <c r="AS128">
        <v>1039060</v>
      </c>
      <c r="AT128">
        <f t="shared" si="22"/>
        <v>0</v>
      </c>
    </row>
    <row r="129" spans="1:46" ht="15.65" customHeight="1" x14ac:dyDescent="0.35">
      <c r="A129" s="2">
        <v>128</v>
      </c>
      <c r="B129" s="2">
        <v>1039035</v>
      </c>
      <c r="C129" s="2" t="s">
        <v>26</v>
      </c>
      <c r="D129" s="2">
        <v>1313</v>
      </c>
      <c r="E129" s="2" t="s">
        <v>88</v>
      </c>
      <c r="F129" s="2" t="s">
        <v>248</v>
      </c>
      <c r="G129" s="6"/>
      <c r="H129" s="6" t="s">
        <v>49</v>
      </c>
      <c r="I129" s="10">
        <f>SUMIFS('Cutters Consumption Updates'!$F:$F,'Cutters Consumption Updates'!$D:$D,I$1,'Cutters Consumption Updates'!$B:$B,$B129)-SUMIFS('Cutters Consumption Updates'!$E:$E,'Cutters Consumption Updates'!$D:$D,I$1,'Cutters Consumption Updates'!$B:$B,$B129)+ SUMIF('Cutters Consumption Updates'!$AS:$AS,$B129,'Cutters Consumption Updates'!AT:AT)</f>
        <v>0</v>
      </c>
      <c r="J129" s="10">
        <f>SUMIFS('Cutters Consumption Updates'!$F:$F,'Cutters Consumption Updates'!$D:$D,J$1,'Cutters Consumption Updates'!$B:$B,$B129)-SUMIFS('Cutters Consumption Updates'!$E:$E,'Cutters Consumption Updates'!$D:$D,J$1,'Cutters Consumption Updates'!$B:$B,$B129)+ SUMIF('Cutters Consumption Updates'!$AS:$AS,$B129,'Cutters Consumption Updates'!AU:AU)</f>
        <v>0</v>
      </c>
      <c r="K129" s="116">
        <f>SUMIFS('Cutters Consumption Updates'!$F:$F,'Cutters Consumption Updates'!$D:$D,K$1,'Cutters Consumption Updates'!$B:$B,$B129)-SUMIFS('Cutters Consumption Updates'!$E:$E,'Cutters Consumption Updates'!$D:$D,K$1,'Cutters Consumption Updates'!$B:$B,$B129)+ SUMIF('Cutters Consumption Updates'!$AS:$AS,$B129,'Cutters Consumption Updates'!AV:AV)</f>
        <v>0</v>
      </c>
      <c r="L129" s="738">
        <f>SUMIFS('Cutters Consumption Updates'!$F:$F,'Cutters Consumption Updates'!$D:$D,L$1,'Cutters Consumption Updates'!$B:$B,$B129)-SUMIFS('Cutters Consumption Updates'!$E:$E,'Cutters Consumption Updates'!$D:$D,L$1,'Cutters Consumption Updates'!$B:$B,$B129)+ SUMIF('Cutters Consumption Updates'!$AS:$AS,$B129,'Cutters Consumption Updates'!AW:AW)</f>
        <v>0</v>
      </c>
      <c r="M129" s="116">
        <f>SUMIFS('Cutters Consumption Updates'!$F:$F,'Cutters Consumption Updates'!$D:$D,M$1,'Cutters Consumption Updates'!$B:$B,$B129)-SUMIFS('Cutters Consumption Updates'!$E:$E,'Cutters Consumption Updates'!$D:$D,$M$1,'Cutters Consumption Updates'!$B:$B,$B129)+SUMIFS('Cutters Consumption Updates'!$F:$F,'Cutters Consumption Updates'!$D:$D,"Retrofit",'Cutters Consumption Updates'!$B:$B,$B129)-SUMIFS('Cutters Consumption Updates'!$E:$E,'Cutters Consumption Updates'!$D:$D,"Retrofit",'Cutters Consumption Updates'!$B:$B,$B129)+ SUMIF('Cutters Consumption Updates'!$AS:$AS,$B129,'Cutters Consumption Updates'!AX:AX)</f>
        <v>0</v>
      </c>
      <c r="N129" s="10">
        <f t="shared" si="12"/>
        <v>0</v>
      </c>
      <c r="O129" s="701">
        <f ca="1">SUMIFS('Cutters Consumption Updates'!E:E,
        'Cutters Consumption Updates'!B:B, B129,
        'Cutters Consumption Updates'!A:A, "&gt;" &amp; TODAY()-182)</f>
        <v>8</v>
      </c>
      <c r="P129" s="701">
        <f ca="1">SUMIFS('Cutters Consumption Updates'!E:E,
        'Cutters Consumption Updates'!B:B, B129,
        'Cutters Consumption Updates'!A:A, "&gt;" &amp; TODAY()-91)</f>
        <v>8</v>
      </c>
      <c r="Q129" s="701">
        <f t="shared" ca="1" si="13"/>
        <v>3</v>
      </c>
      <c r="R129" s="703">
        <f t="shared" ca="1" si="14"/>
        <v>5</v>
      </c>
      <c r="S129" s="703" t="s">
        <v>29</v>
      </c>
      <c r="T129" s="24">
        <f>IFERROR(INDEX(Table5[],MATCH($B129,Table5[Component],0),2),0)</f>
        <v>0</v>
      </c>
      <c r="U129" s="24">
        <f>SUMIFS(Table7[Balance],Table7[Cutter Mat'#],$B129)</f>
        <v>0</v>
      </c>
      <c r="V129" s="24">
        <f t="shared" si="15"/>
        <v>0</v>
      </c>
      <c r="W129" s="119"/>
      <c r="X129" s="2"/>
      <c r="Z129" s="4">
        <f>IFERROR(INDEX(Table5[],MATCH($B129,Table5[Component],0),2),0)</f>
        <v>0</v>
      </c>
      <c r="AA129" s="4">
        <f>IFERROR(INDEX(Table5[],MATCH($B129,Table5[Component],0),1),0)</f>
        <v>0</v>
      </c>
      <c r="AB129" s="4" t="str">
        <f t="shared" si="16"/>
        <v/>
      </c>
      <c r="AC129" s="4" t="str">
        <f t="shared" si="17"/>
        <v/>
      </c>
      <c r="AE129" s="4">
        <f t="shared" si="18"/>
        <v>0</v>
      </c>
      <c r="AJ129" s="248" t="str">
        <f t="shared" si="19"/>
        <v/>
      </c>
      <c r="AK129" s="248" t="str">
        <f t="shared" si="20"/>
        <v/>
      </c>
      <c r="AL129">
        <f t="shared" si="21"/>
        <v>0</v>
      </c>
      <c r="AQ129">
        <f t="shared" si="23"/>
        <v>0</v>
      </c>
      <c r="AS129">
        <v>1039064</v>
      </c>
      <c r="AT129">
        <f t="shared" si="22"/>
        <v>0</v>
      </c>
    </row>
    <row r="130" spans="1:46" ht="15.65" customHeight="1" x14ac:dyDescent="0.35">
      <c r="A130" s="5">
        <v>129</v>
      </c>
      <c r="B130" s="5">
        <v>1104083</v>
      </c>
      <c r="C130" s="2" t="s">
        <v>122</v>
      </c>
      <c r="D130" s="5">
        <v>1313</v>
      </c>
      <c r="E130" s="5" t="s">
        <v>123</v>
      </c>
      <c r="F130" s="5" t="s">
        <v>248</v>
      </c>
      <c r="G130" s="7"/>
      <c r="H130" s="7" t="s">
        <v>49</v>
      </c>
      <c r="I130" s="10">
        <f>SUMIFS('Cutters Consumption Updates'!$F:$F,'Cutters Consumption Updates'!$D:$D,I$1,'Cutters Consumption Updates'!$B:$B,$B130)-SUMIFS('Cutters Consumption Updates'!$E:$E,'Cutters Consumption Updates'!$D:$D,I$1,'Cutters Consumption Updates'!$B:$B,$B130)+ SUMIF('Cutters Consumption Updates'!$AS:$AS,$B130,'Cutters Consumption Updates'!AT:AT)</f>
        <v>0</v>
      </c>
      <c r="J130" s="10">
        <f>SUMIFS('Cutters Consumption Updates'!$F:$F,'Cutters Consumption Updates'!$D:$D,J$1,'Cutters Consumption Updates'!$B:$B,$B130)-SUMIFS('Cutters Consumption Updates'!$E:$E,'Cutters Consumption Updates'!$D:$D,J$1,'Cutters Consumption Updates'!$B:$B,$B130)+ SUMIF('Cutters Consumption Updates'!$AS:$AS,$B130,'Cutters Consumption Updates'!AU:AU)</f>
        <v>0</v>
      </c>
      <c r="K130" s="116">
        <f>SUMIFS('Cutters Consumption Updates'!$F:$F,'Cutters Consumption Updates'!$D:$D,K$1,'Cutters Consumption Updates'!$B:$B,$B130)-SUMIFS('Cutters Consumption Updates'!$E:$E,'Cutters Consumption Updates'!$D:$D,K$1,'Cutters Consumption Updates'!$B:$B,$B130)+ SUMIF('Cutters Consumption Updates'!$AS:$AS,$B130,'Cutters Consumption Updates'!AV:AV)</f>
        <v>0</v>
      </c>
      <c r="L130" s="738">
        <f>SUMIFS('Cutters Consumption Updates'!$F:$F,'Cutters Consumption Updates'!$D:$D,L$1,'Cutters Consumption Updates'!$B:$B,$B130)-SUMIFS('Cutters Consumption Updates'!$E:$E,'Cutters Consumption Updates'!$D:$D,L$1,'Cutters Consumption Updates'!$B:$B,$B130)+ SUMIF('Cutters Consumption Updates'!$AS:$AS,$B130,'Cutters Consumption Updates'!AW:AW)</f>
        <v>0</v>
      </c>
      <c r="M130" s="116">
        <f>SUMIFS('Cutters Consumption Updates'!$F:$F,'Cutters Consumption Updates'!$D:$D,M$1,'Cutters Consumption Updates'!$B:$B,$B130)-SUMIFS('Cutters Consumption Updates'!$E:$E,'Cutters Consumption Updates'!$D:$D,$M$1,'Cutters Consumption Updates'!$B:$B,$B130)+SUMIFS('Cutters Consumption Updates'!$F:$F,'Cutters Consumption Updates'!$D:$D,"Retrofit",'Cutters Consumption Updates'!$B:$B,$B130)-SUMIFS('Cutters Consumption Updates'!$E:$E,'Cutters Consumption Updates'!$D:$D,"Retrofit",'Cutters Consumption Updates'!$B:$B,$B130)+ SUMIF('Cutters Consumption Updates'!$AS:$AS,$B130,'Cutters Consumption Updates'!AX:AX)</f>
        <v>0</v>
      </c>
      <c r="N130" s="10">
        <f t="shared" ref="N130:N193" si="24">M130+I130</f>
        <v>0</v>
      </c>
      <c r="O130" s="701">
        <f ca="1">SUMIFS('Cutters Consumption Updates'!E:E,
        'Cutters Consumption Updates'!B:B, B130,
        'Cutters Consumption Updates'!A:A, "&gt;" &amp; TODAY()-182)</f>
        <v>2</v>
      </c>
      <c r="P130" s="701">
        <f ca="1">SUMIFS('Cutters Consumption Updates'!E:E,
        'Cutters Consumption Updates'!B:B, B130,
        'Cutters Consumption Updates'!A:A, "&gt;" &amp; TODAY()-91)</f>
        <v>0</v>
      </c>
      <c r="Q130" s="701">
        <f t="shared" ref="Q130:Q193" ca="1" si="25">IF(O130&lt;&gt;0,_xlfn.CEILING.MATH(O130/3),0)</f>
        <v>1</v>
      </c>
      <c r="R130" s="703">
        <f t="shared" ref="R130:R193" ca="1" si="26">IF(Q130&lt;=1, 0,
 CEILING(
  IF(Q130&gt;=300, Q130+10,
  IF(Q130&gt;=200, Q130+5,
  IF(Q130&gt;=100, Q130+5,
  IF(Q130&gt;=50, Q130+2,
  IF(Q130&gt;=20, Q130+2,
  IF(Q130&gt;=10, Q130+2,
  IF(Q130&gt;=5,  Q130+2,
  Q130+1))))))), 5))</f>
        <v>0</v>
      </c>
      <c r="S130" s="703" t="s">
        <v>29</v>
      </c>
      <c r="T130" s="24">
        <f>IFERROR(INDEX(Table5[],MATCH($B130,Table5[Component],0),2),0)</f>
        <v>6</v>
      </c>
      <c r="U130" s="24">
        <f>SUMIFS(Table7[Balance],Table7[Cutter Mat'#],$B130)</f>
        <v>0</v>
      </c>
      <c r="V130" s="24">
        <f t="shared" ref="V130:V193" si="27">N130+U130-T130</f>
        <v>-6</v>
      </c>
      <c r="W130" s="119"/>
      <c r="X130" s="2"/>
      <c r="Z130" s="4">
        <f>IFERROR(INDEX(Table5[],MATCH($B130,Table5[Component],0),2),0)</f>
        <v>6</v>
      </c>
      <c r="AA130" s="4">
        <f>IFERROR(INDEX(Table5[],MATCH($B130,Table5[Component],0),1),0)</f>
        <v>1104083</v>
      </c>
      <c r="AB130" s="4">
        <f t="shared" ref="AB130:AB193" si="28">IF(Z130&lt;&gt;0,B130,"")</f>
        <v>1104083</v>
      </c>
      <c r="AC130" s="4" t="str">
        <f t="shared" ref="AC130:AC193" si="29">IF(T130&lt;&gt;Z130,1,"")</f>
        <v/>
      </c>
      <c r="AE130" s="4">
        <f t="shared" ref="AE130:AE193" si="30">I130+J130+K130+M130</f>
        <v>0</v>
      </c>
      <c r="AJ130" s="248" t="str">
        <f t="shared" ref="AJ130:AJ193" si="31">IFERROR(INDEX($B$1:$AL$243,MATCH(X130,$B$1:$B$243,0),13),"")</f>
        <v/>
      </c>
      <c r="AK130" s="248" t="str">
        <f t="shared" ref="AK130:AK193" si="32">IFERROR(INDEX($B$1:$AL$243,MATCH(X130,$B$1:$B$243,0),15),"")</f>
        <v/>
      </c>
      <c r="AL130">
        <f t="shared" ref="AL130:AL193" si="33">SUMIF($X$2:$X$243,B130,$T$2:$T$243)</f>
        <v>0</v>
      </c>
      <c r="AQ130">
        <f t="shared" si="23"/>
        <v>0</v>
      </c>
      <c r="AS130">
        <v>1050703</v>
      </c>
      <c r="AT130">
        <f t="shared" ref="AT130:AT193" si="34">SUMIF($B:$B,AS130,$AQ:$AQ)</f>
        <v>0</v>
      </c>
    </row>
    <row r="131" spans="1:46" ht="15.65" customHeight="1" x14ac:dyDescent="0.35">
      <c r="A131" s="2">
        <v>130</v>
      </c>
      <c r="B131" s="2">
        <v>1136984</v>
      </c>
      <c r="C131" s="2" t="s">
        <v>124</v>
      </c>
      <c r="D131" s="2">
        <v>1313</v>
      </c>
      <c r="E131" s="2" t="s">
        <v>125</v>
      </c>
      <c r="F131" s="2" t="s">
        <v>248</v>
      </c>
      <c r="G131" s="6"/>
      <c r="H131" s="6" t="s">
        <v>49</v>
      </c>
      <c r="I131" s="10">
        <f>SUMIFS('Cutters Consumption Updates'!$F:$F,'Cutters Consumption Updates'!$D:$D,I$1,'Cutters Consumption Updates'!$B:$B,$B131)-SUMIFS('Cutters Consumption Updates'!$E:$E,'Cutters Consumption Updates'!$D:$D,I$1,'Cutters Consumption Updates'!$B:$B,$B131)+ SUMIF('Cutters Consumption Updates'!$AS:$AS,$B131,'Cutters Consumption Updates'!AT:AT)</f>
        <v>0</v>
      </c>
      <c r="J131" s="10">
        <f>SUMIFS('Cutters Consumption Updates'!$F:$F,'Cutters Consumption Updates'!$D:$D,J$1,'Cutters Consumption Updates'!$B:$B,$B131)-SUMIFS('Cutters Consumption Updates'!$E:$E,'Cutters Consumption Updates'!$D:$D,J$1,'Cutters Consumption Updates'!$B:$B,$B131)+ SUMIF('Cutters Consumption Updates'!$AS:$AS,$B131,'Cutters Consumption Updates'!AU:AU)</f>
        <v>0</v>
      </c>
      <c r="K131" s="116">
        <f>SUMIFS('Cutters Consumption Updates'!$F:$F,'Cutters Consumption Updates'!$D:$D,K$1,'Cutters Consumption Updates'!$B:$B,$B131)-SUMIFS('Cutters Consumption Updates'!$E:$E,'Cutters Consumption Updates'!$D:$D,K$1,'Cutters Consumption Updates'!$B:$B,$B131)+ SUMIF('Cutters Consumption Updates'!$AS:$AS,$B131,'Cutters Consumption Updates'!AV:AV)</f>
        <v>0</v>
      </c>
      <c r="L131" s="738">
        <f>SUMIFS('Cutters Consumption Updates'!$F:$F,'Cutters Consumption Updates'!$D:$D,L$1,'Cutters Consumption Updates'!$B:$B,$B131)-SUMIFS('Cutters Consumption Updates'!$E:$E,'Cutters Consumption Updates'!$D:$D,L$1,'Cutters Consumption Updates'!$B:$B,$B131)+ SUMIF('Cutters Consumption Updates'!$AS:$AS,$B131,'Cutters Consumption Updates'!AW:AW)</f>
        <v>0</v>
      </c>
      <c r="M131" s="116">
        <f>SUMIFS('Cutters Consumption Updates'!$F:$F,'Cutters Consumption Updates'!$D:$D,M$1,'Cutters Consumption Updates'!$B:$B,$B131)-SUMIFS('Cutters Consumption Updates'!$E:$E,'Cutters Consumption Updates'!$D:$D,$M$1,'Cutters Consumption Updates'!$B:$B,$B131)+SUMIFS('Cutters Consumption Updates'!$F:$F,'Cutters Consumption Updates'!$D:$D,"Retrofit",'Cutters Consumption Updates'!$B:$B,$B131)-SUMIFS('Cutters Consumption Updates'!$E:$E,'Cutters Consumption Updates'!$D:$D,"Retrofit",'Cutters Consumption Updates'!$B:$B,$B131)+ SUMIF('Cutters Consumption Updates'!$AS:$AS,$B131,'Cutters Consumption Updates'!AX:AX)</f>
        <v>3</v>
      </c>
      <c r="N131" s="10">
        <f t="shared" si="24"/>
        <v>3</v>
      </c>
      <c r="O131" s="701">
        <f ca="1">SUMIFS('Cutters Consumption Updates'!E:E,
        'Cutters Consumption Updates'!B:B, B131,
        'Cutters Consumption Updates'!A:A, "&gt;" &amp; TODAY()-182)</f>
        <v>92</v>
      </c>
      <c r="P131" s="701">
        <f ca="1">SUMIFS('Cutters Consumption Updates'!E:E,
        'Cutters Consumption Updates'!B:B, B131,
        'Cutters Consumption Updates'!A:A, "&gt;" &amp; TODAY()-91)</f>
        <v>53</v>
      </c>
      <c r="Q131" s="701">
        <f t="shared" ca="1" si="25"/>
        <v>31</v>
      </c>
      <c r="R131" s="703">
        <f t="shared" ca="1" si="26"/>
        <v>35</v>
      </c>
      <c r="S131" s="703" t="s">
        <v>126</v>
      </c>
      <c r="T131" s="24">
        <f>IFERROR(INDEX(Table5[],MATCH($B131,Table5[Component],0),2),0)</f>
        <v>78</v>
      </c>
      <c r="U131" s="24">
        <f>SUMIFS(Table7[Balance],Table7[Cutter Mat'#],$B131)</f>
        <v>0</v>
      </c>
      <c r="V131" s="24">
        <f t="shared" si="27"/>
        <v>-75</v>
      </c>
      <c r="W131" s="119"/>
      <c r="X131" s="2"/>
      <c r="Z131" s="4">
        <f>IFERROR(INDEX(Table5[],MATCH($B131,Table5[Component],0),2),0)</f>
        <v>78</v>
      </c>
      <c r="AA131" s="4">
        <f>IFERROR(INDEX(Table5[],MATCH($B131,Table5[Component],0),1),0)</f>
        <v>1136984</v>
      </c>
      <c r="AB131" s="4">
        <f t="shared" si="28"/>
        <v>1136984</v>
      </c>
      <c r="AC131" s="4" t="str">
        <f t="shared" si="29"/>
        <v/>
      </c>
      <c r="AE131" s="4">
        <f t="shared" si="30"/>
        <v>3</v>
      </c>
      <c r="AJ131" s="248" t="str">
        <f t="shared" si="31"/>
        <v/>
      </c>
      <c r="AK131" s="248" t="str">
        <f t="shared" si="32"/>
        <v/>
      </c>
      <c r="AL131">
        <f t="shared" si="33"/>
        <v>0</v>
      </c>
      <c r="AQ131">
        <f t="shared" ref="AQ131:AQ194" si="35">U131</f>
        <v>0</v>
      </c>
      <c r="AS131">
        <v>1050785</v>
      </c>
      <c r="AT131">
        <f t="shared" si="34"/>
        <v>0</v>
      </c>
    </row>
    <row r="132" spans="1:46" ht="15.65" customHeight="1" x14ac:dyDescent="0.35">
      <c r="A132" s="2">
        <v>131</v>
      </c>
      <c r="B132" s="2">
        <v>1039029</v>
      </c>
      <c r="C132" s="2" t="s">
        <v>26</v>
      </c>
      <c r="D132" s="2">
        <v>1010</v>
      </c>
      <c r="E132" s="2" t="s">
        <v>88</v>
      </c>
      <c r="F132" s="2" t="s">
        <v>248</v>
      </c>
      <c r="G132" s="6"/>
      <c r="H132" s="6" t="s">
        <v>49</v>
      </c>
      <c r="I132" s="10">
        <f>SUMIFS('Cutters Consumption Updates'!$F:$F,'Cutters Consumption Updates'!$D:$D,I$1,'Cutters Consumption Updates'!$B:$B,$B132)-SUMIFS('Cutters Consumption Updates'!$E:$E,'Cutters Consumption Updates'!$D:$D,I$1,'Cutters Consumption Updates'!$B:$B,$B132)+ SUMIF('Cutters Consumption Updates'!$AS:$AS,$B132,'Cutters Consumption Updates'!AT:AT)</f>
        <v>0</v>
      </c>
      <c r="J132" s="10">
        <f>SUMIFS('Cutters Consumption Updates'!$F:$F,'Cutters Consumption Updates'!$D:$D,J$1,'Cutters Consumption Updates'!$B:$B,$B132)-SUMIFS('Cutters Consumption Updates'!$E:$E,'Cutters Consumption Updates'!$D:$D,J$1,'Cutters Consumption Updates'!$B:$B,$B132)+ SUMIF('Cutters Consumption Updates'!$AS:$AS,$B132,'Cutters Consumption Updates'!AU:AU)</f>
        <v>0</v>
      </c>
      <c r="K132" s="116">
        <f>SUMIFS('Cutters Consumption Updates'!$F:$F,'Cutters Consumption Updates'!$D:$D,K$1,'Cutters Consumption Updates'!$B:$B,$B132)-SUMIFS('Cutters Consumption Updates'!$E:$E,'Cutters Consumption Updates'!$D:$D,K$1,'Cutters Consumption Updates'!$B:$B,$B132)+ SUMIF('Cutters Consumption Updates'!$AS:$AS,$B132,'Cutters Consumption Updates'!AV:AV)</f>
        <v>0</v>
      </c>
      <c r="L132" s="738">
        <f>SUMIFS('Cutters Consumption Updates'!$F:$F,'Cutters Consumption Updates'!$D:$D,L$1,'Cutters Consumption Updates'!$B:$B,$B132)-SUMIFS('Cutters Consumption Updates'!$E:$E,'Cutters Consumption Updates'!$D:$D,L$1,'Cutters Consumption Updates'!$B:$B,$B132)+ SUMIF('Cutters Consumption Updates'!$AS:$AS,$B132,'Cutters Consumption Updates'!AW:AW)</f>
        <v>0</v>
      </c>
      <c r="M132" s="116">
        <f>SUMIFS('Cutters Consumption Updates'!$F:$F,'Cutters Consumption Updates'!$D:$D,M$1,'Cutters Consumption Updates'!$B:$B,$B132)-SUMIFS('Cutters Consumption Updates'!$E:$E,'Cutters Consumption Updates'!$D:$D,$M$1,'Cutters Consumption Updates'!$B:$B,$B132)+SUMIFS('Cutters Consumption Updates'!$F:$F,'Cutters Consumption Updates'!$D:$D,"Retrofit",'Cutters Consumption Updates'!$B:$B,$B132)-SUMIFS('Cutters Consumption Updates'!$E:$E,'Cutters Consumption Updates'!$D:$D,"Retrofit",'Cutters Consumption Updates'!$B:$B,$B132)+ SUMIF('Cutters Consumption Updates'!$AS:$AS,$B132,'Cutters Consumption Updates'!AX:AX)</f>
        <v>0</v>
      </c>
      <c r="N132" s="10">
        <f t="shared" si="24"/>
        <v>0</v>
      </c>
      <c r="O132" s="701">
        <f ca="1">SUMIFS('Cutters Consumption Updates'!E:E,
        'Cutters Consumption Updates'!B:B, B132,
        'Cutters Consumption Updates'!A:A, "&gt;" &amp; TODAY()-182)</f>
        <v>0</v>
      </c>
      <c r="P132" s="701">
        <f ca="1">SUMIFS('Cutters Consumption Updates'!E:E,
        'Cutters Consumption Updates'!B:B, B132,
        'Cutters Consumption Updates'!A:A, "&gt;" &amp; TODAY()-91)</f>
        <v>0</v>
      </c>
      <c r="Q132" s="701">
        <f t="shared" ca="1" si="25"/>
        <v>0</v>
      </c>
      <c r="R132" s="703">
        <f t="shared" ca="1" si="26"/>
        <v>0</v>
      </c>
      <c r="S132" s="703" t="s">
        <v>29</v>
      </c>
      <c r="T132" s="24">
        <f>IFERROR(INDEX(Table5[],MATCH($B132,Table5[Component],0),2),0)</f>
        <v>0</v>
      </c>
      <c r="U132" s="24">
        <f>SUMIFS(Table7[Balance],Table7[Cutter Mat'#],$B132)</f>
        <v>0</v>
      </c>
      <c r="V132" s="24">
        <f t="shared" si="27"/>
        <v>0</v>
      </c>
      <c r="W132" s="119"/>
      <c r="X132" s="2"/>
      <c r="Z132" s="4">
        <f>IFERROR(INDEX(Table5[],MATCH($B132,Table5[Component],0),2),0)</f>
        <v>0</v>
      </c>
      <c r="AA132" s="4">
        <f>IFERROR(INDEX(Table5[],MATCH($B132,Table5[Component],0),1),0)</f>
        <v>1039029</v>
      </c>
      <c r="AB132" s="4" t="str">
        <f t="shared" si="28"/>
        <v/>
      </c>
      <c r="AC132" s="4" t="str">
        <f t="shared" si="29"/>
        <v/>
      </c>
      <c r="AE132" s="4">
        <f t="shared" si="30"/>
        <v>0</v>
      </c>
      <c r="AJ132" s="248" t="str">
        <f t="shared" si="31"/>
        <v/>
      </c>
      <c r="AK132" s="248" t="str">
        <f t="shared" si="32"/>
        <v/>
      </c>
      <c r="AL132">
        <f t="shared" si="33"/>
        <v>0</v>
      </c>
      <c r="AQ132">
        <f t="shared" si="35"/>
        <v>0</v>
      </c>
      <c r="AS132">
        <v>1078348</v>
      </c>
      <c r="AT132">
        <f t="shared" si="34"/>
        <v>0</v>
      </c>
    </row>
    <row r="133" spans="1:46" ht="15.65" customHeight="1" x14ac:dyDescent="0.35">
      <c r="A133" s="2">
        <v>132</v>
      </c>
      <c r="B133" s="2">
        <v>976348</v>
      </c>
      <c r="C133" s="2" t="s">
        <v>26</v>
      </c>
      <c r="D133" s="2">
        <v>1308</v>
      </c>
      <c r="E133" s="3" t="s">
        <v>127</v>
      </c>
      <c r="F133" s="2" t="s">
        <v>248</v>
      </c>
      <c r="G133" s="6" t="s">
        <v>128</v>
      </c>
      <c r="H133" s="6" t="s">
        <v>83</v>
      </c>
      <c r="I133" s="10">
        <f>SUMIFS('Cutters Consumption Updates'!$F:$F,'Cutters Consumption Updates'!$D:$D,I$1,'Cutters Consumption Updates'!$B:$B,$B133)-SUMIFS('Cutters Consumption Updates'!$E:$E,'Cutters Consumption Updates'!$D:$D,I$1,'Cutters Consumption Updates'!$B:$B,$B133)+ SUMIF('Cutters Consumption Updates'!$AS:$AS,$B133,'Cutters Consumption Updates'!AT:AT)</f>
        <v>0</v>
      </c>
      <c r="J133" s="10">
        <f>SUMIFS('Cutters Consumption Updates'!$F:$F,'Cutters Consumption Updates'!$D:$D,J$1,'Cutters Consumption Updates'!$B:$B,$B133)-SUMIFS('Cutters Consumption Updates'!$E:$E,'Cutters Consumption Updates'!$D:$D,J$1,'Cutters Consumption Updates'!$B:$B,$B133)+ SUMIF('Cutters Consumption Updates'!$AS:$AS,$B133,'Cutters Consumption Updates'!AU:AU)</f>
        <v>0</v>
      </c>
      <c r="K133" s="116">
        <f>SUMIFS('Cutters Consumption Updates'!$F:$F,'Cutters Consumption Updates'!$D:$D,K$1,'Cutters Consumption Updates'!$B:$B,$B133)-SUMIFS('Cutters Consumption Updates'!$E:$E,'Cutters Consumption Updates'!$D:$D,K$1,'Cutters Consumption Updates'!$B:$B,$B133)+ SUMIF('Cutters Consumption Updates'!$AS:$AS,$B133,'Cutters Consumption Updates'!AV:AV)</f>
        <v>19</v>
      </c>
      <c r="L133" s="738">
        <f>SUMIFS('Cutters Consumption Updates'!$F:$F,'Cutters Consumption Updates'!$D:$D,L$1,'Cutters Consumption Updates'!$B:$B,$B133)-SUMIFS('Cutters Consumption Updates'!$E:$E,'Cutters Consumption Updates'!$D:$D,L$1,'Cutters Consumption Updates'!$B:$B,$B133)+ SUMIF('Cutters Consumption Updates'!$AS:$AS,$B133,'Cutters Consumption Updates'!AW:AW)</f>
        <v>0</v>
      </c>
      <c r="M133" s="116">
        <f>SUMIFS('Cutters Consumption Updates'!$F:$F,'Cutters Consumption Updates'!$D:$D,M$1,'Cutters Consumption Updates'!$B:$B,$B133)-SUMIFS('Cutters Consumption Updates'!$E:$E,'Cutters Consumption Updates'!$D:$D,$M$1,'Cutters Consumption Updates'!$B:$B,$B133)+SUMIFS('Cutters Consumption Updates'!$F:$F,'Cutters Consumption Updates'!$D:$D,"Retrofit",'Cutters Consumption Updates'!$B:$B,$B133)-SUMIFS('Cutters Consumption Updates'!$E:$E,'Cutters Consumption Updates'!$D:$D,"Retrofit",'Cutters Consumption Updates'!$B:$B,$B133)+ SUMIF('Cutters Consumption Updates'!$AS:$AS,$B133,'Cutters Consumption Updates'!AX:AX)</f>
        <v>0</v>
      </c>
      <c r="N133" s="10">
        <f t="shared" si="24"/>
        <v>0</v>
      </c>
      <c r="O133" s="701">
        <f ca="1">SUMIFS('Cutters Consumption Updates'!E:E,
        'Cutters Consumption Updates'!B:B, B133,
        'Cutters Consumption Updates'!A:A, "&gt;" &amp; TODAY()-182)</f>
        <v>0</v>
      </c>
      <c r="P133" s="701">
        <f ca="1">SUMIFS('Cutters Consumption Updates'!E:E,
        'Cutters Consumption Updates'!B:B, B133,
        'Cutters Consumption Updates'!A:A, "&gt;" &amp; TODAY()-91)</f>
        <v>0</v>
      </c>
      <c r="Q133" s="701">
        <f t="shared" ca="1" si="25"/>
        <v>0</v>
      </c>
      <c r="R133" s="703">
        <f t="shared" ca="1" si="26"/>
        <v>0</v>
      </c>
      <c r="S133" s="703" t="s">
        <v>121</v>
      </c>
      <c r="T133" s="24">
        <f>IFERROR(INDEX(Table5[],MATCH($B133,Table5[Component],0),2),0)</f>
        <v>0</v>
      </c>
      <c r="U133" s="24">
        <f>SUMIFS(Table7[Balance],Table7[Cutter Mat'#],$B133)</f>
        <v>0</v>
      </c>
      <c r="V133" s="24">
        <f t="shared" si="27"/>
        <v>0</v>
      </c>
      <c r="W133" s="119"/>
      <c r="X133" s="2"/>
      <c r="Z133" s="4">
        <f>IFERROR(INDEX(Table5[],MATCH($B133,Table5[Component],0),2),0)</f>
        <v>0</v>
      </c>
      <c r="AA133" s="4">
        <f>IFERROR(INDEX(Table5[],MATCH($B133,Table5[Component],0),1),0)</f>
        <v>0</v>
      </c>
      <c r="AB133" s="4" t="str">
        <f t="shared" si="28"/>
        <v/>
      </c>
      <c r="AC133" s="4" t="str">
        <f t="shared" si="29"/>
        <v/>
      </c>
      <c r="AE133" s="4">
        <f t="shared" si="30"/>
        <v>19</v>
      </c>
      <c r="AJ133" s="248" t="str">
        <f t="shared" si="31"/>
        <v/>
      </c>
      <c r="AK133" s="248" t="str">
        <f t="shared" si="32"/>
        <v/>
      </c>
      <c r="AL133">
        <f t="shared" si="33"/>
        <v>0</v>
      </c>
      <c r="AQ133">
        <f t="shared" si="35"/>
        <v>0</v>
      </c>
      <c r="AS133">
        <v>1078371</v>
      </c>
      <c r="AT133">
        <f t="shared" si="34"/>
        <v>0</v>
      </c>
    </row>
    <row r="134" spans="1:46" ht="15.65" customHeight="1" x14ac:dyDescent="0.35">
      <c r="A134" s="2">
        <v>133</v>
      </c>
      <c r="B134" s="2">
        <v>409593</v>
      </c>
      <c r="C134" s="2" t="s">
        <v>26</v>
      </c>
      <c r="D134" s="2">
        <v>1608</v>
      </c>
      <c r="E134" s="2" t="s">
        <v>44</v>
      </c>
      <c r="F134" s="2" t="s">
        <v>248</v>
      </c>
      <c r="G134" s="6" t="s">
        <v>129</v>
      </c>
      <c r="H134" s="6" t="s">
        <v>28</v>
      </c>
      <c r="I134" s="10">
        <f>SUMIFS('Cutters Consumption Updates'!$F:$F,'Cutters Consumption Updates'!$D:$D,I$1,'Cutters Consumption Updates'!$B:$B,$B134)-SUMIFS('Cutters Consumption Updates'!$E:$E,'Cutters Consumption Updates'!$D:$D,I$1,'Cutters Consumption Updates'!$B:$B,$B134)+ SUMIF('Cutters Consumption Updates'!$AS:$AS,$B134,'Cutters Consumption Updates'!AT:AT)</f>
        <v>1</v>
      </c>
      <c r="J134" s="10">
        <f>SUMIFS('Cutters Consumption Updates'!$F:$F,'Cutters Consumption Updates'!$D:$D,J$1,'Cutters Consumption Updates'!$B:$B,$B134)-SUMIFS('Cutters Consumption Updates'!$E:$E,'Cutters Consumption Updates'!$D:$D,J$1,'Cutters Consumption Updates'!$B:$B,$B134)+ SUMIF('Cutters Consumption Updates'!$AS:$AS,$B134,'Cutters Consumption Updates'!AU:AU)</f>
        <v>2</v>
      </c>
      <c r="K134" s="116">
        <f>SUMIFS('Cutters Consumption Updates'!$F:$F,'Cutters Consumption Updates'!$D:$D,K$1,'Cutters Consumption Updates'!$B:$B,$B134)-SUMIFS('Cutters Consumption Updates'!$E:$E,'Cutters Consumption Updates'!$D:$D,K$1,'Cutters Consumption Updates'!$B:$B,$B134)+ SUMIF('Cutters Consumption Updates'!$AS:$AS,$B134,'Cutters Consumption Updates'!AV:AV)</f>
        <v>0</v>
      </c>
      <c r="L134" s="738">
        <f>SUMIFS('Cutters Consumption Updates'!$F:$F,'Cutters Consumption Updates'!$D:$D,L$1,'Cutters Consumption Updates'!$B:$B,$B134)-SUMIFS('Cutters Consumption Updates'!$E:$E,'Cutters Consumption Updates'!$D:$D,L$1,'Cutters Consumption Updates'!$B:$B,$B134)+ SUMIF('Cutters Consumption Updates'!$AS:$AS,$B134,'Cutters Consumption Updates'!AW:AW)</f>
        <v>0</v>
      </c>
      <c r="M134" s="116">
        <f>SUMIFS('Cutters Consumption Updates'!$F:$F,'Cutters Consumption Updates'!$D:$D,M$1,'Cutters Consumption Updates'!$B:$B,$B134)-SUMIFS('Cutters Consumption Updates'!$E:$E,'Cutters Consumption Updates'!$D:$D,$M$1,'Cutters Consumption Updates'!$B:$B,$B134)+SUMIFS('Cutters Consumption Updates'!$F:$F,'Cutters Consumption Updates'!$D:$D,"Retrofit",'Cutters Consumption Updates'!$B:$B,$B134)-SUMIFS('Cutters Consumption Updates'!$E:$E,'Cutters Consumption Updates'!$D:$D,"Retrofit",'Cutters Consumption Updates'!$B:$B,$B134)+ SUMIF('Cutters Consumption Updates'!$AS:$AS,$B134,'Cutters Consumption Updates'!AX:AX)</f>
        <v>0</v>
      </c>
      <c r="N134" s="10">
        <f t="shared" si="24"/>
        <v>1</v>
      </c>
      <c r="O134" s="701">
        <f ca="1">SUMIFS('Cutters Consumption Updates'!E:E,
        'Cutters Consumption Updates'!B:B, B134,
        'Cutters Consumption Updates'!A:A, "&gt;" &amp; TODAY()-182)</f>
        <v>0</v>
      </c>
      <c r="P134" s="701">
        <f ca="1">SUMIFS('Cutters Consumption Updates'!E:E,
        'Cutters Consumption Updates'!B:B, B134,
        'Cutters Consumption Updates'!A:A, "&gt;" &amp; TODAY()-91)</f>
        <v>0</v>
      </c>
      <c r="Q134" s="701">
        <f t="shared" ca="1" si="25"/>
        <v>0</v>
      </c>
      <c r="R134" s="703">
        <f t="shared" ca="1" si="26"/>
        <v>0</v>
      </c>
      <c r="S134" s="703" t="s">
        <v>29</v>
      </c>
      <c r="T134" s="24">
        <f>IFERROR(INDEX(Table5[],MATCH($B134,Table5[Component],0),2),0)</f>
        <v>0</v>
      </c>
      <c r="U134" s="24">
        <f>SUMIFS(Table7[Balance],Table7[Cutter Mat'#],$B134)</f>
        <v>0</v>
      </c>
      <c r="V134" s="24">
        <f t="shared" si="27"/>
        <v>1</v>
      </c>
      <c r="W134" s="119"/>
      <c r="X134" s="2"/>
      <c r="Z134" s="4">
        <f>IFERROR(INDEX(Table5[],MATCH($B134,Table5[Component],0),2),0)</f>
        <v>0</v>
      </c>
      <c r="AA134" s="4">
        <f>IFERROR(INDEX(Table5[],MATCH($B134,Table5[Component],0),1),0)</f>
        <v>0</v>
      </c>
      <c r="AB134" s="4" t="str">
        <f t="shared" si="28"/>
        <v/>
      </c>
      <c r="AC134" s="4" t="str">
        <f t="shared" si="29"/>
        <v/>
      </c>
      <c r="AE134" s="4">
        <f t="shared" si="30"/>
        <v>3</v>
      </c>
      <c r="AJ134" s="248" t="str">
        <f t="shared" si="31"/>
        <v/>
      </c>
      <c r="AK134" s="248" t="str">
        <f t="shared" si="32"/>
        <v/>
      </c>
      <c r="AL134">
        <f t="shared" si="33"/>
        <v>0</v>
      </c>
      <c r="AQ134">
        <f t="shared" si="35"/>
        <v>0</v>
      </c>
      <c r="AS134">
        <v>1078377</v>
      </c>
      <c r="AT134">
        <f t="shared" si="34"/>
        <v>100</v>
      </c>
    </row>
    <row r="135" spans="1:46" ht="15.65" customHeight="1" x14ac:dyDescent="0.35">
      <c r="A135" s="2">
        <v>134</v>
      </c>
      <c r="B135" s="2">
        <v>397470</v>
      </c>
      <c r="C135" s="2" t="s">
        <v>26</v>
      </c>
      <c r="D135" s="2">
        <v>1608</v>
      </c>
      <c r="E135" s="2" t="s">
        <v>30</v>
      </c>
      <c r="F135" s="2" t="s">
        <v>248</v>
      </c>
      <c r="G135" s="6"/>
      <c r="H135" s="6" t="s">
        <v>32</v>
      </c>
      <c r="I135" s="10">
        <f>SUMIFS('Cutters Consumption Updates'!$F:$F,'Cutters Consumption Updates'!$D:$D,I$1,'Cutters Consumption Updates'!$B:$B,$B135)-SUMIFS('Cutters Consumption Updates'!$E:$E,'Cutters Consumption Updates'!$D:$D,I$1,'Cutters Consumption Updates'!$B:$B,$B135)+ SUMIF('Cutters Consumption Updates'!$AS:$AS,$B135,'Cutters Consumption Updates'!AT:AT)</f>
        <v>0</v>
      </c>
      <c r="J135" s="10">
        <f>SUMIFS('Cutters Consumption Updates'!$F:$F,'Cutters Consumption Updates'!$D:$D,J$1,'Cutters Consumption Updates'!$B:$B,$B135)-SUMIFS('Cutters Consumption Updates'!$E:$E,'Cutters Consumption Updates'!$D:$D,J$1,'Cutters Consumption Updates'!$B:$B,$B135)+ SUMIF('Cutters Consumption Updates'!$AS:$AS,$B135,'Cutters Consumption Updates'!AU:AU)</f>
        <v>18</v>
      </c>
      <c r="K135" s="116">
        <f>SUMIFS('Cutters Consumption Updates'!$F:$F,'Cutters Consumption Updates'!$D:$D,K$1,'Cutters Consumption Updates'!$B:$B,$B135)-SUMIFS('Cutters Consumption Updates'!$E:$E,'Cutters Consumption Updates'!$D:$D,K$1,'Cutters Consumption Updates'!$B:$B,$B135)+ SUMIF('Cutters Consumption Updates'!$AS:$AS,$B135,'Cutters Consumption Updates'!AV:AV)</f>
        <v>0</v>
      </c>
      <c r="L135" s="738">
        <f>SUMIFS('Cutters Consumption Updates'!$F:$F,'Cutters Consumption Updates'!$D:$D,L$1,'Cutters Consumption Updates'!$B:$B,$B135)-SUMIFS('Cutters Consumption Updates'!$E:$E,'Cutters Consumption Updates'!$D:$D,L$1,'Cutters Consumption Updates'!$B:$B,$B135)+ SUMIF('Cutters Consumption Updates'!$AS:$AS,$B135,'Cutters Consumption Updates'!AW:AW)</f>
        <v>0</v>
      </c>
      <c r="M135" s="116">
        <f>SUMIFS('Cutters Consumption Updates'!$F:$F,'Cutters Consumption Updates'!$D:$D,M$1,'Cutters Consumption Updates'!$B:$B,$B135)-SUMIFS('Cutters Consumption Updates'!$E:$E,'Cutters Consumption Updates'!$D:$D,$M$1,'Cutters Consumption Updates'!$B:$B,$B135)+SUMIFS('Cutters Consumption Updates'!$F:$F,'Cutters Consumption Updates'!$D:$D,"Retrofit",'Cutters Consumption Updates'!$B:$B,$B135)-SUMIFS('Cutters Consumption Updates'!$E:$E,'Cutters Consumption Updates'!$D:$D,"Retrofit",'Cutters Consumption Updates'!$B:$B,$B135)+ SUMIF('Cutters Consumption Updates'!$AS:$AS,$B135,'Cutters Consumption Updates'!AX:AX)</f>
        <v>0</v>
      </c>
      <c r="N135" s="10">
        <f t="shared" si="24"/>
        <v>0</v>
      </c>
      <c r="O135" s="701">
        <f ca="1">SUMIFS('Cutters Consumption Updates'!E:E,
        'Cutters Consumption Updates'!B:B, B135,
        'Cutters Consumption Updates'!A:A, "&gt;" &amp; TODAY()-182)</f>
        <v>0</v>
      </c>
      <c r="P135" s="701">
        <f ca="1">SUMIFS('Cutters Consumption Updates'!E:E,
        'Cutters Consumption Updates'!B:B, B135,
        'Cutters Consumption Updates'!A:A, "&gt;" &amp; TODAY()-91)</f>
        <v>0</v>
      </c>
      <c r="Q135" s="701">
        <f t="shared" ca="1" si="25"/>
        <v>0</v>
      </c>
      <c r="R135" s="703">
        <f t="shared" ca="1" si="26"/>
        <v>0</v>
      </c>
      <c r="S135" s="703" t="s">
        <v>29</v>
      </c>
      <c r="T135" s="24">
        <f>IFERROR(INDEX(Table5[],MATCH($B135,Table5[Component],0),2),0)</f>
        <v>0</v>
      </c>
      <c r="U135" s="24">
        <f>SUMIFS(Table7[Balance],Table7[Cutter Mat'#],$B135)</f>
        <v>0</v>
      </c>
      <c r="V135" s="24">
        <f t="shared" si="27"/>
        <v>0</v>
      </c>
      <c r="W135" s="119"/>
      <c r="X135" s="2"/>
      <c r="Z135" s="4">
        <f>IFERROR(INDEX(Table5[],MATCH($B135,Table5[Component],0),2),0)</f>
        <v>0</v>
      </c>
      <c r="AA135" s="4">
        <f>IFERROR(INDEX(Table5[],MATCH($B135,Table5[Component],0),1),0)</f>
        <v>0</v>
      </c>
      <c r="AB135" s="4" t="str">
        <f t="shared" si="28"/>
        <v/>
      </c>
      <c r="AC135" s="4" t="str">
        <f t="shared" si="29"/>
        <v/>
      </c>
      <c r="AE135" s="4">
        <f t="shared" si="30"/>
        <v>18</v>
      </c>
      <c r="AJ135" s="248" t="str">
        <f t="shared" si="31"/>
        <v/>
      </c>
      <c r="AK135" s="248" t="str">
        <f t="shared" si="32"/>
        <v/>
      </c>
      <c r="AL135">
        <f t="shared" si="33"/>
        <v>0</v>
      </c>
      <c r="AQ135">
        <f t="shared" si="35"/>
        <v>0</v>
      </c>
      <c r="AS135">
        <v>1086351</v>
      </c>
      <c r="AT135">
        <f t="shared" si="34"/>
        <v>0</v>
      </c>
    </row>
    <row r="136" spans="1:46" ht="15.65" customHeight="1" x14ac:dyDescent="0.35">
      <c r="A136" s="2">
        <v>135</v>
      </c>
      <c r="B136" s="2">
        <v>1145493</v>
      </c>
      <c r="C136" s="2" t="s">
        <v>26</v>
      </c>
      <c r="D136" s="2">
        <v>1313</v>
      </c>
      <c r="E136" s="2" t="s">
        <v>130</v>
      </c>
      <c r="F136" s="2" t="s">
        <v>248</v>
      </c>
      <c r="G136" s="6"/>
      <c r="H136" s="6" t="s">
        <v>49</v>
      </c>
      <c r="I136" s="10">
        <f>SUMIFS('Cutters Consumption Updates'!$F:$F,'Cutters Consumption Updates'!$D:$D,I$1,'Cutters Consumption Updates'!$B:$B,$B136)-SUMIFS('Cutters Consumption Updates'!$E:$E,'Cutters Consumption Updates'!$D:$D,I$1,'Cutters Consumption Updates'!$B:$B,$B136)+ SUMIF('Cutters Consumption Updates'!$AS:$AS,$B136,'Cutters Consumption Updates'!AT:AT)</f>
        <v>0</v>
      </c>
      <c r="J136" s="10">
        <f>SUMIFS('Cutters Consumption Updates'!$F:$F,'Cutters Consumption Updates'!$D:$D,J$1,'Cutters Consumption Updates'!$B:$B,$B136)-SUMIFS('Cutters Consumption Updates'!$E:$E,'Cutters Consumption Updates'!$D:$D,J$1,'Cutters Consumption Updates'!$B:$B,$B136)+ SUMIF('Cutters Consumption Updates'!$AS:$AS,$B136,'Cutters Consumption Updates'!AU:AU)</f>
        <v>0</v>
      </c>
      <c r="K136" s="116">
        <f>SUMIFS('Cutters Consumption Updates'!$F:$F,'Cutters Consumption Updates'!$D:$D,K$1,'Cutters Consumption Updates'!$B:$B,$B136)-SUMIFS('Cutters Consumption Updates'!$E:$E,'Cutters Consumption Updates'!$D:$D,K$1,'Cutters Consumption Updates'!$B:$B,$B136)+ SUMIF('Cutters Consumption Updates'!$AS:$AS,$B136,'Cutters Consumption Updates'!AV:AV)</f>
        <v>0</v>
      </c>
      <c r="L136" s="738">
        <f>SUMIFS('Cutters Consumption Updates'!$F:$F,'Cutters Consumption Updates'!$D:$D,L$1,'Cutters Consumption Updates'!$B:$B,$B136)-SUMIFS('Cutters Consumption Updates'!$E:$E,'Cutters Consumption Updates'!$D:$D,L$1,'Cutters Consumption Updates'!$B:$B,$B136)+ SUMIF('Cutters Consumption Updates'!$AS:$AS,$B136,'Cutters Consumption Updates'!AW:AW)</f>
        <v>7</v>
      </c>
      <c r="M136" s="116">
        <f>SUMIFS('Cutters Consumption Updates'!$F:$F,'Cutters Consumption Updates'!$D:$D,M$1,'Cutters Consumption Updates'!$B:$B,$B136)-SUMIFS('Cutters Consumption Updates'!$E:$E,'Cutters Consumption Updates'!$D:$D,$M$1,'Cutters Consumption Updates'!$B:$B,$B136)+SUMIFS('Cutters Consumption Updates'!$F:$F,'Cutters Consumption Updates'!$D:$D,"Retrofit",'Cutters Consumption Updates'!$B:$B,$B136)-SUMIFS('Cutters Consumption Updates'!$E:$E,'Cutters Consumption Updates'!$D:$D,"Retrofit",'Cutters Consumption Updates'!$B:$B,$B136)+ SUMIF('Cutters Consumption Updates'!$AS:$AS,$B136,'Cutters Consumption Updates'!AX:AX)</f>
        <v>0</v>
      </c>
      <c r="N136" s="10">
        <f t="shared" si="24"/>
        <v>0</v>
      </c>
      <c r="O136" s="701">
        <f ca="1">SUMIFS('Cutters Consumption Updates'!E:E,
        'Cutters Consumption Updates'!B:B, B136,
        'Cutters Consumption Updates'!A:A, "&gt;" &amp; TODAY()-182)</f>
        <v>17</v>
      </c>
      <c r="P136" s="701">
        <f ca="1">SUMIFS('Cutters Consumption Updates'!E:E,
        'Cutters Consumption Updates'!B:B, B136,
        'Cutters Consumption Updates'!A:A, "&gt;" &amp; TODAY()-91)</f>
        <v>5</v>
      </c>
      <c r="Q136" s="701">
        <f t="shared" ca="1" si="25"/>
        <v>6</v>
      </c>
      <c r="R136" s="703">
        <f t="shared" ca="1" si="26"/>
        <v>10</v>
      </c>
      <c r="S136" s="703" t="s">
        <v>29</v>
      </c>
      <c r="T136" s="24">
        <f>IFERROR(INDEX(Table5[],MATCH($B136,Table5[Component],0),2),0)</f>
        <v>0</v>
      </c>
      <c r="U136" s="24">
        <f>SUMIFS(Table7[Balance],Table7[Cutter Mat'#],$B136)</f>
        <v>0</v>
      </c>
      <c r="V136" s="24">
        <f t="shared" si="27"/>
        <v>0</v>
      </c>
      <c r="W136" s="119"/>
      <c r="X136" s="2"/>
      <c r="Z136" s="4">
        <f>IFERROR(INDEX(Table5[],MATCH($B136,Table5[Component],0),2),0)</f>
        <v>0</v>
      </c>
      <c r="AA136" s="4">
        <f>IFERROR(INDEX(Table5[],MATCH($B136,Table5[Component],0),1),0)</f>
        <v>0</v>
      </c>
      <c r="AB136" s="4" t="str">
        <f t="shared" si="28"/>
        <v/>
      </c>
      <c r="AC136" s="4" t="str">
        <f t="shared" si="29"/>
        <v/>
      </c>
      <c r="AE136" s="4">
        <f t="shared" si="30"/>
        <v>0</v>
      </c>
      <c r="AJ136" s="248" t="str">
        <f t="shared" si="31"/>
        <v/>
      </c>
      <c r="AK136" s="248" t="str">
        <f t="shared" si="32"/>
        <v/>
      </c>
      <c r="AL136">
        <f t="shared" si="33"/>
        <v>0</v>
      </c>
      <c r="AQ136">
        <f t="shared" si="35"/>
        <v>0</v>
      </c>
      <c r="AS136">
        <v>1100694</v>
      </c>
      <c r="AT136">
        <f t="shared" si="34"/>
        <v>0</v>
      </c>
    </row>
    <row r="137" spans="1:46" ht="15.65" customHeight="1" x14ac:dyDescent="0.35">
      <c r="A137" s="2">
        <v>136</v>
      </c>
      <c r="B137" s="2">
        <v>1050785</v>
      </c>
      <c r="C137" s="2" t="s">
        <v>26</v>
      </c>
      <c r="D137" s="2">
        <v>1005</v>
      </c>
      <c r="E137" s="2" t="s">
        <v>88</v>
      </c>
      <c r="F137" s="2" t="s">
        <v>248</v>
      </c>
      <c r="G137" s="6"/>
      <c r="H137" s="6" t="s">
        <v>49</v>
      </c>
      <c r="I137" s="10">
        <f>SUMIFS('Cutters Consumption Updates'!$F:$F,'Cutters Consumption Updates'!$D:$D,I$1,'Cutters Consumption Updates'!$B:$B,$B137)-SUMIFS('Cutters Consumption Updates'!$E:$E,'Cutters Consumption Updates'!$D:$D,I$1,'Cutters Consumption Updates'!$B:$B,$B137)+ SUMIF('Cutters Consumption Updates'!$AS:$AS,$B137,'Cutters Consumption Updates'!AT:AT)</f>
        <v>0</v>
      </c>
      <c r="J137" s="10">
        <f>SUMIFS('Cutters Consumption Updates'!$F:$F,'Cutters Consumption Updates'!$D:$D,J$1,'Cutters Consumption Updates'!$B:$B,$B137)-SUMIFS('Cutters Consumption Updates'!$E:$E,'Cutters Consumption Updates'!$D:$D,J$1,'Cutters Consumption Updates'!$B:$B,$B137)+ SUMIF('Cutters Consumption Updates'!$AS:$AS,$B137,'Cutters Consumption Updates'!AU:AU)</f>
        <v>0</v>
      </c>
      <c r="K137" s="116">
        <f>SUMIFS('Cutters Consumption Updates'!$F:$F,'Cutters Consumption Updates'!$D:$D,K$1,'Cutters Consumption Updates'!$B:$B,$B137)-SUMIFS('Cutters Consumption Updates'!$E:$E,'Cutters Consumption Updates'!$D:$D,K$1,'Cutters Consumption Updates'!$B:$B,$B137)+ SUMIF('Cutters Consumption Updates'!$AS:$AS,$B137,'Cutters Consumption Updates'!AV:AV)</f>
        <v>0</v>
      </c>
      <c r="L137" s="738">
        <f>SUMIFS('Cutters Consumption Updates'!$F:$F,'Cutters Consumption Updates'!$D:$D,L$1,'Cutters Consumption Updates'!$B:$B,$B137)-SUMIFS('Cutters Consumption Updates'!$E:$E,'Cutters Consumption Updates'!$D:$D,L$1,'Cutters Consumption Updates'!$B:$B,$B137)+ SUMIF('Cutters Consumption Updates'!$AS:$AS,$B137,'Cutters Consumption Updates'!AW:AW)</f>
        <v>0</v>
      </c>
      <c r="M137" s="116">
        <f>SUMIFS('Cutters Consumption Updates'!$F:$F,'Cutters Consumption Updates'!$D:$D,M$1,'Cutters Consumption Updates'!$B:$B,$B137)-SUMIFS('Cutters Consumption Updates'!$E:$E,'Cutters Consumption Updates'!$D:$D,$M$1,'Cutters Consumption Updates'!$B:$B,$B137)+SUMIFS('Cutters Consumption Updates'!$F:$F,'Cutters Consumption Updates'!$D:$D,"Retrofit",'Cutters Consumption Updates'!$B:$B,$B137)-SUMIFS('Cutters Consumption Updates'!$E:$E,'Cutters Consumption Updates'!$D:$D,"Retrofit",'Cutters Consumption Updates'!$B:$B,$B137)+ SUMIF('Cutters Consumption Updates'!$AS:$AS,$B137,'Cutters Consumption Updates'!AX:AX)</f>
        <v>5</v>
      </c>
      <c r="N137" s="10">
        <f t="shared" si="24"/>
        <v>5</v>
      </c>
      <c r="O137" s="701">
        <f ca="1">SUMIFS('Cutters Consumption Updates'!E:E,
        'Cutters Consumption Updates'!B:B, B137,
        'Cutters Consumption Updates'!A:A, "&gt;" &amp; TODAY()-182)</f>
        <v>0</v>
      </c>
      <c r="P137" s="701">
        <f ca="1">SUMIFS('Cutters Consumption Updates'!E:E,
        'Cutters Consumption Updates'!B:B, B137,
        'Cutters Consumption Updates'!A:A, "&gt;" &amp; TODAY()-91)</f>
        <v>0</v>
      </c>
      <c r="Q137" s="701">
        <f t="shared" ca="1" si="25"/>
        <v>0</v>
      </c>
      <c r="R137" s="703">
        <f t="shared" ca="1" si="26"/>
        <v>0</v>
      </c>
      <c r="S137" s="703" t="s">
        <v>29</v>
      </c>
      <c r="T137" s="24">
        <f>IFERROR(INDEX(Table5[],MATCH($B137,Table5[Component],0),2),0)</f>
        <v>0</v>
      </c>
      <c r="U137" s="24">
        <f>SUMIFS(Table7[Balance],Table7[Cutter Mat'#],$B137)</f>
        <v>0</v>
      </c>
      <c r="V137" s="24">
        <f t="shared" si="27"/>
        <v>5</v>
      </c>
      <c r="W137" s="119"/>
      <c r="X137" s="2"/>
      <c r="Z137" s="4">
        <f>IFERROR(INDEX(Table5[],MATCH($B137,Table5[Component],0),2),0)</f>
        <v>0</v>
      </c>
      <c r="AA137" s="4">
        <f>IFERROR(INDEX(Table5[],MATCH($B137,Table5[Component],0),1),0)</f>
        <v>1050785</v>
      </c>
      <c r="AB137" s="4" t="str">
        <f t="shared" si="28"/>
        <v/>
      </c>
      <c r="AC137" s="4" t="str">
        <f t="shared" si="29"/>
        <v/>
      </c>
      <c r="AE137" s="4">
        <f t="shared" si="30"/>
        <v>5</v>
      </c>
      <c r="AJ137" s="248" t="str">
        <f t="shared" si="31"/>
        <v/>
      </c>
      <c r="AK137" s="248" t="str">
        <f t="shared" si="32"/>
        <v/>
      </c>
      <c r="AL137">
        <f t="shared" si="33"/>
        <v>0</v>
      </c>
      <c r="AQ137">
        <f t="shared" si="35"/>
        <v>0</v>
      </c>
      <c r="AS137">
        <v>1100696</v>
      </c>
      <c r="AT137">
        <f t="shared" si="34"/>
        <v>0</v>
      </c>
    </row>
    <row r="138" spans="1:46" ht="15.65" customHeight="1" x14ac:dyDescent="0.35">
      <c r="A138" s="2">
        <v>137</v>
      </c>
      <c r="B138" s="2">
        <v>874583</v>
      </c>
      <c r="C138" s="2" t="s">
        <v>26</v>
      </c>
      <c r="D138" s="2">
        <v>1313</v>
      </c>
      <c r="E138" s="2" t="s">
        <v>76</v>
      </c>
      <c r="F138" s="2" t="s">
        <v>248</v>
      </c>
      <c r="G138" s="6" t="s">
        <v>131</v>
      </c>
      <c r="H138" s="6" t="s">
        <v>28</v>
      </c>
      <c r="I138" s="10">
        <f>SUMIFS('Cutters Consumption Updates'!$F:$F,'Cutters Consumption Updates'!$D:$D,I$1,'Cutters Consumption Updates'!$B:$B,$B138)-SUMIFS('Cutters Consumption Updates'!$E:$E,'Cutters Consumption Updates'!$D:$D,I$1,'Cutters Consumption Updates'!$B:$B,$B138)+ SUMIF('Cutters Consumption Updates'!$AS:$AS,$B138,'Cutters Consumption Updates'!AT:AT)</f>
        <v>0</v>
      </c>
      <c r="J138" s="10">
        <f>SUMIFS('Cutters Consumption Updates'!$F:$F,'Cutters Consumption Updates'!$D:$D,J$1,'Cutters Consumption Updates'!$B:$B,$B138)-SUMIFS('Cutters Consumption Updates'!$E:$E,'Cutters Consumption Updates'!$D:$D,J$1,'Cutters Consumption Updates'!$B:$B,$B138)+ SUMIF('Cutters Consumption Updates'!$AS:$AS,$B138,'Cutters Consumption Updates'!AU:AU)</f>
        <v>0</v>
      </c>
      <c r="K138" s="116">
        <f>SUMIFS('Cutters Consumption Updates'!$F:$F,'Cutters Consumption Updates'!$D:$D,K$1,'Cutters Consumption Updates'!$B:$B,$B138)-SUMIFS('Cutters Consumption Updates'!$E:$E,'Cutters Consumption Updates'!$D:$D,K$1,'Cutters Consumption Updates'!$B:$B,$B138)+ SUMIF('Cutters Consumption Updates'!$AS:$AS,$B138,'Cutters Consumption Updates'!AV:AV)</f>
        <v>0</v>
      </c>
      <c r="L138" s="738">
        <f>SUMIFS('Cutters Consumption Updates'!$F:$F,'Cutters Consumption Updates'!$D:$D,L$1,'Cutters Consumption Updates'!$B:$B,$B138)-SUMIFS('Cutters Consumption Updates'!$E:$E,'Cutters Consumption Updates'!$D:$D,L$1,'Cutters Consumption Updates'!$B:$B,$B138)+ SUMIF('Cutters Consumption Updates'!$AS:$AS,$B138,'Cutters Consumption Updates'!AW:AW)</f>
        <v>0</v>
      </c>
      <c r="M138" s="116">
        <f>SUMIFS('Cutters Consumption Updates'!$F:$F,'Cutters Consumption Updates'!$D:$D,M$1,'Cutters Consumption Updates'!$B:$B,$B138)-SUMIFS('Cutters Consumption Updates'!$E:$E,'Cutters Consumption Updates'!$D:$D,$M$1,'Cutters Consumption Updates'!$B:$B,$B138)+SUMIFS('Cutters Consumption Updates'!$F:$F,'Cutters Consumption Updates'!$D:$D,"Retrofit",'Cutters Consumption Updates'!$B:$B,$B138)-SUMIFS('Cutters Consumption Updates'!$E:$E,'Cutters Consumption Updates'!$D:$D,"Retrofit",'Cutters Consumption Updates'!$B:$B,$B138)+ SUMIF('Cutters Consumption Updates'!$AS:$AS,$B138,'Cutters Consumption Updates'!AX:AX)</f>
        <v>0</v>
      </c>
      <c r="N138" s="10">
        <f t="shared" si="24"/>
        <v>0</v>
      </c>
      <c r="O138" s="701">
        <f ca="1">SUMIFS('Cutters Consumption Updates'!E:E,
        'Cutters Consumption Updates'!B:B, B138,
        'Cutters Consumption Updates'!A:A, "&gt;" &amp; TODAY()-182)</f>
        <v>4</v>
      </c>
      <c r="P138" s="701">
        <f ca="1">SUMIFS('Cutters Consumption Updates'!E:E,
        'Cutters Consumption Updates'!B:B, B138,
        'Cutters Consumption Updates'!A:A, "&gt;" &amp; TODAY()-91)</f>
        <v>4</v>
      </c>
      <c r="Q138" s="701">
        <f t="shared" ca="1" si="25"/>
        <v>2</v>
      </c>
      <c r="R138" s="703">
        <f t="shared" ca="1" si="26"/>
        <v>5</v>
      </c>
      <c r="S138" s="703" t="s">
        <v>29</v>
      </c>
      <c r="T138" s="24">
        <f>IFERROR(INDEX(Table5[],MATCH($B138,Table5[Component],0),2),0)</f>
        <v>0</v>
      </c>
      <c r="U138" s="24">
        <f>SUMIFS(Table7[Balance],Table7[Cutter Mat'#],$B138)</f>
        <v>0</v>
      </c>
      <c r="V138" s="24">
        <f t="shared" si="27"/>
        <v>0</v>
      </c>
      <c r="W138" s="119"/>
      <c r="X138" s="2"/>
      <c r="Z138" s="4">
        <f>IFERROR(INDEX(Table5[],MATCH($B138,Table5[Component],0),2),0)</f>
        <v>0</v>
      </c>
      <c r="AA138" s="4">
        <f>IFERROR(INDEX(Table5[],MATCH($B138,Table5[Component],0),1),0)</f>
        <v>0</v>
      </c>
      <c r="AB138" s="4" t="str">
        <f t="shared" si="28"/>
        <v/>
      </c>
      <c r="AC138" s="4" t="str">
        <f t="shared" si="29"/>
        <v/>
      </c>
      <c r="AE138" s="4">
        <f t="shared" si="30"/>
        <v>0</v>
      </c>
      <c r="AJ138" s="248" t="str">
        <f t="shared" si="31"/>
        <v/>
      </c>
      <c r="AK138" s="248" t="str">
        <f t="shared" si="32"/>
        <v/>
      </c>
      <c r="AL138">
        <f t="shared" si="33"/>
        <v>0</v>
      </c>
      <c r="AQ138">
        <f t="shared" si="35"/>
        <v>0</v>
      </c>
      <c r="AS138">
        <v>1100739</v>
      </c>
      <c r="AT138">
        <f t="shared" si="34"/>
        <v>0</v>
      </c>
    </row>
    <row r="139" spans="1:46" ht="15.65" customHeight="1" x14ac:dyDescent="0.35">
      <c r="A139" s="2">
        <v>138</v>
      </c>
      <c r="B139" s="2">
        <v>1014950</v>
      </c>
      <c r="C139" s="2" t="s">
        <v>26</v>
      </c>
      <c r="D139" s="2">
        <v>1313</v>
      </c>
      <c r="E139" s="2" t="s">
        <v>91</v>
      </c>
      <c r="F139" s="2" t="s">
        <v>248</v>
      </c>
      <c r="G139" s="6" t="s">
        <v>131</v>
      </c>
      <c r="H139" s="6" t="s">
        <v>49</v>
      </c>
      <c r="I139" s="10">
        <f>SUMIFS('Cutters Consumption Updates'!$F:$F,'Cutters Consumption Updates'!$D:$D,I$1,'Cutters Consumption Updates'!$B:$B,$B139)-SUMIFS('Cutters Consumption Updates'!$E:$E,'Cutters Consumption Updates'!$D:$D,I$1,'Cutters Consumption Updates'!$B:$B,$B139)+ SUMIF('Cutters Consumption Updates'!$AS:$AS,$B139,'Cutters Consumption Updates'!AT:AT)</f>
        <v>0</v>
      </c>
      <c r="J139" s="10">
        <f>SUMIFS('Cutters Consumption Updates'!$F:$F,'Cutters Consumption Updates'!$D:$D,J$1,'Cutters Consumption Updates'!$B:$B,$B139)-SUMIFS('Cutters Consumption Updates'!$E:$E,'Cutters Consumption Updates'!$D:$D,J$1,'Cutters Consumption Updates'!$B:$B,$B139)+ SUMIF('Cutters Consumption Updates'!$AS:$AS,$B139,'Cutters Consumption Updates'!AU:AU)</f>
        <v>0</v>
      </c>
      <c r="K139" s="116">
        <f>SUMIFS('Cutters Consumption Updates'!$F:$F,'Cutters Consumption Updates'!$D:$D,K$1,'Cutters Consumption Updates'!$B:$B,$B139)-SUMIFS('Cutters Consumption Updates'!$E:$E,'Cutters Consumption Updates'!$D:$D,K$1,'Cutters Consumption Updates'!$B:$B,$B139)+ SUMIF('Cutters Consumption Updates'!$AS:$AS,$B139,'Cutters Consumption Updates'!AV:AV)</f>
        <v>0</v>
      </c>
      <c r="L139" s="738">
        <f>SUMIFS('Cutters Consumption Updates'!$F:$F,'Cutters Consumption Updates'!$D:$D,L$1,'Cutters Consumption Updates'!$B:$B,$B139)-SUMIFS('Cutters Consumption Updates'!$E:$E,'Cutters Consumption Updates'!$D:$D,L$1,'Cutters Consumption Updates'!$B:$B,$B139)+ SUMIF('Cutters Consumption Updates'!$AS:$AS,$B139,'Cutters Consumption Updates'!AW:AW)</f>
        <v>0</v>
      </c>
      <c r="M139" s="116">
        <f>SUMIFS('Cutters Consumption Updates'!$F:$F,'Cutters Consumption Updates'!$D:$D,M$1,'Cutters Consumption Updates'!$B:$B,$B139)-SUMIFS('Cutters Consumption Updates'!$E:$E,'Cutters Consumption Updates'!$D:$D,$M$1,'Cutters Consumption Updates'!$B:$B,$B139)+SUMIFS('Cutters Consumption Updates'!$F:$F,'Cutters Consumption Updates'!$D:$D,"Retrofit",'Cutters Consumption Updates'!$B:$B,$B139)-SUMIFS('Cutters Consumption Updates'!$E:$E,'Cutters Consumption Updates'!$D:$D,"Retrofit",'Cutters Consumption Updates'!$B:$B,$B139)+ SUMIF('Cutters Consumption Updates'!$AS:$AS,$B139,'Cutters Consumption Updates'!AX:AX)</f>
        <v>0</v>
      </c>
      <c r="N139" s="10">
        <f t="shared" si="24"/>
        <v>0</v>
      </c>
      <c r="O139" s="701">
        <f ca="1">SUMIFS('Cutters Consumption Updates'!E:E,
        'Cutters Consumption Updates'!B:B, B139,
        'Cutters Consumption Updates'!A:A, "&gt;" &amp; TODAY()-182)</f>
        <v>0</v>
      </c>
      <c r="P139" s="701">
        <f ca="1">SUMIFS('Cutters Consumption Updates'!E:E,
        'Cutters Consumption Updates'!B:B, B139,
        'Cutters Consumption Updates'!A:A, "&gt;" &amp; TODAY()-91)</f>
        <v>0</v>
      </c>
      <c r="Q139" s="701">
        <f t="shared" ca="1" si="25"/>
        <v>0</v>
      </c>
      <c r="R139" s="703">
        <f t="shared" ca="1" si="26"/>
        <v>0</v>
      </c>
      <c r="S139" s="703" t="s">
        <v>29</v>
      </c>
      <c r="T139" s="24">
        <f>IFERROR(INDEX(Table5[],MATCH($B139,Table5[Component],0),2),0)</f>
        <v>0</v>
      </c>
      <c r="U139" s="24">
        <f>SUMIFS(Table7[Balance],Table7[Cutter Mat'#],$B139)</f>
        <v>0</v>
      </c>
      <c r="V139" s="24">
        <f t="shared" si="27"/>
        <v>0</v>
      </c>
      <c r="W139" s="119"/>
      <c r="X139" s="2"/>
      <c r="Z139" s="4">
        <f>IFERROR(INDEX(Table5[],MATCH($B139,Table5[Component],0),2),0)</f>
        <v>0</v>
      </c>
      <c r="AA139" s="4">
        <f>IFERROR(INDEX(Table5[],MATCH($B139,Table5[Component],0),1),0)</f>
        <v>0</v>
      </c>
      <c r="AB139" s="4" t="str">
        <f t="shared" si="28"/>
        <v/>
      </c>
      <c r="AC139" s="4" t="str">
        <f t="shared" si="29"/>
        <v/>
      </c>
      <c r="AE139" s="4">
        <f t="shared" si="30"/>
        <v>0</v>
      </c>
      <c r="AJ139" s="248" t="str">
        <f t="shared" si="31"/>
        <v/>
      </c>
      <c r="AK139" s="248" t="str">
        <f t="shared" si="32"/>
        <v/>
      </c>
      <c r="AL139">
        <f t="shared" si="33"/>
        <v>0</v>
      </c>
      <c r="AQ139">
        <f t="shared" si="35"/>
        <v>0</v>
      </c>
      <c r="AS139">
        <v>1100740</v>
      </c>
      <c r="AT139">
        <f t="shared" si="34"/>
        <v>0</v>
      </c>
    </row>
    <row r="140" spans="1:46" ht="15.65" customHeight="1" x14ac:dyDescent="0.35">
      <c r="A140" s="2">
        <v>139</v>
      </c>
      <c r="B140" s="2">
        <v>1118470</v>
      </c>
      <c r="C140" s="2" t="s">
        <v>26</v>
      </c>
      <c r="D140" s="2">
        <v>1313</v>
      </c>
      <c r="E140" s="2" t="s">
        <v>132</v>
      </c>
      <c r="F140" s="2" t="s">
        <v>248</v>
      </c>
      <c r="G140" s="6" t="s">
        <v>131</v>
      </c>
      <c r="H140" s="6" t="s">
        <v>49</v>
      </c>
      <c r="I140" s="10">
        <f>SUMIFS('Cutters Consumption Updates'!$F:$F,'Cutters Consumption Updates'!$D:$D,I$1,'Cutters Consumption Updates'!$B:$B,$B140)-SUMIFS('Cutters Consumption Updates'!$E:$E,'Cutters Consumption Updates'!$D:$D,I$1,'Cutters Consumption Updates'!$B:$B,$B140)+ SUMIF('Cutters Consumption Updates'!$AS:$AS,$B140,'Cutters Consumption Updates'!AT:AT)</f>
        <v>0</v>
      </c>
      <c r="J140" s="10">
        <f>SUMIFS('Cutters Consumption Updates'!$F:$F,'Cutters Consumption Updates'!$D:$D,J$1,'Cutters Consumption Updates'!$B:$B,$B140)-SUMIFS('Cutters Consumption Updates'!$E:$E,'Cutters Consumption Updates'!$D:$D,J$1,'Cutters Consumption Updates'!$B:$B,$B140)+ SUMIF('Cutters Consumption Updates'!$AS:$AS,$B140,'Cutters Consumption Updates'!AU:AU)</f>
        <v>0</v>
      </c>
      <c r="K140" s="116">
        <f>SUMIFS('Cutters Consumption Updates'!$F:$F,'Cutters Consumption Updates'!$D:$D,K$1,'Cutters Consumption Updates'!$B:$B,$B140)-SUMIFS('Cutters Consumption Updates'!$E:$E,'Cutters Consumption Updates'!$D:$D,K$1,'Cutters Consumption Updates'!$B:$B,$B140)+ SUMIF('Cutters Consumption Updates'!$AS:$AS,$B140,'Cutters Consumption Updates'!AV:AV)</f>
        <v>0</v>
      </c>
      <c r="L140" s="738">
        <f>SUMIFS('Cutters Consumption Updates'!$F:$F,'Cutters Consumption Updates'!$D:$D,L$1,'Cutters Consumption Updates'!$B:$B,$B140)-SUMIFS('Cutters Consumption Updates'!$E:$E,'Cutters Consumption Updates'!$D:$D,L$1,'Cutters Consumption Updates'!$B:$B,$B140)+ SUMIF('Cutters Consumption Updates'!$AS:$AS,$B140,'Cutters Consumption Updates'!AW:AW)</f>
        <v>0</v>
      </c>
      <c r="M140" s="116">
        <f>SUMIFS('Cutters Consumption Updates'!$F:$F,'Cutters Consumption Updates'!$D:$D,M$1,'Cutters Consumption Updates'!$B:$B,$B140)-SUMIFS('Cutters Consumption Updates'!$E:$E,'Cutters Consumption Updates'!$D:$D,$M$1,'Cutters Consumption Updates'!$B:$B,$B140)+SUMIFS('Cutters Consumption Updates'!$F:$F,'Cutters Consumption Updates'!$D:$D,"Retrofit",'Cutters Consumption Updates'!$B:$B,$B140)-SUMIFS('Cutters Consumption Updates'!$E:$E,'Cutters Consumption Updates'!$D:$D,"Retrofit",'Cutters Consumption Updates'!$B:$B,$B140)+ SUMIF('Cutters Consumption Updates'!$AS:$AS,$B140,'Cutters Consumption Updates'!AX:AX)</f>
        <v>35</v>
      </c>
      <c r="N140" s="10">
        <f t="shared" si="24"/>
        <v>35</v>
      </c>
      <c r="O140" s="701">
        <f ca="1">SUMIFS('Cutters Consumption Updates'!E:E,
        'Cutters Consumption Updates'!B:B, B140,
        'Cutters Consumption Updates'!A:A, "&gt;" &amp; TODAY()-182)</f>
        <v>0</v>
      </c>
      <c r="P140" s="701">
        <f ca="1">SUMIFS('Cutters Consumption Updates'!E:E,
        'Cutters Consumption Updates'!B:B, B140,
        'Cutters Consumption Updates'!A:A, "&gt;" &amp; TODAY()-91)</f>
        <v>0</v>
      </c>
      <c r="Q140" s="701">
        <f t="shared" ca="1" si="25"/>
        <v>0</v>
      </c>
      <c r="R140" s="703">
        <f t="shared" ca="1" si="26"/>
        <v>0</v>
      </c>
      <c r="S140" s="703" t="s">
        <v>89</v>
      </c>
      <c r="T140" s="24">
        <f>IFERROR(INDEX(Table5[],MATCH($B140,Table5[Component],0),2),0)</f>
        <v>0</v>
      </c>
      <c r="U140" s="24">
        <f>SUMIFS(Table7[Balance],Table7[Cutter Mat'#],$B140)</f>
        <v>0</v>
      </c>
      <c r="V140" s="24">
        <f t="shared" si="27"/>
        <v>35</v>
      </c>
      <c r="W140" s="119"/>
      <c r="X140" s="2"/>
      <c r="Z140" s="4">
        <f>IFERROR(INDEX(Table5[],MATCH($B140,Table5[Component],0),2),0)</f>
        <v>0</v>
      </c>
      <c r="AA140" s="4">
        <f>IFERROR(INDEX(Table5[],MATCH($B140,Table5[Component],0),1),0)</f>
        <v>0</v>
      </c>
      <c r="AB140" s="4" t="str">
        <f t="shared" si="28"/>
        <v/>
      </c>
      <c r="AC140" s="4" t="str">
        <f t="shared" si="29"/>
        <v/>
      </c>
      <c r="AE140" s="4">
        <f t="shared" si="30"/>
        <v>35</v>
      </c>
      <c r="AJ140" s="248" t="str">
        <f t="shared" si="31"/>
        <v/>
      </c>
      <c r="AK140" s="248" t="str">
        <f t="shared" si="32"/>
        <v/>
      </c>
      <c r="AL140">
        <f t="shared" si="33"/>
        <v>0</v>
      </c>
      <c r="AQ140">
        <f t="shared" si="35"/>
        <v>0</v>
      </c>
      <c r="AS140">
        <v>1100741</v>
      </c>
      <c r="AT140">
        <f t="shared" si="34"/>
        <v>0</v>
      </c>
    </row>
    <row r="141" spans="1:46" ht="15.65" customHeight="1" x14ac:dyDescent="0.35">
      <c r="A141" s="2">
        <v>140</v>
      </c>
      <c r="B141" s="2">
        <v>1118517</v>
      </c>
      <c r="C141" s="2" t="s">
        <v>26</v>
      </c>
      <c r="D141" s="2">
        <v>1313</v>
      </c>
      <c r="E141" s="2" t="s">
        <v>133</v>
      </c>
      <c r="F141" s="2" t="s">
        <v>248</v>
      </c>
      <c r="G141" s="6" t="s">
        <v>131</v>
      </c>
      <c r="H141" s="6" t="s">
        <v>49</v>
      </c>
      <c r="I141" s="10">
        <f>SUMIFS('Cutters Consumption Updates'!$F:$F,'Cutters Consumption Updates'!$D:$D,I$1,'Cutters Consumption Updates'!$B:$B,$B141)-SUMIFS('Cutters Consumption Updates'!$E:$E,'Cutters Consumption Updates'!$D:$D,I$1,'Cutters Consumption Updates'!$B:$B,$B141)+ SUMIF('Cutters Consumption Updates'!$AS:$AS,$B141,'Cutters Consumption Updates'!AT:AT)</f>
        <v>0</v>
      </c>
      <c r="J141" s="10">
        <f>SUMIFS('Cutters Consumption Updates'!$F:$F,'Cutters Consumption Updates'!$D:$D,J$1,'Cutters Consumption Updates'!$B:$B,$B141)-SUMIFS('Cutters Consumption Updates'!$E:$E,'Cutters Consumption Updates'!$D:$D,J$1,'Cutters Consumption Updates'!$B:$B,$B141)+ SUMIF('Cutters Consumption Updates'!$AS:$AS,$B141,'Cutters Consumption Updates'!AU:AU)</f>
        <v>0</v>
      </c>
      <c r="K141" s="116">
        <f>SUMIFS('Cutters Consumption Updates'!$F:$F,'Cutters Consumption Updates'!$D:$D,K$1,'Cutters Consumption Updates'!$B:$B,$B141)-SUMIFS('Cutters Consumption Updates'!$E:$E,'Cutters Consumption Updates'!$D:$D,K$1,'Cutters Consumption Updates'!$B:$B,$B141)+ SUMIF('Cutters Consumption Updates'!$AS:$AS,$B141,'Cutters Consumption Updates'!AV:AV)</f>
        <v>0</v>
      </c>
      <c r="L141" s="738">
        <f>SUMIFS('Cutters Consumption Updates'!$F:$F,'Cutters Consumption Updates'!$D:$D,L$1,'Cutters Consumption Updates'!$B:$B,$B141)-SUMIFS('Cutters Consumption Updates'!$E:$E,'Cutters Consumption Updates'!$D:$D,L$1,'Cutters Consumption Updates'!$B:$B,$B141)+ SUMIF('Cutters Consumption Updates'!$AS:$AS,$B141,'Cutters Consumption Updates'!AW:AW)</f>
        <v>0</v>
      </c>
      <c r="M141" s="116">
        <f>SUMIFS('Cutters Consumption Updates'!$F:$F,'Cutters Consumption Updates'!$D:$D,M$1,'Cutters Consumption Updates'!$B:$B,$B141)-SUMIFS('Cutters Consumption Updates'!$E:$E,'Cutters Consumption Updates'!$D:$D,$M$1,'Cutters Consumption Updates'!$B:$B,$B141)+SUMIFS('Cutters Consumption Updates'!$F:$F,'Cutters Consumption Updates'!$D:$D,"Retrofit",'Cutters Consumption Updates'!$B:$B,$B141)-SUMIFS('Cutters Consumption Updates'!$E:$E,'Cutters Consumption Updates'!$D:$D,"Retrofit",'Cutters Consumption Updates'!$B:$B,$B141)+ SUMIF('Cutters Consumption Updates'!$AS:$AS,$B141,'Cutters Consumption Updates'!AX:AX)</f>
        <v>0</v>
      </c>
      <c r="N141" s="10">
        <f t="shared" si="24"/>
        <v>0</v>
      </c>
      <c r="O141" s="701">
        <f ca="1">SUMIFS('Cutters Consumption Updates'!E:E,
        'Cutters Consumption Updates'!B:B, B141,
        'Cutters Consumption Updates'!A:A, "&gt;" &amp; TODAY()-182)</f>
        <v>1</v>
      </c>
      <c r="P141" s="701">
        <f ca="1">SUMIFS('Cutters Consumption Updates'!E:E,
        'Cutters Consumption Updates'!B:B, B141,
        'Cutters Consumption Updates'!A:A, "&gt;" &amp; TODAY()-91)</f>
        <v>1</v>
      </c>
      <c r="Q141" s="701">
        <f t="shared" ca="1" si="25"/>
        <v>1</v>
      </c>
      <c r="R141" s="703">
        <f t="shared" ca="1" si="26"/>
        <v>0</v>
      </c>
      <c r="S141" s="703" t="s">
        <v>89</v>
      </c>
      <c r="T141" s="24">
        <f>IFERROR(INDEX(Table5[],MATCH($B141,Table5[Component],0),2),0)</f>
        <v>0</v>
      </c>
      <c r="U141" s="24">
        <f>SUMIFS(Table7[Balance],Table7[Cutter Mat'#],$B141)</f>
        <v>0</v>
      </c>
      <c r="V141" s="24">
        <f t="shared" si="27"/>
        <v>0</v>
      </c>
      <c r="W141" s="119"/>
      <c r="X141" s="2"/>
      <c r="Z141" s="4">
        <f>IFERROR(INDEX(Table5[],MATCH($B141,Table5[Component],0),2),0)</f>
        <v>0</v>
      </c>
      <c r="AA141" s="4">
        <f>IFERROR(INDEX(Table5[],MATCH($B141,Table5[Component],0),1),0)</f>
        <v>0</v>
      </c>
      <c r="AB141" s="4" t="str">
        <f t="shared" si="28"/>
        <v/>
      </c>
      <c r="AC141" s="4" t="str">
        <f t="shared" si="29"/>
        <v/>
      </c>
      <c r="AE141" s="4">
        <f t="shared" si="30"/>
        <v>0</v>
      </c>
      <c r="AJ141" s="248" t="str">
        <f t="shared" si="31"/>
        <v/>
      </c>
      <c r="AK141" s="248" t="str">
        <f t="shared" si="32"/>
        <v/>
      </c>
      <c r="AL141">
        <f t="shared" si="33"/>
        <v>0</v>
      </c>
      <c r="AQ141">
        <f t="shared" si="35"/>
        <v>0</v>
      </c>
      <c r="AS141">
        <v>1100745</v>
      </c>
      <c r="AT141">
        <f t="shared" si="34"/>
        <v>0</v>
      </c>
    </row>
    <row r="142" spans="1:46" ht="15.65" customHeight="1" x14ac:dyDescent="0.35">
      <c r="A142" s="5">
        <v>141</v>
      </c>
      <c r="B142" s="5">
        <v>1123324</v>
      </c>
      <c r="C142" s="2" t="s">
        <v>122</v>
      </c>
      <c r="D142" s="2">
        <v>1313</v>
      </c>
      <c r="E142" s="2" t="s">
        <v>134</v>
      </c>
      <c r="F142" s="2" t="s">
        <v>248</v>
      </c>
      <c r="G142" s="6" t="s">
        <v>131</v>
      </c>
      <c r="H142" s="6" t="s">
        <v>49</v>
      </c>
      <c r="I142" s="10">
        <f>SUMIFS('Cutters Consumption Updates'!$F:$F,'Cutters Consumption Updates'!$D:$D,I$1,'Cutters Consumption Updates'!$B:$B,$B142)-SUMIFS('Cutters Consumption Updates'!$E:$E,'Cutters Consumption Updates'!$D:$D,I$1,'Cutters Consumption Updates'!$B:$B,$B142)+ SUMIF('Cutters Consumption Updates'!$AS:$AS,$B142,'Cutters Consumption Updates'!AT:AT)</f>
        <v>0</v>
      </c>
      <c r="J142" s="10">
        <f>SUMIFS('Cutters Consumption Updates'!$F:$F,'Cutters Consumption Updates'!$D:$D,J$1,'Cutters Consumption Updates'!$B:$B,$B142)-SUMIFS('Cutters Consumption Updates'!$E:$E,'Cutters Consumption Updates'!$D:$D,J$1,'Cutters Consumption Updates'!$B:$B,$B142)+ SUMIF('Cutters Consumption Updates'!$AS:$AS,$B142,'Cutters Consumption Updates'!AU:AU)</f>
        <v>0</v>
      </c>
      <c r="K142" s="116">
        <f>SUMIFS('Cutters Consumption Updates'!$F:$F,'Cutters Consumption Updates'!$D:$D,K$1,'Cutters Consumption Updates'!$B:$B,$B142)-SUMIFS('Cutters Consumption Updates'!$E:$E,'Cutters Consumption Updates'!$D:$D,K$1,'Cutters Consumption Updates'!$B:$B,$B142)+ SUMIF('Cutters Consumption Updates'!$AS:$AS,$B142,'Cutters Consumption Updates'!AV:AV)</f>
        <v>0</v>
      </c>
      <c r="L142" s="738">
        <f>SUMIFS('Cutters Consumption Updates'!$F:$F,'Cutters Consumption Updates'!$D:$D,L$1,'Cutters Consumption Updates'!$B:$B,$B142)-SUMIFS('Cutters Consumption Updates'!$E:$E,'Cutters Consumption Updates'!$D:$D,L$1,'Cutters Consumption Updates'!$B:$B,$B142)+ SUMIF('Cutters Consumption Updates'!$AS:$AS,$B142,'Cutters Consumption Updates'!AW:AW)</f>
        <v>0</v>
      </c>
      <c r="M142" s="116">
        <f>SUMIFS('Cutters Consumption Updates'!$F:$F,'Cutters Consumption Updates'!$D:$D,M$1,'Cutters Consumption Updates'!$B:$B,$B142)-SUMIFS('Cutters Consumption Updates'!$E:$E,'Cutters Consumption Updates'!$D:$D,$M$1,'Cutters Consumption Updates'!$B:$B,$B142)+SUMIFS('Cutters Consumption Updates'!$F:$F,'Cutters Consumption Updates'!$D:$D,"Retrofit",'Cutters Consumption Updates'!$B:$B,$B142)-SUMIFS('Cutters Consumption Updates'!$E:$E,'Cutters Consumption Updates'!$D:$D,"Retrofit",'Cutters Consumption Updates'!$B:$B,$B142)+ SUMIF('Cutters Consumption Updates'!$AS:$AS,$B142,'Cutters Consumption Updates'!AX:AX)</f>
        <v>0</v>
      </c>
      <c r="N142" s="10">
        <f t="shared" si="24"/>
        <v>0</v>
      </c>
      <c r="O142" s="701">
        <f ca="1">SUMIFS('Cutters Consumption Updates'!E:E,
        'Cutters Consumption Updates'!B:B, B142,
        'Cutters Consumption Updates'!A:A, "&gt;" &amp; TODAY()-182)</f>
        <v>0</v>
      </c>
      <c r="P142" s="701">
        <f ca="1">SUMIFS('Cutters Consumption Updates'!E:E,
        'Cutters Consumption Updates'!B:B, B142,
        'Cutters Consumption Updates'!A:A, "&gt;" &amp; TODAY()-91)</f>
        <v>0</v>
      </c>
      <c r="Q142" s="701">
        <f t="shared" ca="1" si="25"/>
        <v>0</v>
      </c>
      <c r="R142" s="703">
        <f t="shared" ca="1" si="26"/>
        <v>0</v>
      </c>
      <c r="S142" s="703" t="s">
        <v>29</v>
      </c>
      <c r="T142" s="24">
        <f>IFERROR(INDEX(Table5[],MATCH($B142,Table5[Component],0),2),0)</f>
        <v>0</v>
      </c>
      <c r="U142" s="24">
        <f>SUMIFS(Table7[Balance],Table7[Cutter Mat'#],$B142)</f>
        <v>0</v>
      </c>
      <c r="V142" s="24">
        <f t="shared" si="27"/>
        <v>0</v>
      </c>
      <c r="W142" s="119"/>
      <c r="X142" s="2"/>
      <c r="Z142" s="4">
        <f>IFERROR(INDEX(Table5[],MATCH($B142,Table5[Component],0),2),0)</f>
        <v>0</v>
      </c>
      <c r="AA142" s="4">
        <f>IFERROR(INDEX(Table5[],MATCH($B142,Table5[Component],0),1),0)</f>
        <v>0</v>
      </c>
      <c r="AB142" s="4" t="str">
        <f t="shared" si="28"/>
        <v/>
      </c>
      <c r="AC142" s="4" t="str">
        <f t="shared" si="29"/>
        <v/>
      </c>
      <c r="AE142" s="4">
        <f t="shared" si="30"/>
        <v>0</v>
      </c>
      <c r="AJ142" s="248" t="str">
        <f t="shared" si="31"/>
        <v/>
      </c>
      <c r="AK142" s="248" t="str">
        <f t="shared" si="32"/>
        <v/>
      </c>
      <c r="AL142">
        <f t="shared" si="33"/>
        <v>0</v>
      </c>
      <c r="AQ142">
        <f t="shared" si="35"/>
        <v>0</v>
      </c>
      <c r="AS142">
        <v>1100749</v>
      </c>
      <c r="AT142">
        <f t="shared" si="34"/>
        <v>0</v>
      </c>
    </row>
    <row r="143" spans="1:46" ht="15.65" customHeight="1" x14ac:dyDescent="0.35">
      <c r="A143" s="5">
        <v>142</v>
      </c>
      <c r="B143" s="5">
        <v>1137793</v>
      </c>
      <c r="C143" s="2" t="s">
        <v>122</v>
      </c>
      <c r="D143" s="2">
        <v>1313</v>
      </c>
      <c r="E143" s="2" t="s">
        <v>123</v>
      </c>
      <c r="F143" s="2" t="s">
        <v>248</v>
      </c>
      <c r="G143" s="6" t="s">
        <v>131</v>
      </c>
      <c r="H143" s="6" t="s">
        <v>49</v>
      </c>
      <c r="I143" s="10">
        <f>SUMIFS('Cutters Consumption Updates'!$F:$F,'Cutters Consumption Updates'!$D:$D,I$1,'Cutters Consumption Updates'!$B:$B,$B143)-SUMIFS('Cutters Consumption Updates'!$E:$E,'Cutters Consumption Updates'!$D:$D,I$1,'Cutters Consumption Updates'!$B:$B,$B143)+ SUMIF('Cutters Consumption Updates'!$AS:$AS,$B143,'Cutters Consumption Updates'!AT:AT)</f>
        <v>0</v>
      </c>
      <c r="J143" s="10">
        <f>SUMIFS('Cutters Consumption Updates'!$F:$F,'Cutters Consumption Updates'!$D:$D,J$1,'Cutters Consumption Updates'!$B:$B,$B143)-SUMIFS('Cutters Consumption Updates'!$E:$E,'Cutters Consumption Updates'!$D:$D,J$1,'Cutters Consumption Updates'!$B:$B,$B143)+ SUMIF('Cutters Consumption Updates'!$AS:$AS,$B143,'Cutters Consumption Updates'!AU:AU)</f>
        <v>0</v>
      </c>
      <c r="K143" s="116">
        <f>SUMIFS('Cutters Consumption Updates'!$F:$F,'Cutters Consumption Updates'!$D:$D,K$1,'Cutters Consumption Updates'!$B:$B,$B143)-SUMIFS('Cutters Consumption Updates'!$E:$E,'Cutters Consumption Updates'!$D:$D,K$1,'Cutters Consumption Updates'!$B:$B,$B143)+ SUMIF('Cutters Consumption Updates'!$AS:$AS,$B143,'Cutters Consumption Updates'!AV:AV)</f>
        <v>0</v>
      </c>
      <c r="L143" s="738">
        <f>SUMIFS('Cutters Consumption Updates'!$F:$F,'Cutters Consumption Updates'!$D:$D,L$1,'Cutters Consumption Updates'!$B:$B,$B143)-SUMIFS('Cutters Consumption Updates'!$E:$E,'Cutters Consumption Updates'!$D:$D,L$1,'Cutters Consumption Updates'!$B:$B,$B143)+ SUMIF('Cutters Consumption Updates'!$AS:$AS,$B143,'Cutters Consumption Updates'!AW:AW)</f>
        <v>0</v>
      </c>
      <c r="M143" s="116">
        <f>SUMIFS('Cutters Consumption Updates'!$F:$F,'Cutters Consumption Updates'!$D:$D,M$1,'Cutters Consumption Updates'!$B:$B,$B143)-SUMIFS('Cutters Consumption Updates'!$E:$E,'Cutters Consumption Updates'!$D:$D,$M$1,'Cutters Consumption Updates'!$B:$B,$B143)+SUMIFS('Cutters Consumption Updates'!$F:$F,'Cutters Consumption Updates'!$D:$D,"Retrofit",'Cutters Consumption Updates'!$B:$B,$B143)-SUMIFS('Cutters Consumption Updates'!$E:$E,'Cutters Consumption Updates'!$D:$D,"Retrofit",'Cutters Consumption Updates'!$B:$B,$B143)+ SUMIF('Cutters Consumption Updates'!$AS:$AS,$B143,'Cutters Consumption Updates'!AX:AX)</f>
        <v>0</v>
      </c>
      <c r="N143" s="10">
        <f t="shared" si="24"/>
        <v>0</v>
      </c>
      <c r="O143" s="701">
        <f ca="1">SUMIFS('Cutters Consumption Updates'!E:E,
        'Cutters Consumption Updates'!B:B, B143,
        'Cutters Consumption Updates'!A:A, "&gt;" &amp; TODAY()-182)</f>
        <v>1</v>
      </c>
      <c r="P143" s="701">
        <f ca="1">SUMIFS('Cutters Consumption Updates'!E:E,
        'Cutters Consumption Updates'!B:B, B143,
        'Cutters Consumption Updates'!A:A, "&gt;" &amp; TODAY()-91)</f>
        <v>1</v>
      </c>
      <c r="Q143" s="701">
        <f t="shared" ca="1" si="25"/>
        <v>1</v>
      </c>
      <c r="R143" s="703">
        <f t="shared" ca="1" si="26"/>
        <v>0</v>
      </c>
      <c r="S143" s="703" t="s">
        <v>29</v>
      </c>
      <c r="T143" s="24">
        <f>IFERROR(INDEX(Table5[],MATCH($B143,Table5[Component],0),2),0)</f>
        <v>0</v>
      </c>
      <c r="U143" s="24">
        <f>SUMIFS(Table7[Balance],Table7[Cutter Mat'#],$B143)</f>
        <v>0</v>
      </c>
      <c r="V143" s="24">
        <f t="shared" si="27"/>
        <v>0</v>
      </c>
      <c r="W143" s="119"/>
      <c r="X143" s="2"/>
      <c r="Z143" s="4">
        <f>IFERROR(INDEX(Table5[],MATCH($B143,Table5[Component],0),2),0)</f>
        <v>0</v>
      </c>
      <c r="AA143" s="4">
        <f>IFERROR(INDEX(Table5[],MATCH($B143,Table5[Component],0),1),0)</f>
        <v>0</v>
      </c>
      <c r="AB143" s="4" t="str">
        <f t="shared" si="28"/>
        <v/>
      </c>
      <c r="AC143" s="4" t="str">
        <f t="shared" si="29"/>
        <v/>
      </c>
      <c r="AE143" s="4">
        <f t="shared" si="30"/>
        <v>0</v>
      </c>
      <c r="AJ143" s="248" t="str">
        <f t="shared" si="31"/>
        <v/>
      </c>
      <c r="AK143" s="248" t="str">
        <f t="shared" si="32"/>
        <v/>
      </c>
      <c r="AL143">
        <f t="shared" si="33"/>
        <v>0</v>
      </c>
      <c r="AQ143">
        <f t="shared" si="35"/>
        <v>0</v>
      </c>
      <c r="AS143">
        <v>1100751</v>
      </c>
      <c r="AT143">
        <f t="shared" si="34"/>
        <v>0</v>
      </c>
    </row>
    <row r="144" spans="1:46" ht="15.65" customHeight="1" x14ac:dyDescent="0.35">
      <c r="A144" s="2">
        <v>143</v>
      </c>
      <c r="B144" s="2">
        <v>1104744</v>
      </c>
      <c r="C144" s="2" t="s">
        <v>26</v>
      </c>
      <c r="D144" s="2">
        <v>1608</v>
      </c>
      <c r="E144" s="2" t="s">
        <v>127</v>
      </c>
      <c r="F144" s="3" t="s">
        <v>109</v>
      </c>
      <c r="G144" s="6" t="s">
        <v>135</v>
      </c>
      <c r="H144" s="6" t="s">
        <v>83</v>
      </c>
      <c r="I144" s="10">
        <f>SUMIFS('Cutters Consumption Updates'!$F:$F,'Cutters Consumption Updates'!$D:$D,I$1,'Cutters Consumption Updates'!$B:$B,$B144)-SUMIFS('Cutters Consumption Updates'!$E:$E,'Cutters Consumption Updates'!$D:$D,I$1,'Cutters Consumption Updates'!$B:$B,$B144)+ SUMIF('Cutters Consumption Updates'!$AS:$AS,$B144,'Cutters Consumption Updates'!AT:AT)</f>
        <v>0</v>
      </c>
      <c r="J144" s="10">
        <f>SUMIFS('Cutters Consumption Updates'!$F:$F,'Cutters Consumption Updates'!$D:$D,J$1,'Cutters Consumption Updates'!$B:$B,$B144)-SUMIFS('Cutters Consumption Updates'!$E:$E,'Cutters Consumption Updates'!$D:$D,J$1,'Cutters Consumption Updates'!$B:$B,$B144)+ SUMIF('Cutters Consumption Updates'!$AS:$AS,$B144,'Cutters Consumption Updates'!AU:AU)</f>
        <v>0</v>
      </c>
      <c r="K144" s="116">
        <f>SUMIFS('Cutters Consumption Updates'!$F:$F,'Cutters Consumption Updates'!$D:$D,K$1,'Cutters Consumption Updates'!$B:$B,$B144)-SUMIFS('Cutters Consumption Updates'!$E:$E,'Cutters Consumption Updates'!$D:$D,K$1,'Cutters Consumption Updates'!$B:$B,$B144)+ SUMIF('Cutters Consumption Updates'!$AS:$AS,$B144,'Cutters Consumption Updates'!AV:AV)</f>
        <v>0</v>
      </c>
      <c r="L144" s="738">
        <f>SUMIFS('Cutters Consumption Updates'!$F:$F,'Cutters Consumption Updates'!$D:$D,L$1,'Cutters Consumption Updates'!$B:$B,$B144)-SUMIFS('Cutters Consumption Updates'!$E:$E,'Cutters Consumption Updates'!$D:$D,L$1,'Cutters Consumption Updates'!$B:$B,$B144)+ SUMIF('Cutters Consumption Updates'!$AS:$AS,$B144,'Cutters Consumption Updates'!AW:AW)</f>
        <v>0</v>
      </c>
      <c r="M144" s="116">
        <f>SUMIFS('Cutters Consumption Updates'!$F:$F,'Cutters Consumption Updates'!$D:$D,M$1,'Cutters Consumption Updates'!$B:$B,$B144)-SUMIFS('Cutters Consumption Updates'!$E:$E,'Cutters Consumption Updates'!$D:$D,$M$1,'Cutters Consumption Updates'!$B:$B,$B144)+SUMIFS('Cutters Consumption Updates'!$F:$F,'Cutters Consumption Updates'!$D:$D,"Retrofit",'Cutters Consumption Updates'!$B:$B,$B144)-SUMIFS('Cutters Consumption Updates'!$E:$E,'Cutters Consumption Updates'!$D:$D,"Retrofit",'Cutters Consumption Updates'!$B:$B,$B144)+ SUMIF('Cutters Consumption Updates'!$AS:$AS,$B144,'Cutters Consumption Updates'!AX:AX)</f>
        <v>0</v>
      </c>
      <c r="N144" s="10">
        <f t="shared" si="24"/>
        <v>0</v>
      </c>
      <c r="O144" s="701">
        <f ca="1">SUMIFS('Cutters Consumption Updates'!E:E,
        'Cutters Consumption Updates'!B:B, B144,
        'Cutters Consumption Updates'!A:A, "&gt;" &amp; TODAY()-182)</f>
        <v>0</v>
      </c>
      <c r="P144" s="701">
        <f ca="1">SUMIFS('Cutters Consumption Updates'!E:E,
        'Cutters Consumption Updates'!B:B, B144,
        'Cutters Consumption Updates'!A:A, "&gt;" &amp; TODAY()-91)</f>
        <v>0</v>
      </c>
      <c r="Q144" s="701">
        <f t="shared" ca="1" si="25"/>
        <v>0</v>
      </c>
      <c r="R144" s="703">
        <f t="shared" ca="1" si="26"/>
        <v>0</v>
      </c>
      <c r="S144" s="703" t="s">
        <v>29</v>
      </c>
      <c r="T144" s="24">
        <f>IFERROR(INDEX(Table5[],MATCH($B144,Table5[Component],0),2),0)</f>
        <v>0</v>
      </c>
      <c r="U144" s="24">
        <f>SUMIFS(Table7[Balance],Table7[Cutter Mat'#],$B144)</f>
        <v>0</v>
      </c>
      <c r="V144" s="24">
        <f t="shared" si="27"/>
        <v>0</v>
      </c>
      <c r="W144" s="119"/>
      <c r="X144" s="2"/>
      <c r="Z144" s="4">
        <f>IFERROR(INDEX(Table5[],MATCH($B144,Table5[Component],0),2),0)</f>
        <v>0</v>
      </c>
      <c r="AA144" s="4">
        <f>IFERROR(INDEX(Table5[],MATCH($B144,Table5[Component],0),1),0)</f>
        <v>0</v>
      </c>
      <c r="AB144" s="4" t="str">
        <f t="shared" si="28"/>
        <v/>
      </c>
      <c r="AC144" s="4" t="str">
        <f t="shared" si="29"/>
        <v/>
      </c>
      <c r="AE144" s="4">
        <f t="shared" si="30"/>
        <v>0</v>
      </c>
      <c r="AJ144" s="248" t="str">
        <f t="shared" si="31"/>
        <v/>
      </c>
      <c r="AK144" s="248" t="str">
        <f t="shared" si="32"/>
        <v/>
      </c>
      <c r="AL144">
        <f t="shared" si="33"/>
        <v>0</v>
      </c>
      <c r="AQ144">
        <f t="shared" si="35"/>
        <v>0</v>
      </c>
      <c r="AS144">
        <v>1100753</v>
      </c>
      <c r="AT144">
        <f t="shared" si="34"/>
        <v>0</v>
      </c>
    </row>
    <row r="145" spans="1:46" ht="15.65" customHeight="1" x14ac:dyDescent="0.35">
      <c r="A145" s="2">
        <v>144</v>
      </c>
      <c r="B145" s="2">
        <v>643738</v>
      </c>
      <c r="C145" s="2" t="s">
        <v>26</v>
      </c>
      <c r="D145" s="2">
        <v>1608</v>
      </c>
      <c r="E145" s="2" t="s">
        <v>61</v>
      </c>
      <c r="F145" s="2" t="s">
        <v>253</v>
      </c>
      <c r="G145" s="6"/>
      <c r="H145" s="6" t="s">
        <v>49</v>
      </c>
      <c r="I145" s="10">
        <f>SUMIFS('Cutters Consumption Updates'!$F:$F,'Cutters Consumption Updates'!$D:$D,I$1,'Cutters Consumption Updates'!$B:$B,$B145)-SUMIFS('Cutters Consumption Updates'!$E:$E,'Cutters Consumption Updates'!$D:$D,I$1,'Cutters Consumption Updates'!$B:$B,$B145)+ SUMIF('Cutters Consumption Updates'!$AS:$AS,$B145,'Cutters Consumption Updates'!AT:AT)</f>
        <v>2</v>
      </c>
      <c r="J145" s="10">
        <f>SUMIFS('Cutters Consumption Updates'!$F:$F,'Cutters Consumption Updates'!$D:$D,J$1,'Cutters Consumption Updates'!$B:$B,$B145)-SUMIFS('Cutters Consumption Updates'!$E:$E,'Cutters Consumption Updates'!$D:$D,J$1,'Cutters Consumption Updates'!$B:$B,$B145)+ SUMIF('Cutters Consumption Updates'!$AS:$AS,$B145,'Cutters Consumption Updates'!AU:AU)</f>
        <v>9</v>
      </c>
      <c r="K145" s="116">
        <f>SUMIFS('Cutters Consumption Updates'!$F:$F,'Cutters Consumption Updates'!$D:$D,K$1,'Cutters Consumption Updates'!$B:$B,$B145)-SUMIFS('Cutters Consumption Updates'!$E:$E,'Cutters Consumption Updates'!$D:$D,K$1,'Cutters Consumption Updates'!$B:$B,$B145)+ SUMIF('Cutters Consumption Updates'!$AS:$AS,$B145,'Cutters Consumption Updates'!AV:AV)</f>
        <v>0</v>
      </c>
      <c r="L145" s="738">
        <f>SUMIFS('Cutters Consumption Updates'!$F:$F,'Cutters Consumption Updates'!$D:$D,L$1,'Cutters Consumption Updates'!$B:$B,$B145)-SUMIFS('Cutters Consumption Updates'!$E:$E,'Cutters Consumption Updates'!$D:$D,L$1,'Cutters Consumption Updates'!$B:$B,$B145)+ SUMIF('Cutters Consumption Updates'!$AS:$AS,$B145,'Cutters Consumption Updates'!AW:AW)</f>
        <v>0</v>
      </c>
      <c r="M145" s="116">
        <f>SUMIFS('Cutters Consumption Updates'!$F:$F,'Cutters Consumption Updates'!$D:$D,M$1,'Cutters Consumption Updates'!$B:$B,$B145)-SUMIFS('Cutters Consumption Updates'!$E:$E,'Cutters Consumption Updates'!$D:$D,$M$1,'Cutters Consumption Updates'!$B:$B,$B145)+SUMIFS('Cutters Consumption Updates'!$F:$F,'Cutters Consumption Updates'!$D:$D,"Retrofit",'Cutters Consumption Updates'!$B:$B,$B145)-SUMIFS('Cutters Consumption Updates'!$E:$E,'Cutters Consumption Updates'!$D:$D,"Retrofit",'Cutters Consumption Updates'!$B:$B,$B145)+ SUMIF('Cutters Consumption Updates'!$AS:$AS,$B145,'Cutters Consumption Updates'!AX:AX)</f>
        <v>0</v>
      </c>
      <c r="N145" s="10">
        <f t="shared" si="24"/>
        <v>2</v>
      </c>
      <c r="O145" s="701">
        <f ca="1">SUMIFS('Cutters Consumption Updates'!E:E,
        'Cutters Consumption Updates'!B:B, B145,
        'Cutters Consumption Updates'!A:A, "&gt;" &amp; TODAY()-182)</f>
        <v>6</v>
      </c>
      <c r="P145" s="701">
        <f ca="1">SUMIFS('Cutters Consumption Updates'!E:E,
        'Cutters Consumption Updates'!B:B, B145,
        'Cutters Consumption Updates'!A:A, "&gt;" &amp; TODAY()-91)</f>
        <v>6</v>
      </c>
      <c r="Q145" s="701">
        <f t="shared" ca="1" si="25"/>
        <v>2</v>
      </c>
      <c r="R145" s="703">
        <f t="shared" ca="1" si="26"/>
        <v>5</v>
      </c>
      <c r="S145" s="703" t="s">
        <v>119</v>
      </c>
      <c r="T145" s="24">
        <f>IFERROR(INDEX(Table5[],MATCH($B145,Table5[Component],0),2),0)</f>
        <v>0</v>
      </c>
      <c r="U145" s="24">
        <f>SUMIFS(Table7[Balance],Table7[Cutter Mat'#],$B145)</f>
        <v>0</v>
      </c>
      <c r="V145" s="24">
        <f t="shared" si="27"/>
        <v>2</v>
      </c>
      <c r="W145" s="119"/>
      <c r="X145" s="2"/>
      <c r="Z145" s="4">
        <f>IFERROR(INDEX(Table5[],MATCH($B145,Table5[Component],0),2),0)</f>
        <v>0</v>
      </c>
      <c r="AA145" s="4">
        <f>IFERROR(INDEX(Table5[],MATCH($B145,Table5[Component],0),1),0)</f>
        <v>0</v>
      </c>
      <c r="AB145" s="4" t="str">
        <f t="shared" si="28"/>
        <v/>
      </c>
      <c r="AC145" s="4" t="str">
        <f t="shared" si="29"/>
        <v/>
      </c>
      <c r="AE145" s="4">
        <f t="shared" si="30"/>
        <v>11</v>
      </c>
      <c r="AJ145" s="248" t="str">
        <f t="shared" si="31"/>
        <v/>
      </c>
      <c r="AK145" s="248" t="str">
        <f t="shared" si="32"/>
        <v/>
      </c>
      <c r="AL145">
        <f t="shared" si="33"/>
        <v>0</v>
      </c>
      <c r="AQ145">
        <f t="shared" si="35"/>
        <v>0</v>
      </c>
      <c r="AS145">
        <v>1100755</v>
      </c>
      <c r="AT145">
        <f t="shared" si="34"/>
        <v>0</v>
      </c>
    </row>
    <row r="146" spans="1:46" ht="15.65" customHeight="1" x14ac:dyDescent="0.35">
      <c r="A146" s="2">
        <v>145</v>
      </c>
      <c r="B146" s="2">
        <v>1130219</v>
      </c>
      <c r="C146" s="2" t="s">
        <v>26</v>
      </c>
      <c r="D146" s="2">
        <v>1313</v>
      </c>
      <c r="E146" s="2" t="s">
        <v>114</v>
      </c>
      <c r="F146" s="2" t="s">
        <v>248</v>
      </c>
      <c r="G146" s="6"/>
      <c r="H146" s="6" t="s">
        <v>49</v>
      </c>
      <c r="I146" s="10">
        <f>SUMIFS('Cutters Consumption Updates'!$F:$F,'Cutters Consumption Updates'!$D:$D,I$1,'Cutters Consumption Updates'!$B:$B,$B146)-SUMIFS('Cutters Consumption Updates'!$E:$E,'Cutters Consumption Updates'!$D:$D,I$1,'Cutters Consumption Updates'!$B:$B,$B146)+ SUMIF('Cutters Consumption Updates'!$AS:$AS,$B146,'Cutters Consumption Updates'!AT:AT)</f>
        <v>0</v>
      </c>
      <c r="J146" s="10">
        <f>SUMIFS('Cutters Consumption Updates'!$F:$F,'Cutters Consumption Updates'!$D:$D,J$1,'Cutters Consumption Updates'!$B:$B,$B146)-SUMIFS('Cutters Consumption Updates'!$E:$E,'Cutters Consumption Updates'!$D:$D,J$1,'Cutters Consumption Updates'!$B:$B,$B146)+ SUMIF('Cutters Consumption Updates'!$AS:$AS,$B146,'Cutters Consumption Updates'!AU:AU)</f>
        <v>0</v>
      </c>
      <c r="K146" s="116">
        <f>SUMIFS('Cutters Consumption Updates'!$F:$F,'Cutters Consumption Updates'!$D:$D,K$1,'Cutters Consumption Updates'!$B:$B,$B146)-SUMIFS('Cutters Consumption Updates'!$E:$E,'Cutters Consumption Updates'!$D:$D,K$1,'Cutters Consumption Updates'!$B:$B,$B146)+ SUMIF('Cutters Consumption Updates'!$AS:$AS,$B146,'Cutters Consumption Updates'!AV:AV)</f>
        <v>0</v>
      </c>
      <c r="L146" s="738">
        <f>SUMIFS('Cutters Consumption Updates'!$F:$F,'Cutters Consumption Updates'!$D:$D,L$1,'Cutters Consumption Updates'!$B:$B,$B146)-SUMIFS('Cutters Consumption Updates'!$E:$E,'Cutters Consumption Updates'!$D:$D,L$1,'Cutters Consumption Updates'!$B:$B,$B146)+ SUMIF('Cutters Consumption Updates'!$AS:$AS,$B146,'Cutters Consumption Updates'!AW:AW)</f>
        <v>0</v>
      </c>
      <c r="M146" s="116">
        <f>SUMIFS('Cutters Consumption Updates'!$F:$F,'Cutters Consumption Updates'!$D:$D,M$1,'Cutters Consumption Updates'!$B:$B,$B146)-SUMIFS('Cutters Consumption Updates'!$E:$E,'Cutters Consumption Updates'!$D:$D,$M$1,'Cutters Consumption Updates'!$B:$B,$B146)+SUMIFS('Cutters Consumption Updates'!$F:$F,'Cutters Consumption Updates'!$D:$D,"Retrofit",'Cutters Consumption Updates'!$B:$B,$B146)-SUMIFS('Cutters Consumption Updates'!$E:$E,'Cutters Consumption Updates'!$D:$D,"Retrofit",'Cutters Consumption Updates'!$B:$B,$B146)+ SUMIF('Cutters Consumption Updates'!$AS:$AS,$B146,'Cutters Consumption Updates'!AX:AX)</f>
        <v>0</v>
      </c>
      <c r="N146" s="10">
        <f t="shared" si="24"/>
        <v>0</v>
      </c>
      <c r="O146" s="701">
        <f ca="1">SUMIFS('Cutters Consumption Updates'!E:E,
        'Cutters Consumption Updates'!B:B, B146,
        'Cutters Consumption Updates'!A:A, "&gt;" &amp; TODAY()-182)</f>
        <v>42</v>
      </c>
      <c r="P146" s="701">
        <f ca="1">SUMIFS('Cutters Consumption Updates'!E:E,
        'Cutters Consumption Updates'!B:B, B146,
        'Cutters Consumption Updates'!A:A, "&gt;" &amp; TODAY()-91)</f>
        <v>20</v>
      </c>
      <c r="Q146" s="701">
        <f t="shared" ca="1" si="25"/>
        <v>14</v>
      </c>
      <c r="R146" s="703">
        <f t="shared" ca="1" si="26"/>
        <v>20</v>
      </c>
      <c r="S146" s="703" t="s">
        <v>89</v>
      </c>
      <c r="T146" s="24">
        <f>IFERROR(INDEX(Table5[],MATCH($B146,Table5[Component],0),2),0)</f>
        <v>0</v>
      </c>
      <c r="U146" s="24">
        <f>SUMIFS(Table7[Balance],Table7[Cutter Mat'#],$B146)</f>
        <v>0</v>
      </c>
      <c r="V146" s="24">
        <f t="shared" si="27"/>
        <v>0</v>
      </c>
      <c r="W146" s="119"/>
      <c r="X146" s="2"/>
      <c r="Z146" s="4">
        <f>IFERROR(INDEX(Table5[],MATCH($B146,Table5[Component],0),2),0)</f>
        <v>0</v>
      </c>
      <c r="AA146" s="4">
        <f>IFERROR(INDEX(Table5[],MATCH($B146,Table5[Component],0),1),0)</f>
        <v>1130219</v>
      </c>
      <c r="AB146" s="4" t="str">
        <f t="shared" si="28"/>
        <v/>
      </c>
      <c r="AC146" s="4" t="str">
        <f t="shared" si="29"/>
        <v/>
      </c>
      <c r="AE146" s="4">
        <f t="shared" si="30"/>
        <v>0</v>
      </c>
      <c r="AJ146" s="248" t="str">
        <f t="shared" si="31"/>
        <v/>
      </c>
      <c r="AK146" s="248" t="str">
        <f t="shared" si="32"/>
        <v/>
      </c>
      <c r="AL146">
        <f t="shared" si="33"/>
        <v>0</v>
      </c>
      <c r="AQ146">
        <f t="shared" si="35"/>
        <v>0</v>
      </c>
      <c r="AS146">
        <v>1100759</v>
      </c>
      <c r="AT146">
        <f t="shared" si="34"/>
        <v>0</v>
      </c>
    </row>
    <row r="147" spans="1:46" ht="15.65" customHeight="1" x14ac:dyDescent="0.35">
      <c r="A147" s="2">
        <v>146</v>
      </c>
      <c r="B147" s="2">
        <v>1101509</v>
      </c>
      <c r="C147" s="2" t="s">
        <v>136</v>
      </c>
      <c r="D147" s="2" t="s">
        <v>137</v>
      </c>
      <c r="E147" s="2" t="s">
        <v>35</v>
      </c>
      <c r="F147" s="2" t="s">
        <v>103</v>
      </c>
      <c r="G147" s="6"/>
      <c r="H147" s="6" t="s">
        <v>36</v>
      </c>
      <c r="I147" s="10">
        <f>SUMIFS('Cutters Consumption Updates'!$F:$F,'Cutters Consumption Updates'!$D:$D,I$1,'Cutters Consumption Updates'!$B:$B,$B147)-SUMIFS('Cutters Consumption Updates'!$E:$E,'Cutters Consumption Updates'!$D:$D,I$1,'Cutters Consumption Updates'!$B:$B,$B147)+ SUMIF('Cutters Consumption Updates'!$AS:$AS,$B147,'Cutters Consumption Updates'!AT:AT)</f>
        <v>0</v>
      </c>
      <c r="J147" s="10">
        <f>SUMIFS('Cutters Consumption Updates'!$F:$F,'Cutters Consumption Updates'!$D:$D,J$1,'Cutters Consumption Updates'!$B:$B,$B147)-SUMIFS('Cutters Consumption Updates'!$E:$E,'Cutters Consumption Updates'!$D:$D,J$1,'Cutters Consumption Updates'!$B:$B,$B147)+ SUMIF('Cutters Consumption Updates'!$AS:$AS,$B147,'Cutters Consumption Updates'!AU:AU)</f>
        <v>0</v>
      </c>
      <c r="K147" s="116">
        <f>SUMIFS('Cutters Consumption Updates'!$F:$F,'Cutters Consumption Updates'!$D:$D,K$1,'Cutters Consumption Updates'!$B:$B,$B147)-SUMIFS('Cutters Consumption Updates'!$E:$E,'Cutters Consumption Updates'!$D:$D,K$1,'Cutters Consumption Updates'!$B:$B,$B147)+ SUMIF('Cutters Consumption Updates'!$AS:$AS,$B147,'Cutters Consumption Updates'!AV:AV)</f>
        <v>0</v>
      </c>
      <c r="L147" s="738">
        <f>SUMIFS('Cutters Consumption Updates'!$F:$F,'Cutters Consumption Updates'!$D:$D,L$1,'Cutters Consumption Updates'!$B:$B,$B147)-SUMIFS('Cutters Consumption Updates'!$E:$E,'Cutters Consumption Updates'!$D:$D,L$1,'Cutters Consumption Updates'!$B:$B,$B147)+ SUMIF('Cutters Consumption Updates'!$AS:$AS,$B147,'Cutters Consumption Updates'!AW:AW)</f>
        <v>0</v>
      </c>
      <c r="M147" s="116">
        <f>SUMIFS('Cutters Consumption Updates'!$F:$F,'Cutters Consumption Updates'!$D:$D,M$1,'Cutters Consumption Updates'!$B:$B,$B147)-SUMIFS('Cutters Consumption Updates'!$E:$E,'Cutters Consumption Updates'!$D:$D,$M$1,'Cutters Consumption Updates'!$B:$B,$B147)+SUMIFS('Cutters Consumption Updates'!$F:$F,'Cutters Consumption Updates'!$D:$D,"Retrofit",'Cutters Consumption Updates'!$B:$B,$B147)-SUMIFS('Cutters Consumption Updates'!$E:$E,'Cutters Consumption Updates'!$D:$D,"Retrofit",'Cutters Consumption Updates'!$B:$B,$B147)+ SUMIF('Cutters Consumption Updates'!$AS:$AS,$B147,'Cutters Consumption Updates'!AX:AX)</f>
        <v>43</v>
      </c>
      <c r="N147" s="10">
        <f t="shared" si="24"/>
        <v>43</v>
      </c>
      <c r="O147" s="701">
        <f ca="1">SUMIFS('Cutters Consumption Updates'!E:E,
        'Cutters Consumption Updates'!B:B, B147,
        'Cutters Consumption Updates'!A:A, "&gt;" &amp; TODAY()-182)</f>
        <v>66</v>
      </c>
      <c r="P147" s="701">
        <f ca="1">SUMIFS('Cutters Consumption Updates'!E:E,
        'Cutters Consumption Updates'!B:B, B147,
        'Cutters Consumption Updates'!A:A, "&gt;" &amp; TODAY()-91)</f>
        <v>46</v>
      </c>
      <c r="Q147" s="701">
        <f t="shared" ca="1" si="25"/>
        <v>22</v>
      </c>
      <c r="R147" s="703">
        <f t="shared" ca="1" si="26"/>
        <v>25</v>
      </c>
      <c r="S147" s="703" t="s">
        <v>29</v>
      </c>
      <c r="T147" s="24">
        <f>IFERROR(INDEX(Table5[],MATCH($B147,Table5[Component],0),2),0)</f>
        <v>63</v>
      </c>
      <c r="U147" s="24">
        <f>SUMIFS(Table7[Balance],Table7[Cutter Mat'#],$B147)</f>
        <v>0</v>
      </c>
      <c r="V147" s="24">
        <f t="shared" si="27"/>
        <v>-20</v>
      </c>
      <c r="W147" s="119"/>
      <c r="X147" s="2">
        <v>649901</v>
      </c>
      <c r="Z147" s="4">
        <f>IFERROR(INDEX(Table5[],MATCH($B147,Table5[Component],0),2),0)</f>
        <v>63</v>
      </c>
      <c r="AA147" s="4">
        <f>IFERROR(INDEX(Table5[],MATCH($B147,Table5[Component],0),1),0)</f>
        <v>1101509</v>
      </c>
      <c r="AB147" s="4">
        <f t="shared" si="28"/>
        <v>1101509</v>
      </c>
      <c r="AC147" s="4" t="str">
        <f t="shared" si="29"/>
        <v/>
      </c>
      <c r="AE147" s="4">
        <f t="shared" si="30"/>
        <v>43</v>
      </c>
      <c r="AJ147" s="248">
        <f t="shared" si="31"/>
        <v>50</v>
      </c>
      <c r="AK147" s="248">
        <f t="shared" ca="1" si="32"/>
        <v>0</v>
      </c>
      <c r="AL147">
        <f t="shared" si="33"/>
        <v>80</v>
      </c>
      <c r="AQ147">
        <f t="shared" si="35"/>
        <v>0</v>
      </c>
      <c r="AS147">
        <v>1101509</v>
      </c>
      <c r="AT147">
        <f t="shared" si="34"/>
        <v>0</v>
      </c>
    </row>
    <row r="148" spans="1:46" ht="15.65" customHeight="1" x14ac:dyDescent="0.35">
      <c r="A148" s="2">
        <v>147</v>
      </c>
      <c r="B148" s="2">
        <v>1100755</v>
      </c>
      <c r="C148" s="2" t="s">
        <v>26</v>
      </c>
      <c r="D148" s="2">
        <v>1613</v>
      </c>
      <c r="E148" s="2" t="s">
        <v>133</v>
      </c>
      <c r="F148" s="2" t="s">
        <v>253</v>
      </c>
      <c r="G148" s="6"/>
      <c r="H148" s="6" t="s">
        <v>49</v>
      </c>
      <c r="I148" s="10">
        <f>SUMIFS('Cutters Consumption Updates'!$F:$F,'Cutters Consumption Updates'!$D:$D,I$1,'Cutters Consumption Updates'!$B:$B,$B148)-SUMIFS('Cutters Consumption Updates'!$E:$E,'Cutters Consumption Updates'!$D:$D,I$1,'Cutters Consumption Updates'!$B:$B,$B148)+ SUMIF('Cutters Consumption Updates'!$AS:$AS,$B148,'Cutters Consumption Updates'!AT:AT)</f>
        <v>0</v>
      </c>
      <c r="J148" s="10">
        <f>SUMIFS('Cutters Consumption Updates'!$F:$F,'Cutters Consumption Updates'!$D:$D,J$1,'Cutters Consumption Updates'!$B:$B,$B148)-SUMIFS('Cutters Consumption Updates'!$E:$E,'Cutters Consumption Updates'!$D:$D,J$1,'Cutters Consumption Updates'!$B:$B,$B148)+ SUMIF('Cutters Consumption Updates'!$AS:$AS,$B148,'Cutters Consumption Updates'!AU:AU)</f>
        <v>0</v>
      </c>
      <c r="K148" s="116">
        <f>SUMIFS('Cutters Consumption Updates'!$F:$F,'Cutters Consumption Updates'!$D:$D,K$1,'Cutters Consumption Updates'!$B:$B,$B148)-SUMIFS('Cutters Consumption Updates'!$E:$E,'Cutters Consumption Updates'!$D:$D,K$1,'Cutters Consumption Updates'!$B:$B,$B148)+ SUMIF('Cutters Consumption Updates'!$AS:$AS,$B148,'Cutters Consumption Updates'!AV:AV)</f>
        <v>0</v>
      </c>
      <c r="L148" s="738">
        <f>SUMIFS('Cutters Consumption Updates'!$F:$F,'Cutters Consumption Updates'!$D:$D,L$1,'Cutters Consumption Updates'!$B:$B,$B148)-SUMIFS('Cutters Consumption Updates'!$E:$E,'Cutters Consumption Updates'!$D:$D,L$1,'Cutters Consumption Updates'!$B:$B,$B148)+ SUMIF('Cutters Consumption Updates'!$AS:$AS,$B148,'Cutters Consumption Updates'!AW:AW)</f>
        <v>0</v>
      </c>
      <c r="M148" s="116">
        <f>SUMIFS('Cutters Consumption Updates'!$F:$F,'Cutters Consumption Updates'!$D:$D,M$1,'Cutters Consumption Updates'!$B:$B,$B148)-SUMIFS('Cutters Consumption Updates'!$E:$E,'Cutters Consumption Updates'!$D:$D,$M$1,'Cutters Consumption Updates'!$B:$B,$B148)+SUMIFS('Cutters Consumption Updates'!$F:$F,'Cutters Consumption Updates'!$D:$D,"Retrofit",'Cutters Consumption Updates'!$B:$B,$B148)-SUMIFS('Cutters Consumption Updates'!$E:$E,'Cutters Consumption Updates'!$D:$D,"Retrofit",'Cutters Consumption Updates'!$B:$B,$B148)+ SUMIF('Cutters Consumption Updates'!$AS:$AS,$B148,'Cutters Consumption Updates'!AX:AX)</f>
        <v>41</v>
      </c>
      <c r="N148" s="10">
        <f t="shared" si="24"/>
        <v>41</v>
      </c>
      <c r="O148" s="701">
        <f ca="1">SUMIFS('Cutters Consumption Updates'!E:E,
        'Cutters Consumption Updates'!B:B, B148,
        'Cutters Consumption Updates'!A:A, "&gt;" &amp; TODAY()-182)</f>
        <v>22</v>
      </c>
      <c r="P148" s="701">
        <f ca="1">SUMIFS('Cutters Consumption Updates'!E:E,
        'Cutters Consumption Updates'!B:B, B148,
        'Cutters Consumption Updates'!A:A, "&gt;" &amp; TODAY()-91)</f>
        <v>1</v>
      </c>
      <c r="Q148" s="701">
        <f t="shared" ca="1" si="25"/>
        <v>8</v>
      </c>
      <c r="R148" s="703">
        <f t="shared" ca="1" si="26"/>
        <v>10</v>
      </c>
      <c r="S148" s="703" t="s">
        <v>64</v>
      </c>
      <c r="T148" s="24">
        <f>IFERROR(INDEX(Table5[],MATCH($B148,Table5[Component],0),2),0)</f>
        <v>0</v>
      </c>
      <c r="U148" s="24">
        <f>SUMIFS(Table7[Balance],Table7[Cutter Mat'#],$B148)</f>
        <v>0</v>
      </c>
      <c r="V148" s="24">
        <f t="shared" si="27"/>
        <v>41</v>
      </c>
      <c r="W148" s="119"/>
      <c r="X148" s="2"/>
      <c r="Z148" s="4">
        <f>IFERROR(INDEX(Table5[],MATCH($B148,Table5[Component],0),2),0)</f>
        <v>0</v>
      </c>
      <c r="AA148" s="4">
        <f>IFERROR(INDEX(Table5[],MATCH($B148,Table5[Component],0),1),0)</f>
        <v>0</v>
      </c>
      <c r="AB148" s="4" t="str">
        <f t="shared" si="28"/>
        <v/>
      </c>
      <c r="AC148" s="4" t="str">
        <f t="shared" si="29"/>
        <v/>
      </c>
      <c r="AE148" s="4">
        <f t="shared" si="30"/>
        <v>41</v>
      </c>
      <c r="AJ148" s="248" t="str">
        <f t="shared" si="31"/>
        <v/>
      </c>
      <c r="AK148" s="248" t="str">
        <f t="shared" si="32"/>
        <v/>
      </c>
      <c r="AL148">
        <f t="shared" si="33"/>
        <v>0</v>
      </c>
      <c r="AQ148">
        <f t="shared" si="35"/>
        <v>0</v>
      </c>
      <c r="AS148">
        <v>1104083</v>
      </c>
      <c r="AT148">
        <f t="shared" si="34"/>
        <v>0</v>
      </c>
    </row>
    <row r="149" spans="1:46" ht="15.65" customHeight="1" x14ac:dyDescent="0.35">
      <c r="A149" s="2">
        <v>148</v>
      </c>
      <c r="B149" s="2">
        <v>1146740</v>
      </c>
      <c r="C149" s="2" t="s">
        <v>26</v>
      </c>
      <c r="D149" s="2">
        <v>1313</v>
      </c>
      <c r="E149" s="2" t="s">
        <v>111</v>
      </c>
      <c r="F149" s="350" t="s">
        <v>138</v>
      </c>
      <c r="G149" s="6"/>
      <c r="H149" s="6" t="s">
        <v>49</v>
      </c>
      <c r="I149" s="10">
        <f>SUMIFS('Cutters Consumption Updates'!$F:$F,'Cutters Consumption Updates'!$D:$D,I$1,'Cutters Consumption Updates'!$B:$B,$B149)-SUMIFS('Cutters Consumption Updates'!$E:$E,'Cutters Consumption Updates'!$D:$D,I$1,'Cutters Consumption Updates'!$B:$B,$B149)+ SUMIF('Cutters Consumption Updates'!$AS:$AS,$B149,'Cutters Consumption Updates'!AT:AT)</f>
        <v>0</v>
      </c>
      <c r="J149" s="10">
        <f>SUMIFS('Cutters Consumption Updates'!$F:$F,'Cutters Consumption Updates'!$D:$D,J$1,'Cutters Consumption Updates'!$B:$B,$B149)-SUMIFS('Cutters Consumption Updates'!$E:$E,'Cutters Consumption Updates'!$D:$D,J$1,'Cutters Consumption Updates'!$B:$B,$B149)+ SUMIF('Cutters Consumption Updates'!$AS:$AS,$B149,'Cutters Consumption Updates'!AU:AU)</f>
        <v>0</v>
      </c>
      <c r="K149" s="116">
        <f>SUMIFS('Cutters Consumption Updates'!$F:$F,'Cutters Consumption Updates'!$D:$D,K$1,'Cutters Consumption Updates'!$B:$B,$B149)-SUMIFS('Cutters Consumption Updates'!$E:$E,'Cutters Consumption Updates'!$D:$D,K$1,'Cutters Consumption Updates'!$B:$B,$B149)+ SUMIF('Cutters Consumption Updates'!$AS:$AS,$B149,'Cutters Consumption Updates'!AV:AV)</f>
        <v>0</v>
      </c>
      <c r="L149" s="738">
        <f>SUMIFS('Cutters Consumption Updates'!$F:$F,'Cutters Consumption Updates'!$D:$D,L$1,'Cutters Consumption Updates'!$B:$B,$B149)-SUMIFS('Cutters Consumption Updates'!$E:$E,'Cutters Consumption Updates'!$D:$D,L$1,'Cutters Consumption Updates'!$B:$B,$B149)+ SUMIF('Cutters Consumption Updates'!$AS:$AS,$B149,'Cutters Consumption Updates'!AW:AW)</f>
        <v>0</v>
      </c>
      <c r="M149" s="116">
        <f>SUMIFS('Cutters Consumption Updates'!$F:$F,'Cutters Consumption Updates'!$D:$D,M$1,'Cutters Consumption Updates'!$B:$B,$B149)-SUMIFS('Cutters Consumption Updates'!$E:$E,'Cutters Consumption Updates'!$D:$D,$M$1,'Cutters Consumption Updates'!$B:$B,$B149)+SUMIFS('Cutters Consumption Updates'!$F:$F,'Cutters Consumption Updates'!$D:$D,"Retrofit",'Cutters Consumption Updates'!$B:$B,$B149)-SUMIFS('Cutters Consumption Updates'!$E:$E,'Cutters Consumption Updates'!$D:$D,"Retrofit",'Cutters Consumption Updates'!$B:$B,$B149)+ SUMIF('Cutters Consumption Updates'!$AS:$AS,$B149,'Cutters Consumption Updates'!AX:AX)</f>
        <v>0</v>
      </c>
      <c r="N149" s="10">
        <f t="shared" si="24"/>
        <v>0</v>
      </c>
      <c r="O149" s="701">
        <f ca="1">SUMIFS('Cutters Consumption Updates'!E:E,
        'Cutters Consumption Updates'!B:B, B149,
        'Cutters Consumption Updates'!A:A, "&gt;" &amp; TODAY()-182)</f>
        <v>0</v>
      </c>
      <c r="P149" s="701">
        <f ca="1">SUMIFS('Cutters Consumption Updates'!E:E,
        'Cutters Consumption Updates'!B:B, B149,
        'Cutters Consumption Updates'!A:A, "&gt;" &amp; TODAY()-91)</f>
        <v>0</v>
      </c>
      <c r="Q149" s="701">
        <f t="shared" ca="1" si="25"/>
        <v>0</v>
      </c>
      <c r="R149" s="703">
        <f t="shared" ca="1" si="26"/>
        <v>0</v>
      </c>
      <c r="S149" s="703" t="s">
        <v>112</v>
      </c>
      <c r="T149" s="24">
        <f>IFERROR(INDEX(Table5[],MATCH($B149,Table5[Component],0),2),0)</f>
        <v>0</v>
      </c>
      <c r="U149" s="24">
        <f>SUMIFS(Table7[Balance],Table7[Cutter Mat'#],$B149)</f>
        <v>0</v>
      </c>
      <c r="V149" s="24">
        <f t="shared" si="27"/>
        <v>0</v>
      </c>
      <c r="W149" s="119"/>
      <c r="X149" s="2"/>
      <c r="Z149" s="4">
        <f>IFERROR(INDEX(Table5[],MATCH($B149,Table5[Component],0),2),0)</f>
        <v>0</v>
      </c>
      <c r="AA149" s="4">
        <f>IFERROR(INDEX(Table5[],MATCH($B149,Table5[Component],0),1),0)</f>
        <v>0</v>
      </c>
      <c r="AB149" s="4" t="str">
        <f t="shared" si="28"/>
        <v/>
      </c>
      <c r="AC149" s="4" t="str">
        <f t="shared" si="29"/>
        <v/>
      </c>
      <c r="AE149" s="4">
        <f t="shared" si="30"/>
        <v>0</v>
      </c>
      <c r="AJ149" s="248" t="str">
        <f t="shared" si="31"/>
        <v/>
      </c>
      <c r="AK149" s="248" t="str">
        <f t="shared" si="32"/>
        <v/>
      </c>
      <c r="AL149">
        <f t="shared" si="33"/>
        <v>0</v>
      </c>
      <c r="AQ149">
        <f t="shared" si="35"/>
        <v>0</v>
      </c>
      <c r="AS149">
        <v>1104086</v>
      </c>
      <c r="AT149">
        <f t="shared" si="34"/>
        <v>0</v>
      </c>
    </row>
    <row r="150" spans="1:46" ht="15.65" customHeight="1" x14ac:dyDescent="0.35">
      <c r="A150" s="2">
        <v>149</v>
      </c>
      <c r="B150" s="2">
        <v>1130217</v>
      </c>
      <c r="C150" s="2" t="s">
        <v>26</v>
      </c>
      <c r="D150" s="2">
        <v>1010</v>
      </c>
      <c r="E150" s="3" t="s">
        <v>114</v>
      </c>
      <c r="F150" s="2" t="s">
        <v>248</v>
      </c>
      <c r="G150" s="6"/>
      <c r="H150" s="6" t="s">
        <v>49</v>
      </c>
      <c r="I150" s="10">
        <f>SUMIFS('Cutters Consumption Updates'!$F:$F,'Cutters Consumption Updates'!$D:$D,I$1,'Cutters Consumption Updates'!$B:$B,$B150)-SUMIFS('Cutters Consumption Updates'!$E:$E,'Cutters Consumption Updates'!$D:$D,I$1,'Cutters Consumption Updates'!$B:$B,$B150)+ SUMIF('Cutters Consumption Updates'!$AS:$AS,$B150,'Cutters Consumption Updates'!AT:AT)</f>
        <v>0</v>
      </c>
      <c r="J150" s="10">
        <f>SUMIFS('Cutters Consumption Updates'!$F:$F,'Cutters Consumption Updates'!$D:$D,J$1,'Cutters Consumption Updates'!$B:$B,$B150)-SUMIFS('Cutters Consumption Updates'!$E:$E,'Cutters Consumption Updates'!$D:$D,J$1,'Cutters Consumption Updates'!$B:$B,$B150)+ SUMIF('Cutters Consumption Updates'!$AS:$AS,$B150,'Cutters Consumption Updates'!AU:AU)</f>
        <v>0</v>
      </c>
      <c r="K150" s="116">
        <f>SUMIFS('Cutters Consumption Updates'!$F:$F,'Cutters Consumption Updates'!$D:$D,K$1,'Cutters Consumption Updates'!$B:$B,$B150)-SUMIFS('Cutters Consumption Updates'!$E:$E,'Cutters Consumption Updates'!$D:$D,K$1,'Cutters Consumption Updates'!$B:$B,$B150)+ SUMIF('Cutters Consumption Updates'!$AS:$AS,$B150,'Cutters Consumption Updates'!AV:AV)</f>
        <v>0</v>
      </c>
      <c r="L150" s="738">
        <f>SUMIFS('Cutters Consumption Updates'!$F:$F,'Cutters Consumption Updates'!$D:$D,L$1,'Cutters Consumption Updates'!$B:$B,$B150)-SUMIFS('Cutters Consumption Updates'!$E:$E,'Cutters Consumption Updates'!$D:$D,L$1,'Cutters Consumption Updates'!$B:$B,$B150)+ SUMIF('Cutters Consumption Updates'!$AS:$AS,$B150,'Cutters Consumption Updates'!AW:AW)</f>
        <v>0</v>
      </c>
      <c r="M150" s="116">
        <f>SUMIFS('Cutters Consumption Updates'!$F:$F,'Cutters Consumption Updates'!$D:$D,M$1,'Cutters Consumption Updates'!$B:$B,$B150)-SUMIFS('Cutters Consumption Updates'!$E:$E,'Cutters Consumption Updates'!$D:$D,$M$1,'Cutters Consumption Updates'!$B:$B,$B150)+SUMIFS('Cutters Consumption Updates'!$F:$F,'Cutters Consumption Updates'!$D:$D,"Retrofit",'Cutters Consumption Updates'!$B:$B,$B150)-SUMIFS('Cutters Consumption Updates'!$E:$E,'Cutters Consumption Updates'!$D:$D,"Retrofit",'Cutters Consumption Updates'!$B:$B,$B150)+ SUMIF('Cutters Consumption Updates'!$AS:$AS,$B150,'Cutters Consumption Updates'!AX:AX)</f>
        <v>6</v>
      </c>
      <c r="N150" s="10">
        <f t="shared" si="24"/>
        <v>6</v>
      </c>
      <c r="O150" s="701">
        <f ca="1">SUMIFS('Cutters Consumption Updates'!E:E,
        'Cutters Consumption Updates'!B:B, B150,
        'Cutters Consumption Updates'!A:A, "&gt;" &amp; TODAY()-182)</f>
        <v>0</v>
      </c>
      <c r="P150" s="701">
        <f ca="1">SUMIFS('Cutters Consumption Updates'!E:E,
        'Cutters Consumption Updates'!B:B, B150,
        'Cutters Consumption Updates'!A:A, "&gt;" &amp; TODAY()-91)</f>
        <v>0</v>
      </c>
      <c r="Q150" s="701">
        <f t="shared" ca="1" si="25"/>
        <v>0</v>
      </c>
      <c r="R150" s="703">
        <f t="shared" ca="1" si="26"/>
        <v>0</v>
      </c>
      <c r="S150" s="703" t="s">
        <v>140</v>
      </c>
      <c r="T150" s="24">
        <f>IFERROR(INDEX(Table5[],MATCH($B150,Table5[Component],0),2),0)</f>
        <v>148</v>
      </c>
      <c r="U150" s="24">
        <f>SUMIFS(Table7[Balance],Table7[Cutter Mat'#],$B150)</f>
        <v>0</v>
      </c>
      <c r="V150" s="24">
        <f t="shared" si="27"/>
        <v>-142</v>
      </c>
      <c r="W150" s="119"/>
      <c r="X150" s="2"/>
      <c r="Z150" s="4">
        <f>IFERROR(INDEX(Table5[],MATCH($B150,Table5[Component],0),2),0)</f>
        <v>148</v>
      </c>
      <c r="AA150" s="4">
        <f>IFERROR(INDEX(Table5[],MATCH($B150,Table5[Component],0),1),0)</f>
        <v>1130217</v>
      </c>
      <c r="AB150" s="4">
        <f t="shared" si="28"/>
        <v>1130217</v>
      </c>
      <c r="AC150" s="4" t="str">
        <f t="shared" si="29"/>
        <v/>
      </c>
      <c r="AE150" s="4">
        <f t="shared" si="30"/>
        <v>6</v>
      </c>
      <c r="AJ150" s="248" t="str">
        <f t="shared" si="31"/>
        <v/>
      </c>
      <c r="AK150" s="248" t="str">
        <f t="shared" si="32"/>
        <v/>
      </c>
      <c r="AL150">
        <f t="shared" si="33"/>
        <v>0</v>
      </c>
      <c r="AQ150">
        <f t="shared" si="35"/>
        <v>0</v>
      </c>
      <c r="AS150">
        <v>1104743</v>
      </c>
      <c r="AT150">
        <f t="shared" si="34"/>
        <v>0</v>
      </c>
    </row>
    <row r="151" spans="1:46" ht="15.65" customHeight="1" x14ac:dyDescent="0.35">
      <c r="A151" s="2">
        <v>150</v>
      </c>
      <c r="B151" s="2">
        <v>179733</v>
      </c>
      <c r="C151" s="2" t="s">
        <v>33</v>
      </c>
      <c r="D151" s="2" t="s">
        <v>141</v>
      </c>
      <c r="E151" s="2" t="s">
        <v>35</v>
      </c>
      <c r="F151" s="2" t="s">
        <v>103</v>
      </c>
      <c r="G151" s="6"/>
      <c r="H151" s="6" t="s">
        <v>36</v>
      </c>
      <c r="I151" s="10">
        <f>SUMIFS('Cutters Consumption Updates'!$F:$F,'Cutters Consumption Updates'!$D:$D,I$1,'Cutters Consumption Updates'!$B:$B,$B151)-SUMIFS('Cutters Consumption Updates'!$E:$E,'Cutters Consumption Updates'!$D:$D,I$1,'Cutters Consumption Updates'!$B:$B,$B151)+ SUMIF('Cutters Consumption Updates'!$AS:$AS,$B151,'Cutters Consumption Updates'!AT:AT)</f>
        <v>0</v>
      </c>
      <c r="J151" s="10">
        <f>SUMIFS('Cutters Consumption Updates'!$F:$F,'Cutters Consumption Updates'!$D:$D,J$1,'Cutters Consumption Updates'!$B:$B,$B151)-SUMIFS('Cutters Consumption Updates'!$E:$E,'Cutters Consumption Updates'!$D:$D,J$1,'Cutters Consumption Updates'!$B:$B,$B151)+ SUMIF('Cutters Consumption Updates'!$AS:$AS,$B151,'Cutters Consumption Updates'!AU:AU)</f>
        <v>0</v>
      </c>
      <c r="K151" s="116">
        <f>SUMIFS('Cutters Consumption Updates'!$F:$F,'Cutters Consumption Updates'!$D:$D,K$1,'Cutters Consumption Updates'!$B:$B,$B151)-SUMIFS('Cutters Consumption Updates'!$E:$E,'Cutters Consumption Updates'!$D:$D,K$1,'Cutters Consumption Updates'!$B:$B,$B151)+ SUMIF('Cutters Consumption Updates'!$AS:$AS,$B151,'Cutters Consumption Updates'!AV:AV)</f>
        <v>0</v>
      </c>
      <c r="L151" s="738">
        <f>SUMIFS('Cutters Consumption Updates'!$F:$F,'Cutters Consumption Updates'!$D:$D,L$1,'Cutters Consumption Updates'!$B:$B,$B151)-SUMIFS('Cutters Consumption Updates'!$E:$E,'Cutters Consumption Updates'!$D:$D,L$1,'Cutters Consumption Updates'!$B:$B,$B151)+ SUMIF('Cutters Consumption Updates'!$AS:$AS,$B151,'Cutters Consumption Updates'!AW:AW)</f>
        <v>24</v>
      </c>
      <c r="M151" s="116">
        <f>SUMIFS('Cutters Consumption Updates'!$F:$F,'Cutters Consumption Updates'!$D:$D,M$1,'Cutters Consumption Updates'!$B:$B,$B151)-SUMIFS('Cutters Consumption Updates'!$E:$E,'Cutters Consumption Updates'!$D:$D,$M$1,'Cutters Consumption Updates'!$B:$B,$B151)+SUMIFS('Cutters Consumption Updates'!$F:$F,'Cutters Consumption Updates'!$D:$D,"Retrofit",'Cutters Consumption Updates'!$B:$B,$B151)-SUMIFS('Cutters Consumption Updates'!$E:$E,'Cutters Consumption Updates'!$D:$D,"Retrofit",'Cutters Consumption Updates'!$B:$B,$B151)+ SUMIF('Cutters Consumption Updates'!$AS:$AS,$B151,'Cutters Consumption Updates'!AX:AX)</f>
        <v>153</v>
      </c>
      <c r="N151" s="10">
        <f t="shared" si="24"/>
        <v>153</v>
      </c>
      <c r="O151" s="701">
        <f ca="1">SUMIFS('Cutters Consumption Updates'!E:E,
        'Cutters Consumption Updates'!B:B, B151,
        'Cutters Consumption Updates'!A:A, "&gt;" &amp; TODAY()-182)</f>
        <v>68</v>
      </c>
      <c r="P151" s="701">
        <f ca="1">SUMIFS('Cutters Consumption Updates'!E:E,
        'Cutters Consumption Updates'!B:B, B151,
        'Cutters Consumption Updates'!A:A, "&gt;" &amp; TODAY()-91)</f>
        <v>20</v>
      </c>
      <c r="Q151" s="701">
        <f t="shared" ca="1" si="25"/>
        <v>23</v>
      </c>
      <c r="R151" s="703">
        <f t="shared" ca="1" si="26"/>
        <v>25</v>
      </c>
      <c r="S151" s="703" t="s">
        <v>29</v>
      </c>
      <c r="T151" s="24">
        <f>IFERROR(INDEX(Table5[],MATCH($B151,Table5[Component],0),2),0)</f>
        <v>89</v>
      </c>
      <c r="U151" s="24">
        <f>SUMIFS(Table7[Balance],Table7[Cutter Mat'#],$B151)</f>
        <v>0</v>
      </c>
      <c r="V151" s="24">
        <f t="shared" si="27"/>
        <v>64</v>
      </c>
      <c r="W151" s="119"/>
      <c r="X151" s="2"/>
      <c r="Z151" s="4">
        <f>IFERROR(INDEX(Table5[],MATCH($B151,Table5[Component],0),2),0)</f>
        <v>89</v>
      </c>
      <c r="AA151" s="4">
        <f>IFERROR(INDEX(Table5[],MATCH($B151,Table5[Component],0),1),0)</f>
        <v>179733</v>
      </c>
      <c r="AB151" s="4">
        <f t="shared" si="28"/>
        <v>179733</v>
      </c>
      <c r="AC151" s="4" t="str">
        <f t="shared" si="29"/>
        <v/>
      </c>
      <c r="AE151" s="4">
        <f t="shared" si="30"/>
        <v>153</v>
      </c>
      <c r="AJ151" s="248" t="str">
        <f t="shared" si="31"/>
        <v/>
      </c>
      <c r="AK151" s="248" t="str">
        <f t="shared" si="32"/>
        <v/>
      </c>
      <c r="AL151">
        <f t="shared" si="33"/>
        <v>0</v>
      </c>
      <c r="AQ151">
        <f t="shared" si="35"/>
        <v>0</v>
      </c>
      <c r="AS151">
        <v>1104744</v>
      </c>
      <c r="AT151">
        <f t="shared" si="34"/>
        <v>0</v>
      </c>
    </row>
    <row r="152" spans="1:46" ht="15.65" customHeight="1" x14ac:dyDescent="0.35">
      <c r="A152" s="2">
        <v>151</v>
      </c>
      <c r="B152" s="2">
        <v>649901</v>
      </c>
      <c r="C152" s="2" t="s">
        <v>81</v>
      </c>
      <c r="D152" s="2" t="s">
        <v>137</v>
      </c>
      <c r="E152" s="2" t="s">
        <v>35</v>
      </c>
      <c r="F152" s="2" t="s">
        <v>103</v>
      </c>
      <c r="G152" s="6"/>
      <c r="H152" s="6" t="s">
        <v>36</v>
      </c>
      <c r="I152" s="10">
        <f>SUMIFS('Cutters Consumption Updates'!$F:$F,'Cutters Consumption Updates'!$D:$D,I$1,'Cutters Consumption Updates'!$B:$B,$B152)-SUMIFS('Cutters Consumption Updates'!$E:$E,'Cutters Consumption Updates'!$D:$D,I$1,'Cutters Consumption Updates'!$B:$B,$B152)+ SUMIF('Cutters Consumption Updates'!$AS:$AS,$B152,'Cutters Consumption Updates'!AT:AT)</f>
        <v>0</v>
      </c>
      <c r="J152" s="10">
        <f>SUMIFS('Cutters Consumption Updates'!$F:$F,'Cutters Consumption Updates'!$D:$D,J$1,'Cutters Consumption Updates'!$B:$B,$B152)-SUMIFS('Cutters Consumption Updates'!$E:$E,'Cutters Consumption Updates'!$D:$D,J$1,'Cutters Consumption Updates'!$B:$B,$B152)+ SUMIF('Cutters Consumption Updates'!$AS:$AS,$B152,'Cutters Consumption Updates'!AU:AU)</f>
        <v>0</v>
      </c>
      <c r="K152" s="116">
        <f>SUMIFS('Cutters Consumption Updates'!$F:$F,'Cutters Consumption Updates'!$D:$D,K$1,'Cutters Consumption Updates'!$B:$B,$B152)-SUMIFS('Cutters Consumption Updates'!$E:$E,'Cutters Consumption Updates'!$D:$D,K$1,'Cutters Consumption Updates'!$B:$B,$B152)+ SUMIF('Cutters Consumption Updates'!$AS:$AS,$B152,'Cutters Consumption Updates'!AV:AV)</f>
        <v>0</v>
      </c>
      <c r="L152" s="738">
        <f>SUMIFS('Cutters Consumption Updates'!$F:$F,'Cutters Consumption Updates'!$D:$D,L$1,'Cutters Consumption Updates'!$B:$B,$B152)-SUMIFS('Cutters Consumption Updates'!$E:$E,'Cutters Consumption Updates'!$D:$D,L$1,'Cutters Consumption Updates'!$B:$B,$B152)+ SUMIF('Cutters Consumption Updates'!$AS:$AS,$B152,'Cutters Consumption Updates'!AW:AW)</f>
        <v>0</v>
      </c>
      <c r="M152" s="116">
        <f>SUMIFS('Cutters Consumption Updates'!$F:$F,'Cutters Consumption Updates'!$D:$D,M$1,'Cutters Consumption Updates'!$B:$B,$B152)-SUMIFS('Cutters Consumption Updates'!$E:$E,'Cutters Consumption Updates'!$D:$D,$M$1,'Cutters Consumption Updates'!$B:$B,$B152)+SUMIFS('Cutters Consumption Updates'!$F:$F,'Cutters Consumption Updates'!$D:$D,"Retrofit",'Cutters Consumption Updates'!$B:$B,$B152)-SUMIFS('Cutters Consumption Updates'!$E:$E,'Cutters Consumption Updates'!$D:$D,"Retrofit",'Cutters Consumption Updates'!$B:$B,$B152)+ SUMIF('Cutters Consumption Updates'!$AS:$AS,$B152,'Cutters Consumption Updates'!AX:AX)</f>
        <v>50</v>
      </c>
      <c r="N152" s="10">
        <f t="shared" si="24"/>
        <v>50</v>
      </c>
      <c r="O152" s="701">
        <f ca="1">SUMIFS('Cutters Consumption Updates'!E:E,
        'Cutters Consumption Updates'!B:B, B152,
        'Cutters Consumption Updates'!A:A, "&gt;" &amp; TODAY()-182)</f>
        <v>0</v>
      </c>
      <c r="P152" s="701">
        <f ca="1">SUMIFS('Cutters Consumption Updates'!E:E,
        'Cutters Consumption Updates'!B:B, B152,
        'Cutters Consumption Updates'!A:A, "&gt;" &amp; TODAY()-91)</f>
        <v>0</v>
      </c>
      <c r="Q152" s="701">
        <f t="shared" ca="1" si="25"/>
        <v>0</v>
      </c>
      <c r="R152" s="703">
        <f t="shared" ca="1" si="26"/>
        <v>0</v>
      </c>
      <c r="S152" s="703" t="s">
        <v>29</v>
      </c>
      <c r="T152" s="24">
        <f>IFERROR(INDEX(Table5[],MATCH($B152,Table5[Component],0),2),0)</f>
        <v>80</v>
      </c>
      <c r="U152" s="24">
        <f>SUMIFS(Table7[Balance],Table7[Cutter Mat'#],$B152)</f>
        <v>0</v>
      </c>
      <c r="V152" s="24">
        <f t="shared" si="27"/>
        <v>-30</v>
      </c>
      <c r="W152" s="119"/>
      <c r="X152" s="2">
        <v>1101509</v>
      </c>
      <c r="Z152" s="4">
        <f>IFERROR(INDEX(Table5[],MATCH($B152,Table5[Component],0),2),0)</f>
        <v>80</v>
      </c>
      <c r="AA152" s="4">
        <f>IFERROR(INDEX(Table5[],MATCH($B152,Table5[Component],0),1),0)</f>
        <v>649901</v>
      </c>
      <c r="AB152" s="4">
        <f t="shared" si="28"/>
        <v>649901</v>
      </c>
      <c r="AC152" s="4" t="str">
        <f t="shared" si="29"/>
        <v/>
      </c>
      <c r="AE152" s="4">
        <f t="shared" si="30"/>
        <v>50</v>
      </c>
      <c r="AJ152" s="248">
        <f t="shared" si="31"/>
        <v>43</v>
      </c>
      <c r="AK152" s="248">
        <f t="shared" ca="1" si="32"/>
        <v>46</v>
      </c>
      <c r="AL152">
        <f t="shared" si="33"/>
        <v>63</v>
      </c>
      <c r="AQ152">
        <f t="shared" si="35"/>
        <v>0</v>
      </c>
      <c r="AS152">
        <v>1112229</v>
      </c>
      <c r="AT152">
        <f t="shared" si="34"/>
        <v>0</v>
      </c>
    </row>
    <row r="153" spans="1:46" ht="15.65" customHeight="1" x14ac:dyDescent="0.35">
      <c r="A153" s="2">
        <v>152</v>
      </c>
      <c r="B153" s="2">
        <v>1129936</v>
      </c>
      <c r="C153" s="2" t="s">
        <v>26</v>
      </c>
      <c r="D153" s="2">
        <v>1005</v>
      </c>
      <c r="E153" s="2" t="s">
        <v>114</v>
      </c>
      <c r="F153" s="2" t="s">
        <v>248</v>
      </c>
      <c r="G153" s="6"/>
      <c r="H153" s="6" t="s">
        <v>49</v>
      </c>
      <c r="I153" s="10">
        <f>SUMIFS('Cutters Consumption Updates'!$F:$F,'Cutters Consumption Updates'!$D:$D,I$1,'Cutters Consumption Updates'!$B:$B,$B153)-SUMIFS('Cutters Consumption Updates'!$E:$E,'Cutters Consumption Updates'!$D:$D,I$1,'Cutters Consumption Updates'!$B:$B,$B153)+ SUMIF('Cutters Consumption Updates'!$AS:$AS,$B153,'Cutters Consumption Updates'!AT:AT)</f>
        <v>0</v>
      </c>
      <c r="J153" s="10">
        <f>SUMIFS('Cutters Consumption Updates'!$F:$F,'Cutters Consumption Updates'!$D:$D,J$1,'Cutters Consumption Updates'!$B:$B,$B153)-SUMIFS('Cutters Consumption Updates'!$E:$E,'Cutters Consumption Updates'!$D:$D,J$1,'Cutters Consumption Updates'!$B:$B,$B153)+ SUMIF('Cutters Consumption Updates'!$AS:$AS,$B153,'Cutters Consumption Updates'!AU:AU)</f>
        <v>0</v>
      </c>
      <c r="K153" s="116">
        <f>SUMIFS('Cutters Consumption Updates'!$F:$F,'Cutters Consumption Updates'!$D:$D,K$1,'Cutters Consumption Updates'!$B:$B,$B153)-SUMIFS('Cutters Consumption Updates'!$E:$E,'Cutters Consumption Updates'!$D:$D,K$1,'Cutters Consumption Updates'!$B:$B,$B153)+ SUMIF('Cutters Consumption Updates'!$AS:$AS,$B153,'Cutters Consumption Updates'!AV:AV)</f>
        <v>0</v>
      </c>
      <c r="L153" s="738">
        <f>SUMIFS('Cutters Consumption Updates'!$F:$F,'Cutters Consumption Updates'!$D:$D,L$1,'Cutters Consumption Updates'!$B:$B,$B153)-SUMIFS('Cutters Consumption Updates'!$E:$E,'Cutters Consumption Updates'!$D:$D,L$1,'Cutters Consumption Updates'!$B:$B,$B153)+ SUMIF('Cutters Consumption Updates'!$AS:$AS,$B153,'Cutters Consumption Updates'!AW:AW)</f>
        <v>0</v>
      </c>
      <c r="M153" s="116">
        <f>SUMIFS('Cutters Consumption Updates'!$F:$F,'Cutters Consumption Updates'!$D:$D,M$1,'Cutters Consumption Updates'!$B:$B,$B153)-SUMIFS('Cutters Consumption Updates'!$E:$E,'Cutters Consumption Updates'!$D:$D,$M$1,'Cutters Consumption Updates'!$B:$B,$B153)+SUMIFS('Cutters Consumption Updates'!$F:$F,'Cutters Consumption Updates'!$D:$D,"Retrofit",'Cutters Consumption Updates'!$B:$B,$B153)-SUMIFS('Cutters Consumption Updates'!$E:$E,'Cutters Consumption Updates'!$D:$D,"Retrofit",'Cutters Consumption Updates'!$B:$B,$B153)+ SUMIF('Cutters Consumption Updates'!$AS:$AS,$B153,'Cutters Consumption Updates'!AX:AX)</f>
        <v>28</v>
      </c>
      <c r="N153" s="10">
        <f t="shared" si="24"/>
        <v>28</v>
      </c>
      <c r="O153" s="701">
        <f ca="1">SUMIFS('Cutters Consumption Updates'!E:E,
        'Cutters Consumption Updates'!B:B, B153,
        'Cutters Consumption Updates'!A:A, "&gt;" &amp; TODAY()-182)</f>
        <v>0</v>
      </c>
      <c r="P153" s="701">
        <f ca="1">SUMIFS('Cutters Consumption Updates'!E:E,
        'Cutters Consumption Updates'!B:B, B153,
        'Cutters Consumption Updates'!A:A, "&gt;" &amp; TODAY()-91)</f>
        <v>0</v>
      </c>
      <c r="Q153" s="701">
        <f t="shared" ca="1" si="25"/>
        <v>0</v>
      </c>
      <c r="R153" s="703">
        <f t="shared" ca="1" si="26"/>
        <v>0</v>
      </c>
      <c r="S153" s="703" t="s">
        <v>29</v>
      </c>
      <c r="T153" s="24">
        <f>IFERROR(INDEX(Table5[],MATCH($B153,Table5[Component],0),2),0)</f>
        <v>0</v>
      </c>
      <c r="U153" s="24">
        <f>SUMIFS(Table7[Balance],Table7[Cutter Mat'#],$B153)</f>
        <v>0</v>
      </c>
      <c r="V153" s="24">
        <f t="shared" si="27"/>
        <v>28</v>
      </c>
      <c r="W153" s="119"/>
      <c r="X153" s="2"/>
      <c r="Z153" s="4">
        <f>IFERROR(INDEX(Table5[],MATCH($B153,Table5[Component],0),2),0)</f>
        <v>0</v>
      </c>
      <c r="AA153" s="4">
        <f>IFERROR(INDEX(Table5[],MATCH($B153,Table5[Component],0),1),0)</f>
        <v>1129936</v>
      </c>
      <c r="AB153" s="4" t="str">
        <f t="shared" si="28"/>
        <v/>
      </c>
      <c r="AC153" s="4" t="str">
        <f t="shared" si="29"/>
        <v/>
      </c>
      <c r="AE153" s="4">
        <f t="shared" si="30"/>
        <v>28</v>
      </c>
      <c r="AJ153" s="248" t="str">
        <f t="shared" si="31"/>
        <v/>
      </c>
      <c r="AK153" s="248" t="str">
        <f t="shared" si="32"/>
        <v/>
      </c>
      <c r="AL153">
        <f t="shared" si="33"/>
        <v>0</v>
      </c>
      <c r="AQ153">
        <f t="shared" si="35"/>
        <v>0</v>
      </c>
      <c r="AS153">
        <v>1118470</v>
      </c>
      <c r="AT153">
        <f t="shared" si="34"/>
        <v>0</v>
      </c>
    </row>
    <row r="154" spans="1:46" ht="15.65" customHeight="1" x14ac:dyDescent="0.35">
      <c r="A154" s="2">
        <v>153</v>
      </c>
      <c r="B154" s="2">
        <v>774371</v>
      </c>
      <c r="C154" s="2" t="s">
        <v>42</v>
      </c>
      <c r="D154" s="2" t="s">
        <v>38</v>
      </c>
      <c r="E154" s="2" t="s">
        <v>53</v>
      </c>
      <c r="F154" s="2" t="s">
        <v>253</v>
      </c>
      <c r="G154" s="6" t="s">
        <v>68</v>
      </c>
      <c r="H154" s="6" t="s">
        <v>47</v>
      </c>
      <c r="I154" s="10">
        <f>SUMIFS('Cutters Consumption Updates'!$F:$F,'Cutters Consumption Updates'!$D:$D,I$1,'Cutters Consumption Updates'!$B:$B,$B154)-SUMIFS('Cutters Consumption Updates'!$E:$E,'Cutters Consumption Updates'!$D:$D,I$1,'Cutters Consumption Updates'!$B:$B,$B154)+ SUMIF('Cutters Consumption Updates'!$AS:$AS,$B154,'Cutters Consumption Updates'!AT:AT)</f>
        <v>0</v>
      </c>
      <c r="J154" s="10">
        <f>SUMIFS('Cutters Consumption Updates'!$F:$F,'Cutters Consumption Updates'!$D:$D,J$1,'Cutters Consumption Updates'!$B:$B,$B154)-SUMIFS('Cutters Consumption Updates'!$E:$E,'Cutters Consumption Updates'!$D:$D,J$1,'Cutters Consumption Updates'!$B:$B,$B154)+ SUMIF('Cutters Consumption Updates'!$AS:$AS,$B154,'Cutters Consumption Updates'!AU:AU)</f>
        <v>0</v>
      </c>
      <c r="K154" s="116">
        <f>SUMIFS('Cutters Consumption Updates'!$F:$F,'Cutters Consumption Updates'!$D:$D,K$1,'Cutters Consumption Updates'!$B:$B,$B154)-SUMIFS('Cutters Consumption Updates'!$E:$E,'Cutters Consumption Updates'!$D:$D,K$1,'Cutters Consumption Updates'!$B:$B,$B154)+ SUMIF('Cutters Consumption Updates'!$AS:$AS,$B154,'Cutters Consumption Updates'!AV:AV)</f>
        <v>0</v>
      </c>
      <c r="L154" s="738">
        <f>SUMIFS('Cutters Consumption Updates'!$F:$F,'Cutters Consumption Updates'!$D:$D,L$1,'Cutters Consumption Updates'!$B:$B,$B154)-SUMIFS('Cutters Consumption Updates'!$E:$E,'Cutters Consumption Updates'!$D:$D,L$1,'Cutters Consumption Updates'!$B:$B,$B154)+ SUMIF('Cutters Consumption Updates'!$AS:$AS,$B154,'Cutters Consumption Updates'!AW:AW)</f>
        <v>0</v>
      </c>
      <c r="M154" s="116">
        <f>SUMIFS('Cutters Consumption Updates'!$F:$F,'Cutters Consumption Updates'!$D:$D,M$1,'Cutters Consumption Updates'!$B:$B,$B154)-SUMIFS('Cutters Consumption Updates'!$E:$E,'Cutters Consumption Updates'!$D:$D,$M$1,'Cutters Consumption Updates'!$B:$B,$B154)+SUMIFS('Cutters Consumption Updates'!$F:$F,'Cutters Consumption Updates'!$D:$D,"Retrofit",'Cutters Consumption Updates'!$B:$B,$B154)-SUMIFS('Cutters Consumption Updates'!$E:$E,'Cutters Consumption Updates'!$D:$D,"Retrofit",'Cutters Consumption Updates'!$B:$B,$B154)+ SUMIF('Cutters Consumption Updates'!$AS:$AS,$B154,'Cutters Consumption Updates'!AX:AX)</f>
        <v>0</v>
      </c>
      <c r="N154" s="10">
        <f t="shared" si="24"/>
        <v>0</v>
      </c>
      <c r="O154" s="701">
        <f ca="1">SUMIFS('Cutters Consumption Updates'!E:E,
        'Cutters Consumption Updates'!B:B, B154,
        'Cutters Consumption Updates'!A:A, "&gt;" &amp; TODAY()-182)</f>
        <v>0</v>
      </c>
      <c r="P154" s="701">
        <f ca="1">SUMIFS('Cutters Consumption Updates'!E:E,
        'Cutters Consumption Updates'!B:B, B154,
        'Cutters Consumption Updates'!A:A, "&gt;" &amp; TODAY()-91)</f>
        <v>0</v>
      </c>
      <c r="Q154" s="701">
        <f t="shared" ca="1" si="25"/>
        <v>0</v>
      </c>
      <c r="R154" s="703">
        <f t="shared" ca="1" si="26"/>
        <v>0</v>
      </c>
      <c r="S154" s="703" t="s">
        <v>29</v>
      </c>
      <c r="T154" s="24">
        <f>IFERROR(INDEX(Table5[],MATCH($B154,Table5[Component],0),2),0)</f>
        <v>0</v>
      </c>
      <c r="U154" s="24">
        <f>SUMIFS(Table7[Balance],Table7[Cutter Mat'#],$B154)</f>
        <v>0</v>
      </c>
      <c r="V154" s="24">
        <f t="shared" si="27"/>
        <v>0</v>
      </c>
      <c r="W154" s="119"/>
      <c r="X154" s="2"/>
      <c r="Z154" s="4">
        <f>IFERROR(INDEX(Table5[],MATCH($B154,Table5[Component],0),2),0)</f>
        <v>0</v>
      </c>
      <c r="AA154" s="4">
        <f>IFERROR(INDEX(Table5[],MATCH($B154,Table5[Component],0),1),0)</f>
        <v>0</v>
      </c>
      <c r="AB154" s="4" t="str">
        <f t="shared" si="28"/>
        <v/>
      </c>
      <c r="AC154" s="4" t="str">
        <f t="shared" si="29"/>
        <v/>
      </c>
      <c r="AE154" s="4">
        <f t="shared" si="30"/>
        <v>0</v>
      </c>
      <c r="AJ154" s="248" t="str">
        <f t="shared" si="31"/>
        <v/>
      </c>
      <c r="AK154" s="248" t="str">
        <f t="shared" si="32"/>
        <v/>
      </c>
      <c r="AL154">
        <f t="shared" si="33"/>
        <v>0</v>
      </c>
      <c r="AQ154">
        <f t="shared" si="35"/>
        <v>0</v>
      </c>
      <c r="AS154">
        <v>1118517</v>
      </c>
      <c r="AT154">
        <f t="shared" si="34"/>
        <v>0</v>
      </c>
    </row>
    <row r="155" spans="1:46" ht="15.65" customHeight="1" x14ac:dyDescent="0.35">
      <c r="A155" s="2">
        <v>154</v>
      </c>
      <c r="B155" s="2">
        <v>1078371</v>
      </c>
      <c r="C155" s="2" t="s">
        <v>142</v>
      </c>
      <c r="D155" s="2" t="s">
        <v>38</v>
      </c>
      <c r="E155" s="2" t="s">
        <v>143</v>
      </c>
      <c r="F155" s="2" t="s">
        <v>144</v>
      </c>
      <c r="G155" s="6"/>
      <c r="H155" s="6" t="s">
        <v>36</v>
      </c>
      <c r="I155" s="10">
        <f>SUMIFS('Cutters Consumption Updates'!$F:$F,'Cutters Consumption Updates'!$D:$D,I$1,'Cutters Consumption Updates'!$B:$B,$B155)-SUMIFS('Cutters Consumption Updates'!$E:$E,'Cutters Consumption Updates'!$D:$D,I$1,'Cutters Consumption Updates'!$B:$B,$B155)+ SUMIF('Cutters Consumption Updates'!$AS:$AS,$B155,'Cutters Consumption Updates'!AT:AT)</f>
        <v>0</v>
      </c>
      <c r="J155" s="10">
        <f>SUMIFS('Cutters Consumption Updates'!$F:$F,'Cutters Consumption Updates'!$D:$D,J$1,'Cutters Consumption Updates'!$B:$B,$B155)-SUMIFS('Cutters Consumption Updates'!$E:$E,'Cutters Consumption Updates'!$D:$D,J$1,'Cutters Consumption Updates'!$B:$B,$B155)+ SUMIF('Cutters Consumption Updates'!$AS:$AS,$B155,'Cutters Consumption Updates'!AU:AU)</f>
        <v>0</v>
      </c>
      <c r="K155" s="116">
        <f>SUMIFS('Cutters Consumption Updates'!$F:$F,'Cutters Consumption Updates'!$D:$D,K$1,'Cutters Consumption Updates'!$B:$B,$B155)-SUMIFS('Cutters Consumption Updates'!$E:$E,'Cutters Consumption Updates'!$D:$D,K$1,'Cutters Consumption Updates'!$B:$B,$B155)+ SUMIF('Cutters Consumption Updates'!$AS:$AS,$B155,'Cutters Consumption Updates'!AV:AV)</f>
        <v>0</v>
      </c>
      <c r="L155" s="738">
        <f>SUMIFS('Cutters Consumption Updates'!$F:$F,'Cutters Consumption Updates'!$D:$D,L$1,'Cutters Consumption Updates'!$B:$B,$B155)-SUMIFS('Cutters Consumption Updates'!$E:$E,'Cutters Consumption Updates'!$D:$D,L$1,'Cutters Consumption Updates'!$B:$B,$B155)+ SUMIF('Cutters Consumption Updates'!$AS:$AS,$B155,'Cutters Consumption Updates'!AW:AW)</f>
        <v>10</v>
      </c>
      <c r="M155" s="116">
        <f>SUMIFS('Cutters Consumption Updates'!$F:$F,'Cutters Consumption Updates'!$D:$D,M$1,'Cutters Consumption Updates'!$B:$B,$B155)-SUMIFS('Cutters Consumption Updates'!$E:$E,'Cutters Consumption Updates'!$D:$D,$M$1,'Cutters Consumption Updates'!$B:$B,$B155)+SUMIFS('Cutters Consumption Updates'!$F:$F,'Cutters Consumption Updates'!$D:$D,"Retrofit",'Cutters Consumption Updates'!$B:$B,$B155)-SUMIFS('Cutters Consumption Updates'!$E:$E,'Cutters Consumption Updates'!$D:$D,"Retrofit",'Cutters Consumption Updates'!$B:$B,$B155)+ SUMIF('Cutters Consumption Updates'!$AS:$AS,$B155,'Cutters Consumption Updates'!AX:AX)</f>
        <v>0</v>
      </c>
      <c r="N155" s="10">
        <f t="shared" si="24"/>
        <v>0</v>
      </c>
      <c r="O155" s="701">
        <f ca="1">SUMIFS('Cutters Consumption Updates'!E:E,
        'Cutters Consumption Updates'!B:B, B155,
        'Cutters Consumption Updates'!A:A, "&gt;" &amp; TODAY()-182)</f>
        <v>0</v>
      </c>
      <c r="P155" s="701">
        <f ca="1">SUMIFS('Cutters Consumption Updates'!E:E,
        'Cutters Consumption Updates'!B:B, B155,
        'Cutters Consumption Updates'!A:A, "&gt;" &amp; TODAY()-91)</f>
        <v>0</v>
      </c>
      <c r="Q155" s="701">
        <f t="shared" ca="1" si="25"/>
        <v>0</v>
      </c>
      <c r="R155" s="703">
        <f t="shared" ca="1" si="26"/>
        <v>0</v>
      </c>
      <c r="S155" s="703" t="s">
        <v>29</v>
      </c>
      <c r="T155" s="24">
        <f>IFERROR(INDEX(Table5[],MATCH($B155,Table5[Component],0),2),0)</f>
        <v>0</v>
      </c>
      <c r="U155" s="24">
        <f>SUMIFS(Table7[Balance],Table7[Cutter Mat'#],$B155)</f>
        <v>0</v>
      </c>
      <c r="V155" s="24">
        <f t="shared" si="27"/>
        <v>0</v>
      </c>
      <c r="W155" s="119"/>
      <c r="X155" s="2"/>
      <c r="Z155" s="4">
        <f>IFERROR(INDEX(Table5[],MATCH($B155,Table5[Component],0),2),0)</f>
        <v>0</v>
      </c>
      <c r="AA155" s="4">
        <f>IFERROR(INDEX(Table5[],MATCH($B155,Table5[Component],0),1),0)</f>
        <v>1078371</v>
      </c>
      <c r="AB155" s="4" t="str">
        <f t="shared" si="28"/>
        <v/>
      </c>
      <c r="AC155" s="4" t="str">
        <f t="shared" si="29"/>
        <v/>
      </c>
      <c r="AE155" s="4">
        <f t="shared" si="30"/>
        <v>0</v>
      </c>
      <c r="AJ155" s="248" t="str">
        <f t="shared" si="31"/>
        <v/>
      </c>
      <c r="AK155" s="248" t="str">
        <f t="shared" si="32"/>
        <v/>
      </c>
      <c r="AL155">
        <f t="shared" si="33"/>
        <v>0</v>
      </c>
      <c r="AQ155">
        <f t="shared" si="35"/>
        <v>0</v>
      </c>
      <c r="AS155">
        <v>1123324</v>
      </c>
      <c r="AT155">
        <f t="shared" si="34"/>
        <v>0</v>
      </c>
    </row>
    <row r="156" spans="1:46" ht="15.65" customHeight="1" x14ac:dyDescent="0.35">
      <c r="A156" s="2">
        <v>155</v>
      </c>
      <c r="B156" s="2">
        <v>1181761</v>
      </c>
      <c r="C156" s="2" t="s">
        <v>26</v>
      </c>
      <c r="D156" s="2">
        <v>1608</v>
      </c>
      <c r="E156" s="3" t="s">
        <v>145</v>
      </c>
      <c r="F156" s="3" t="s">
        <v>253</v>
      </c>
      <c r="G156" s="6"/>
      <c r="H156" s="6" t="s">
        <v>146</v>
      </c>
      <c r="I156" s="10">
        <f>SUMIFS('Cutters Consumption Updates'!$F:$F,'Cutters Consumption Updates'!$D:$D,I$1,'Cutters Consumption Updates'!$B:$B,$B156)-SUMIFS('Cutters Consumption Updates'!$E:$E,'Cutters Consumption Updates'!$D:$D,I$1,'Cutters Consumption Updates'!$B:$B,$B156)+ SUMIF('Cutters Consumption Updates'!$AS:$AS,$B156,'Cutters Consumption Updates'!AT:AT)</f>
        <v>0</v>
      </c>
      <c r="J156" s="10">
        <f>SUMIFS('Cutters Consumption Updates'!$F:$F,'Cutters Consumption Updates'!$D:$D,J$1,'Cutters Consumption Updates'!$B:$B,$B156)-SUMIFS('Cutters Consumption Updates'!$E:$E,'Cutters Consumption Updates'!$D:$D,J$1,'Cutters Consumption Updates'!$B:$B,$B156)+ SUMIF('Cutters Consumption Updates'!$AS:$AS,$B156,'Cutters Consumption Updates'!AU:AU)</f>
        <v>0</v>
      </c>
      <c r="K156" s="116">
        <f>SUMIFS('Cutters Consumption Updates'!$F:$F,'Cutters Consumption Updates'!$D:$D,K$1,'Cutters Consumption Updates'!$B:$B,$B156)-SUMIFS('Cutters Consumption Updates'!$E:$E,'Cutters Consumption Updates'!$D:$D,K$1,'Cutters Consumption Updates'!$B:$B,$B156)+ SUMIF('Cutters Consumption Updates'!$AS:$AS,$B156,'Cutters Consumption Updates'!AV:AV)</f>
        <v>0</v>
      </c>
      <c r="L156" s="738">
        <f>SUMIFS('Cutters Consumption Updates'!$F:$F,'Cutters Consumption Updates'!$D:$D,L$1,'Cutters Consumption Updates'!$B:$B,$B156)-SUMIFS('Cutters Consumption Updates'!$E:$E,'Cutters Consumption Updates'!$D:$D,L$1,'Cutters Consumption Updates'!$B:$B,$B156)+ SUMIF('Cutters Consumption Updates'!$AS:$AS,$B156,'Cutters Consumption Updates'!AW:AW)</f>
        <v>0</v>
      </c>
      <c r="M156" s="116">
        <f>SUMIFS('Cutters Consumption Updates'!$F:$F,'Cutters Consumption Updates'!$D:$D,M$1,'Cutters Consumption Updates'!$B:$B,$B156)-SUMIFS('Cutters Consumption Updates'!$E:$E,'Cutters Consumption Updates'!$D:$D,$M$1,'Cutters Consumption Updates'!$B:$B,$B156)+SUMIFS('Cutters Consumption Updates'!$F:$F,'Cutters Consumption Updates'!$D:$D,"Retrofit",'Cutters Consumption Updates'!$B:$B,$B156)-SUMIFS('Cutters Consumption Updates'!$E:$E,'Cutters Consumption Updates'!$D:$D,"Retrofit",'Cutters Consumption Updates'!$B:$B,$B156)+ SUMIF('Cutters Consumption Updates'!$AS:$AS,$B156,'Cutters Consumption Updates'!AX:AX)</f>
        <v>9</v>
      </c>
      <c r="N156" s="10">
        <f t="shared" si="24"/>
        <v>9</v>
      </c>
      <c r="O156" s="701">
        <f ca="1">SUMIFS('Cutters Consumption Updates'!E:E,
        'Cutters Consumption Updates'!B:B, B156,
        'Cutters Consumption Updates'!A:A, "&gt;" &amp; TODAY()-182)</f>
        <v>0</v>
      </c>
      <c r="P156" s="701">
        <f ca="1">SUMIFS('Cutters Consumption Updates'!E:E,
        'Cutters Consumption Updates'!B:B, B156,
        'Cutters Consumption Updates'!A:A, "&gt;" &amp; TODAY()-91)</f>
        <v>0</v>
      </c>
      <c r="Q156" s="701">
        <f t="shared" ca="1" si="25"/>
        <v>0</v>
      </c>
      <c r="R156" s="703">
        <f t="shared" ca="1" si="26"/>
        <v>0</v>
      </c>
      <c r="S156" s="703" t="s">
        <v>29</v>
      </c>
      <c r="T156" s="24">
        <f>IFERROR(INDEX(Table5[],MATCH($B156,Table5[Component],0),2),0)</f>
        <v>0</v>
      </c>
      <c r="U156" s="24">
        <f>SUMIFS(Table7[Balance],Table7[Cutter Mat'#],$B156)</f>
        <v>0</v>
      </c>
      <c r="V156" s="24">
        <f t="shared" si="27"/>
        <v>9</v>
      </c>
      <c r="W156" s="119"/>
      <c r="X156" s="2"/>
      <c r="Z156" s="4">
        <f>IFERROR(INDEX(Table5[],MATCH($B156,Table5[Component],0),2),0)</f>
        <v>0</v>
      </c>
      <c r="AA156" s="4">
        <f>IFERROR(INDEX(Table5[],MATCH($B156,Table5[Component],0),1),0)</f>
        <v>1181761</v>
      </c>
      <c r="AB156" s="4" t="str">
        <f t="shared" si="28"/>
        <v/>
      </c>
      <c r="AC156" s="4" t="str">
        <f t="shared" si="29"/>
        <v/>
      </c>
      <c r="AE156" s="4">
        <f t="shared" si="30"/>
        <v>9</v>
      </c>
      <c r="AJ156" s="248" t="str">
        <f t="shared" si="31"/>
        <v/>
      </c>
      <c r="AK156" s="248" t="str">
        <f t="shared" si="32"/>
        <v/>
      </c>
      <c r="AL156">
        <f t="shared" si="33"/>
        <v>0</v>
      </c>
      <c r="AQ156">
        <f t="shared" si="35"/>
        <v>0</v>
      </c>
      <c r="AS156">
        <v>1126398</v>
      </c>
      <c r="AT156">
        <f t="shared" si="34"/>
        <v>0</v>
      </c>
    </row>
    <row r="157" spans="1:46" ht="15.65" customHeight="1" x14ac:dyDescent="0.35">
      <c r="A157" s="2">
        <v>156</v>
      </c>
      <c r="B157" s="2">
        <v>1176639</v>
      </c>
      <c r="C157" s="2" t="s">
        <v>26</v>
      </c>
      <c r="D157" s="2">
        <v>1308</v>
      </c>
      <c r="E157" s="3" t="s">
        <v>145</v>
      </c>
      <c r="F157" s="3" t="s">
        <v>253</v>
      </c>
      <c r="G157" s="6"/>
      <c r="H157" s="6" t="s">
        <v>146</v>
      </c>
      <c r="I157" s="10">
        <f>SUMIFS('Cutters Consumption Updates'!$F:$F,'Cutters Consumption Updates'!$D:$D,I$1,'Cutters Consumption Updates'!$B:$B,$B157)-SUMIFS('Cutters Consumption Updates'!$E:$E,'Cutters Consumption Updates'!$D:$D,I$1,'Cutters Consumption Updates'!$B:$B,$B157)+ SUMIF('Cutters Consumption Updates'!$AS:$AS,$B157,'Cutters Consumption Updates'!AT:AT)</f>
        <v>0</v>
      </c>
      <c r="J157" s="10">
        <f>SUMIFS('Cutters Consumption Updates'!$F:$F,'Cutters Consumption Updates'!$D:$D,J$1,'Cutters Consumption Updates'!$B:$B,$B157)-SUMIFS('Cutters Consumption Updates'!$E:$E,'Cutters Consumption Updates'!$D:$D,J$1,'Cutters Consumption Updates'!$B:$B,$B157)+ SUMIF('Cutters Consumption Updates'!$AS:$AS,$B157,'Cutters Consumption Updates'!AU:AU)</f>
        <v>0</v>
      </c>
      <c r="K157" s="116">
        <f>SUMIFS('Cutters Consumption Updates'!$F:$F,'Cutters Consumption Updates'!$D:$D,K$1,'Cutters Consumption Updates'!$B:$B,$B157)-SUMIFS('Cutters Consumption Updates'!$E:$E,'Cutters Consumption Updates'!$D:$D,K$1,'Cutters Consumption Updates'!$B:$B,$B157)+ SUMIF('Cutters Consumption Updates'!$AS:$AS,$B157,'Cutters Consumption Updates'!AV:AV)</f>
        <v>0</v>
      </c>
      <c r="L157" s="738">
        <f>SUMIFS('Cutters Consumption Updates'!$F:$F,'Cutters Consumption Updates'!$D:$D,L$1,'Cutters Consumption Updates'!$B:$B,$B157)-SUMIFS('Cutters Consumption Updates'!$E:$E,'Cutters Consumption Updates'!$D:$D,L$1,'Cutters Consumption Updates'!$B:$B,$B157)+ SUMIF('Cutters Consumption Updates'!$AS:$AS,$B157,'Cutters Consumption Updates'!AW:AW)</f>
        <v>0</v>
      </c>
      <c r="M157" s="116">
        <f>SUMIFS('Cutters Consumption Updates'!$F:$F,'Cutters Consumption Updates'!$D:$D,M$1,'Cutters Consumption Updates'!$B:$B,$B157)-SUMIFS('Cutters Consumption Updates'!$E:$E,'Cutters Consumption Updates'!$D:$D,$M$1,'Cutters Consumption Updates'!$B:$B,$B157)+SUMIFS('Cutters Consumption Updates'!$F:$F,'Cutters Consumption Updates'!$D:$D,"Retrofit",'Cutters Consumption Updates'!$B:$B,$B157)-SUMIFS('Cutters Consumption Updates'!$E:$E,'Cutters Consumption Updates'!$D:$D,"Retrofit",'Cutters Consumption Updates'!$B:$B,$B157)+ SUMIF('Cutters Consumption Updates'!$AS:$AS,$B157,'Cutters Consumption Updates'!AX:AX)</f>
        <v>0</v>
      </c>
      <c r="N157" s="10">
        <f t="shared" si="24"/>
        <v>0</v>
      </c>
      <c r="O157" s="701">
        <f ca="1">SUMIFS('Cutters Consumption Updates'!E:E,
        'Cutters Consumption Updates'!B:B, B157,
        'Cutters Consumption Updates'!A:A, "&gt;" &amp; TODAY()-182)</f>
        <v>0</v>
      </c>
      <c r="P157" s="701">
        <f ca="1">SUMIFS('Cutters Consumption Updates'!E:E,
        'Cutters Consumption Updates'!B:B, B157,
        'Cutters Consumption Updates'!A:A, "&gt;" &amp; TODAY()-91)</f>
        <v>0</v>
      </c>
      <c r="Q157" s="701">
        <f t="shared" ca="1" si="25"/>
        <v>0</v>
      </c>
      <c r="R157" s="703">
        <f t="shared" ca="1" si="26"/>
        <v>0</v>
      </c>
      <c r="S157" s="703" t="s">
        <v>29</v>
      </c>
      <c r="T157" s="24">
        <f>IFERROR(INDEX(Table5[],MATCH($B157,Table5[Component],0),2),0)</f>
        <v>0</v>
      </c>
      <c r="U157" s="24">
        <f>SUMIFS(Table7[Balance],Table7[Cutter Mat'#],$B157)</f>
        <v>0</v>
      </c>
      <c r="V157" s="24">
        <f t="shared" si="27"/>
        <v>0</v>
      </c>
      <c r="W157" s="119"/>
      <c r="X157" s="2"/>
      <c r="Z157" s="4">
        <f>IFERROR(INDEX(Table5[],MATCH($B157,Table5[Component],0),2),0)</f>
        <v>0</v>
      </c>
      <c r="AA157" s="4">
        <f>IFERROR(INDEX(Table5[],MATCH($B157,Table5[Component],0),1),0)</f>
        <v>0</v>
      </c>
      <c r="AB157" s="4" t="str">
        <f t="shared" si="28"/>
        <v/>
      </c>
      <c r="AC157" s="4" t="str">
        <f t="shared" si="29"/>
        <v/>
      </c>
      <c r="AE157" s="4">
        <f t="shared" si="30"/>
        <v>0</v>
      </c>
      <c r="AJ157" s="248" t="str">
        <f t="shared" si="31"/>
        <v/>
      </c>
      <c r="AK157" s="248" t="str">
        <f t="shared" si="32"/>
        <v/>
      </c>
      <c r="AL157">
        <f t="shared" si="33"/>
        <v>0</v>
      </c>
      <c r="AQ157">
        <f t="shared" si="35"/>
        <v>0</v>
      </c>
      <c r="AS157">
        <v>1126400</v>
      </c>
      <c r="AT157">
        <f t="shared" si="34"/>
        <v>0</v>
      </c>
    </row>
    <row r="158" spans="1:46" ht="15.65" customHeight="1" x14ac:dyDescent="0.35">
      <c r="A158" s="2">
        <v>157</v>
      </c>
      <c r="B158" s="2">
        <v>1039057</v>
      </c>
      <c r="C158" s="2" t="s">
        <v>26</v>
      </c>
      <c r="D158" s="2">
        <v>1608</v>
      </c>
      <c r="E158" s="2" t="s">
        <v>88</v>
      </c>
      <c r="F158" s="3" t="s">
        <v>248</v>
      </c>
      <c r="G158" s="6"/>
      <c r="H158" s="6" t="s">
        <v>49</v>
      </c>
      <c r="I158" s="10">
        <f>SUMIFS('Cutters Consumption Updates'!$F:$F,'Cutters Consumption Updates'!$D:$D,I$1,'Cutters Consumption Updates'!$B:$B,$B158)-SUMIFS('Cutters Consumption Updates'!$E:$E,'Cutters Consumption Updates'!$D:$D,I$1,'Cutters Consumption Updates'!$B:$B,$B158)+ SUMIF('Cutters Consumption Updates'!$AS:$AS,$B158,'Cutters Consumption Updates'!AT:AT)</f>
        <v>0</v>
      </c>
      <c r="J158" s="10">
        <f>SUMIFS('Cutters Consumption Updates'!$F:$F,'Cutters Consumption Updates'!$D:$D,J$1,'Cutters Consumption Updates'!$B:$B,$B158)-SUMIFS('Cutters Consumption Updates'!$E:$E,'Cutters Consumption Updates'!$D:$D,J$1,'Cutters Consumption Updates'!$B:$B,$B158)+ SUMIF('Cutters Consumption Updates'!$AS:$AS,$B158,'Cutters Consumption Updates'!AU:AU)</f>
        <v>0</v>
      </c>
      <c r="K158" s="116">
        <f>SUMIFS('Cutters Consumption Updates'!$F:$F,'Cutters Consumption Updates'!$D:$D,K$1,'Cutters Consumption Updates'!$B:$B,$B158)-SUMIFS('Cutters Consumption Updates'!$E:$E,'Cutters Consumption Updates'!$D:$D,K$1,'Cutters Consumption Updates'!$B:$B,$B158)+ SUMIF('Cutters Consumption Updates'!$AS:$AS,$B158,'Cutters Consumption Updates'!AV:AV)</f>
        <v>0</v>
      </c>
      <c r="L158" s="738">
        <f>SUMIFS('Cutters Consumption Updates'!$F:$F,'Cutters Consumption Updates'!$D:$D,L$1,'Cutters Consumption Updates'!$B:$B,$B158)-SUMIFS('Cutters Consumption Updates'!$E:$E,'Cutters Consumption Updates'!$D:$D,L$1,'Cutters Consumption Updates'!$B:$B,$B158)+ SUMIF('Cutters Consumption Updates'!$AS:$AS,$B158,'Cutters Consumption Updates'!AW:AW)</f>
        <v>0</v>
      </c>
      <c r="M158" s="116">
        <f>SUMIFS('Cutters Consumption Updates'!$F:$F,'Cutters Consumption Updates'!$D:$D,M$1,'Cutters Consumption Updates'!$B:$B,$B158)-SUMIFS('Cutters Consumption Updates'!$E:$E,'Cutters Consumption Updates'!$D:$D,$M$1,'Cutters Consumption Updates'!$B:$B,$B158)+SUMIFS('Cutters Consumption Updates'!$F:$F,'Cutters Consumption Updates'!$D:$D,"Retrofit",'Cutters Consumption Updates'!$B:$B,$B158)-SUMIFS('Cutters Consumption Updates'!$E:$E,'Cutters Consumption Updates'!$D:$D,"Retrofit",'Cutters Consumption Updates'!$B:$B,$B158)+ SUMIF('Cutters Consumption Updates'!$AS:$AS,$B158,'Cutters Consumption Updates'!AX:AX)</f>
        <v>6</v>
      </c>
      <c r="N158" s="10">
        <f t="shared" si="24"/>
        <v>6</v>
      </c>
      <c r="O158" s="701">
        <f ca="1">SUMIFS('Cutters Consumption Updates'!E:E,
        'Cutters Consumption Updates'!B:B, B158,
        'Cutters Consumption Updates'!A:A, "&gt;" &amp; TODAY()-182)</f>
        <v>6</v>
      </c>
      <c r="P158" s="701">
        <f ca="1">SUMIFS('Cutters Consumption Updates'!E:E,
        'Cutters Consumption Updates'!B:B, B158,
        'Cutters Consumption Updates'!A:A, "&gt;" &amp; TODAY()-91)</f>
        <v>6</v>
      </c>
      <c r="Q158" s="701">
        <f t="shared" ca="1" si="25"/>
        <v>2</v>
      </c>
      <c r="R158" s="703">
        <f t="shared" ca="1" si="26"/>
        <v>5</v>
      </c>
      <c r="S158" s="703" t="s">
        <v>29</v>
      </c>
      <c r="T158" s="24">
        <f>IFERROR(INDEX(Table5[],MATCH($B158,Table5[Component],0),2),0)</f>
        <v>0</v>
      </c>
      <c r="U158" s="24">
        <f>SUMIFS(Table7[Balance],Table7[Cutter Mat'#],$B158)</f>
        <v>0</v>
      </c>
      <c r="V158" s="24">
        <f t="shared" si="27"/>
        <v>6</v>
      </c>
      <c r="W158" s="119"/>
      <c r="X158" s="2"/>
      <c r="Z158" s="4">
        <f>IFERROR(INDEX(Table5[],MATCH($B158,Table5[Component],0),2),0)</f>
        <v>0</v>
      </c>
      <c r="AA158" s="4">
        <f>IFERROR(INDEX(Table5[],MATCH($B158,Table5[Component],0),1),0)</f>
        <v>1039057</v>
      </c>
      <c r="AB158" s="4" t="str">
        <f t="shared" si="28"/>
        <v/>
      </c>
      <c r="AC158" s="4" t="str">
        <f t="shared" si="29"/>
        <v/>
      </c>
      <c r="AE158" s="4">
        <f t="shared" si="30"/>
        <v>6</v>
      </c>
      <c r="AJ158" s="248" t="str">
        <f t="shared" si="31"/>
        <v/>
      </c>
      <c r="AK158" s="248" t="str">
        <f t="shared" si="32"/>
        <v/>
      </c>
      <c r="AL158">
        <f t="shared" si="33"/>
        <v>0</v>
      </c>
      <c r="AQ158">
        <f t="shared" si="35"/>
        <v>0</v>
      </c>
      <c r="AS158">
        <v>1126402</v>
      </c>
      <c r="AT158">
        <f t="shared" si="34"/>
        <v>0</v>
      </c>
    </row>
    <row r="159" spans="1:46" ht="15.65" customHeight="1" x14ac:dyDescent="0.35">
      <c r="A159" s="2">
        <v>158</v>
      </c>
      <c r="B159" s="2">
        <v>976360</v>
      </c>
      <c r="C159" s="2" t="s">
        <v>26</v>
      </c>
      <c r="D159" s="2">
        <v>1608</v>
      </c>
      <c r="E159" s="2" t="s">
        <v>147</v>
      </c>
      <c r="F159" s="2" t="s">
        <v>248</v>
      </c>
      <c r="G159" s="6"/>
      <c r="H159" s="6" t="s">
        <v>49</v>
      </c>
      <c r="I159" s="10">
        <f>SUMIFS('Cutters Consumption Updates'!$F:$F,'Cutters Consumption Updates'!$D:$D,I$1,'Cutters Consumption Updates'!$B:$B,$B159)-SUMIFS('Cutters Consumption Updates'!$E:$E,'Cutters Consumption Updates'!$D:$D,I$1,'Cutters Consumption Updates'!$B:$B,$B159)+ SUMIF('Cutters Consumption Updates'!$AS:$AS,$B159,'Cutters Consumption Updates'!AT:AT)</f>
        <v>0</v>
      </c>
      <c r="J159" s="10">
        <f>SUMIFS('Cutters Consumption Updates'!$F:$F,'Cutters Consumption Updates'!$D:$D,J$1,'Cutters Consumption Updates'!$B:$B,$B159)-SUMIFS('Cutters Consumption Updates'!$E:$E,'Cutters Consumption Updates'!$D:$D,J$1,'Cutters Consumption Updates'!$B:$B,$B159)+ SUMIF('Cutters Consumption Updates'!$AS:$AS,$B159,'Cutters Consumption Updates'!AU:AU)</f>
        <v>0</v>
      </c>
      <c r="K159" s="116">
        <f>SUMIFS('Cutters Consumption Updates'!$F:$F,'Cutters Consumption Updates'!$D:$D,K$1,'Cutters Consumption Updates'!$B:$B,$B159)-SUMIFS('Cutters Consumption Updates'!$E:$E,'Cutters Consumption Updates'!$D:$D,K$1,'Cutters Consumption Updates'!$B:$B,$B159)+ SUMIF('Cutters Consumption Updates'!$AS:$AS,$B159,'Cutters Consumption Updates'!AV:AV)</f>
        <v>0</v>
      </c>
      <c r="L159" s="738">
        <f>SUMIFS('Cutters Consumption Updates'!$F:$F,'Cutters Consumption Updates'!$D:$D,L$1,'Cutters Consumption Updates'!$B:$B,$B159)-SUMIFS('Cutters Consumption Updates'!$E:$E,'Cutters Consumption Updates'!$D:$D,L$1,'Cutters Consumption Updates'!$B:$B,$B159)+ SUMIF('Cutters Consumption Updates'!$AS:$AS,$B159,'Cutters Consumption Updates'!AW:AW)</f>
        <v>0</v>
      </c>
      <c r="M159" s="116">
        <f>SUMIFS('Cutters Consumption Updates'!$F:$F,'Cutters Consumption Updates'!$D:$D,M$1,'Cutters Consumption Updates'!$B:$B,$B159)-SUMIFS('Cutters Consumption Updates'!$E:$E,'Cutters Consumption Updates'!$D:$D,$M$1,'Cutters Consumption Updates'!$B:$B,$B159)+SUMIFS('Cutters Consumption Updates'!$F:$F,'Cutters Consumption Updates'!$D:$D,"Retrofit",'Cutters Consumption Updates'!$B:$B,$B159)-SUMIFS('Cutters Consumption Updates'!$E:$E,'Cutters Consumption Updates'!$D:$D,"Retrofit",'Cutters Consumption Updates'!$B:$B,$B159)+ SUMIF('Cutters Consumption Updates'!$AS:$AS,$B159,'Cutters Consumption Updates'!AX:AX)</f>
        <v>11</v>
      </c>
      <c r="N159" s="10">
        <f t="shared" si="24"/>
        <v>11</v>
      </c>
      <c r="O159" s="701">
        <f ca="1">SUMIFS('Cutters Consumption Updates'!E:E,
        'Cutters Consumption Updates'!B:B, B159,
        'Cutters Consumption Updates'!A:A, "&gt;" &amp; TODAY()-182)</f>
        <v>0</v>
      </c>
      <c r="P159" s="701">
        <f ca="1">SUMIFS('Cutters Consumption Updates'!E:E,
        'Cutters Consumption Updates'!B:B, B159,
        'Cutters Consumption Updates'!A:A, "&gt;" &amp; TODAY()-91)</f>
        <v>0</v>
      </c>
      <c r="Q159" s="701">
        <f t="shared" ca="1" si="25"/>
        <v>0</v>
      </c>
      <c r="R159" s="703">
        <f t="shared" ca="1" si="26"/>
        <v>0</v>
      </c>
      <c r="S159" s="703" t="s">
        <v>29</v>
      </c>
      <c r="T159" s="24">
        <f>IFERROR(INDEX(Table5[],MATCH($B159,Table5[Component],0),2),0)</f>
        <v>0</v>
      </c>
      <c r="U159" s="24">
        <f>SUMIFS(Table7[Balance],Table7[Cutter Mat'#],$B159)</f>
        <v>0</v>
      </c>
      <c r="V159" s="24">
        <f t="shared" si="27"/>
        <v>11</v>
      </c>
      <c r="W159" s="119"/>
      <c r="X159" s="2"/>
      <c r="Z159" s="4">
        <f>IFERROR(INDEX(Table5[],MATCH($B159,Table5[Component],0),2),0)</f>
        <v>0</v>
      </c>
      <c r="AA159" s="4">
        <f>IFERROR(INDEX(Table5[],MATCH($B159,Table5[Component],0),1),0)</f>
        <v>0</v>
      </c>
      <c r="AB159" s="4" t="str">
        <f t="shared" si="28"/>
        <v/>
      </c>
      <c r="AC159" s="4" t="str">
        <f t="shared" si="29"/>
        <v/>
      </c>
      <c r="AE159" s="4">
        <f t="shared" si="30"/>
        <v>11</v>
      </c>
      <c r="AJ159" s="248" t="str">
        <f t="shared" si="31"/>
        <v/>
      </c>
      <c r="AK159" s="248" t="str">
        <f t="shared" si="32"/>
        <v/>
      </c>
      <c r="AL159">
        <f t="shared" si="33"/>
        <v>0</v>
      </c>
      <c r="AQ159">
        <f t="shared" si="35"/>
        <v>0</v>
      </c>
      <c r="AS159">
        <v>1126404</v>
      </c>
      <c r="AT159">
        <f t="shared" si="34"/>
        <v>0</v>
      </c>
    </row>
    <row r="160" spans="1:46" ht="15.65" customHeight="1" x14ac:dyDescent="0.35">
      <c r="A160" s="2">
        <v>159</v>
      </c>
      <c r="B160" s="3">
        <v>1130193</v>
      </c>
      <c r="C160" s="3" t="s">
        <v>26</v>
      </c>
      <c r="D160" s="3">
        <v>1005</v>
      </c>
      <c r="E160" s="3" t="s">
        <v>114</v>
      </c>
      <c r="F160" s="3" t="s">
        <v>253</v>
      </c>
      <c r="G160" s="13"/>
      <c r="H160" s="6" t="s">
        <v>49</v>
      </c>
      <c r="I160" s="10">
        <f>SUMIFS('Cutters Consumption Updates'!$F:$F,'Cutters Consumption Updates'!$D:$D,I$1,'Cutters Consumption Updates'!$B:$B,$B160)-SUMIFS('Cutters Consumption Updates'!$E:$E,'Cutters Consumption Updates'!$D:$D,I$1,'Cutters Consumption Updates'!$B:$B,$B160)+ SUMIF('Cutters Consumption Updates'!$AS:$AS,$B160,'Cutters Consumption Updates'!AT:AT)</f>
        <v>0</v>
      </c>
      <c r="J160" s="10">
        <f>SUMIFS('Cutters Consumption Updates'!$F:$F,'Cutters Consumption Updates'!$D:$D,J$1,'Cutters Consumption Updates'!$B:$B,$B160)-SUMIFS('Cutters Consumption Updates'!$E:$E,'Cutters Consumption Updates'!$D:$D,J$1,'Cutters Consumption Updates'!$B:$B,$B160)+ SUMIF('Cutters Consumption Updates'!$AS:$AS,$B160,'Cutters Consumption Updates'!AU:AU)</f>
        <v>0</v>
      </c>
      <c r="K160" s="116">
        <f>SUMIFS('Cutters Consumption Updates'!$F:$F,'Cutters Consumption Updates'!$D:$D,K$1,'Cutters Consumption Updates'!$B:$B,$B160)-SUMIFS('Cutters Consumption Updates'!$E:$E,'Cutters Consumption Updates'!$D:$D,K$1,'Cutters Consumption Updates'!$B:$B,$B160)+ SUMIF('Cutters Consumption Updates'!$AS:$AS,$B160,'Cutters Consumption Updates'!AV:AV)</f>
        <v>0</v>
      </c>
      <c r="L160" s="738">
        <f>SUMIFS('Cutters Consumption Updates'!$F:$F,'Cutters Consumption Updates'!$D:$D,L$1,'Cutters Consumption Updates'!$B:$B,$B160)-SUMIFS('Cutters Consumption Updates'!$E:$E,'Cutters Consumption Updates'!$D:$D,L$1,'Cutters Consumption Updates'!$B:$B,$B160)+ SUMIF('Cutters Consumption Updates'!$AS:$AS,$B160,'Cutters Consumption Updates'!AW:AW)</f>
        <v>0</v>
      </c>
      <c r="M160" s="116">
        <f>SUMIFS('Cutters Consumption Updates'!$F:$F,'Cutters Consumption Updates'!$D:$D,M$1,'Cutters Consumption Updates'!$B:$B,$B160)-SUMIFS('Cutters Consumption Updates'!$E:$E,'Cutters Consumption Updates'!$D:$D,$M$1,'Cutters Consumption Updates'!$B:$B,$B160)+SUMIFS('Cutters Consumption Updates'!$F:$F,'Cutters Consumption Updates'!$D:$D,"Retrofit",'Cutters Consumption Updates'!$B:$B,$B160)-SUMIFS('Cutters Consumption Updates'!$E:$E,'Cutters Consumption Updates'!$D:$D,"Retrofit",'Cutters Consumption Updates'!$B:$B,$B160)+ SUMIF('Cutters Consumption Updates'!$AS:$AS,$B160,'Cutters Consumption Updates'!AX:AX)</f>
        <v>0</v>
      </c>
      <c r="N160" s="10">
        <f t="shared" si="24"/>
        <v>0</v>
      </c>
      <c r="O160" s="701">
        <f ca="1">SUMIFS('Cutters Consumption Updates'!E:E,
        'Cutters Consumption Updates'!B:B, B160,
        'Cutters Consumption Updates'!A:A, "&gt;" &amp; TODAY()-182)</f>
        <v>3</v>
      </c>
      <c r="P160" s="701">
        <f ca="1">SUMIFS('Cutters Consumption Updates'!E:E,
        'Cutters Consumption Updates'!B:B, B160,
        'Cutters Consumption Updates'!A:A, "&gt;" &amp; TODAY()-91)</f>
        <v>3</v>
      </c>
      <c r="Q160" s="701">
        <f t="shared" ca="1" si="25"/>
        <v>1</v>
      </c>
      <c r="R160" s="703">
        <f t="shared" ca="1" si="26"/>
        <v>0</v>
      </c>
      <c r="S160" s="703" t="s">
        <v>29</v>
      </c>
      <c r="T160" s="24">
        <f>IFERROR(INDEX(Table5[],MATCH($B160,Table5[Component],0),2),0)</f>
        <v>64</v>
      </c>
      <c r="U160" s="24">
        <f>SUMIFS(Table7[Balance],Table7[Cutter Mat'#],$B160)</f>
        <v>0</v>
      </c>
      <c r="V160" s="24">
        <f t="shared" si="27"/>
        <v>-64</v>
      </c>
      <c r="W160" s="119"/>
      <c r="X160" s="2"/>
      <c r="Z160" s="4">
        <f>IFERROR(INDEX(Table5[],MATCH($B160,Table5[Component],0),2),0)</f>
        <v>64</v>
      </c>
      <c r="AA160" s="4">
        <f>IFERROR(INDEX(Table5[],MATCH($B160,Table5[Component],0),1),0)</f>
        <v>1130193</v>
      </c>
      <c r="AB160" s="4">
        <f t="shared" si="28"/>
        <v>1130193</v>
      </c>
      <c r="AC160" s="4" t="str">
        <f t="shared" si="29"/>
        <v/>
      </c>
      <c r="AE160" s="4">
        <f t="shared" si="30"/>
        <v>0</v>
      </c>
      <c r="AJ160" s="248" t="str">
        <f t="shared" si="31"/>
        <v/>
      </c>
      <c r="AK160" s="248" t="str">
        <f t="shared" si="32"/>
        <v/>
      </c>
      <c r="AL160">
        <f t="shared" si="33"/>
        <v>0</v>
      </c>
      <c r="AQ160">
        <f t="shared" si="35"/>
        <v>0</v>
      </c>
      <c r="AS160">
        <v>1129936</v>
      </c>
      <c r="AT160">
        <f t="shared" si="34"/>
        <v>0</v>
      </c>
    </row>
    <row r="161" spans="1:46" ht="15.65" customHeight="1" x14ac:dyDescent="0.35">
      <c r="A161" s="2">
        <v>160</v>
      </c>
      <c r="B161" s="3">
        <v>1130223</v>
      </c>
      <c r="C161" s="3" t="s">
        <v>26</v>
      </c>
      <c r="D161" s="3">
        <v>1913</v>
      </c>
      <c r="E161" s="3" t="s">
        <v>114</v>
      </c>
      <c r="F161" s="292" t="s">
        <v>248</v>
      </c>
      <c r="G161" s="13"/>
      <c r="H161" s="6" t="s">
        <v>49</v>
      </c>
      <c r="I161" s="10">
        <f>SUMIFS('Cutters Consumption Updates'!$F:$F,'Cutters Consumption Updates'!$D:$D,I$1,'Cutters Consumption Updates'!$B:$B,$B161)-SUMIFS('Cutters Consumption Updates'!$E:$E,'Cutters Consumption Updates'!$D:$D,I$1,'Cutters Consumption Updates'!$B:$B,$B161)+ SUMIF('Cutters Consumption Updates'!$AS:$AS,$B161,'Cutters Consumption Updates'!AT:AT)</f>
        <v>15</v>
      </c>
      <c r="J161" s="10">
        <f>SUMIFS('Cutters Consumption Updates'!$F:$F,'Cutters Consumption Updates'!$D:$D,J$1,'Cutters Consumption Updates'!$B:$B,$B161)-SUMIFS('Cutters Consumption Updates'!$E:$E,'Cutters Consumption Updates'!$D:$D,J$1,'Cutters Consumption Updates'!$B:$B,$B161)+ SUMIF('Cutters Consumption Updates'!$AS:$AS,$B161,'Cutters Consumption Updates'!AU:AU)</f>
        <v>0</v>
      </c>
      <c r="K161" s="116">
        <f>SUMIFS('Cutters Consumption Updates'!$F:$F,'Cutters Consumption Updates'!$D:$D,K$1,'Cutters Consumption Updates'!$B:$B,$B161)-SUMIFS('Cutters Consumption Updates'!$E:$E,'Cutters Consumption Updates'!$D:$D,K$1,'Cutters Consumption Updates'!$B:$B,$B161)+ SUMIF('Cutters Consumption Updates'!$AS:$AS,$B161,'Cutters Consumption Updates'!AV:AV)</f>
        <v>0</v>
      </c>
      <c r="L161" s="738">
        <f>SUMIFS('Cutters Consumption Updates'!$F:$F,'Cutters Consumption Updates'!$D:$D,L$1,'Cutters Consumption Updates'!$B:$B,$B161)-SUMIFS('Cutters Consumption Updates'!$E:$E,'Cutters Consumption Updates'!$D:$D,L$1,'Cutters Consumption Updates'!$B:$B,$B161)+ SUMIF('Cutters Consumption Updates'!$AS:$AS,$B161,'Cutters Consumption Updates'!AW:AW)</f>
        <v>0</v>
      </c>
      <c r="M161" s="116">
        <f>SUMIFS('Cutters Consumption Updates'!$F:$F,'Cutters Consumption Updates'!$D:$D,M$1,'Cutters Consumption Updates'!$B:$B,$B161)-SUMIFS('Cutters Consumption Updates'!$E:$E,'Cutters Consumption Updates'!$D:$D,$M$1,'Cutters Consumption Updates'!$B:$B,$B161)+SUMIFS('Cutters Consumption Updates'!$F:$F,'Cutters Consumption Updates'!$D:$D,"Retrofit",'Cutters Consumption Updates'!$B:$B,$B161)-SUMIFS('Cutters Consumption Updates'!$E:$E,'Cutters Consumption Updates'!$D:$D,"Retrofit",'Cutters Consumption Updates'!$B:$B,$B161)+ SUMIF('Cutters Consumption Updates'!$AS:$AS,$B161,'Cutters Consumption Updates'!AX:AX)</f>
        <v>0</v>
      </c>
      <c r="N161" s="10">
        <f t="shared" si="24"/>
        <v>15</v>
      </c>
      <c r="O161" s="701">
        <f ca="1">SUMIFS('Cutters Consumption Updates'!E:E,
        'Cutters Consumption Updates'!B:B, B161,
        'Cutters Consumption Updates'!A:A, "&gt;" &amp; TODAY()-182)</f>
        <v>0</v>
      </c>
      <c r="P161" s="701">
        <f ca="1">SUMIFS('Cutters Consumption Updates'!E:E,
        'Cutters Consumption Updates'!B:B, B161,
        'Cutters Consumption Updates'!A:A, "&gt;" &amp; TODAY()-91)</f>
        <v>0</v>
      </c>
      <c r="Q161" s="701">
        <f t="shared" ca="1" si="25"/>
        <v>0</v>
      </c>
      <c r="R161" s="703">
        <f t="shared" ca="1" si="26"/>
        <v>0</v>
      </c>
      <c r="S161" s="703" t="s">
        <v>63</v>
      </c>
      <c r="T161" s="24">
        <f>IFERROR(INDEX(Table5[],MATCH($B161,Table5[Component],0),2),0)</f>
        <v>0</v>
      </c>
      <c r="U161" s="24">
        <f>SUMIFS(Table7[Balance],Table7[Cutter Mat'#],$B161)</f>
        <v>0</v>
      </c>
      <c r="V161" s="24">
        <f t="shared" si="27"/>
        <v>15</v>
      </c>
      <c r="W161" s="119"/>
      <c r="X161" s="2"/>
      <c r="Z161" s="4">
        <f>IFERROR(INDEX(Table5[],MATCH($B161,Table5[Component],0),2),0)</f>
        <v>0</v>
      </c>
      <c r="AA161" s="4">
        <f>IFERROR(INDEX(Table5[],MATCH($B161,Table5[Component],0),1),0)</f>
        <v>0</v>
      </c>
      <c r="AB161" s="4" t="str">
        <f t="shared" si="28"/>
        <v/>
      </c>
      <c r="AC161" s="4" t="str">
        <f t="shared" si="29"/>
        <v/>
      </c>
      <c r="AE161" s="4">
        <f t="shared" si="30"/>
        <v>15</v>
      </c>
      <c r="AJ161" s="248" t="str">
        <f t="shared" si="31"/>
        <v/>
      </c>
      <c r="AK161" s="248" t="str">
        <f t="shared" si="32"/>
        <v/>
      </c>
      <c r="AL161">
        <f t="shared" si="33"/>
        <v>0</v>
      </c>
      <c r="AQ161">
        <f t="shared" si="35"/>
        <v>0</v>
      </c>
      <c r="AS161">
        <v>1130193</v>
      </c>
      <c r="AT161">
        <f t="shared" si="34"/>
        <v>0</v>
      </c>
    </row>
    <row r="162" spans="1:46" ht="15.65" customHeight="1" x14ac:dyDescent="0.35">
      <c r="A162" s="2">
        <v>161</v>
      </c>
      <c r="B162" s="3">
        <v>1130221</v>
      </c>
      <c r="C162" s="3" t="s">
        <v>26</v>
      </c>
      <c r="D162" s="3">
        <v>1613</v>
      </c>
      <c r="E162" s="3" t="s">
        <v>114</v>
      </c>
      <c r="F162" s="292" t="s">
        <v>248</v>
      </c>
      <c r="G162" s="13"/>
      <c r="H162" s="6" t="s">
        <v>49</v>
      </c>
      <c r="I162" s="10">
        <f>SUMIFS('Cutters Consumption Updates'!$F:$F,'Cutters Consumption Updates'!$D:$D,I$1,'Cutters Consumption Updates'!$B:$B,$B162)-SUMIFS('Cutters Consumption Updates'!$E:$E,'Cutters Consumption Updates'!$D:$D,I$1,'Cutters Consumption Updates'!$B:$B,$B162)+ SUMIF('Cutters Consumption Updates'!$AS:$AS,$B162,'Cutters Consumption Updates'!AT:AT)</f>
        <v>0</v>
      </c>
      <c r="J162" s="10">
        <f>SUMIFS('Cutters Consumption Updates'!$F:$F,'Cutters Consumption Updates'!$D:$D,J$1,'Cutters Consumption Updates'!$B:$B,$B162)-SUMIFS('Cutters Consumption Updates'!$E:$E,'Cutters Consumption Updates'!$D:$D,J$1,'Cutters Consumption Updates'!$B:$B,$B162)+ SUMIF('Cutters Consumption Updates'!$AS:$AS,$B162,'Cutters Consumption Updates'!AU:AU)</f>
        <v>17</v>
      </c>
      <c r="K162" s="116">
        <f>SUMIFS('Cutters Consumption Updates'!$F:$F,'Cutters Consumption Updates'!$D:$D,K$1,'Cutters Consumption Updates'!$B:$B,$B162)-SUMIFS('Cutters Consumption Updates'!$E:$E,'Cutters Consumption Updates'!$D:$D,K$1,'Cutters Consumption Updates'!$B:$B,$B162)+ SUMIF('Cutters Consumption Updates'!$AS:$AS,$B162,'Cutters Consumption Updates'!AV:AV)</f>
        <v>0</v>
      </c>
      <c r="L162" s="738">
        <f>SUMIFS('Cutters Consumption Updates'!$F:$F,'Cutters Consumption Updates'!$D:$D,L$1,'Cutters Consumption Updates'!$B:$B,$B162)-SUMIFS('Cutters Consumption Updates'!$E:$E,'Cutters Consumption Updates'!$D:$D,L$1,'Cutters Consumption Updates'!$B:$B,$B162)+ SUMIF('Cutters Consumption Updates'!$AS:$AS,$B162,'Cutters Consumption Updates'!AW:AW)</f>
        <v>0</v>
      </c>
      <c r="M162" s="116">
        <f>SUMIFS('Cutters Consumption Updates'!$F:$F,'Cutters Consumption Updates'!$D:$D,M$1,'Cutters Consumption Updates'!$B:$B,$B162)-SUMIFS('Cutters Consumption Updates'!$E:$E,'Cutters Consumption Updates'!$D:$D,$M$1,'Cutters Consumption Updates'!$B:$B,$B162)+SUMIFS('Cutters Consumption Updates'!$F:$F,'Cutters Consumption Updates'!$D:$D,"Retrofit",'Cutters Consumption Updates'!$B:$B,$B162)-SUMIFS('Cutters Consumption Updates'!$E:$E,'Cutters Consumption Updates'!$D:$D,"Retrofit",'Cutters Consumption Updates'!$B:$B,$B162)+ SUMIF('Cutters Consumption Updates'!$AS:$AS,$B162,'Cutters Consumption Updates'!AX:AX)</f>
        <v>0</v>
      </c>
      <c r="N162" s="10">
        <f t="shared" si="24"/>
        <v>0</v>
      </c>
      <c r="O162" s="701">
        <f ca="1">SUMIFS('Cutters Consumption Updates'!E:E,
        'Cutters Consumption Updates'!B:B, B162,
        'Cutters Consumption Updates'!A:A, "&gt;" &amp; TODAY()-182)</f>
        <v>0</v>
      </c>
      <c r="P162" s="701">
        <f ca="1">SUMIFS('Cutters Consumption Updates'!E:E,
        'Cutters Consumption Updates'!B:B, B162,
        'Cutters Consumption Updates'!A:A, "&gt;" &amp; TODAY()-91)</f>
        <v>0</v>
      </c>
      <c r="Q162" s="701">
        <f t="shared" ca="1" si="25"/>
        <v>0</v>
      </c>
      <c r="R162" s="703">
        <f t="shared" ca="1" si="26"/>
        <v>0</v>
      </c>
      <c r="S162" s="703" t="s">
        <v>29</v>
      </c>
      <c r="T162" s="24">
        <f>IFERROR(INDEX(Table5[],MATCH($B162,Table5[Component],0),2),0)</f>
        <v>0</v>
      </c>
      <c r="U162" s="24">
        <f>SUMIFS(Table7[Balance],Table7[Cutter Mat'#],$B162)</f>
        <v>0</v>
      </c>
      <c r="V162" s="24">
        <f t="shared" si="27"/>
        <v>0</v>
      </c>
      <c r="W162" s="119"/>
      <c r="X162" s="2"/>
      <c r="Z162" s="4">
        <f>IFERROR(INDEX(Table5[],MATCH($B162,Table5[Component],0),2),0)</f>
        <v>0</v>
      </c>
      <c r="AA162" s="4">
        <f>IFERROR(INDEX(Table5[],MATCH($B162,Table5[Component],0),1),0)</f>
        <v>0</v>
      </c>
      <c r="AB162" s="4" t="str">
        <f t="shared" si="28"/>
        <v/>
      </c>
      <c r="AC162" s="4" t="str">
        <f t="shared" si="29"/>
        <v/>
      </c>
      <c r="AE162" s="4">
        <f t="shared" si="30"/>
        <v>17</v>
      </c>
      <c r="AJ162" s="248" t="str">
        <f t="shared" si="31"/>
        <v/>
      </c>
      <c r="AK162" s="248" t="str">
        <f t="shared" si="32"/>
        <v/>
      </c>
      <c r="AL162">
        <f t="shared" si="33"/>
        <v>0</v>
      </c>
      <c r="AQ162">
        <f t="shared" si="35"/>
        <v>0</v>
      </c>
      <c r="AS162">
        <v>1130194</v>
      </c>
      <c r="AT162">
        <f t="shared" si="34"/>
        <v>0</v>
      </c>
    </row>
    <row r="163" spans="1:46" ht="15.65" customHeight="1" x14ac:dyDescent="0.35">
      <c r="A163" s="2">
        <v>162</v>
      </c>
      <c r="B163" s="3">
        <v>1130206</v>
      </c>
      <c r="C163" s="3" t="s">
        <v>42</v>
      </c>
      <c r="D163" s="3" t="s">
        <v>148</v>
      </c>
      <c r="E163" s="3" t="s">
        <v>114</v>
      </c>
      <c r="F163" s="3" t="s">
        <v>253</v>
      </c>
      <c r="G163" s="13"/>
      <c r="H163" s="6" t="s">
        <v>49</v>
      </c>
      <c r="I163" s="10">
        <f>SUMIFS('Cutters Consumption Updates'!$F:$F,'Cutters Consumption Updates'!$D:$D,I$1,'Cutters Consumption Updates'!$B:$B,$B163)-SUMIFS('Cutters Consumption Updates'!$E:$E,'Cutters Consumption Updates'!$D:$D,I$1,'Cutters Consumption Updates'!$B:$B,$B163)+ SUMIF('Cutters Consumption Updates'!$AS:$AS,$B163,'Cutters Consumption Updates'!AT:AT)</f>
        <v>0</v>
      </c>
      <c r="J163" s="10">
        <f>SUMIFS('Cutters Consumption Updates'!$F:$F,'Cutters Consumption Updates'!$D:$D,J$1,'Cutters Consumption Updates'!$B:$B,$B163)-SUMIFS('Cutters Consumption Updates'!$E:$E,'Cutters Consumption Updates'!$D:$D,J$1,'Cutters Consumption Updates'!$B:$B,$B163)+ SUMIF('Cutters Consumption Updates'!$AS:$AS,$B163,'Cutters Consumption Updates'!AU:AU)</f>
        <v>0</v>
      </c>
      <c r="K163" s="116">
        <f>SUMIFS('Cutters Consumption Updates'!$F:$F,'Cutters Consumption Updates'!$D:$D,K$1,'Cutters Consumption Updates'!$B:$B,$B163)-SUMIFS('Cutters Consumption Updates'!$E:$E,'Cutters Consumption Updates'!$D:$D,K$1,'Cutters Consumption Updates'!$B:$B,$B163)+ SUMIF('Cutters Consumption Updates'!$AS:$AS,$B163,'Cutters Consumption Updates'!AV:AV)</f>
        <v>0</v>
      </c>
      <c r="L163" s="738">
        <f>SUMIFS('Cutters Consumption Updates'!$F:$F,'Cutters Consumption Updates'!$D:$D,L$1,'Cutters Consumption Updates'!$B:$B,$B163)-SUMIFS('Cutters Consumption Updates'!$E:$E,'Cutters Consumption Updates'!$D:$D,L$1,'Cutters Consumption Updates'!$B:$B,$B163)+ SUMIF('Cutters Consumption Updates'!$AS:$AS,$B163,'Cutters Consumption Updates'!AW:AW)</f>
        <v>0</v>
      </c>
      <c r="M163" s="116">
        <f>SUMIFS('Cutters Consumption Updates'!$F:$F,'Cutters Consumption Updates'!$D:$D,M$1,'Cutters Consumption Updates'!$B:$B,$B163)-SUMIFS('Cutters Consumption Updates'!$E:$E,'Cutters Consumption Updates'!$D:$D,$M$1,'Cutters Consumption Updates'!$B:$B,$B163)+SUMIFS('Cutters Consumption Updates'!$F:$F,'Cutters Consumption Updates'!$D:$D,"Retrofit",'Cutters Consumption Updates'!$B:$B,$B163)-SUMIFS('Cutters Consumption Updates'!$E:$E,'Cutters Consumption Updates'!$D:$D,"Retrofit",'Cutters Consumption Updates'!$B:$B,$B163)+ SUMIF('Cutters Consumption Updates'!$AS:$AS,$B163,'Cutters Consumption Updates'!AX:AX)</f>
        <v>13</v>
      </c>
      <c r="N163" s="10">
        <f t="shared" si="24"/>
        <v>13</v>
      </c>
      <c r="O163" s="701">
        <f ca="1">SUMIFS('Cutters Consumption Updates'!E:E,
        'Cutters Consumption Updates'!B:B, B163,
        'Cutters Consumption Updates'!A:A, "&gt;" &amp; TODAY()-182)</f>
        <v>0</v>
      </c>
      <c r="P163" s="701">
        <f ca="1">SUMIFS('Cutters Consumption Updates'!E:E,
        'Cutters Consumption Updates'!B:B, B163,
        'Cutters Consumption Updates'!A:A, "&gt;" &amp; TODAY()-91)</f>
        <v>0</v>
      </c>
      <c r="Q163" s="701">
        <f t="shared" ca="1" si="25"/>
        <v>0</v>
      </c>
      <c r="R163" s="703">
        <f t="shared" ca="1" si="26"/>
        <v>0</v>
      </c>
      <c r="S163" s="703" t="s">
        <v>29</v>
      </c>
      <c r="T163" s="24">
        <f>IFERROR(INDEX(Table5[],MATCH($B163,Table5[Component],0),2),0)</f>
        <v>0</v>
      </c>
      <c r="U163" s="24">
        <f>SUMIFS(Table7[Balance],Table7[Cutter Mat'#],$B163)</f>
        <v>0</v>
      </c>
      <c r="V163" s="24">
        <f t="shared" si="27"/>
        <v>13</v>
      </c>
      <c r="W163" s="119"/>
      <c r="X163" s="2"/>
      <c r="Z163" s="4">
        <f>IFERROR(INDEX(Table5[],MATCH($B163,Table5[Component],0),2),0)</f>
        <v>0</v>
      </c>
      <c r="AA163" s="4">
        <f>IFERROR(INDEX(Table5[],MATCH($B163,Table5[Component],0),1),0)</f>
        <v>0</v>
      </c>
      <c r="AB163" s="4" t="str">
        <f t="shared" si="28"/>
        <v/>
      </c>
      <c r="AC163" s="4" t="str">
        <f t="shared" si="29"/>
        <v/>
      </c>
      <c r="AE163" s="4">
        <f t="shared" si="30"/>
        <v>13</v>
      </c>
      <c r="AJ163" s="248" t="str">
        <f t="shared" si="31"/>
        <v/>
      </c>
      <c r="AK163" s="248" t="str">
        <f t="shared" si="32"/>
        <v/>
      </c>
      <c r="AL163">
        <f t="shared" si="33"/>
        <v>0</v>
      </c>
      <c r="AQ163">
        <f t="shared" si="35"/>
        <v>0</v>
      </c>
      <c r="AS163">
        <v>1130196</v>
      </c>
      <c r="AT163">
        <f t="shared" si="34"/>
        <v>0</v>
      </c>
    </row>
    <row r="164" spans="1:46" ht="15.65" customHeight="1" x14ac:dyDescent="0.35">
      <c r="A164" s="2">
        <v>163</v>
      </c>
      <c r="B164" s="3">
        <v>1104086</v>
      </c>
      <c r="C164" s="3" t="s">
        <v>122</v>
      </c>
      <c r="D164" s="3">
        <v>1613</v>
      </c>
      <c r="E164" s="3" t="s">
        <v>123</v>
      </c>
      <c r="F164" s="3" t="s">
        <v>253</v>
      </c>
      <c r="G164" s="13"/>
      <c r="H164" s="6" t="s">
        <v>49</v>
      </c>
      <c r="I164" s="10">
        <f>SUMIFS('Cutters Consumption Updates'!$F:$F,'Cutters Consumption Updates'!$D:$D,I$1,'Cutters Consumption Updates'!$B:$B,$B164)-SUMIFS('Cutters Consumption Updates'!$E:$E,'Cutters Consumption Updates'!$D:$D,I$1,'Cutters Consumption Updates'!$B:$B,$B164)+ SUMIF('Cutters Consumption Updates'!$AS:$AS,$B164,'Cutters Consumption Updates'!AT:AT)</f>
        <v>0</v>
      </c>
      <c r="J164" s="10">
        <f>SUMIFS('Cutters Consumption Updates'!$F:$F,'Cutters Consumption Updates'!$D:$D,J$1,'Cutters Consumption Updates'!$B:$B,$B164)-SUMIFS('Cutters Consumption Updates'!$E:$E,'Cutters Consumption Updates'!$D:$D,J$1,'Cutters Consumption Updates'!$B:$B,$B164)+ SUMIF('Cutters Consumption Updates'!$AS:$AS,$B164,'Cutters Consumption Updates'!AU:AU)</f>
        <v>0</v>
      </c>
      <c r="K164" s="116">
        <f>SUMIFS('Cutters Consumption Updates'!$F:$F,'Cutters Consumption Updates'!$D:$D,K$1,'Cutters Consumption Updates'!$B:$B,$B164)-SUMIFS('Cutters Consumption Updates'!$E:$E,'Cutters Consumption Updates'!$D:$D,K$1,'Cutters Consumption Updates'!$B:$B,$B164)+ SUMIF('Cutters Consumption Updates'!$AS:$AS,$B164,'Cutters Consumption Updates'!AV:AV)</f>
        <v>0</v>
      </c>
      <c r="L164" s="738">
        <f>SUMIFS('Cutters Consumption Updates'!$F:$F,'Cutters Consumption Updates'!$D:$D,L$1,'Cutters Consumption Updates'!$B:$B,$B164)-SUMIFS('Cutters Consumption Updates'!$E:$E,'Cutters Consumption Updates'!$D:$D,L$1,'Cutters Consumption Updates'!$B:$B,$B164)+ SUMIF('Cutters Consumption Updates'!$AS:$AS,$B164,'Cutters Consumption Updates'!AW:AW)</f>
        <v>0</v>
      </c>
      <c r="M164" s="116">
        <f>SUMIFS('Cutters Consumption Updates'!$F:$F,'Cutters Consumption Updates'!$D:$D,M$1,'Cutters Consumption Updates'!$B:$B,$B164)-SUMIFS('Cutters Consumption Updates'!$E:$E,'Cutters Consumption Updates'!$D:$D,$M$1,'Cutters Consumption Updates'!$B:$B,$B164)+SUMIFS('Cutters Consumption Updates'!$F:$F,'Cutters Consumption Updates'!$D:$D,"Retrofit",'Cutters Consumption Updates'!$B:$B,$B164)-SUMIFS('Cutters Consumption Updates'!$E:$E,'Cutters Consumption Updates'!$D:$D,"Retrofit",'Cutters Consumption Updates'!$B:$B,$B164)+ SUMIF('Cutters Consumption Updates'!$AS:$AS,$B164,'Cutters Consumption Updates'!AX:AX)</f>
        <v>0</v>
      </c>
      <c r="N164" s="10">
        <f t="shared" si="24"/>
        <v>0</v>
      </c>
      <c r="O164" s="701">
        <f ca="1">SUMIFS('Cutters Consumption Updates'!E:E,
        'Cutters Consumption Updates'!B:B, B164,
        'Cutters Consumption Updates'!A:A, "&gt;" &amp; TODAY()-182)</f>
        <v>1</v>
      </c>
      <c r="P164" s="701">
        <f ca="1">SUMIFS('Cutters Consumption Updates'!E:E,
        'Cutters Consumption Updates'!B:B, B164,
        'Cutters Consumption Updates'!A:A, "&gt;" &amp; TODAY()-91)</f>
        <v>0</v>
      </c>
      <c r="Q164" s="701">
        <f t="shared" ca="1" si="25"/>
        <v>1</v>
      </c>
      <c r="R164" s="703">
        <f t="shared" ca="1" si="26"/>
        <v>0</v>
      </c>
      <c r="S164" s="703" t="s">
        <v>29</v>
      </c>
      <c r="T164" s="24">
        <f>IFERROR(INDEX(Table5[],MATCH($B164,Table5[Component],0),2),0)</f>
        <v>2</v>
      </c>
      <c r="U164" s="24">
        <f>SUMIFS(Table7[Balance],Table7[Cutter Mat'#],$B164)</f>
        <v>0</v>
      </c>
      <c r="V164" s="24">
        <f t="shared" si="27"/>
        <v>-2</v>
      </c>
      <c r="W164" s="119"/>
      <c r="X164" s="2"/>
      <c r="Z164" s="4">
        <f>IFERROR(INDEX(Table5[],MATCH($B164,Table5[Component],0),2),0)</f>
        <v>2</v>
      </c>
      <c r="AA164" s="4">
        <f>IFERROR(INDEX(Table5[],MATCH($B164,Table5[Component],0),1),0)</f>
        <v>1104086</v>
      </c>
      <c r="AB164" s="4">
        <f t="shared" si="28"/>
        <v>1104086</v>
      </c>
      <c r="AC164" s="4" t="str">
        <f t="shared" si="29"/>
        <v/>
      </c>
      <c r="AE164" s="4">
        <f t="shared" si="30"/>
        <v>0</v>
      </c>
      <c r="AJ164" s="248" t="str">
        <f t="shared" si="31"/>
        <v/>
      </c>
      <c r="AK164" s="248" t="str">
        <f t="shared" si="32"/>
        <v/>
      </c>
      <c r="AL164">
        <f t="shared" si="33"/>
        <v>0</v>
      </c>
      <c r="AQ164">
        <f t="shared" si="35"/>
        <v>0</v>
      </c>
      <c r="AS164">
        <v>1130197</v>
      </c>
      <c r="AT164">
        <f t="shared" si="34"/>
        <v>0</v>
      </c>
    </row>
    <row r="165" spans="1:46" ht="15.65" customHeight="1" x14ac:dyDescent="0.35">
      <c r="A165" s="2">
        <v>164</v>
      </c>
      <c r="B165" s="3">
        <v>1022971</v>
      </c>
      <c r="C165" s="3" t="s">
        <v>94</v>
      </c>
      <c r="D165" s="3">
        <v>1613</v>
      </c>
      <c r="E165" s="3" t="s">
        <v>95</v>
      </c>
      <c r="F165" s="292" t="s">
        <v>248</v>
      </c>
      <c r="G165" s="13"/>
      <c r="H165" s="6" t="s">
        <v>49</v>
      </c>
      <c r="I165" s="10">
        <f>SUMIFS('Cutters Consumption Updates'!$F:$F,'Cutters Consumption Updates'!$D:$D,I$1,'Cutters Consumption Updates'!$B:$B,$B165)-SUMIFS('Cutters Consumption Updates'!$E:$E,'Cutters Consumption Updates'!$D:$D,I$1,'Cutters Consumption Updates'!$B:$B,$B165)+ SUMIF('Cutters Consumption Updates'!$AS:$AS,$B165,'Cutters Consumption Updates'!AT:AT)</f>
        <v>0</v>
      </c>
      <c r="J165" s="10">
        <f>SUMIFS('Cutters Consumption Updates'!$F:$F,'Cutters Consumption Updates'!$D:$D,J$1,'Cutters Consumption Updates'!$B:$B,$B165)-SUMIFS('Cutters Consumption Updates'!$E:$E,'Cutters Consumption Updates'!$D:$D,J$1,'Cutters Consumption Updates'!$B:$B,$B165)+ SUMIF('Cutters Consumption Updates'!$AS:$AS,$B165,'Cutters Consumption Updates'!AU:AU)</f>
        <v>0</v>
      </c>
      <c r="K165" s="116">
        <f>SUMIFS('Cutters Consumption Updates'!$F:$F,'Cutters Consumption Updates'!$D:$D,K$1,'Cutters Consumption Updates'!$B:$B,$B165)-SUMIFS('Cutters Consumption Updates'!$E:$E,'Cutters Consumption Updates'!$D:$D,K$1,'Cutters Consumption Updates'!$B:$B,$B165)+ SUMIF('Cutters Consumption Updates'!$AS:$AS,$B165,'Cutters Consumption Updates'!AV:AV)</f>
        <v>0</v>
      </c>
      <c r="L165" s="738">
        <f>SUMIFS('Cutters Consumption Updates'!$F:$F,'Cutters Consumption Updates'!$D:$D,L$1,'Cutters Consumption Updates'!$B:$B,$B165)-SUMIFS('Cutters Consumption Updates'!$E:$E,'Cutters Consumption Updates'!$D:$D,L$1,'Cutters Consumption Updates'!$B:$B,$B165)+ SUMIF('Cutters Consumption Updates'!$AS:$AS,$B165,'Cutters Consumption Updates'!AW:AW)</f>
        <v>29</v>
      </c>
      <c r="M165" s="116">
        <f>SUMIFS('Cutters Consumption Updates'!$F:$F,'Cutters Consumption Updates'!$D:$D,M$1,'Cutters Consumption Updates'!$B:$B,$B165)-SUMIFS('Cutters Consumption Updates'!$E:$E,'Cutters Consumption Updates'!$D:$D,$M$1,'Cutters Consumption Updates'!$B:$B,$B165)+SUMIFS('Cutters Consumption Updates'!$F:$F,'Cutters Consumption Updates'!$D:$D,"Retrofit",'Cutters Consumption Updates'!$B:$B,$B165)-SUMIFS('Cutters Consumption Updates'!$E:$E,'Cutters Consumption Updates'!$D:$D,"Retrofit",'Cutters Consumption Updates'!$B:$B,$B165)+ SUMIF('Cutters Consumption Updates'!$AS:$AS,$B165,'Cutters Consumption Updates'!AX:AX)</f>
        <v>29</v>
      </c>
      <c r="N165" s="10">
        <f t="shared" si="24"/>
        <v>29</v>
      </c>
      <c r="O165" s="701">
        <f ca="1">SUMIFS('Cutters Consumption Updates'!E:E,
        'Cutters Consumption Updates'!B:B, B165,
        'Cutters Consumption Updates'!A:A, "&gt;" &amp; TODAY()-182)</f>
        <v>0</v>
      </c>
      <c r="P165" s="701">
        <f ca="1">SUMIFS('Cutters Consumption Updates'!E:E,
        'Cutters Consumption Updates'!B:B, B165,
        'Cutters Consumption Updates'!A:A, "&gt;" &amp; TODAY()-91)</f>
        <v>0</v>
      </c>
      <c r="Q165" s="701">
        <f t="shared" ca="1" si="25"/>
        <v>0</v>
      </c>
      <c r="R165" s="703">
        <f t="shared" ca="1" si="26"/>
        <v>0</v>
      </c>
      <c r="S165" s="703" t="s">
        <v>29</v>
      </c>
      <c r="T165" s="24">
        <f>IFERROR(INDEX(Table5[],MATCH($B165,Table5[Component],0),2),0)</f>
        <v>0</v>
      </c>
      <c r="U165" s="24">
        <f>SUMIFS(Table7[Balance],Table7[Cutter Mat'#],$B165)</f>
        <v>0</v>
      </c>
      <c r="V165" s="24">
        <f t="shared" si="27"/>
        <v>29</v>
      </c>
      <c r="W165" s="119"/>
      <c r="X165" s="2"/>
      <c r="Z165" s="4">
        <f>IFERROR(INDEX(Table5[],MATCH($B165,Table5[Component],0),2),0)</f>
        <v>0</v>
      </c>
      <c r="AA165" s="4">
        <f>IFERROR(INDEX(Table5[],MATCH($B165,Table5[Component],0),1),0)</f>
        <v>1022971</v>
      </c>
      <c r="AB165" s="4" t="str">
        <f t="shared" si="28"/>
        <v/>
      </c>
      <c r="AC165" s="4" t="str">
        <f t="shared" si="29"/>
        <v/>
      </c>
      <c r="AE165" s="4">
        <f t="shared" si="30"/>
        <v>29</v>
      </c>
      <c r="AJ165" s="248" t="str">
        <f t="shared" si="31"/>
        <v/>
      </c>
      <c r="AK165" s="248" t="str">
        <f t="shared" si="32"/>
        <v/>
      </c>
      <c r="AL165">
        <f t="shared" si="33"/>
        <v>0</v>
      </c>
      <c r="AQ165">
        <f t="shared" si="35"/>
        <v>0</v>
      </c>
      <c r="AS165">
        <v>1130198</v>
      </c>
      <c r="AT165">
        <f t="shared" si="34"/>
        <v>0</v>
      </c>
    </row>
    <row r="166" spans="1:46" ht="15.65" customHeight="1" x14ac:dyDescent="0.35">
      <c r="A166" s="2">
        <v>165</v>
      </c>
      <c r="B166" s="3">
        <v>1134751</v>
      </c>
      <c r="C166" s="3" t="s">
        <v>26</v>
      </c>
      <c r="D166" s="3">
        <v>1308</v>
      </c>
      <c r="E166" s="3" t="s">
        <v>114</v>
      </c>
      <c r="F166" s="292" t="s">
        <v>248</v>
      </c>
      <c r="G166" s="13"/>
      <c r="H166" s="6" t="s">
        <v>49</v>
      </c>
      <c r="I166" s="10">
        <f>SUMIFS('Cutters Consumption Updates'!$F:$F,'Cutters Consumption Updates'!$D:$D,I$1,'Cutters Consumption Updates'!$B:$B,$B166)-SUMIFS('Cutters Consumption Updates'!$E:$E,'Cutters Consumption Updates'!$D:$D,I$1,'Cutters Consumption Updates'!$B:$B,$B166)+ SUMIF('Cutters Consumption Updates'!$AS:$AS,$B166,'Cutters Consumption Updates'!AT:AT)</f>
        <v>0</v>
      </c>
      <c r="J166" s="10">
        <f>SUMIFS('Cutters Consumption Updates'!$F:$F,'Cutters Consumption Updates'!$D:$D,J$1,'Cutters Consumption Updates'!$B:$B,$B166)-SUMIFS('Cutters Consumption Updates'!$E:$E,'Cutters Consumption Updates'!$D:$D,J$1,'Cutters Consumption Updates'!$B:$B,$B166)+ SUMIF('Cutters Consumption Updates'!$AS:$AS,$B166,'Cutters Consumption Updates'!AU:AU)</f>
        <v>0</v>
      </c>
      <c r="K166" s="116">
        <f>SUMIFS('Cutters Consumption Updates'!$F:$F,'Cutters Consumption Updates'!$D:$D,K$1,'Cutters Consumption Updates'!$B:$B,$B166)-SUMIFS('Cutters Consumption Updates'!$E:$E,'Cutters Consumption Updates'!$D:$D,K$1,'Cutters Consumption Updates'!$B:$B,$B166)+ SUMIF('Cutters Consumption Updates'!$AS:$AS,$B166,'Cutters Consumption Updates'!AV:AV)</f>
        <v>0</v>
      </c>
      <c r="L166" s="738">
        <f>SUMIFS('Cutters Consumption Updates'!$F:$F,'Cutters Consumption Updates'!$D:$D,L$1,'Cutters Consumption Updates'!$B:$B,$B166)-SUMIFS('Cutters Consumption Updates'!$E:$E,'Cutters Consumption Updates'!$D:$D,L$1,'Cutters Consumption Updates'!$B:$B,$B166)+ SUMIF('Cutters Consumption Updates'!$AS:$AS,$B166,'Cutters Consumption Updates'!AW:AW)</f>
        <v>0</v>
      </c>
      <c r="M166" s="116">
        <f>SUMIFS('Cutters Consumption Updates'!$F:$F,'Cutters Consumption Updates'!$D:$D,M$1,'Cutters Consumption Updates'!$B:$B,$B166)-SUMIFS('Cutters Consumption Updates'!$E:$E,'Cutters Consumption Updates'!$D:$D,$M$1,'Cutters Consumption Updates'!$B:$B,$B166)+SUMIFS('Cutters Consumption Updates'!$F:$F,'Cutters Consumption Updates'!$D:$D,"Retrofit",'Cutters Consumption Updates'!$B:$B,$B166)-SUMIFS('Cutters Consumption Updates'!$E:$E,'Cutters Consumption Updates'!$D:$D,"Retrofit",'Cutters Consumption Updates'!$B:$B,$B166)+ SUMIF('Cutters Consumption Updates'!$AS:$AS,$B166,'Cutters Consumption Updates'!AX:AX)</f>
        <v>0</v>
      </c>
      <c r="N166" s="10">
        <f t="shared" si="24"/>
        <v>0</v>
      </c>
      <c r="O166" s="701">
        <f ca="1">SUMIFS('Cutters Consumption Updates'!E:E,
        'Cutters Consumption Updates'!B:B, B166,
        'Cutters Consumption Updates'!A:A, "&gt;" &amp; TODAY()-182)</f>
        <v>0</v>
      </c>
      <c r="P166" s="701">
        <f ca="1">SUMIFS('Cutters Consumption Updates'!E:E,
        'Cutters Consumption Updates'!B:B, B166,
        'Cutters Consumption Updates'!A:A, "&gt;" &amp; TODAY()-91)</f>
        <v>0</v>
      </c>
      <c r="Q166" s="701">
        <f t="shared" ca="1" si="25"/>
        <v>0</v>
      </c>
      <c r="R166" s="703">
        <f t="shared" ca="1" si="26"/>
        <v>0</v>
      </c>
      <c r="S166" s="703" t="s">
        <v>118</v>
      </c>
      <c r="T166" s="24">
        <f>IFERROR(INDEX(Table5[],MATCH($B166,Table5[Component],0),2),0)</f>
        <v>0</v>
      </c>
      <c r="U166" s="24">
        <f>SUMIFS(Table7[Balance],Table7[Cutter Mat'#],$B166)</f>
        <v>0</v>
      </c>
      <c r="V166" s="24">
        <f t="shared" si="27"/>
        <v>0</v>
      </c>
      <c r="W166" s="119"/>
      <c r="X166" s="2"/>
      <c r="Z166" s="4">
        <f>IFERROR(INDEX(Table5[],MATCH($B166,Table5[Component],0),2),0)</f>
        <v>0</v>
      </c>
      <c r="AA166" s="4">
        <f>IFERROR(INDEX(Table5[],MATCH($B166,Table5[Component],0),1),0)</f>
        <v>0</v>
      </c>
      <c r="AB166" s="4" t="str">
        <f t="shared" si="28"/>
        <v/>
      </c>
      <c r="AC166" s="4" t="str">
        <f t="shared" si="29"/>
        <v/>
      </c>
      <c r="AE166" s="4">
        <f t="shared" si="30"/>
        <v>0</v>
      </c>
      <c r="AJ166" s="248" t="str">
        <f t="shared" si="31"/>
        <v/>
      </c>
      <c r="AK166" s="248" t="str">
        <f t="shared" si="32"/>
        <v/>
      </c>
      <c r="AL166">
        <f t="shared" si="33"/>
        <v>0</v>
      </c>
      <c r="AQ166">
        <f t="shared" si="35"/>
        <v>0</v>
      </c>
      <c r="AS166">
        <v>1130200</v>
      </c>
      <c r="AT166">
        <f t="shared" si="34"/>
        <v>0</v>
      </c>
    </row>
    <row r="167" spans="1:46" ht="15.65" customHeight="1" x14ac:dyDescent="0.35">
      <c r="A167" s="2">
        <v>166</v>
      </c>
      <c r="B167" s="3">
        <v>1078348</v>
      </c>
      <c r="C167" s="3" t="s">
        <v>142</v>
      </c>
      <c r="D167" s="3" t="s">
        <v>38</v>
      </c>
      <c r="E167" s="3" t="s">
        <v>149</v>
      </c>
      <c r="F167" s="292" t="s">
        <v>144</v>
      </c>
      <c r="G167" s="13"/>
      <c r="H167" s="6" t="s">
        <v>36</v>
      </c>
      <c r="I167" s="10">
        <f>SUMIFS('Cutters Consumption Updates'!$F:$F,'Cutters Consumption Updates'!$D:$D,I$1,'Cutters Consumption Updates'!$B:$B,$B167)-SUMIFS('Cutters Consumption Updates'!$E:$E,'Cutters Consumption Updates'!$D:$D,I$1,'Cutters Consumption Updates'!$B:$B,$B167)+ SUMIF('Cutters Consumption Updates'!$AS:$AS,$B167,'Cutters Consumption Updates'!AT:AT)</f>
        <v>0</v>
      </c>
      <c r="J167" s="10">
        <f>SUMIFS('Cutters Consumption Updates'!$F:$F,'Cutters Consumption Updates'!$D:$D,J$1,'Cutters Consumption Updates'!$B:$B,$B167)-SUMIFS('Cutters Consumption Updates'!$E:$E,'Cutters Consumption Updates'!$D:$D,J$1,'Cutters Consumption Updates'!$B:$B,$B167)+ SUMIF('Cutters Consumption Updates'!$AS:$AS,$B167,'Cutters Consumption Updates'!AU:AU)</f>
        <v>0</v>
      </c>
      <c r="K167" s="116">
        <f>SUMIFS('Cutters Consumption Updates'!$F:$F,'Cutters Consumption Updates'!$D:$D,K$1,'Cutters Consumption Updates'!$B:$B,$B167)-SUMIFS('Cutters Consumption Updates'!$E:$E,'Cutters Consumption Updates'!$D:$D,K$1,'Cutters Consumption Updates'!$B:$B,$B167)+ SUMIF('Cutters Consumption Updates'!$AS:$AS,$B167,'Cutters Consumption Updates'!AV:AV)</f>
        <v>0</v>
      </c>
      <c r="L167" s="738">
        <f>SUMIFS('Cutters Consumption Updates'!$F:$F,'Cutters Consumption Updates'!$D:$D,L$1,'Cutters Consumption Updates'!$B:$B,$B167)-SUMIFS('Cutters Consumption Updates'!$E:$E,'Cutters Consumption Updates'!$D:$D,L$1,'Cutters Consumption Updates'!$B:$B,$B167)+ SUMIF('Cutters Consumption Updates'!$AS:$AS,$B167,'Cutters Consumption Updates'!AW:AW)</f>
        <v>0</v>
      </c>
      <c r="M167" s="116">
        <f>SUMIFS('Cutters Consumption Updates'!$F:$F,'Cutters Consumption Updates'!$D:$D,M$1,'Cutters Consumption Updates'!$B:$B,$B167)-SUMIFS('Cutters Consumption Updates'!$E:$E,'Cutters Consumption Updates'!$D:$D,$M$1,'Cutters Consumption Updates'!$B:$B,$B167)+SUMIFS('Cutters Consumption Updates'!$F:$F,'Cutters Consumption Updates'!$D:$D,"Retrofit",'Cutters Consumption Updates'!$B:$B,$B167)-SUMIFS('Cutters Consumption Updates'!$E:$E,'Cutters Consumption Updates'!$D:$D,"Retrofit",'Cutters Consumption Updates'!$B:$B,$B167)+ SUMIF('Cutters Consumption Updates'!$AS:$AS,$B167,'Cutters Consumption Updates'!AX:AX)</f>
        <v>54</v>
      </c>
      <c r="N167" s="10">
        <f t="shared" si="24"/>
        <v>54</v>
      </c>
      <c r="O167" s="701">
        <f ca="1">SUMIFS('Cutters Consumption Updates'!E:E,
        'Cutters Consumption Updates'!B:B, B167,
        'Cutters Consumption Updates'!A:A, "&gt;" &amp; TODAY()-182)</f>
        <v>0</v>
      </c>
      <c r="P167" s="701">
        <f ca="1">SUMIFS('Cutters Consumption Updates'!E:E,
        'Cutters Consumption Updates'!B:B, B167,
        'Cutters Consumption Updates'!A:A, "&gt;" &amp; TODAY()-91)</f>
        <v>0</v>
      </c>
      <c r="Q167" s="701">
        <f t="shared" ca="1" si="25"/>
        <v>0</v>
      </c>
      <c r="R167" s="703">
        <f t="shared" ca="1" si="26"/>
        <v>0</v>
      </c>
      <c r="S167" s="703" t="s">
        <v>29</v>
      </c>
      <c r="T167" s="24">
        <f>IFERROR(INDEX(Table5[],MATCH($B167,Table5[Component],0),2),0)</f>
        <v>0</v>
      </c>
      <c r="U167" s="24">
        <f>SUMIFS(Table7[Balance],Table7[Cutter Mat'#],$B167)</f>
        <v>0</v>
      </c>
      <c r="V167" s="24">
        <f t="shared" si="27"/>
        <v>54</v>
      </c>
      <c r="W167" s="119"/>
      <c r="X167" s="2"/>
      <c r="Z167" s="4">
        <f>IFERROR(INDEX(Table5[],MATCH($B167,Table5[Component],0),2),0)</f>
        <v>0</v>
      </c>
      <c r="AA167" s="4">
        <f>IFERROR(INDEX(Table5[],MATCH($B167,Table5[Component],0),1),0)</f>
        <v>0</v>
      </c>
      <c r="AB167" s="4" t="str">
        <f t="shared" si="28"/>
        <v/>
      </c>
      <c r="AC167" s="4" t="str">
        <f t="shared" si="29"/>
        <v/>
      </c>
      <c r="AE167" s="4">
        <f t="shared" si="30"/>
        <v>54</v>
      </c>
      <c r="AJ167" s="248" t="str">
        <f t="shared" si="31"/>
        <v/>
      </c>
      <c r="AK167" s="248" t="str">
        <f t="shared" si="32"/>
        <v/>
      </c>
      <c r="AL167">
        <f t="shared" si="33"/>
        <v>0</v>
      </c>
      <c r="AQ167">
        <f t="shared" si="35"/>
        <v>0</v>
      </c>
      <c r="AS167">
        <v>1130204</v>
      </c>
      <c r="AT167">
        <f t="shared" si="34"/>
        <v>0</v>
      </c>
    </row>
    <row r="168" spans="1:46" ht="15.65" customHeight="1" x14ac:dyDescent="0.35">
      <c r="A168" s="2">
        <v>167</v>
      </c>
      <c r="B168" s="3">
        <v>562195</v>
      </c>
      <c r="C168" s="3" t="s">
        <v>150</v>
      </c>
      <c r="D168" s="3" t="s">
        <v>141</v>
      </c>
      <c r="E168" s="3" t="s">
        <v>151</v>
      </c>
      <c r="F168" s="292" t="s">
        <v>40</v>
      </c>
      <c r="G168" s="3" t="s">
        <v>152</v>
      </c>
      <c r="H168" s="6" t="s">
        <v>36</v>
      </c>
      <c r="I168" s="10">
        <f>SUMIFS('Cutters Consumption Updates'!$F:$F,'Cutters Consumption Updates'!$D:$D,I$1,'Cutters Consumption Updates'!$B:$B,$B168)-SUMIFS('Cutters Consumption Updates'!$E:$E,'Cutters Consumption Updates'!$D:$D,I$1,'Cutters Consumption Updates'!$B:$B,$B168)+ SUMIF('Cutters Consumption Updates'!$AS:$AS,$B168,'Cutters Consumption Updates'!AT:AT)</f>
        <v>0</v>
      </c>
      <c r="J168" s="10">
        <f>SUMIFS('Cutters Consumption Updates'!$F:$F,'Cutters Consumption Updates'!$D:$D,J$1,'Cutters Consumption Updates'!$B:$B,$B168)-SUMIFS('Cutters Consumption Updates'!$E:$E,'Cutters Consumption Updates'!$D:$D,J$1,'Cutters Consumption Updates'!$B:$B,$B168)+ SUMIF('Cutters Consumption Updates'!$AS:$AS,$B168,'Cutters Consumption Updates'!AU:AU)</f>
        <v>0</v>
      </c>
      <c r="K168" s="116">
        <f>SUMIFS('Cutters Consumption Updates'!$F:$F,'Cutters Consumption Updates'!$D:$D,K$1,'Cutters Consumption Updates'!$B:$B,$B168)-SUMIFS('Cutters Consumption Updates'!$E:$E,'Cutters Consumption Updates'!$D:$D,K$1,'Cutters Consumption Updates'!$B:$B,$B168)+ SUMIF('Cutters Consumption Updates'!$AS:$AS,$B168,'Cutters Consumption Updates'!AV:AV)</f>
        <v>0</v>
      </c>
      <c r="L168" s="738">
        <f>SUMIFS('Cutters Consumption Updates'!$F:$F,'Cutters Consumption Updates'!$D:$D,L$1,'Cutters Consumption Updates'!$B:$B,$B168)-SUMIFS('Cutters Consumption Updates'!$E:$E,'Cutters Consumption Updates'!$D:$D,L$1,'Cutters Consumption Updates'!$B:$B,$B168)+ SUMIF('Cutters Consumption Updates'!$AS:$AS,$B168,'Cutters Consumption Updates'!AW:AW)</f>
        <v>0</v>
      </c>
      <c r="M168" s="116">
        <f>SUMIFS('Cutters Consumption Updates'!$F:$F,'Cutters Consumption Updates'!$D:$D,M$1,'Cutters Consumption Updates'!$B:$B,$B168)-SUMIFS('Cutters Consumption Updates'!$E:$E,'Cutters Consumption Updates'!$D:$D,$M$1,'Cutters Consumption Updates'!$B:$B,$B168)+SUMIFS('Cutters Consumption Updates'!$F:$F,'Cutters Consumption Updates'!$D:$D,"Retrofit",'Cutters Consumption Updates'!$B:$B,$B168)-SUMIFS('Cutters Consumption Updates'!$E:$E,'Cutters Consumption Updates'!$D:$D,"Retrofit",'Cutters Consumption Updates'!$B:$B,$B168)+ SUMIF('Cutters Consumption Updates'!$AS:$AS,$B168,'Cutters Consumption Updates'!AX:AX)</f>
        <v>0</v>
      </c>
      <c r="N168" s="10">
        <f t="shared" si="24"/>
        <v>0</v>
      </c>
      <c r="O168" s="701">
        <f ca="1">SUMIFS('Cutters Consumption Updates'!E:E,
        'Cutters Consumption Updates'!B:B, B168,
        'Cutters Consumption Updates'!A:A, "&gt;" &amp; TODAY()-182)</f>
        <v>0</v>
      </c>
      <c r="P168" s="701">
        <f ca="1">SUMIFS('Cutters Consumption Updates'!E:E,
        'Cutters Consumption Updates'!B:B, B168,
        'Cutters Consumption Updates'!A:A, "&gt;" &amp; TODAY()-91)</f>
        <v>0</v>
      </c>
      <c r="Q168" s="701">
        <f t="shared" ca="1" si="25"/>
        <v>0</v>
      </c>
      <c r="R168" s="703">
        <f t="shared" ca="1" si="26"/>
        <v>0</v>
      </c>
      <c r="S168" s="703" t="s">
        <v>29</v>
      </c>
      <c r="T168" s="24">
        <f>IFERROR(INDEX(Table5[],MATCH($B168,Table5[Component],0),2),0)</f>
        <v>0</v>
      </c>
      <c r="U168" s="24">
        <f>SUMIFS(Table7[Balance],Table7[Cutter Mat'#],$B168)</f>
        <v>0</v>
      </c>
      <c r="V168" s="24">
        <f t="shared" si="27"/>
        <v>0</v>
      </c>
      <c r="W168" s="119"/>
      <c r="X168" s="2">
        <v>1078377</v>
      </c>
      <c r="Z168" s="4">
        <f>IFERROR(INDEX(Table5[],MATCH($B168,Table5[Component],0),2),0)</f>
        <v>0</v>
      </c>
      <c r="AA168" s="4">
        <f>IFERROR(INDEX(Table5[],MATCH($B168,Table5[Component],0),1),0)</f>
        <v>562195</v>
      </c>
      <c r="AB168" s="4" t="str">
        <f t="shared" si="28"/>
        <v/>
      </c>
      <c r="AC168" s="4" t="str">
        <f t="shared" si="29"/>
        <v/>
      </c>
      <c r="AE168" s="4">
        <f t="shared" si="30"/>
        <v>0</v>
      </c>
      <c r="AJ168" s="248">
        <f t="shared" si="31"/>
        <v>36</v>
      </c>
      <c r="AK168" s="248">
        <f t="shared" ca="1" si="32"/>
        <v>245</v>
      </c>
      <c r="AL168">
        <f t="shared" si="33"/>
        <v>0</v>
      </c>
      <c r="AQ168">
        <f t="shared" si="35"/>
        <v>0</v>
      </c>
      <c r="AS168">
        <v>1130206</v>
      </c>
      <c r="AT168">
        <f t="shared" si="34"/>
        <v>0</v>
      </c>
    </row>
    <row r="169" spans="1:46" ht="15.65" customHeight="1" x14ac:dyDescent="0.35">
      <c r="A169" s="2">
        <v>168</v>
      </c>
      <c r="B169" s="3">
        <v>1078377</v>
      </c>
      <c r="C169" s="459" t="s">
        <v>37</v>
      </c>
      <c r="D169" s="3" t="s">
        <v>38</v>
      </c>
      <c r="E169" s="3" t="s">
        <v>149</v>
      </c>
      <c r="F169" s="292" t="s">
        <v>151</v>
      </c>
      <c r="G169" s="13"/>
      <c r="H169" s="6" t="s">
        <v>36</v>
      </c>
      <c r="I169" s="10">
        <f>SUMIFS('Cutters Consumption Updates'!$F:$F,'Cutters Consumption Updates'!$D:$D,I$1,'Cutters Consumption Updates'!$B:$B,$B169)-SUMIFS('Cutters Consumption Updates'!$E:$E,'Cutters Consumption Updates'!$D:$D,I$1,'Cutters Consumption Updates'!$B:$B,$B169)+ SUMIF('Cutters Consumption Updates'!$AS:$AS,$B169,'Cutters Consumption Updates'!AT:AT)</f>
        <v>0</v>
      </c>
      <c r="J169" s="10">
        <f>SUMIFS('Cutters Consumption Updates'!$F:$F,'Cutters Consumption Updates'!$D:$D,J$1,'Cutters Consumption Updates'!$B:$B,$B169)-SUMIFS('Cutters Consumption Updates'!$E:$E,'Cutters Consumption Updates'!$D:$D,J$1,'Cutters Consumption Updates'!$B:$B,$B169)+ SUMIF('Cutters Consumption Updates'!$AS:$AS,$B169,'Cutters Consumption Updates'!AU:AU)</f>
        <v>0</v>
      </c>
      <c r="K169" s="116">
        <f>SUMIFS('Cutters Consumption Updates'!$F:$F,'Cutters Consumption Updates'!$D:$D,K$1,'Cutters Consumption Updates'!$B:$B,$B169)-SUMIFS('Cutters Consumption Updates'!$E:$E,'Cutters Consumption Updates'!$D:$D,K$1,'Cutters Consumption Updates'!$B:$B,$B169)+ SUMIF('Cutters Consumption Updates'!$AS:$AS,$B169,'Cutters Consumption Updates'!AV:AV)</f>
        <v>80</v>
      </c>
      <c r="L169" s="738">
        <f>SUMIFS('Cutters Consumption Updates'!$F:$F,'Cutters Consumption Updates'!$D:$D,L$1,'Cutters Consumption Updates'!$B:$B,$B169)-SUMIFS('Cutters Consumption Updates'!$E:$E,'Cutters Consumption Updates'!$D:$D,L$1,'Cutters Consumption Updates'!$B:$B,$B169)+ SUMIF('Cutters Consumption Updates'!$AS:$AS,$B169,'Cutters Consumption Updates'!AW:AW)</f>
        <v>0</v>
      </c>
      <c r="M169" s="116">
        <f>SUMIFS('Cutters Consumption Updates'!$F:$F,'Cutters Consumption Updates'!$D:$D,M$1,'Cutters Consumption Updates'!$B:$B,$B169)-SUMIFS('Cutters Consumption Updates'!$E:$E,'Cutters Consumption Updates'!$D:$D,$M$1,'Cutters Consumption Updates'!$B:$B,$B169)+SUMIFS('Cutters Consumption Updates'!$F:$F,'Cutters Consumption Updates'!$D:$D,"Retrofit",'Cutters Consumption Updates'!$B:$B,$B169)-SUMIFS('Cutters Consumption Updates'!$E:$E,'Cutters Consumption Updates'!$D:$D,"Retrofit",'Cutters Consumption Updates'!$B:$B,$B169)+ SUMIF('Cutters Consumption Updates'!$AS:$AS,$B169,'Cutters Consumption Updates'!AX:AX)</f>
        <v>36</v>
      </c>
      <c r="N169" s="10">
        <f t="shared" si="24"/>
        <v>36</v>
      </c>
      <c r="O169" s="701">
        <f ca="1">SUMIFS('Cutters Consumption Updates'!E:E,
        'Cutters Consumption Updates'!B:B, B169,
        'Cutters Consumption Updates'!A:A, "&gt;" &amp; TODAY()-182)</f>
        <v>439</v>
      </c>
      <c r="P169" s="701">
        <f ca="1">SUMIFS('Cutters Consumption Updates'!E:E,
        'Cutters Consumption Updates'!B:B, B169,
        'Cutters Consumption Updates'!A:A, "&gt;" &amp; TODAY()-91)</f>
        <v>245</v>
      </c>
      <c r="Q169" s="701">
        <f t="shared" ca="1" si="25"/>
        <v>147</v>
      </c>
      <c r="R169" s="703">
        <f t="shared" ca="1" si="26"/>
        <v>155</v>
      </c>
      <c r="S169" s="703" t="s">
        <v>29</v>
      </c>
      <c r="T169" s="24">
        <f>IFERROR(INDEX(Table5[],MATCH($B169,Table5[Component],0),2),0)</f>
        <v>210</v>
      </c>
      <c r="U169" s="24">
        <f>SUMIFS(Table7[Balance],Table7[Cutter Mat'#],$B169)</f>
        <v>100</v>
      </c>
      <c r="V169" s="24">
        <f t="shared" si="27"/>
        <v>-74</v>
      </c>
      <c r="W169" s="119"/>
      <c r="X169" s="2"/>
      <c r="Z169" s="4">
        <f>IFERROR(INDEX(Table5[],MATCH($B169,Table5[Component],0),2),0)</f>
        <v>210</v>
      </c>
      <c r="AA169" s="4">
        <f>IFERROR(INDEX(Table5[],MATCH($B169,Table5[Component],0),1),0)</f>
        <v>1078377</v>
      </c>
      <c r="AB169" s="4">
        <f t="shared" si="28"/>
        <v>1078377</v>
      </c>
      <c r="AC169" s="4" t="str">
        <f t="shared" si="29"/>
        <v/>
      </c>
      <c r="AE169" s="4">
        <f t="shared" si="30"/>
        <v>116</v>
      </c>
      <c r="AJ169" s="248" t="str">
        <f t="shared" si="31"/>
        <v/>
      </c>
      <c r="AK169" s="248" t="str">
        <f t="shared" si="32"/>
        <v/>
      </c>
      <c r="AL169">
        <f t="shared" si="33"/>
        <v>0</v>
      </c>
      <c r="AO169" s="4"/>
      <c r="AP169" s="4"/>
      <c r="AQ169">
        <f t="shared" si="35"/>
        <v>100</v>
      </c>
      <c r="AR169" s="4"/>
      <c r="AS169" s="4">
        <v>1130217</v>
      </c>
      <c r="AT169">
        <f t="shared" si="34"/>
        <v>0</v>
      </c>
    </row>
    <row r="170" spans="1:46" ht="15.65" customHeight="1" x14ac:dyDescent="0.35">
      <c r="A170" s="2">
        <v>169</v>
      </c>
      <c r="B170" s="3">
        <v>1176641</v>
      </c>
      <c r="C170" s="3" t="s">
        <v>26</v>
      </c>
      <c r="D170" s="3">
        <v>1613</v>
      </c>
      <c r="E170" s="3" t="s">
        <v>145</v>
      </c>
      <c r="F170" s="3" t="s">
        <v>253</v>
      </c>
      <c r="G170" s="13"/>
      <c r="H170" s="6" t="s">
        <v>146</v>
      </c>
      <c r="I170" s="10">
        <f>SUMIFS('Cutters Consumption Updates'!$F:$F,'Cutters Consumption Updates'!$D:$D,I$1,'Cutters Consumption Updates'!$B:$B,$B170)-SUMIFS('Cutters Consumption Updates'!$E:$E,'Cutters Consumption Updates'!$D:$D,I$1,'Cutters Consumption Updates'!$B:$B,$B170)+ SUMIF('Cutters Consumption Updates'!$AS:$AS,$B170,'Cutters Consumption Updates'!AT:AT)</f>
        <v>0</v>
      </c>
      <c r="J170" s="10">
        <f>SUMIFS('Cutters Consumption Updates'!$F:$F,'Cutters Consumption Updates'!$D:$D,J$1,'Cutters Consumption Updates'!$B:$B,$B170)-SUMIFS('Cutters Consumption Updates'!$E:$E,'Cutters Consumption Updates'!$D:$D,J$1,'Cutters Consumption Updates'!$B:$B,$B170)+ SUMIF('Cutters Consumption Updates'!$AS:$AS,$B170,'Cutters Consumption Updates'!AU:AU)</f>
        <v>0</v>
      </c>
      <c r="K170" s="116">
        <f>SUMIFS('Cutters Consumption Updates'!$F:$F,'Cutters Consumption Updates'!$D:$D,K$1,'Cutters Consumption Updates'!$B:$B,$B170)-SUMIFS('Cutters Consumption Updates'!$E:$E,'Cutters Consumption Updates'!$D:$D,K$1,'Cutters Consumption Updates'!$B:$B,$B170)+ SUMIF('Cutters Consumption Updates'!$AS:$AS,$B170,'Cutters Consumption Updates'!AV:AV)</f>
        <v>0</v>
      </c>
      <c r="L170" s="738">
        <f>SUMIFS('Cutters Consumption Updates'!$F:$F,'Cutters Consumption Updates'!$D:$D,L$1,'Cutters Consumption Updates'!$B:$B,$B170)-SUMIFS('Cutters Consumption Updates'!$E:$E,'Cutters Consumption Updates'!$D:$D,L$1,'Cutters Consumption Updates'!$B:$B,$B170)+ SUMIF('Cutters Consumption Updates'!$AS:$AS,$B170,'Cutters Consumption Updates'!AW:AW)</f>
        <v>0</v>
      </c>
      <c r="M170" s="116">
        <f>SUMIFS('Cutters Consumption Updates'!$F:$F,'Cutters Consumption Updates'!$D:$D,M$1,'Cutters Consumption Updates'!$B:$B,$B170)-SUMIFS('Cutters Consumption Updates'!$E:$E,'Cutters Consumption Updates'!$D:$D,$M$1,'Cutters Consumption Updates'!$B:$B,$B170)+SUMIFS('Cutters Consumption Updates'!$F:$F,'Cutters Consumption Updates'!$D:$D,"Retrofit",'Cutters Consumption Updates'!$B:$B,$B170)-SUMIFS('Cutters Consumption Updates'!$E:$E,'Cutters Consumption Updates'!$D:$D,"Retrofit",'Cutters Consumption Updates'!$B:$B,$B170)+ SUMIF('Cutters Consumption Updates'!$AS:$AS,$B170,'Cutters Consumption Updates'!AX:AX)</f>
        <v>1</v>
      </c>
      <c r="N170" s="10">
        <f t="shared" si="24"/>
        <v>1</v>
      </c>
      <c r="O170" s="701">
        <f ca="1">SUMIFS('Cutters Consumption Updates'!E:E,
        'Cutters Consumption Updates'!B:B, B170,
        'Cutters Consumption Updates'!A:A, "&gt;" &amp; TODAY()-182)</f>
        <v>0</v>
      </c>
      <c r="P170" s="701">
        <f ca="1">SUMIFS('Cutters Consumption Updates'!E:E,
        'Cutters Consumption Updates'!B:B, B170,
        'Cutters Consumption Updates'!A:A, "&gt;" &amp; TODAY()-91)</f>
        <v>0</v>
      </c>
      <c r="Q170" s="701">
        <f t="shared" ca="1" si="25"/>
        <v>0</v>
      </c>
      <c r="R170" s="703">
        <f t="shared" ca="1" si="26"/>
        <v>0</v>
      </c>
      <c r="S170" s="703" t="s">
        <v>29</v>
      </c>
      <c r="T170" s="24">
        <f>IFERROR(INDEX(Table5[],MATCH($B170,Table5[Component],0),2),0)</f>
        <v>0</v>
      </c>
      <c r="U170" s="24">
        <f>SUMIFS(Table7[Balance],Table7[Cutter Mat'#],$B170)</f>
        <v>0</v>
      </c>
      <c r="V170" s="24">
        <f t="shared" si="27"/>
        <v>1</v>
      </c>
      <c r="W170" s="119"/>
      <c r="X170" s="2"/>
      <c r="Z170" s="4">
        <f>IFERROR(INDEX(Table5[],MATCH($B170,Table5[Component],0),2),0)</f>
        <v>0</v>
      </c>
      <c r="AA170" s="4">
        <f>IFERROR(INDEX(Table5[],MATCH($B170,Table5[Component],0),1),0)</f>
        <v>0</v>
      </c>
      <c r="AB170" s="4" t="str">
        <f t="shared" si="28"/>
        <v/>
      </c>
      <c r="AC170" s="4" t="str">
        <f t="shared" si="29"/>
        <v/>
      </c>
      <c r="AE170" s="4">
        <f t="shared" si="30"/>
        <v>1</v>
      </c>
      <c r="AJ170" s="248" t="str">
        <f t="shared" si="31"/>
        <v/>
      </c>
      <c r="AK170" s="248" t="str">
        <f t="shared" si="32"/>
        <v/>
      </c>
      <c r="AL170">
        <f t="shared" si="33"/>
        <v>0</v>
      </c>
      <c r="AO170" s="4"/>
      <c r="AP170" s="4"/>
      <c r="AQ170">
        <f t="shared" si="35"/>
        <v>0</v>
      </c>
      <c r="AR170" s="4"/>
      <c r="AS170" s="4">
        <v>1130219</v>
      </c>
      <c r="AT170">
        <f t="shared" si="34"/>
        <v>0</v>
      </c>
    </row>
    <row r="171" spans="1:46" ht="15.65" customHeight="1" x14ac:dyDescent="0.35">
      <c r="A171" s="2">
        <v>170</v>
      </c>
      <c r="B171" s="3">
        <v>1162516</v>
      </c>
      <c r="C171" s="3" t="s">
        <v>26</v>
      </c>
      <c r="D171" s="3">
        <v>1308</v>
      </c>
      <c r="E171" s="3" t="s">
        <v>153</v>
      </c>
      <c r="F171" s="3" t="s">
        <v>253</v>
      </c>
      <c r="G171" s="13" t="s">
        <v>131</v>
      </c>
      <c r="H171" s="6" t="s">
        <v>146</v>
      </c>
      <c r="I171" s="10">
        <f>SUMIFS('Cutters Consumption Updates'!$F:$F,'Cutters Consumption Updates'!$D:$D,I$1,'Cutters Consumption Updates'!$B:$B,$B171)-SUMIFS('Cutters Consumption Updates'!$E:$E,'Cutters Consumption Updates'!$D:$D,I$1,'Cutters Consumption Updates'!$B:$B,$B171)+ SUMIF('Cutters Consumption Updates'!$AS:$AS,$B171,'Cutters Consumption Updates'!AT:AT)</f>
        <v>0</v>
      </c>
      <c r="J171" s="10">
        <f>SUMIFS('Cutters Consumption Updates'!$F:$F,'Cutters Consumption Updates'!$D:$D,J$1,'Cutters Consumption Updates'!$B:$B,$B171)-SUMIFS('Cutters Consumption Updates'!$E:$E,'Cutters Consumption Updates'!$D:$D,J$1,'Cutters Consumption Updates'!$B:$B,$B171)+ SUMIF('Cutters Consumption Updates'!$AS:$AS,$B171,'Cutters Consumption Updates'!AU:AU)</f>
        <v>0</v>
      </c>
      <c r="K171" s="116">
        <f>SUMIFS('Cutters Consumption Updates'!$F:$F,'Cutters Consumption Updates'!$D:$D,K$1,'Cutters Consumption Updates'!$B:$B,$B171)-SUMIFS('Cutters Consumption Updates'!$E:$E,'Cutters Consumption Updates'!$D:$D,K$1,'Cutters Consumption Updates'!$B:$B,$B171)+ SUMIF('Cutters Consumption Updates'!$AS:$AS,$B171,'Cutters Consumption Updates'!AV:AV)</f>
        <v>0</v>
      </c>
      <c r="L171" s="738">
        <f>SUMIFS('Cutters Consumption Updates'!$F:$F,'Cutters Consumption Updates'!$D:$D,L$1,'Cutters Consumption Updates'!$B:$B,$B171)-SUMIFS('Cutters Consumption Updates'!$E:$E,'Cutters Consumption Updates'!$D:$D,L$1,'Cutters Consumption Updates'!$B:$B,$B171)+ SUMIF('Cutters Consumption Updates'!$AS:$AS,$B171,'Cutters Consumption Updates'!AW:AW)</f>
        <v>0</v>
      </c>
      <c r="M171" s="116">
        <f>SUMIFS('Cutters Consumption Updates'!$F:$F,'Cutters Consumption Updates'!$D:$D,M$1,'Cutters Consumption Updates'!$B:$B,$B171)-SUMIFS('Cutters Consumption Updates'!$E:$E,'Cutters Consumption Updates'!$D:$D,$M$1,'Cutters Consumption Updates'!$B:$B,$B171)+SUMIFS('Cutters Consumption Updates'!$F:$F,'Cutters Consumption Updates'!$D:$D,"Retrofit",'Cutters Consumption Updates'!$B:$B,$B171)-SUMIFS('Cutters Consumption Updates'!$E:$E,'Cutters Consumption Updates'!$D:$D,"Retrofit",'Cutters Consumption Updates'!$B:$B,$B171)+ SUMIF('Cutters Consumption Updates'!$AS:$AS,$B171,'Cutters Consumption Updates'!AX:AX)</f>
        <v>0</v>
      </c>
      <c r="N171" s="10">
        <f t="shared" si="24"/>
        <v>0</v>
      </c>
      <c r="O171" s="701">
        <f ca="1">SUMIFS('Cutters Consumption Updates'!E:E,
        'Cutters Consumption Updates'!B:B, B171,
        'Cutters Consumption Updates'!A:A, "&gt;" &amp; TODAY()-182)</f>
        <v>0</v>
      </c>
      <c r="P171" s="701">
        <f ca="1">SUMIFS('Cutters Consumption Updates'!E:E,
        'Cutters Consumption Updates'!B:B, B171,
        'Cutters Consumption Updates'!A:A, "&gt;" &amp; TODAY()-91)</f>
        <v>0</v>
      </c>
      <c r="Q171" s="701">
        <f t="shared" ca="1" si="25"/>
        <v>0</v>
      </c>
      <c r="R171" s="703">
        <f t="shared" ca="1" si="26"/>
        <v>0</v>
      </c>
      <c r="S171" s="703" t="s">
        <v>29</v>
      </c>
      <c r="T171" s="24">
        <f>IFERROR(INDEX(Table5[],MATCH($B171,Table5[Component],0),2),0)</f>
        <v>0</v>
      </c>
      <c r="U171" s="24">
        <f>SUMIFS(Table7[Balance],Table7[Cutter Mat'#],$B171)</f>
        <v>0</v>
      </c>
      <c r="V171" s="24">
        <f t="shared" si="27"/>
        <v>0</v>
      </c>
      <c r="W171" s="119"/>
      <c r="X171" s="2"/>
      <c r="Z171" s="4">
        <f>IFERROR(INDEX(Table5[],MATCH($B171,Table5[Component],0),2),0)</f>
        <v>0</v>
      </c>
      <c r="AA171" s="4">
        <f>IFERROR(INDEX(Table5[],MATCH($B171,Table5[Component],0),1),0)</f>
        <v>0</v>
      </c>
      <c r="AB171" s="4" t="str">
        <f t="shared" si="28"/>
        <v/>
      </c>
      <c r="AC171" s="4" t="str">
        <f t="shared" si="29"/>
        <v/>
      </c>
      <c r="AE171" s="4">
        <f t="shared" si="30"/>
        <v>0</v>
      </c>
      <c r="AJ171" s="248" t="str">
        <f t="shared" si="31"/>
        <v/>
      </c>
      <c r="AK171" s="248" t="str">
        <f t="shared" si="32"/>
        <v/>
      </c>
      <c r="AL171">
        <f t="shared" si="33"/>
        <v>0</v>
      </c>
      <c r="AO171" s="4"/>
      <c r="AP171" s="4"/>
      <c r="AQ171">
        <f t="shared" si="35"/>
        <v>0</v>
      </c>
      <c r="AR171" s="4"/>
      <c r="AS171" s="4">
        <v>1130221</v>
      </c>
      <c r="AT171">
        <f t="shared" si="34"/>
        <v>0</v>
      </c>
    </row>
    <row r="172" spans="1:46" ht="15.65" customHeight="1" x14ac:dyDescent="0.35">
      <c r="A172" s="2">
        <v>171</v>
      </c>
      <c r="B172" s="3">
        <v>1162518</v>
      </c>
      <c r="C172" s="3" t="s">
        <v>26</v>
      </c>
      <c r="D172" s="3">
        <v>1608</v>
      </c>
      <c r="E172" s="3" t="s">
        <v>153</v>
      </c>
      <c r="F172" s="3" t="s">
        <v>253</v>
      </c>
      <c r="G172" s="13" t="s">
        <v>131</v>
      </c>
      <c r="H172" s="6" t="s">
        <v>146</v>
      </c>
      <c r="I172" s="10">
        <f>SUMIFS('Cutters Consumption Updates'!$F:$F,'Cutters Consumption Updates'!$D:$D,I$1,'Cutters Consumption Updates'!$B:$B,$B172)-SUMIFS('Cutters Consumption Updates'!$E:$E,'Cutters Consumption Updates'!$D:$D,I$1,'Cutters Consumption Updates'!$B:$B,$B172)+ SUMIF('Cutters Consumption Updates'!$AS:$AS,$B172,'Cutters Consumption Updates'!AT:AT)</f>
        <v>0</v>
      </c>
      <c r="J172" s="10">
        <f>SUMIFS('Cutters Consumption Updates'!$F:$F,'Cutters Consumption Updates'!$D:$D,J$1,'Cutters Consumption Updates'!$B:$B,$B172)-SUMIFS('Cutters Consumption Updates'!$E:$E,'Cutters Consumption Updates'!$D:$D,J$1,'Cutters Consumption Updates'!$B:$B,$B172)+ SUMIF('Cutters Consumption Updates'!$AS:$AS,$B172,'Cutters Consumption Updates'!AU:AU)</f>
        <v>0</v>
      </c>
      <c r="K172" s="116">
        <f>SUMIFS('Cutters Consumption Updates'!$F:$F,'Cutters Consumption Updates'!$D:$D,K$1,'Cutters Consumption Updates'!$B:$B,$B172)-SUMIFS('Cutters Consumption Updates'!$E:$E,'Cutters Consumption Updates'!$D:$D,K$1,'Cutters Consumption Updates'!$B:$B,$B172)+ SUMIF('Cutters Consumption Updates'!$AS:$AS,$B172,'Cutters Consumption Updates'!AV:AV)</f>
        <v>0</v>
      </c>
      <c r="L172" s="738">
        <f>SUMIFS('Cutters Consumption Updates'!$F:$F,'Cutters Consumption Updates'!$D:$D,L$1,'Cutters Consumption Updates'!$B:$B,$B172)-SUMIFS('Cutters Consumption Updates'!$E:$E,'Cutters Consumption Updates'!$D:$D,L$1,'Cutters Consumption Updates'!$B:$B,$B172)+ SUMIF('Cutters Consumption Updates'!$AS:$AS,$B172,'Cutters Consumption Updates'!AW:AW)</f>
        <v>0</v>
      </c>
      <c r="M172" s="116">
        <f>SUMIFS('Cutters Consumption Updates'!$F:$F,'Cutters Consumption Updates'!$D:$D,M$1,'Cutters Consumption Updates'!$B:$B,$B172)-SUMIFS('Cutters Consumption Updates'!$E:$E,'Cutters Consumption Updates'!$D:$D,$M$1,'Cutters Consumption Updates'!$B:$B,$B172)+SUMIFS('Cutters Consumption Updates'!$F:$F,'Cutters Consumption Updates'!$D:$D,"Retrofit",'Cutters Consumption Updates'!$B:$B,$B172)-SUMIFS('Cutters Consumption Updates'!$E:$E,'Cutters Consumption Updates'!$D:$D,"Retrofit",'Cutters Consumption Updates'!$B:$B,$B172)+ SUMIF('Cutters Consumption Updates'!$AS:$AS,$B172,'Cutters Consumption Updates'!AX:AX)</f>
        <v>0</v>
      </c>
      <c r="N172" s="10">
        <f t="shared" si="24"/>
        <v>0</v>
      </c>
      <c r="O172" s="701">
        <f ca="1">SUMIFS('Cutters Consumption Updates'!E:E,
        'Cutters Consumption Updates'!B:B, B172,
        'Cutters Consumption Updates'!A:A, "&gt;" &amp; TODAY()-182)</f>
        <v>0</v>
      </c>
      <c r="P172" s="701">
        <f ca="1">SUMIFS('Cutters Consumption Updates'!E:E,
        'Cutters Consumption Updates'!B:B, B172,
        'Cutters Consumption Updates'!A:A, "&gt;" &amp; TODAY()-91)</f>
        <v>0</v>
      </c>
      <c r="Q172" s="701">
        <f t="shared" ca="1" si="25"/>
        <v>0</v>
      </c>
      <c r="R172" s="703">
        <f t="shared" ca="1" si="26"/>
        <v>0</v>
      </c>
      <c r="S172" s="703" t="s">
        <v>29</v>
      </c>
      <c r="T172" s="24">
        <f>IFERROR(INDEX(Table5[],MATCH($B172,Table5[Component],0),2),0)</f>
        <v>0</v>
      </c>
      <c r="U172" s="24">
        <f>SUMIFS(Table7[Balance],Table7[Cutter Mat'#],$B172)</f>
        <v>0</v>
      </c>
      <c r="V172" s="24">
        <f t="shared" si="27"/>
        <v>0</v>
      </c>
      <c r="W172" s="119"/>
      <c r="X172" s="2"/>
      <c r="Z172" s="4">
        <f>IFERROR(INDEX(Table5[],MATCH($B172,Table5[Component],0),2),0)</f>
        <v>0</v>
      </c>
      <c r="AA172" s="4">
        <f>IFERROR(INDEX(Table5[],MATCH($B172,Table5[Component],0),1),0)</f>
        <v>0</v>
      </c>
      <c r="AB172" s="4" t="str">
        <f t="shared" si="28"/>
        <v/>
      </c>
      <c r="AC172" s="4" t="str">
        <f t="shared" si="29"/>
        <v/>
      </c>
      <c r="AE172" s="4">
        <f t="shared" si="30"/>
        <v>0</v>
      </c>
      <c r="AJ172" s="248" t="str">
        <f t="shared" si="31"/>
        <v/>
      </c>
      <c r="AK172" s="248" t="str">
        <f t="shared" si="32"/>
        <v/>
      </c>
      <c r="AL172">
        <f t="shared" si="33"/>
        <v>0</v>
      </c>
      <c r="AO172" s="4"/>
      <c r="AP172" s="4"/>
      <c r="AQ172">
        <f t="shared" si="35"/>
        <v>0</v>
      </c>
      <c r="AR172" s="4"/>
      <c r="AS172" s="4">
        <v>1130223</v>
      </c>
      <c r="AT172">
        <f t="shared" si="34"/>
        <v>0</v>
      </c>
    </row>
    <row r="173" spans="1:46" ht="15.65" customHeight="1" x14ac:dyDescent="0.35">
      <c r="A173" s="2">
        <v>172</v>
      </c>
      <c r="B173" s="3">
        <v>1100759</v>
      </c>
      <c r="C173" s="3" t="s">
        <v>26</v>
      </c>
      <c r="D173" s="3">
        <v>1913</v>
      </c>
      <c r="E173" s="3" t="s">
        <v>133</v>
      </c>
      <c r="F173" s="3" t="s">
        <v>253</v>
      </c>
      <c r="G173" s="13"/>
      <c r="H173" s="6" t="s">
        <v>49</v>
      </c>
      <c r="I173" s="10">
        <f>SUMIFS('Cutters Consumption Updates'!$F:$F,'Cutters Consumption Updates'!$D:$D,I$1,'Cutters Consumption Updates'!$B:$B,$B173)-SUMIFS('Cutters Consumption Updates'!$E:$E,'Cutters Consumption Updates'!$D:$D,I$1,'Cutters Consumption Updates'!$B:$B,$B173)+ SUMIF('Cutters Consumption Updates'!$AS:$AS,$B173,'Cutters Consumption Updates'!AT:AT)</f>
        <v>0</v>
      </c>
      <c r="J173" s="10">
        <f>SUMIFS('Cutters Consumption Updates'!$F:$F,'Cutters Consumption Updates'!$D:$D,J$1,'Cutters Consumption Updates'!$B:$B,$B173)-SUMIFS('Cutters Consumption Updates'!$E:$E,'Cutters Consumption Updates'!$D:$D,J$1,'Cutters Consumption Updates'!$B:$B,$B173)+ SUMIF('Cutters Consumption Updates'!$AS:$AS,$B173,'Cutters Consumption Updates'!AU:AU)</f>
        <v>0</v>
      </c>
      <c r="K173" s="116">
        <f>SUMIFS('Cutters Consumption Updates'!$F:$F,'Cutters Consumption Updates'!$D:$D,K$1,'Cutters Consumption Updates'!$B:$B,$B173)-SUMIFS('Cutters Consumption Updates'!$E:$E,'Cutters Consumption Updates'!$D:$D,K$1,'Cutters Consumption Updates'!$B:$B,$B173)+ SUMIF('Cutters Consumption Updates'!$AS:$AS,$B173,'Cutters Consumption Updates'!AV:AV)</f>
        <v>0</v>
      </c>
      <c r="L173" s="738">
        <f>SUMIFS('Cutters Consumption Updates'!$F:$F,'Cutters Consumption Updates'!$D:$D,L$1,'Cutters Consumption Updates'!$B:$B,$B173)-SUMIFS('Cutters Consumption Updates'!$E:$E,'Cutters Consumption Updates'!$D:$D,L$1,'Cutters Consumption Updates'!$B:$B,$B173)+ SUMIF('Cutters Consumption Updates'!$AS:$AS,$B173,'Cutters Consumption Updates'!AW:AW)</f>
        <v>0</v>
      </c>
      <c r="M173" s="116">
        <f>SUMIFS('Cutters Consumption Updates'!$F:$F,'Cutters Consumption Updates'!$D:$D,M$1,'Cutters Consumption Updates'!$B:$B,$B173)-SUMIFS('Cutters Consumption Updates'!$E:$E,'Cutters Consumption Updates'!$D:$D,$M$1,'Cutters Consumption Updates'!$B:$B,$B173)+SUMIFS('Cutters Consumption Updates'!$F:$F,'Cutters Consumption Updates'!$D:$D,"Retrofit",'Cutters Consumption Updates'!$B:$B,$B173)-SUMIFS('Cutters Consumption Updates'!$E:$E,'Cutters Consumption Updates'!$D:$D,"Retrofit",'Cutters Consumption Updates'!$B:$B,$B173)+ SUMIF('Cutters Consumption Updates'!$AS:$AS,$B173,'Cutters Consumption Updates'!AX:AX)</f>
        <v>12</v>
      </c>
      <c r="N173" s="10">
        <f t="shared" si="24"/>
        <v>12</v>
      </c>
      <c r="O173" s="701">
        <f ca="1">SUMIFS('Cutters Consumption Updates'!E:E,
        'Cutters Consumption Updates'!B:B, B173,
        'Cutters Consumption Updates'!A:A, "&gt;" &amp; TODAY()-182)</f>
        <v>1</v>
      </c>
      <c r="P173" s="701">
        <f ca="1">SUMIFS('Cutters Consumption Updates'!E:E,
        'Cutters Consumption Updates'!B:B, B173,
        'Cutters Consumption Updates'!A:A, "&gt;" &amp; TODAY()-91)</f>
        <v>1</v>
      </c>
      <c r="Q173" s="701">
        <f t="shared" ca="1" si="25"/>
        <v>1</v>
      </c>
      <c r="R173" s="703">
        <f t="shared" ca="1" si="26"/>
        <v>0</v>
      </c>
      <c r="S173" s="703" t="s">
        <v>63</v>
      </c>
      <c r="T173" s="24">
        <f>IFERROR(INDEX(Table5[],MATCH($B173,Table5[Component],0),2),0)</f>
        <v>0</v>
      </c>
      <c r="U173" s="24">
        <f>SUMIFS(Table7[Balance],Table7[Cutter Mat'#],$B173)</f>
        <v>0</v>
      </c>
      <c r="V173" s="24">
        <f t="shared" si="27"/>
        <v>12</v>
      </c>
      <c r="W173" s="119"/>
      <c r="X173" s="2"/>
      <c r="Z173" s="4">
        <f>IFERROR(INDEX(Table5[],MATCH($B173,Table5[Component],0),2),0)</f>
        <v>0</v>
      </c>
      <c r="AA173" s="4">
        <f>IFERROR(INDEX(Table5[],MATCH($B173,Table5[Component],0),1),0)</f>
        <v>0</v>
      </c>
      <c r="AB173" s="4" t="str">
        <f t="shared" si="28"/>
        <v/>
      </c>
      <c r="AC173" s="4" t="str">
        <f t="shared" si="29"/>
        <v/>
      </c>
      <c r="AE173" s="4">
        <f t="shared" si="30"/>
        <v>12</v>
      </c>
      <c r="AJ173" s="248" t="str">
        <f t="shared" si="31"/>
        <v/>
      </c>
      <c r="AK173" s="248" t="str">
        <f t="shared" si="32"/>
        <v/>
      </c>
      <c r="AL173">
        <f t="shared" si="33"/>
        <v>0</v>
      </c>
      <c r="AO173" s="4"/>
      <c r="AP173" s="4"/>
      <c r="AQ173">
        <f t="shared" si="35"/>
        <v>0</v>
      </c>
      <c r="AR173" s="4"/>
      <c r="AS173" s="4">
        <v>1133896</v>
      </c>
      <c r="AT173">
        <f t="shared" si="34"/>
        <v>0</v>
      </c>
    </row>
    <row r="174" spans="1:46" ht="15.65" customHeight="1" x14ac:dyDescent="0.35">
      <c r="A174" s="2">
        <v>173</v>
      </c>
      <c r="B174" s="3">
        <v>1163820</v>
      </c>
      <c r="C174" s="3" t="s">
        <v>26</v>
      </c>
      <c r="D174" s="3">
        <v>1613</v>
      </c>
      <c r="E174" s="3" t="s">
        <v>154</v>
      </c>
      <c r="F174" s="292" t="s">
        <v>253</v>
      </c>
      <c r="G174" s="13"/>
      <c r="H174" s="6" t="s">
        <v>49</v>
      </c>
      <c r="I174" s="10">
        <f>SUMIFS('Cutters Consumption Updates'!$F:$F,'Cutters Consumption Updates'!$D:$D,I$1,'Cutters Consumption Updates'!$B:$B,$B174)-SUMIFS('Cutters Consumption Updates'!$E:$E,'Cutters Consumption Updates'!$D:$D,I$1,'Cutters Consumption Updates'!$B:$B,$B174)+ SUMIF('Cutters Consumption Updates'!$AS:$AS,$B174,'Cutters Consumption Updates'!AT:AT)</f>
        <v>0</v>
      </c>
      <c r="J174" s="10">
        <f>SUMIFS('Cutters Consumption Updates'!$F:$F,'Cutters Consumption Updates'!$D:$D,J$1,'Cutters Consumption Updates'!$B:$B,$B174)-SUMIFS('Cutters Consumption Updates'!$E:$E,'Cutters Consumption Updates'!$D:$D,J$1,'Cutters Consumption Updates'!$B:$B,$B174)+ SUMIF('Cutters Consumption Updates'!$AS:$AS,$B174,'Cutters Consumption Updates'!AU:AU)</f>
        <v>0</v>
      </c>
      <c r="K174" s="116">
        <f>SUMIFS('Cutters Consumption Updates'!$F:$F,'Cutters Consumption Updates'!$D:$D,K$1,'Cutters Consumption Updates'!$B:$B,$B174)-SUMIFS('Cutters Consumption Updates'!$E:$E,'Cutters Consumption Updates'!$D:$D,K$1,'Cutters Consumption Updates'!$B:$B,$B174)+ SUMIF('Cutters Consumption Updates'!$AS:$AS,$B174,'Cutters Consumption Updates'!AV:AV)</f>
        <v>0</v>
      </c>
      <c r="L174" s="738">
        <f>SUMIFS('Cutters Consumption Updates'!$F:$F,'Cutters Consumption Updates'!$D:$D,L$1,'Cutters Consumption Updates'!$B:$B,$B174)-SUMIFS('Cutters Consumption Updates'!$E:$E,'Cutters Consumption Updates'!$D:$D,L$1,'Cutters Consumption Updates'!$B:$B,$B174)+ SUMIF('Cutters Consumption Updates'!$AS:$AS,$B174,'Cutters Consumption Updates'!AW:AW)</f>
        <v>0</v>
      </c>
      <c r="M174" s="116">
        <f>SUMIFS('Cutters Consumption Updates'!$F:$F,'Cutters Consumption Updates'!$D:$D,M$1,'Cutters Consumption Updates'!$B:$B,$B174)-SUMIFS('Cutters Consumption Updates'!$E:$E,'Cutters Consumption Updates'!$D:$D,$M$1,'Cutters Consumption Updates'!$B:$B,$B174)+SUMIFS('Cutters Consumption Updates'!$F:$F,'Cutters Consumption Updates'!$D:$D,"Retrofit",'Cutters Consumption Updates'!$B:$B,$B174)-SUMIFS('Cutters Consumption Updates'!$E:$E,'Cutters Consumption Updates'!$D:$D,"Retrofit",'Cutters Consumption Updates'!$B:$B,$B174)+ SUMIF('Cutters Consumption Updates'!$AS:$AS,$B174,'Cutters Consumption Updates'!AX:AX)</f>
        <v>1</v>
      </c>
      <c r="N174" s="10">
        <f t="shared" si="24"/>
        <v>1</v>
      </c>
      <c r="O174" s="701">
        <f ca="1">SUMIFS('Cutters Consumption Updates'!E:E,
        'Cutters Consumption Updates'!B:B, B174,
        'Cutters Consumption Updates'!A:A, "&gt;" &amp; TODAY()-182)</f>
        <v>0</v>
      </c>
      <c r="P174" s="701">
        <f ca="1">SUMIFS('Cutters Consumption Updates'!E:E,
        'Cutters Consumption Updates'!B:B, B174,
        'Cutters Consumption Updates'!A:A, "&gt;" &amp; TODAY()-91)</f>
        <v>0</v>
      </c>
      <c r="Q174" s="701">
        <f t="shared" ca="1" si="25"/>
        <v>0</v>
      </c>
      <c r="R174" s="703">
        <f t="shared" ca="1" si="26"/>
        <v>0</v>
      </c>
      <c r="S174" s="703" t="s">
        <v>64</v>
      </c>
      <c r="T174" s="24">
        <f>IFERROR(INDEX(Table5[],MATCH($B174,Table5[Component],0),2),0)</f>
        <v>0</v>
      </c>
      <c r="U174" s="24">
        <f>SUMIFS(Table7[Balance],Table7[Cutter Mat'#],$B174)</f>
        <v>0</v>
      </c>
      <c r="V174" s="24">
        <f t="shared" si="27"/>
        <v>1</v>
      </c>
      <c r="W174" s="119"/>
      <c r="X174" s="2"/>
      <c r="Z174" s="4">
        <f>IFERROR(INDEX(Table5[],MATCH($B174,Table5[Component],0),2),0)</f>
        <v>0</v>
      </c>
      <c r="AA174" s="4">
        <f>IFERROR(INDEX(Table5[],MATCH($B174,Table5[Component],0),1),0)</f>
        <v>0</v>
      </c>
      <c r="AB174" s="4" t="str">
        <f t="shared" si="28"/>
        <v/>
      </c>
      <c r="AC174" s="4" t="str">
        <f t="shared" si="29"/>
        <v/>
      </c>
      <c r="AE174" s="4">
        <f t="shared" si="30"/>
        <v>1</v>
      </c>
      <c r="AJ174" s="248" t="str">
        <f t="shared" si="31"/>
        <v/>
      </c>
      <c r="AK174" s="248" t="str">
        <f t="shared" si="32"/>
        <v/>
      </c>
      <c r="AL174">
        <f t="shared" si="33"/>
        <v>0</v>
      </c>
      <c r="AO174" s="4"/>
      <c r="AP174" s="4"/>
      <c r="AQ174">
        <f t="shared" si="35"/>
        <v>0</v>
      </c>
      <c r="AR174" s="4"/>
      <c r="AS174" s="4">
        <v>1134751</v>
      </c>
      <c r="AT174">
        <f t="shared" si="34"/>
        <v>0</v>
      </c>
    </row>
    <row r="175" spans="1:46" ht="15.65" customHeight="1" x14ac:dyDescent="0.35">
      <c r="A175" s="2">
        <v>174</v>
      </c>
      <c r="B175" s="3">
        <v>1162508</v>
      </c>
      <c r="C175" s="3" t="s">
        <v>26</v>
      </c>
      <c r="D175" s="3">
        <v>1308</v>
      </c>
      <c r="E175" s="3" t="s">
        <v>153</v>
      </c>
      <c r="F175" s="3" t="s">
        <v>253</v>
      </c>
      <c r="G175" s="13"/>
      <c r="H175" s="6" t="s">
        <v>146</v>
      </c>
      <c r="I175" s="10">
        <f>SUMIFS('Cutters Consumption Updates'!$F:$F,'Cutters Consumption Updates'!$D:$D,I$1,'Cutters Consumption Updates'!$B:$B,$B175)-SUMIFS('Cutters Consumption Updates'!$E:$E,'Cutters Consumption Updates'!$D:$D,I$1,'Cutters Consumption Updates'!$B:$B,$B175)+ SUMIF('Cutters Consumption Updates'!$AS:$AS,$B175,'Cutters Consumption Updates'!AT:AT)</f>
        <v>0</v>
      </c>
      <c r="J175" s="10">
        <f>SUMIFS('Cutters Consumption Updates'!$F:$F,'Cutters Consumption Updates'!$D:$D,J$1,'Cutters Consumption Updates'!$B:$B,$B175)-SUMIFS('Cutters Consumption Updates'!$E:$E,'Cutters Consumption Updates'!$D:$D,J$1,'Cutters Consumption Updates'!$B:$B,$B175)+ SUMIF('Cutters Consumption Updates'!$AS:$AS,$B175,'Cutters Consumption Updates'!AU:AU)</f>
        <v>0</v>
      </c>
      <c r="K175" s="116">
        <f>SUMIFS('Cutters Consumption Updates'!$F:$F,'Cutters Consumption Updates'!$D:$D,K$1,'Cutters Consumption Updates'!$B:$B,$B175)-SUMIFS('Cutters Consumption Updates'!$E:$E,'Cutters Consumption Updates'!$D:$D,K$1,'Cutters Consumption Updates'!$B:$B,$B175)+ SUMIF('Cutters Consumption Updates'!$AS:$AS,$B175,'Cutters Consumption Updates'!AV:AV)</f>
        <v>0</v>
      </c>
      <c r="L175" s="738">
        <f>SUMIFS('Cutters Consumption Updates'!$F:$F,'Cutters Consumption Updates'!$D:$D,L$1,'Cutters Consumption Updates'!$B:$B,$B175)-SUMIFS('Cutters Consumption Updates'!$E:$E,'Cutters Consumption Updates'!$D:$D,L$1,'Cutters Consumption Updates'!$B:$B,$B175)+ SUMIF('Cutters Consumption Updates'!$AS:$AS,$B175,'Cutters Consumption Updates'!AW:AW)</f>
        <v>0</v>
      </c>
      <c r="M175" s="116">
        <f>SUMIFS('Cutters Consumption Updates'!$F:$F,'Cutters Consumption Updates'!$D:$D,M$1,'Cutters Consumption Updates'!$B:$B,$B175)-SUMIFS('Cutters Consumption Updates'!$E:$E,'Cutters Consumption Updates'!$D:$D,$M$1,'Cutters Consumption Updates'!$B:$B,$B175)+SUMIFS('Cutters Consumption Updates'!$F:$F,'Cutters Consumption Updates'!$D:$D,"Retrofit",'Cutters Consumption Updates'!$B:$B,$B175)-SUMIFS('Cutters Consumption Updates'!$E:$E,'Cutters Consumption Updates'!$D:$D,"Retrofit",'Cutters Consumption Updates'!$B:$B,$B175)+ SUMIF('Cutters Consumption Updates'!$AS:$AS,$B175,'Cutters Consumption Updates'!AX:AX)</f>
        <v>2</v>
      </c>
      <c r="N175" s="10">
        <f t="shared" si="24"/>
        <v>2</v>
      </c>
      <c r="O175" s="701">
        <f ca="1">SUMIFS('Cutters Consumption Updates'!E:E,
        'Cutters Consumption Updates'!B:B, B175,
        'Cutters Consumption Updates'!A:A, "&gt;" &amp; TODAY()-182)</f>
        <v>0</v>
      </c>
      <c r="P175" s="701">
        <f ca="1">SUMIFS('Cutters Consumption Updates'!E:E,
        'Cutters Consumption Updates'!B:B, B175,
        'Cutters Consumption Updates'!A:A, "&gt;" &amp; TODAY()-91)</f>
        <v>0</v>
      </c>
      <c r="Q175" s="701">
        <f t="shared" ca="1" si="25"/>
        <v>0</v>
      </c>
      <c r="R175" s="703">
        <f t="shared" ca="1" si="26"/>
        <v>0</v>
      </c>
      <c r="S175" s="703" t="s">
        <v>29</v>
      </c>
      <c r="T175" s="24">
        <f>IFERROR(INDEX(Table5[],MATCH($B175,Table5[Component],0),2),0)</f>
        <v>0</v>
      </c>
      <c r="U175" s="24">
        <f>SUMIFS(Table7[Balance],Table7[Cutter Mat'#],$B175)</f>
        <v>0</v>
      </c>
      <c r="V175" s="24">
        <f t="shared" si="27"/>
        <v>2</v>
      </c>
      <c r="W175" s="119"/>
      <c r="X175" s="2"/>
      <c r="Z175" s="4">
        <f>IFERROR(INDEX(Table5[],MATCH($B175,Table5[Component],0),2),0)</f>
        <v>0</v>
      </c>
      <c r="AA175" s="4">
        <f>IFERROR(INDEX(Table5[],MATCH($B175,Table5[Component],0),1),0)</f>
        <v>0</v>
      </c>
      <c r="AB175" s="4" t="str">
        <f t="shared" si="28"/>
        <v/>
      </c>
      <c r="AC175" s="4" t="str">
        <f t="shared" si="29"/>
        <v/>
      </c>
      <c r="AE175" s="4">
        <f t="shared" si="30"/>
        <v>2</v>
      </c>
      <c r="AJ175" s="248" t="str">
        <f t="shared" si="31"/>
        <v/>
      </c>
      <c r="AK175" s="248" t="str">
        <f t="shared" si="32"/>
        <v/>
      </c>
      <c r="AL175">
        <f t="shared" si="33"/>
        <v>0</v>
      </c>
      <c r="AO175" s="4"/>
      <c r="AP175" s="4"/>
      <c r="AQ175">
        <f t="shared" si="35"/>
        <v>0</v>
      </c>
      <c r="AR175" s="4"/>
      <c r="AS175" s="4">
        <v>1134752</v>
      </c>
      <c r="AT175">
        <f t="shared" si="34"/>
        <v>0</v>
      </c>
    </row>
    <row r="176" spans="1:46" ht="15.65" customHeight="1" x14ac:dyDescent="0.35">
      <c r="A176" s="2">
        <v>175</v>
      </c>
      <c r="B176" s="3">
        <v>1100751</v>
      </c>
      <c r="C176" s="3" t="s">
        <v>26</v>
      </c>
      <c r="D176" s="3">
        <v>1313</v>
      </c>
      <c r="E176" s="3" t="s">
        <v>133</v>
      </c>
      <c r="F176" s="3" t="s">
        <v>253</v>
      </c>
      <c r="G176" s="13"/>
      <c r="H176" s="6" t="s">
        <v>49</v>
      </c>
      <c r="I176" s="10">
        <f>SUMIFS('Cutters Consumption Updates'!$F:$F,'Cutters Consumption Updates'!$D:$D,I$1,'Cutters Consumption Updates'!$B:$B,$B176)-SUMIFS('Cutters Consumption Updates'!$E:$E,'Cutters Consumption Updates'!$D:$D,I$1,'Cutters Consumption Updates'!$B:$B,$B176)+ SUMIF('Cutters Consumption Updates'!$AS:$AS,$B176,'Cutters Consumption Updates'!AT:AT)</f>
        <v>0</v>
      </c>
      <c r="J176" s="10">
        <f>SUMIFS('Cutters Consumption Updates'!$F:$F,'Cutters Consumption Updates'!$D:$D,J$1,'Cutters Consumption Updates'!$B:$B,$B176)-SUMIFS('Cutters Consumption Updates'!$E:$E,'Cutters Consumption Updates'!$D:$D,J$1,'Cutters Consumption Updates'!$B:$B,$B176)+ SUMIF('Cutters Consumption Updates'!$AS:$AS,$B176,'Cutters Consumption Updates'!AU:AU)</f>
        <v>0</v>
      </c>
      <c r="K176" s="116">
        <f>SUMIFS('Cutters Consumption Updates'!$F:$F,'Cutters Consumption Updates'!$D:$D,K$1,'Cutters Consumption Updates'!$B:$B,$B176)-SUMIFS('Cutters Consumption Updates'!$E:$E,'Cutters Consumption Updates'!$D:$D,K$1,'Cutters Consumption Updates'!$B:$B,$B176)+ SUMIF('Cutters Consumption Updates'!$AS:$AS,$B176,'Cutters Consumption Updates'!AV:AV)</f>
        <v>0</v>
      </c>
      <c r="L176" s="738">
        <f>SUMIFS('Cutters Consumption Updates'!$F:$F,'Cutters Consumption Updates'!$D:$D,L$1,'Cutters Consumption Updates'!$B:$B,$B176)-SUMIFS('Cutters Consumption Updates'!$E:$E,'Cutters Consumption Updates'!$D:$D,L$1,'Cutters Consumption Updates'!$B:$B,$B176)+ SUMIF('Cutters Consumption Updates'!$AS:$AS,$B176,'Cutters Consumption Updates'!AW:AW)</f>
        <v>0</v>
      </c>
      <c r="M176" s="116">
        <f>SUMIFS('Cutters Consumption Updates'!$F:$F,'Cutters Consumption Updates'!$D:$D,M$1,'Cutters Consumption Updates'!$B:$B,$B176)-SUMIFS('Cutters Consumption Updates'!$E:$E,'Cutters Consumption Updates'!$D:$D,$M$1,'Cutters Consumption Updates'!$B:$B,$B176)+SUMIFS('Cutters Consumption Updates'!$F:$F,'Cutters Consumption Updates'!$D:$D,"Retrofit",'Cutters Consumption Updates'!$B:$B,$B176)-SUMIFS('Cutters Consumption Updates'!$E:$E,'Cutters Consumption Updates'!$D:$D,"Retrofit",'Cutters Consumption Updates'!$B:$B,$B176)+ SUMIF('Cutters Consumption Updates'!$AS:$AS,$B176,'Cutters Consumption Updates'!AX:AX)</f>
        <v>17</v>
      </c>
      <c r="N176" s="10">
        <f t="shared" si="24"/>
        <v>17</v>
      </c>
      <c r="O176" s="701">
        <f ca="1">SUMIFS('Cutters Consumption Updates'!E:E,
        'Cutters Consumption Updates'!B:B, B176,
        'Cutters Consumption Updates'!A:A, "&gt;" &amp; TODAY()-182)</f>
        <v>30</v>
      </c>
      <c r="P176" s="701">
        <f ca="1">SUMIFS('Cutters Consumption Updates'!E:E,
        'Cutters Consumption Updates'!B:B, B176,
        'Cutters Consumption Updates'!A:A, "&gt;" &amp; TODAY()-91)</f>
        <v>0</v>
      </c>
      <c r="Q176" s="701">
        <f t="shared" ca="1" si="25"/>
        <v>10</v>
      </c>
      <c r="R176" s="703">
        <f t="shared" ca="1" si="26"/>
        <v>15</v>
      </c>
      <c r="S176" s="703" t="s">
        <v>89</v>
      </c>
      <c r="T176" s="24">
        <f>IFERROR(INDEX(Table5[],MATCH($B176,Table5[Component],0),2),0)</f>
        <v>22</v>
      </c>
      <c r="U176" s="24">
        <f>SUMIFS(Table7[Balance],Table7[Cutter Mat'#],$B176)</f>
        <v>0</v>
      </c>
      <c r="V176" s="24">
        <f t="shared" si="27"/>
        <v>-5</v>
      </c>
      <c r="W176" s="119"/>
      <c r="X176" s="2"/>
      <c r="Z176" s="4">
        <f>IFERROR(INDEX(Table5[],MATCH($B176,Table5[Component],0),2),0)</f>
        <v>22</v>
      </c>
      <c r="AA176" s="4">
        <f>IFERROR(INDEX(Table5[],MATCH($B176,Table5[Component],0),1),0)</f>
        <v>1100751</v>
      </c>
      <c r="AB176" s="4">
        <f t="shared" si="28"/>
        <v>1100751</v>
      </c>
      <c r="AC176" s="4" t="str">
        <f t="shared" si="29"/>
        <v/>
      </c>
      <c r="AE176" s="4">
        <f t="shared" si="30"/>
        <v>17</v>
      </c>
      <c r="AJ176" s="248" t="str">
        <f t="shared" si="31"/>
        <v/>
      </c>
      <c r="AK176" s="248" t="str">
        <f t="shared" si="32"/>
        <v/>
      </c>
      <c r="AL176">
        <f t="shared" si="33"/>
        <v>77</v>
      </c>
      <c r="AO176" s="4"/>
      <c r="AP176" s="4"/>
      <c r="AQ176">
        <f t="shared" si="35"/>
        <v>0</v>
      </c>
      <c r="AR176" s="4"/>
      <c r="AS176" s="4">
        <v>1136983</v>
      </c>
      <c r="AT176">
        <f t="shared" si="34"/>
        <v>0</v>
      </c>
    </row>
    <row r="177" spans="1:46" ht="15.65" customHeight="1" x14ac:dyDescent="0.35">
      <c r="A177" s="2">
        <v>176</v>
      </c>
      <c r="B177" s="3">
        <v>1162510</v>
      </c>
      <c r="C177" s="3" t="s">
        <v>26</v>
      </c>
      <c r="D177" s="3">
        <v>1608</v>
      </c>
      <c r="E177" s="3" t="s">
        <v>153</v>
      </c>
      <c r="F177" s="3" t="s">
        <v>253</v>
      </c>
      <c r="G177" s="13"/>
      <c r="H177" s="6" t="s">
        <v>146</v>
      </c>
      <c r="I177" s="10">
        <f>SUMIFS('Cutters Consumption Updates'!$F:$F,'Cutters Consumption Updates'!$D:$D,I$1,'Cutters Consumption Updates'!$B:$B,$B177)-SUMIFS('Cutters Consumption Updates'!$E:$E,'Cutters Consumption Updates'!$D:$D,I$1,'Cutters Consumption Updates'!$B:$B,$B177)+ SUMIF('Cutters Consumption Updates'!$AS:$AS,$B177,'Cutters Consumption Updates'!AT:AT)</f>
        <v>0</v>
      </c>
      <c r="J177" s="10">
        <f>SUMIFS('Cutters Consumption Updates'!$F:$F,'Cutters Consumption Updates'!$D:$D,J$1,'Cutters Consumption Updates'!$B:$B,$B177)-SUMIFS('Cutters Consumption Updates'!$E:$E,'Cutters Consumption Updates'!$D:$D,J$1,'Cutters Consumption Updates'!$B:$B,$B177)+ SUMIF('Cutters Consumption Updates'!$AS:$AS,$B177,'Cutters Consumption Updates'!AU:AU)</f>
        <v>0</v>
      </c>
      <c r="K177" s="116">
        <f>SUMIFS('Cutters Consumption Updates'!$F:$F,'Cutters Consumption Updates'!$D:$D,K$1,'Cutters Consumption Updates'!$B:$B,$B177)-SUMIFS('Cutters Consumption Updates'!$E:$E,'Cutters Consumption Updates'!$D:$D,K$1,'Cutters Consumption Updates'!$B:$B,$B177)+ SUMIF('Cutters Consumption Updates'!$AS:$AS,$B177,'Cutters Consumption Updates'!AV:AV)</f>
        <v>0</v>
      </c>
      <c r="L177" s="738">
        <f>SUMIFS('Cutters Consumption Updates'!$F:$F,'Cutters Consumption Updates'!$D:$D,L$1,'Cutters Consumption Updates'!$B:$B,$B177)-SUMIFS('Cutters Consumption Updates'!$E:$E,'Cutters Consumption Updates'!$D:$D,L$1,'Cutters Consumption Updates'!$B:$B,$B177)+ SUMIF('Cutters Consumption Updates'!$AS:$AS,$B177,'Cutters Consumption Updates'!AW:AW)</f>
        <v>0</v>
      </c>
      <c r="M177" s="116">
        <f>SUMIFS('Cutters Consumption Updates'!$F:$F,'Cutters Consumption Updates'!$D:$D,M$1,'Cutters Consumption Updates'!$B:$B,$B177)-SUMIFS('Cutters Consumption Updates'!$E:$E,'Cutters Consumption Updates'!$D:$D,$M$1,'Cutters Consumption Updates'!$B:$B,$B177)+SUMIFS('Cutters Consumption Updates'!$F:$F,'Cutters Consumption Updates'!$D:$D,"Retrofit",'Cutters Consumption Updates'!$B:$B,$B177)-SUMIFS('Cutters Consumption Updates'!$E:$E,'Cutters Consumption Updates'!$D:$D,"Retrofit",'Cutters Consumption Updates'!$B:$B,$B177)+ SUMIF('Cutters Consumption Updates'!$AS:$AS,$B177,'Cutters Consumption Updates'!AX:AX)</f>
        <v>5</v>
      </c>
      <c r="N177" s="10">
        <f t="shared" si="24"/>
        <v>5</v>
      </c>
      <c r="O177" s="701">
        <f ca="1">SUMIFS('Cutters Consumption Updates'!E:E,
        'Cutters Consumption Updates'!B:B, B177,
        'Cutters Consumption Updates'!A:A, "&gt;" &amp; TODAY()-182)</f>
        <v>0</v>
      </c>
      <c r="P177" s="701">
        <f ca="1">SUMIFS('Cutters Consumption Updates'!E:E,
        'Cutters Consumption Updates'!B:B, B177,
        'Cutters Consumption Updates'!A:A, "&gt;" &amp; TODAY()-91)</f>
        <v>0</v>
      </c>
      <c r="Q177" s="701">
        <f t="shared" ca="1" si="25"/>
        <v>0</v>
      </c>
      <c r="R177" s="703">
        <f t="shared" ca="1" si="26"/>
        <v>0</v>
      </c>
      <c r="S177" s="703" t="s">
        <v>29</v>
      </c>
      <c r="T177" s="24">
        <f>IFERROR(INDEX(Table5[],MATCH($B177,Table5[Component],0),2),0)</f>
        <v>0</v>
      </c>
      <c r="U177" s="24">
        <f>SUMIFS(Table7[Balance],Table7[Cutter Mat'#],$B177)</f>
        <v>0</v>
      </c>
      <c r="V177" s="24">
        <f t="shared" si="27"/>
        <v>5</v>
      </c>
      <c r="W177" s="119"/>
      <c r="X177" s="2"/>
      <c r="Z177" s="4">
        <f>IFERROR(INDEX(Table5[],MATCH($B177,Table5[Component],0),2),0)</f>
        <v>0</v>
      </c>
      <c r="AA177" s="4">
        <f>IFERROR(INDEX(Table5[],MATCH($B177,Table5[Component],0),1),0)</f>
        <v>0</v>
      </c>
      <c r="AB177" s="4" t="str">
        <f t="shared" si="28"/>
        <v/>
      </c>
      <c r="AC177" s="4" t="str">
        <f t="shared" si="29"/>
        <v/>
      </c>
      <c r="AE177" s="4">
        <f t="shared" si="30"/>
        <v>5</v>
      </c>
      <c r="AJ177" s="248" t="str">
        <f t="shared" si="31"/>
        <v/>
      </c>
      <c r="AK177" s="248" t="str">
        <f t="shared" si="32"/>
        <v/>
      </c>
      <c r="AL177">
        <f t="shared" si="33"/>
        <v>0</v>
      </c>
      <c r="AO177" s="4"/>
      <c r="AP177" s="4"/>
      <c r="AQ177">
        <f t="shared" si="35"/>
        <v>0</v>
      </c>
      <c r="AR177" s="4"/>
      <c r="AS177" s="4">
        <v>1136984</v>
      </c>
      <c r="AT177">
        <f t="shared" si="34"/>
        <v>0</v>
      </c>
    </row>
    <row r="178" spans="1:46" ht="15.65" customHeight="1" x14ac:dyDescent="0.35">
      <c r="A178" s="2">
        <v>177</v>
      </c>
      <c r="B178" s="3">
        <v>1161587</v>
      </c>
      <c r="C178" s="459" t="s">
        <v>37</v>
      </c>
      <c r="D178" s="647" t="s">
        <v>155</v>
      </c>
      <c r="E178" s="3" t="s">
        <v>156</v>
      </c>
      <c r="F178" s="292" t="s">
        <v>151</v>
      </c>
      <c r="G178" s="3" t="s">
        <v>152</v>
      </c>
      <c r="H178" s="6" t="s">
        <v>36</v>
      </c>
      <c r="I178" s="10">
        <f>SUMIFS('Cutters Consumption Updates'!$F:$F,'Cutters Consumption Updates'!$D:$D,I$1,'Cutters Consumption Updates'!$B:$B,$B178)-SUMIFS('Cutters Consumption Updates'!$E:$E,'Cutters Consumption Updates'!$D:$D,I$1,'Cutters Consumption Updates'!$B:$B,$B178)+ SUMIF('Cutters Consumption Updates'!$AS:$AS,$B178,'Cutters Consumption Updates'!AT:AT)</f>
        <v>0</v>
      </c>
      <c r="J178" s="10">
        <f>SUMIFS('Cutters Consumption Updates'!$F:$F,'Cutters Consumption Updates'!$D:$D,J$1,'Cutters Consumption Updates'!$B:$B,$B178)-SUMIFS('Cutters Consumption Updates'!$E:$E,'Cutters Consumption Updates'!$D:$D,J$1,'Cutters Consumption Updates'!$B:$B,$B178)+ SUMIF('Cutters Consumption Updates'!$AS:$AS,$B178,'Cutters Consumption Updates'!AU:AU)</f>
        <v>0</v>
      </c>
      <c r="K178" s="116">
        <f>SUMIFS('Cutters Consumption Updates'!$F:$F,'Cutters Consumption Updates'!$D:$D,K$1,'Cutters Consumption Updates'!$B:$B,$B178)-SUMIFS('Cutters Consumption Updates'!$E:$E,'Cutters Consumption Updates'!$D:$D,K$1,'Cutters Consumption Updates'!$B:$B,$B178)+ SUMIF('Cutters Consumption Updates'!$AS:$AS,$B178,'Cutters Consumption Updates'!AV:AV)</f>
        <v>0</v>
      </c>
      <c r="L178" s="738">
        <f>SUMIFS('Cutters Consumption Updates'!$F:$F,'Cutters Consumption Updates'!$D:$D,L$1,'Cutters Consumption Updates'!$B:$B,$B178)-SUMIFS('Cutters Consumption Updates'!$E:$E,'Cutters Consumption Updates'!$D:$D,L$1,'Cutters Consumption Updates'!$B:$B,$B178)+ SUMIF('Cutters Consumption Updates'!$AS:$AS,$B178,'Cutters Consumption Updates'!AW:AW)</f>
        <v>0</v>
      </c>
      <c r="M178" s="116">
        <f>SUMIFS('Cutters Consumption Updates'!$F:$F,'Cutters Consumption Updates'!$D:$D,M$1,'Cutters Consumption Updates'!$B:$B,$B178)-SUMIFS('Cutters Consumption Updates'!$E:$E,'Cutters Consumption Updates'!$D:$D,$M$1,'Cutters Consumption Updates'!$B:$B,$B178)+SUMIFS('Cutters Consumption Updates'!$F:$F,'Cutters Consumption Updates'!$D:$D,"Retrofit",'Cutters Consumption Updates'!$B:$B,$B178)-SUMIFS('Cutters Consumption Updates'!$E:$E,'Cutters Consumption Updates'!$D:$D,"Retrofit",'Cutters Consumption Updates'!$B:$B,$B178)+ SUMIF('Cutters Consumption Updates'!$AS:$AS,$B178,'Cutters Consumption Updates'!AX:AX)</f>
        <v>0</v>
      </c>
      <c r="N178" s="10">
        <f t="shared" si="24"/>
        <v>0</v>
      </c>
      <c r="O178" s="701">
        <f ca="1">SUMIFS('Cutters Consumption Updates'!E:E,
        'Cutters Consumption Updates'!B:B, B178,
        'Cutters Consumption Updates'!A:A, "&gt;" &amp; TODAY()-182)</f>
        <v>0</v>
      </c>
      <c r="P178" s="701">
        <f ca="1">SUMIFS('Cutters Consumption Updates'!E:E,
        'Cutters Consumption Updates'!B:B, B178,
        'Cutters Consumption Updates'!A:A, "&gt;" &amp; TODAY()-91)</f>
        <v>0</v>
      </c>
      <c r="Q178" s="701">
        <f t="shared" ca="1" si="25"/>
        <v>0</v>
      </c>
      <c r="R178" s="703">
        <f t="shared" ca="1" si="26"/>
        <v>0</v>
      </c>
      <c r="S178" s="703" t="s">
        <v>29</v>
      </c>
      <c r="T178" s="24">
        <f>IFERROR(INDEX(Table5[],MATCH($B178,Table5[Component],0),2),0)</f>
        <v>0</v>
      </c>
      <c r="U178" s="24">
        <f>SUMIFS(Table7[Balance],Table7[Cutter Mat'#],$B178)</f>
        <v>0</v>
      </c>
      <c r="V178" s="24">
        <f t="shared" si="27"/>
        <v>0</v>
      </c>
      <c r="W178" s="119"/>
      <c r="X178" s="2">
        <v>1078377</v>
      </c>
      <c r="Z178" s="4">
        <f>IFERROR(INDEX(Table5[],MATCH($B178,Table5[Component],0),2),0)</f>
        <v>0</v>
      </c>
      <c r="AA178" s="4">
        <f>IFERROR(INDEX(Table5[],MATCH($B178,Table5[Component],0),1),0)</f>
        <v>1161587</v>
      </c>
      <c r="AB178" s="4" t="str">
        <f t="shared" si="28"/>
        <v/>
      </c>
      <c r="AC178" s="4" t="str">
        <f t="shared" si="29"/>
        <v/>
      </c>
      <c r="AE178" s="4">
        <f t="shared" si="30"/>
        <v>0</v>
      </c>
      <c r="AJ178" s="248">
        <f t="shared" si="31"/>
        <v>36</v>
      </c>
      <c r="AK178" s="248">
        <f t="shared" ca="1" si="32"/>
        <v>245</v>
      </c>
      <c r="AL178">
        <f t="shared" si="33"/>
        <v>0</v>
      </c>
      <c r="AO178" s="4"/>
      <c r="AP178" s="4"/>
      <c r="AQ178">
        <f t="shared" si="35"/>
        <v>0</v>
      </c>
      <c r="AR178" s="4"/>
      <c r="AS178" s="4">
        <v>1137793</v>
      </c>
      <c r="AT178">
        <f t="shared" si="34"/>
        <v>0</v>
      </c>
    </row>
    <row r="179" spans="1:46" ht="15.65" customHeight="1" x14ac:dyDescent="0.35">
      <c r="A179" s="2">
        <v>178</v>
      </c>
      <c r="B179" s="3">
        <v>1209410</v>
      </c>
      <c r="C179" s="3" t="s">
        <v>94</v>
      </c>
      <c r="D179" s="3">
        <v>1613</v>
      </c>
      <c r="E179" s="3" t="s">
        <v>157</v>
      </c>
      <c r="F179" s="292" t="s">
        <v>109</v>
      </c>
      <c r="G179" s="13"/>
      <c r="H179" s="6" t="s">
        <v>49</v>
      </c>
      <c r="I179" s="10">
        <f>SUMIFS('Cutters Consumption Updates'!$F:$F,'Cutters Consumption Updates'!$D:$D,I$1,'Cutters Consumption Updates'!$B:$B,$B179)-SUMIFS('Cutters Consumption Updates'!$E:$E,'Cutters Consumption Updates'!$D:$D,I$1,'Cutters Consumption Updates'!$B:$B,$B179)+ SUMIF('Cutters Consumption Updates'!$AS:$AS,$B179,'Cutters Consumption Updates'!AT:AT)</f>
        <v>0</v>
      </c>
      <c r="J179" s="10">
        <f>SUMIFS('Cutters Consumption Updates'!$F:$F,'Cutters Consumption Updates'!$D:$D,J$1,'Cutters Consumption Updates'!$B:$B,$B179)-SUMIFS('Cutters Consumption Updates'!$E:$E,'Cutters Consumption Updates'!$D:$D,J$1,'Cutters Consumption Updates'!$B:$B,$B179)+ SUMIF('Cutters Consumption Updates'!$AS:$AS,$B179,'Cutters Consumption Updates'!AU:AU)</f>
        <v>0</v>
      </c>
      <c r="K179" s="116">
        <f>SUMIFS('Cutters Consumption Updates'!$F:$F,'Cutters Consumption Updates'!$D:$D,K$1,'Cutters Consumption Updates'!$B:$B,$B179)-SUMIFS('Cutters Consumption Updates'!$E:$E,'Cutters Consumption Updates'!$D:$D,K$1,'Cutters Consumption Updates'!$B:$B,$B179)+ SUMIF('Cutters Consumption Updates'!$AS:$AS,$B179,'Cutters Consumption Updates'!AV:AV)</f>
        <v>0</v>
      </c>
      <c r="L179" s="738">
        <f>SUMIFS('Cutters Consumption Updates'!$F:$F,'Cutters Consumption Updates'!$D:$D,L$1,'Cutters Consumption Updates'!$B:$B,$B179)-SUMIFS('Cutters Consumption Updates'!$E:$E,'Cutters Consumption Updates'!$D:$D,L$1,'Cutters Consumption Updates'!$B:$B,$B179)+ SUMIF('Cutters Consumption Updates'!$AS:$AS,$B179,'Cutters Consumption Updates'!AW:AW)</f>
        <v>13</v>
      </c>
      <c r="M179" s="116">
        <f>SUMIFS('Cutters Consumption Updates'!$F:$F,'Cutters Consumption Updates'!$D:$D,M$1,'Cutters Consumption Updates'!$B:$B,$B179)-SUMIFS('Cutters Consumption Updates'!$E:$E,'Cutters Consumption Updates'!$D:$D,$M$1,'Cutters Consumption Updates'!$B:$B,$B179)+SUMIFS('Cutters Consumption Updates'!$F:$F,'Cutters Consumption Updates'!$D:$D,"Retrofit",'Cutters Consumption Updates'!$B:$B,$B179)-SUMIFS('Cutters Consumption Updates'!$E:$E,'Cutters Consumption Updates'!$D:$D,"Retrofit",'Cutters Consumption Updates'!$B:$B,$B179)+ SUMIF('Cutters Consumption Updates'!$AS:$AS,$B179,'Cutters Consumption Updates'!AX:AX)</f>
        <v>53</v>
      </c>
      <c r="N179" s="10">
        <f t="shared" si="24"/>
        <v>53</v>
      </c>
      <c r="O179" s="701">
        <f ca="1">SUMIFS('Cutters Consumption Updates'!E:E,
        'Cutters Consumption Updates'!B:B, B179,
        'Cutters Consumption Updates'!A:A, "&gt;" &amp; TODAY()-182)</f>
        <v>23</v>
      </c>
      <c r="P179" s="701">
        <f ca="1">SUMIFS('Cutters Consumption Updates'!E:E,
        'Cutters Consumption Updates'!B:B, B179,
        'Cutters Consumption Updates'!A:A, "&gt;" &amp; TODAY()-91)</f>
        <v>6</v>
      </c>
      <c r="Q179" s="701">
        <f t="shared" ca="1" si="25"/>
        <v>8</v>
      </c>
      <c r="R179" s="703">
        <f t="shared" ca="1" si="26"/>
        <v>10</v>
      </c>
      <c r="S179" s="703" t="s">
        <v>158</v>
      </c>
      <c r="T179" s="24">
        <f>IFERROR(INDEX(Table5[],MATCH($B179,Table5[Component],0),2),0)</f>
        <v>0</v>
      </c>
      <c r="U179" s="24">
        <f>SUMIFS(Table7[Balance],Table7[Cutter Mat'#],$B179)</f>
        <v>0</v>
      </c>
      <c r="V179" s="24">
        <f t="shared" si="27"/>
        <v>53</v>
      </c>
      <c r="W179" s="119"/>
      <c r="X179" s="2"/>
      <c r="Z179" s="4">
        <f>IFERROR(INDEX(Table5[],MATCH($B179,Table5[Component],0),2),0)</f>
        <v>0</v>
      </c>
      <c r="AA179" s="4">
        <f>IFERROR(INDEX(Table5[],MATCH($B179,Table5[Component],0),1),0)</f>
        <v>0</v>
      </c>
      <c r="AB179" s="4" t="str">
        <f t="shared" si="28"/>
        <v/>
      </c>
      <c r="AC179" s="4" t="str">
        <f t="shared" si="29"/>
        <v/>
      </c>
      <c r="AE179" s="4">
        <f t="shared" si="30"/>
        <v>53</v>
      </c>
      <c r="AJ179" s="248" t="str">
        <f t="shared" si="31"/>
        <v/>
      </c>
      <c r="AK179" s="248" t="str">
        <f t="shared" si="32"/>
        <v/>
      </c>
      <c r="AL179">
        <f t="shared" si="33"/>
        <v>0</v>
      </c>
      <c r="AO179" s="4"/>
      <c r="AP179" s="4"/>
      <c r="AQ179">
        <f t="shared" si="35"/>
        <v>0</v>
      </c>
      <c r="AR179" s="4"/>
      <c r="AS179" s="4">
        <v>1141583</v>
      </c>
      <c r="AT179">
        <f t="shared" si="34"/>
        <v>0</v>
      </c>
    </row>
    <row r="180" spans="1:46" ht="15.65" customHeight="1" x14ac:dyDescent="0.35">
      <c r="A180" s="2">
        <v>179</v>
      </c>
      <c r="B180" s="3">
        <v>1177229</v>
      </c>
      <c r="C180" s="3" t="s">
        <v>26</v>
      </c>
      <c r="D180" s="3">
        <v>1010</v>
      </c>
      <c r="E180" s="3" t="s">
        <v>114</v>
      </c>
      <c r="F180" s="292" t="s">
        <v>109</v>
      </c>
      <c r="G180" s="13"/>
      <c r="H180" s="6" t="s">
        <v>49</v>
      </c>
      <c r="I180" s="10">
        <f>SUMIFS('Cutters Consumption Updates'!$F:$F,'Cutters Consumption Updates'!$D:$D,I$1,'Cutters Consumption Updates'!$B:$B,$B180)-SUMIFS('Cutters Consumption Updates'!$E:$E,'Cutters Consumption Updates'!$D:$D,I$1,'Cutters Consumption Updates'!$B:$B,$B180)+ SUMIF('Cutters Consumption Updates'!$AS:$AS,$B180,'Cutters Consumption Updates'!AT:AT)</f>
        <v>0</v>
      </c>
      <c r="J180" s="10">
        <f>SUMIFS('Cutters Consumption Updates'!$F:$F,'Cutters Consumption Updates'!$D:$D,J$1,'Cutters Consumption Updates'!$B:$B,$B180)-SUMIFS('Cutters Consumption Updates'!$E:$E,'Cutters Consumption Updates'!$D:$D,J$1,'Cutters Consumption Updates'!$B:$B,$B180)+ SUMIF('Cutters Consumption Updates'!$AS:$AS,$B180,'Cutters Consumption Updates'!AU:AU)</f>
        <v>0</v>
      </c>
      <c r="K180" s="116">
        <f>SUMIFS('Cutters Consumption Updates'!$F:$F,'Cutters Consumption Updates'!$D:$D,K$1,'Cutters Consumption Updates'!$B:$B,$B180)-SUMIFS('Cutters Consumption Updates'!$E:$E,'Cutters Consumption Updates'!$D:$D,K$1,'Cutters Consumption Updates'!$B:$B,$B180)+ SUMIF('Cutters Consumption Updates'!$AS:$AS,$B180,'Cutters Consumption Updates'!AV:AV)</f>
        <v>0</v>
      </c>
      <c r="L180" s="738">
        <f>SUMIFS('Cutters Consumption Updates'!$F:$F,'Cutters Consumption Updates'!$D:$D,L$1,'Cutters Consumption Updates'!$B:$B,$B180)-SUMIFS('Cutters Consumption Updates'!$E:$E,'Cutters Consumption Updates'!$D:$D,L$1,'Cutters Consumption Updates'!$B:$B,$B180)+ SUMIF('Cutters Consumption Updates'!$AS:$AS,$B180,'Cutters Consumption Updates'!AW:AW)</f>
        <v>0</v>
      </c>
      <c r="M180" s="116">
        <f>SUMIFS('Cutters Consumption Updates'!$F:$F,'Cutters Consumption Updates'!$D:$D,M$1,'Cutters Consumption Updates'!$B:$B,$B180)-SUMIFS('Cutters Consumption Updates'!$E:$E,'Cutters Consumption Updates'!$D:$D,$M$1,'Cutters Consumption Updates'!$B:$B,$B180)+SUMIFS('Cutters Consumption Updates'!$F:$F,'Cutters Consumption Updates'!$D:$D,"Retrofit",'Cutters Consumption Updates'!$B:$B,$B180)-SUMIFS('Cutters Consumption Updates'!$E:$E,'Cutters Consumption Updates'!$D:$D,"Retrofit",'Cutters Consumption Updates'!$B:$B,$B180)+ SUMIF('Cutters Consumption Updates'!$AS:$AS,$B180,'Cutters Consumption Updates'!AX:AX)</f>
        <v>0</v>
      </c>
      <c r="N180" s="10">
        <f t="shared" si="24"/>
        <v>0</v>
      </c>
      <c r="O180" s="701">
        <f ca="1">SUMIFS('Cutters Consumption Updates'!E:E,
        'Cutters Consumption Updates'!B:B, B180,
        'Cutters Consumption Updates'!A:A, "&gt;" &amp; TODAY()-182)</f>
        <v>0</v>
      </c>
      <c r="P180" s="701">
        <f ca="1">SUMIFS('Cutters Consumption Updates'!E:E,
        'Cutters Consumption Updates'!B:B, B180,
        'Cutters Consumption Updates'!A:A, "&gt;" &amp; TODAY()-91)</f>
        <v>0</v>
      </c>
      <c r="Q180" s="701">
        <f t="shared" ca="1" si="25"/>
        <v>0</v>
      </c>
      <c r="R180" s="703">
        <f t="shared" ca="1" si="26"/>
        <v>0</v>
      </c>
      <c r="S180" s="703" t="s">
        <v>140</v>
      </c>
      <c r="T180" s="24">
        <f>IFERROR(INDEX(Table5[],MATCH($B180,Table5[Component],0),2),0)</f>
        <v>0</v>
      </c>
      <c r="U180" s="24">
        <f>SUMIFS(Table7[Balance],Table7[Cutter Mat'#],$B180)</f>
        <v>0</v>
      </c>
      <c r="V180" s="24">
        <f t="shared" si="27"/>
        <v>0</v>
      </c>
      <c r="W180" s="119"/>
      <c r="X180" s="2"/>
      <c r="Z180" s="4">
        <f>IFERROR(INDEX(Table5[],MATCH($B180,Table5[Component],0),2),0)</f>
        <v>0</v>
      </c>
      <c r="AA180" s="4">
        <f>IFERROR(INDEX(Table5[],MATCH($B180,Table5[Component],0),1),0)</f>
        <v>1177229</v>
      </c>
      <c r="AB180" s="4" t="str">
        <f t="shared" si="28"/>
        <v/>
      </c>
      <c r="AC180" s="4" t="str">
        <f t="shared" si="29"/>
        <v/>
      </c>
      <c r="AE180" s="4">
        <f t="shared" si="30"/>
        <v>0</v>
      </c>
      <c r="AJ180" s="248" t="str">
        <f t="shared" si="31"/>
        <v/>
      </c>
      <c r="AK180" s="248" t="str">
        <f t="shared" si="32"/>
        <v/>
      </c>
      <c r="AL180">
        <f t="shared" si="33"/>
        <v>0</v>
      </c>
      <c r="AO180" s="4"/>
      <c r="AP180" s="4"/>
      <c r="AQ180">
        <f t="shared" si="35"/>
        <v>0</v>
      </c>
      <c r="AR180" s="4"/>
      <c r="AS180" s="4">
        <v>1142710</v>
      </c>
      <c r="AT180">
        <f t="shared" si="34"/>
        <v>0</v>
      </c>
    </row>
    <row r="181" spans="1:46" ht="15.65" customHeight="1" x14ac:dyDescent="0.35">
      <c r="A181" s="2">
        <v>180</v>
      </c>
      <c r="B181" s="3">
        <v>1209332</v>
      </c>
      <c r="C181" s="3" t="s">
        <v>159</v>
      </c>
      <c r="D181" s="3">
        <v>1313</v>
      </c>
      <c r="E181" s="3" t="s">
        <v>160</v>
      </c>
      <c r="F181" s="292" t="s">
        <v>109</v>
      </c>
      <c r="G181" s="13"/>
      <c r="H181" s="6" t="s">
        <v>161</v>
      </c>
      <c r="I181" s="10">
        <f>SUMIFS('Cutters Consumption Updates'!$F:$F,'Cutters Consumption Updates'!$D:$D,I$1,'Cutters Consumption Updates'!$B:$B,$B181)-SUMIFS('Cutters Consumption Updates'!$E:$E,'Cutters Consumption Updates'!$D:$D,I$1,'Cutters Consumption Updates'!$B:$B,$B181)+ SUMIF('Cutters Consumption Updates'!$AS:$AS,$B181,'Cutters Consumption Updates'!AT:AT)</f>
        <v>0</v>
      </c>
      <c r="J181" s="10">
        <f>SUMIFS('Cutters Consumption Updates'!$F:$F,'Cutters Consumption Updates'!$D:$D,J$1,'Cutters Consumption Updates'!$B:$B,$B181)-SUMIFS('Cutters Consumption Updates'!$E:$E,'Cutters Consumption Updates'!$D:$D,J$1,'Cutters Consumption Updates'!$B:$B,$B181)+ SUMIF('Cutters Consumption Updates'!$AS:$AS,$B181,'Cutters Consumption Updates'!AU:AU)</f>
        <v>0</v>
      </c>
      <c r="K181" s="116">
        <f>SUMIFS('Cutters Consumption Updates'!$F:$F,'Cutters Consumption Updates'!$D:$D,K$1,'Cutters Consumption Updates'!$B:$B,$B181)-SUMIFS('Cutters Consumption Updates'!$E:$E,'Cutters Consumption Updates'!$D:$D,K$1,'Cutters Consumption Updates'!$B:$B,$B181)+ SUMIF('Cutters Consumption Updates'!$AS:$AS,$B181,'Cutters Consumption Updates'!AV:AV)</f>
        <v>0</v>
      </c>
      <c r="L181" s="738">
        <f>SUMIFS('Cutters Consumption Updates'!$F:$F,'Cutters Consumption Updates'!$D:$D,L$1,'Cutters Consumption Updates'!$B:$B,$B181)-SUMIFS('Cutters Consumption Updates'!$E:$E,'Cutters Consumption Updates'!$D:$D,L$1,'Cutters Consumption Updates'!$B:$B,$B181)+ SUMIF('Cutters Consumption Updates'!$AS:$AS,$B181,'Cutters Consumption Updates'!AW:AW)</f>
        <v>9</v>
      </c>
      <c r="M181" s="116">
        <f>SUMIFS('Cutters Consumption Updates'!$F:$F,'Cutters Consumption Updates'!$D:$D,M$1,'Cutters Consumption Updates'!$B:$B,$B181)-SUMIFS('Cutters Consumption Updates'!$E:$E,'Cutters Consumption Updates'!$D:$D,$M$1,'Cutters Consumption Updates'!$B:$B,$B181)+SUMIFS('Cutters Consumption Updates'!$F:$F,'Cutters Consumption Updates'!$D:$D,"Retrofit",'Cutters Consumption Updates'!$B:$B,$B181)-SUMIFS('Cutters Consumption Updates'!$E:$E,'Cutters Consumption Updates'!$D:$D,"Retrofit",'Cutters Consumption Updates'!$B:$B,$B181)+ SUMIF('Cutters Consumption Updates'!$AS:$AS,$B181,'Cutters Consumption Updates'!AX:AX)</f>
        <v>0</v>
      </c>
      <c r="N181" s="10">
        <f t="shared" si="24"/>
        <v>0</v>
      </c>
      <c r="O181" s="701">
        <f ca="1">SUMIFS('Cutters Consumption Updates'!E:E,
        'Cutters Consumption Updates'!B:B, B181,
        'Cutters Consumption Updates'!A:A, "&gt;" &amp; TODAY()-182)</f>
        <v>1</v>
      </c>
      <c r="P181" s="701">
        <f ca="1">SUMIFS('Cutters Consumption Updates'!E:E,
        'Cutters Consumption Updates'!B:B, B181,
        'Cutters Consumption Updates'!A:A, "&gt;" &amp; TODAY()-91)</f>
        <v>1</v>
      </c>
      <c r="Q181" s="701">
        <f t="shared" ca="1" si="25"/>
        <v>1</v>
      </c>
      <c r="R181" s="703">
        <f t="shared" ca="1" si="26"/>
        <v>0</v>
      </c>
      <c r="S181" s="703" t="s">
        <v>29</v>
      </c>
      <c r="T181" s="24">
        <f>IFERROR(INDEX(Table5[],MATCH($B181,Table5[Component],0),2),0)</f>
        <v>0</v>
      </c>
      <c r="U181" s="24">
        <f>SUMIFS(Table7[Balance],Table7[Cutter Mat'#],$B181)</f>
        <v>0</v>
      </c>
      <c r="V181" s="24">
        <f t="shared" si="27"/>
        <v>0</v>
      </c>
      <c r="W181" s="119"/>
      <c r="X181" s="2"/>
      <c r="Z181" s="4">
        <f>IFERROR(INDEX(Table5[],MATCH($B181,Table5[Component],0),2),0)</f>
        <v>0</v>
      </c>
      <c r="AA181" s="4">
        <f>IFERROR(INDEX(Table5[],MATCH($B181,Table5[Component],0),1),0)</f>
        <v>1209332</v>
      </c>
      <c r="AB181" s="4" t="str">
        <f t="shared" si="28"/>
        <v/>
      </c>
      <c r="AC181" s="4" t="str">
        <f t="shared" si="29"/>
        <v/>
      </c>
      <c r="AE181" s="4">
        <f t="shared" si="30"/>
        <v>0</v>
      </c>
      <c r="AJ181" s="248" t="str">
        <f t="shared" si="31"/>
        <v/>
      </c>
      <c r="AK181" s="248" t="str">
        <f t="shared" si="32"/>
        <v/>
      </c>
      <c r="AL181">
        <f t="shared" si="33"/>
        <v>0</v>
      </c>
      <c r="AO181" s="4"/>
      <c r="AP181" s="4"/>
      <c r="AQ181">
        <f t="shared" si="35"/>
        <v>0</v>
      </c>
      <c r="AR181" s="4"/>
      <c r="AS181" s="4">
        <v>1142711</v>
      </c>
      <c r="AT181">
        <f t="shared" si="34"/>
        <v>0</v>
      </c>
    </row>
    <row r="182" spans="1:46" ht="15.65" customHeight="1" x14ac:dyDescent="0.35">
      <c r="A182" s="2">
        <v>181</v>
      </c>
      <c r="B182" s="3">
        <v>1100694</v>
      </c>
      <c r="C182" s="3" t="s">
        <v>26</v>
      </c>
      <c r="D182" s="3">
        <v>1308</v>
      </c>
      <c r="E182" s="3" t="s">
        <v>111</v>
      </c>
      <c r="F182" s="292" t="s">
        <v>248</v>
      </c>
      <c r="G182" s="13"/>
      <c r="H182" s="6" t="s">
        <v>49</v>
      </c>
      <c r="I182" s="10">
        <f>SUMIFS('Cutters Consumption Updates'!$F:$F,'Cutters Consumption Updates'!$D:$D,I$1,'Cutters Consumption Updates'!$B:$B,$B182)-SUMIFS('Cutters Consumption Updates'!$E:$E,'Cutters Consumption Updates'!$D:$D,I$1,'Cutters Consumption Updates'!$B:$B,$B182)+ SUMIF('Cutters Consumption Updates'!$AS:$AS,$B182,'Cutters Consumption Updates'!AT:AT)</f>
        <v>0</v>
      </c>
      <c r="J182" s="10">
        <f>SUMIFS('Cutters Consumption Updates'!$F:$F,'Cutters Consumption Updates'!$D:$D,J$1,'Cutters Consumption Updates'!$B:$B,$B182)-SUMIFS('Cutters Consumption Updates'!$E:$E,'Cutters Consumption Updates'!$D:$D,J$1,'Cutters Consumption Updates'!$B:$B,$B182)+ SUMIF('Cutters Consumption Updates'!$AS:$AS,$B182,'Cutters Consumption Updates'!AU:AU)</f>
        <v>0</v>
      </c>
      <c r="K182" s="116">
        <f>SUMIFS('Cutters Consumption Updates'!$F:$F,'Cutters Consumption Updates'!$D:$D,K$1,'Cutters Consumption Updates'!$B:$B,$B182)-SUMIFS('Cutters Consumption Updates'!$E:$E,'Cutters Consumption Updates'!$D:$D,K$1,'Cutters Consumption Updates'!$B:$B,$B182)+ SUMIF('Cutters Consumption Updates'!$AS:$AS,$B182,'Cutters Consumption Updates'!AV:AV)</f>
        <v>0</v>
      </c>
      <c r="L182" s="738">
        <f>SUMIFS('Cutters Consumption Updates'!$F:$F,'Cutters Consumption Updates'!$D:$D,L$1,'Cutters Consumption Updates'!$B:$B,$B182)-SUMIFS('Cutters Consumption Updates'!$E:$E,'Cutters Consumption Updates'!$D:$D,L$1,'Cutters Consumption Updates'!$B:$B,$B182)+ SUMIF('Cutters Consumption Updates'!$AS:$AS,$B182,'Cutters Consumption Updates'!AW:AW)</f>
        <v>0</v>
      </c>
      <c r="M182" s="116">
        <f>SUMIFS('Cutters Consumption Updates'!$F:$F,'Cutters Consumption Updates'!$D:$D,M$1,'Cutters Consumption Updates'!$B:$B,$B182)-SUMIFS('Cutters Consumption Updates'!$E:$E,'Cutters Consumption Updates'!$D:$D,$M$1,'Cutters Consumption Updates'!$B:$B,$B182)+SUMIFS('Cutters Consumption Updates'!$F:$F,'Cutters Consumption Updates'!$D:$D,"Retrofit",'Cutters Consumption Updates'!$B:$B,$B182)-SUMIFS('Cutters Consumption Updates'!$E:$E,'Cutters Consumption Updates'!$D:$D,"Retrofit",'Cutters Consumption Updates'!$B:$B,$B182)+ SUMIF('Cutters Consumption Updates'!$AS:$AS,$B182,'Cutters Consumption Updates'!AX:AX)</f>
        <v>1</v>
      </c>
      <c r="N182" s="10">
        <f t="shared" si="24"/>
        <v>1</v>
      </c>
      <c r="O182" s="701">
        <f ca="1">SUMIFS('Cutters Consumption Updates'!E:E,
        'Cutters Consumption Updates'!B:B, B182,
        'Cutters Consumption Updates'!A:A, "&gt;" &amp; TODAY()-182)</f>
        <v>0</v>
      </c>
      <c r="P182" s="701">
        <f ca="1">SUMIFS('Cutters Consumption Updates'!E:E,
        'Cutters Consumption Updates'!B:B, B182,
        'Cutters Consumption Updates'!A:A, "&gt;" &amp; TODAY()-91)</f>
        <v>0</v>
      </c>
      <c r="Q182" s="701">
        <f t="shared" ca="1" si="25"/>
        <v>0</v>
      </c>
      <c r="R182" s="703">
        <f t="shared" ca="1" si="26"/>
        <v>0</v>
      </c>
      <c r="S182" s="703" t="s">
        <v>29</v>
      </c>
      <c r="T182" s="24">
        <f>IFERROR(INDEX(Table5[],MATCH($B182,Table5[Component],0),2),0)</f>
        <v>0</v>
      </c>
      <c r="U182" s="24">
        <f>SUMIFS(Table7[Balance],Table7[Cutter Mat'#],$B182)</f>
        <v>0</v>
      </c>
      <c r="V182" s="24">
        <f t="shared" si="27"/>
        <v>1</v>
      </c>
      <c r="W182" s="119"/>
      <c r="X182" s="2"/>
      <c r="Z182" s="4">
        <f>IFERROR(INDEX(Table5[],MATCH($B182,Table5[Component],0),2),0)</f>
        <v>0</v>
      </c>
      <c r="AA182" s="4">
        <f>IFERROR(INDEX(Table5[],MATCH($B182,Table5[Component],0),1),0)</f>
        <v>1100694</v>
      </c>
      <c r="AB182" s="4" t="str">
        <f t="shared" si="28"/>
        <v/>
      </c>
      <c r="AC182" s="4" t="str">
        <f t="shared" si="29"/>
        <v/>
      </c>
      <c r="AE182" s="4">
        <f t="shared" si="30"/>
        <v>1</v>
      </c>
      <c r="AJ182" s="248" t="str">
        <f t="shared" si="31"/>
        <v/>
      </c>
      <c r="AK182" s="248" t="str">
        <f t="shared" si="32"/>
        <v/>
      </c>
      <c r="AL182">
        <f t="shared" si="33"/>
        <v>0</v>
      </c>
      <c r="AO182" s="4"/>
      <c r="AP182" s="4"/>
      <c r="AQ182">
        <f t="shared" si="35"/>
        <v>0</v>
      </c>
      <c r="AR182" s="4"/>
      <c r="AS182" s="4">
        <v>1144689</v>
      </c>
      <c r="AT182">
        <f t="shared" si="34"/>
        <v>0</v>
      </c>
    </row>
    <row r="183" spans="1:46" ht="15.65" customHeight="1" x14ac:dyDescent="0.35">
      <c r="A183" s="2">
        <v>182</v>
      </c>
      <c r="B183" s="3">
        <v>1199265</v>
      </c>
      <c r="C183" s="3" t="s">
        <v>26</v>
      </c>
      <c r="D183" s="3">
        <v>1613</v>
      </c>
      <c r="E183" s="3" t="s">
        <v>139</v>
      </c>
      <c r="F183" s="3" t="s">
        <v>253</v>
      </c>
      <c r="G183" s="13"/>
      <c r="H183" s="6" t="s">
        <v>49</v>
      </c>
      <c r="I183" s="10">
        <f>SUMIFS('Cutters Consumption Updates'!$F:$F,'Cutters Consumption Updates'!$D:$D,I$1,'Cutters Consumption Updates'!$B:$B,$B183)-SUMIFS('Cutters Consumption Updates'!$E:$E,'Cutters Consumption Updates'!$D:$D,I$1,'Cutters Consumption Updates'!$B:$B,$B183)+ SUMIF('Cutters Consumption Updates'!$AS:$AS,$B183,'Cutters Consumption Updates'!AT:AT)</f>
        <v>0</v>
      </c>
      <c r="J183" s="10">
        <f>SUMIFS('Cutters Consumption Updates'!$F:$F,'Cutters Consumption Updates'!$D:$D,J$1,'Cutters Consumption Updates'!$B:$B,$B183)-SUMIFS('Cutters Consumption Updates'!$E:$E,'Cutters Consumption Updates'!$D:$D,J$1,'Cutters Consumption Updates'!$B:$B,$B183)+ SUMIF('Cutters Consumption Updates'!$AS:$AS,$B183,'Cutters Consumption Updates'!AU:AU)</f>
        <v>0</v>
      </c>
      <c r="K183" s="116">
        <f>SUMIFS('Cutters Consumption Updates'!$F:$F,'Cutters Consumption Updates'!$D:$D,K$1,'Cutters Consumption Updates'!$B:$B,$B183)-SUMIFS('Cutters Consumption Updates'!$E:$E,'Cutters Consumption Updates'!$D:$D,K$1,'Cutters Consumption Updates'!$B:$B,$B183)+ SUMIF('Cutters Consumption Updates'!$AS:$AS,$B183,'Cutters Consumption Updates'!AV:AV)</f>
        <v>0</v>
      </c>
      <c r="L183" s="738">
        <f>SUMIFS('Cutters Consumption Updates'!$F:$F,'Cutters Consumption Updates'!$D:$D,L$1,'Cutters Consumption Updates'!$B:$B,$B183)-SUMIFS('Cutters Consumption Updates'!$E:$E,'Cutters Consumption Updates'!$D:$D,L$1,'Cutters Consumption Updates'!$B:$B,$B183)+ SUMIF('Cutters Consumption Updates'!$AS:$AS,$B183,'Cutters Consumption Updates'!AW:AW)</f>
        <v>0</v>
      </c>
      <c r="M183" s="116">
        <f>SUMIFS('Cutters Consumption Updates'!$F:$F,'Cutters Consumption Updates'!$D:$D,M$1,'Cutters Consumption Updates'!$B:$B,$B183)-SUMIFS('Cutters Consumption Updates'!$E:$E,'Cutters Consumption Updates'!$D:$D,$M$1,'Cutters Consumption Updates'!$B:$B,$B183)+SUMIFS('Cutters Consumption Updates'!$F:$F,'Cutters Consumption Updates'!$D:$D,"Retrofit",'Cutters Consumption Updates'!$B:$B,$B183)-SUMIFS('Cutters Consumption Updates'!$E:$E,'Cutters Consumption Updates'!$D:$D,"Retrofit",'Cutters Consumption Updates'!$B:$B,$B183)+ SUMIF('Cutters Consumption Updates'!$AS:$AS,$B183,'Cutters Consumption Updates'!AX:AX)</f>
        <v>1</v>
      </c>
      <c r="N183" s="10">
        <f t="shared" si="24"/>
        <v>1</v>
      </c>
      <c r="O183" s="701">
        <f ca="1">SUMIFS('Cutters Consumption Updates'!E:E,
        'Cutters Consumption Updates'!B:B, B183,
        'Cutters Consumption Updates'!A:A, "&gt;" &amp; TODAY()-182)</f>
        <v>0</v>
      </c>
      <c r="P183" s="701">
        <f ca="1">SUMIFS('Cutters Consumption Updates'!E:E,
        'Cutters Consumption Updates'!B:B, B183,
        'Cutters Consumption Updates'!A:A, "&gt;" &amp; TODAY()-91)</f>
        <v>0</v>
      </c>
      <c r="Q183" s="701">
        <f t="shared" ca="1" si="25"/>
        <v>0</v>
      </c>
      <c r="R183" s="703">
        <f t="shared" ca="1" si="26"/>
        <v>0</v>
      </c>
      <c r="S183" s="703" t="s">
        <v>64</v>
      </c>
      <c r="T183" s="24">
        <f>IFERROR(INDEX(Table5[],MATCH($B183,Table5[Component],0),2),0)</f>
        <v>0</v>
      </c>
      <c r="U183" s="24">
        <f>SUMIFS(Table7[Balance],Table7[Cutter Mat'#],$B183)</f>
        <v>0</v>
      </c>
      <c r="V183" s="24">
        <f t="shared" si="27"/>
        <v>1</v>
      </c>
      <c r="W183" s="119"/>
      <c r="X183" s="2"/>
      <c r="Z183" s="4">
        <f>IFERROR(INDEX(Table5[],MATCH($B183,Table5[Component],0),2),0)</f>
        <v>0</v>
      </c>
      <c r="AA183" s="4">
        <f>IFERROR(INDEX(Table5[],MATCH($B183,Table5[Component],0),1),0)</f>
        <v>0</v>
      </c>
      <c r="AB183" s="4" t="str">
        <f t="shared" si="28"/>
        <v/>
      </c>
      <c r="AC183" s="4" t="str">
        <f t="shared" si="29"/>
        <v/>
      </c>
      <c r="AE183" s="4">
        <f t="shared" si="30"/>
        <v>1</v>
      </c>
      <c r="AJ183" s="248" t="str">
        <f t="shared" si="31"/>
        <v/>
      </c>
      <c r="AK183" s="248" t="str">
        <f t="shared" si="32"/>
        <v/>
      </c>
      <c r="AL183">
        <f t="shared" si="33"/>
        <v>0</v>
      </c>
      <c r="AO183" s="4"/>
      <c r="AP183" s="4"/>
      <c r="AQ183">
        <f t="shared" si="35"/>
        <v>0</v>
      </c>
      <c r="AR183" s="4"/>
      <c r="AS183" s="4">
        <v>1144818</v>
      </c>
      <c r="AT183">
        <f t="shared" si="34"/>
        <v>0</v>
      </c>
    </row>
    <row r="184" spans="1:46" ht="15.65" customHeight="1" x14ac:dyDescent="0.35">
      <c r="A184" s="2">
        <v>183</v>
      </c>
      <c r="B184" s="3">
        <v>1199266</v>
      </c>
      <c r="C184" s="3" t="s">
        <v>26</v>
      </c>
      <c r="D184" s="3">
        <v>1913</v>
      </c>
      <c r="E184" s="3" t="s">
        <v>162</v>
      </c>
      <c r="F184" s="3" t="s">
        <v>253</v>
      </c>
      <c r="G184" s="13"/>
      <c r="H184" s="6" t="s">
        <v>49</v>
      </c>
      <c r="I184" s="10">
        <f>SUMIFS('Cutters Consumption Updates'!$F:$F,'Cutters Consumption Updates'!$D:$D,I$1,'Cutters Consumption Updates'!$B:$B,$B184)-SUMIFS('Cutters Consumption Updates'!$E:$E,'Cutters Consumption Updates'!$D:$D,I$1,'Cutters Consumption Updates'!$B:$B,$B184)+ SUMIF('Cutters Consumption Updates'!$AS:$AS,$B184,'Cutters Consumption Updates'!AT:AT)</f>
        <v>0</v>
      </c>
      <c r="J184" s="10">
        <f>SUMIFS('Cutters Consumption Updates'!$F:$F,'Cutters Consumption Updates'!$D:$D,J$1,'Cutters Consumption Updates'!$B:$B,$B184)-SUMIFS('Cutters Consumption Updates'!$E:$E,'Cutters Consumption Updates'!$D:$D,J$1,'Cutters Consumption Updates'!$B:$B,$B184)+ SUMIF('Cutters Consumption Updates'!$AS:$AS,$B184,'Cutters Consumption Updates'!AU:AU)</f>
        <v>0</v>
      </c>
      <c r="K184" s="116">
        <f>SUMIFS('Cutters Consumption Updates'!$F:$F,'Cutters Consumption Updates'!$D:$D,K$1,'Cutters Consumption Updates'!$B:$B,$B184)-SUMIFS('Cutters Consumption Updates'!$E:$E,'Cutters Consumption Updates'!$D:$D,K$1,'Cutters Consumption Updates'!$B:$B,$B184)+ SUMIF('Cutters Consumption Updates'!$AS:$AS,$B184,'Cutters Consumption Updates'!AV:AV)</f>
        <v>0</v>
      </c>
      <c r="L184" s="738">
        <f>SUMIFS('Cutters Consumption Updates'!$F:$F,'Cutters Consumption Updates'!$D:$D,L$1,'Cutters Consumption Updates'!$B:$B,$B184)-SUMIFS('Cutters Consumption Updates'!$E:$E,'Cutters Consumption Updates'!$D:$D,L$1,'Cutters Consumption Updates'!$B:$B,$B184)+ SUMIF('Cutters Consumption Updates'!$AS:$AS,$B184,'Cutters Consumption Updates'!AW:AW)</f>
        <v>0</v>
      </c>
      <c r="M184" s="116">
        <f>SUMIFS('Cutters Consumption Updates'!$F:$F,'Cutters Consumption Updates'!$D:$D,M$1,'Cutters Consumption Updates'!$B:$B,$B184)-SUMIFS('Cutters Consumption Updates'!$E:$E,'Cutters Consumption Updates'!$D:$D,$M$1,'Cutters Consumption Updates'!$B:$B,$B184)+SUMIFS('Cutters Consumption Updates'!$F:$F,'Cutters Consumption Updates'!$D:$D,"Retrofit",'Cutters Consumption Updates'!$B:$B,$B184)-SUMIFS('Cutters Consumption Updates'!$E:$E,'Cutters Consumption Updates'!$D:$D,"Retrofit",'Cutters Consumption Updates'!$B:$B,$B184)+ SUMIF('Cutters Consumption Updates'!$AS:$AS,$B184,'Cutters Consumption Updates'!AX:AX)</f>
        <v>0</v>
      </c>
      <c r="N184" s="10">
        <f t="shared" si="24"/>
        <v>0</v>
      </c>
      <c r="O184" s="701">
        <f ca="1">SUMIFS('Cutters Consumption Updates'!E:E,
        'Cutters Consumption Updates'!B:B, B184,
        'Cutters Consumption Updates'!A:A, "&gt;" &amp; TODAY()-182)</f>
        <v>0</v>
      </c>
      <c r="P184" s="701">
        <f ca="1">SUMIFS('Cutters Consumption Updates'!E:E,
        'Cutters Consumption Updates'!B:B, B184,
        'Cutters Consumption Updates'!A:A, "&gt;" &amp; TODAY()-91)</f>
        <v>0</v>
      </c>
      <c r="Q184" s="701">
        <f t="shared" ca="1" si="25"/>
        <v>0</v>
      </c>
      <c r="R184" s="703">
        <f t="shared" ca="1" si="26"/>
        <v>0</v>
      </c>
      <c r="S184" s="703" t="s">
        <v>29</v>
      </c>
      <c r="T184" s="24">
        <f>IFERROR(INDEX(Table5[],MATCH($B184,Table5[Component],0),2),0)</f>
        <v>0</v>
      </c>
      <c r="U184" s="24">
        <f>SUMIFS(Table7[Balance],Table7[Cutter Mat'#],$B184)</f>
        <v>0</v>
      </c>
      <c r="V184" s="24">
        <f t="shared" si="27"/>
        <v>0</v>
      </c>
      <c r="W184" s="119"/>
      <c r="X184" s="2"/>
      <c r="Z184" s="4">
        <f>IFERROR(INDEX(Table5[],MATCH($B184,Table5[Component],0),2),0)</f>
        <v>0</v>
      </c>
      <c r="AA184" s="4">
        <f>IFERROR(INDEX(Table5[],MATCH($B184,Table5[Component],0),1),0)</f>
        <v>0</v>
      </c>
      <c r="AB184" s="4" t="str">
        <f t="shared" si="28"/>
        <v/>
      </c>
      <c r="AC184" s="4" t="str">
        <f t="shared" si="29"/>
        <v/>
      </c>
      <c r="AE184" s="4">
        <f t="shared" si="30"/>
        <v>0</v>
      </c>
      <c r="AJ184" s="248" t="str">
        <f t="shared" si="31"/>
        <v/>
      </c>
      <c r="AK184" s="248" t="str">
        <f t="shared" si="32"/>
        <v/>
      </c>
      <c r="AL184">
        <f t="shared" si="33"/>
        <v>0</v>
      </c>
      <c r="AO184" s="4"/>
      <c r="AP184" s="4"/>
      <c r="AQ184">
        <f t="shared" si="35"/>
        <v>0</v>
      </c>
      <c r="AR184" s="4"/>
      <c r="AS184" s="4">
        <v>1144820</v>
      </c>
      <c r="AT184">
        <f t="shared" si="34"/>
        <v>0</v>
      </c>
    </row>
    <row r="185" spans="1:46" ht="15.65" customHeight="1" x14ac:dyDescent="0.35">
      <c r="A185" s="2">
        <v>184</v>
      </c>
      <c r="B185" s="3">
        <v>1145491</v>
      </c>
      <c r="C185" s="3" t="s">
        <v>26</v>
      </c>
      <c r="D185" s="3">
        <v>1308</v>
      </c>
      <c r="E185" s="3" t="s">
        <v>130</v>
      </c>
      <c r="F185" s="292" t="s">
        <v>248</v>
      </c>
      <c r="G185" s="13"/>
      <c r="H185" s="6" t="s">
        <v>49</v>
      </c>
      <c r="I185" s="10">
        <f>SUMIFS('Cutters Consumption Updates'!$F:$F,'Cutters Consumption Updates'!$D:$D,I$1,'Cutters Consumption Updates'!$B:$B,$B185)-SUMIFS('Cutters Consumption Updates'!$E:$E,'Cutters Consumption Updates'!$D:$D,I$1,'Cutters Consumption Updates'!$B:$B,$B185)+ SUMIF('Cutters Consumption Updates'!$AS:$AS,$B185,'Cutters Consumption Updates'!AT:AT)</f>
        <v>0</v>
      </c>
      <c r="J185" s="10">
        <f>SUMIFS('Cutters Consumption Updates'!$F:$F,'Cutters Consumption Updates'!$D:$D,J$1,'Cutters Consumption Updates'!$B:$B,$B185)-SUMIFS('Cutters Consumption Updates'!$E:$E,'Cutters Consumption Updates'!$D:$D,J$1,'Cutters Consumption Updates'!$B:$B,$B185)+ SUMIF('Cutters Consumption Updates'!$AS:$AS,$B185,'Cutters Consumption Updates'!AU:AU)</f>
        <v>0</v>
      </c>
      <c r="K185" s="116">
        <f>SUMIFS('Cutters Consumption Updates'!$F:$F,'Cutters Consumption Updates'!$D:$D,K$1,'Cutters Consumption Updates'!$B:$B,$B185)-SUMIFS('Cutters Consumption Updates'!$E:$E,'Cutters Consumption Updates'!$D:$D,K$1,'Cutters Consumption Updates'!$B:$B,$B185)+ SUMIF('Cutters Consumption Updates'!$AS:$AS,$B185,'Cutters Consumption Updates'!AV:AV)</f>
        <v>0</v>
      </c>
      <c r="L185" s="738">
        <f>SUMIFS('Cutters Consumption Updates'!$F:$F,'Cutters Consumption Updates'!$D:$D,L$1,'Cutters Consumption Updates'!$B:$B,$B185)-SUMIFS('Cutters Consumption Updates'!$E:$E,'Cutters Consumption Updates'!$D:$D,L$1,'Cutters Consumption Updates'!$B:$B,$B185)+ SUMIF('Cutters Consumption Updates'!$AS:$AS,$B185,'Cutters Consumption Updates'!AW:AW)</f>
        <v>0</v>
      </c>
      <c r="M185" s="116">
        <f>SUMIFS('Cutters Consumption Updates'!$F:$F,'Cutters Consumption Updates'!$D:$D,M$1,'Cutters Consumption Updates'!$B:$B,$B185)-SUMIFS('Cutters Consumption Updates'!$E:$E,'Cutters Consumption Updates'!$D:$D,$M$1,'Cutters Consumption Updates'!$B:$B,$B185)+SUMIFS('Cutters Consumption Updates'!$F:$F,'Cutters Consumption Updates'!$D:$D,"Retrofit",'Cutters Consumption Updates'!$B:$B,$B185)-SUMIFS('Cutters Consumption Updates'!$E:$E,'Cutters Consumption Updates'!$D:$D,"Retrofit",'Cutters Consumption Updates'!$B:$B,$B185)+ SUMIF('Cutters Consumption Updates'!$AS:$AS,$B185,'Cutters Consumption Updates'!AX:AX)</f>
        <v>5</v>
      </c>
      <c r="N185" s="10">
        <f t="shared" si="24"/>
        <v>5</v>
      </c>
      <c r="O185" s="701">
        <f ca="1">SUMIFS('Cutters Consumption Updates'!E:E,
        'Cutters Consumption Updates'!B:B, B185,
        'Cutters Consumption Updates'!A:A, "&gt;" &amp; TODAY()-182)</f>
        <v>5</v>
      </c>
      <c r="P185" s="701">
        <f ca="1">SUMIFS('Cutters Consumption Updates'!E:E,
        'Cutters Consumption Updates'!B:B, B185,
        'Cutters Consumption Updates'!A:A, "&gt;" &amp; TODAY()-91)</f>
        <v>5</v>
      </c>
      <c r="Q185" s="701">
        <f t="shared" ca="1" si="25"/>
        <v>2</v>
      </c>
      <c r="R185" s="703">
        <f t="shared" ca="1" si="26"/>
        <v>5</v>
      </c>
      <c r="S185" s="703" t="s">
        <v>29</v>
      </c>
      <c r="T185" s="24">
        <f>IFERROR(INDEX(Table5[],MATCH($B185,Table5[Component],0),2),0)</f>
        <v>10</v>
      </c>
      <c r="U185" s="24">
        <f>SUMIFS(Table7[Balance],Table7[Cutter Mat'#],$B185)</f>
        <v>0</v>
      </c>
      <c r="V185" s="24">
        <f t="shared" si="27"/>
        <v>-5</v>
      </c>
      <c r="W185" s="119"/>
      <c r="X185" s="2"/>
      <c r="Z185" s="4">
        <f>IFERROR(INDEX(Table5[],MATCH($B185,Table5[Component],0),2),0)</f>
        <v>10</v>
      </c>
      <c r="AA185" s="4">
        <f>IFERROR(INDEX(Table5[],MATCH($B185,Table5[Component],0),1),0)</f>
        <v>1145491</v>
      </c>
      <c r="AB185" s="4">
        <f t="shared" si="28"/>
        <v>1145491</v>
      </c>
      <c r="AC185" s="4" t="str">
        <f t="shared" si="29"/>
        <v/>
      </c>
      <c r="AE185" s="4">
        <f t="shared" si="30"/>
        <v>5</v>
      </c>
      <c r="AJ185" s="248" t="str">
        <f t="shared" si="31"/>
        <v/>
      </c>
      <c r="AK185" s="248" t="str">
        <f t="shared" si="32"/>
        <v/>
      </c>
      <c r="AL185">
        <f t="shared" si="33"/>
        <v>0</v>
      </c>
      <c r="AO185" s="4"/>
      <c r="AP185" s="4"/>
      <c r="AQ185">
        <f t="shared" si="35"/>
        <v>0</v>
      </c>
      <c r="AR185" s="4"/>
      <c r="AS185" s="4">
        <v>1144821</v>
      </c>
      <c r="AT185">
        <f t="shared" si="34"/>
        <v>0</v>
      </c>
    </row>
    <row r="186" spans="1:46" ht="15.65" customHeight="1" x14ac:dyDescent="0.35">
      <c r="A186" s="2">
        <v>185</v>
      </c>
      <c r="B186" s="3">
        <v>1100740</v>
      </c>
      <c r="C186" s="3" t="s">
        <v>26</v>
      </c>
      <c r="D186" s="3">
        <v>1613</v>
      </c>
      <c r="E186" s="3" t="s">
        <v>111</v>
      </c>
      <c r="F186" s="292" t="s">
        <v>248</v>
      </c>
      <c r="G186" s="13"/>
      <c r="H186" s="6" t="s">
        <v>49</v>
      </c>
      <c r="I186" s="10">
        <f>SUMIFS('Cutters Consumption Updates'!$F:$F,'Cutters Consumption Updates'!$D:$D,I$1,'Cutters Consumption Updates'!$B:$B,$B186)-SUMIFS('Cutters Consumption Updates'!$E:$E,'Cutters Consumption Updates'!$D:$D,I$1,'Cutters Consumption Updates'!$B:$B,$B186)+ SUMIF('Cutters Consumption Updates'!$AS:$AS,$B186,'Cutters Consumption Updates'!AT:AT)</f>
        <v>0</v>
      </c>
      <c r="J186" s="10">
        <f>SUMIFS('Cutters Consumption Updates'!$F:$F,'Cutters Consumption Updates'!$D:$D,J$1,'Cutters Consumption Updates'!$B:$B,$B186)-SUMIFS('Cutters Consumption Updates'!$E:$E,'Cutters Consumption Updates'!$D:$D,J$1,'Cutters Consumption Updates'!$B:$B,$B186)+ SUMIF('Cutters Consumption Updates'!$AS:$AS,$B186,'Cutters Consumption Updates'!AU:AU)</f>
        <v>0</v>
      </c>
      <c r="K186" s="116">
        <f>SUMIFS('Cutters Consumption Updates'!$F:$F,'Cutters Consumption Updates'!$D:$D,K$1,'Cutters Consumption Updates'!$B:$B,$B186)-SUMIFS('Cutters Consumption Updates'!$E:$E,'Cutters Consumption Updates'!$D:$D,K$1,'Cutters Consumption Updates'!$B:$B,$B186)+ SUMIF('Cutters Consumption Updates'!$AS:$AS,$B186,'Cutters Consumption Updates'!AV:AV)</f>
        <v>0</v>
      </c>
      <c r="L186" s="738">
        <f>SUMIFS('Cutters Consumption Updates'!$F:$F,'Cutters Consumption Updates'!$D:$D,L$1,'Cutters Consumption Updates'!$B:$B,$B186)-SUMIFS('Cutters Consumption Updates'!$E:$E,'Cutters Consumption Updates'!$D:$D,L$1,'Cutters Consumption Updates'!$B:$B,$B186)+ SUMIF('Cutters Consumption Updates'!$AS:$AS,$B186,'Cutters Consumption Updates'!AW:AW)</f>
        <v>0</v>
      </c>
      <c r="M186" s="116">
        <f>SUMIFS('Cutters Consumption Updates'!$F:$F,'Cutters Consumption Updates'!$D:$D,M$1,'Cutters Consumption Updates'!$B:$B,$B186)-SUMIFS('Cutters Consumption Updates'!$E:$E,'Cutters Consumption Updates'!$D:$D,$M$1,'Cutters Consumption Updates'!$B:$B,$B186)+SUMIFS('Cutters Consumption Updates'!$F:$F,'Cutters Consumption Updates'!$D:$D,"Retrofit",'Cutters Consumption Updates'!$B:$B,$B186)-SUMIFS('Cutters Consumption Updates'!$E:$E,'Cutters Consumption Updates'!$D:$D,"Retrofit",'Cutters Consumption Updates'!$B:$B,$B186)+ SUMIF('Cutters Consumption Updates'!$AS:$AS,$B186,'Cutters Consumption Updates'!AX:AX)</f>
        <v>0</v>
      </c>
      <c r="N186" s="10">
        <f t="shared" si="24"/>
        <v>0</v>
      </c>
      <c r="O186" s="701">
        <f ca="1">SUMIFS('Cutters Consumption Updates'!E:E,
        'Cutters Consumption Updates'!B:B, B186,
        'Cutters Consumption Updates'!A:A, "&gt;" &amp; TODAY()-182)</f>
        <v>0</v>
      </c>
      <c r="P186" s="701">
        <f ca="1">SUMIFS('Cutters Consumption Updates'!E:E,
        'Cutters Consumption Updates'!B:B, B186,
        'Cutters Consumption Updates'!A:A, "&gt;" &amp; TODAY()-91)</f>
        <v>0</v>
      </c>
      <c r="Q186" s="701">
        <f t="shared" ca="1" si="25"/>
        <v>0</v>
      </c>
      <c r="R186" s="703">
        <f t="shared" ca="1" si="26"/>
        <v>0</v>
      </c>
      <c r="S186" s="703" t="s">
        <v>115</v>
      </c>
      <c r="T186" s="24">
        <f>IFERROR(INDEX(Table5[],MATCH($B186,Table5[Component],0),2),0)</f>
        <v>0</v>
      </c>
      <c r="U186" s="24">
        <f>SUMIFS(Table7[Balance],Table7[Cutter Mat'#],$B186)</f>
        <v>0</v>
      </c>
      <c r="V186" s="24">
        <f t="shared" si="27"/>
        <v>0</v>
      </c>
      <c r="W186" s="119"/>
      <c r="X186" s="2"/>
      <c r="Z186" s="4">
        <f>IFERROR(INDEX(Table5[],MATCH($B186,Table5[Component],0),2),0)</f>
        <v>0</v>
      </c>
      <c r="AA186" s="4">
        <f>IFERROR(INDEX(Table5[],MATCH($B186,Table5[Component],0),1),0)</f>
        <v>0</v>
      </c>
      <c r="AB186" s="4" t="str">
        <f t="shared" si="28"/>
        <v/>
      </c>
      <c r="AC186" s="4" t="str">
        <f t="shared" si="29"/>
        <v/>
      </c>
      <c r="AE186" s="4">
        <f t="shared" si="30"/>
        <v>0</v>
      </c>
      <c r="AJ186" s="248" t="str">
        <f t="shared" si="31"/>
        <v/>
      </c>
      <c r="AK186" s="248" t="str">
        <f t="shared" si="32"/>
        <v/>
      </c>
      <c r="AL186">
        <f t="shared" si="33"/>
        <v>0</v>
      </c>
      <c r="AO186" s="4"/>
      <c r="AP186" s="4"/>
      <c r="AQ186">
        <f t="shared" si="35"/>
        <v>0</v>
      </c>
      <c r="AR186" s="4"/>
      <c r="AS186" s="4">
        <v>1145491</v>
      </c>
      <c r="AT186">
        <f t="shared" si="34"/>
        <v>0</v>
      </c>
    </row>
    <row r="187" spans="1:46" ht="15.65" customHeight="1" x14ac:dyDescent="0.35">
      <c r="A187" s="2">
        <v>186</v>
      </c>
      <c r="B187" s="3">
        <v>1165840</v>
      </c>
      <c r="C187" s="3" t="s">
        <v>26</v>
      </c>
      <c r="D187" s="3">
        <v>1613</v>
      </c>
      <c r="E187" s="3" t="s">
        <v>163</v>
      </c>
      <c r="F187" s="292" t="s">
        <v>109</v>
      </c>
      <c r="G187" s="3" t="s">
        <v>164</v>
      </c>
      <c r="H187" s="6" t="s">
        <v>49</v>
      </c>
      <c r="I187" s="10">
        <f>SUMIFS('Cutters Consumption Updates'!$F:$F,'Cutters Consumption Updates'!$D:$D,I$1,'Cutters Consumption Updates'!$B:$B,$B187)-SUMIFS('Cutters Consumption Updates'!$E:$E,'Cutters Consumption Updates'!$D:$D,I$1,'Cutters Consumption Updates'!$B:$B,$B187)+ SUMIF('Cutters Consumption Updates'!$AS:$AS,$B187,'Cutters Consumption Updates'!AT:AT)</f>
        <v>0</v>
      </c>
      <c r="J187" s="10">
        <f>SUMIFS('Cutters Consumption Updates'!$F:$F,'Cutters Consumption Updates'!$D:$D,J$1,'Cutters Consumption Updates'!$B:$B,$B187)-SUMIFS('Cutters Consumption Updates'!$E:$E,'Cutters Consumption Updates'!$D:$D,J$1,'Cutters Consumption Updates'!$B:$B,$B187)+ SUMIF('Cutters Consumption Updates'!$AS:$AS,$B187,'Cutters Consumption Updates'!AU:AU)</f>
        <v>0</v>
      </c>
      <c r="K187" s="116">
        <f>SUMIFS('Cutters Consumption Updates'!$F:$F,'Cutters Consumption Updates'!$D:$D,K$1,'Cutters Consumption Updates'!$B:$B,$B187)-SUMIFS('Cutters Consumption Updates'!$E:$E,'Cutters Consumption Updates'!$D:$D,K$1,'Cutters Consumption Updates'!$B:$B,$B187)+ SUMIF('Cutters Consumption Updates'!$AS:$AS,$B187,'Cutters Consumption Updates'!AV:AV)</f>
        <v>0</v>
      </c>
      <c r="L187" s="738">
        <f>SUMIFS('Cutters Consumption Updates'!$F:$F,'Cutters Consumption Updates'!$D:$D,L$1,'Cutters Consumption Updates'!$B:$B,$B187)-SUMIFS('Cutters Consumption Updates'!$E:$E,'Cutters Consumption Updates'!$D:$D,L$1,'Cutters Consumption Updates'!$B:$B,$B187)+ SUMIF('Cutters Consumption Updates'!$AS:$AS,$B187,'Cutters Consumption Updates'!AW:AW)</f>
        <v>0</v>
      </c>
      <c r="M187" s="116">
        <f>SUMIFS('Cutters Consumption Updates'!$F:$F,'Cutters Consumption Updates'!$D:$D,M$1,'Cutters Consumption Updates'!$B:$B,$B187)-SUMIFS('Cutters Consumption Updates'!$E:$E,'Cutters Consumption Updates'!$D:$D,$M$1,'Cutters Consumption Updates'!$B:$B,$B187)+SUMIFS('Cutters Consumption Updates'!$F:$F,'Cutters Consumption Updates'!$D:$D,"Retrofit",'Cutters Consumption Updates'!$B:$B,$B187)-SUMIFS('Cutters Consumption Updates'!$E:$E,'Cutters Consumption Updates'!$D:$D,"Retrofit",'Cutters Consumption Updates'!$B:$B,$B187)+ SUMIF('Cutters Consumption Updates'!$AS:$AS,$B187,'Cutters Consumption Updates'!AX:AX)</f>
        <v>0</v>
      </c>
      <c r="N187" s="10">
        <f t="shared" si="24"/>
        <v>0</v>
      </c>
      <c r="O187" s="701">
        <f ca="1">SUMIFS('Cutters Consumption Updates'!E:E,
        'Cutters Consumption Updates'!B:B, B187,
        'Cutters Consumption Updates'!A:A, "&gt;" &amp; TODAY()-182)</f>
        <v>0</v>
      </c>
      <c r="P187" s="701">
        <f ca="1">SUMIFS('Cutters Consumption Updates'!E:E,
        'Cutters Consumption Updates'!B:B, B187,
        'Cutters Consumption Updates'!A:A, "&gt;" &amp; TODAY()-91)</f>
        <v>0</v>
      </c>
      <c r="Q187" s="701">
        <f t="shared" ca="1" si="25"/>
        <v>0</v>
      </c>
      <c r="R187" s="703">
        <f t="shared" ca="1" si="26"/>
        <v>0</v>
      </c>
      <c r="S187" s="703" t="s">
        <v>29</v>
      </c>
      <c r="T187" s="24">
        <f>IFERROR(INDEX(Table5[],MATCH($B187,Table5[Component],0),2),0)</f>
        <v>0</v>
      </c>
      <c r="U187" s="24">
        <f>SUMIFS(Table7[Balance],Table7[Cutter Mat'#],$B187)</f>
        <v>0</v>
      </c>
      <c r="V187" s="24">
        <f t="shared" si="27"/>
        <v>0</v>
      </c>
      <c r="W187" s="119"/>
      <c r="X187" s="2">
        <v>1133896</v>
      </c>
      <c r="Z187" s="4">
        <f>IFERROR(INDEX(Table5[],MATCH($B187,Table5[Component],0),2),0)</f>
        <v>0</v>
      </c>
      <c r="AA187" s="4">
        <f>IFERROR(INDEX(Table5[],MATCH($B187,Table5[Component],0),1),0)</f>
        <v>0</v>
      </c>
      <c r="AB187" s="4" t="str">
        <f t="shared" si="28"/>
        <v/>
      </c>
      <c r="AC187" s="4" t="str">
        <f t="shared" si="29"/>
        <v/>
      </c>
      <c r="AE187" s="4">
        <f t="shared" si="30"/>
        <v>0</v>
      </c>
      <c r="AJ187" s="248">
        <f t="shared" si="31"/>
        <v>0</v>
      </c>
      <c r="AK187" s="248">
        <f t="shared" ca="1" si="32"/>
        <v>0</v>
      </c>
      <c r="AL187">
        <f t="shared" si="33"/>
        <v>0</v>
      </c>
      <c r="AO187" s="4"/>
      <c r="AP187" s="4"/>
      <c r="AQ187">
        <f t="shared" si="35"/>
        <v>0</v>
      </c>
      <c r="AR187" s="4"/>
      <c r="AS187" s="4">
        <v>1145493</v>
      </c>
      <c r="AT187">
        <f t="shared" si="34"/>
        <v>0</v>
      </c>
    </row>
    <row r="188" spans="1:46" ht="15.65" customHeight="1" x14ac:dyDescent="0.35">
      <c r="A188" s="2">
        <v>187</v>
      </c>
      <c r="B188" s="3">
        <v>1133896</v>
      </c>
      <c r="C188" s="3" t="s">
        <v>26</v>
      </c>
      <c r="D188" s="3">
        <v>1613</v>
      </c>
      <c r="E188" s="3" t="s">
        <v>111</v>
      </c>
      <c r="F188" s="292" t="s">
        <v>109</v>
      </c>
      <c r="G188" s="13"/>
      <c r="H188" s="6" t="s">
        <v>49</v>
      </c>
      <c r="I188" s="10">
        <f>SUMIFS('Cutters Consumption Updates'!$F:$F,'Cutters Consumption Updates'!$D:$D,I$1,'Cutters Consumption Updates'!$B:$B,$B188)-SUMIFS('Cutters Consumption Updates'!$E:$E,'Cutters Consumption Updates'!$D:$D,I$1,'Cutters Consumption Updates'!$B:$B,$B188)+ SUMIF('Cutters Consumption Updates'!$AS:$AS,$B188,'Cutters Consumption Updates'!AT:AT)</f>
        <v>0</v>
      </c>
      <c r="J188" s="10">
        <f>SUMIFS('Cutters Consumption Updates'!$F:$F,'Cutters Consumption Updates'!$D:$D,J$1,'Cutters Consumption Updates'!$B:$B,$B188)-SUMIFS('Cutters Consumption Updates'!$E:$E,'Cutters Consumption Updates'!$D:$D,J$1,'Cutters Consumption Updates'!$B:$B,$B188)+ SUMIF('Cutters Consumption Updates'!$AS:$AS,$B188,'Cutters Consumption Updates'!AU:AU)</f>
        <v>0</v>
      </c>
      <c r="K188" s="116">
        <f>SUMIFS('Cutters Consumption Updates'!$F:$F,'Cutters Consumption Updates'!$D:$D,K$1,'Cutters Consumption Updates'!$B:$B,$B188)-SUMIFS('Cutters Consumption Updates'!$E:$E,'Cutters Consumption Updates'!$D:$D,K$1,'Cutters Consumption Updates'!$B:$B,$B188)+ SUMIF('Cutters Consumption Updates'!$AS:$AS,$B188,'Cutters Consumption Updates'!AV:AV)</f>
        <v>0</v>
      </c>
      <c r="L188" s="738">
        <f>SUMIFS('Cutters Consumption Updates'!$F:$F,'Cutters Consumption Updates'!$D:$D,L$1,'Cutters Consumption Updates'!$B:$B,$B188)-SUMIFS('Cutters Consumption Updates'!$E:$E,'Cutters Consumption Updates'!$D:$D,L$1,'Cutters Consumption Updates'!$B:$B,$B188)+ SUMIF('Cutters Consumption Updates'!$AS:$AS,$B188,'Cutters Consumption Updates'!AW:AW)</f>
        <v>3</v>
      </c>
      <c r="M188" s="116">
        <f>SUMIFS('Cutters Consumption Updates'!$F:$F,'Cutters Consumption Updates'!$D:$D,M$1,'Cutters Consumption Updates'!$B:$B,$B188)-SUMIFS('Cutters Consumption Updates'!$E:$E,'Cutters Consumption Updates'!$D:$D,$M$1,'Cutters Consumption Updates'!$B:$B,$B188)+SUMIFS('Cutters Consumption Updates'!$F:$F,'Cutters Consumption Updates'!$D:$D,"Retrofit",'Cutters Consumption Updates'!$B:$B,$B188)-SUMIFS('Cutters Consumption Updates'!$E:$E,'Cutters Consumption Updates'!$D:$D,"Retrofit",'Cutters Consumption Updates'!$B:$B,$B188)+ SUMIF('Cutters Consumption Updates'!$AS:$AS,$B188,'Cutters Consumption Updates'!AX:AX)</f>
        <v>0</v>
      </c>
      <c r="N188" s="10">
        <f t="shared" si="24"/>
        <v>0</v>
      </c>
      <c r="O188" s="701">
        <f ca="1">SUMIFS('Cutters Consumption Updates'!E:E,
        'Cutters Consumption Updates'!B:B, B188,
        'Cutters Consumption Updates'!A:A, "&gt;" &amp; TODAY()-182)</f>
        <v>0</v>
      </c>
      <c r="P188" s="701">
        <f ca="1">SUMIFS('Cutters Consumption Updates'!E:E,
        'Cutters Consumption Updates'!B:B, B188,
        'Cutters Consumption Updates'!A:A, "&gt;" &amp; TODAY()-91)</f>
        <v>0</v>
      </c>
      <c r="Q188" s="701">
        <f t="shared" ca="1" si="25"/>
        <v>0</v>
      </c>
      <c r="R188" s="703">
        <f t="shared" ca="1" si="26"/>
        <v>0</v>
      </c>
      <c r="S188" s="703" t="s">
        <v>115</v>
      </c>
      <c r="T188" s="24">
        <f>IFERROR(INDEX(Table5[],MATCH($B188,Table5[Component],0),2),0)</f>
        <v>0</v>
      </c>
      <c r="U188" s="24">
        <f>SUMIFS(Table7[Balance],Table7[Cutter Mat'#],$B188)</f>
        <v>0</v>
      </c>
      <c r="V188" s="24">
        <f t="shared" si="27"/>
        <v>0</v>
      </c>
      <c r="W188" s="119"/>
      <c r="X188" s="2"/>
      <c r="Z188" s="4">
        <f>IFERROR(INDEX(Table5[],MATCH($B188,Table5[Component],0),2),0)</f>
        <v>0</v>
      </c>
      <c r="AA188" s="4">
        <f>IFERROR(INDEX(Table5[],MATCH($B188,Table5[Component],0),1),0)</f>
        <v>0</v>
      </c>
      <c r="AB188" s="4" t="str">
        <f t="shared" si="28"/>
        <v/>
      </c>
      <c r="AC188" s="4" t="str">
        <f t="shared" si="29"/>
        <v/>
      </c>
      <c r="AE188" s="4">
        <f t="shared" si="30"/>
        <v>0</v>
      </c>
      <c r="AJ188" s="248" t="str">
        <f t="shared" si="31"/>
        <v/>
      </c>
      <c r="AK188" s="248" t="str">
        <f t="shared" si="32"/>
        <v/>
      </c>
      <c r="AL188">
        <f t="shared" si="33"/>
        <v>0</v>
      </c>
      <c r="AO188" s="4"/>
      <c r="AP188" s="4"/>
      <c r="AQ188">
        <f t="shared" si="35"/>
        <v>0</v>
      </c>
      <c r="AR188" s="4"/>
      <c r="AS188" s="4">
        <v>1146345</v>
      </c>
      <c r="AT188">
        <f t="shared" si="34"/>
        <v>0</v>
      </c>
    </row>
    <row r="189" spans="1:46" ht="15.65" customHeight="1" x14ac:dyDescent="0.35">
      <c r="A189" s="2">
        <v>188</v>
      </c>
      <c r="B189" s="3">
        <v>1130194</v>
      </c>
      <c r="C189" s="3" t="s">
        <v>26</v>
      </c>
      <c r="D189" s="3">
        <v>1010</v>
      </c>
      <c r="E189" s="3" t="s">
        <v>114</v>
      </c>
      <c r="F189" s="292" t="s">
        <v>253</v>
      </c>
      <c r="G189" s="13"/>
      <c r="H189" s="6" t="s">
        <v>49</v>
      </c>
      <c r="I189" s="10">
        <f>SUMIFS('Cutters Consumption Updates'!$F:$F,'Cutters Consumption Updates'!$D:$D,I$1,'Cutters Consumption Updates'!$B:$B,$B189)-SUMIFS('Cutters Consumption Updates'!$E:$E,'Cutters Consumption Updates'!$D:$D,I$1,'Cutters Consumption Updates'!$B:$B,$B189)+ SUMIF('Cutters Consumption Updates'!$AS:$AS,$B189,'Cutters Consumption Updates'!AT:AT)</f>
        <v>0</v>
      </c>
      <c r="J189" s="10">
        <f>SUMIFS('Cutters Consumption Updates'!$F:$F,'Cutters Consumption Updates'!$D:$D,J$1,'Cutters Consumption Updates'!$B:$B,$B189)-SUMIFS('Cutters Consumption Updates'!$E:$E,'Cutters Consumption Updates'!$D:$D,J$1,'Cutters Consumption Updates'!$B:$B,$B189)+ SUMIF('Cutters Consumption Updates'!$AS:$AS,$B189,'Cutters Consumption Updates'!AU:AU)</f>
        <v>0</v>
      </c>
      <c r="K189" s="116">
        <f>SUMIFS('Cutters Consumption Updates'!$F:$F,'Cutters Consumption Updates'!$D:$D,K$1,'Cutters Consumption Updates'!$B:$B,$B189)-SUMIFS('Cutters Consumption Updates'!$E:$E,'Cutters Consumption Updates'!$D:$D,K$1,'Cutters Consumption Updates'!$B:$B,$B189)+ SUMIF('Cutters Consumption Updates'!$AS:$AS,$B189,'Cutters Consumption Updates'!AV:AV)</f>
        <v>12</v>
      </c>
      <c r="L189" s="738">
        <f>SUMIFS('Cutters Consumption Updates'!$F:$F,'Cutters Consumption Updates'!$D:$D,L$1,'Cutters Consumption Updates'!$B:$B,$B189)-SUMIFS('Cutters Consumption Updates'!$E:$E,'Cutters Consumption Updates'!$D:$D,L$1,'Cutters Consumption Updates'!$B:$B,$B189)+ SUMIF('Cutters Consumption Updates'!$AS:$AS,$B189,'Cutters Consumption Updates'!AW:AW)</f>
        <v>0</v>
      </c>
      <c r="M189" s="116">
        <f>SUMIFS('Cutters Consumption Updates'!$F:$F,'Cutters Consumption Updates'!$D:$D,M$1,'Cutters Consumption Updates'!$B:$B,$B189)-SUMIFS('Cutters Consumption Updates'!$E:$E,'Cutters Consumption Updates'!$D:$D,$M$1,'Cutters Consumption Updates'!$B:$B,$B189)+SUMIFS('Cutters Consumption Updates'!$F:$F,'Cutters Consumption Updates'!$D:$D,"Retrofit",'Cutters Consumption Updates'!$B:$B,$B189)-SUMIFS('Cutters Consumption Updates'!$E:$E,'Cutters Consumption Updates'!$D:$D,"Retrofit",'Cutters Consumption Updates'!$B:$B,$B189)+ SUMIF('Cutters Consumption Updates'!$AS:$AS,$B189,'Cutters Consumption Updates'!AX:AX)</f>
        <v>0</v>
      </c>
      <c r="N189" s="10">
        <f t="shared" si="24"/>
        <v>0</v>
      </c>
      <c r="O189" s="701">
        <f ca="1">SUMIFS('Cutters Consumption Updates'!E:E,
        'Cutters Consumption Updates'!B:B, B189,
        'Cutters Consumption Updates'!A:A, "&gt;" &amp; TODAY()-182)</f>
        <v>0</v>
      </c>
      <c r="P189" s="701">
        <f ca="1">SUMIFS('Cutters Consumption Updates'!E:E,
        'Cutters Consumption Updates'!B:B, B189,
        'Cutters Consumption Updates'!A:A, "&gt;" &amp; TODAY()-91)</f>
        <v>0</v>
      </c>
      <c r="Q189" s="701">
        <f t="shared" ca="1" si="25"/>
        <v>0</v>
      </c>
      <c r="R189" s="703">
        <f t="shared" ca="1" si="26"/>
        <v>0</v>
      </c>
      <c r="S189" s="703" t="s">
        <v>140</v>
      </c>
      <c r="T189" s="24">
        <f>IFERROR(INDEX(Table5[],MATCH($B189,Table5[Component],0),2),0)</f>
        <v>0</v>
      </c>
      <c r="U189" s="24">
        <f>SUMIFS(Table7[Balance],Table7[Cutter Mat'#],$B189)</f>
        <v>0</v>
      </c>
      <c r="V189" s="24">
        <f t="shared" si="27"/>
        <v>0</v>
      </c>
      <c r="W189" s="119"/>
      <c r="X189" s="2"/>
      <c r="Z189" s="4">
        <f>IFERROR(INDEX(Table5[],MATCH($B189,Table5[Component],0),2),0)</f>
        <v>0</v>
      </c>
      <c r="AA189" s="4">
        <f>IFERROR(INDEX(Table5[],MATCH($B189,Table5[Component],0),1),0)</f>
        <v>0</v>
      </c>
      <c r="AB189" s="4" t="str">
        <f t="shared" si="28"/>
        <v/>
      </c>
      <c r="AC189" s="4" t="str">
        <f t="shared" si="29"/>
        <v/>
      </c>
      <c r="AE189" s="4">
        <f t="shared" si="30"/>
        <v>12</v>
      </c>
      <c r="AJ189" s="248" t="str">
        <f t="shared" si="31"/>
        <v/>
      </c>
      <c r="AK189" s="248" t="str">
        <f t="shared" si="32"/>
        <v/>
      </c>
      <c r="AL189">
        <f t="shared" si="33"/>
        <v>0</v>
      </c>
      <c r="AO189" s="4"/>
      <c r="AP189" s="4"/>
      <c r="AQ189">
        <f t="shared" si="35"/>
        <v>0</v>
      </c>
      <c r="AR189" s="4"/>
      <c r="AS189" s="4">
        <v>1146346</v>
      </c>
      <c r="AT189">
        <f t="shared" si="34"/>
        <v>225</v>
      </c>
    </row>
    <row r="190" spans="1:46" ht="15.65" customHeight="1" x14ac:dyDescent="0.35">
      <c r="A190" s="2">
        <v>189</v>
      </c>
      <c r="B190" s="3">
        <v>1217988</v>
      </c>
      <c r="C190" s="3" t="s">
        <v>124</v>
      </c>
      <c r="D190" s="3">
        <v>1313</v>
      </c>
      <c r="E190" s="3" t="s">
        <v>165</v>
      </c>
      <c r="F190" s="292" t="s">
        <v>248</v>
      </c>
      <c r="G190" s="3" t="s">
        <v>166</v>
      </c>
      <c r="H190" s="6" t="s">
        <v>49</v>
      </c>
      <c r="I190" s="10">
        <f>SUMIFS('Cutters Consumption Updates'!$F:$F,'Cutters Consumption Updates'!$D:$D,I$1,'Cutters Consumption Updates'!$B:$B,$B190)-SUMIFS('Cutters Consumption Updates'!$E:$E,'Cutters Consumption Updates'!$D:$D,I$1,'Cutters Consumption Updates'!$B:$B,$B190)+ SUMIF('Cutters Consumption Updates'!$AS:$AS,$B190,'Cutters Consumption Updates'!AT:AT)</f>
        <v>0</v>
      </c>
      <c r="J190" s="10">
        <f>SUMIFS('Cutters Consumption Updates'!$F:$F,'Cutters Consumption Updates'!$D:$D,J$1,'Cutters Consumption Updates'!$B:$B,$B190)-SUMIFS('Cutters Consumption Updates'!$E:$E,'Cutters Consumption Updates'!$D:$D,J$1,'Cutters Consumption Updates'!$B:$B,$B190)+ SUMIF('Cutters Consumption Updates'!$AS:$AS,$B190,'Cutters Consumption Updates'!AU:AU)</f>
        <v>0</v>
      </c>
      <c r="K190" s="116">
        <f>SUMIFS('Cutters Consumption Updates'!$F:$F,'Cutters Consumption Updates'!$D:$D,K$1,'Cutters Consumption Updates'!$B:$B,$B190)-SUMIFS('Cutters Consumption Updates'!$E:$E,'Cutters Consumption Updates'!$D:$D,K$1,'Cutters Consumption Updates'!$B:$B,$B190)+ SUMIF('Cutters Consumption Updates'!$AS:$AS,$B190,'Cutters Consumption Updates'!AV:AV)</f>
        <v>0</v>
      </c>
      <c r="L190" s="738">
        <f>SUMIFS('Cutters Consumption Updates'!$F:$F,'Cutters Consumption Updates'!$D:$D,L$1,'Cutters Consumption Updates'!$B:$B,$B190)-SUMIFS('Cutters Consumption Updates'!$E:$E,'Cutters Consumption Updates'!$D:$D,L$1,'Cutters Consumption Updates'!$B:$B,$B190)+ SUMIF('Cutters Consumption Updates'!$AS:$AS,$B190,'Cutters Consumption Updates'!AW:AW)</f>
        <v>0</v>
      </c>
      <c r="M190" s="116">
        <f>SUMIFS('Cutters Consumption Updates'!$F:$F,'Cutters Consumption Updates'!$D:$D,M$1,'Cutters Consumption Updates'!$B:$B,$B190)-SUMIFS('Cutters Consumption Updates'!$E:$E,'Cutters Consumption Updates'!$D:$D,$M$1,'Cutters Consumption Updates'!$B:$B,$B190)+SUMIFS('Cutters Consumption Updates'!$F:$F,'Cutters Consumption Updates'!$D:$D,"Retrofit",'Cutters Consumption Updates'!$B:$B,$B190)-SUMIFS('Cutters Consumption Updates'!$E:$E,'Cutters Consumption Updates'!$D:$D,"Retrofit",'Cutters Consumption Updates'!$B:$B,$B190)+ SUMIF('Cutters Consumption Updates'!$AS:$AS,$B190,'Cutters Consumption Updates'!AX:AX)</f>
        <v>0</v>
      </c>
      <c r="N190" s="10">
        <f t="shared" si="24"/>
        <v>0</v>
      </c>
      <c r="O190" s="701">
        <f ca="1">SUMIFS('Cutters Consumption Updates'!E:E,
        'Cutters Consumption Updates'!B:B, B190,
        'Cutters Consumption Updates'!A:A, "&gt;" &amp; TODAY()-182)</f>
        <v>0</v>
      </c>
      <c r="P190" s="701">
        <f ca="1">SUMIFS('Cutters Consumption Updates'!E:E,
        'Cutters Consumption Updates'!B:B, B190,
        'Cutters Consumption Updates'!A:A, "&gt;" &amp; TODAY()-91)</f>
        <v>0</v>
      </c>
      <c r="Q190" s="701">
        <f t="shared" ca="1" si="25"/>
        <v>0</v>
      </c>
      <c r="R190" s="703">
        <f t="shared" ca="1" si="26"/>
        <v>0</v>
      </c>
      <c r="S190" s="703" t="s">
        <v>29</v>
      </c>
      <c r="T190" s="24">
        <f>IFERROR(INDEX(Table5[],MATCH($B190,Table5[Component],0),2),0)</f>
        <v>0</v>
      </c>
      <c r="U190" s="24">
        <f>SUMIFS(Table7[Balance],Table7[Cutter Mat'#],$B190)</f>
        <v>0</v>
      </c>
      <c r="V190" s="24">
        <f t="shared" si="27"/>
        <v>0</v>
      </c>
      <c r="W190" s="119"/>
      <c r="X190" s="2">
        <v>1136984</v>
      </c>
      <c r="Z190" s="4">
        <f>IFERROR(INDEX(Table5[],MATCH($B190,Table5[Component],0),2),0)</f>
        <v>0</v>
      </c>
      <c r="AA190" s="4">
        <f>IFERROR(INDEX(Table5[],MATCH($B190,Table5[Component],0),1),0)</f>
        <v>0</v>
      </c>
      <c r="AB190" s="4" t="str">
        <f t="shared" si="28"/>
        <v/>
      </c>
      <c r="AC190" s="4" t="str">
        <f t="shared" si="29"/>
        <v/>
      </c>
      <c r="AE190" s="4">
        <f t="shared" si="30"/>
        <v>0</v>
      </c>
      <c r="AJ190" s="248">
        <f t="shared" si="31"/>
        <v>3</v>
      </c>
      <c r="AK190" s="248">
        <f t="shared" ca="1" si="32"/>
        <v>53</v>
      </c>
      <c r="AL190">
        <f t="shared" si="33"/>
        <v>0</v>
      </c>
      <c r="AO190" s="4"/>
      <c r="AP190" s="4"/>
      <c r="AQ190">
        <f t="shared" si="35"/>
        <v>0</v>
      </c>
      <c r="AR190" s="4"/>
      <c r="AS190" s="4">
        <v>1146737</v>
      </c>
      <c r="AT190">
        <f t="shared" si="34"/>
        <v>300</v>
      </c>
    </row>
    <row r="191" spans="1:46" ht="15.65" customHeight="1" x14ac:dyDescent="0.35">
      <c r="A191" s="2">
        <v>190</v>
      </c>
      <c r="B191" s="258">
        <v>1209333</v>
      </c>
      <c r="C191" s="3" t="s">
        <v>159</v>
      </c>
      <c r="D191" s="258">
        <v>1613</v>
      </c>
      <c r="E191" s="3" t="s">
        <v>160</v>
      </c>
      <c r="F191" s="292" t="s">
        <v>109</v>
      </c>
      <c r="G191" s="3"/>
      <c r="H191" s="6" t="s">
        <v>161</v>
      </c>
      <c r="I191" s="10">
        <f>SUMIFS('Cutters Consumption Updates'!$F:$F,'Cutters Consumption Updates'!$D:$D,I$1,'Cutters Consumption Updates'!$B:$B,$B191)-SUMIFS('Cutters Consumption Updates'!$E:$E,'Cutters Consumption Updates'!$D:$D,I$1,'Cutters Consumption Updates'!$B:$B,$B191)+ SUMIF('Cutters Consumption Updates'!$AS:$AS,$B191,'Cutters Consumption Updates'!AT:AT)</f>
        <v>0</v>
      </c>
      <c r="J191" s="10">
        <f>SUMIFS('Cutters Consumption Updates'!$F:$F,'Cutters Consumption Updates'!$D:$D,J$1,'Cutters Consumption Updates'!$B:$B,$B191)-SUMIFS('Cutters Consumption Updates'!$E:$E,'Cutters Consumption Updates'!$D:$D,J$1,'Cutters Consumption Updates'!$B:$B,$B191)+ SUMIF('Cutters Consumption Updates'!$AS:$AS,$B191,'Cutters Consumption Updates'!AU:AU)</f>
        <v>0</v>
      </c>
      <c r="K191" s="116">
        <f>SUMIFS('Cutters Consumption Updates'!$F:$F,'Cutters Consumption Updates'!$D:$D,K$1,'Cutters Consumption Updates'!$B:$B,$B191)-SUMIFS('Cutters Consumption Updates'!$E:$E,'Cutters Consumption Updates'!$D:$D,K$1,'Cutters Consumption Updates'!$B:$B,$B191)+ SUMIF('Cutters Consumption Updates'!$AS:$AS,$B191,'Cutters Consumption Updates'!AV:AV)</f>
        <v>0</v>
      </c>
      <c r="L191" s="738">
        <f>SUMIFS('Cutters Consumption Updates'!$F:$F,'Cutters Consumption Updates'!$D:$D,L$1,'Cutters Consumption Updates'!$B:$B,$B191)-SUMIFS('Cutters Consumption Updates'!$E:$E,'Cutters Consumption Updates'!$D:$D,L$1,'Cutters Consumption Updates'!$B:$B,$B191)+ SUMIF('Cutters Consumption Updates'!$AS:$AS,$B191,'Cutters Consumption Updates'!AW:AW)</f>
        <v>0</v>
      </c>
      <c r="M191" s="116">
        <f>SUMIFS('Cutters Consumption Updates'!$F:$F,'Cutters Consumption Updates'!$D:$D,M$1,'Cutters Consumption Updates'!$B:$B,$B191)-SUMIFS('Cutters Consumption Updates'!$E:$E,'Cutters Consumption Updates'!$D:$D,$M$1,'Cutters Consumption Updates'!$B:$B,$B191)+SUMIFS('Cutters Consumption Updates'!$F:$F,'Cutters Consumption Updates'!$D:$D,"Retrofit",'Cutters Consumption Updates'!$B:$B,$B191)-SUMIFS('Cutters Consumption Updates'!$E:$E,'Cutters Consumption Updates'!$D:$D,"Retrofit",'Cutters Consumption Updates'!$B:$B,$B191)+ SUMIF('Cutters Consumption Updates'!$AS:$AS,$B191,'Cutters Consumption Updates'!AX:AX)</f>
        <v>101</v>
      </c>
      <c r="N191" s="10">
        <f t="shared" si="24"/>
        <v>101</v>
      </c>
      <c r="O191" s="701">
        <f ca="1">SUMIFS('Cutters Consumption Updates'!E:E,
        'Cutters Consumption Updates'!B:B, B191,
        'Cutters Consumption Updates'!A:A, "&gt;" &amp; TODAY()-182)</f>
        <v>12</v>
      </c>
      <c r="P191" s="701">
        <f ca="1">SUMIFS('Cutters Consumption Updates'!E:E,
        'Cutters Consumption Updates'!B:B, B191,
        'Cutters Consumption Updates'!A:A, "&gt;" &amp; TODAY()-91)</f>
        <v>0</v>
      </c>
      <c r="Q191" s="701">
        <f t="shared" ca="1" si="25"/>
        <v>4</v>
      </c>
      <c r="R191" s="703">
        <f t="shared" ca="1" si="26"/>
        <v>5</v>
      </c>
      <c r="S191" s="703" t="s">
        <v>167</v>
      </c>
      <c r="T191" s="24">
        <f>IFERROR(INDEX(Table5[],MATCH($B191,Table5[Component],0),2),0)</f>
        <v>36</v>
      </c>
      <c r="U191" s="24">
        <f>SUMIFS(Table7[Balance],Table7[Cutter Mat'#],$B191)</f>
        <v>0</v>
      </c>
      <c r="V191" s="24">
        <f t="shared" si="27"/>
        <v>65</v>
      </c>
      <c r="W191" s="119"/>
      <c r="X191" s="2"/>
      <c r="Z191" s="4">
        <f>IFERROR(INDEX(Table5[],MATCH($B191,Table5[Component],0),2),0)</f>
        <v>36</v>
      </c>
      <c r="AA191" s="4">
        <f>IFERROR(INDEX(Table5[],MATCH($B191,Table5[Component],0),1),0)</f>
        <v>1209333</v>
      </c>
      <c r="AB191" s="4">
        <f t="shared" si="28"/>
        <v>1209333</v>
      </c>
      <c r="AC191" s="4" t="str">
        <f t="shared" si="29"/>
        <v/>
      </c>
      <c r="AE191" s="4">
        <f t="shared" si="30"/>
        <v>101</v>
      </c>
      <c r="AJ191" s="248" t="str">
        <f t="shared" si="31"/>
        <v/>
      </c>
      <c r="AK191" s="248" t="str">
        <f t="shared" si="32"/>
        <v/>
      </c>
      <c r="AL191">
        <f t="shared" si="33"/>
        <v>0</v>
      </c>
      <c r="AO191" s="4"/>
      <c r="AP191" s="4"/>
      <c r="AQ191">
        <f t="shared" si="35"/>
        <v>0</v>
      </c>
      <c r="AR191" s="4"/>
      <c r="AS191" s="4">
        <v>1146738</v>
      </c>
      <c r="AT191">
        <f t="shared" si="34"/>
        <v>30</v>
      </c>
    </row>
    <row r="192" spans="1:46" ht="15.65" customHeight="1" x14ac:dyDescent="0.35">
      <c r="A192" s="45">
        <v>191</v>
      </c>
      <c r="B192" s="461">
        <v>1050703</v>
      </c>
      <c r="C192" s="459" t="s">
        <v>37</v>
      </c>
      <c r="D192" s="461">
        <v>1318</v>
      </c>
      <c r="E192" s="459" t="s">
        <v>149</v>
      </c>
      <c r="F192" s="349" t="s">
        <v>151</v>
      </c>
      <c r="G192" s="459"/>
      <c r="H192" s="6" t="s">
        <v>36</v>
      </c>
      <c r="I192" s="10">
        <f>SUMIFS('Cutters Consumption Updates'!$F:$F,'Cutters Consumption Updates'!$D:$D,I$1,'Cutters Consumption Updates'!$B:$B,$B192)-SUMIFS('Cutters Consumption Updates'!$E:$E,'Cutters Consumption Updates'!$D:$D,I$1,'Cutters Consumption Updates'!$B:$B,$B192)+ SUMIF('Cutters Consumption Updates'!$AS:$AS,$B192,'Cutters Consumption Updates'!AT:AT)</f>
        <v>0</v>
      </c>
      <c r="J192" s="10">
        <f>SUMIFS('Cutters Consumption Updates'!$F:$F,'Cutters Consumption Updates'!$D:$D,J$1,'Cutters Consumption Updates'!$B:$B,$B192)-SUMIFS('Cutters Consumption Updates'!$E:$E,'Cutters Consumption Updates'!$D:$D,J$1,'Cutters Consumption Updates'!$B:$B,$B192)+ SUMIF('Cutters Consumption Updates'!$AS:$AS,$B192,'Cutters Consumption Updates'!AU:AU)</f>
        <v>0</v>
      </c>
      <c r="K192" s="116">
        <f>SUMIFS('Cutters Consumption Updates'!$F:$F,'Cutters Consumption Updates'!$D:$D,K$1,'Cutters Consumption Updates'!$B:$B,$B192)-SUMIFS('Cutters Consumption Updates'!$E:$E,'Cutters Consumption Updates'!$D:$D,K$1,'Cutters Consumption Updates'!$B:$B,$B192)+ SUMIF('Cutters Consumption Updates'!$AS:$AS,$B192,'Cutters Consumption Updates'!AV:AV)</f>
        <v>0</v>
      </c>
      <c r="L192" s="738">
        <f>SUMIFS('Cutters Consumption Updates'!$F:$F,'Cutters Consumption Updates'!$D:$D,L$1,'Cutters Consumption Updates'!$B:$B,$B192)-SUMIFS('Cutters Consumption Updates'!$E:$E,'Cutters Consumption Updates'!$D:$D,L$1,'Cutters Consumption Updates'!$B:$B,$B192)+ SUMIF('Cutters Consumption Updates'!$AS:$AS,$B192,'Cutters Consumption Updates'!AW:AW)</f>
        <v>0</v>
      </c>
      <c r="M192" s="116">
        <f>SUMIFS('Cutters Consumption Updates'!$F:$F,'Cutters Consumption Updates'!$D:$D,M$1,'Cutters Consumption Updates'!$B:$B,$B192)-SUMIFS('Cutters Consumption Updates'!$E:$E,'Cutters Consumption Updates'!$D:$D,$M$1,'Cutters Consumption Updates'!$B:$B,$B192)+SUMIFS('Cutters Consumption Updates'!$F:$F,'Cutters Consumption Updates'!$D:$D,"Retrofit",'Cutters Consumption Updates'!$B:$B,$B192)-SUMIFS('Cutters Consumption Updates'!$E:$E,'Cutters Consumption Updates'!$D:$D,"Retrofit",'Cutters Consumption Updates'!$B:$B,$B192)+ SUMIF('Cutters Consumption Updates'!$AS:$AS,$B192,'Cutters Consumption Updates'!AX:AX)</f>
        <v>6</v>
      </c>
      <c r="N192" s="10">
        <f t="shared" si="24"/>
        <v>6</v>
      </c>
      <c r="O192" s="701">
        <f ca="1">SUMIFS('Cutters Consumption Updates'!E:E,
        'Cutters Consumption Updates'!B:B, B192,
        'Cutters Consumption Updates'!A:A, "&gt;" &amp; TODAY()-182)</f>
        <v>0</v>
      </c>
      <c r="P192" s="701">
        <f ca="1">SUMIFS('Cutters Consumption Updates'!E:E,
        'Cutters Consumption Updates'!B:B, B192,
        'Cutters Consumption Updates'!A:A, "&gt;" &amp; TODAY()-91)</f>
        <v>0</v>
      </c>
      <c r="Q192" s="701">
        <f t="shared" ca="1" si="25"/>
        <v>0</v>
      </c>
      <c r="R192" s="703">
        <f t="shared" ca="1" si="26"/>
        <v>0</v>
      </c>
      <c r="S192" s="703" t="s">
        <v>29</v>
      </c>
      <c r="T192" s="24">
        <f>IFERROR(INDEX(Table5[],MATCH($B192,Table5[Component],0),2),0)</f>
        <v>0</v>
      </c>
      <c r="U192" s="24">
        <f>SUMIFS(Table7[Balance],Table7[Cutter Mat'#],$B192)</f>
        <v>0</v>
      </c>
      <c r="V192" s="24">
        <f t="shared" si="27"/>
        <v>6</v>
      </c>
      <c r="W192" s="291"/>
      <c r="X192" s="2"/>
      <c r="Z192" s="4">
        <f>IFERROR(INDEX(Table5[],MATCH($B192,Table5[Component],0),2),0)</f>
        <v>0</v>
      </c>
      <c r="AA192" s="4">
        <f>IFERROR(INDEX(Table5[],MATCH($B192,Table5[Component],0),1),0)</f>
        <v>0</v>
      </c>
      <c r="AB192" s="4" t="str">
        <f t="shared" si="28"/>
        <v/>
      </c>
      <c r="AC192" s="4" t="str">
        <f t="shared" si="29"/>
        <v/>
      </c>
      <c r="AE192" s="4">
        <f t="shared" si="30"/>
        <v>6</v>
      </c>
      <c r="AJ192" s="248" t="str">
        <f t="shared" si="31"/>
        <v/>
      </c>
      <c r="AK192" s="248" t="str">
        <f t="shared" si="32"/>
        <v/>
      </c>
      <c r="AL192">
        <f t="shared" si="33"/>
        <v>0</v>
      </c>
      <c r="AO192" s="4"/>
      <c r="AP192" s="4"/>
      <c r="AQ192">
        <f t="shared" si="35"/>
        <v>0</v>
      </c>
      <c r="AR192" s="4"/>
      <c r="AS192" s="4">
        <v>1146740</v>
      </c>
      <c r="AT192">
        <f t="shared" si="34"/>
        <v>0</v>
      </c>
    </row>
    <row r="193" spans="1:46" ht="15.65" customHeight="1" x14ac:dyDescent="0.35">
      <c r="A193" s="2">
        <v>192</v>
      </c>
      <c r="B193" s="258">
        <v>1233855</v>
      </c>
      <c r="C193" s="3" t="s">
        <v>26</v>
      </c>
      <c r="D193" s="258">
        <v>1613</v>
      </c>
      <c r="E193" s="3" t="s">
        <v>168</v>
      </c>
      <c r="F193" s="292" t="s">
        <v>109</v>
      </c>
      <c r="G193" s="3"/>
      <c r="H193" s="6" t="s">
        <v>169</v>
      </c>
      <c r="I193" s="10">
        <f>SUMIFS('Cutters Consumption Updates'!$F:$F,'Cutters Consumption Updates'!$D:$D,I$1,'Cutters Consumption Updates'!$B:$B,$B193)-SUMIFS('Cutters Consumption Updates'!$E:$E,'Cutters Consumption Updates'!$D:$D,I$1,'Cutters Consumption Updates'!$B:$B,$B193)+ SUMIF('Cutters Consumption Updates'!$AS:$AS,$B193,'Cutters Consumption Updates'!AT:AT)</f>
        <v>0</v>
      </c>
      <c r="J193" s="10">
        <f>SUMIFS('Cutters Consumption Updates'!$F:$F,'Cutters Consumption Updates'!$D:$D,J$1,'Cutters Consumption Updates'!$B:$B,$B193)-SUMIFS('Cutters Consumption Updates'!$E:$E,'Cutters Consumption Updates'!$D:$D,J$1,'Cutters Consumption Updates'!$B:$B,$B193)+ SUMIF('Cutters Consumption Updates'!$AS:$AS,$B193,'Cutters Consumption Updates'!AU:AU)</f>
        <v>0</v>
      </c>
      <c r="K193" s="116">
        <f>SUMIFS('Cutters Consumption Updates'!$F:$F,'Cutters Consumption Updates'!$D:$D,K$1,'Cutters Consumption Updates'!$B:$B,$B193)-SUMIFS('Cutters Consumption Updates'!$E:$E,'Cutters Consumption Updates'!$D:$D,K$1,'Cutters Consumption Updates'!$B:$B,$B193)+ SUMIF('Cutters Consumption Updates'!$AS:$AS,$B193,'Cutters Consumption Updates'!AV:AV)</f>
        <v>0</v>
      </c>
      <c r="L193" s="738">
        <f>SUMIFS('Cutters Consumption Updates'!$F:$F,'Cutters Consumption Updates'!$D:$D,L$1,'Cutters Consumption Updates'!$B:$B,$B193)-SUMIFS('Cutters Consumption Updates'!$E:$E,'Cutters Consumption Updates'!$D:$D,L$1,'Cutters Consumption Updates'!$B:$B,$B193)+ SUMIF('Cutters Consumption Updates'!$AS:$AS,$B193,'Cutters Consumption Updates'!AW:AW)</f>
        <v>0</v>
      </c>
      <c r="M193" s="116">
        <f>SUMIFS('Cutters Consumption Updates'!$F:$F,'Cutters Consumption Updates'!$D:$D,M$1,'Cutters Consumption Updates'!$B:$B,$B193)-SUMIFS('Cutters Consumption Updates'!$E:$E,'Cutters Consumption Updates'!$D:$D,$M$1,'Cutters Consumption Updates'!$B:$B,$B193)+SUMIFS('Cutters Consumption Updates'!$F:$F,'Cutters Consumption Updates'!$D:$D,"Retrofit",'Cutters Consumption Updates'!$B:$B,$B193)-SUMIFS('Cutters Consumption Updates'!$E:$E,'Cutters Consumption Updates'!$D:$D,"Retrofit",'Cutters Consumption Updates'!$B:$B,$B193)+ SUMIF('Cutters Consumption Updates'!$AS:$AS,$B193,'Cutters Consumption Updates'!AX:AX)</f>
        <v>0</v>
      </c>
      <c r="N193" s="10">
        <f t="shared" si="24"/>
        <v>0</v>
      </c>
      <c r="O193" s="701">
        <f ca="1">SUMIFS('Cutters Consumption Updates'!E:E,
        'Cutters Consumption Updates'!B:B, B193,
        'Cutters Consumption Updates'!A:A, "&gt;" &amp; TODAY()-182)</f>
        <v>0</v>
      </c>
      <c r="P193" s="701">
        <f ca="1">SUMIFS('Cutters Consumption Updates'!E:E,
        'Cutters Consumption Updates'!B:B, B193,
        'Cutters Consumption Updates'!A:A, "&gt;" &amp; TODAY()-91)</f>
        <v>0</v>
      </c>
      <c r="Q193" s="701">
        <f t="shared" ca="1" si="25"/>
        <v>0</v>
      </c>
      <c r="R193" s="703">
        <f t="shared" ca="1" si="26"/>
        <v>0</v>
      </c>
      <c r="S193" s="703" t="s">
        <v>29</v>
      </c>
      <c r="T193" s="24">
        <f>IFERROR(INDEX(Table5[],MATCH($B193,Table5[Component],0),2),0)</f>
        <v>0</v>
      </c>
      <c r="U193" s="24">
        <f>SUMIFS(Table7[Balance],Table7[Cutter Mat'#],$B193)</f>
        <v>0</v>
      </c>
      <c r="V193" s="24">
        <f t="shared" si="27"/>
        <v>0</v>
      </c>
      <c r="W193" s="119"/>
      <c r="X193" s="2"/>
      <c r="Z193" s="4">
        <f>IFERROR(INDEX(Table5[],MATCH($B193,Table5[Component],0),2),0)</f>
        <v>0</v>
      </c>
      <c r="AA193" s="4">
        <f>IFERROR(INDEX(Table5[],MATCH($B193,Table5[Component],0),1),0)</f>
        <v>0</v>
      </c>
      <c r="AB193" s="4" t="str">
        <f t="shared" si="28"/>
        <v/>
      </c>
      <c r="AC193" s="4" t="str">
        <f t="shared" si="29"/>
        <v/>
      </c>
      <c r="AE193" s="4">
        <f t="shared" si="30"/>
        <v>0</v>
      </c>
      <c r="AJ193" s="248" t="str">
        <f t="shared" si="31"/>
        <v/>
      </c>
      <c r="AK193" s="248" t="str">
        <f t="shared" si="32"/>
        <v/>
      </c>
      <c r="AL193">
        <f t="shared" si="33"/>
        <v>0</v>
      </c>
      <c r="AO193" s="4"/>
      <c r="AP193" s="4"/>
      <c r="AQ193">
        <f t="shared" si="35"/>
        <v>0</v>
      </c>
      <c r="AR193" s="4"/>
      <c r="AS193" s="4">
        <v>1146742</v>
      </c>
      <c r="AT193">
        <f t="shared" si="34"/>
        <v>0</v>
      </c>
    </row>
    <row r="194" spans="1:46" ht="15.65" customHeight="1" x14ac:dyDescent="0.35">
      <c r="A194" s="2">
        <v>193</v>
      </c>
      <c r="B194" s="258">
        <v>1208601</v>
      </c>
      <c r="C194" s="3" t="s">
        <v>26</v>
      </c>
      <c r="D194" s="258">
        <v>1613</v>
      </c>
      <c r="E194" s="3" t="s">
        <v>111</v>
      </c>
      <c r="F194" s="292" t="s">
        <v>170</v>
      </c>
      <c r="G194" s="3"/>
      <c r="H194" s="6" t="s">
        <v>49</v>
      </c>
      <c r="I194" s="10">
        <f>SUMIFS('Cutters Consumption Updates'!$F:$F,'Cutters Consumption Updates'!$D:$D,I$1,'Cutters Consumption Updates'!$B:$B,$B194)-SUMIFS('Cutters Consumption Updates'!$E:$E,'Cutters Consumption Updates'!$D:$D,I$1,'Cutters Consumption Updates'!$B:$B,$B194)+ SUMIF('Cutters Consumption Updates'!$AS:$AS,$B194,'Cutters Consumption Updates'!AT:AT)</f>
        <v>0</v>
      </c>
      <c r="J194" s="10">
        <f>SUMIFS('Cutters Consumption Updates'!$F:$F,'Cutters Consumption Updates'!$D:$D,J$1,'Cutters Consumption Updates'!$B:$B,$B194)-SUMIFS('Cutters Consumption Updates'!$E:$E,'Cutters Consumption Updates'!$D:$D,J$1,'Cutters Consumption Updates'!$B:$B,$B194)+ SUMIF('Cutters Consumption Updates'!$AS:$AS,$B194,'Cutters Consumption Updates'!AU:AU)</f>
        <v>0</v>
      </c>
      <c r="K194" s="116">
        <f>SUMIFS('Cutters Consumption Updates'!$F:$F,'Cutters Consumption Updates'!$D:$D,K$1,'Cutters Consumption Updates'!$B:$B,$B194)-SUMIFS('Cutters Consumption Updates'!$E:$E,'Cutters Consumption Updates'!$D:$D,K$1,'Cutters Consumption Updates'!$B:$B,$B194)+ SUMIF('Cutters Consumption Updates'!$AS:$AS,$B194,'Cutters Consumption Updates'!AV:AV)</f>
        <v>75</v>
      </c>
      <c r="L194" s="738">
        <f>SUMIFS('Cutters Consumption Updates'!$F:$F,'Cutters Consumption Updates'!$D:$D,L$1,'Cutters Consumption Updates'!$B:$B,$B194)-SUMIFS('Cutters Consumption Updates'!$E:$E,'Cutters Consumption Updates'!$D:$D,L$1,'Cutters Consumption Updates'!$B:$B,$B194)+ SUMIF('Cutters Consumption Updates'!$AS:$AS,$B194,'Cutters Consumption Updates'!AW:AW)</f>
        <v>0</v>
      </c>
      <c r="M194" s="116">
        <f>SUMIFS('Cutters Consumption Updates'!$F:$F,'Cutters Consumption Updates'!$D:$D,M$1,'Cutters Consumption Updates'!$B:$B,$B194)-SUMIFS('Cutters Consumption Updates'!$E:$E,'Cutters Consumption Updates'!$D:$D,$M$1,'Cutters Consumption Updates'!$B:$B,$B194)+SUMIFS('Cutters Consumption Updates'!$F:$F,'Cutters Consumption Updates'!$D:$D,"Retrofit",'Cutters Consumption Updates'!$B:$B,$B194)-SUMIFS('Cutters Consumption Updates'!$E:$E,'Cutters Consumption Updates'!$D:$D,"Retrofit",'Cutters Consumption Updates'!$B:$B,$B194)+ SUMIF('Cutters Consumption Updates'!$AS:$AS,$B194,'Cutters Consumption Updates'!AX:AX)</f>
        <v>124</v>
      </c>
      <c r="N194" s="10">
        <f t="shared" ref="N194:N257" si="36">M194+I194</f>
        <v>124</v>
      </c>
      <c r="O194" s="701">
        <f ca="1">SUMIFS('Cutters Consumption Updates'!E:E,
        'Cutters Consumption Updates'!B:B, B194,
        'Cutters Consumption Updates'!A:A, "&gt;" &amp; TODAY()-182)</f>
        <v>230</v>
      </c>
      <c r="P194" s="701">
        <f ca="1">SUMIFS('Cutters Consumption Updates'!E:E,
        'Cutters Consumption Updates'!B:B, B194,
        'Cutters Consumption Updates'!A:A, "&gt;" &amp; TODAY()-91)</f>
        <v>102</v>
      </c>
      <c r="Q194" s="701">
        <f t="shared" ref="Q194:Q257" ca="1" si="37">IF(O194&lt;&gt;0,_xlfn.CEILING.MATH(O194/3),0)</f>
        <v>77</v>
      </c>
      <c r="R194" s="703">
        <f t="shared" ref="R194:R257" ca="1" si="38">IF(Q194&lt;=1, 0,
 CEILING(
  IF(Q194&gt;=300, Q194+10,
  IF(Q194&gt;=200, Q194+5,
  IF(Q194&gt;=100, Q194+5,
  IF(Q194&gt;=50, Q194+2,
  IF(Q194&gt;=20, Q194+2,
  IF(Q194&gt;=10, Q194+2,
  IF(Q194&gt;=5,  Q194+2,
  Q194+1))))))), 5))</f>
        <v>80</v>
      </c>
      <c r="S194" s="703" t="s">
        <v>171</v>
      </c>
      <c r="T194" s="24">
        <f>IFERROR(INDEX(Table5[],MATCH($B194,Table5[Component],0),2),0)</f>
        <v>270</v>
      </c>
      <c r="U194" s="24">
        <f>SUMIFS(Table7[Balance],Table7[Cutter Mat'#],$B194)</f>
        <v>0</v>
      </c>
      <c r="V194" s="24">
        <f t="shared" ref="V194:V257" si="39">N194+U194-T194</f>
        <v>-146</v>
      </c>
      <c r="W194" s="119"/>
      <c r="X194" s="2"/>
      <c r="Z194" s="4">
        <f>IFERROR(INDEX(Table5[],MATCH($B194,Table5[Component],0),2),0)</f>
        <v>270</v>
      </c>
      <c r="AA194" s="4">
        <f>IFERROR(INDEX(Table5[],MATCH($B194,Table5[Component],0),1),0)</f>
        <v>1208601</v>
      </c>
      <c r="AB194" s="4">
        <f t="shared" ref="AB194:AB257" si="40">IF(Z194&lt;&gt;0,B194,"")</f>
        <v>1208601</v>
      </c>
      <c r="AC194" s="4" t="str">
        <f t="shared" ref="AC194:AC257" si="41">IF(T194&lt;&gt;Z194,1,"")</f>
        <v/>
      </c>
      <c r="AE194" s="4">
        <f t="shared" ref="AE194:AE257" si="42">I194+J194+K194+M194</f>
        <v>199</v>
      </c>
      <c r="AJ194" s="248" t="str">
        <f t="shared" ref="AJ194:AJ257" si="43">IFERROR(INDEX($B$1:$AL$243,MATCH(X194,$B$1:$B$243,0),13),"")</f>
        <v/>
      </c>
      <c r="AK194" s="248" t="str">
        <f t="shared" ref="AK194:AK257" si="44">IFERROR(INDEX($B$1:$AL$243,MATCH(X194,$B$1:$B$243,0),15),"")</f>
        <v/>
      </c>
      <c r="AL194">
        <f t="shared" ref="AL194:AL257" si="45">SUMIF($X$2:$X$243,B194,$T$2:$T$243)</f>
        <v>0</v>
      </c>
      <c r="AO194" s="4"/>
      <c r="AP194" s="4"/>
      <c r="AQ194">
        <f t="shared" si="35"/>
        <v>0</v>
      </c>
      <c r="AR194" s="4"/>
      <c r="AS194" s="4">
        <v>1152018</v>
      </c>
      <c r="AT194">
        <f t="shared" ref="AT194:AT257" si="46">SUMIF($B:$B,AS194,$AQ:$AQ)</f>
        <v>0</v>
      </c>
    </row>
    <row r="195" spans="1:46" ht="15.65" customHeight="1" x14ac:dyDescent="0.35">
      <c r="A195" s="2">
        <v>194</v>
      </c>
      <c r="B195" s="258">
        <v>1235963</v>
      </c>
      <c r="C195" s="3" t="s">
        <v>172</v>
      </c>
      <c r="D195" s="258">
        <v>1613</v>
      </c>
      <c r="E195" s="3" t="s">
        <v>173</v>
      </c>
      <c r="F195" s="292" t="s">
        <v>109</v>
      </c>
      <c r="G195" s="3"/>
      <c r="H195" s="6" t="s">
        <v>169</v>
      </c>
      <c r="I195" s="10">
        <f>SUMIFS('Cutters Consumption Updates'!$F:$F,'Cutters Consumption Updates'!$D:$D,I$1,'Cutters Consumption Updates'!$B:$B,$B195)-SUMIFS('Cutters Consumption Updates'!$E:$E,'Cutters Consumption Updates'!$D:$D,I$1,'Cutters Consumption Updates'!$B:$B,$B195)+ SUMIF('Cutters Consumption Updates'!$AS:$AS,$B195,'Cutters Consumption Updates'!AT:AT)</f>
        <v>0</v>
      </c>
      <c r="J195" s="10">
        <f>SUMIFS('Cutters Consumption Updates'!$F:$F,'Cutters Consumption Updates'!$D:$D,J$1,'Cutters Consumption Updates'!$B:$B,$B195)-SUMIFS('Cutters Consumption Updates'!$E:$E,'Cutters Consumption Updates'!$D:$D,J$1,'Cutters Consumption Updates'!$B:$B,$B195)+ SUMIF('Cutters Consumption Updates'!$AS:$AS,$B195,'Cutters Consumption Updates'!AU:AU)</f>
        <v>0</v>
      </c>
      <c r="K195" s="116">
        <f>SUMIFS('Cutters Consumption Updates'!$F:$F,'Cutters Consumption Updates'!$D:$D,K$1,'Cutters Consumption Updates'!$B:$B,$B195)-SUMIFS('Cutters Consumption Updates'!$E:$E,'Cutters Consumption Updates'!$D:$D,K$1,'Cutters Consumption Updates'!$B:$B,$B195)+ SUMIF('Cutters Consumption Updates'!$AS:$AS,$B195,'Cutters Consumption Updates'!AV:AV)</f>
        <v>0</v>
      </c>
      <c r="L195" s="738">
        <f>SUMIFS('Cutters Consumption Updates'!$F:$F,'Cutters Consumption Updates'!$D:$D,L$1,'Cutters Consumption Updates'!$B:$B,$B195)-SUMIFS('Cutters Consumption Updates'!$E:$E,'Cutters Consumption Updates'!$D:$D,L$1,'Cutters Consumption Updates'!$B:$B,$B195)+ SUMIF('Cutters Consumption Updates'!$AS:$AS,$B195,'Cutters Consumption Updates'!AW:AW)</f>
        <v>0</v>
      </c>
      <c r="M195" s="116">
        <f>SUMIFS('Cutters Consumption Updates'!$F:$F,'Cutters Consumption Updates'!$D:$D,M$1,'Cutters Consumption Updates'!$B:$B,$B195)-SUMIFS('Cutters Consumption Updates'!$E:$E,'Cutters Consumption Updates'!$D:$D,$M$1,'Cutters Consumption Updates'!$B:$B,$B195)+SUMIFS('Cutters Consumption Updates'!$F:$F,'Cutters Consumption Updates'!$D:$D,"Retrofit",'Cutters Consumption Updates'!$B:$B,$B195)-SUMIFS('Cutters Consumption Updates'!$E:$E,'Cutters Consumption Updates'!$D:$D,"Retrofit",'Cutters Consumption Updates'!$B:$B,$B195)+ SUMIF('Cutters Consumption Updates'!$AS:$AS,$B195,'Cutters Consumption Updates'!AX:AX)</f>
        <v>25</v>
      </c>
      <c r="N195" s="10">
        <f t="shared" si="36"/>
        <v>25</v>
      </c>
      <c r="O195" s="701">
        <f ca="1">SUMIFS('Cutters Consumption Updates'!E:E,
        'Cutters Consumption Updates'!B:B, B195,
        'Cutters Consumption Updates'!A:A, "&gt;" &amp; TODAY()-182)</f>
        <v>0</v>
      </c>
      <c r="P195" s="701">
        <f ca="1">SUMIFS('Cutters Consumption Updates'!E:E,
        'Cutters Consumption Updates'!B:B, B195,
        'Cutters Consumption Updates'!A:A, "&gt;" &amp; TODAY()-91)</f>
        <v>0</v>
      </c>
      <c r="Q195" s="701">
        <f t="shared" ca="1" si="37"/>
        <v>0</v>
      </c>
      <c r="R195" s="703">
        <f t="shared" ca="1" si="38"/>
        <v>0</v>
      </c>
      <c r="S195" s="703" t="s">
        <v>29</v>
      </c>
      <c r="T195" s="24">
        <f>IFERROR(INDEX(Table5[],MATCH($B195,Table5[Component],0),2),0)</f>
        <v>0</v>
      </c>
      <c r="U195" s="24">
        <f>SUMIFS(Table7[Balance],Table7[Cutter Mat'#],$B195)</f>
        <v>0</v>
      </c>
      <c r="V195" s="24">
        <f t="shared" si="39"/>
        <v>25</v>
      </c>
      <c r="W195" s="119"/>
      <c r="X195" s="2"/>
      <c r="Z195" s="4">
        <f>IFERROR(INDEX(Table5[],MATCH($B195,Table5[Component],0),2),0)</f>
        <v>0</v>
      </c>
      <c r="AA195" s="4">
        <f>IFERROR(INDEX(Table5[],MATCH($B195,Table5[Component],0),1),0)</f>
        <v>0</v>
      </c>
      <c r="AB195" s="4" t="str">
        <f t="shared" si="40"/>
        <v/>
      </c>
      <c r="AC195" s="4" t="str">
        <f t="shared" si="41"/>
        <v/>
      </c>
      <c r="AE195" s="4">
        <f t="shared" si="42"/>
        <v>25</v>
      </c>
      <c r="AJ195" s="248" t="str">
        <f t="shared" si="43"/>
        <v/>
      </c>
      <c r="AK195" s="248" t="str">
        <f t="shared" si="44"/>
        <v/>
      </c>
      <c r="AL195">
        <f t="shared" si="45"/>
        <v>0</v>
      </c>
      <c r="AO195" s="4"/>
      <c r="AP195" s="4"/>
      <c r="AQ195">
        <f t="shared" ref="AQ195:AQ258" si="47">U195</f>
        <v>0</v>
      </c>
      <c r="AR195" s="4"/>
      <c r="AS195" s="4">
        <v>1161587</v>
      </c>
      <c r="AT195">
        <f t="shared" si="46"/>
        <v>0</v>
      </c>
    </row>
    <row r="196" spans="1:46" ht="15.65" customHeight="1" x14ac:dyDescent="0.35">
      <c r="A196" s="2">
        <v>195</v>
      </c>
      <c r="B196" s="258">
        <v>1152018</v>
      </c>
      <c r="C196" s="3" t="s">
        <v>26</v>
      </c>
      <c r="D196" s="258">
        <v>1313</v>
      </c>
      <c r="E196" s="3" t="s">
        <v>111</v>
      </c>
      <c r="F196" s="292" t="s">
        <v>170</v>
      </c>
      <c r="G196" s="3"/>
      <c r="H196" s="6" t="s">
        <v>49</v>
      </c>
      <c r="I196" s="10">
        <f>SUMIFS('Cutters Consumption Updates'!$F:$F,'Cutters Consumption Updates'!$D:$D,I$1,'Cutters Consumption Updates'!$B:$B,$B196)-SUMIFS('Cutters Consumption Updates'!$E:$E,'Cutters Consumption Updates'!$D:$D,I$1,'Cutters Consumption Updates'!$B:$B,$B196)+ SUMIF('Cutters Consumption Updates'!$AS:$AS,$B196,'Cutters Consumption Updates'!AT:AT)</f>
        <v>0</v>
      </c>
      <c r="J196" s="10">
        <f>SUMIFS('Cutters Consumption Updates'!$F:$F,'Cutters Consumption Updates'!$D:$D,J$1,'Cutters Consumption Updates'!$B:$B,$B196)-SUMIFS('Cutters Consumption Updates'!$E:$E,'Cutters Consumption Updates'!$D:$D,J$1,'Cutters Consumption Updates'!$B:$B,$B196)+ SUMIF('Cutters Consumption Updates'!$AS:$AS,$B196,'Cutters Consumption Updates'!AU:AU)</f>
        <v>0</v>
      </c>
      <c r="K196" s="116">
        <f>SUMIFS('Cutters Consumption Updates'!$F:$F,'Cutters Consumption Updates'!$D:$D,K$1,'Cutters Consumption Updates'!$B:$B,$B196)-SUMIFS('Cutters Consumption Updates'!$E:$E,'Cutters Consumption Updates'!$D:$D,K$1,'Cutters Consumption Updates'!$B:$B,$B196)+ SUMIF('Cutters Consumption Updates'!$AS:$AS,$B196,'Cutters Consumption Updates'!AV:AV)</f>
        <v>0</v>
      </c>
      <c r="L196" s="738">
        <f>SUMIFS('Cutters Consumption Updates'!$F:$F,'Cutters Consumption Updates'!$D:$D,L$1,'Cutters Consumption Updates'!$B:$B,$B196)-SUMIFS('Cutters Consumption Updates'!$E:$E,'Cutters Consumption Updates'!$D:$D,L$1,'Cutters Consumption Updates'!$B:$B,$B196)+ SUMIF('Cutters Consumption Updates'!$AS:$AS,$B196,'Cutters Consumption Updates'!AW:AW)</f>
        <v>0</v>
      </c>
      <c r="M196" s="116">
        <f>SUMIFS('Cutters Consumption Updates'!$F:$F,'Cutters Consumption Updates'!$D:$D,M$1,'Cutters Consumption Updates'!$B:$B,$B196)-SUMIFS('Cutters Consumption Updates'!$E:$E,'Cutters Consumption Updates'!$D:$D,$M$1,'Cutters Consumption Updates'!$B:$B,$B196)+SUMIFS('Cutters Consumption Updates'!$F:$F,'Cutters Consumption Updates'!$D:$D,"Retrofit",'Cutters Consumption Updates'!$B:$B,$B196)-SUMIFS('Cutters Consumption Updates'!$E:$E,'Cutters Consumption Updates'!$D:$D,"Retrofit",'Cutters Consumption Updates'!$B:$B,$B196)+ SUMIF('Cutters Consumption Updates'!$AS:$AS,$B196,'Cutters Consumption Updates'!AX:AX)</f>
        <v>0</v>
      </c>
      <c r="N196" s="10">
        <f t="shared" si="36"/>
        <v>0</v>
      </c>
      <c r="O196" s="701">
        <f ca="1">SUMIFS('Cutters Consumption Updates'!E:E,
        'Cutters Consumption Updates'!B:B, B196,
        'Cutters Consumption Updates'!A:A, "&gt;" &amp; TODAY()-182)</f>
        <v>45</v>
      </c>
      <c r="P196" s="701">
        <f ca="1">SUMIFS('Cutters Consumption Updates'!E:E,
        'Cutters Consumption Updates'!B:B, B196,
        'Cutters Consumption Updates'!A:A, "&gt;" &amp; TODAY()-91)</f>
        <v>0</v>
      </c>
      <c r="Q196" s="701">
        <f t="shared" ca="1" si="37"/>
        <v>15</v>
      </c>
      <c r="R196" s="703">
        <f t="shared" ca="1" si="38"/>
        <v>20</v>
      </c>
      <c r="S196" s="703" t="s">
        <v>112</v>
      </c>
      <c r="T196" s="24">
        <f>IFERROR(INDEX(Table5[],MATCH($B196,Table5[Component],0),2),0)</f>
        <v>0</v>
      </c>
      <c r="U196" s="24">
        <f>SUMIFS(Table7[Balance],Table7[Cutter Mat'#],$B196)</f>
        <v>0</v>
      </c>
      <c r="V196" s="24">
        <f t="shared" si="39"/>
        <v>0</v>
      </c>
      <c r="W196" s="119"/>
      <c r="X196" s="2"/>
      <c r="Z196" s="4">
        <f>IFERROR(INDEX(Table5[],MATCH($B196,Table5[Component],0),2),0)</f>
        <v>0</v>
      </c>
      <c r="AA196" s="4">
        <f>IFERROR(INDEX(Table5[],MATCH($B196,Table5[Component],0),1),0)</f>
        <v>1152018</v>
      </c>
      <c r="AB196" s="4" t="str">
        <f t="shared" si="40"/>
        <v/>
      </c>
      <c r="AC196" s="4" t="str">
        <f t="shared" si="41"/>
        <v/>
      </c>
      <c r="AE196" s="4">
        <f t="shared" si="42"/>
        <v>0</v>
      </c>
      <c r="AJ196" s="248" t="str">
        <f t="shared" si="43"/>
        <v/>
      </c>
      <c r="AK196" s="248" t="str">
        <f t="shared" si="44"/>
        <v/>
      </c>
      <c r="AL196">
        <f t="shared" si="45"/>
        <v>0</v>
      </c>
      <c r="AO196" s="4"/>
      <c r="AP196" s="4"/>
      <c r="AQ196">
        <f t="shared" si="47"/>
        <v>0</v>
      </c>
      <c r="AR196" s="4"/>
      <c r="AS196" s="4">
        <v>1162285</v>
      </c>
      <c r="AT196">
        <f t="shared" si="46"/>
        <v>0</v>
      </c>
    </row>
    <row r="197" spans="1:46" ht="15.65" customHeight="1" x14ac:dyDescent="0.35">
      <c r="A197" s="2">
        <v>196</v>
      </c>
      <c r="B197" s="258">
        <v>1219562</v>
      </c>
      <c r="C197" s="3" t="s">
        <v>172</v>
      </c>
      <c r="D197" s="258">
        <v>1613</v>
      </c>
      <c r="E197" s="3" t="s">
        <v>174</v>
      </c>
      <c r="F197" s="292" t="s">
        <v>109</v>
      </c>
      <c r="G197" s="3"/>
      <c r="H197" s="6" t="s">
        <v>161</v>
      </c>
      <c r="I197" s="10">
        <f>SUMIFS('Cutters Consumption Updates'!$F:$F,'Cutters Consumption Updates'!$D:$D,I$1,'Cutters Consumption Updates'!$B:$B,$B197)-SUMIFS('Cutters Consumption Updates'!$E:$E,'Cutters Consumption Updates'!$D:$D,I$1,'Cutters Consumption Updates'!$B:$B,$B197)+ SUMIF('Cutters Consumption Updates'!$AS:$AS,$B197,'Cutters Consumption Updates'!AT:AT)</f>
        <v>0</v>
      </c>
      <c r="J197" s="10">
        <f>SUMIFS('Cutters Consumption Updates'!$F:$F,'Cutters Consumption Updates'!$D:$D,J$1,'Cutters Consumption Updates'!$B:$B,$B197)-SUMIFS('Cutters Consumption Updates'!$E:$E,'Cutters Consumption Updates'!$D:$D,J$1,'Cutters Consumption Updates'!$B:$B,$B197)+ SUMIF('Cutters Consumption Updates'!$AS:$AS,$B197,'Cutters Consumption Updates'!AU:AU)</f>
        <v>0</v>
      </c>
      <c r="K197" s="116">
        <f>SUMIFS('Cutters Consumption Updates'!$F:$F,'Cutters Consumption Updates'!$D:$D,K$1,'Cutters Consumption Updates'!$B:$B,$B197)-SUMIFS('Cutters Consumption Updates'!$E:$E,'Cutters Consumption Updates'!$D:$D,K$1,'Cutters Consumption Updates'!$B:$B,$B197)+ SUMIF('Cutters Consumption Updates'!$AS:$AS,$B197,'Cutters Consumption Updates'!AV:AV)</f>
        <v>0</v>
      </c>
      <c r="L197" s="738">
        <f>SUMIFS('Cutters Consumption Updates'!$F:$F,'Cutters Consumption Updates'!$D:$D,L$1,'Cutters Consumption Updates'!$B:$B,$B197)-SUMIFS('Cutters Consumption Updates'!$E:$E,'Cutters Consumption Updates'!$D:$D,L$1,'Cutters Consumption Updates'!$B:$B,$B197)+ SUMIF('Cutters Consumption Updates'!$AS:$AS,$B197,'Cutters Consumption Updates'!AW:AW)</f>
        <v>0</v>
      </c>
      <c r="M197" s="116">
        <f>SUMIFS('Cutters Consumption Updates'!$F:$F,'Cutters Consumption Updates'!$D:$D,M$1,'Cutters Consumption Updates'!$B:$B,$B197)-SUMIFS('Cutters Consumption Updates'!$E:$E,'Cutters Consumption Updates'!$D:$D,$M$1,'Cutters Consumption Updates'!$B:$B,$B197)+SUMIFS('Cutters Consumption Updates'!$F:$F,'Cutters Consumption Updates'!$D:$D,"Retrofit",'Cutters Consumption Updates'!$B:$B,$B197)-SUMIFS('Cutters Consumption Updates'!$E:$E,'Cutters Consumption Updates'!$D:$D,"Retrofit",'Cutters Consumption Updates'!$B:$B,$B197)+ SUMIF('Cutters Consumption Updates'!$AS:$AS,$B197,'Cutters Consumption Updates'!AX:AX)</f>
        <v>12</v>
      </c>
      <c r="N197" s="10">
        <f t="shared" si="36"/>
        <v>12</v>
      </c>
      <c r="O197" s="701">
        <f ca="1">SUMIFS('Cutters Consumption Updates'!E:E,
        'Cutters Consumption Updates'!B:B, B197,
        'Cutters Consumption Updates'!A:A, "&gt;" &amp; TODAY()-182)</f>
        <v>0</v>
      </c>
      <c r="P197" s="701">
        <f ca="1">SUMIFS('Cutters Consumption Updates'!E:E,
        'Cutters Consumption Updates'!B:B, B197,
        'Cutters Consumption Updates'!A:A, "&gt;" &amp; TODAY()-91)</f>
        <v>0</v>
      </c>
      <c r="Q197" s="701">
        <f t="shared" ca="1" si="37"/>
        <v>0</v>
      </c>
      <c r="R197" s="703">
        <f t="shared" ca="1" si="38"/>
        <v>0</v>
      </c>
      <c r="S197" s="703" t="s">
        <v>175</v>
      </c>
      <c r="T197" s="24">
        <f>IFERROR(INDEX(Table5[],MATCH($B197,Table5[Component],0),2),0)</f>
        <v>0</v>
      </c>
      <c r="U197" s="24">
        <f>SUMIFS(Table7[Balance],Table7[Cutter Mat'#],$B197)</f>
        <v>0</v>
      </c>
      <c r="V197" s="24">
        <f t="shared" si="39"/>
        <v>12</v>
      </c>
      <c r="W197" s="119"/>
      <c r="X197" s="2"/>
      <c r="Z197" s="4">
        <f>IFERROR(INDEX(Table5[],MATCH($B197,Table5[Component],0),2),0)</f>
        <v>0</v>
      </c>
      <c r="AA197" s="4">
        <f>IFERROR(INDEX(Table5[],MATCH($B197,Table5[Component],0),1),0)</f>
        <v>0</v>
      </c>
      <c r="AB197" s="4" t="str">
        <f t="shared" si="40"/>
        <v/>
      </c>
      <c r="AC197" s="4" t="str">
        <f t="shared" si="41"/>
        <v/>
      </c>
      <c r="AE197" s="4">
        <f t="shared" si="42"/>
        <v>12</v>
      </c>
      <c r="AJ197" s="248" t="str">
        <f t="shared" si="43"/>
        <v/>
      </c>
      <c r="AK197" s="248" t="str">
        <f t="shared" si="44"/>
        <v/>
      </c>
      <c r="AL197">
        <f t="shared" si="45"/>
        <v>0</v>
      </c>
      <c r="AO197" s="4"/>
      <c r="AP197" s="4"/>
      <c r="AQ197">
        <f t="shared" si="47"/>
        <v>0</v>
      </c>
      <c r="AR197" s="4"/>
      <c r="AS197" s="4">
        <v>1162508</v>
      </c>
      <c r="AT197">
        <f t="shared" si="46"/>
        <v>0</v>
      </c>
    </row>
    <row r="198" spans="1:46" ht="15.65" customHeight="1" x14ac:dyDescent="0.35">
      <c r="A198" s="2">
        <v>197</v>
      </c>
      <c r="B198" s="258">
        <v>1219561</v>
      </c>
      <c r="C198" s="3" t="s">
        <v>172</v>
      </c>
      <c r="D198" s="258">
        <v>1313</v>
      </c>
      <c r="E198" s="3" t="s">
        <v>174</v>
      </c>
      <c r="F198" s="292" t="s">
        <v>109</v>
      </c>
      <c r="G198" s="3"/>
      <c r="H198" s="6" t="s">
        <v>161</v>
      </c>
      <c r="I198" s="10">
        <f>SUMIFS('Cutters Consumption Updates'!$F:$F,'Cutters Consumption Updates'!$D:$D,I$1,'Cutters Consumption Updates'!$B:$B,$B198)-SUMIFS('Cutters Consumption Updates'!$E:$E,'Cutters Consumption Updates'!$D:$D,I$1,'Cutters Consumption Updates'!$B:$B,$B198)+ SUMIF('Cutters Consumption Updates'!$AS:$AS,$B198,'Cutters Consumption Updates'!AT:AT)</f>
        <v>0</v>
      </c>
      <c r="J198" s="10">
        <f>SUMIFS('Cutters Consumption Updates'!$F:$F,'Cutters Consumption Updates'!$D:$D,J$1,'Cutters Consumption Updates'!$B:$B,$B198)-SUMIFS('Cutters Consumption Updates'!$E:$E,'Cutters Consumption Updates'!$D:$D,J$1,'Cutters Consumption Updates'!$B:$B,$B198)+ SUMIF('Cutters Consumption Updates'!$AS:$AS,$B198,'Cutters Consumption Updates'!AU:AU)</f>
        <v>0</v>
      </c>
      <c r="K198" s="116">
        <f>SUMIFS('Cutters Consumption Updates'!$F:$F,'Cutters Consumption Updates'!$D:$D,K$1,'Cutters Consumption Updates'!$B:$B,$B198)-SUMIFS('Cutters Consumption Updates'!$E:$E,'Cutters Consumption Updates'!$D:$D,K$1,'Cutters Consumption Updates'!$B:$B,$B198)+ SUMIF('Cutters Consumption Updates'!$AS:$AS,$B198,'Cutters Consumption Updates'!AV:AV)</f>
        <v>0</v>
      </c>
      <c r="L198" s="738">
        <f>SUMIFS('Cutters Consumption Updates'!$F:$F,'Cutters Consumption Updates'!$D:$D,L$1,'Cutters Consumption Updates'!$B:$B,$B198)-SUMIFS('Cutters Consumption Updates'!$E:$E,'Cutters Consumption Updates'!$D:$D,L$1,'Cutters Consumption Updates'!$B:$B,$B198)+ SUMIF('Cutters Consumption Updates'!$AS:$AS,$B198,'Cutters Consumption Updates'!AW:AW)</f>
        <v>4</v>
      </c>
      <c r="M198" s="116">
        <f>SUMIFS('Cutters Consumption Updates'!$F:$F,'Cutters Consumption Updates'!$D:$D,M$1,'Cutters Consumption Updates'!$B:$B,$B198)-SUMIFS('Cutters Consumption Updates'!$E:$E,'Cutters Consumption Updates'!$D:$D,$M$1,'Cutters Consumption Updates'!$B:$B,$B198)+SUMIFS('Cutters Consumption Updates'!$F:$F,'Cutters Consumption Updates'!$D:$D,"Retrofit",'Cutters Consumption Updates'!$B:$B,$B198)-SUMIFS('Cutters Consumption Updates'!$E:$E,'Cutters Consumption Updates'!$D:$D,"Retrofit",'Cutters Consumption Updates'!$B:$B,$B198)+ SUMIF('Cutters Consumption Updates'!$AS:$AS,$B198,'Cutters Consumption Updates'!AX:AX)</f>
        <v>18</v>
      </c>
      <c r="N198" s="10">
        <f t="shared" si="36"/>
        <v>18</v>
      </c>
      <c r="O198" s="701">
        <f ca="1">SUMIFS('Cutters Consumption Updates'!E:E,
        'Cutters Consumption Updates'!B:B, B198,
        'Cutters Consumption Updates'!A:A, "&gt;" &amp; TODAY()-182)</f>
        <v>0</v>
      </c>
      <c r="P198" s="701">
        <f ca="1">SUMIFS('Cutters Consumption Updates'!E:E,
        'Cutters Consumption Updates'!B:B, B198,
        'Cutters Consumption Updates'!A:A, "&gt;" &amp; TODAY()-91)</f>
        <v>0</v>
      </c>
      <c r="Q198" s="701">
        <f t="shared" ca="1" si="37"/>
        <v>0</v>
      </c>
      <c r="R198" s="703">
        <f t="shared" ca="1" si="38"/>
        <v>0</v>
      </c>
      <c r="S198" s="703" t="s">
        <v>29</v>
      </c>
      <c r="T198" s="24">
        <f>IFERROR(INDEX(Table5[],MATCH($B198,Table5[Component],0),2),0)</f>
        <v>0</v>
      </c>
      <c r="U198" s="24">
        <f>SUMIFS(Table7[Balance],Table7[Cutter Mat'#],$B198)</f>
        <v>0</v>
      </c>
      <c r="V198" s="24">
        <f t="shared" si="39"/>
        <v>18</v>
      </c>
      <c r="W198" s="119"/>
      <c r="X198" s="2"/>
      <c r="Z198" s="4">
        <f>IFERROR(INDEX(Table5[],MATCH($B198,Table5[Component],0),2),0)</f>
        <v>0</v>
      </c>
      <c r="AA198" s="4">
        <f>IFERROR(INDEX(Table5[],MATCH($B198,Table5[Component],0),1),0)</f>
        <v>0</v>
      </c>
      <c r="AB198" s="4" t="str">
        <f t="shared" si="40"/>
        <v/>
      </c>
      <c r="AC198" s="4" t="str">
        <f t="shared" si="41"/>
        <v/>
      </c>
      <c r="AE198" s="4">
        <f t="shared" si="42"/>
        <v>18</v>
      </c>
      <c r="AJ198" s="248" t="str">
        <f t="shared" si="43"/>
        <v/>
      </c>
      <c r="AK198" s="248" t="str">
        <f t="shared" si="44"/>
        <v/>
      </c>
      <c r="AL198">
        <f t="shared" si="45"/>
        <v>0</v>
      </c>
      <c r="AO198" s="4"/>
      <c r="AP198" s="4"/>
      <c r="AQ198">
        <f t="shared" si="47"/>
        <v>0</v>
      </c>
      <c r="AR198" s="4"/>
      <c r="AS198" s="4">
        <v>1162510</v>
      </c>
      <c r="AT198">
        <f t="shared" si="46"/>
        <v>0</v>
      </c>
    </row>
    <row r="199" spans="1:46" ht="15.65" customHeight="1" x14ac:dyDescent="0.35">
      <c r="A199" s="2">
        <v>198</v>
      </c>
      <c r="B199" s="3">
        <v>1223172</v>
      </c>
      <c r="C199" s="3" t="s">
        <v>172</v>
      </c>
      <c r="D199" s="258">
        <v>1913</v>
      </c>
      <c r="E199" s="3" t="s">
        <v>174</v>
      </c>
      <c r="F199" s="3" t="s">
        <v>109</v>
      </c>
      <c r="G199" s="3"/>
      <c r="H199" s="6" t="s">
        <v>161</v>
      </c>
      <c r="I199" s="10">
        <f>SUMIFS('Cutters Consumption Updates'!$F:$F,'Cutters Consumption Updates'!$D:$D,I$1,'Cutters Consumption Updates'!$B:$B,$B199)-SUMIFS('Cutters Consumption Updates'!$E:$E,'Cutters Consumption Updates'!$D:$D,I$1,'Cutters Consumption Updates'!$B:$B,$B199)+ SUMIF('Cutters Consumption Updates'!$AS:$AS,$B199,'Cutters Consumption Updates'!AT:AT)</f>
        <v>0</v>
      </c>
      <c r="J199" s="10">
        <f>SUMIFS('Cutters Consumption Updates'!$F:$F,'Cutters Consumption Updates'!$D:$D,J$1,'Cutters Consumption Updates'!$B:$B,$B199)-SUMIFS('Cutters Consumption Updates'!$E:$E,'Cutters Consumption Updates'!$D:$D,J$1,'Cutters Consumption Updates'!$B:$B,$B199)+ SUMIF('Cutters Consumption Updates'!$AS:$AS,$B199,'Cutters Consumption Updates'!AU:AU)</f>
        <v>0</v>
      </c>
      <c r="K199" s="116">
        <f>SUMIFS('Cutters Consumption Updates'!$F:$F,'Cutters Consumption Updates'!$D:$D,K$1,'Cutters Consumption Updates'!$B:$B,$B199)-SUMIFS('Cutters Consumption Updates'!$E:$E,'Cutters Consumption Updates'!$D:$D,K$1,'Cutters Consumption Updates'!$B:$B,$B199)+ SUMIF('Cutters Consumption Updates'!$AS:$AS,$B199,'Cutters Consumption Updates'!AV:AV)</f>
        <v>0</v>
      </c>
      <c r="L199" s="738">
        <f>SUMIFS('Cutters Consumption Updates'!$F:$F,'Cutters Consumption Updates'!$D:$D,L$1,'Cutters Consumption Updates'!$B:$B,$B199)-SUMIFS('Cutters Consumption Updates'!$E:$E,'Cutters Consumption Updates'!$D:$D,L$1,'Cutters Consumption Updates'!$B:$B,$B199)+ SUMIF('Cutters Consumption Updates'!$AS:$AS,$B199,'Cutters Consumption Updates'!AW:AW)</f>
        <v>0</v>
      </c>
      <c r="M199" s="116">
        <f>SUMIFS('Cutters Consumption Updates'!$F:$F,'Cutters Consumption Updates'!$D:$D,M$1,'Cutters Consumption Updates'!$B:$B,$B199)-SUMIFS('Cutters Consumption Updates'!$E:$E,'Cutters Consumption Updates'!$D:$D,$M$1,'Cutters Consumption Updates'!$B:$B,$B199)+SUMIFS('Cutters Consumption Updates'!$F:$F,'Cutters Consumption Updates'!$D:$D,"Retrofit",'Cutters Consumption Updates'!$B:$B,$B199)-SUMIFS('Cutters Consumption Updates'!$E:$E,'Cutters Consumption Updates'!$D:$D,"Retrofit",'Cutters Consumption Updates'!$B:$B,$B199)+ SUMIF('Cutters Consumption Updates'!$AS:$AS,$B199,'Cutters Consumption Updates'!AX:AX)</f>
        <v>30</v>
      </c>
      <c r="N199" s="10">
        <f t="shared" si="36"/>
        <v>30</v>
      </c>
      <c r="O199" s="701">
        <f ca="1">SUMIFS('Cutters Consumption Updates'!E:E,
        'Cutters Consumption Updates'!B:B, B199,
        'Cutters Consumption Updates'!A:A, "&gt;" &amp; TODAY()-182)</f>
        <v>0</v>
      </c>
      <c r="P199" s="701">
        <f ca="1">SUMIFS('Cutters Consumption Updates'!E:E,
        'Cutters Consumption Updates'!B:B, B199,
        'Cutters Consumption Updates'!A:A, "&gt;" &amp; TODAY()-91)</f>
        <v>0</v>
      </c>
      <c r="Q199" s="701">
        <f t="shared" ca="1" si="37"/>
        <v>0</v>
      </c>
      <c r="R199" s="703">
        <f t="shared" ca="1" si="38"/>
        <v>0</v>
      </c>
      <c r="S199" s="703" t="s">
        <v>29</v>
      </c>
      <c r="T199" s="24">
        <f>IFERROR(INDEX(Table5[],MATCH($B199,Table5[Component],0),2),0)</f>
        <v>0</v>
      </c>
      <c r="U199" s="24">
        <f>SUMIFS(Table7[Balance],Table7[Cutter Mat'#],$B199)</f>
        <v>0</v>
      </c>
      <c r="V199" s="24">
        <f t="shared" si="39"/>
        <v>30</v>
      </c>
      <c r="W199" s="119"/>
      <c r="X199" s="2"/>
      <c r="Z199" s="4">
        <f>IFERROR(INDEX(Table5[],MATCH($B199,Table5[Component],0),2),0)</f>
        <v>0</v>
      </c>
      <c r="AA199" s="4">
        <f>IFERROR(INDEX(Table5[],MATCH($B199,Table5[Component],0),1),0)</f>
        <v>0</v>
      </c>
      <c r="AB199" s="4" t="str">
        <f t="shared" si="40"/>
        <v/>
      </c>
      <c r="AC199" s="4" t="str">
        <f t="shared" si="41"/>
        <v/>
      </c>
      <c r="AE199" s="4">
        <f t="shared" si="42"/>
        <v>30</v>
      </c>
      <c r="AJ199" s="248" t="str">
        <f t="shared" si="43"/>
        <v/>
      </c>
      <c r="AK199" s="248" t="str">
        <f t="shared" si="44"/>
        <v/>
      </c>
      <c r="AL199">
        <f t="shared" si="45"/>
        <v>0</v>
      </c>
      <c r="AO199" s="4"/>
      <c r="AP199" s="4"/>
      <c r="AQ199">
        <f t="shared" si="47"/>
        <v>0</v>
      </c>
      <c r="AR199" s="4"/>
      <c r="AS199" s="4">
        <v>1162516</v>
      </c>
      <c r="AT199">
        <f t="shared" si="46"/>
        <v>0</v>
      </c>
    </row>
    <row r="200" spans="1:46" ht="15.65" customHeight="1" x14ac:dyDescent="0.35">
      <c r="A200" s="2">
        <v>199</v>
      </c>
      <c r="B200" s="258">
        <v>1234679</v>
      </c>
      <c r="C200" s="3" t="s">
        <v>172</v>
      </c>
      <c r="D200" s="646">
        <v>1613</v>
      </c>
      <c r="E200" s="459" t="s">
        <v>176</v>
      </c>
      <c r="F200" s="349" t="s">
        <v>109</v>
      </c>
      <c r="G200" s="459"/>
      <c r="H200" s="6" t="s">
        <v>169</v>
      </c>
      <c r="I200" s="10">
        <f>SUMIFS('Cutters Consumption Updates'!$F:$F,'Cutters Consumption Updates'!$D:$D,I$1,'Cutters Consumption Updates'!$B:$B,$B200)-SUMIFS('Cutters Consumption Updates'!$E:$E,'Cutters Consumption Updates'!$D:$D,I$1,'Cutters Consumption Updates'!$B:$B,$B200)+ SUMIF('Cutters Consumption Updates'!$AS:$AS,$B200,'Cutters Consumption Updates'!AT:AT)</f>
        <v>0</v>
      </c>
      <c r="J200" s="10">
        <f>SUMIFS('Cutters Consumption Updates'!$F:$F,'Cutters Consumption Updates'!$D:$D,J$1,'Cutters Consumption Updates'!$B:$B,$B200)-SUMIFS('Cutters Consumption Updates'!$E:$E,'Cutters Consumption Updates'!$D:$D,J$1,'Cutters Consumption Updates'!$B:$B,$B200)+ SUMIF('Cutters Consumption Updates'!$AS:$AS,$B200,'Cutters Consumption Updates'!AU:AU)</f>
        <v>0</v>
      </c>
      <c r="K200" s="116">
        <f>SUMIFS('Cutters Consumption Updates'!$F:$F,'Cutters Consumption Updates'!$D:$D,K$1,'Cutters Consumption Updates'!$B:$B,$B200)-SUMIFS('Cutters Consumption Updates'!$E:$E,'Cutters Consumption Updates'!$D:$D,K$1,'Cutters Consumption Updates'!$B:$B,$B200)+ SUMIF('Cutters Consumption Updates'!$AS:$AS,$B200,'Cutters Consumption Updates'!AV:AV)</f>
        <v>0</v>
      </c>
      <c r="L200" s="738">
        <f>SUMIFS('Cutters Consumption Updates'!$F:$F,'Cutters Consumption Updates'!$D:$D,L$1,'Cutters Consumption Updates'!$B:$B,$B200)-SUMIFS('Cutters Consumption Updates'!$E:$E,'Cutters Consumption Updates'!$D:$D,L$1,'Cutters Consumption Updates'!$B:$B,$B200)+ SUMIF('Cutters Consumption Updates'!$AS:$AS,$B200,'Cutters Consumption Updates'!AW:AW)</f>
        <v>0</v>
      </c>
      <c r="M200" s="116">
        <f>SUMIFS('Cutters Consumption Updates'!$F:$F,'Cutters Consumption Updates'!$D:$D,M$1,'Cutters Consumption Updates'!$B:$B,$B200)-SUMIFS('Cutters Consumption Updates'!$E:$E,'Cutters Consumption Updates'!$D:$D,$M$1,'Cutters Consumption Updates'!$B:$B,$B200)+SUMIFS('Cutters Consumption Updates'!$F:$F,'Cutters Consumption Updates'!$D:$D,"Retrofit",'Cutters Consumption Updates'!$B:$B,$B200)-SUMIFS('Cutters Consumption Updates'!$E:$E,'Cutters Consumption Updates'!$D:$D,"Retrofit",'Cutters Consumption Updates'!$B:$B,$B200)+ SUMIF('Cutters Consumption Updates'!$AS:$AS,$B200,'Cutters Consumption Updates'!AX:AX)</f>
        <v>26</v>
      </c>
      <c r="N200" s="10">
        <f t="shared" si="36"/>
        <v>26</v>
      </c>
      <c r="O200" s="701">
        <f ca="1">SUMIFS('Cutters Consumption Updates'!E:E,
        'Cutters Consumption Updates'!B:B, B200,
        'Cutters Consumption Updates'!A:A, "&gt;" &amp; TODAY()-182)</f>
        <v>0</v>
      </c>
      <c r="P200" s="701">
        <f ca="1">SUMIFS('Cutters Consumption Updates'!E:E,
        'Cutters Consumption Updates'!B:B, B200,
        'Cutters Consumption Updates'!A:A, "&gt;" &amp; TODAY()-91)</f>
        <v>0</v>
      </c>
      <c r="Q200" s="701">
        <f t="shared" ca="1" si="37"/>
        <v>0</v>
      </c>
      <c r="R200" s="703">
        <f t="shared" ca="1" si="38"/>
        <v>0</v>
      </c>
      <c r="S200" s="703" t="s">
        <v>29</v>
      </c>
      <c r="T200" s="24">
        <f>IFERROR(INDEX(Table5[],MATCH($B200,Table5[Component],0),2),0)</f>
        <v>0</v>
      </c>
      <c r="U200" s="24">
        <f>SUMIFS(Table7[Balance],Table7[Cutter Mat'#],$B200)</f>
        <v>0</v>
      </c>
      <c r="V200" s="24">
        <f t="shared" si="39"/>
        <v>26</v>
      </c>
      <c r="W200" s="119"/>
      <c r="X200" s="2"/>
      <c r="Z200" s="4">
        <f>IFERROR(INDEX(Table5[],MATCH($B200,Table5[Component],0),2),0)</f>
        <v>0</v>
      </c>
      <c r="AA200" s="4">
        <f>IFERROR(INDEX(Table5[],MATCH($B200,Table5[Component],0),1),0)</f>
        <v>0</v>
      </c>
      <c r="AB200" s="4" t="str">
        <f t="shared" si="40"/>
        <v/>
      </c>
      <c r="AC200" s="4" t="str">
        <f t="shared" si="41"/>
        <v/>
      </c>
      <c r="AE200" s="4">
        <f t="shared" si="42"/>
        <v>26</v>
      </c>
      <c r="AJ200" s="248" t="str">
        <f t="shared" si="43"/>
        <v/>
      </c>
      <c r="AK200" s="248" t="str">
        <f t="shared" si="44"/>
        <v/>
      </c>
      <c r="AL200">
        <f t="shared" si="45"/>
        <v>0</v>
      </c>
      <c r="AO200" s="4"/>
      <c r="AP200" s="4"/>
      <c r="AQ200">
        <f t="shared" si="47"/>
        <v>0</v>
      </c>
      <c r="AR200" s="4"/>
      <c r="AS200" s="4">
        <v>1162518</v>
      </c>
      <c r="AT200">
        <f t="shared" si="46"/>
        <v>0</v>
      </c>
    </row>
    <row r="201" spans="1:46" ht="15.65" customHeight="1" x14ac:dyDescent="0.35">
      <c r="A201" s="2">
        <v>200</v>
      </c>
      <c r="B201" s="258">
        <v>1226868</v>
      </c>
      <c r="C201" s="3" t="s">
        <v>159</v>
      </c>
      <c r="D201" s="258">
        <v>1010</v>
      </c>
      <c r="E201" s="3" t="s">
        <v>160</v>
      </c>
      <c r="F201" s="292" t="s">
        <v>109</v>
      </c>
      <c r="G201" s="3"/>
      <c r="H201" s="6" t="s">
        <v>161</v>
      </c>
      <c r="I201" s="10">
        <f>SUMIFS('Cutters Consumption Updates'!$F:$F,'Cutters Consumption Updates'!$D:$D,I$1,'Cutters Consumption Updates'!$B:$B,$B201)-SUMIFS('Cutters Consumption Updates'!$E:$E,'Cutters Consumption Updates'!$D:$D,I$1,'Cutters Consumption Updates'!$B:$B,$B201)+ SUMIF('Cutters Consumption Updates'!$AS:$AS,$B201,'Cutters Consumption Updates'!AT:AT)</f>
        <v>0</v>
      </c>
      <c r="J201" s="10">
        <f>SUMIFS('Cutters Consumption Updates'!$F:$F,'Cutters Consumption Updates'!$D:$D,J$1,'Cutters Consumption Updates'!$B:$B,$B201)-SUMIFS('Cutters Consumption Updates'!$E:$E,'Cutters Consumption Updates'!$D:$D,J$1,'Cutters Consumption Updates'!$B:$B,$B201)+ SUMIF('Cutters Consumption Updates'!$AS:$AS,$B201,'Cutters Consumption Updates'!AU:AU)</f>
        <v>0</v>
      </c>
      <c r="K201" s="116">
        <f>SUMIFS('Cutters Consumption Updates'!$F:$F,'Cutters Consumption Updates'!$D:$D,K$1,'Cutters Consumption Updates'!$B:$B,$B201)-SUMIFS('Cutters Consumption Updates'!$E:$E,'Cutters Consumption Updates'!$D:$D,K$1,'Cutters Consumption Updates'!$B:$B,$B201)+ SUMIF('Cutters Consumption Updates'!$AS:$AS,$B201,'Cutters Consumption Updates'!AV:AV)</f>
        <v>0</v>
      </c>
      <c r="L201" s="738">
        <f>SUMIFS('Cutters Consumption Updates'!$F:$F,'Cutters Consumption Updates'!$D:$D,L$1,'Cutters Consumption Updates'!$B:$B,$B201)-SUMIFS('Cutters Consumption Updates'!$E:$E,'Cutters Consumption Updates'!$D:$D,L$1,'Cutters Consumption Updates'!$B:$B,$B201)+ SUMIF('Cutters Consumption Updates'!$AS:$AS,$B201,'Cutters Consumption Updates'!AW:AW)</f>
        <v>0</v>
      </c>
      <c r="M201" s="116">
        <f>SUMIFS('Cutters Consumption Updates'!$F:$F,'Cutters Consumption Updates'!$D:$D,M$1,'Cutters Consumption Updates'!$B:$B,$B201)-SUMIFS('Cutters Consumption Updates'!$E:$E,'Cutters Consumption Updates'!$D:$D,$M$1,'Cutters Consumption Updates'!$B:$B,$B201)+SUMIFS('Cutters Consumption Updates'!$F:$F,'Cutters Consumption Updates'!$D:$D,"Retrofit",'Cutters Consumption Updates'!$B:$B,$B201)-SUMIFS('Cutters Consumption Updates'!$E:$E,'Cutters Consumption Updates'!$D:$D,"Retrofit",'Cutters Consumption Updates'!$B:$B,$B201)+ SUMIF('Cutters Consumption Updates'!$AS:$AS,$B201,'Cutters Consumption Updates'!AX:AX)</f>
        <v>17</v>
      </c>
      <c r="N201" s="10">
        <f t="shared" si="36"/>
        <v>17</v>
      </c>
      <c r="O201" s="701">
        <f ca="1">SUMIFS('Cutters Consumption Updates'!E:E,
        'Cutters Consumption Updates'!B:B, B201,
        'Cutters Consumption Updates'!A:A, "&gt;" &amp; TODAY()-182)</f>
        <v>0</v>
      </c>
      <c r="P201" s="701">
        <f ca="1">SUMIFS('Cutters Consumption Updates'!E:E,
        'Cutters Consumption Updates'!B:B, B201,
        'Cutters Consumption Updates'!A:A, "&gt;" &amp; TODAY()-91)</f>
        <v>0</v>
      </c>
      <c r="Q201" s="701">
        <f t="shared" ca="1" si="37"/>
        <v>0</v>
      </c>
      <c r="R201" s="703">
        <f t="shared" ca="1" si="38"/>
        <v>0</v>
      </c>
      <c r="S201" s="703" t="s">
        <v>29</v>
      </c>
      <c r="T201" s="24">
        <f>IFERROR(INDEX(Table5[],MATCH($B201,Table5[Component],0),2),0)</f>
        <v>0</v>
      </c>
      <c r="U201" s="24">
        <f>SUMIFS(Table7[Balance],Table7[Cutter Mat'#],$B201)</f>
        <v>0</v>
      </c>
      <c r="V201" s="24">
        <f t="shared" si="39"/>
        <v>17</v>
      </c>
      <c r="W201" s="119"/>
      <c r="X201" s="2"/>
      <c r="Z201" s="4">
        <f>IFERROR(INDEX(Table5[],MATCH($B201,Table5[Component],0),2),0)</f>
        <v>0</v>
      </c>
      <c r="AA201" s="4">
        <f>IFERROR(INDEX(Table5[],MATCH($B201,Table5[Component],0),1),0)</f>
        <v>0</v>
      </c>
      <c r="AB201" s="4" t="str">
        <f t="shared" si="40"/>
        <v/>
      </c>
      <c r="AC201" s="4" t="str">
        <f t="shared" si="41"/>
        <v/>
      </c>
      <c r="AE201" s="4">
        <f t="shared" si="42"/>
        <v>17</v>
      </c>
      <c r="AJ201" s="248" t="str">
        <f t="shared" si="43"/>
        <v/>
      </c>
      <c r="AK201" s="248" t="str">
        <f t="shared" si="44"/>
        <v/>
      </c>
      <c r="AL201">
        <f t="shared" si="45"/>
        <v>0</v>
      </c>
      <c r="AO201" s="4"/>
      <c r="AP201" s="4"/>
      <c r="AQ201">
        <f t="shared" si="47"/>
        <v>0</v>
      </c>
      <c r="AR201" s="4"/>
      <c r="AS201" s="4">
        <v>1163820</v>
      </c>
      <c r="AT201">
        <f t="shared" si="46"/>
        <v>0</v>
      </c>
    </row>
    <row r="202" spans="1:46" ht="15.65" customHeight="1" x14ac:dyDescent="0.35">
      <c r="A202" s="2">
        <v>201</v>
      </c>
      <c r="B202" s="258">
        <v>1146737</v>
      </c>
      <c r="C202" s="3" t="s">
        <v>26</v>
      </c>
      <c r="D202" s="258">
        <v>1613</v>
      </c>
      <c r="E202" s="462" t="s">
        <v>111</v>
      </c>
      <c r="F202" s="350" t="s">
        <v>177</v>
      </c>
      <c r="G202" s="462"/>
      <c r="H202" s="6" t="s">
        <v>49</v>
      </c>
      <c r="I202" s="10">
        <f>SUMIFS('Cutters Consumption Updates'!$F:$F,'Cutters Consumption Updates'!$D:$D,I$1,'Cutters Consumption Updates'!$B:$B,$B202)-SUMIFS('Cutters Consumption Updates'!$E:$E,'Cutters Consumption Updates'!$D:$D,I$1,'Cutters Consumption Updates'!$B:$B,$B202)+ SUMIF('Cutters Consumption Updates'!$AS:$AS,$B202,'Cutters Consumption Updates'!AT:AT)</f>
        <v>0</v>
      </c>
      <c r="J202" s="10">
        <f>SUMIFS('Cutters Consumption Updates'!$F:$F,'Cutters Consumption Updates'!$D:$D,J$1,'Cutters Consumption Updates'!$B:$B,$B202)-SUMIFS('Cutters Consumption Updates'!$E:$E,'Cutters Consumption Updates'!$D:$D,J$1,'Cutters Consumption Updates'!$B:$B,$B202)+ SUMIF('Cutters Consumption Updates'!$AS:$AS,$B202,'Cutters Consumption Updates'!AU:AU)</f>
        <v>0</v>
      </c>
      <c r="K202" s="116">
        <f>SUMIFS('Cutters Consumption Updates'!$F:$F,'Cutters Consumption Updates'!$D:$D,K$1,'Cutters Consumption Updates'!$B:$B,$B202)-SUMIFS('Cutters Consumption Updates'!$E:$E,'Cutters Consumption Updates'!$D:$D,K$1,'Cutters Consumption Updates'!$B:$B,$B202)+ SUMIF('Cutters Consumption Updates'!$AS:$AS,$B202,'Cutters Consumption Updates'!AV:AV)</f>
        <v>52</v>
      </c>
      <c r="L202" s="738">
        <f>SUMIFS('Cutters Consumption Updates'!$F:$F,'Cutters Consumption Updates'!$D:$D,L$1,'Cutters Consumption Updates'!$B:$B,$B202)-SUMIFS('Cutters Consumption Updates'!$E:$E,'Cutters Consumption Updates'!$D:$D,L$1,'Cutters Consumption Updates'!$B:$B,$B202)+ SUMIF('Cutters Consumption Updates'!$AS:$AS,$B202,'Cutters Consumption Updates'!AW:AW)</f>
        <v>0</v>
      </c>
      <c r="M202" s="116">
        <f>SUMIFS('Cutters Consumption Updates'!$F:$F,'Cutters Consumption Updates'!$D:$D,M$1,'Cutters Consumption Updates'!$B:$B,$B202)-SUMIFS('Cutters Consumption Updates'!$E:$E,'Cutters Consumption Updates'!$D:$D,$M$1,'Cutters Consumption Updates'!$B:$B,$B202)+SUMIFS('Cutters Consumption Updates'!$F:$F,'Cutters Consumption Updates'!$D:$D,"Retrofit",'Cutters Consumption Updates'!$B:$B,$B202)-SUMIFS('Cutters Consumption Updates'!$E:$E,'Cutters Consumption Updates'!$D:$D,"Retrofit",'Cutters Consumption Updates'!$B:$B,$B202)+ SUMIF('Cutters Consumption Updates'!$AS:$AS,$B202,'Cutters Consumption Updates'!AX:AX)</f>
        <v>-3</v>
      </c>
      <c r="N202" s="10">
        <f t="shared" si="36"/>
        <v>-3</v>
      </c>
      <c r="O202" s="701">
        <f ca="1">SUMIFS('Cutters Consumption Updates'!E:E,
        'Cutters Consumption Updates'!B:B, B202,
        'Cutters Consumption Updates'!A:A, "&gt;" &amp; TODAY()-182)</f>
        <v>1281</v>
      </c>
      <c r="P202" s="701">
        <f ca="1">SUMIFS('Cutters Consumption Updates'!E:E,
        'Cutters Consumption Updates'!B:B, B202,
        'Cutters Consumption Updates'!A:A, "&gt;" &amp; TODAY()-91)</f>
        <v>655</v>
      </c>
      <c r="Q202" s="701">
        <f t="shared" ca="1" si="37"/>
        <v>427</v>
      </c>
      <c r="R202" s="703">
        <f t="shared" ca="1" si="38"/>
        <v>440</v>
      </c>
      <c r="S202" s="703" t="s">
        <v>115</v>
      </c>
      <c r="T202" s="24">
        <f>IFERROR(INDEX(Table5[],MATCH($B202,Table5[Component],0),2),0)</f>
        <v>1198</v>
      </c>
      <c r="U202" s="24">
        <f>SUMIFS(Table7[Balance],Table7[Cutter Mat'#],$B202)</f>
        <v>300</v>
      </c>
      <c r="V202" s="24">
        <f t="shared" si="39"/>
        <v>-901</v>
      </c>
      <c r="W202" s="119"/>
      <c r="X202" s="2"/>
      <c r="Z202" s="4">
        <f>IFERROR(INDEX(Table5[],MATCH($B202,Table5[Component],0),2),0)</f>
        <v>1198</v>
      </c>
      <c r="AA202" s="4">
        <f>IFERROR(INDEX(Table5[],MATCH($B202,Table5[Component],0),1),0)</f>
        <v>1146737</v>
      </c>
      <c r="AB202" s="4">
        <f t="shared" si="40"/>
        <v>1146737</v>
      </c>
      <c r="AC202" s="4" t="str">
        <f t="shared" si="41"/>
        <v/>
      </c>
      <c r="AE202" s="4">
        <f t="shared" si="42"/>
        <v>49</v>
      </c>
      <c r="AJ202" s="248" t="str">
        <f t="shared" si="43"/>
        <v/>
      </c>
      <c r="AK202" s="248" t="str">
        <f t="shared" si="44"/>
        <v/>
      </c>
      <c r="AL202">
        <f t="shared" si="45"/>
        <v>0</v>
      </c>
      <c r="AO202" s="4"/>
      <c r="AP202" s="4"/>
      <c r="AQ202">
        <f t="shared" si="47"/>
        <v>300</v>
      </c>
      <c r="AR202" s="4"/>
      <c r="AS202" s="4">
        <v>1165840</v>
      </c>
      <c r="AT202">
        <f t="shared" si="46"/>
        <v>0</v>
      </c>
    </row>
    <row r="203" spans="1:46" ht="15.65" customHeight="1" x14ac:dyDescent="0.35">
      <c r="A203" s="2">
        <v>205</v>
      </c>
      <c r="B203" s="258">
        <v>1141583</v>
      </c>
      <c r="C203" s="3" t="s">
        <v>26</v>
      </c>
      <c r="D203" s="258">
        <v>1613</v>
      </c>
      <c r="E203" s="3" t="s">
        <v>178</v>
      </c>
      <c r="F203" s="292" t="s">
        <v>109</v>
      </c>
      <c r="G203" s="3"/>
      <c r="H203" s="6" t="s">
        <v>161</v>
      </c>
      <c r="I203" s="10">
        <f>SUMIFS('Cutters Consumption Updates'!$F:$F,'Cutters Consumption Updates'!$D:$D,I$1,'Cutters Consumption Updates'!$B:$B,$B203)-SUMIFS('Cutters Consumption Updates'!$E:$E,'Cutters Consumption Updates'!$D:$D,I$1,'Cutters Consumption Updates'!$B:$B,$B203)+ SUMIF('Cutters Consumption Updates'!$AS:$AS,$B203,'Cutters Consumption Updates'!AT:AT)</f>
        <v>0</v>
      </c>
      <c r="J203" s="10">
        <f>SUMIFS('Cutters Consumption Updates'!$F:$F,'Cutters Consumption Updates'!$D:$D,J$1,'Cutters Consumption Updates'!$B:$B,$B203)-SUMIFS('Cutters Consumption Updates'!$E:$E,'Cutters Consumption Updates'!$D:$D,J$1,'Cutters Consumption Updates'!$B:$B,$B203)+ SUMIF('Cutters Consumption Updates'!$AS:$AS,$B203,'Cutters Consumption Updates'!AU:AU)</f>
        <v>0</v>
      </c>
      <c r="K203" s="116">
        <f>SUMIFS('Cutters Consumption Updates'!$F:$F,'Cutters Consumption Updates'!$D:$D,K$1,'Cutters Consumption Updates'!$B:$B,$B203)-SUMIFS('Cutters Consumption Updates'!$E:$E,'Cutters Consumption Updates'!$D:$D,K$1,'Cutters Consumption Updates'!$B:$B,$B203)+ SUMIF('Cutters Consumption Updates'!$AS:$AS,$B203,'Cutters Consumption Updates'!AV:AV)</f>
        <v>0</v>
      </c>
      <c r="L203" s="738">
        <f>SUMIFS('Cutters Consumption Updates'!$F:$F,'Cutters Consumption Updates'!$D:$D,L$1,'Cutters Consumption Updates'!$B:$B,$B203)-SUMIFS('Cutters Consumption Updates'!$E:$E,'Cutters Consumption Updates'!$D:$D,L$1,'Cutters Consumption Updates'!$B:$B,$B203)+ SUMIF('Cutters Consumption Updates'!$AS:$AS,$B203,'Cutters Consumption Updates'!AW:AW)</f>
        <v>47</v>
      </c>
      <c r="M203" s="116">
        <f>SUMIFS('Cutters Consumption Updates'!$F:$F,'Cutters Consumption Updates'!$D:$D,M$1,'Cutters Consumption Updates'!$B:$B,$B203)-SUMIFS('Cutters Consumption Updates'!$E:$E,'Cutters Consumption Updates'!$D:$D,$M$1,'Cutters Consumption Updates'!$B:$B,$B203)+SUMIFS('Cutters Consumption Updates'!$F:$F,'Cutters Consumption Updates'!$D:$D,"Retrofit",'Cutters Consumption Updates'!$B:$B,$B203)-SUMIFS('Cutters Consumption Updates'!$E:$E,'Cutters Consumption Updates'!$D:$D,"Retrofit",'Cutters Consumption Updates'!$B:$B,$B203)+ SUMIF('Cutters Consumption Updates'!$AS:$AS,$B203,'Cutters Consumption Updates'!AX:AX)</f>
        <v>0</v>
      </c>
      <c r="N203" s="10">
        <f t="shared" si="36"/>
        <v>0</v>
      </c>
      <c r="O203" s="701">
        <f ca="1">SUMIFS('Cutters Consumption Updates'!E:E,
        'Cutters Consumption Updates'!B:B, B203,
        'Cutters Consumption Updates'!A:A, "&gt;" &amp; TODAY()-182)</f>
        <v>0</v>
      </c>
      <c r="P203" s="701">
        <f ca="1">SUMIFS('Cutters Consumption Updates'!E:E,
        'Cutters Consumption Updates'!B:B, B203,
        'Cutters Consumption Updates'!A:A, "&gt;" &amp; TODAY()-91)</f>
        <v>0</v>
      </c>
      <c r="Q203" s="701">
        <f t="shared" ca="1" si="37"/>
        <v>0</v>
      </c>
      <c r="R203" s="703">
        <f t="shared" ca="1" si="38"/>
        <v>0</v>
      </c>
      <c r="S203" s="703" t="s">
        <v>29</v>
      </c>
      <c r="T203" s="24">
        <f>IFERROR(INDEX(Table5[],MATCH($B203,Table5[Component],0),2),0)</f>
        <v>0</v>
      </c>
      <c r="U203" s="24">
        <f>SUMIFS(Table7[Balance],Table7[Cutter Mat'#],$B203)</f>
        <v>0</v>
      </c>
      <c r="V203" s="24">
        <f t="shared" si="39"/>
        <v>0</v>
      </c>
      <c r="W203" s="119"/>
      <c r="X203" s="2"/>
      <c r="Z203" s="4">
        <f>IFERROR(INDEX(Table5[],MATCH($B203,Table5[Component],0),2),0)</f>
        <v>0</v>
      </c>
      <c r="AA203" s="4">
        <f>IFERROR(INDEX(Table5[],MATCH($B203,Table5[Component],0),1),0)</f>
        <v>0</v>
      </c>
      <c r="AB203" s="4" t="str">
        <f t="shared" si="40"/>
        <v/>
      </c>
      <c r="AC203" s="4" t="str">
        <f t="shared" si="41"/>
        <v/>
      </c>
      <c r="AE203" s="4">
        <f t="shared" si="42"/>
        <v>0</v>
      </c>
      <c r="AJ203" s="248" t="str">
        <f t="shared" si="43"/>
        <v/>
      </c>
      <c r="AK203" s="248" t="str">
        <f t="shared" si="44"/>
        <v/>
      </c>
      <c r="AL203">
        <f t="shared" si="45"/>
        <v>0</v>
      </c>
      <c r="AO203" s="4"/>
      <c r="AP203" s="4"/>
      <c r="AQ203">
        <f t="shared" si="47"/>
        <v>0</v>
      </c>
      <c r="AR203" s="4"/>
      <c r="AS203" s="4">
        <v>1172481</v>
      </c>
      <c r="AT203">
        <f t="shared" si="46"/>
        <v>0</v>
      </c>
    </row>
    <row r="204" spans="1:46" ht="15.65" customHeight="1" x14ac:dyDescent="0.35">
      <c r="A204" s="2">
        <v>206</v>
      </c>
      <c r="B204" s="258">
        <v>1146742</v>
      </c>
      <c r="C204" s="3" t="s">
        <v>26</v>
      </c>
      <c r="D204" s="460">
        <v>1913</v>
      </c>
      <c r="E204" s="3" t="s">
        <v>111</v>
      </c>
      <c r="F204" s="292" t="s">
        <v>170</v>
      </c>
      <c r="G204" s="3"/>
      <c r="H204" s="6" t="s">
        <v>49</v>
      </c>
      <c r="I204" s="10">
        <f>SUMIFS('Cutters Consumption Updates'!$F:$F,'Cutters Consumption Updates'!$D:$D,I$1,'Cutters Consumption Updates'!$B:$B,$B204)-SUMIFS('Cutters Consumption Updates'!$E:$E,'Cutters Consumption Updates'!$D:$D,I$1,'Cutters Consumption Updates'!$B:$B,$B204)+ SUMIF('Cutters Consumption Updates'!$AS:$AS,$B204,'Cutters Consumption Updates'!AT:AT)</f>
        <v>0</v>
      </c>
      <c r="J204" s="10">
        <f>SUMIFS('Cutters Consumption Updates'!$F:$F,'Cutters Consumption Updates'!$D:$D,J$1,'Cutters Consumption Updates'!$B:$B,$B204)-SUMIFS('Cutters Consumption Updates'!$E:$E,'Cutters Consumption Updates'!$D:$D,J$1,'Cutters Consumption Updates'!$B:$B,$B204)+ SUMIF('Cutters Consumption Updates'!$AS:$AS,$B204,'Cutters Consumption Updates'!AU:AU)</f>
        <v>0</v>
      </c>
      <c r="K204" s="116">
        <f>SUMIFS('Cutters Consumption Updates'!$F:$F,'Cutters Consumption Updates'!$D:$D,K$1,'Cutters Consumption Updates'!$B:$B,$B204)-SUMIFS('Cutters Consumption Updates'!$E:$E,'Cutters Consumption Updates'!$D:$D,K$1,'Cutters Consumption Updates'!$B:$B,$B204)+ SUMIF('Cutters Consumption Updates'!$AS:$AS,$B204,'Cutters Consumption Updates'!AV:AV)</f>
        <v>0</v>
      </c>
      <c r="L204" s="738">
        <f>SUMIFS('Cutters Consumption Updates'!$F:$F,'Cutters Consumption Updates'!$D:$D,L$1,'Cutters Consumption Updates'!$B:$B,$B204)-SUMIFS('Cutters Consumption Updates'!$E:$E,'Cutters Consumption Updates'!$D:$D,L$1,'Cutters Consumption Updates'!$B:$B,$B204)+ SUMIF('Cutters Consumption Updates'!$AS:$AS,$B204,'Cutters Consumption Updates'!AW:AW)</f>
        <v>0</v>
      </c>
      <c r="M204" s="116">
        <f>SUMIFS('Cutters Consumption Updates'!$F:$F,'Cutters Consumption Updates'!$D:$D,M$1,'Cutters Consumption Updates'!$B:$B,$B204)-SUMIFS('Cutters Consumption Updates'!$E:$E,'Cutters Consumption Updates'!$D:$D,$M$1,'Cutters Consumption Updates'!$B:$B,$B204)+SUMIFS('Cutters Consumption Updates'!$F:$F,'Cutters Consumption Updates'!$D:$D,"Retrofit",'Cutters Consumption Updates'!$B:$B,$B204)-SUMIFS('Cutters Consumption Updates'!$E:$E,'Cutters Consumption Updates'!$D:$D,"Retrofit",'Cutters Consumption Updates'!$B:$B,$B204)+ SUMIF('Cutters Consumption Updates'!$AS:$AS,$B204,'Cutters Consumption Updates'!AX:AX)</f>
        <v>28</v>
      </c>
      <c r="N204" s="10">
        <f t="shared" si="36"/>
        <v>28</v>
      </c>
      <c r="O204" s="701">
        <f ca="1">SUMIFS('Cutters Consumption Updates'!E:E,
        'Cutters Consumption Updates'!B:B, B204,
        'Cutters Consumption Updates'!A:A, "&gt;" &amp; TODAY()-182)</f>
        <v>20</v>
      </c>
      <c r="P204" s="701">
        <f ca="1">SUMIFS('Cutters Consumption Updates'!E:E,
        'Cutters Consumption Updates'!B:B, B204,
        'Cutters Consumption Updates'!A:A, "&gt;" &amp; TODAY()-91)</f>
        <v>20</v>
      </c>
      <c r="Q204" s="701">
        <f t="shared" ca="1" si="37"/>
        <v>7</v>
      </c>
      <c r="R204" s="703">
        <f t="shared" ca="1" si="38"/>
        <v>10</v>
      </c>
      <c r="S204" s="703" t="s">
        <v>113</v>
      </c>
      <c r="T204" s="24">
        <f>IFERROR(INDEX(Table5[],MATCH($B204,Table5[Component],0),2),0)</f>
        <v>20</v>
      </c>
      <c r="U204" s="24">
        <f>SUMIFS(Table7[Balance],Table7[Cutter Mat'#],$B204)</f>
        <v>0</v>
      </c>
      <c r="V204" s="24">
        <f t="shared" si="39"/>
        <v>8</v>
      </c>
      <c r="W204" s="119"/>
      <c r="X204" s="2"/>
      <c r="Z204" s="4">
        <f>IFERROR(INDEX(Table5[],MATCH($B204,Table5[Component],0),2),0)</f>
        <v>20</v>
      </c>
      <c r="AA204" s="4">
        <f>IFERROR(INDEX(Table5[],MATCH($B204,Table5[Component],0),1),0)</f>
        <v>1146742</v>
      </c>
      <c r="AB204" s="4">
        <f t="shared" si="40"/>
        <v>1146742</v>
      </c>
      <c r="AC204" s="4" t="str">
        <f t="shared" si="41"/>
        <v/>
      </c>
      <c r="AE204" s="4">
        <f t="shared" si="42"/>
        <v>28</v>
      </c>
      <c r="AJ204" s="248" t="str">
        <f t="shared" si="43"/>
        <v/>
      </c>
      <c r="AK204" s="248" t="str">
        <f t="shared" si="44"/>
        <v/>
      </c>
      <c r="AL204">
        <f t="shared" si="45"/>
        <v>0</v>
      </c>
      <c r="AO204" s="4"/>
      <c r="AP204" s="4"/>
      <c r="AQ204">
        <f t="shared" si="47"/>
        <v>0</v>
      </c>
      <c r="AR204" s="4"/>
      <c r="AS204" s="4">
        <v>1175118</v>
      </c>
      <c r="AT204">
        <f t="shared" si="46"/>
        <v>0</v>
      </c>
    </row>
    <row r="205" spans="1:46" ht="15.65" customHeight="1" x14ac:dyDescent="0.35">
      <c r="A205" s="2">
        <v>207</v>
      </c>
      <c r="B205" s="258">
        <v>1244299</v>
      </c>
      <c r="C205" s="3" t="s">
        <v>179</v>
      </c>
      <c r="D205" s="460">
        <v>1313</v>
      </c>
      <c r="E205" s="3" t="s">
        <v>180</v>
      </c>
      <c r="F205" s="292" t="s">
        <v>109</v>
      </c>
      <c r="G205" s="3"/>
      <c r="H205" s="6" t="s">
        <v>161</v>
      </c>
      <c r="I205" s="10">
        <f>SUMIFS('Cutters Consumption Updates'!$F:$F,'Cutters Consumption Updates'!$D:$D,I$1,'Cutters Consumption Updates'!$B:$B,$B205)-SUMIFS('Cutters Consumption Updates'!$E:$E,'Cutters Consumption Updates'!$D:$D,I$1,'Cutters Consumption Updates'!$B:$B,$B205)+ SUMIF('Cutters Consumption Updates'!$AS:$AS,$B205,'Cutters Consumption Updates'!AT:AT)</f>
        <v>0</v>
      </c>
      <c r="J205" s="10">
        <f>SUMIFS('Cutters Consumption Updates'!$F:$F,'Cutters Consumption Updates'!$D:$D,J$1,'Cutters Consumption Updates'!$B:$B,$B205)-SUMIFS('Cutters Consumption Updates'!$E:$E,'Cutters Consumption Updates'!$D:$D,J$1,'Cutters Consumption Updates'!$B:$B,$B205)+ SUMIF('Cutters Consumption Updates'!$AS:$AS,$B205,'Cutters Consumption Updates'!AU:AU)</f>
        <v>0</v>
      </c>
      <c r="K205" s="116">
        <f>SUMIFS('Cutters Consumption Updates'!$F:$F,'Cutters Consumption Updates'!$D:$D,K$1,'Cutters Consumption Updates'!$B:$B,$B205)-SUMIFS('Cutters Consumption Updates'!$E:$E,'Cutters Consumption Updates'!$D:$D,K$1,'Cutters Consumption Updates'!$B:$B,$B205)+ SUMIF('Cutters Consumption Updates'!$AS:$AS,$B205,'Cutters Consumption Updates'!AV:AV)</f>
        <v>0</v>
      </c>
      <c r="L205" s="738">
        <f>SUMIFS('Cutters Consumption Updates'!$F:$F,'Cutters Consumption Updates'!$D:$D,L$1,'Cutters Consumption Updates'!$B:$B,$B205)-SUMIFS('Cutters Consumption Updates'!$E:$E,'Cutters Consumption Updates'!$D:$D,L$1,'Cutters Consumption Updates'!$B:$B,$B205)+ SUMIF('Cutters Consumption Updates'!$AS:$AS,$B205,'Cutters Consumption Updates'!AW:AW)</f>
        <v>7</v>
      </c>
      <c r="M205" s="116">
        <f>SUMIFS('Cutters Consumption Updates'!$F:$F,'Cutters Consumption Updates'!$D:$D,M$1,'Cutters Consumption Updates'!$B:$B,$B205)-SUMIFS('Cutters Consumption Updates'!$E:$E,'Cutters Consumption Updates'!$D:$D,$M$1,'Cutters Consumption Updates'!$B:$B,$B205)+SUMIFS('Cutters Consumption Updates'!$F:$F,'Cutters Consumption Updates'!$D:$D,"Retrofit",'Cutters Consumption Updates'!$B:$B,$B205)-SUMIFS('Cutters Consumption Updates'!$E:$E,'Cutters Consumption Updates'!$D:$D,"Retrofit",'Cutters Consumption Updates'!$B:$B,$B205)+ SUMIF('Cutters Consumption Updates'!$AS:$AS,$B205,'Cutters Consumption Updates'!AX:AX)</f>
        <v>1</v>
      </c>
      <c r="N205" s="10">
        <f t="shared" si="36"/>
        <v>1</v>
      </c>
      <c r="O205" s="701">
        <f ca="1">SUMIFS('Cutters Consumption Updates'!E:E,
        'Cutters Consumption Updates'!B:B, B205,
        'Cutters Consumption Updates'!A:A, "&gt;" &amp; TODAY()-182)</f>
        <v>15</v>
      </c>
      <c r="P205" s="701">
        <f ca="1">SUMIFS('Cutters Consumption Updates'!E:E,
        'Cutters Consumption Updates'!B:B, B205,
        'Cutters Consumption Updates'!A:A, "&gt;" &amp; TODAY()-91)</f>
        <v>1</v>
      </c>
      <c r="Q205" s="701">
        <f t="shared" ca="1" si="37"/>
        <v>5</v>
      </c>
      <c r="R205" s="703">
        <f t="shared" ca="1" si="38"/>
        <v>10</v>
      </c>
      <c r="S205" s="703" t="s">
        <v>181</v>
      </c>
      <c r="T205" s="24">
        <f>IFERROR(INDEX(Table5[],MATCH($B205,Table5[Component],0),2),0)</f>
        <v>0</v>
      </c>
      <c r="U205" s="24">
        <f>SUMIFS(Table7[Balance],Table7[Cutter Mat'#],$B205)</f>
        <v>0</v>
      </c>
      <c r="V205" s="24">
        <f t="shared" si="39"/>
        <v>1</v>
      </c>
      <c r="W205" s="119"/>
      <c r="X205" s="2"/>
      <c r="Z205" s="4">
        <f>IFERROR(INDEX(Table5[],MATCH($B205,Table5[Component],0),2),0)</f>
        <v>0</v>
      </c>
      <c r="AA205" s="4">
        <f>IFERROR(INDEX(Table5[],MATCH($B205,Table5[Component],0),1),0)</f>
        <v>1244299</v>
      </c>
      <c r="AB205" s="4" t="str">
        <f t="shared" si="40"/>
        <v/>
      </c>
      <c r="AC205" s="4" t="str">
        <f t="shared" si="41"/>
        <v/>
      </c>
      <c r="AE205" s="4">
        <f t="shared" si="42"/>
        <v>1</v>
      </c>
      <c r="AJ205" s="248" t="str">
        <f t="shared" si="43"/>
        <v/>
      </c>
      <c r="AK205" s="248" t="str">
        <f t="shared" si="44"/>
        <v/>
      </c>
      <c r="AL205">
        <f t="shared" si="45"/>
        <v>0</v>
      </c>
      <c r="AO205" s="4"/>
      <c r="AP205" s="4"/>
      <c r="AQ205">
        <f t="shared" si="47"/>
        <v>0</v>
      </c>
      <c r="AR205" s="4"/>
      <c r="AS205" s="4">
        <v>1176639</v>
      </c>
      <c r="AT205">
        <f t="shared" si="46"/>
        <v>0</v>
      </c>
    </row>
    <row r="206" spans="1:46" ht="15.65" customHeight="1" x14ac:dyDescent="0.35">
      <c r="A206" s="2">
        <v>208</v>
      </c>
      <c r="B206" s="258">
        <v>1112229</v>
      </c>
      <c r="C206" s="3" t="s">
        <v>26</v>
      </c>
      <c r="D206" s="460">
        <v>1613</v>
      </c>
      <c r="E206" s="3" t="s">
        <v>178</v>
      </c>
      <c r="F206" s="292" t="s">
        <v>253</v>
      </c>
      <c r="G206" s="3"/>
      <c r="H206" s="6" t="s">
        <v>161</v>
      </c>
      <c r="I206" s="10">
        <f>SUMIFS('Cutters Consumption Updates'!$F:$F,'Cutters Consumption Updates'!$D:$D,I$1,'Cutters Consumption Updates'!$B:$B,$B206)-SUMIFS('Cutters Consumption Updates'!$E:$E,'Cutters Consumption Updates'!$D:$D,I$1,'Cutters Consumption Updates'!$B:$B,$B206)+ SUMIF('Cutters Consumption Updates'!$AS:$AS,$B206,'Cutters Consumption Updates'!AT:AT)</f>
        <v>0</v>
      </c>
      <c r="J206" s="10">
        <f>SUMIFS('Cutters Consumption Updates'!$F:$F,'Cutters Consumption Updates'!$D:$D,J$1,'Cutters Consumption Updates'!$B:$B,$B206)-SUMIFS('Cutters Consumption Updates'!$E:$E,'Cutters Consumption Updates'!$D:$D,J$1,'Cutters Consumption Updates'!$B:$B,$B206)+ SUMIF('Cutters Consumption Updates'!$AS:$AS,$B206,'Cutters Consumption Updates'!AU:AU)</f>
        <v>0</v>
      </c>
      <c r="K206" s="116">
        <f>SUMIFS('Cutters Consumption Updates'!$F:$F,'Cutters Consumption Updates'!$D:$D,K$1,'Cutters Consumption Updates'!$B:$B,$B206)-SUMIFS('Cutters Consumption Updates'!$E:$E,'Cutters Consumption Updates'!$D:$D,K$1,'Cutters Consumption Updates'!$B:$B,$B206)+ SUMIF('Cutters Consumption Updates'!$AS:$AS,$B206,'Cutters Consumption Updates'!AV:AV)</f>
        <v>0</v>
      </c>
      <c r="L206" s="738">
        <f>SUMIFS('Cutters Consumption Updates'!$F:$F,'Cutters Consumption Updates'!$D:$D,L$1,'Cutters Consumption Updates'!$B:$B,$B206)-SUMIFS('Cutters Consumption Updates'!$E:$E,'Cutters Consumption Updates'!$D:$D,L$1,'Cutters Consumption Updates'!$B:$B,$B206)+ SUMIF('Cutters Consumption Updates'!$AS:$AS,$B206,'Cutters Consumption Updates'!AW:AW)</f>
        <v>0</v>
      </c>
      <c r="M206" s="116">
        <f>SUMIFS('Cutters Consumption Updates'!$F:$F,'Cutters Consumption Updates'!$D:$D,M$1,'Cutters Consumption Updates'!$B:$B,$B206)-SUMIFS('Cutters Consumption Updates'!$E:$E,'Cutters Consumption Updates'!$D:$D,$M$1,'Cutters Consumption Updates'!$B:$B,$B206)+SUMIFS('Cutters Consumption Updates'!$F:$F,'Cutters Consumption Updates'!$D:$D,"Retrofit",'Cutters Consumption Updates'!$B:$B,$B206)-SUMIFS('Cutters Consumption Updates'!$E:$E,'Cutters Consumption Updates'!$D:$D,"Retrofit",'Cutters Consumption Updates'!$B:$B,$B206)+ SUMIF('Cutters Consumption Updates'!$AS:$AS,$B206,'Cutters Consumption Updates'!AX:AX)</f>
        <v>49</v>
      </c>
      <c r="N206" s="10">
        <f t="shared" si="36"/>
        <v>49</v>
      </c>
      <c r="O206" s="701">
        <f ca="1">SUMIFS('Cutters Consumption Updates'!E:E,
        'Cutters Consumption Updates'!B:B, B206,
        'Cutters Consumption Updates'!A:A, "&gt;" &amp; TODAY()-182)</f>
        <v>0</v>
      </c>
      <c r="P206" s="701">
        <f ca="1">SUMIFS('Cutters Consumption Updates'!E:E,
        'Cutters Consumption Updates'!B:B, B206,
        'Cutters Consumption Updates'!A:A, "&gt;" &amp; TODAY()-91)</f>
        <v>0</v>
      </c>
      <c r="Q206" s="701">
        <f t="shared" ca="1" si="37"/>
        <v>0</v>
      </c>
      <c r="R206" s="703">
        <f t="shared" ca="1" si="38"/>
        <v>0</v>
      </c>
      <c r="S206" s="703" t="s">
        <v>29</v>
      </c>
      <c r="T206" s="24">
        <f>IFERROR(INDEX(Table5[],MATCH($B206,Table5[Component],0),2),0)</f>
        <v>0</v>
      </c>
      <c r="U206" s="24">
        <f>SUMIFS(Table7[Balance],Table7[Cutter Mat'#],$B206)</f>
        <v>0</v>
      </c>
      <c r="V206" s="24">
        <f t="shared" si="39"/>
        <v>49</v>
      </c>
      <c r="W206" s="119"/>
      <c r="X206" s="2"/>
      <c r="Z206" s="4">
        <f>IFERROR(INDEX(Table5[],MATCH($B206,Table5[Component],0),2),0)</f>
        <v>0</v>
      </c>
      <c r="AA206" s="4">
        <f>IFERROR(INDEX(Table5[],MATCH($B206,Table5[Component],0),1),0)</f>
        <v>0</v>
      </c>
      <c r="AB206" s="4" t="str">
        <f t="shared" si="40"/>
        <v/>
      </c>
      <c r="AC206" s="4" t="str">
        <f t="shared" si="41"/>
        <v/>
      </c>
      <c r="AE206" s="4">
        <f t="shared" si="42"/>
        <v>49</v>
      </c>
      <c r="AJ206" s="248" t="str">
        <f t="shared" si="43"/>
        <v/>
      </c>
      <c r="AK206" s="248" t="str">
        <f t="shared" si="44"/>
        <v/>
      </c>
      <c r="AL206">
        <f t="shared" si="45"/>
        <v>0</v>
      </c>
      <c r="AO206" s="4"/>
      <c r="AP206" s="4"/>
      <c r="AQ206">
        <f t="shared" si="47"/>
        <v>0</v>
      </c>
      <c r="AR206" s="4"/>
      <c r="AS206" s="4">
        <v>1176641</v>
      </c>
      <c r="AT206">
        <f t="shared" si="46"/>
        <v>0</v>
      </c>
    </row>
    <row r="207" spans="1:46" ht="15.65" customHeight="1" x14ac:dyDescent="0.35">
      <c r="A207" s="3">
        <v>209</v>
      </c>
      <c r="B207" s="258">
        <v>1228501</v>
      </c>
      <c r="C207" s="3" t="s">
        <v>182</v>
      </c>
      <c r="D207" s="460">
        <v>1618</v>
      </c>
      <c r="E207" s="3" t="s">
        <v>114</v>
      </c>
      <c r="F207" s="292" t="s">
        <v>170</v>
      </c>
      <c r="G207" s="3" t="s">
        <v>183</v>
      </c>
      <c r="H207" s="6" t="s">
        <v>49</v>
      </c>
      <c r="I207" s="10">
        <f>SUMIFS('Cutters Consumption Updates'!$F:$F,'Cutters Consumption Updates'!$D:$D,I$1,'Cutters Consumption Updates'!$B:$B,$B207)-SUMIFS('Cutters Consumption Updates'!$E:$E,'Cutters Consumption Updates'!$D:$D,I$1,'Cutters Consumption Updates'!$B:$B,$B207)+ SUMIF('Cutters Consumption Updates'!$AS:$AS,$B207,'Cutters Consumption Updates'!AT:AT)</f>
        <v>0</v>
      </c>
      <c r="J207" s="10">
        <f>SUMIFS('Cutters Consumption Updates'!$F:$F,'Cutters Consumption Updates'!$D:$D,J$1,'Cutters Consumption Updates'!$B:$B,$B207)-SUMIFS('Cutters Consumption Updates'!$E:$E,'Cutters Consumption Updates'!$D:$D,J$1,'Cutters Consumption Updates'!$B:$B,$B207)+ SUMIF('Cutters Consumption Updates'!$AS:$AS,$B207,'Cutters Consumption Updates'!AU:AU)</f>
        <v>0</v>
      </c>
      <c r="K207" s="116">
        <f>SUMIFS('Cutters Consumption Updates'!$F:$F,'Cutters Consumption Updates'!$D:$D,K$1,'Cutters Consumption Updates'!$B:$B,$B207)-SUMIFS('Cutters Consumption Updates'!$E:$E,'Cutters Consumption Updates'!$D:$D,K$1,'Cutters Consumption Updates'!$B:$B,$B207)+ SUMIF('Cutters Consumption Updates'!$AS:$AS,$B207,'Cutters Consumption Updates'!AV:AV)</f>
        <v>0</v>
      </c>
      <c r="L207" s="738">
        <f>SUMIFS('Cutters Consumption Updates'!$F:$F,'Cutters Consumption Updates'!$D:$D,L$1,'Cutters Consumption Updates'!$B:$B,$B207)-SUMIFS('Cutters Consumption Updates'!$E:$E,'Cutters Consumption Updates'!$D:$D,L$1,'Cutters Consumption Updates'!$B:$B,$B207)+ SUMIF('Cutters Consumption Updates'!$AS:$AS,$B207,'Cutters Consumption Updates'!AW:AW)</f>
        <v>0</v>
      </c>
      <c r="M207" s="116">
        <f>SUMIFS('Cutters Consumption Updates'!$F:$F,'Cutters Consumption Updates'!$D:$D,M$1,'Cutters Consumption Updates'!$B:$B,$B207)-SUMIFS('Cutters Consumption Updates'!$E:$E,'Cutters Consumption Updates'!$D:$D,$M$1,'Cutters Consumption Updates'!$B:$B,$B207)+SUMIFS('Cutters Consumption Updates'!$F:$F,'Cutters Consumption Updates'!$D:$D,"Retrofit",'Cutters Consumption Updates'!$B:$B,$B207)-SUMIFS('Cutters Consumption Updates'!$E:$E,'Cutters Consumption Updates'!$D:$D,"Retrofit",'Cutters Consumption Updates'!$B:$B,$B207)+ SUMIF('Cutters Consumption Updates'!$AS:$AS,$B207,'Cutters Consumption Updates'!AX:AX)</f>
        <v>66</v>
      </c>
      <c r="N207" s="10">
        <f t="shared" si="36"/>
        <v>66</v>
      </c>
      <c r="O207" s="701">
        <f ca="1">SUMIFS('Cutters Consumption Updates'!E:E,
        'Cutters Consumption Updates'!B:B, B207,
        'Cutters Consumption Updates'!A:A, "&gt;" &amp; TODAY()-182)</f>
        <v>659</v>
      </c>
      <c r="P207" s="701">
        <f ca="1">SUMIFS('Cutters Consumption Updates'!E:E,
        'Cutters Consumption Updates'!B:B, B207,
        'Cutters Consumption Updates'!A:A, "&gt;" &amp; TODAY()-91)</f>
        <v>355</v>
      </c>
      <c r="Q207" s="701">
        <f t="shared" ca="1" si="37"/>
        <v>220</v>
      </c>
      <c r="R207" s="703">
        <f t="shared" ca="1" si="38"/>
        <v>225</v>
      </c>
      <c r="S207" s="703" t="s">
        <v>184</v>
      </c>
      <c r="T207" s="24">
        <f>IFERROR(INDEX(Table5[],MATCH($B207,Table5[Component],0),2),0)</f>
        <v>258</v>
      </c>
      <c r="U207" s="24">
        <f>SUMIFS(Table7[Balance],Table7[Cutter Mat'#],$B207)</f>
        <v>200</v>
      </c>
      <c r="V207" s="24">
        <f t="shared" si="39"/>
        <v>8</v>
      </c>
      <c r="W207" s="119"/>
      <c r="X207" s="2"/>
      <c r="Z207" s="4">
        <f>IFERROR(INDEX(Table5[],MATCH($B207,Table5[Component],0),2),0)</f>
        <v>258</v>
      </c>
      <c r="AA207" s="4">
        <f>IFERROR(INDEX(Table5[],MATCH($B207,Table5[Component],0),1),0)</f>
        <v>1228501</v>
      </c>
      <c r="AB207" s="4">
        <f t="shared" si="40"/>
        <v>1228501</v>
      </c>
      <c r="AC207" s="4" t="str">
        <f t="shared" si="41"/>
        <v/>
      </c>
      <c r="AE207" s="4">
        <f t="shared" si="42"/>
        <v>66</v>
      </c>
      <c r="AJ207" s="248" t="str">
        <f t="shared" si="43"/>
        <v/>
      </c>
      <c r="AK207" s="248" t="str">
        <f t="shared" si="44"/>
        <v/>
      </c>
      <c r="AL207">
        <f t="shared" si="45"/>
        <v>0</v>
      </c>
      <c r="AO207" s="4"/>
      <c r="AP207" s="4"/>
      <c r="AQ207">
        <f t="shared" si="47"/>
        <v>200</v>
      </c>
      <c r="AR207" s="4"/>
      <c r="AS207" s="4">
        <v>1177229</v>
      </c>
      <c r="AT207">
        <f t="shared" si="46"/>
        <v>0</v>
      </c>
    </row>
    <row r="208" spans="1:46" ht="15.65" customHeight="1" x14ac:dyDescent="0.35">
      <c r="A208" s="3">
        <v>210</v>
      </c>
      <c r="B208" s="258">
        <v>1228502</v>
      </c>
      <c r="C208" s="3" t="s">
        <v>185</v>
      </c>
      <c r="D208" s="460">
        <v>1618</v>
      </c>
      <c r="E208" s="3" t="s">
        <v>114</v>
      </c>
      <c r="F208" s="292" t="s">
        <v>170</v>
      </c>
      <c r="G208" s="3" t="s">
        <v>183</v>
      </c>
      <c r="H208" s="6" t="s">
        <v>49</v>
      </c>
      <c r="I208" s="10">
        <f>SUMIFS('Cutters Consumption Updates'!$F:$F,'Cutters Consumption Updates'!$D:$D,I$1,'Cutters Consumption Updates'!$B:$B,$B208)-SUMIFS('Cutters Consumption Updates'!$E:$E,'Cutters Consumption Updates'!$D:$D,I$1,'Cutters Consumption Updates'!$B:$B,$B208)+ SUMIF('Cutters Consumption Updates'!$AS:$AS,$B208,'Cutters Consumption Updates'!AT:AT)</f>
        <v>0</v>
      </c>
      <c r="J208" s="10">
        <f>SUMIFS('Cutters Consumption Updates'!$F:$F,'Cutters Consumption Updates'!$D:$D,J$1,'Cutters Consumption Updates'!$B:$B,$B208)-SUMIFS('Cutters Consumption Updates'!$E:$E,'Cutters Consumption Updates'!$D:$D,J$1,'Cutters Consumption Updates'!$B:$B,$B208)+ SUMIF('Cutters Consumption Updates'!$AS:$AS,$B208,'Cutters Consumption Updates'!AU:AU)</f>
        <v>0</v>
      </c>
      <c r="K208" s="116">
        <f>SUMIFS('Cutters Consumption Updates'!$F:$F,'Cutters Consumption Updates'!$D:$D,K$1,'Cutters Consumption Updates'!$B:$B,$B208)-SUMIFS('Cutters Consumption Updates'!$E:$E,'Cutters Consumption Updates'!$D:$D,K$1,'Cutters Consumption Updates'!$B:$B,$B208)+ SUMIF('Cutters Consumption Updates'!$AS:$AS,$B208,'Cutters Consumption Updates'!AV:AV)</f>
        <v>0</v>
      </c>
      <c r="L208" s="738">
        <f>SUMIFS('Cutters Consumption Updates'!$F:$F,'Cutters Consumption Updates'!$D:$D,L$1,'Cutters Consumption Updates'!$B:$B,$B208)-SUMIFS('Cutters Consumption Updates'!$E:$E,'Cutters Consumption Updates'!$D:$D,L$1,'Cutters Consumption Updates'!$B:$B,$B208)+ SUMIF('Cutters Consumption Updates'!$AS:$AS,$B208,'Cutters Consumption Updates'!AW:AW)</f>
        <v>0</v>
      </c>
      <c r="M208" s="116">
        <f>SUMIFS('Cutters Consumption Updates'!$F:$F,'Cutters Consumption Updates'!$D:$D,M$1,'Cutters Consumption Updates'!$B:$B,$B208)-SUMIFS('Cutters Consumption Updates'!$E:$E,'Cutters Consumption Updates'!$D:$D,$M$1,'Cutters Consumption Updates'!$B:$B,$B208)+SUMIFS('Cutters Consumption Updates'!$F:$F,'Cutters Consumption Updates'!$D:$D,"Retrofit",'Cutters Consumption Updates'!$B:$B,$B208)-SUMIFS('Cutters Consumption Updates'!$E:$E,'Cutters Consumption Updates'!$D:$D,"Retrofit",'Cutters Consumption Updates'!$B:$B,$B208)+ SUMIF('Cutters Consumption Updates'!$AS:$AS,$B208,'Cutters Consumption Updates'!AX:AX)</f>
        <v>71</v>
      </c>
      <c r="N208" s="10">
        <f t="shared" si="36"/>
        <v>71</v>
      </c>
      <c r="O208" s="701">
        <f ca="1">SUMIFS('Cutters Consumption Updates'!E:E,
        'Cutters Consumption Updates'!B:B, B208,
        'Cutters Consumption Updates'!A:A, "&gt;" &amp; TODAY()-182)</f>
        <v>655</v>
      </c>
      <c r="P208" s="701">
        <f ca="1">SUMIFS('Cutters Consumption Updates'!E:E,
        'Cutters Consumption Updates'!B:B, B208,
        'Cutters Consumption Updates'!A:A, "&gt;" &amp; TODAY()-91)</f>
        <v>351</v>
      </c>
      <c r="Q208" s="701">
        <f t="shared" ca="1" si="37"/>
        <v>219</v>
      </c>
      <c r="R208" s="703">
        <f t="shared" ca="1" si="38"/>
        <v>225</v>
      </c>
      <c r="S208" s="703" t="s">
        <v>184</v>
      </c>
      <c r="T208" s="24">
        <f>IFERROR(INDEX(Table5[],MATCH($B208,Table5[Component],0),2),0)</f>
        <v>258</v>
      </c>
      <c r="U208" s="24">
        <f>SUMIFS(Table7[Balance],Table7[Cutter Mat'#],$B208)</f>
        <v>200</v>
      </c>
      <c r="V208" s="24">
        <f t="shared" si="39"/>
        <v>13</v>
      </c>
      <c r="W208" s="119"/>
      <c r="X208" s="2"/>
      <c r="Z208" s="4">
        <f>IFERROR(INDEX(Table5[],MATCH($B208,Table5[Component],0),2),0)</f>
        <v>258</v>
      </c>
      <c r="AA208" s="4">
        <f>IFERROR(INDEX(Table5[],MATCH($B208,Table5[Component],0),1),0)</f>
        <v>1228502</v>
      </c>
      <c r="AB208" s="4">
        <f t="shared" si="40"/>
        <v>1228502</v>
      </c>
      <c r="AC208" s="4" t="str">
        <f t="shared" si="41"/>
        <v/>
      </c>
      <c r="AE208" s="4">
        <f t="shared" si="42"/>
        <v>71</v>
      </c>
      <c r="AJ208" s="248" t="str">
        <f t="shared" si="43"/>
        <v/>
      </c>
      <c r="AK208" s="248" t="str">
        <f t="shared" si="44"/>
        <v/>
      </c>
      <c r="AL208">
        <f t="shared" si="45"/>
        <v>0</v>
      </c>
      <c r="AO208" s="4"/>
      <c r="AP208" s="4"/>
      <c r="AQ208">
        <f t="shared" si="47"/>
        <v>200</v>
      </c>
      <c r="AR208" s="4"/>
      <c r="AS208" s="4">
        <v>1180935</v>
      </c>
      <c r="AT208">
        <f t="shared" si="46"/>
        <v>0</v>
      </c>
    </row>
    <row r="209" spans="1:46" ht="15.65" customHeight="1" x14ac:dyDescent="0.35">
      <c r="A209" s="3">
        <v>211</v>
      </c>
      <c r="B209" s="258">
        <v>1261319</v>
      </c>
      <c r="C209" s="3" t="s">
        <v>26</v>
      </c>
      <c r="D209" s="460">
        <v>1308</v>
      </c>
      <c r="E209" s="3" t="s">
        <v>145</v>
      </c>
      <c r="F209" s="292" t="s">
        <v>170</v>
      </c>
      <c r="G209" s="3" t="s">
        <v>183</v>
      </c>
      <c r="H209" s="6" t="s">
        <v>146</v>
      </c>
      <c r="I209" s="10">
        <f>SUMIFS('Cutters Consumption Updates'!$F:$F,'Cutters Consumption Updates'!$D:$D,I$1,'Cutters Consumption Updates'!$B:$B,$B209)-SUMIFS('Cutters Consumption Updates'!$E:$E,'Cutters Consumption Updates'!$D:$D,I$1,'Cutters Consumption Updates'!$B:$B,$B209)+ SUMIF('Cutters Consumption Updates'!$AS:$AS,$B209,'Cutters Consumption Updates'!AT:AT)</f>
        <v>0</v>
      </c>
      <c r="J209" s="10">
        <f>SUMIFS('Cutters Consumption Updates'!$F:$F,'Cutters Consumption Updates'!$D:$D,J$1,'Cutters Consumption Updates'!$B:$B,$B209)-SUMIFS('Cutters Consumption Updates'!$E:$E,'Cutters Consumption Updates'!$D:$D,J$1,'Cutters Consumption Updates'!$B:$B,$B209)+ SUMIF('Cutters Consumption Updates'!$AS:$AS,$B209,'Cutters Consumption Updates'!AU:AU)</f>
        <v>0</v>
      </c>
      <c r="K209" s="116">
        <f>SUMIFS('Cutters Consumption Updates'!$F:$F,'Cutters Consumption Updates'!$D:$D,K$1,'Cutters Consumption Updates'!$B:$B,$B209)-SUMIFS('Cutters Consumption Updates'!$E:$E,'Cutters Consumption Updates'!$D:$D,K$1,'Cutters Consumption Updates'!$B:$B,$B209)+ SUMIF('Cutters Consumption Updates'!$AS:$AS,$B209,'Cutters Consumption Updates'!AV:AV)</f>
        <v>0</v>
      </c>
      <c r="L209" s="738">
        <f>SUMIFS('Cutters Consumption Updates'!$F:$F,'Cutters Consumption Updates'!$D:$D,L$1,'Cutters Consumption Updates'!$B:$B,$B209)-SUMIFS('Cutters Consumption Updates'!$E:$E,'Cutters Consumption Updates'!$D:$D,L$1,'Cutters Consumption Updates'!$B:$B,$B209)+ SUMIF('Cutters Consumption Updates'!$AS:$AS,$B209,'Cutters Consumption Updates'!AW:AW)</f>
        <v>0</v>
      </c>
      <c r="M209" s="116">
        <f>SUMIFS('Cutters Consumption Updates'!$F:$F,'Cutters Consumption Updates'!$D:$D,M$1,'Cutters Consumption Updates'!$B:$B,$B209)-SUMIFS('Cutters Consumption Updates'!$E:$E,'Cutters Consumption Updates'!$D:$D,$M$1,'Cutters Consumption Updates'!$B:$B,$B209)+SUMIFS('Cutters Consumption Updates'!$F:$F,'Cutters Consumption Updates'!$D:$D,"Retrofit",'Cutters Consumption Updates'!$B:$B,$B209)-SUMIFS('Cutters Consumption Updates'!$E:$E,'Cutters Consumption Updates'!$D:$D,"Retrofit",'Cutters Consumption Updates'!$B:$B,$B209)+ SUMIF('Cutters Consumption Updates'!$AS:$AS,$B209,'Cutters Consumption Updates'!AX:AX)</f>
        <v>0</v>
      </c>
      <c r="N209" s="10">
        <f t="shared" si="36"/>
        <v>0</v>
      </c>
      <c r="O209" s="701">
        <f ca="1">SUMIFS('Cutters Consumption Updates'!E:E,
        'Cutters Consumption Updates'!B:B, B209,
        'Cutters Consumption Updates'!A:A, "&gt;" &amp; TODAY()-182)</f>
        <v>70</v>
      </c>
      <c r="P209" s="701">
        <f ca="1">SUMIFS('Cutters Consumption Updates'!E:E,
        'Cutters Consumption Updates'!B:B, B209,
        'Cutters Consumption Updates'!A:A, "&gt;" &amp; TODAY()-91)</f>
        <v>0</v>
      </c>
      <c r="Q209" s="701">
        <f t="shared" ca="1" si="37"/>
        <v>24</v>
      </c>
      <c r="R209" s="703">
        <f t="shared" ca="1" si="38"/>
        <v>30</v>
      </c>
      <c r="S209" s="703" t="s">
        <v>121</v>
      </c>
      <c r="T209" s="24">
        <f>IFERROR(INDEX(Table5[],MATCH($B209,Table5[Component],0),2),0)</f>
        <v>0</v>
      </c>
      <c r="U209" s="24">
        <f>SUMIFS(Table7[Balance],Table7[Cutter Mat'#],$B209)</f>
        <v>0</v>
      </c>
      <c r="V209" s="24">
        <f t="shared" si="39"/>
        <v>0</v>
      </c>
      <c r="W209" s="119"/>
      <c r="X209" s="2"/>
      <c r="Z209" s="4">
        <f>IFERROR(INDEX(Table5[],MATCH($B209,Table5[Component],0),2),0)</f>
        <v>0</v>
      </c>
      <c r="AA209" s="4">
        <f>IFERROR(INDEX(Table5[],MATCH($B209,Table5[Component],0),1),0)</f>
        <v>0</v>
      </c>
      <c r="AB209" s="4" t="str">
        <f t="shared" si="40"/>
        <v/>
      </c>
      <c r="AC209" s="4" t="str">
        <f t="shared" si="41"/>
        <v/>
      </c>
      <c r="AE209" s="4">
        <f t="shared" si="42"/>
        <v>0</v>
      </c>
      <c r="AJ209" s="248" t="str">
        <f t="shared" si="43"/>
        <v/>
      </c>
      <c r="AK209" s="248" t="str">
        <f t="shared" si="44"/>
        <v/>
      </c>
      <c r="AL209">
        <f t="shared" si="45"/>
        <v>0</v>
      </c>
      <c r="AO209" s="4"/>
      <c r="AP209" s="4"/>
      <c r="AQ209">
        <f t="shared" si="47"/>
        <v>0</v>
      </c>
      <c r="AR209" s="4"/>
      <c r="AS209" s="4">
        <v>1181761</v>
      </c>
      <c r="AT209">
        <f t="shared" si="46"/>
        <v>0</v>
      </c>
    </row>
    <row r="210" spans="1:46" ht="15.65" customHeight="1" x14ac:dyDescent="0.35">
      <c r="A210" s="3">
        <v>212</v>
      </c>
      <c r="B210" s="258">
        <v>1238831</v>
      </c>
      <c r="C210" s="3" t="s">
        <v>26</v>
      </c>
      <c r="D210" s="460">
        <v>1313</v>
      </c>
      <c r="E210" s="3" t="s">
        <v>111</v>
      </c>
      <c r="F210" s="292" t="s">
        <v>186</v>
      </c>
      <c r="G210" s="3"/>
      <c r="H210" s="6" t="s">
        <v>49</v>
      </c>
      <c r="I210" s="10">
        <f>SUMIFS('Cutters Consumption Updates'!$F:$F,'Cutters Consumption Updates'!$D:$D,I$1,'Cutters Consumption Updates'!$B:$B,$B210)-SUMIFS('Cutters Consumption Updates'!$E:$E,'Cutters Consumption Updates'!$D:$D,I$1,'Cutters Consumption Updates'!$B:$B,$B210)+ SUMIF('Cutters Consumption Updates'!$AS:$AS,$B210,'Cutters Consumption Updates'!AT:AT)</f>
        <v>0</v>
      </c>
      <c r="J210" s="10">
        <f>SUMIFS('Cutters Consumption Updates'!$F:$F,'Cutters Consumption Updates'!$D:$D,J$1,'Cutters Consumption Updates'!$B:$B,$B210)-SUMIFS('Cutters Consumption Updates'!$E:$E,'Cutters Consumption Updates'!$D:$D,J$1,'Cutters Consumption Updates'!$B:$B,$B210)+ SUMIF('Cutters Consumption Updates'!$AS:$AS,$B210,'Cutters Consumption Updates'!AU:AU)</f>
        <v>0</v>
      </c>
      <c r="K210" s="116">
        <f>SUMIFS('Cutters Consumption Updates'!$F:$F,'Cutters Consumption Updates'!$D:$D,K$1,'Cutters Consumption Updates'!$B:$B,$B210)-SUMIFS('Cutters Consumption Updates'!$E:$E,'Cutters Consumption Updates'!$D:$D,K$1,'Cutters Consumption Updates'!$B:$B,$B210)+ SUMIF('Cutters Consumption Updates'!$AS:$AS,$B210,'Cutters Consumption Updates'!AV:AV)</f>
        <v>0</v>
      </c>
      <c r="L210" s="738">
        <f>SUMIFS('Cutters Consumption Updates'!$F:$F,'Cutters Consumption Updates'!$D:$D,L$1,'Cutters Consumption Updates'!$B:$B,$B210)-SUMIFS('Cutters Consumption Updates'!$E:$E,'Cutters Consumption Updates'!$D:$D,L$1,'Cutters Consumption Updates'!$B:$B,$B210)+ SUMIF('Cutters Consumption Updates'!$AS:$AS,$B210,'Cutters Consumption Updates'!AW:AW)</f>
        <v>0</v>
      </c>
      <c r="M210" s="116">
        <f>SUMIFS('Cutters Consumption Updates'!$F:$F,'Cutters Consumption Updates'!$D:$D,M$1,'Cutters Consumption Updates'!$B:$B,$B210)-SUMIFS('Cutters Consumption Updates'!$E:$E,'Cutters Consumption Updates'!$D:$D,$M$1,'Cutters Consumption Updates'!$B:$B,$B210)+SUMIFS('Cutters Consumption Updates'!$F:$F,'Cutters Consumption Updates'!$D:$D,"Retrofit",'Cutters Consumption Updates'!$B:$B,$B210)-SUMIFS('Cutters Consumption Updates'!$E:$E,'Cutters Consumption Updates'!$D:$D,"Retrofit",'Cutters Consumption Updates'!$B:$B,$B210)+ SUMIF('Cutters Consumption Updates'!$AS:$AS,$B210,'Cutters Consumption Updates'!AX:AX)</f>
        <v>0</v>
      </c>
      <c r="N210" s="10">
        <f t="shared" si="36"/>
        <v>0</v>
      </c>
      <c r="O210" s="701">
        <f ca="1">SUMIFS('Cutters Consumption Updates'!E:E,
        'Cutters Consumption Updates'!B:B, B210,
        'Cutters Consumption Updates'!A:A, "&gt;" &amp; TODAY()-182)</f>
        <v>0</v>
      </c>
      <c r="P210" s="701">
        <f ca="1">SUMIFS('Cutters Consumption Updates'!E:E,
        'Cutters Consumption Updates'!B:B, B210,
        'Cutters Consumption Updates'!A:A, "&gt;" &amp; TODAY()-91)</f>
        <v>0</v>
      </c>
      <c r="Q210" s="701">
        <f t="shared" ca="1" si="37"/>
        <v>0</v>
      </c>
      <c r="R210" s="703">
        <f t="shared" ca="1" si="38"/>
        <v>0</v>
      </c>
      <c r="S210" s="703" t="s">
        <v>112</v>
      </c>
      <c r="T210" s="24">
        <f>IFERROR(INDEX(Table5[],MATCH($B210,Table5[Component],0),2),0)</f>
        <v>0</v>
      </c>
      <c r="U210" s="24">
        <f>SUMIFS(Table7[Balance],Table7[Cutter Mat'#],$B210)</f>
        <v>0</v>
      </c>
      <c r="V210" s="24">
        <f t="shared" si="39"/>
        <v>0</v>
      </c>
      <c r="W210" s="119"/>
      <c r="X210" s="2"/>
      <c r="Z210" s="4">
        <f>IFERROR(INDEX(Table5[],MATCH($B210,Table5[Component],0),2),0)</f>
        <v>0</v>
      </c>
      <c r="AA210" s="4">
        <f>IFERROR(INDEX(Table5[],MATCH($B210,Table5[Component],0),1),0)</f>
        <v>1238831</v>
      </c>
      <c r="AB210" s="4" t="str">
        <f t="shared" si="40"/>
        <v/>
      </c>
      <c r="AC210" s="4" t="str">
        <f t="shared" si="41"/>
        <v/>
      </c>
      <c r="AE210" s="4">
        <f t="shared" si="42"/>
        <v>0</v>
      </c>
      <c r="AJ210" s="248" t="str">
        <f t="shared" si="43"/>
        <v/>
      </c>
      <c r="AK210" s="248" t="str">
        <f t="shared" si="44"/>
        <v/>
      </c>
      <c r="AL210">
        <f t="shared" si="45"/>
        <v>0</v>
      </c>
      <c r="AO210" s="4"/>
      <c r="AP210" s="4"/>
      <c r="AQ210">
        <f t="shared" si="47"/>
        <v>0</v>
      </c>
      <c r="AR210" s="4"/>
      <c r="AS210" s="4">
        <v>1186963</v>
      </c>
      <c r="AT210">
        <f t="shared" si="46"/>
        <v>0</v>
      </c>
    </row>
    <row r="211" spans="1:46" ht="15.65" customHeight="1" x14ac:dyDescent="0.35">
      <c r="A211" s="3">
        <v>213</v>
      </c>
      <c r="B211" s="258">
        <v>1261320</v>
      </c>
      <c r="C211" s="3" t="s">
        <v>26</v>
      </c>
      <c r="D211" s="460">
        <v>1313</v>
      </c>
      <c r="E211" s="3" t="s">
        <v>145</v>
      </c>
      <c r="F211" s="292" t="s">
        <v>170</v>
      </c>
      <c r="G211" s="3" t="s">
        <v>183</v>
      </c>
      <c r="H211" s="6" t="s">
        <v>146</v>
      </c>
      <c r="I211" s="10">
        <f>SUMIFS('Cutters Consumption Updates'!$F:$F,'Cutters Consumption Updates'!$D:$D,I$1,'Cutters Consumption Updates'!$B:$B,$B211)-SUMIFS('Cutters Consumption Updates'!$E:$E,'Cutters Consumption Updates'!$D:$D,I$1,'Cutters Consumption Updates'!$B:$B,$B211)+ SUMIF('Cutters Consumption Updates'!$AS:$AS,$B211,'Cutters Consumption Updates'!AT:AT)</f>
        <v>0</v>
      </c>
      <c r="J211" s="10">
        <f>SUMIFS('Cutters Consumption Updates'!$F:$F,'Cutters Consumption Updates'!$D:$D,J$1,'Cutters Consumption Updates'!$B:$B,$B211)-SUMIFS('Cutters Consumption Updates'!$E:$E,'Cutters Consumption Updates'!$D:$D,J$1,'Cutters Consumption Updates'!$B:$B,$B211)+ SUMIF('Cutters Consumption Updates'!$AS:$AS,$B211,'Cutters Consumption Updates'!AU:AU)</f>
        <v>0</v>
      </c>
      <c r="K211" s="116">
        <f>SUMIFS('Cutters Consumption Updates'!$F:$F,'Cutters Consumption Updates'!$D:$D,K$1,'Cutters Consumption Updates'!$B:$B,$B211)-SUMIFS('Cutters Consumption Updates'!$E:$E,'Cutters Consumption Updates'!$D:$D,K$1,'Cutters Consumption Updates'!$B:$B,$B211)+ SUMIF('Cutters Consumption Updates'!$AS:$AS,$B211,'Cutters Consumption Updates'!AV:AV)</f>
        <v>0</v>
      </c>
      <c r="L211" s="738">
        <f>SUMIFS('Cutters Consumption Updates'!$F:$F,'Cutters Consumption Updates'!$D:$D,L$1,'Cutters Consumption Updates'!$B:$B,$B211)-SUMIFS('Cutters Consumption Updates'!$E:$E,'Cutters Consumption Updates'!$D:$D,L$1,'Cutters Consumption Updates'!$B:$B,$B211)+ SUMIF('Cutters Consumption Updates'!$AS:$AS,$B211,'Cutters Consumption Updates'!AW:AW)</f>
        <v>0</v>
      </c>
      <c r="M211" s="116">
        <f>SUMIFS('Cutters Consumption Updates'!$F:$F,'Cutters Consumption Updates'!$D:$D,M$1,'Cutters Consumption Updates'!$B:$B,$B211)-SUMIFS('Cutters Consumption Updates'!$E:$E,'Cutters Consumption Updates'!$D:$D,$M$1,'Cutters Consumption Updates'!$B:$B,$B211)+SUMIFS('Cutters Consumption Updates'!$F:$F,'Cutters Consumption Updates'!$D:$D,"Retrofit",'Cutters Consumption Updates'!$B:$B,$B211)-SUMIFS('Cutters Consumption Updates'!$E:$E,'Cutters Consumption Updates'!$D:$D,"Retrofit",'Cutters Consumption Updates'!$B:$B,$B211)+ SUMIF('Cutters Consumption Updates'!$AS:$AS,$B211,'Cutters Consumption Updates'!AX:AX)</f>
        <v>0</v>
      </c>
      <c r="N211" s="10">
        <f t="shared" si="36"/>
        <v>0</v>
      </c>
      <c r="O211" s="701">
        <f ca="1">SUMIFS('Cutters Consumption Updates'!E:E,
        'Cutters Consumption Updates'!B:B, B211,
        'Cutters Consumption Updates'!A:A, "&gt;" &amp; TODAY()-182)</f>
        <v>0</v>
      </c>
      <c r="P211" s="701">
        <f ca="1">SUMIFS('Cutters Consumption Updates'!E:E,
        'Cutters Consumption Updates'!B:B, B211,
        'Cutters Consumption Updates'!A:A, "&gt;" &amp; TODAY()-91)</f>
        <v>0</v>
      </c>
      <c r="Q211" s="701">
        <f t="shared" ca="1" si="37"/>
        <v>0</v>
      </c>
      <c r="R211" s="703">
        <f t="shared" ca="1" si="38"/>
        <v>0</v>
      </c>
      <c r="S211" s="703" t="s">
        <v>184</v>
      </c>
      <c r="T211" s="24">
        <f>IFERROR(INDEX(Table5[],MATCH($B211,Table5[Component],0),2),0)</f>
        <v>0</v>
      </c>
      <c r="U211" s="24">
        <f>SUMIFS(Table7[Balance],Table7[Cutter Mat'#],$B211)</f>
        <v>0</v>
      </c>
      <c r="V211" s="24">
        <f t="shared" si="39"/>
        <v>0</v>
      </c>
      <c r="W211" s="119"/>
      <c r="X211" s="2"/>
      <c r="Z211" s="4">
        <f>IFERROR(INDEX(Table5[],MATCH($B211,Table5[Component],0),2),0)</f>
        <v>0</v>
      </c>
      <c r="AA211" s="4">
        <f>IFERROR(INDEX(Table5[],MATCH($B211,Table5[Component],0),1),0)</f>
        <v>0</v>
      </c>
      <c r="AB211" s="4" t="str">
        <f t="shared" si="40"/>
        <v/>
      </c>
      <c r="AC211" s="4" t="str">
        <f t="shared" si="41"/>
        <v/>
      </c>
      <c r="AE211" s="4">
        <f t="shared" si="42"/>
        <v>0</v>
      </c>
      <c r="AJ211" s="248" t="str">
        <f t="shared" si="43"/>
        <v/>
      </c>
      <c r="AK211" s="248" t="str">
        <f t="shared" si="44"/>
        <v/>
      </c>
      <c r="AL211">
        <f t="shared" si="45"/>
        <v>0</v>
      </c>
      <c r="AO211" s="4"/>
      <c r="AP211" s="4"/>
      <c r="AQ211">
        <f t="shared" si="47"/>
        <v>0</v>
      </c>
      <c r="AR211" s="4"/>
      <c r="AS211" s="4">
        <v>1187117</v>
      </c>
      <c r="AT211">
        <f t="shared" si="46"/>
        <v>0</v>
      </c>
    </row>
    <row r="212" spans="1:46" ht="15.65" customHeight="1" x14ac:dyDescent="0.35">
      <c r="A212" s="3">
        <v>214</v>
      </c>
      <c r="B212" s="258">
        <v>1175118</v>
      </c>
      <c r="C212" s="3" t="s">
        <v>26</v>
      </c>
      <c r="D212" s="460">
        <v>1613</v>
      </c>
      <c r="E212" s="3" t="s">
        <v>178</v>
      </c>
      <c r="F212" s="292" t="s">
        <v>177</v>
      </c>
      <c r="G212" s="3"/>
      <c r="H212" s="6" t="s">
        <v>161</v>
      </c>
      <c r="I212" s="10">
        <f>SUMIFS('Cutters Consumption Updates'!$F:$F,'Cutters Consumption Updates'!$D:$D,I$1,'Cutters Consumption Updates'!$B:$B,$B212)-SUMIFS('Cutters Consumption Updates'!$E:$E,'Cutters Consumption Updates'!$D:$D,I$1,'Cutters Consumption Updates'!$B:$B,$B212)+ SUMIF('Cutters Consumption Updates'!$AS:$AS,$B212,'Cutters Consumption Updates'!AT:AT)</f>
        <v>0</v>
      </c>
      <c r="J212" s="10">
        <f>SUMIFS('Cutters Consumption Updates'!$F:$F,'Cutters Consumption Updates'!$D:$D,J$1,'Cutters Consumption Updates'!$B:$B,$B212)-SUMIFS('Cutters Consumption Updates'!$E:$E,'Cutters Consumption Updates'!$D:$D,J$1,'Cutters Consumption Updates'!$B:$B,$B212)+ SUMIF('Cutters Consumption Updates'!$AS:$AS,$B212,'Cutters Consumption Updates'!AU:AU)</f>
        <v>0</v>
      </c>
      <c r="K212" s="116">
        <f>SUMIFS('Cutters Consumption Updates'!$F:$F,'Cutters Consumption Updates'!$D:$D,K$1,'Cutters Consumption Updates'!$B:$B,$B212)-SUMIFS('Cutters Consumption Updates'!$E:$E,'Cutters Consumption Updates'!$D:$D,K$1,'Cutters Consumption Updates'!$B:$B,$B212)+ SUMIF('Cutters Consumption Updates'!$AS:$AS,$B212,'Cutters Consumption Updates'!AV:AV)</f>
        <v>0</v>
      </c>
      <c r="L212" s="738">
        <f>SUMIFS('Cutters Consumption Updates'!$F:$F,'Cutters Consumption Updates'!$D:$D,L$1,'Cutters Consumption Updates'!$B:$B,$B212)-SUMIFS('Cutters Consumption Updates'!$E:$E,'Cutters Consumption Updates'!$D:$D,L$1,'Cutters Consumption Updates'!$B:$B,$B212)+ SUMIF('Cutters Consumption Updates'!$AS:$AS,$B212,'Cutters Consumption Updates'!AW:AW)</f>
        <v>0</v>
      </c>
      <c r="M212" s="116">
        <f>SUMIFS('Cutters Consumption Updates'!$F:$F,'Cutters Consumption Updates'!$D:$D,M$1,'Cutters Consumption Updates'!$B:$B,$B212)-SUMIFS('Cutters Consumption Updates'!$E:$E,'Cutters Consumption Updates'!$D:$D,$M$1,'Cutters Consumption Updates'!$B:$B,$B212)+SUMIFS('Cutters Consumption Updates'!$F:$F,'Cutters Consumption Updates'!$D:$D,"Retrofit",'Cutters Consumption Updates'!$B:$B,$B212)-SUMIFS('Cutters Consumption Updates'!$E:$E,'Cutters Consumption Updates'!$D:$D,"Retrofit",'Cutters Consumption Updates'!$B:$B,$B212)+ SUMIF('Cutters Consumption Updates'!$AS:$AS,$B212,'Cutters Consumption Updates'!AX:AX)</f>
        <v>2</v>
      </c>
      <c r="N212" s="10">
        <f t="shared" si="36"/>
        <v>2</v>
      </c>
      <c r="O212" s="701">
        <f ca="1">SUMIFS('Cutters Consumption Updates'!E:E,
        'Cutters Consumption Updates'!B:B, B212,
        'Cutters Consumption Updates'!A:A, "&gt;" &amp; TODAY()-182)</f>
        <v>0</v>
      </c>
      <c r="P212" s="701">
        <f ca="1">SUMIFS('Cutters Consumption Updates'!E:E,
        'Cutters Consumption Updates'!B:B, B212,
        'Cutters Consumption Updates'!A:A, "&gt;" &amp; TODAY()-91)</f>
        <v>0</v>
      </c>
      <c r="Q212" s="701">
        <f t="shared" ca="1" si="37"/>
        <v>0</v>
      </c>
      <c r="R212" s="703">
        <f t="shared" ca="1" si="38"/>
        <v>0</v>
      </c>
      <c r="S212" s="703" t="s">
        <v>29</v>
      </c>
      <c r="T212" s="24">
        <f>IFERROR(INDEX(Table5[],MATCH($B212,Table5[Component],0),2),0)</f>
        <v>0</v>
      </c>
      <c r="U212" s="24">
        <f>SUMIFS(Table7[Balance],Table7[Cutter Mat'#],$B212)</f>
        <v>0</v>
      </c>
      <c r="V212" s="24">
        <f t="shared" si="39"/>
        <v>2</v>
      </c>
      <c r="W212" s="119"/>
      <c r="X212" s="2">
        <v>1271790</v>
      </c>
      <c r="Z212" s="4">
        <f>IFERROR(INDEX(Table5[],MATCH($B212,Table5[Component],0),2),0)</f>
        <v>0</v>
      </c>
      <c r="AA212" s="4">
        <f>IFERROR(INDEX(Table5[],MATCH($B212,Table5[Component],0),1),0)</f>
        <v>0</v>
      </c>
      <c r="AB212" s="4" t="str">
        <f t="shared" si="40"/>
        <v/>
      </c>
      <c r="AC212" s="4" t="str">
        <f t="shared" si="41"/>
        <v/>
      </c>
      <c r="AE212" s="4">
        <f t="shared" si="42"/>
        <v>2</v>
      </c>
      <c r="AJ212" s="248">
        <f t="shared" si="43"/>
        <v>49</v>
      </c>
      <c r="AK212" s="248">
        <f t="shared" ca="1" si="44"/>
        <v>16</v>
      </c>
      <c r="AL212">
        <f t="shared" si="45"/>
        <v>0</v>
      </c>
      <c r="AO212" s="4"/>
      <c r="AP212" s="4"/>
      <c r="AQ212">
        <f t="shared" si="47"/>
        <v>0</v>
      </c>
      <c r="AR212" s="4"/>
      <c r="AS212" s="4">
        <v>1187118</v>
      </c>
      <c r="AT212">
        <f t="shared" si="46"/>
        <v>0</v>
      </c>
    </row>
    <row r="213" spans="1:46" ht="15.65" customHeight="1" x14ac:dyDescent="0.35">
      <c r="A213" s="3">
        <v>215</v>
      </c>
      <c r="B213" s="258">
        <v>1238832</v>
      </c>
      <c r="C213" s="3" t="s">
        <v>26</v>
      </c>
      <c r="D213" s="460">
        <v>1613</v>
      </c>
      <c r="E213" s="3" t="s">
        <v>111</v>
      </c>
      <c r="F213" s="292" t="s">
        <v>186</v>
      </c>
      <c r="G213" s="3"/>
      <c r="H213" s="6" t="s">
        <v>49</v>
      </c>
      <c r="I213" s="10">
        <f>SUMIFS('Cutters Consumption Updates'!$F:$F,'Cutters Consumption Updates'!$D:$D,I$1,'Cutters Consumption Updates'!$B:$B,$B213)-SUMIFS('Cutters Consumption Updates'!$E:$E,'Cutters Consumption Updates'!$D:$D,I$1,'Cutters Consumption Updates'!$B:$B,$B213)+ SUMIF('Cutters Consumption Updates'!$AS:$AS,$B213,'Cutters Consumption Updates'!AT:AT)</f>
        <v>0</v>
      </c>
      <c r="J213" s="10">
        <f>SUMIFS('Cutters Consumption Updates'!$F:$F,'Cutters Consumption Updates'!$D:$D,J$1,'Cutters Consumption Updates'!$B:$B,$B213)-SUMIFS('Cutters Consumption Updates'!$E:$E,'Cutters Consumption Updates'!$D:$D,J$1,'Cutters Consumption Updates'!$B:$B,$B213)+ SUMIF('Cutters Consumption Updates'!$AS:$AS,$B213,'Cutters Consumption Updates'!AU:AU)</f>
        <v>0</v>
      </c>
      <c r="K213" s="116">
        <f>SUMIFS('Cutters Consumption Updates'!$F:$F,'Cutters Consumption Updates'!$D:$D,K$1,'Cutters Consumption Updates'!$B:$B,$B213)-SUMIFS('Cutters Consumption Updates'!$E:$E,'Cutters Consumption Updates'!$D:$D,K$1,'Cutters Consumption Updates'!$B:$B,$B213)+ SUMIF('Cutters Consumption Updates'!$AS:$AS,$B213,'Cutters Consumption Updates'!AV:AV)</f>
        <v>0</v>
      </c>
      <c r="L213" s="738">
        <f>SUMIFS('Cutters Consumption Updates'!$F:$F,'Cutters Consumption Updates'!$D:$D,L$1,'Cutters Consumption Updates'!$B:$B,$B213)-SUMIFS('Cutters Consumption Updates'!$E:$E,'Cutters Consumption Updates'!$D:$D,L$1,'Cutters Consumption Updates'!$B:$B,$B213)+ SUMIF('Cutters Consumption Updates'!$AS:$AS,$B213,'Cutters Consumption Updates'!AW:AW)</f>
        <v>0</v>
      </c>
      <c r="M213" s="116">
        <f>SUMIFS('Cutters Consumption Updates'!$F:$F,'Cutters Consumption Updates'!$D:$D,M$1,'Cutters Consumption Updates'!$B:$B,$B213)-SUMIFS('Cutters Consumption Updates'!$E:$E,'Cutters Consumption Updates'!$D:$D,$M$1,'Cutters Consumption Updates'!$B:$B,$B213)+SUMIFS('Cutters Consumption Updates'!$F:$F,'Cutters Consumption Updates'!$D:$D,"Retrofit",'Cutters Consumption Updates'!$B:$B,$B213)-SUMIFS('Cutters Consumption Updates'!$E:$E,'Cutters Consumption Updates'!$D:$D,"Retrofit",'Cutters Consumption Updates'!$B:$B,$B213)+ SUMIF('Cutters Consumption Updates'!$AS:$AS,$B213,'Cutters Consumption Updates'!AX:AX)</f>
        <v>1</v>
      </c>
      <c r="N213" s="10">
        <f t="shared" si="36"/>
        <v>1</v>
      </c>
      <c r="O213" s="701">
        <f ca="1">SUMIFS('Cutters Consumption Updates'!E:E,
        'Cutters Consumption Updates'!B:B, B213,
        'Cutters Consumption Updates'!A:A, "&gt;" &amp; TODAY()-182)</f>
        <v>0</v>
      </c>
      <c r="P213" s="701">
        <f ca="1">SUMIFS('Cutters Consumption Updates'!E:E,
        'Cutters Consumption Updates'!B:B, B213,
        'Cutters Consumption Updates'!A:A, "&gt;" &amp; TODAY()-91)</f>
        <v>0</v>
      </c>
      <c r="Q213" s="701">
        <f t="shared" ca="1" si="37"/>
        <v>0</v>
      </c>
      <c r="R213" s="703">
        <f t="shared" ca="1" si="38"/>
        <v>0</v>
      </c>
      <c r="S213" s="703" t="s">
        <v>115</v>
      </c>
      <c r="T213" s="24">
        <f>IFERROR(INDEX(Table5[],MATCH($B213,Table5[Component],0),2),0)</f>
        <v>0</v>
      </c>
      <c r="U213" s="24">
        <f>SUMIFS(Table7[Balance],Table7[Cutter Mat'#],$B213)</f>
        <v>0</v>
      </c>
      <c r="V213" s="24">
        <f t="shared" si="39"/>
        <v>1</v>
      </c>
      <c r="W213" s="119"/>
      <c r="X213" s="2"/>
      <c r="Z213" s="4">
        <f>IFERROR(INDEX(Table5[],MATCH($B213,Table5[Component],0),2),0)</f>
        <v>0</v>
      </c>
      <c r="AA213" s="4">
        <f>IFERROR(INDEX(Table5[],MATCH($B213,Table5[Component],0),1),0)</f>
        <v>0</v>
      </c>
      <c r="AB213" s="4" t="str">
        <f t="shared" si="40"/>
        <v/>
      </c>
      <c r="AC213" s="4" t="str">
        <f t="shared" si="41"/>
        <v/>
      </c>
      <c r="AE213" s="4">
        <f t="shared" si="42"/>
        <v>1</v>
      </c>
      <c r="AJ213" s="248" t="str">
        <f t="shared" si="43"/>
        <v/>
      </c>
      <c r="AK213" s="248" t="str">
        <f t="shared" si="44"/>
        <v/>
      </c>
      <c r="AL213">
        <f t="shared" si="45"/>
        <v>0</v>
      </c>
      <c r="AO213" s="4"/>
      <c r="AP213" s="4"/>
      <c r="AQ213">
        <f t="shared" si="47"/>
        <v>0</v>
      </c>
      <c r="AR213" s="4"/>
      <c r="AS213" s="4">
        <v>1192901</v>
      </c>
      <c r="AT213">
        <f t="shared" si="46"/>
        <v>0</v>
      </c>
    </row>
    <row r="214" spans="1:46" ht="15.65" customHeight="1" x14ac:dyDescent="0.35">
      <c r="A214" s="3">
        <v>216</v>
      </c>
      <c r="B214" s="258">
        <v>1261321</v>
      </c>
      <c r="C214" s="3" t="s">
        <v>26</v>
      </c>
      <c r="D214" s="460">
        <v>1613</v>
      </c>
      <c r="E214" s="3" t="s">
        <v>145</v>
      </c>
      <c r="F214" s="292" t="s">
        <v>170</v>
      </c>
      <c r="G214" s="3" t="s">
        <v>183</v>
      </c>
      <c r="H214" s="6" t="s">
        <v>146</v>
      </c>
      <c r="I214" s="10">
        <f>SUMIFS('Cutters Consumption Updates'!$F:$F,'Cutters Consumption Updates'!$D:$D,I$1,'Cutters Consumption Updates'!$B:$B,$B214)-SUMIFS('Cutters Consumption Updates'!$E:$E,'Cutters Consumption Updates'!$D:$D,I$1,'Cutters Consumption Updates'!$B:$B,$B214)+ SUMIF('Cutters Consumption Updates'!$AS:$AS,$B214,'Cutters Consumption Updates'!AT:AT)</f>
        <v>0</v>
      </c>
      <c r="J214" s="10">
        <f>SUMIFS('Cutters Consumption Updates'!$F:$F,'Cutters Consumption Updates'!$D:$D,J$1,'Cutters Consumption Updates'!$B:$B,$B214)-SUMIFS('Cutters Consumption Updates'!$E:$E,'Cutters Consumption Updates'!$D:$D,J$1,'Cutters Consumption Updates'!$B:$B,$B214)+ SUMIF('Cutters Consumption Updates'!$AS:$AS,$B214,'Cutters Consumption Updates'!AU:AU)</f>
        <v>0</v>
      </c>
      <c r="K214" s="116">
        <f>SUMIFS('Cutters Consumption Updates'!$F:$F,'Cutters Consumption Updates'!$D:$D,K$1,'Cutters Consumption Updates'!$B:$B,$B214)-SUMIFS('Cutters Consumption Updates'!$E:$E,'Cutters Consumption Updates'!$D:$D,K$1,'Cutters Consumption Updates'!$B:$B,$B214)+ SUMIF('Cutters Consumption Updates'!$AS:$AS,$B214,'Cutters Consumption Updates'!AV:AV)</f>
        <v>0</v>
      </c>
      <c r="L214" s="738">
        <f>SUMIFS('Cutters Consumption Updates'!$F:$F,'Cutters Consumption Updates'!$D:$D,L$1,'Cutters Consumption Updates'!$B:$B,$B214)-SUMIFS('Cutters Consumption Updates'!$E:$E,'Cutters Consumption Updates'!$D:$D,L$1,'Cutters Consumption Updates'!$B:$B,$B214)+ SUMIF('Cutters Consumption Updates'!$AS:$AS,$B214,'Cutters Consumption Updates'!AW:AW)</f>
        <v>0</v>
      </c>
      <c r="M214" s="116">
        <f>SUMIFS('Cutters Consumption Updates'!$F:$F,'Cutters Consumption Updates'!$D:$D,M$1,'Cutters Consumption Updates'!$B:$B,$B214)-SUMIFS('Cutters Consumption Updates'!$E:$E,'Cutters Consumption Updates'!$D:$D,$M$1,'Cutters Consumption Updates'!$B:$B,$B214)+SUMIFS('Cutters Consumption Updates'!$F:$F,'Cutters Consumption Updates'!$D:$D,"Retrofit",'Cutters Consumption Updates'!$B:$B,$B214)-SUMIFS('Cutters Consumption Updates'!$E:$E,'Cutters Consumption Updates'!$D:$D,"Retrofit",'Cutters Consumption Updates'!$B:$B,$B214)+ SUMIF('Cutters Consumption Updates'!$AS:$AS,$B214,'Cutters Consumption Updates'!AX:AX)</f>
        <v>33</v>
      </c>
      <c r="N214" s="10">
        <f t="shared" si="36"/>
        <v>33</v>
      </c>
      <c r="O214" s="701">
        <f ca="1">SUMIFS('Cutters Consumption Updates'!E:E,
        'Cutters Consumption Updates'!B:B, B214,
        'Cutters Consumption Updates'!A:A, "&gt;" &amp; TODAY()-182)</f>
        <v>0</v>
      </c>
      <c r="P214" s="701">
        <f ca="1">SUMIFS('Cutters Consumption Updates'!E:E,
        'Cutters Consumption Updates'!B:B, B214,
        'Cutters Consumption Updates'!A:A, "&gt;" &amp; TODAY()-91)</f>
        <v>0</v>
      </c>
      <c r="Q214" s="701">
        <f t="shared" ca="1" si="37"/>
        <v>0</v>
      </c>
      <c r="R214" s="703">
        <f t="shared" ca="1" si="38"/>
        <v>0</v>
      </c>
      <c r="S214" s="703" t="s">
        <v>187</v>
      </c>
      <c r="T214" s="24">
        <f>IFERROR(INDEX(Table5[],MATCH($B214,Table5[Component],0),2),0)</f>
        <v>0</v>
      </c>
      <c r="U214" s="24">
        <f>SUMIFS(Table7[Balance],Table7[Cutter Mat'#],$B214)</f>
        <v>0</v>
      </c>
      <c r="V214" s="24">
        <f t="shared" si="39"/>
        <v>33</v>
      </c>
      <c r="W214" s="119"/>
      <c r="X214" s="2"/>
      <c r="Z214" s="4">
        <f>IFERROR(INDEX(Table5[],MATCH($B214,Table5[Component],0),2),0)</f>
        <v>0</v>
      </c>
      <c r="AA214" s="4">
        <f>IFERROR(INDEX(Table5[],MATCH($B214,Table5[Component],0),1),0)</f>
        <v>0</v>
      </c>
      <c r="AB214" s="4" t="str">
        <f t="shared" si="40"/>
        <v/>
      </c>
      <c r="AC214" s="4" t="str">
        <f t="shared" si="41"/>
        <v/>
      </c>
      <c r="AE214" s="4">
        <f t="shared" si="42"/>
        <v>33</v>
      </c>
      <c r="AJ214" s="248" t="str">
        <f t="shared" si="43"/>
        <v/>
      </c>
      <c r="AK214" s="248" t="str">
        <f t="shared" si="44"/>
        <v/>
      </c>
      <c r="AL214">
        <f t="shared" si="45"/>
        <v>0</v>
      </c>
      <c r="AO214" s="4"/>
      <c r="AP214" s="4"/>
      <c r="AQ214">
        <f t="shared" si="47"/>
        <v>0</v>
      </c>
      <c r="AR214" s="4"/>
      <c r="AS214" s="4">
        <v>1192902</v>
      </c>
      <c r="AT214">
        <f t="shared" si="46"/>
        <v>50</v>
      </c>
    </row>
    <row r="215" spans="1:46" ht="15.65" customHeight="1" x14ac:dyDescent="0.35">
      <c r="A215" s="3">
        <v>217</v>
      </c>
      <c r="B215" s="258">
        <v>1228503</v>
      </c>
      <c r="C215" s="3" t="s">
        <v>188</v>
      </c>
      <c r="D215" s="460">
        <v>1618</v>
      </c>
      <c r="E215" s="3" t="s">
        <v>114</v>
      </c>
      <c r="F215" s="292" t="s">
        <v>170</v>
      </c>
      <c r="G215" s="3" t="s">
        <v>183</v>
      </c>
      <c r="H215" s="6" t="s">
        <v>189</v>
      </c>
      <c r="I215" s="10">
        <f>SUMIFS('Cutters Consumption Updates'!$F:$F,'Cutters Consumption Updates'!$D:$D,I$1,'Cutters Consumption Updates'!$B:$B,$B215)-SUMIFS('Cutters Consumption Updates'!$E:$E,'Cutters Consumption Updates'!$D:$D,I$1,'Cutters Consumption Updates'!$B:$B,$B215)+ SUMIF('Cutters Consumption Updates'!$AS:$AS,$B215,'Cutters Consumption Updates'!AT:AT)</f>
        <v>0</v>
      </c>
      <c r="J215" s="10">
        <f>SUMIFS('Cutters Consumption Updates'!$F:$F,'Cutters Consumption Updates'!$D:$D,J$1,'Cutters Consumption Updates'!$B:$B,$B215)-SUMIFS('Cutters Consumption Updates'!$E:$E,'Cutters Consumption Updates'!$D:$D,J$1,'Cutters Consumption Updates'!$B:$B,$B215)+ SUMIF('Cutters Consumption Updates'!$AS:$AS,$B215,'Cutters Consumption Updates'!AU:AU)</f>
        <v>0</v>
      </c>
      <c r="K215" s="116">
        <f>SUMIFS('Cutters Consumption Updates'!$F:$F,'Cutters Consumption Updates'!$D:$D,K$1,'Cutters Consumption Updates'!$B:$B,$B215)-SUMIFS('Cutters Consumption Updates'!$E:$E,'Cutters Consumption Updates'!$D:$D,K$1,'Cutters Consumption Updates'!$B:$B,$B215)+ SUMIF('Cutters Consumption Updates'!$AS:$AS,$B215,'Cutters Consumption Updates'!AV:AV)</f>
        <v>0</v>
      </c>
      <c r="L215" s="738">
        <f>SUMIFS('Cutters Consumption Updates'!$F:$F,'Cutters Consumption Updates'!$D:$D,L$1,'Cutters Consumption Updates'!$B:$B,$B215)-SUMIFS('Cutters Consumption Updates'!$E:$E,'Cutters Consumption Updates'!$D:$D,L$1,'Cutters Consumption Updates'!$B:$B,$B215)+ SUMIF('Cutters Consumption Updates'!$AS:$AS,$B215,'Cutters Consumption Updates'!AW:AW)</f>
        <v>0</v>
      </c>
      <c r="M215" s="116">
        <f>SUMIFS('Cutters Consumption Updates'!$F:$F,'Cutters Consumption Updates'!$D:$D,M$1,'Cutters Consumption Updates'!$B:$B,$B215)-SUMIFS('Cutters Consumption Updates'!$E:$E,'Cutters Consumption Updates'!$D:$D,$M$1,'Cutters Consumption Updates'!$B:$B,$B215)+SUMIFS('Cutters Consumption Updates'!$F:$F,'Cutters Consumption Updates'!$D:$D,"Retrofit",'Cutters Consumption Updates'!$B:$B,$B215)-SUMIFS('Cutters Consumption Updates'!$E:$E,'Cutters Consumption Updates'!$D:$D,"Retrofit",'Cutters Consumption Updates'!$B:$B,$B215)+ SUMIF('Cutters Consumption Updates'!$AS:$AS,$B215,'Cutters Consumption Updates'!AX:AX)</f>
        <v>327</v>
      </c>
      <c r="N215" s="10">
        <f t="shared" si="36"/>
        <v>327</v>
      </c>
      <c r="O215" s="701">
        <f ca="1">SUMIFS('Cutters Consumption Updates'!E:E,
        'Cutters Consumption Updates'!B:B, B215,
        'Cutters Consumption Updates'!A:A, "&gt;" &amp; TODAY()-182)</f>
        <v>397</v>
      </c>
      <c r="P215" s="701">
        <f ca="1">SUMIFS('Cutters Consumption Updates'!E:E,
        'Cutters Consumption Updates'!B:B, B215,
        'Cutters Consumption Updates'!A:A, "&gt;" &amp; TODAY()-91)</f>
        <v>89</v>
      </c>
      <c r="Q215" s="701">
        <f t="shared" ca="1" si="37"/>
        <v>133</v>
      </c>
      <c r="R215" s="703">
        <f t="shared" ca="1" si="38"/>
        <v>140</v>
      </c>
      <c r="S215" s="703" t="s">
        <v>184</v>
      </c>
      <c r="T215" s="24">
        <f>IFERROR(INDEX(Table5[],MATCH($B215,Table5[Component],0),2),0)</f>
        <v>258</v>
      </c>
      <c r="U215" s="24">
        <f>SUMIFS(Table7[Balance],Table7[Cutter Mat'#],$B215)</f>
        <v>200</v>
      </c>
      <c r="V215" s="24">
        <f t="shared" si="39"/>
        <v>269</v>
      </c>
      <c r="W215" s="119"/>
      <c r="X215" s="2"/>
      <c r="Z215" s="4">
        <f>IFERROR(INDEX(Table5[],MATCH($B215,Table5[Component],0),2),0)</f>
        <v>258</v>
      </c>
      <c r="AA215" s="4">
        <f>IFERROR(INDEX(Table5[],MATCH($B215,Table5[Component],0),1),0)</f>
        <v>1228503</v>
      </c>
      <c r="AB215" s="4">
        <f t="shared" si="40"/>
        <v>1228503</v>
      </c>
      <c r="AC215" s="4" t="str">
        <f t="shared" si="41"/>
        <v/>
      </c>
      <c r="AE215" s="4">
        <f t="shared" si="42"/>
        <v>327</v>
      </c>
      <c r="AJ215" s="248" t="str">
        <f t="shared" si="43"/>
        <v/>
      </c>
      <c r="AK215" s="248" t="str">
        <f t="shared" si="44"/>
        <v/>
      </c>
      <c r="AL215">
        <f t="shared" si="45"/>
        <v>0</v>
      </c>
      <c r="AO215" s="4"/>
      <c r="AP215" s="4"/>
      <c r="AQ215">
        <f t="shared" si="47"/>
        <v>200</v>
      </c>
      <c r="AR215" s="4"/>
      <c r="AS215" s="4">
        <v>1199247</v>
      </c>
      <c r="AT215">
        <f t="shared" si="46"/>
        <v>0</v>
      </c>
    </row>
    <row r="216" spans="1:46" ht="15.65" customHeight="1" x14ac:dyDescent="0.35">
      <c r="A216" s="3">
        <v>218</v>
      </c>
      <c r="B216" s="258">
        <v>1220554</v>
      </c>
      <c r="C216" s="3" t="s">
        <v>190</v>
      </c>
      <c r="D216" s="460">
        <v>1618</v>
      </c>
      <c r="E216" s="3" t="s">
        <v>114</v>
      </c>
      <c r="F216" s="292" t="s">
        <v>170</v>
      </c>
      <c r="G216" s="3" t="s">
        <v>183</v>
      </c>
      <c r="H216" s="6" t="s">
        <v>189</v>
      </c>
      <c r="I216" s="10">
        <f>SUMIFS('Cutters Consumption Updates'!$F:$F,'Cutters Consumption Updates'!$D:$D,I$1,'Cutters Consumption Updates'!$B:$B,$B216)-SUMIFS('Cutters Consumption Updates'!$E:$E,'Cutters Consumption Updates'!$D:$D,I$1,'Cutters Consumption Updates'!$B:$B,$B216)+ SUMIF('Cutters Consumption Updates'!$AS:$AS,$B216,'Cutters Consumption Updates'!AT:AT)</f>
        <v>0</v>
      </c>
      <c r="J216" s="10">
        <f>SUMIFS('Cutters Consumption Updates'!$F:$F,'Cutters Consumption Updates'!$D:$D,J$1,'Cutters Consumption Updates'!$B:$B,$B216)-SUMIFS('Cutters Consumption Updates'!$E:$E,'Cutters Consumption Updates'!$D:$D,J$1,'Cutters Consumption Updates'!$B:$B,$B216)+ SUMIF('Cutters Consumption Updates'!$AS:$AS,$B216,'Cutters Consumption Updates'!AU:AU)</f>
        <v>0</v>
      </c>
      <c r="K216" s="116">
        <f>SUMIFS('Cutters Consumption Updates'!$F:$F,'Cutters Consumption Updates'!$D:$D,K$1,'Cutters Consumption Updates'!$B:$B,$B216)-SUMIFS('Cutters Consumption Updates'!$E:$E,'Cutters Consumption Updates'!$D:$D,K$1,'Cutters Consumption Updates'!$B:$B,$B216)+ SUMIF('Cutters Consumption Updates'!$AS:$AS,$B216,'Cutters Consumption Updates'!AV:AV)</f>
        <v>0</v>
      </c>
      <c r="L216" s="738">
        <f>SUMIFS('Cutters Consumption Updates'!$F:$F,'Cutters Consumption Updates'!$D:$D,L$1,'Cutters Consumption Updates'!$B:$B,$B216)-SUMIFS('Cutters Consumption Updates'!$E:$E,'Cutters Consumption Updates'!$D:$D,L$1,'Cutters Consumption Updates'!$B:$B,$B216)+ SUMIF('Cutters Consumption Updates'!$AS:$AS,$B216,'Cutters Consumption Updates'!AW:AW)</f>
        <v>0</v>
      </c>
      <c r="M216" s="116">
        <f>SUMIFS('Cutters Consumption Updates'!$F:$F,'Cutters Consumption Updates'!$D:$D,M$1,'Cutters Consumption Updates'!$B:$B,$B216)-SUMIFS('Cutters Consumption Updates'!$E:$E,'Cutters Consumption Updates'!$D:$D,$M$1,'Cutters Consumption Updates'!$B:$B,$B216)+SUMIFS('Cutters Consumption Updates'!$F:$F,'Cutters Consumption Updates'!$D:$D,"Retrofit",'Cutters Consumption Updates'!$B:$B,$B216)-SUMIFS('Cutters Consumption Updates'!$E:$E,'Cutters Consumption Updates'!$D:$D,"Retrofit",'Cutters Consumption Updates'!$B:$B,$B216)+ SUMIF('Cutters Consumption Updates'!$AS:$AS,$B216,'Cutters Consumption Updates'!AX:AX)</f>
        <v>331</v>
      </c>
      <c r="N216" s="10">
        <f t="shared" si="36"/>
        <v>331</v>
      </c>
      <c r="O216" s="701">
        <f ca="1">SUMIFS('Cutters Consumption Updates'!E:E,
        'Cutters Consumption Updates'!B:B, B216,
        'Cutters Consumption Updates'!A:A, "&gt;" &amp; TODAY()-182)</f>
        <v>392</v>
      </c>
      <c r="P216" s="701">
        <f ca="1">SUMIFS('Cutters Consumption Updates'!E:E,
        'Cutters Consumption Updates'!B:B, B216,
        'Cutters Consumption Updates'!A:A, "&gt;" &amp; TODAY()-91)</f>
        <v>88</v>
      </c>
      <c r="Q216" s="701">
        <f t="shared" ca="1" si="37"/>
        <v>131</v>
      </c>
      <c r="R216" s="703">
        <f t="shared" ca="1" si="38"/>
        <v>140</v>
      </c>
      <c r="S216" s="703" t="s">
        <v>184</v>
      </c>
      <c r="T216" s="24">
        <f>IFERROR(INDEX(Table5[],MATCH($B216,Table5[Component],0),2),0)</f>
        <v>258</v>
      </c>
      <c r="U216" s="24">
        <f>SUMIFS(Table7[Balance],Table7[Cutter Mat'#],$B216)</f>
        <v>200</v>
      </c>
      <c r="V216" s="24">
        <f t="shared" si="39"/>
        <v>273</v>
      </c>
      <c r="W216" s="119"/>
      <c r="X216" s="2"/>
      <c r="Z216" s="4">
        <f>IFERROR(INDEX(Table5[],MATCH($B216,Table5[Component],0),2),0)</f>
        <v>258</v>
      </c>
      <c r="AA216" s="4">
        <f>IFERROR(INDEX(Table5[],MATCH($B216,Table5[Component],0),1),0)</f>
        <v>1220554</v>
      </c>
      <c r="AB216" s="4">
        <f t="shared" si="40"/>
        <v>1220554</v>
      </c>
      <c r="AC216" s="4" t="str">
        <f t="shared" si="41"/>
        <v/>
      </c>
      <c r="AE216" s="4">
        <f t="shared" si="42"/>
        <v>331</v>
      </c>
      <c r="AJ216" s="248" t="str">
        <f t="shared" si="43"/>
        <v/>
      </c>
      <c r="AK216" s="248" t="str">
        <f t="shared" si="44"/>
        <v/>
      </c>
      <c r="AL216">
        <f t="shared" si="45"/>
        <v>0</v>
      </c>
      <c r="AO216" s="4"/>
      <c r="AP216" s="4"/>
      <c r="AQ216">
        <f t="shared" si="47"/>
        <v>200</v>
      </c>
      <c r="AR216" s="4"/>
      <c r="AS216" s="4">
        <v>1199261</v>
      </c>
      <c r="AT216">
        <f t="shared" si="46"/>
        <v>50</v>
      </c>
    </row>
    <row r="217" spans="1:46" ht="15.65" customHeight="1" x14ac:dyDescent="0.35">
      <c r="A217" s="3">
        <v>219</v>
      </c>
      <c r="B217" s="258">
        <v>1234189</v>
      </c>
      <c r="C217" s="3" t="s">
        <v>81</v>
      </c>
      <c r="D217" s="460" t="s">
        <v>191</v>
      </c>
      <c r="E217" s="3" t="s">
        <v>192</v>
      </c>
      <c r="F217" s="292" t="s">
        <v>103</v>
      </c>
      <c r="G217" s="3"/>
      <c r="H217" s="6" t="s">
        <v>36</v>
      </c>
      <c r="I217" s="10">
        <f>SUMIFS('Cutters Consumption Updates'!$F:$F,'Cutters Consumption Updates'!$D:$D,I$1,'Cutters Consumption Updates'!$B:$B,$B217)-SUMIFS('Cutters Consumption Updates'!$E:$E,'Cutters Consumption Updates'!$D:$D,I$1,'Cutters Consumption Updates'!$B:$B,$B217)+ SUMIF('Cutters Consumption Updates'!$AS:$AS,$B217,'Cutters Consumption Updates'!AT:AT)</f>
        <v>0</v>
      </c>
      <c r="J217" s="10">
        <f>SUMIFS('Cutters Consumption Updates'!$F:$F,'Cutters Consumption Updates'!$D:$D,J$1,'Cutters Consumption Updates'!$B:$B,$B217)-SUMIFS('Cutters Consumption Updates'!$E:$E,'Cutters Consumption Updates'!$D:$D,J$1,'Cutters Consumption Updates'!$B:$B,$B217)+ SUMIF('Cutters Consumption Updates'!$AS:$AS,$B217,'Cutters Consumption Updates'!AU:AU)</f>
        <v>0</v>
      </c>
      <c r="K217" s="116">
        <f>SUMIFS('Cutters Consumption Updates'!$F:$F,'Cutters Consumption Updates'!$D:$D,K$1,'Cutters Consumption Updates'!$B:$B,$B217)-SUMIFS('Cutters Consumption Updates'!$E:$E,'Cutters Consumption Updates'!$D:$D,K$1,'Cutters Consumption Updates'!$B:$B,$B217)+ SUMIF('Cutters Consumption Updates'!$AS:$AS,$B217,'Cutters Consumption Updates'!AV:AV)</f>
        <v>0</v>
      </c>
      <c r="L217" s="738">
        <f>SUMIFS('Cutters Consumption Updates'!$F:$F,'Cutters Consumption Updates'!$D:$D,L$1,'Cutters Consumption Updates'!$B:$B,$B217)-SUMIFS('Cutters Consumption Updates'!$E:$E,'Cutters Consumption Updates'!$D:$D,L$1,'Cutters Consumption Updates'!$B:$B,$B217)+ SUMIF('Cutters Consumption Updates'!$AS:$AS,$B217,'Cutters Consumption Updates'!AW:AW)</f>
        <v>0</v>
      </c>
      <c r="M217" s="116">
        <f>SUMIFS('Cutters Consumption Updates'!$F:$F,'Cutters Consumption Updates'!$D:$D,M$1,'Cutters Consumption Updates'!$B:$B,$B217)-SUMIFS('Cutters Consumption Updates'!$E:$E,'Cutters Consumption Updates'!$D:$D,$M$1,'Cutters Consumption Updates'!$B:$B,$B217)+SUMIFS('Cutters Consumption Updates'!$F:$F,'Cutters Consumption Updates'!$D:$D,"Retrofit",'Cutters Consumption Updates'!$B:$B,$B217)-SUMIFS('Cutters Consumption Updates'!$E:$E,'Cutters Consumption Updates'!$D:$D,"Retrofit",'Cutters Consumption Updates'!$B:$B,$B217)+ SUMIF('Cutters Consumption Updates'!$AS:$AS,$B217,'Cutters Consumption Updates'!AX:AX)</f>
        <v>19</v>
      </c>
      <c r="N217" s="10">
        <f t="shared" si="36"/>
        <v>19</v>
      </c>
      <c r="O217" s="701">
        <f ca="1">SUMIFS('Cutters Consumption Updates'!E:E,
        'Cutters Consumption Updates'!B:B, B217,
        'Cutters Consumption Updates'!A:A, "&gt;" &amp; TODAY()-182)</f>
        <v>0</v>
      </c>
      <c r="P217" s="701">
        <f ca="1">SUMIFS('Cutters Consumption Updates'!E:E,
        'Cutters Consumption Updates'!B:B, B217,
        'Cutters Consumption Updates'!A:A, "&gt;" &amp; TODAY()-91)</f>
        <v>0</v>
      </c>
      <c r="Q217" s="701">
        <f t="shared" ca="1" si="37"/>
        <v>0</v>
      </c>
      <c r="R217" s="703">
        <f t="shared" ca="1" si="38"/>
        <v>0</v>
      </c>
      <c r="S217" s="703" t="s">
        <v>29</v>
      </c>
      <c r="T217" s="24">
        <f>IFERROR(INDEX(Table5[],MATCH($B217,Table5[Component],0),2),0)</f>
        <v>6</v>
      </c>
      <c r="U217" s="24">
        <f>SUMIFS(Table7[Balance],Table7[Cutter Mat'#],$B217)</f>
        <v>0</v>
      </c>
      <c r="V217" s="24">
        <f t="shared" si="39"/>
        <v>13</v>
      </c>
      <c r="W217" s="119"/>
      <c r="X217" s="2"/>
      <c r="Z217" s="4">
        <f>IFERROR(INDEX(Table5[],MATCH($B217,Table5[Component],0),2),0)</f>
        <v>6</v>
      </c>
      <c r="AA217" s="4">
        <f>IFERROR(INDEX(Table5[],MATCH($B217,Table5[Component],0),1),0)</f>
        <v>1234189</v>
      </c>
      <c r="AB217" s="4">
        <f t="shared" si="40"/>
        <v>1234189</v>
      </c>
      <c r="AC217" s="4" t="str">
        <f t="shared" si="41"/>
        <v/>
      </c>
      <c r="AE217" s="4">
        <f t="shared" si="42"/>
        <v>19</v>
      </c>
      <c r="AJ217" s="248" t="str">
        <f t="shared" si="43"/>
        <v/>
      </c>
      <c r="AK217" s="248" t="str">
        <f t="shared" si="44"/>
        <v/>
      </c>
      <c r="AL217">
        <f t="shared" si="45"/>
        <v>0</v>
      </c>
      <c r="AO217" s="4"/>
      <c r="AP217" s="4"/>
      <c r="AQ217">
        <f t="shared" si="47"/>
        <v>0</v>
      </c>
      <c r="AR217" s="4"/>
      <c r="AS217" s="4">
        <v>1199265</v>
      </c>
      <c r="AT217">
        <f t="shared" si="46"/>
        <v>0</v>
      </c>
    </row>
    <row r="218" spans="1:46" ht="15.65" customHeight="1" x14ac:dyDescent="0.35">
      <c r="A218" s="3">
        <v>220</v>
      </c>
      <c r="B218" s="258">
        <v>1231982</v>
      </c>
      <c r="C218" s="3" t="s">
        <v>26</v>
      </c>
      <c r="D218" s="460">
        <v>1613</v>
      </c>
      <c r="E218" s="3" t="s">
        <v>193</v>
      </c>
      <c r="F218" s="292" t="s">
        <v>109</v>
      </c>
      <c r="G218" s="3"/>
      <c r="H218" s="6" t="s">
        <v>169</v>
      </c>
      <c r="I218" s="10">
        <f>SUMIFS('Cutters Consumption Updates'!$F:$F,'Cutters Consumption Updates'!$D:$D,I$1,'Cutters Consumption Updates'!$B:$B,$B218)-SUMIFS('Cutters Consumption Updates'!$E:$E,'Cutters Consumption Updates'!$D:$D,I$1,'Cutters Consumption Updates'!$B:$B,$B218)+ SUMIF('Cutters Consumption Updates'!$AS:$AS,$B218,'Cutters Consumption Updates'!AT:AT)</f>
        <v>0</v>
      </c>
      <c r="J218" s="10">
        <f>SUMIFS('Cutters Consumption Updates'!$F:$F,'Cutters Consumption Updates'!$D:$D,J$1,'Cutters Consumption Updates'!$B:$B,$B218)-SUMIFS('Cutters Consumption Updates'!$E:$E,'Cutters Consumption Updates'!$D:$D,J$1,'Cutters Consumption Updates'!$B:$B,$B218)+ SUMIF('Cutters Consumption Updates'!$AS:$AS,$B218,'Cutters Consumption Updates'!AU:AU)</f>
        <v>0</v>
      </c>
      <c r="K218" s="116">
        <f>SUMIFS('Cutters Consumption Updates'!$F:$F,'Cutters Consumption Updates'!$D:$D,K$1,'Cutters Consumption Updates'!$B:$B,$B218)-SUMIFS('Cutters Consumption Updates'!$E:$E,'Cutters Consumption Updates'!$D:$D,K$1,'Cutters Consumption Updates'!$B:$B,$B218)+ SUMIF('Cutters Consumption Updates'!$AS:$AS,$B218,'Cutters Consumption Updates'!AV:AV)</f>
        <v>0</v>
      </c>
      <c r="L218" s="738">
        <f>SUMIFS('Cutters Consumption Updates'!$F:$F,'Cutters Consumption Updates'!$D:$D,L$1,'Cutters Consumption Updates'!$B:$B,$B218)-SUMIFS('Cutters Consumption Updates'!$E:$E,'Cutters Consumption Updates'!$D:$D,L$1,'Cutters Consumption Updates'!$B:$B,$B218)+ SUMIF('Cutters Consumption Updates'!$AS:$AS,$B218,'Cutters Consumption Updates'!AW:AW)</f>
        <v>0</v>
      </c>
      <c r="M218" s="116">
        <f>SUMIFS('Cutters Consumption Updates'!$F:$F,'Cutters Consumption Updates'!$D:$D,M$1,'Cutters Consumption Updates'!$B:$B,$B218)-SUMIFS('Cutters Consumption Updates'!$E:$E,'Cutters Consumption Updates'!$D:$D,$M$1,'Cutters Consumption Updates'!$B:$B,$B218)+SUMIFS('Cutters Consumption Updates'!$F:$F,'Cutters Consumption Updates'!$D:$D,"Retrofit",'Cutters Consumption Updates'!$B:$B,$B218)-SUMIFS('Cutters Consumption Updates'!$E:$E,'Cutters Consumption Updates'!$D:$D,"Retrofit",'Cutters Consumption Updates'!$B:$B,$B218)+ SUMIF('Cutters Consumption Updates'!$AS:$AS,$B218,'Cutters Consumption Updates'!AX:AX)</f>
        <v>4</v>
      </c>
      <c r="N218" s="10">
        <f t="shared" si="36"/>
        <v>4</v>
      </c>
      <c r="O218" s="701">
        <f ca="1">SUMIFS('Cutters Consumption Updates'!E:E,
        'Cutters Consumption Updates'!B:B, B218,
        'Cutters Consumption Updates'!A:A, "&gt;" &amp; TODAY()-182)</f>
        <v>0</v>
      </c>
      <c r="P218" s="701">
        <f ca="1">SUMIFS('Cutters Consumption Updates'!E:E,
        'Cutters Consumption Updates'!B:B, B218,
        'Cutters Consumption Updates'!A:A, "&gt;" &amp; TODAY()-91)</f>
        <v>0</v>
      </c>
      <c r="Q218" s="701">
        <f t="shared" ca="1" si="37"/>
        <v>0</v>
      </c>
      <c r="R218" s="703">
        <f t="shared" ca="1" si="38"/>
        <v>0</v>
      </c>
      <c r="S218" s="703" t="s">
        <v>29</v>
      </c>
      <c r="T218" s="24">
        <f>IFERROR(INDEX(Table5[],MATCH($B218,Table5[Component],0),2),0)</f>
        <v>0</v>
      </c>
      <c r="U218" s="24">
        <f>SUMIFS(Table7[Balance],Table7[Cutter Mat'#],$B218)</f>
        <v>0</v>
      </c>
      <c r="V218" s="24">
        <f t="shared" si="39"/>
        <v>4</v>
      </c>
      <c r="W218" s="119"/>
      <c r="X218" s="2"/>
      <c r="Z218" s="4">
        <f>IFERROR(INDEX(Table5[],MATCH($B218,Table5[Component],0),2),0)</f>
        <v>0</v>
      </c>
      <c r="AA218" s="4">
        <f>IFERROR(INDEX(Table5[],MATCH($B218,Table5[Component],0),1),0)</f>
        <v>0</v>
      </c>
      <c r="AB218" s="4" t="str">
        <f t="shared" si="40"/>
        <v/>
      </c>
      <c r="AC218" s="4" t="str">
        <f t="shared" si="41"/>
        <v/>
      </c>
      <c r="AE218" s="4">
        <f t="shared" si="42"/>
        <v>4</v>
      </c>
      <c r="AJ218" s="248" t="str">
        <f t="shared" si="43"/>
        <v/>
      </c>
      <c r="AK218" s="248" t="str">
        <f t="shared" si="44"/>
        <v/>
      </c>
      <c r="AL218">
        <f t="shared" si="45"/>
        <v>0</v>
      </c>
      <c r="AO218" s="4"/>
      <c r="AP218" s="4"/>
      <c r="AQ218">
        <f t="shared" si="47"/>
        <v>0</v>
      </c>
      <c r="AR218" s="4"/>
      <c r="AS218" s="4">
        <v>1199266</v>
      </c>
      <c r="AT218">
        <f t="shared" si="46"/>
        <v>0</v>
      </c>
    </row>
    <row r="219" spans="1:46" ht="15.65" customHeight="1" x14ac:dyDescent="0.35">
      <c r="A219" s="3">
        <v>221</v>
      </c>
      <c r="B219" s="258">
        <v>1142711</v>
      </c>
      <c r="C219" s="3" t="s">
        <v>26</v>
      </c>
      <c r="D219" s="460">
        <v>1613</v>
      </c>
      <c r="E219" s="3" t="s">
        <v>133</v>
      </c>
      <c r="F219" s="292" t="s">
        <v>109</v>
      </c>
      <c r="G219" s="3"/>
      <c r="H219" s="6" t="s">
        <v>49</v>
      </c>
      <c r="I219" s="10">
        <f>SUMIFS('Cutters Consumption Updates'!$F:$F,'Cutters Consumption Updates'!$D:$D,I$1,'Cutters Consumption Updates'!$B:$B,$B219)-SUMIFS('Cutters Consumption Updates'!$E:$E,'Cutters Consumption Updates'!$D:$D,I$1,'Cutters Consumption Updates'!$B:$B,$B219)+ SUMIF('Cutters Consumption Updates'!$AS:$AS,$B219,'Cutters Consumption Updates'!AT:AT)</f>
        <v>0</v>
      </c>
      <c r="J219" s="10">
        <f>SUMIFS('Cutters Consumption Updates'!$F:$F,'Cutters Consumption Updates'!$D:$D,J$1,'Cutters Consumption Updates'!$B:$B,$B219)-SUMIFS('Cutters Consumption Updates'!$E:$E,'Cutters Consumption Updates'!$D:$D,J$1,'Cutters Consumption Updates'!$B:$B,$B219)+ SUMIF('Cutters Consumption Updates'!$AS:$AS,$B219,'Cutters Consumption Updates'!AU:AU)</f>
        <v>0</v>
      </c>
      <c r="K219" s="116">
        <f>SUMIFS('Cutters Consumption Updates'!$F:$F,'Cutters Consumption Updates'!$D:$D,K$1,'Cutters Consumption Updates'!$B:$B,$B219)-SUMIFS('Cutters Consumption Updates'!$E:$E,'Cutters Consumption Updates'!$D:$D,K$1,'Cutters Consumption Updates'!$B:$B,$B219)+ SUMIF('Cutters Consumption Updates'!$AS:$AS,$B219,'Cutters Consumption Updates'!AV:AV)</f>
        <v>0</v>
      </c>
      <c r="L219" s="738">
        <f>SUMIFS('Cutters Consumption Updates'!$F:$F,'Cutters Consumption Updates'!$D:$D,L$1,'Cutters Consumption Updates'!$B:$B,$B219)-SUMIFS('Cutters Consumption Updates'!$E:$E,'Cutters Consumption Updates'!$D:$D,L$1,'Cutters Consumption Updates'!$B:$B,$B219)+ SUMIF('Cutters Consumption Updates'!$AS:$AS,$B219,'Cutters Consumption Updates'!AW:AW)</f>
        <v>0</v>
      </c>
      <c r="M219" s="116">
        <f>SUMIFS('Cutters Consumption Updates'!$F:$F,'Cutters Consumption Updates'!$D:$D,M$1,'Cutters Consumption Updates'!$B:$B,$B219)-SUMIFS('Cutters Consumption Updates'!$E:$E,'Cutters Consumption Updates'!$D:$D,$M$1,'Cutters Consumption Updates'!$B:$B,$B219)+SUMIFS('Cutters Consumption Updates'!$F:$F,'Cutters Consumption Updates'!$D:$D,"Retrofit",'Cutters Consumption Updates'!$B:$B,$B219)-SUMIFS('Cutters Consumption Updates'!$E:$E,'Cutters Consumption Updates'!$D:$D,"Retrofit",'Cutters Consumption Updates'!$B:$B,$B219)+ SUMIF('Cutters Consumption Updates'!$AS:$AS,$B219,'Cutters Consumption Updates'!AX:AX)</f>
        <v>5</v>
      </c>
      <c r="N219" s="10">
        <f t="shared" si="36"/>
        <v>5</v>
      </c>
      <c r="O219" s="701">
        <f ca="1">SUMIFS('Cutters Consumption Updates'!E:E,
        'Cutters Consumption Updates'!B:B, B219,
        'Cutters Consumption Updates'!A:A, "&gt;" &amp; TODAY()-182)</f>
        <v>0</v>
      </c>
      <c r="P219" s="701">
        <f ca="1">SUMIFS('Cutters Consumption Updates'!E:E,
        'Cutters Consumption Updates'!B:B, B219,
        'Cutters Consumption Updates'!A:A, "&gt;" &amp; TODAY()-91)</f>
        <v>0</v>
      </c>
      <c r="Q219" s="701">
        <f t="shared" ca="1" si="37"/>
        <v>0</v>
      </c>
      <c r="R219" s="703">
        <f t="shared" ca="1" si="38"/>
        <v>0</v>
      </c>
      <c r="S219" s="703" t="s">
        <v>64</v>
      </c>
      <c r="T219" s="24">
        <f>IFERROR(INDEX(Table5[],MATCH($B219,Table5[Component],0),2),0)</f>
        <v>104</v>
      </c>
      <c r="U219" s="24">
        <f>SUMIFS(Table7[Balance],Table7[Cutter Mat'#],$B219)</f>
        <v>0</v>
      </c>
      <c r="V219" s="24">
        <f t="shared" si="39"/>
        <v>-99</v>
      </c>
      <c r="W219" s="119"/>
      <c r="X219" s="2"/>
      <c r="Z219" s="4">
        <f>IFERROR(INDEX(Table5[],MATCH($B219,Table5[Component],0),2),0)</f>
        <v>104</v>
      </c>
      <c r="AA219" s="4">
        <f>IFERROR(INDEX(Table5[],MATCH($B219,Table5[Component],0),1),0)</f>
        <v>1142711</v>
      </c>
      <c r="AB219" s="4">
        <f t="shared" si="40"/>
        <v>1142711</v>
      </c>
      <c r="AC219" s="4" t="str">
        <f t="shared" si="41"/>
        <v/>
      </c>
      <c r="AE219" s="4">
        <f t="shared" si="42"/>
        <v>5</v>
      </c>
      <c r="AJ219" s="248" t="str">
        <f t="shared" si="43"/>
        <v/>
      </c>
      <c r="AK219" s="248" t="str">
        <f t="shared" si="44"/>
        <v/>
      </c>
      <c r="AL219">
        <f t="shared" si="45"/>
        <v>0</v>
      </c>
      <c r="AO219" s="4"/>
      <c r="AP219" s="4"/>
      <c r="AQ219">
        <f t="shared" si="47"/>
        <v>0</v>
      </c>
      <c r="AR219" s="4"/>
      <c r="AS219" s="4">
        <v>1200972</v>
      </c>
      <c r="AT219">
        <f t="shared" si="46"/>
        <v>0</v>
      </c>
    </row>
    <row r="220" spans="1:46" ht="15.65" customHeight="1" x14ac:dyDescent="0.35">
      <c r="A220" s="24">
        <v>222</v>
      </c>
      <c r="B220" s="258">
        <v>1263281</v>
      </c>
      <c r="C220" s="3" t="s">
        <v>26</v>
      </c>
      <c r="D220" s="460">
        <v>1613</v>
      </c>
      <c r="E220" s="3" t="s">
        <v>178</v>
      </c>
      <c r="F220" s="292" t="s">
        <v>170</v>
      </c>
      <c r="G220" s="3"/>
      <c r="H220" s="6" t="s">
        <v>161</v>
      </c>
      <c r="I220" s="10">
        <f>SUMIFS('Cutters Consumption Updates'!$F:$F,'Cutters Consumption Updates'!$D:$D,I$1,'Cutters Consumption Updates'!$B:$B,$B220)-SUMIFS('Cutters Consumption Updates'!$E:$E,'Cutters Consumption Updates'!$D:$D,I$1,'Cutters Consumption Updates'!$B:$B,$B220)+ SUMIF('Cutters Consumption Updates'!$AS:$AS,$B220,'Cutters Consumption Updates'!AT:AT)</f>
        <v>0</v>
      </c>
      <c r="J220" s="10">
        <f>SUMIFS('Cutters Consumption Updates'!$F:$F,'Cutters Consumption Updates'!$D:$D,J$1,'Cutters Consumption Updates'!$B:$B,$B220)-SUMIFS('Cutters Consumption Updates'!$E:$E,'Cutters Consumption Updates'!$D:$D,J$1,'Cutters Consumption Updates'!$B:$B,$B220)+ SUMIF('Cutters Consumption Updates'!$AS:$AS,$B220,'Cutters Consumption Updates'!AU:AU)</f>
        <v>0</v>
      </c>
      <c r="K220" s="116">
        <f>SUMIFS('Cutters Consumption Updates'!$F:$F,'Cutters Consumption Updates'!$D:$D,K$1,'Cutters Consumption Updates'!$B:$B,$B220)-SUMIFS('Cutters Consumption Updates'!$E:$E,'Cutters Consumption Updates'!$D:$D,K$1,'Cutters Consumption Updates'!$B:$B,$B220)+ SUMIF('Cutters Consumption Updates'!$AS:$AS,$B220,'Cutters Consumption Updates'!AV:AV)</f>
        <v>0</v>
      </c>
      <c r="L220" s="738">
        <f>SUMIFS('Cutters Consumption Updates'!$F:$F,'Cutters Consumption Updates'!$D:$D,L$1,'Cutters Consumption Updates'!$B:$B,$B220)-SUMIFS('Cutters Consumption Updates'!$E:$E,'Cutters Consumption Updates'!$D:$D,L$1,'Cutters Consumption Updates'!$B:$B,$B220)+ SUMIF('Cutters Consumption Updates'!$AS:$AS,$B220,'Cutters Consumption Updates'!AW:AW)</f>
        <v>0</v>
      </c>
      <c r="M220" s="116">
        <f>SUMIFS('Cutters Consumption Updates'!$F:$F,'Cutters Consumption Updates'!$D:$D,M$1,'Cutters Consumption Updates'!$B:$B,$B220)-SUMIFS('Cutters Consumption Updates'!$E:$E,'Cutters Consumption Updates'!$D:$D,$M$1,'Cutters Consumption Updates'!$B:$B,$B220)+SUMIFS('Cutters Consumption Updates'!$F:$F,'Cutters Consumption Updates'!$D:$D,"Retrofit",'Cutters Consumption Updates'!$B:$B,$B220)-SUMIFS('Cutters Consumption Updates'!$E:$E,'Cutters Consumption Updates'!$D:$D,"Retrofit",'Cutters Consumption Updates'!$B:$B,$B220)+ SUMIF('Cutters Consumption Updates'!$AS:$AS,$B220,'Cutters Consumption Updates'!AX:AX)</f>
        <v>20</v>
      </c>
      <c r="N220" s="10">
        <f t="shared" si="36"/>
        <v>20</v>
      </c>
      <c r="O220" s="701">
        <f ca="1">SUMIFS('Cutters Consumption Updates'!E:E,
        'Cutters Consumption Updates'!B:B, B220,
        'Cutters Consumption Updates'!A:A, "&gt;" &amp; TODAY()-182)</f>
        <v>0</v>
      </c>
      <c r="P220" s="701">
        <f ca="1">SUMIFS('Cutters Consumption Updates'!E:E,
        'Cutters Consumption Updates'!B:B, B220,
        'Cutters Consumption Updates'!A:A, "&gt;" &amp; TODAY()-91)</f>
        <v>0</v>
      </c>
      <c r="Q220" s="701">
        <f t="shared" ca="1" si="37"/>
        <v>0</v>
      </c>
      <c r="R220" s="703">
        <f t="shared" ca="1" si="38"/>
        <v>0</v>
      </c>
      <c r="S220" s="703" t="s">
        <v>29</v>
      </c>
      <c r="T220" s="24">
        <f>IFERROR(INDEX(Table5[],MATCH($B220,Table5[Component],0),2),0)</f>
        <v>0</v>
      </c>
      <c r="U220" s="24">
        <f>SUMIFS(Table7[Balance],Table7[Cutter Mat'#],$B220)</f>
        <v>0</v>
      </c>
      <c r="V220" s="24">
        <f t="shared" si="39"/>
        <v>20</v>
      </c>
      <c r="W220" s="119"/>
      <c r="X220" s="2"/>
      <c r="Z220" s="4">
        <f>IFERROR(INDEX(Table5[],MATCH($B220,Table5[Component],0),2),0)</f>
        <v>0</v>
      </c>
      <c r="AA220" s="4">
        <f>IFERROR(INDEX(Table5[],MATCH($B220,Table5[Component],0),1),0)</f>
        <v>0</v>
      </c>
      <c r="AB220" s="4" t="str">
        <f t="shared" si="40"/>
        <v/>
      </c>
      <c r="AC220" s="4" t="str">
        <f t="shared" si="41"/>
        <v/>
      </c>
      <c r="AE220" s="4">
        <f t="shared" si="42"/>
        <v>20</v>
      </c>
      <c r="AJ220" s="248" t="str">
        <f t="shared" si="43"/>
        <v/>
      </c>
      <c r="AK220" s="248" t="str">
        <f t="shared" si="44"/>
        <v/>
      </c>
      <c r="AL220">
        <f t="shared" si="45"/>
        <v>0</v>
      </c>
      <c r="AO220" s="4"/>
      <c r="AP220" s="4"/>
      <c r="AQ220">
        <f t="shared" si="47"/>
        <v>0</v>
      </c>
      <c r="AR220" s="4"/>
      <c r="AS220" s="4">
        <v>1201518</v>
      </c>
      <c r="AT220">
        <f t="shared" si="46"/>
        <v>100</v>
      </c>
    </row>
    <row r="221" spans="1:46" ht="15.65" customHeight="1" x14ac:dyDescent="0.35">
      <c r="A221" s="24">
        <v>223</v>
      </c>
      <c r="B221" s="258">
        <v>1200972</v>
      </c>
      <c r="C221" s="3" t="s">
        <v>81</v>
      </c>
      <c r="D221" s="460" t="s">
        <v>194</v>
      </c>
      <c r="E221" s="3" t="s">
        <v>192</v>
      </c>
      <c r="F221" s="292" t="s">
        <v>103</v>
      </c>
      <c r="G221" s="3"/>
      <c r="H221" s="6" t="s">
        <v>36</v>
      </c>
      <c r="I221" s="10">
        <f>SUMIFS('Cutters Consumption Updates'!$F:$F,'Cutters Consumption Updates'!$D:$D,I$1,'Cutters Consumption Updates'!$B:$B,$B221)-SUMIFS('Cutters Consumption Updates'!$E:$E,'Cutters Consumption Updates'!$D:$D,I$1,'Cutters Consumption Updates'!$B:$B,$B221)+ SUMIF('Cutters Consumption Updates'!$AS:$AS,$B221,'Cutters Consumption Updates'!AT:AT)</f>
        <v>0</v>
      </c>
      <c r="J221" s="10">
        <f>SUMIFS('Cutters Consumption Updates'!$F:$F,'Cutters Consumption Updates'!$D:$D,J$1,'Cutters Consumption Updates'!$B:$B,$B221)-SUMIFS('Cutters Consumption Updates'!$E:$E,'Cutters Consumption Updates'!$D:$D,J$1,'Cutters Consumption Updates'!$B:$B,$B221)+ SUMIF('Cutters Consumption Updates'!$AS:$AS,$B221,'Cutters Consumption Updates'!AU:AU)</f>
        <v>0</v>
      </c>
      <c r="K221" s="116">
        <f>SUMIFS('Cutters Consumption Updates'!$F:$F,'Cutters Consumption Updates'!$D:$D,K$1,'Cutters Consumption Updates'!$B:$B,$B221)-SUMIFS('Cutters Consumption Updates'!$E:$E,'Cutters Consumption Updates'!$D:$D,K$1,'Cutters Consumption Updates'!$B:$B,$B221)+ SUMIF('Cutters Consumption Updates'!$AS:$AS,$B221,'Cutters Consumption Updates'!AV:AV)</f>
        <v>0</v>
      </c>
      <c r="L221" s="738">
        <f>SUMIFS('Cutters Consumption Updates'!$F:$F,'Cutters Consumption Updates'!$D:$D,L$1,'Cutters Consumption Updates'!$B:$B,$B221)-SUMIFS('Cutters Consumption Updates'!$E:$E,'Cutters Consumption Updates'!$D:$D,L$1,'Cutters Consumption Updates'!$B:$B,$B221)+ SUMIF('Cutters Consumption Updates'!$AS:$AS,$B221,'Cutters Consumption Updates'!AW:AW)</f>
        <v>0</v>
      </c>
      <c r="M221" s="116">
        <f>SUMIFS('Cutters Consumption Updates'!$F:$F,'Cutters Consumption Updates'!$D:$D,M$1,'Cutters Consumption Updates'!$B:$B,$B221)-SUMIFS('Cutters Consumption Updates'!$E:$E,'Cutters Consumption Updates'!$D:$D,$M$1,'Cutters Consumption Updates'!$B:$B,$B221)+SUMIFS('Cutters Consumption Updates'!$F:$F,'Cutters Consumption Updates'!$D:$D,"Retrofit",'Cutters Consumption Updates'!$B:$B,$B221)-SUMIFS('Cutters Consumption Updates'!$E:$E,'Cutters Consumption Updates'!$D:$D,"Retrofit",'Cutters Consumption Updates'!$B:$B,$B221)+ SUMIF('Cutters Consumption Updates'!$AS:$AS,$B221,'Cutters Consumption Updates'!AX:AX)</f>
        <v>34</v>
      </c>
      <c r="N221" s="10">
        <f t="shared" si="36"/>
        <v>34</v>
      </c>
      <c r="O221" s="701">
        <f ca="1">SUMIFS('Cutters Consumption Updates'!E:E,
        'Cutters Consumption Updates'!B:B, B221,
        'Cutters Consumption Updates'!A:A, "&gt;" &amp; TODAY()-182)</f>
        <v>6</v>
      </c>
      <c r="P221" s="701">
        <f ca="1">SUMIFS('Cutters Consumption Updates'!E:E,
        'Cutters Consumption Updates'!B:B, B221,
        'Cutters Consumption Updates'!A:A, "&gt;" &amp; TODAY()-91)</f>
        <v>6</v>
      </c>
      <c r="Q221" s="701">
        <f t="shared" ca="1" si="37"/>
        <v>2</v>
      </c>
      <c r="R221" s="703">
        <f t="shared" ca="1" si="38"/>
        <v>5</v>
      </c>
      <c r="S221" s="703" t="s">
        <v>29</v>
      </c>
      <c r="T221" s="24">
        <f>IFERROR(INDEX(Table5[],MATCH($B221,Table5[Component],0),2),0)</f>
        <v>10</v>
      </c>
      <c r="U221" s="24">
        <f>SUMIFS(Table7[Balance],Table7[Cutter Mat'#],$B221)</f>
        <v>0</v>
      </c>
      <c r="V221" s="24">
        <f t="shared" si="39"/>
        <v>24</v>
      </c>
      <c r="W221" s="119"/>
      <c r="X221" s="2"/>
      <c r="Z221" s="4">
        <f>IFERROR(INDEX(Table5[],MATCH($B221,Table5[Component],0),2),0)</f>
        <v>10</v>
      </c>
      <c r="AA221" s="4">
        <f>IFERROR(INDEX(Table5[],MATCH($B221,Table5[Component],0),1),0)</f>
        <v>1200972</v>
      </c>
      <c r="AB221" s="4">
        <f t="shared" si="40"/>
        <v>1200972</v>
      </c>
      <c r="AC221" s="4" t="str">
        <f t="shared" si="41"/>
        <v/>
      </c>
      <c r="AE221" s="4">
        <f t="shared" si="42"/>
        <v>34</v>
      </c>
      <c r="AJ221" s="248" t="str">
        <f t="shared" si="43"/>
        <v/>
      </c>
      <c r="AK221" s="248" t="str">
        <f t="shared" si="44"/>
        <v/>
      </c>
      <c r="AL221">
        <f t="shared" si="45"/>
        <v>0</v>
      </c>
      <c r="AO221" s="4"/>
      <c r="AP221" s="4"/>
      <c r="AQ221">
        <f t="shared" si="47"/>
        <v>0</v>
      </c>
      <c r="AR221" s="4"/>
      <c r="AS221" s="4">
        <v>1208601</v>
      </c>
      <c r="AT221">
        <f t="shared" si="46"/>
        <v>0</v>
      </c>
    </row>
    <row r="222" spans="1:46" ht="15.65" customHeight="1" x14ac:dyDescent="0.35">
      <c r="A222" s="2">
        <v>225</v>
      </c>
      <c r="B222" s="258">
        <v>1146346</v>
      </c>
      <c r="C222" s="3" t="s">
        <v>26</v>
      </c>
      <c r="D222" s="292">
        <v>1313</v>
      </c>
      <c r="E222" s="292" t="s">
        <v>111</v>
      </c>
      <c r="F222" s="292" t="s">
        <v>177</v>
      </c>
      <c r="G222" s="3"/>
      <c r="H222" s="6" t="s">
        <v>49</v>
      </c>
      <c r="I222" s="10">
        <f>SUMIFS('Cutters Consumption Updates'!$F:$F,'Cutters Consumption Updates'!$D:$D,I$1,'Cutters Consumption Updates'!$B:$B,$B222)-SUMIFS('Cutters Consumption Updates'!$E:$E,'Cutters Consumption Updates'!$D:$D,I$1,'Cutters Consumption Updates'!$B:$B,$B222)+ SUMIF('Cutters Consumption Updates'!$AS:$AS,$B222,'Cutters Consumption Updates'!AT:AT)</f>
        <v>0</v>
      </c>
      <c r="J222" s="10">
        <f>SUMIFS('Cutters Consumption Updates'!$F:$F,'Cutters Consumption Updates'!$D:$D,J$1,'Cutters Consumption Updates'!$B:$B,$B222)-SUMIFS('Cutters Consumption Updates'!$E:$E,'Cutters Consumption Updates'!$D:$D,J$1,'Cutters Consumption Updates'!$B:$B,$B222)+ SUMIF('Cutters Consumption Updates'!$AS:$AS,$B222,'Cutters Consumption Updates'!AU:AU)</f>
        <v>0</v>
      </c>
      <c r="K222" s="116">
        <f>SUMIFS('Cutters Consumption Updates'!$F:$F,'Cutters Consumption Updates'!$D:$D,K$1,'Cutters Consumption Updates'!$B:$B,$B222)-SUMIFS('Cutters Consumption Updates'!$E:$E,'Cutters Consumption Updates'!$D:$D,K$1,'Cutters Consumption Updates'!$B:$B,$B222)+ SUMIF('Cutters Consumption Updates'!$AS:$AS,$B222,'Cutters Consumption Updates'!AV:AV)</f>
        <v>0</v>
      </c>
      <c r="L222" s="738">
        <f>SUMIFS('Cutters Consumption Updates'!$F:$F,'Cutters Consumption Updates'!$D:$D,L$1,'Cutters Consumption Updates'!$B:$B,$B222)-SUMIFS('Cutters Consumption Updates'!$E:$E,'Cutters Consumption Updates'!$D:$D,L$1,'Cutters Consumption Updates'!$B:$B,$B222)+ SUMIF('Cutters Consumption Updates'!$AS:$AS,$B222,'Cutters Consumption Updates'!AW:AW)</f>
        <v>0</v>
      </c>
      <c r="M222" s="116">
        <f>SUMIFS('Cutters Consumption Updates'!$F:$F,'Cutters Consumption Updates'!$D:$D,M$1,'Cutters Consumption Updates'!$B:$B,$B222)-SUMIFS('Cutters Consumption Updates'!$E:$E,'Cutters Consumption Updates'!$D:$D,$M$1,'Cutters Consumption Updates'!$B:$B,$B222)+SUMIFS('Cutters Consumption Updates'!$F:$F,'Cutters Consumption Updates'!$D:$D,"Retrofit",'Cutters Consumption Updates'!$B:$B,$B222)-SUMIFS('Cutters Consumption Updates'!$E:$E,'Cutters Consumption Updates'!$D:$D,"Retrofit",'Cutters Consumption Updates'!$B:$B,$B222)+ SUMIF('Cutters Consumption Updates'!$AS:$AS,$B222,'Cutters Consumption Updates'!AX:AX)</f>
        <v>-214</v>
      </c>
      <c r="N222" s="10">
        <f t="shared" si="36"/>
        <v>-214</v>
      </c>
      <c r="O222" s="701">
        <f ca="1">SUMIFS('Cutters Consumption Updates'!E:E,
        'Cutters Consumption Updates'!B:B, B222,
        'Cutters Consumption Updates'!A:A, "&gt;" &amp; TODAY()-182)</f>
        <v>558</v>
      </c>
      <c r="P222" s="701">
        <f ca="1">SUMIFS('Cutters Consumption Updates'!E:E,
        'Cutters Consumption Updates'!B:B, B222,
        'Cutters Consumption Updates'!A:A, "&gt;" &amp; TODAY()-91)</f>
        <v>418</v>
      </c>
      <c r="Q222" s="701">
        <f t="shared" ca="1" si="37"/>
        <v>186</v>
      </c>
      <c r="R222" s="703">
        <f t="shared" ca="1" si="38"/>
        <v>195</v>
      </c>
      <c r="S222" s="703" t="s">
        <v>112</v>
      </c>
      <c r="T222" s="24">
        <f>IFERROR(INDEX(Table5[],MATCH($B222,Table5[Component],0),2),0)</f>
        <v>348</v>
      </c>
      <c r="U222" s="24">
        <f>SUMIFS(Table7[Balance],Table7[Cutter Mat'#],$B222)</f>
        <v>225</v>
      </c>
      <c r="V222" s="24">
        <f t="shared" si="39"/>
        <v>-337</v>
      </c>
      <c r="W222" s="119"/>
      <c r="X222" s="2"/>
      <c r="Z222" s="4">
        <f>IFERROR(INDEX(Table5[],MATCH($B222,Table5[Component],0),2),0)</f>
        <v>348</v>
      </c>
      <c r="AA222" s="4">
        <f>IFERROR(INDEX(Table5[],MATCH($B222,Table5[Component],0),1),0)</f>
        <v>1146346</v>
      </c>
      <c r="AB222" s="4">
        <f t="shared" si="40"/>
        <v>1146346</v>
      </c>
      <c r="AC222" s="4" t="str">
        <f t="shared" si="41"/>
        <v/>
      </c>
      <c r="AE222" s="4">
        <f t="shared" si="42"/>
        <v>-214</v>
      </c>
      <c r="AJ222" s="248" t="str">
        <f t="shared" si="43"/>
        <v/>
      </c>
      <c r="AK222" s="248" t="str">
        <f t="shared" si="44"/>
        <v/>
      </c>
      <c r="AL222">
        <f t="shared" si="45"/>
        <v>0</v>
      </c>
      <c r="AO222" s="4"/>
      <c r="AP222" s="4"/>
      <c r="AQ222">
        <f t="shared" si="47"/>
        <v>225</v>
      </c>
      <c r="AR222" s="4"/>
      <c r="AS222" s="4">
        <v>1209332</v>
      </c>
      <c r="AT222">
        <f t="shared" si="46"/>
        <v>0</v>
      </c>
    </row>
    <row r="223" spans="1:46" ht="15.65" customHeight="1" x14ac:dyDescent="0.35">
      <c r="A223" s="2">
        <v>226</v>
      </c>
      <c r="B223" s="258">
        <v>1271790</v>
      </c>
      <c r="C223" s="3" t="s">
        <v>26</v>
      </c>
      <c r="D223" s="460">
        <v>1613</v>
      </c>
      <c r="E223" s="292" t="s">
        <v>195</v>
      </c>
      <c r="F223" s="292" t="s">
        <v>177</v>
      </c>
      <c r="G223" s="3"/>
      <c r="H223" s="6" t="s">
        <v>161</v>
      </c>
      <c r="I223" s="10">
        <f>SUMIFS('Cutters Consumption Updates'!$F:$F,'Cutters Consumption Updates'!$D:$D,I$1,'Cutters Consumption Updates'!$B:$B,$B223)-SUMIFS('Cutters Consumption Updates'!$E:$E,'Cutters Consumption Updates'!$D:$D,I$1,'Cutters Consumption Updates'!$B:$B,$B223)+ SUMIF('Cutters Consumption Updates'!$AS:$AS,$B223,'Cutters Consumption Updates'!AT:AT)</f>
        <v>0</v>
      </c>
      <c r="J223" s="10">
        <f>SUMIFS('Cutters Consumption Updates'!$F:$F,'Cutters Consumption Updates'!$D:$D,J$1,'Cutters Consumption Updates'!$B:$B,$B223)-SUMIFS('Cutters Consumption Updates'!$E:$E,'Cutters Consumption Updates'!$D:$D,J$1,'Cutters Consumption Updates'!$B:$B,$B223)+ SUMIF('Cutters Consumption Updates'!$AS:$AS,$B223,'Cutters Consumption Updates'!AU:AU)</f>
        <v>0</v>
      </c>
      <c r="K223" s="116">
        <f>SUMIFS('Cutters Consumption Updates'!$F:$F,'Cutters Consumption Updates'!$D:$D,K$1,'Cutters Consumption Updates'!$B:$B,$B223)-SUMIFS('Cutters Consumption Updates'!$E:$E,'Cutters Consumption Updates'!$D:$D,K$1,'Cutters Consumption Updates'!$B:$B,$B223)+ SUMIF('Cutters Consumption Updates'!$AS:$AS,$B223,'Cutters Consumption Updates'!AV:AV)</f>
        <v>129</v>
      </c>
      <c r="L223" s="738">
        <f>SUMIFS('Cutters Consumption Updates'!$F:$F,'Cutters Consumption Updates'!$D:$D,L$1,'Cutters Consumption Updates'!$B:$B,$B223)-SUMIFS('Cutters Consumption Updates'!$E:$E,'Cutters Consumption Updates'!$D:$D,L$1,'Cutters Consumption Updates'!$B:$B,$B223)+ SUMIF('Cutters Consumption Updates'!$AS:$AS,$B223,'Cutters Consumption Updates'!AW:AW)</f>
        <v>0</v>
      </c>
      <c r="M223" s="116">
        <f>SUMIFS('Cutters Consumption Updates'!$F:$F,'Cutters Consumption Updates'!$D:$D,M$1,'Cutters Consumption Updates'!$B:$B,$B223)-SUMIFS('Cutters Consumption Updates'!$E:$E,'Cutters Consumption Updates'!$D:$D,$M$1,'Cutters Consumption Updates'!$B:$B,$B223)+SUMIFS('Cutters Consumption Updates'!$F:$F,'Cutters Consumption Updates'!$D:$D,"Retrofit",'Cutters Consumption Updates'!$B:$B,$B223)-SUMIFS('Cutters Consumption Updates'!$E:$E,'Cutters Consumption Updates'!$D:$D,"Retrofit",'Cutters Consumption Updates'!$B:$B,$B223)+ SUMIF('Cutters Consumption Updates'!$AS:$AS,$B223,'Cutters Consumption Updates'!AX:AX)</f>
        <v>49</v>
      </c>
      <c r="N223" s="10">
        <f t="shared" si="36"/>
        <v>49</v>
      </c>
      <c r="O223" s="701">
        <f ca="1">SUMIFS('Cutters Consumption Updates'!E:E,
        'Cutters Consumption Updates'!B:B, B223,
        'Cutters Consumption Updates'!A:A, "&gt;" &amp; TODAY()-182)</f>
        <v>192</v>
      </c>
      <c r="P223" s="701">
        <f ca="1">SUMIFS('Cutters Consumption Updates'!E:E,
        'Cutters Consumption Updates'!B:B, B223,
        'Cutters Consumption Updates'!A:A, "&gt;" &amp; TODAY()-91)</f>
        <v>16</v>
      </c>
      <c r="Q223" s="701">
        <f t="shared" ca="1" si="37"/>
        <v>64</v>
      </c>
      <c r="R223" s="703">
        <f t="shared" ca="1" si="38"/>
        <v>70</v>
      </c>
      <c r="S223" s="703" t="s">
        <v>196</v>
      </c>
      <c r="T223" s="24">
        <f>IFERROR(INDEX(Table5[],MATCH($B223,Table5[Component],0),2),0)</f>
        <v>0</v>
      </c>
      <c r="U223" s="24">
        <f>SUMIFS(Table7[Balance],Table7[Cutter Mat'#],$B223)</f>
        <v>0</v>
      </c>
      <c r="V223" s="24">
        <f t="shared" si="39"/>
        <v>49</v>
      </c>
      <c r="W223" s="119"/>
      <c r="X223" s="2">
        <v>1175118</v>
      </c>
      <c r="Z223" s="4">
        <f>IFERROR(INDEX(Table5[],MATCH($B223,Table5[Component],0),2),0)</f>
        <v>0</v>
      </c>
      <c r="AA223" s="4">
        <f>IFERROR(INDEX(Table5[],MATCH($B223,Table5[Component],0),1),0)</f>
        <v>0</v>
      </c>
      <c r="AB223" s="4" t="str">
        <f t="shared" si="40"/>
        <v/>
      </c>
      <c r="AC223" s="4" t="str">
        <f t="shared" si="41"/>
        <v/>
      </c>
      <c r="AE223" s="4">
        <f t="shared" si="42"/>
        <v>178</v>
      </c>
      <c r="AJ223" s="248">
        <f t="shared" si="43"/>
        <v>2</v>
      </c>
      <c r="AK223" s="248">
        <f t="shared" ca="1" si="44"/>
        <v>0</v>
      </c>
      <c r="AL223">
        <f t="shared" si="45"/>
        <v>0</v>
      </c>
      <c r="AO223" s="4"/>
      <c r="AP223" s="4"/>
      <c r="AQ223">
        <f t="shared" si="47"/>
        <v>0</v>
      </c>
      <c r="AR223" s="4"/>
      <c r="AS223" s="4">
        <v>1209333</v>
      </c>
      <c r="AT223">
        <f t="shared" si="46"/>
        <v>0</v>
      </c>
    </row>
    <row r="224" spans="1:46" ht="15.65" customHeight="1" x14ac:dyDescent="0.35">
      <c r="A224" s="2">
        <v>227</v>
      </c>
      <c r="B224" s="258">
        <v>1220688</v>
      </c>
      <c r="C224" s="3" t="s">
        <v>26</v>
      </c>
      <c r="D224" s="460">
        <v>1005</v>
      </c>
      <c r="E224" s="292" t="s">
        <v>145</v>
      </c>
      <c r="F224" s="292" t="s">
        <v>170</v>
      </c>
      <c r="G224" s="3"/>
      <c r="H224" s="6" t="s">
        <v>146</v>
      </c>
      <c r="I224" s="10">
        <f>SUMIFS('Cutters Consumption Updates'!$F:$F,'Cutters Consumption Updates'!$D:$D,I$1,'Cutters Consumption Updates'!$B:$B,$B224)-SUMIFS('Cutters Consumption Updates'!$E:$E,'Cutters Consumption Updates'!$D:$D,I$1,'Cutters Consumption Updates'!$B:$B,$B224)+ SUMIF('Cutters Consumption Updates'!$AS:$AS,$B224,'Cutters Consumption Updates'!AT:AT)</f>
        <v>0</v>
      </c>
      <c r="J224" s="10">
        <f>SUMIFS('Cutters Consumption Updates'!$F:$F,'Cutters Consumption Updates'!$D:$D,J$1,'Cutters Consumption Updates'!$B:$B,$B224)-SUMIFS('Cutters Consumption Updates'!$E:$E,'Cutters Consumption Updates'!$D:$D,J$1,'Cutters Consumption Updates'!$B:$B,$B224)+ SUMIF('Cutters Consumption Updates'!$AS:$AS,$B224,'Cutters Consumption Updates'!AU:AU)</f>
        <v>0</v>
      </c>
      <c r="K224" s="116">
        <f>SUMIFS('Cutters Consumption Updates'!$F:$F,'Cutters Consumption Updates'!$D:$D,K$1,'Cutters Consumption Updates'!$B:$B,$B224)-SUMIFS('Cutters Consumption Updates'!$E:$E,'Cutters Consumption Updates'!$D:$D,K$1,'Cutters Consumption Updates'!$B:$B,$B224)+ SUMIF('Cutters Consumption Updates'!$AS:$AS,$B224,'Cutters Consumption Updates'!AV:AV)</f>
        <v>0</v>
      </c>
      <c r="L224" s="738">
        <f>SUMIFS('Cutters Consumption Updates'!$F:$F,'Cutters Consumption Updates'!$D:$D,L$1,'Cutters Consumption Updates'!$B:$B,$B224)-SUMIFS('Cutters Consumption Updates'!$E:$E,'Cutters Consumption Updates'!$D:$D,L$1,'Cutters Consumption Updates'!$B:$B,$B224)+ SUMIF('Cutters Consumption Updates'!$AS:$AS,$B224,'Cutters Consumption Updates'!AW:AW)</f>
        <v>0</v>
      </c>
      <c r="M224" s="116">
        <f>SUMIFS('Cutters Consumption Updates'!$F:$F,'Cutters Consumption Updates'!$D:$D,M$1,'Cutters Consumption Updates'!$B:$B,$B224)-SUMIFS('Cutters Consumption Updates'!$E:$E,'Cutters Consumption Updates'!$D:$D,$M$1,'Cutters Consumption Updates'!$B:$B,$B224)+SUMIFS('Cutters Consumption Updates'!$F:$F,'Cutters Consumption Updates'!$D:$D,"Retrofit",'Cutters Consumption Updates'!$B:$B,$B224)-SUMIFS('Cutters Consumption Updates'!$E:$E,'Cutters Consumption Updates'!$D:$D,"Retrofit",'Cutters Consumption Updates'!$B:$B,$B224)+ SUMIF('Cutters Consumption Updates'!$AS:$AS,$B224,'Cutters Consumption Updates'!AX:AX)</f>
        <v>477</v>
      </c>
      <c r="N224" s="10">
        <f t="shared" si="36"/>
        <v>477</v>
      </c>
      <c r="O224" s="701">
        <f ca="1">SUMIFS('Cutters Consumption Updates'!E:E,
        'Cutters Consumption Updates'!B:B, B224,
        'Cutters Consumption Updates'!A:A, "&gt;" &amp; TODAY()-182)</f>
        <v>76</v>
      </c>
      <c r="P224" s="701">
        <f ca="1">SUMIFS('Cutters Consumption Updates'!E:E,
        'Cutters Consumption Updates'!B:B, B224,
        'Cutters Consumption Updates'!A:A, "&gt;" &amp; TODAY()-91)</f>
        <v>0</v>
      </c>
      <c r="Q224" s="701">
        <f t="shared" ca="1" si="37"/>
        <v>26</v>
      </c>
      <c r="R224" s="703">
        <f t="shared" ca="1" si="38"/>
        <v>30</v>
      </c>
      <c r="S224" s="703" t="s">
        <v>29</v>
      </c>
      <c r="T224" s="24">
        <f>IFERROR(INDEX(Table5[],MATCH($B224,Table5[Component],0),2),0)</f>
        <v>494</v>
      </c>
      <c r="U224" s="24">
        <f>SUMIFS(Table7[Balance],Table7[Cutter Mat'#],$B224)</f>
        <v>0</v>
      </c>
      <c r="V224" s="24">
        <f t="shared" si="39"/>
        <v>-17</v>
      </c>
      <c r="W224" s="119"/>
      <c r="X224" s="2"/>
      <c r="Z224" s="4">
        <f>IFERROR(INDEX(Table5[],MATCH($B224,Table5[Component],0),2),0)</f>
        <v>494</v>
      </c>
      <c r="AA224" s="4">
        <f>IFERROR(INDEX(Table5[],MATCH($B224,Table5[Component],0),1),0)</f>
        <v>1220688</v>
      </c>
      <c r="AB224" s="4">
        <f t="shared" si="40"/>
        <v>1220688</v>
      </c>
      <c r="AC224" s="4" t="str">
        <f t="shared" si="41"/>
        <v/>
      </c>
      <c r="AE224" s="4">
        <f t="shared" si="42"/>
        <v>477</v>
      </c>
      <c r="AJ224" s="248" t="str">
        <f t="shared" si="43"/>
        <v/>
      </c>
      <c r="AK224" s="248" t="str">
        <f t="shared" si="44"/>
        <v/>
      </c>
      <c r="AL224">
        <f t="shared" si="45"/>
        <v>0</v>
      </c>
      <c r="AO224" s="4"/>
      <c r="AP224" s="4"/>
      <c r="AQ224">
        <f t="shared" si="47"/>
        <v>0</v>
      </c>
      <c r="AR224" s="4"/>
      <c r="AS224" s="4">
        <v>1209410</v>
      </c>
      <c r="AT224">
        <f t="shared" si="46"/>
        <v>0</v>
      </c>
    </row>
    <row r="225" spans="1:46" ht="15.65" customHeight="1" x14ac:dyDescent="0.35">
      <c r="A225" s="2">
        <v>228</v>
      </c>
      <c r="B225" s="258">
        <v>1244957</v>
      </c>
      <c r="C225" s="3" t="s">
        <v>26</v>
      </c>
      <c r="D225" s="460">
        <v>1613</v>
      </c>
      <c r="E225" s="292" t="s">
        <v>111</v>
      </c>
      <c r="F225" s="292" t="s">
        <v>197</v>
      </c>
      <c r="G225" s="3"/>
      <c r="H225" s="6" t="s">
        <v>49</v>
      </c>
      <c r="I225" s="10">
        <f>SUMIFS('Cutters Consumption Updates'!$F:$F,'Cutters Consumption Updates'!$D:$D,I$1,'Cutters Consumption Updates'!$B:$B,$B225)-SUMIFS('Cutters Consumption Updates'!$E:$E,'Cutters Consumption Updates'!$D:$D,I$1,'Cutters Consumption Updates'!$B:$B,$B225)+ SUMIF('Cutters Consumption Updates'!$AS:$AS,$B225,'Cutters Consumption Updates'!AT:AT)</f>
        <v>0</v>
      </c>
      <c r="J225" s="10">
        <f>SUMIFS('Cutters Consumption Updates'!$F:$F,'Cutters Consumption Updates'!$D:$D,J$1,'Cutters Consumption Updates'!$B:$B,$B225)-SUMIFS('Cutters Consumption Updates'!$E:$E,'Cutters Consumption Updates'!$D:$D,J$1,'Cutters Consumption Updates'!$B:$B,$B225)+ SUMIF('Cutters Consumption Updates'!$AS:$AS,$B225,'Cutters Consumption Updates'!AU:AU)</f>
        <v>0</v>
      </c>
      <c r="K225" s="116">
        <f>SUMIFS('Cutters Consumption Updates'!$F:$F,'Cutters Consumption Updates'!$D:$D,K$1,'Cutters Consumption Updates'!$B:$B,$B225)-SUMIFS('Cutters Consumption Updates'!$E:$E,'Cutters Consumption Updates'!$D:$D,K$1,'Cutters Consumption Updates'!$B:$B,$B225)+ SUMIF('Cutters Consumption Updates'!$AS:$AS,$B225,'Cutters Consumption Updates'!AV:AV)</f>
        <v>0</v>
      </c>
      <c r="L225" s="738">
        <f>SUMIFS('Cutters Consumption Updates'!$F:$F,'Cutters Consumption Updates'!$D:$D,L$1,'Cutters Consumption Updates'!$B:$B,$B225)-SUMIFS('Cutters Consumption Updates'!$E:$E,'Cutters Consumption Updates'!$D:$D,L$1,'Cutters Consumption Updates'!$B:$B,$B225)+ SUMIF('Cutters Consumption Updates'!$AS:$AS,$B225,'Cutters Consumption Updates'!AW:AW)</f>
        <v>0</v>
      </c>
      <c r="M225" s="116">
        <f>SUMIFS('Cutters Consumption Updates'!$F:$F,'Cutters Consumption Updates'!$D:$D,M$1,'Cutters Consumption Updates'!$B:$B,$B225)-SUMIFS('Cutters Consumption Updates'!$E:$E,'Cutters Consumption Updates'!$D:$D,$M$1,'Cutters Consumption Updates'!$B:$B,$B225)+SUMIFS('Cutters Consumption Updates'!$F:$F,'Cutters Consumption Updates'!$D:$D,"Retrofit",'Cutters Consumption Updates'!$B:$B,$B225)-SUMIFS('Cutters Consumption Updates'!$E:$E,'Cutters Consumption Updates'!$D:$D,"Retrofit",'Cutters Consumption Updates'!$B:$B,$B225)+ SUMIF('Cutters Consumption Updates'!$AS:$AS,$B225,'Cutters Consumption Updates'!AX:AX)</f>
        <v>72</v>
      </c>
      <c r="N225" s="10">
        <f t="shared" si="36"/>
        <v>72</v>
      </c>
      <c r="O225" s="701">
        <f ca="1">SUMIFS('Cutters Consumption Updates'!E:E,
        'Cutters Consumption Updates'!B:B, B225,
        'Cutters Consumption Updates'!A:A, "&gt;" &amp; TODAY()-182)</f>
        <v>0</v>
      </c>
      <c r="P225" s="701">
        <f ca="1">SUMIFS('Cutters Consumption Updates'!E:E,
        'Cutters Consumption Updates'!B:B, B225,
        'Cutters Consumption Updates'!A:A, "&gt;" &amp; TODAY()-91)</f>
        <v>0</v>
      </c>
      <c r="Q225" s="701">
        <f t="shared" ca="1" si="37"/>
        <v>0</v>
      </c>
      <c r="R225" s="703">
        <f t="shared" ca="1" si="38"/>
        <v>0</v>
      </c>
      <c r="S225" s="703" t="s">
        <v>115</v>
      </c>
      <c r="T225" s="24">
        <f>IFERROR(INDEX(Table5[],MATCH($B225,Table5[Component],0),2),0)</f>
        <v>24</v>
      </c>
      <c r="U225" s="24">
        <f>SUMIFS(Table7[Balance],Table7[Cutter Mat'#],$B225)</f>
        <v>0</v>
      </c>
      <c r="V225" s="24">
        <f t="shared" si="39"/>
        <v>48</v>
      </c>
      <c r="W225" s="119"/>
      <c r="X225" s="2"/>
      <c r="Z225" s="4">
        <f>IFERROR(INDEX(Table5[],MATCH($B225,Table5[Component],0),2),0)</f>
        <v>24</v>
      </c>
      <c r="AA225" s="4">
        <f>IFERROR(INDEX(Table5[],MATCH($B225,Table5[Component],0),1),0)</f>
        <v>1244957</v>
      </c>
      <c r="AB225" s="4">
        <f t="shared" si="40"/>
        <v>1244957</v>
      </c>
      <c r="AC225" s="4" t="str">
        <f t="shared" si="41"/>
        <v/>
      </c>
      <c r="AE225" s="4">
        <f t="shared" si="42"/>
        <v>72</v>
      </c>
      <c r="AJ225" s="248" t="str">
        <f t="shared" si="43"/>
        <v/>
      </c>
      <c r="AK225" s="248" t="str">
        <f t="shared" si="44"/>
        <v/>
      </c>
      <c r="AL225">
        <f t="shared" si="45"/>
        <v>0</v>
      </c>
      <c r="AO225" s="4"/>
      <c r="AP225" s="4"/>
      <c r="AQ225">
        <f t="shared" si="47"/>
        <v>0</v>
      </c>
      <c r="AR225" s="4"/>
      <c r="AS225" s="4">
        <v>1217988</v>
      </c>
      <c r="AT225">
        <f t="shared" si="46"/>
        <v>0</v>
      </c>
    </row>
    <row r="226" spans="1:46" ht="15.65" customHeight="1" x14ac:dyDescent="0.35">
      <c r="A226" s="2">
        <v>229</v>
      </c>
      <c r="B226" s="258">
        <v>1126402</v>
      </c>
      <c r="C226" s="3" t="s">
        <v>26</v>
      </c>
      <c r="D226" s="460">
        <v>1613</v>
      </c>
      <c r="E226" s="292" t="s">
        <v>133</v>
      </c>
      <c r="F226" s="292" t="s">
        <v>177</v>
      </c>
      <c r="G226" s="3"/>
      <c r="H226" s="6" t="s">
        <v>49</v>
      </c>
      <c r="I226" s="10">
        <f>SUMIFS('Cutters Consumption Updates'!$F:$F,'Cutters Consumption Updates'!$D:$D,I$1,'Cutters Consumption Updates'!$B:$B,$B226)-SUMIFS('Cutters Consumption Updates'!$E:$E,'Cutters Consumption Updates'!$D:$D,I$1,'Cutters Consumption Updates'!$B:$B,$B226)+ SUMIF('Cutters Consumption Updates'!$AS:$AS,$B226,'Cutters Consumption Updates'!AT:AT)</f>
        <v>0</v>
      </c>
      <c r="J226" s="10">
        <f>SUMIFS('Cutters Consumption Updates'!$F:$F,'Cutters Consumption Updates'!$D:$D,J$1,'Cutters Consumption Updates'!$B:$B,$B226)-SUMIFS('Cutters Consumption Updates'!$E:$E,'Cutters Consumption Updates'!$D:$D,J$1,'Cutters Consumption Updates'!$B:$B,$B226)+ SUMIF('Cutters Consumption Updates'!$AS:$AS,$B226,'Cutters Consumption Updates'!AU:AU)</f>
        <v>0</v>
      </c>
      <c r="K226" s="116">
        <f>SUMIFS('Cutters Consumption Updates'!$F:$F,'Cutters Consumption Updates'!$D:$D,K$1,'Cutters Consumption Updates'!$B:$B,$B226)-SUMIFS('Cutters Consumption Updates'!$E:$E,'Cutters Consumption Updates'!$D:$D,K$1,'Cutters Consumption Updates'!$B:$B,$B226)+ SUMIF('Cutters Consumption Updates'!$AS:$AS,$B226,'Cutters Consumption Updates'!AV:AV)</f>
        <v>0</v>
      </c>
      <c r="L226" s="738">
        <f>SUMIFS('Cutters Consumption Updates'!$F:$F,'Cutters Consumption Updates'!$D:$D,L$1,'Cutters Consumption Updates'!$B:$B,$B226)-SUMIFS('Cutters Consumption Updates'!$E:$E,'Cutters Consumption Updates'!$D:$D,L$1,'Cutters Consumption Updates'!$B:$B,$B226)+ SUMIF('Cutters Consumption Updates'!$AS:$AS,$B226,'Cutters Consumption Updates'!AW:AW)</f>
        <v>0</v>
      </c>
      <c r="M226" s="116">
        <f>SUMIFS('Cutters Consumption Updates'!$F:$F,'Cutters Consumption Updates'!$D:$D,M$1,'Cutters Consumption Updates'!$B:$B,$B226)-SUMIFS('Cutters Consumption Updates'!$E:$E,'Cutters Consumption Updates'!$D:$D,$M$1,'Cutters Consumption Updates'!$B:$B,$B226)+SUMIFS('Cutters Consumption Updates'!$F:$F,'Cutters Consumption Updates'!$D:$D,"Retrofit",'Cutters Consumption Updates'!$B:$B,$B226)-SUMIFS('Cutters Consumption Updates'!$E:$E,'Cutters Consumption Updates'!$D:$D,"Retrofit",'Cutters Consumption Updates'!$B:$B,$B226)+ SUMIF('Cutters Consumption Updates'!$AS:$AS,$B226,'Cutters Consumption Updates'!AX:AX)</f>
        <v>502</v>
      </c>
      <c r="N226" s="10">
        <f t="shared" si="36"/>
        <v>502</v>
      </c>
      <c r="O226" s="701">
        <f ca="1">SUMIFS('Cutters Consumption Updates'!E:E,
        'Cutters Consumption Updates'!B:B, B226,
        'Cutters Consumption Updates'!A:A, "&gt;" &amp; TODAY()-182)</f>
        <v>422</v>
      </c>
      <c r="P226" s="701">
        <f ca="1">SUMIFS('Cutters Consumption Updates'!E:E,
        'Cutters Consumption Updates'!B:B, B226,
        'Cutters Consumption Updates'!A:A, "&gt;" &amp; TODAY()-91)</f>
        <v>180</v>
      </c>
      <c r="Q226" s="701">
        <f t="shared" ca="1" si="37"/>
        <v>141</v>
      </c>
      <c r="R226" s="703">
        <f t="shared" ca="1" si="38"/>
        <v>150</v>
      </c>
      <c r="S226" s="703" t="s">
        <v>64</v>
      </c>
      <c r="T226" s="24">
        <f>IFERROR(INDEX(Table5[],MATCH($B226,Table5[Component],0),2),0)</f>
        <v>3503</v>
      </c>
      <c r="U226" s="24">
        <f>SUMIFS(Table7[Balance],Table7[Cutter Mat'#],$B226)</f>
        <v>0</v>
      </c>
      <c r="V226" s="24">
        <f t="shared" si="39"/>
        <v>-3001</v>
      </c>
      <c r="W226" s="119"/>
      <c r="X226" s="2"/>
      <c r="Z226" s="4">
        <f>IFERROR(INDEX(Table5[],MATCH($B226,Table5[Component],0),2),0)</f>
        <v>3503</v>
      </c>
      <c r="AA226" s="4">
        <f>IFERROR(INDEX(Table5[],MATCH($B226,Table5[Component],0),1),0)</f>
        <v>1126402</v>
      </c>
      <c r="AB226" s="4">
        <f t="shared" si="40"/>
        <v>1126402</v>
      </c>
      <c r="AC226" s="4" t="str">
        <f t="shared" si="41"/>
        <v/>
      </c>
      <c r="AE226" s="4">
        <f t="shared" si="42"/>
        <v>502</v>
      </c>
      <c r="AJ226" s="248" t="str">
        <f t="shared" si="43"/>
        <v/>
      </c>
      <c r="AK226" s="248" t="str">
        <f t="shared" si="44"/>
        <v/>
      </c>
      <c r="AL226">
        <f t="shared" si="45"/>
        <v>0</v>
      </c>
      <c r="AO226" s="4"/>
      <c r="AP226" s="4"/>
      <c r="AQ226">
        <f t="shared" si="47"/>
        <v>0</v>
      </c>
      <c r="AR226" s="4"/>
      <c r="AS226" s="4">
        <v>1219561</v>
      </c>
      <c r="AT226">
        <f t="shared" si="46"/>
        <v>0</v>
      </c>
    </row>
    <row r="227" spans="1:46" ht="15.65" customHeight="1" x14ac:dyDescent="0.35">
      <c r="A227" s="2">
        <v>230</v>
      </c>
      <c r="B227" s="258">
        <v>1250971</v>
      </c>
      <c r="C227" s="3" t="s">
        <v>172</v>
      </c>
      <c r="D227" s="460">
        <v>1913</v>
      </c>
      <c r="E227" s="292" t="s">
        <v>176</v>
      </c>
      <c r="F227" s="292" t="s">
        <v>109</v>
      </c>
      <c r="G227" s="3"/>
      <c r="H227" s="13" t="s">
        <v>169</v>
      </c>
      <c r="I227" s="10">
        <f>SUMIFS('Cutters Consumption Updates'!$F:$F,'Cutters Consumption Updates'!$D:$D,I$1,'Cutters Consumption Updates'!$B:$B,$B227)-SUMIFS('Cutters Consumption Updates'!$E:$E,'Cutters Consumption Updates'!$D:$D,I$1,'Cutters Consumption Updates'!$B:$B,$B227)+ SUMIF('Cutters Consumption Updates'!$AS:$AS,$B227,'Cutters Consumption Updates'!AT:AT)</f>
        <v>0</v>
      </c>
      <c r="J227" s="10">
        <f>SUMIFS('Cutters Consumption Updates'!$F:$F,'Cutters Consumption Updates'!$D:$D,J$1,'Cutters Consumption Updates'!$B:$B,$B227)-SUMIFS('Cutters Consumption Updates'!$E:$E,'Cutters Consumption Updates'!$D:$D,J$1,'Cutters Consumption Updates'!$B:$B,$B227)+ SUMIF('Cutters Consumption Updates'!$AS:$AS,$B227,'Cutters Consumption Updates'!AU:AU)</f>
        <v>0</v>
      </c>
      <c r="K227" s="116">
        <f>SUMIFS('Cutters Consumption Updates'!$F:$F,'Cutters Consumption Updates'!$D:$D,K$1,'Cutters Consumption Updates'!$B:$B,$B227)-SUMIFS('Cutters Consumption Updates'!$E:$E,'Cutters Consumption Updates'!$D:$D,K$1,'Cutters Consumption Updates'!$B:$B,$B227)+ SUMIF('Cutters Consumption Updates'!$AS:$AS,$B227,'Cutters Consumption Updates'!AV:AV)</f>
        <v>0</v>
      </c>
      <c r="L227" s="738">
        <f>SUMIFS('Cutters Consumption Updates'!$F:$F,'Cutters Consumption Updates'!$D:$D,L$1,'Cutters Consumption Updates'!$B:$B,$B227)-SUMIFS('Cutters Consumption Updates'!$E:$E,'Cutters Consumption Updates'!$D:$D,L$1,'Cutters Consumption Updates'!$B:$B,$B227)+ SUMIF('Cutters Consumption Updates'!$AS:$AS,$B227,'Cutters Consumption Updates'!AW:AW)</f>
        <v>0</v>
      </c>
      <c r="M227" s="116">
        <f>SUMIFS('Cutters Consumption Updates'!$F:$F,'Cutters Consumption Updates'!$D:$D,M$1,'Cutters Consumption Updates'!$B:$B,$B227)-SUMIFS('Cutters Consumption Updates'!$E:$E,'Cutters Consumption Updates'!$D:$D,$M$1,'Cutters Consumption Updates'!$B:$B,$B227)+SUMIFS('Cutters Consumption Updates'!$F:$F,'Cutters Consumption Updates'!$D:$D,"Retrofit",'Cutters Consumption Updates'!$B:$B,$B227)-SUMIFS('Cutters Consumption Updates'!$E:$E,'Cutters Consumption Updates'!$D:$D,"Retrofit",'Cutters Consumption Updates'!$B:$B,$B227)+ SUMIF('Cutters Consumption Updates'!$AS:$AS,$B227,'Cutters Consumption Updates'!AX:AX)</f>
        <v>129</v>
      </c>
      <c r="N227" s="10">
        <f t="shared" si="36"/>
        <v>129</v>
      </c>
      <c r="O227" s="701">
        <f ca="1">SUMIFS('Cutters Consumption Updates'!E:E,
        'Cutters Consumption Updates'!B:B, B227,
        'Cutters Consumption Updates'!A:A, "&gt;" &amp; TODAY()-182)</f>
        <v>0</v>
      </c>
      <c r="P227" s="701">
        <f ca="1">SUMIFS('Cutters Consumption Updates'!E:E,
        'Cutters Consumption Updates'!B:B, B227,
        'Cutters Consumption Updates'!A:A, "&gt;" &amp; TODAY()-91)</f>
        <v>0</v>
      </c>
      <c r="Q227" s="701">
        <f t="shared" ca="1" si="37"/>
        <v>0</v>
      </c>
      <c r="R227" s="703">
        <f t="shared" ca="1" si="38"/>
        <v>0</v>
      </c>
      <c r="S227" s="703" t="s">
        <v>29</v>
      </c>
      <c r="T227" s="24">
        <f>IFERROR(INDEX(Table5[],MATCH($B227,Table5[Component],0),2),0)</f>
        <v>0</v>
      </c>
      <c r="U227" s="24">
        <f>SUMIFS(Table7[Balance],Table7[Cutter Mat'#],$B227)</f>
        <v>0</v>
      </c>
      <c r="V227" s="24">
        <f t="shared" si="39"/>
        <v>129</v>
      </c>
      <c r="W227" s="119"/>
      <c r="X227" s="2"/>
      <c r="Z227" s="4">
        <f>IFERROR(INDEX(Table5[],MATCH($B227,Table5[Component],0),2),0)</f>
        <v>0</v>
      </c>
      <c r="AA227" s="4">
        <f>IFERROR(INDEX(Table5[],MATCH($B227,Table5[Component],0),1),0)</f>
        <v>0</v>
      </c>
      <c r="AB227" s="4" t="str">
        <f t="shared" si="40"/>
        <v/>
      </c>
      <c r="AC227" s="4" t="str">
        <f t="shared" si="41"/>
        <v/>
      </c>
      <c r="AE227" s="4">
        <f t="shared" si="42"/>
        <v>129</v>
      </c>
      <c r="AJ227" s="248" t="str">
        <f t="shared" si="43"/>
        <v/>
      </c>
      <c r="AK227" s="248" t="str">
        <f t="shared" si="44"/>
        <v/>
      </c>
      <c r="AL227">
        <f t="shared" si="45"/>
        <v>0</v>
      </c>
      <c r="AO227" s="4"/>
      <c r="AP227" s="4"/>
      <c r="AQ227">
        <f t="shared" si="47"/>
        <v>0</v>
      </c>
      <c r="AR227" s="4"/>
      <c r="AS227" s="4">
        <v>1219562</v>
      </c>
      <c r="AT227">
        <f t="shared" si="46"/>
        <v>0</v>
      </c>
    </row>
    <row r="228" spans="1:46" ht="15.5" x14ac:dyDescent="0.35">
      <c r="A228" s="2">
        <v>231</v>
      </c>
      <c r="B228" s="258">
        <v>1266910</v>
      </c>
      <c r="C228" s="3" t="s">
        <v>198</v>
      </c>
      <c r="D228" s="460">
        <v>1313</v>
      </c>
      <c r="E228" s="292" t="s">
        <v>199</v>
      </c>
      <c r="F228" s="292" t="s">
        <v>109</v>
      </c>
      <c r="G228" s="3"/>
      <c r="H228" s="13" t="s">
        <v>161</v>
      </c>
      <c r="I228" s="10">
        <f>SUMIFS('Cutters Consumption Updates'!$F:$F,'Cutters Consumption Updates'!$D:$D,I$1,'Cutters Consumption Updates'!$B:$B,$B228)-SUMIFS('Cutters Consumption Updates'!$E:$E,'Cutters Consumption Updates'!$D:$D,I$1,'Cutters Consumption Updates'!$B:$B,$B228)+ SUMIF('Cutters Consumption Updates'!$AS:$AS,$B228,'Cutters Consumption Updates'!AT:AT)</f>
        <v>0</v>
      </c>
      <c r="J228" s="10">
        <f>SUMIFS('Cutters Consumption Updates'!$F:$F,'Cutters Consumption Updates'!$D:$D,J$1,'Cutters Consumption Updates'!$B:$B,$B228)-SUMIFS('Cutters Consumption Updates'!$E:$E,'Cutters Consumption Updates'!$D:$D,J$1,'Cutters Consumption Updates'!$B:$B,$B228)+ SUMIF('Cutters Consumption Updates'!$AS:$AS,$B228,'Cutters Consumption Updates'!AU:AU)</f>
        <v>0</v>
      </c>
      <c r="K228" s="116">
        <f>SUMIFS('Cutters Consumption Updates'!$F:$F,'Cutters Consumption Updates'!$D:$D,K$1,'Cutters Consumption Updates'!$B:$B,$B228)-SUMIFS('Cutters Consumption Updates'!$E:$E,'Cutters Consumption Updates'!$D:$D,K$1,'Cutters Consumption Updates'!$B:$B,$B228)+ SUMIF('Cutters Consumption Updates'!$AS:$AS,$B228,'Cutters Consumption Updates'!AV:AV)</f>
        <v>0</v>
      </c>
      <c r="L228" s="738">
        <f>SUMIFS('Cutters Consumption Updates'!$F:$F,'Cutters Consumption Updates'!$D:$D,L$1,'Cutters Consumption Updates'!$B:$B,$B228)-SUMIFS('Cutters Consumption Updates'!$E:$E,'Cutters Consumption Updates'!$D:$D,L$1,'Cutters Consumption Updates'!$B:$B,$B228)+ SUMIF('Cutters Consumption Updates'!$AS:$AS,$B228,'Cutters Consumption Updates'!AW:AW)</f>
        <v>7</v>
      </c>
      <c r="M228" s="116">
        <f>SUMIFS('Cutters Consumption Updates'!$F:$F,'Cutters Consumption Updates'!$D:$D,M$1,'Cutters Consumption Updates'!$B:$B,$B228)-SUMIFS('Cutters Consumption Updates'!$E:$E,'Cutters Consumption Updates'!$D:$D,$M$1,'Cutters Consumption Updates'!$B:$B,$B228)+SUMIFS('Cutters Consumption Updates'!$F:$F,'Cutters Consumption Updates'!$D:$D,"Retrofit",'Cutters Consumption Updates'!$B:$B,$B228)-SUMIFS('Cutters Consumption Updates'!$E:$E,'Cutters Consumption Updates'!$D:$D,"Retrofit",'Cutters Consumption Updates'!$B:$B,$B228)+ SUMIF('Cutters Consumption Updates'!$AS:$AS,$B228,'Cutters Consumption Updates'!AX:AX)</f>
        <v>14</v>
      </c>
      <c r="N228" s="10">
        <f t="shared" si="36"/>
        <v>14</v>
      </c>
      <c r="O228" s="701">
        <f ca="1">SUMIFS('Cutters Consumption Updates'!E:E,
        'Cutters Consumption Updates'!B:B, B228,
        'Cutters Consumption Updates'!A:A, "&gt;" &amp; TODAY()-182)</f>
        <v>1</v>
      </c>
      <c r="P228" s="701">
        <f ca="1">SUMIFS('Cutters Consumption Updates'!E:E,
        'Cutters Consumption Updates'!B:B, B228,
        'Cutters Consumption Updates'!A:A, "&gt;" &amp; TODAY()-91)</f>
        <v>0</v>
      </c>
      <c r="Q228" s="701">
        <f t="shared" ca="1" si="37"/>
        <v>1</v>
      </c>
      <c r="R228" s="703">
        <f t="shared" ca="1" si="38"/>
        <v>0</v>
      </c>
      <c r="S228" s="703" t="s">
        <v>29</v>
      </c>
      <c r="T228" s="24">
        <f>IFERROR(INDEX(Table5[],MATCH($B228,Table5[Component],0),2),0)</f>
        <v>0</v>
      </c>
      <c r="U228" s="24">
        <f>SUMIFS(Table7[Balance],Table7[Cutter Mat'#],$B228)</f>
        <v>0</v>
      </c>
      <c r="V228" s="24">
        <f t="shared" si="39"/>
        <v>14</v>
      </c>
      <c r="W228" s="119"/>
      <c r="X228" s="2"/>
      <c r="Z228" s="4">
        <f>IFERROR(INDEX(Table5[],MATCH($B228,Table5[Component],0),2),0)</f>
        <v>0</v>
      </c>
      <c r="AA228" s="4">
        <f>IFERROR(INDEX(Table5[],MATCH($B228,Table5[Component],0),1),0)</f>
        <v>0</v>
      </c>
      <c r="AB228" s="4" t="str">
        <f t="shared" si="40"/>
        <v/>
      </c>
      <c r="AC228" s="4" t="str">
        <f t="shared" si="41"/>
        <v/>
      </c>
      <c r="AE228" s="4">
        <f t="shared" si="42"/>
        <v>14</v>
      </c>
      <c r="AJ228" s="248" t="str">
        <f t="shared" si="43"/>
        <v/>
      </c>
      <c r="AK228" s="248" t="str">
        <f t="shared" si="44"/>
        <v/>
      </c>
      <c r="AL228">
        <f t="shared" si="45"/>
        <v>0</v>
      </c>
      <c r="AO228" s="4"/>
      <c r="AP228" s="4"/>
      <c r="AQ228">
        <f t="shared" si="47"/>
        <v>0</v>
      </c>
      <c r="AR228" s="4"/>
      <c r="AS228" s="4">
        <v>1220334</v>
      </c>
      <c r="AT228">
        <f t="shared" si="46"/>
        <v>0</v>
      </c>
    </row>
    <row r="229" spans="1:46" ht="15.5" x14ac:dyDescent="0.35">
      <c r="A229" s="2">
        <v>232</v>
      </c>
      <c r="B229" s="258">
        <v>1255773</v>
      </c>
      <c r="C229" s="3" t="s">
        <v>26</v>
      </c>
      <c r="D229" s="460">
        <v>1613</v>
      </c>
      <c r="E229" s="292" t="s">
        <v>153</v>
      </c>
      <c r="F229" s="292" t="s">
        <v>170</v>
      </c>
      <c r="G229" s="3" t="s">
        <v>183</v>
      </c>
      <c r="H229" s="13" t="s">
        <v>146</v>
      </c>
      <c r="I229" s="10">
        <f>SUMIFS('Cutters Consumption Updates'!$F:$F,'Cutters Consumption Updates'!$D:$D,I$1,'Cutters Consumption Updates'!$B:$B,$B229)-SUMIFS('Cutters Consumption Updates'!$E:$E,'Cutters Consumption Updates'!$D:$D,I$1,'Cutters Consumption Updates'!$B:$B,$B229)+ SUMIF('Cutters Consumption Updates'!$AS:$AS,$B229,'Cutters Consumption Updates'!AT:AT)</f>
        <v>0</v>
      </c>
      <c r="J229" s="10">
        <f>SUMIFS('Cutters Consumption Updates'!$F:$F,'Cutters Consumption Updates'!$D:$D,J$1,'Cutters Consumption Updates'!$B:$B,$B229)-SUMIFS('Cutters Consumption Updates'!$E:$E,'Cutters Consumption Updates'!$D:$D,J$1,'Cutters Consumption Updates'!$B:$B,$B229)+ SUMIF('Cutters Consumption Updates'!$AS:$AS,$B229,'Cutters Consumption Updates'!AU:AU)</f>
        <v>0</v>
      </c>
      <c r="K229" s="116">
        <f>SUMIFS('Cutters Consumption Updates'!$F:$F,'Cutters Consumption Updates'!$D:$D,K$1,'Cutters Consumption Updates'!$B:$B,$B229)-SUMIFS('Cutters Consumption Updates'!$E:$E,'Cutters Consumption Updates'!$D:$D,K$1,'Cutters Consumption Updates'!$B:$B,$B229)+ SUMIF('Cutters Consumption Updates'!$AS:$AS,$B229,'Cutters Consumption Updates'!AV:AV)</f>
        <v>0</v>
      </c>
      <c r="L229" s="738">
        <f>SUMIFS('Cutters Consumption Updates'!$F:$F,'Cutters Consumption Updates'!$D:$D,L$1,'Cutters Consumption Updates'!$B:$B,$B229)-SUMIFS('Cutters Consumption Updates'!$E:$E,'Cutters Consumption Updates'!$D:$D,L$1,'Cutters Consumption Updates'!$B:$B,$B229)+ SUMIF('Cutters Consumption Updates'!$AS:$AS,$B229,'Cutters Consumption Updates'!AW:AW)</f>
        <v>0</v>
      </c>
      <c r="M229" s="116">
        <f>SUMIFS('Cutters Consumption Updates'!$F:$F,'Cutters Consumption Updates'!$D:$D,M$1,'Cutters Consumption Updates'!$B:$B,$B229)-SUMIFS('Cutters Consumption Updates'!$E:$E,'Cutters Consumption Updates'!$D:$D,$M$1,'Cutters Consumption Updates'!$B:$B,$B229)+SUMIFS('Cutters Consumption Updates'!$F:$F,'Cutters Consumption Updates'!$D:$D,"Retrofit",'Cutters Consumption Updates'!$B:$B,$B229)-SUMIFS('Cutters Consumption Updates'!$E:$E,'Cutters Consumption Updates'!$D:$D,"Retrofit",'Cutters Consumption Updates'!$B:$B,$B229)+ SUMIF('Cutters Consumption Updates'!$AS:$AS,$B229,'Cutters Consumption Updates'!AX:AX)</f>
        <v>0</v>
      </c>
      <c r="N229" s="10">
        <f t="shared" si="36"/>
        <v>0</v>
      </c>
      <c r="O229" s="701">
        <f ca="1">SUMIFS('Cutters Consumption Updates'!E:E,
        'Cutters Consumption Updates'!B:B, B229,
        'Cutters Consumption Updates'!A:A, "&gt;" &amp; TODAY()-182)</f>
        <v>6</v>
      </c>
      <c r="P229" s="701">
        <f ca="1">SUMIFS('Cutters Consumption Updates'!E:E,
        'Cutters Consumption Updates'!B:B, B229,
        'Cutters Consumption Updates'!A:A, "&gt;" &amp; TODAY()-91)</f>
        <v>0</v>
      </c>
      <c r="Q229" s="701">
        <f t="shared" ca="1" si="37"/>
        <v>2</v>
      </c>
      <c r="R229" s="703">
        <f t="shared" ca="1" si="38"/>
        <v>5</v>
      </c>
      <c r="S229" s="703" t="s">
        <v>187</v>
      </c>
      <c r="T229" s="24">
        <f>IFERROR(INDEX(Table5[],MATCH($B229,Table5[Component],0),2),0)</f>
        <v>0</v>
      </c>
      <c r="U229" s="24">
        <f>SUMIFS(Table7[Balance],Table7[Cutter Mat'#],$B229)</f>
        <v>0</v>
      </c>
      <c r="V229" s="24">
        <f t="shared" si="39"/>
        <v>0</v>
      </c>
      <c r="W229" s="119"/>
      <c r="X229" s="2"/>
      <c r="Z229" s="4">
        <f>IFERROR(INDEX(Table5[],MATCH($B229,Table5[Component],0),2),0)</f>
        <v>0</v>
      </c>
      <c r="AA229" s="4">
        <f>IFERROR(INDEX(Table5[],MATCH($B229,Table5[Component],0),1),0)</f>
        <v>0</v>
      </c>
      <c r="AB229" s="4" t="str">
        <f t="shared" si="40"/>
        <v/>
      </c>
      <c r="AC229" s="4" t="str">
        <f t="shared" si="41"/>
        <v/>
      </c>
      <c r="AE229" s="4">
        <f t="shared" si="42"/>
        <v>0</v>
      </c>
      <c r="AJ229" s="248" t="str">
        <f t="shared" si="43"/>
        <v/>
      </c>
      <c r="AK229" s="248" t="str">
        <f t="shared" si="44"/>
        <v/>
      </c>
      <c r="AL229">
        <f t="shared" si="45"/>
        <v>0</v>
      </c>
      <c r="AO229" s="4"/>
      <c r="AP229" s="4"/>
      <c r="AQ229">
        <f t="shared" si="47"/>
        <v>0</v>
      </c>
      <c r="AR229" s="4"/>
      <c r="AS229" s="4">
        <v>1220479</v>
      </c>
      <c r="AT229">
        <f t="shared" si="46"/>
        <v>0</v>
      </c>
    </row>
    <row r="230" spans="1:46" ht="17.5" customHeight="1" x14ac:dyDescent="0.35">
      <c r="A230" s="2">
        <v>233</v>
      </c>
      <c r="B230" s="258">
        <v>653400</v>
      </c>
      <c r="C230" s="3" t="s">
        <v>81</v>
      </c>
      <c r="D230" s="460" t="s">
        <v>38</v>
      </c>
      <c r="E230" s="292" t="s">
        <v>200</v>
      </c>
      <c r="F230" s="292" t="s">
        <v>103</v>
      </c>
      <c r="G230" s="3" t="s">
        <v>4115</v>
      </c>
      <c r="H230" s="13" t="s">
        <v>36</v>
      </c>
      <c r="I230" s="10">
        <f>SUMIFS('Cutters Consumption Updates'!$F:$F,'Cutters Consumption Updates'!$D:$D,I$1,'Cutters Consumption Updates'!$B:$B,$B230)-SUMIFS('Cutters Consumption Updates'!$E:$E,'Cutters Consumption Updates'!$D:$D,I$1,'Cutters Consumption Updates'!$B:$B,$B230)+ SUMIF('Cutters Consumption Updates'!$AS:$AS,$B230,'Cutters Consumption Updates'!AT:AT)</f>
        <v>0</v>
      </c>
      <c r="J230" s="10">
        <f>SUMIFS('Cutters Consumption Updates'!$F:$F,'Cutters Consumption Updates'!$D:$D,J$1,'Cutters Consumption Updates'!$B:$B,$B230)-SUMIFS('Cutters Consumption Updates'!$E:$E,'Cutters Consumption Updates'!$D:$D,J$1,'Cutters Consumption Updates'!$B:$B,$B230)+ SUMIF('Cutters Consumption Updates'!$AS:$AS,$B230,'Cutters Consumption Updates'!AU:AU)</f>
        <v>0</v>
      </c>
      <c r="K230" s="116">
        <f>SUMIFS('Cutters Consumption Updates'!$F:$F,'Cutters Consumption Updates'!$D:$D,K$1,'Cutters Consumption Updates'!$B:$B,$B230)-SUMIFS('Cutters Consumption Updates'!$E:$E,'Cutters Consumption Updates'!$D:$D,K$1,'Cutters Consumption Updates'!$B:$B,$B230)+ SUMIF('Cutters Consumption Updates'!$AS:$AS,$B230,'Cutters Consumption Updates'!AV:AV)</f>
        <v>0</v>
      </c>
      <c r="L230" s="738">
        <f>SUMIFS('Cutters Consumption Updates'!$F:$F,'Cutters Consumption Updates'!$D:$D,L$1,'Cutters Consumption Updates'!$B:$B,$B230)-SUMIFS('Cutters Consumption Updates'!$E:$E,'Cutters Consumption Updates'!$D:$D,L$1,'Cutters Consumption Updates'!$B:$B,$B230)+ SUMIF('Cutters Consumption Updates'!$AS:$AS,$B230,'Cutters Consumption Updates'!AW:AW)</f>
        <v>0</v>
      </c>
      <c r="M230" s="116">
        <f>SUMIFS('Cutters Consumption Updates'!$F:$F,'Cutters Consumption Updates'!$D:$D,M$1,'Cutters Consumption Updates'!$B:$B,$B230)-SUMIFS('Cutters Consumption Updates'!$E:$E,'Cutters Consumption Updates'!$D:$D,$M$1,'Cutters Consumption Updates'!$B:$B,$B230)+SUMIFS('Cutters Consumption Updates'!$F:$F,'Cutters Consumption Updates'!$D:$D,"Retrofit",'Cutters Consumption Updates'!$B:$B,$B230)-SUMIFS('Cutters Consumption Updates'!$E:$E,'Cutters Consumption Updates'!$D:$D,"Retrofit",'Cutters Consumption Updates'!$B:$B,$B230)+ SUMIF('Cutters Consumption Updates'!$AS:$AS,$B230,'Cutters Consumption Updates'!AX:AX)</f>
        <v>25</v>
      </c>
      <c r="N230" s="10">
        <f t="shared" si="36"/>
        <v>25</v>
      </c>
      <c r="O230" s="701">
        <f ca="1">SUMIFS('Cutters Consumption Updates'!E:E,
        'Cutters Consumption Updates'!B:B, B230,
        'Cutters Consumption Updates'!A:A, "&gt;" &amp; TODAY()-182)</f>
        <v>37</v>
      </c>
      <c r="P230" s="701">
        <f ca="1">SUMIFS('Cutters Consumption Updates'!E:E,
        'Cutters Consumption Updates'!B:B, B230,
        'Cutters Consumption Updates'!A:A, "&gt;" &amp; TODAY()-91)</f>
        <v>10</v>
      </c>
      <c r="Q230" s="701">
        <f t="shared" ca="1" si="37"/>
        <v>13</v>
      </c>
      <c r="R230" s="703">
        <f t="shared" ca="1" si="38"/>
        <v>15</v>
      </c>
      <c r="S230" s="703" t="s">
        <v>29</v>
      </c>
      <c r="T230" s="24">
        <f>IFERROR(INDEX(Table5[],MATCH($B230,Table5[Component],0),2),0)</f>
        <v>72</v>
      </c>
      <c r="U230" s="24">
        <f>SUMIFS(Table7[Balance],Table7[Cutter Mat'#],$B230)</f>
        <v>25</v>
      </c>
      <c r="V230" s="24">
        <f t="shared" si="39"/>
        <v>-22</v>
      </c>
      <c r="W230" s="119"/>
      <c r="X230" s="2"/>
      <c r="Z230" s="4">
        <f>IFERROR(INDEX(Table5[],MATCH($B230,Table5[Component],0),2),0)</f>
        <v>72</v>
      </c>
      <c r="AA230" s="4">
        <f>IFERROR(INDEX(Table5[],MATCH($B230,Table5[Component],0),1),0)</f>
        <v>653400</v>
      </c>
      <c r="AB230" s="4">
        <f t="shared" si="40"/>
        <v>653400</v>
      </c>
      <c r="AC230" s="4" t="str">
        <f t="shared" si="41"/>
        <v/>
      </c>
      <c r="AE230" s="4">
        <f t="shared" si="42"/>
        <v>25</v>
      </c>
      <c r="AJ230" s="248" t="str">
        <f t="shared" si="43"/>
        <v/>
      </c>
      <c r="AK230" s="248" t="str">
        <f t="shared" si="44"/>
        <v/>
      </c>
      <c r="AL230">
        <f t="shared" si="45"/>
        <v>0</v>
      </c>
      <c r="AO230" s="4"/>
      <c r="AP230" s="4"/>
      <c r="AQ230">
        <f t="shared" si="47"/>
        <v>25</v>
      </c>
      <c r="AR230" s="4"/>
      <c r="AS230" s="4">
        <v>1220554</v>
      </c>
      <c r="AT230">
        <f t="shared" si="46"/>
        <v>200</v>
      </c>
    </row>
    <row r="231" spans="1:46" ht="14.5" customHeight="1" x14ac:dyDescent="0.35">
      <c r="A231" s="2">
        <v>234</v>
      </c>
      <c r="B231" s="258">
        <v>1201518</v>
      </c>
      <c r="C231" s="3" t="s">
        <v>81</v>
      </c>
      <c r="D231" s="460" t="s">
        <v>201</v>
      </c>
      <c r="E231" s="292" t="s">
        <v>200</v>
      </c>
      <c r="F231" s="292" t="s">
        <v>103</v>
      </c>
      <c r="G231" s="3" t="s">
        <v>4115</v>
      </c>
      <c r="H231" s="13" t="s">
        <v>36</v>
      </c>
      <c r="I231" s="10">
        <f>SUMIFS('Cutters Consumption Updates'!$F:$F,'Cutters Consumption Updates'!$D:$D,I$1,'Cutters Consumption Updates'!$B:$B,$B231)-SUMIFS('Cutters Consumption Updates'!$E:$E,'Cutters Consumption Updates'!$D:$D,I$1,'Cutters Consumption Updates'!$B:$B,$B231)+ SUMIF('Cutters Consumption Updates'!$AS:$AS,$B231,'Cutters Consumption Updates'!AT:AT)</f>
        <v>0</v>
      </c>
      <c r="J231" s="10">
        <f>SUMIFS('Cutters Consumption Updates'!$F:$F,'Cutters Consumption Updates'!$D:$D,J$1,'Cutters Consumption Updates'!$B:$B,$B231)-SUMIFS('Cutters Consumption Updates'!$E:$E,'Cutters Consumption Updates'!$D:$D,J$1,'Cutters Consumption Updates'!$B:$B,$B231)+ SUMIF('Cutters Consumption Updates'!$AS:$AS,$B231,'Cutters Consumption Updates'!AU:AU)</f>
        <v>0</v>
      </c>
      <c r="K231" s="116">
        <f>SUMIFS('Cutters Consumption Updates'!$F:$F,'Cutters Consumption Updates'!$D:$D,K$1,'Cutters Consumption Updates'!$B:$B,$B231)-SUMIFS('Cutters Consumption Updates'!$E:$E,'Cutters Consumption Updates'!$D:$D,K$1,'Cutters Consumption Updates'!$B:$B,$B231)+ SUMIF('Cutters Consumption Updates'!$AS:$AS,$B231,'Cutters Consumption Updates'!AV:AV)</f>
        <v>0</v>
      </c>
      <c r="L231" s="738">
        <f>SUMIFS('Cutters Consumption Updates'!$F:$F,'Cutters Consumption Updates'!$D:$D,L$1,'Cutters Consumption Updates'!$B:$B,$B231)-SUMIFS('Cutters Consumption Updates'!$E:$E,'Cutters Consumption Updates'!$D:$D,L$1,'Cutters Consumption Updates'!$B:$B,$B231)+ SUMIF('Cutters Consumption Updates'!$AS:$AS,$B231,'Cutters Consumption Updates'!AW:AW)</f>
        <v>0</v>
      </c>
      <c r="M231" s="116">
        <f>SUMIFS('Cutters Consumption Updates'!$F:$F,'Cutters Consumption Updates'!$D:$D,M$1,'Cutters Consumption Updates'!$B:$B,$B231)-SUMIFS('Cutters Consumption Updates'!$E:$E,'Cutters Consumption Updates'!$D:$D,$M$1,'Cutters Consumption Updates'!$B:$B,$B231)+SUMIFS('Cutters Consumption Updates'!$F:$F,'Cutters Consumption Updates'!$D:$D,"Retrofit",'Cutters Consumption Updates'!$B:$B,$B231)-SUMIFS('Cutters Consumption Updates'!$E:$E,'Cutters Consumption Updates'!$D:$D,"Retrofit",'Cutters Consumption Updates'!$B:$B,$B231)+ SUMIF('Cutters Consumption Updates'!$AS:$AS,$B231,'Cutters Consumption Updates'!AX:AX)</f>
        <v>-84</v>
      </c>
      <c r="N231" s="10">
        <f t="shared" si="36"/>
        <v>-84</v>
      </c>
      <c r="O231" s="701">
        <f ca="1">SUMIFS('Cutters Consumption Updates'!E:E,
        'Cutters Consumption Updates'!B:B, B231,
        'Cutters Consumption Updates'!A:A, "&gt;" &amp; TODAY()-182)</f>
        <v>145</v>
      </c>
      <c r="P231" s="701">
        <f ca="1">SUMIFS('Cutters Consumption Updates'!E:E,
        'Cutters Consumption Updates'!B:B, B231,
        'Cutters Consumption Updates'!A:A, "&gt;" &amp; TODAY()-91)</f>
        <v>121</v>
      </c>
      <c r="Q231" s="701">
        <f t="shared" ca="1" si="37"/>
        <v>49</v>
      </c>
      <c r="R231" s="703">
        <f t="shared" ca="1" si="38"/>
        <v>55</v>
      </c>
      <c r="S231" s="703" t="s">
        <v>29</v>
      </c>
      <c r="T231" s="24">
        <f>IFERROR(INDEX(Table5[],MATCH($B231,Table5[Component],0),2),0)</f>
        <v>30</v>
      </c>
      <c r="U231" s="24">
        <f>SUMIFS(Table7[Balance],Table7[Cutter Mat'#],$B231)</f>
        <v>100</v>
      </c>
      <c r="V231" s="24">
        <f t="shared" si="39"/>
        <v>-14</v>
      </c>
      <c r="W231" s="119"/>
      <c r="X231" s="2"/>
      <c r="Z231" s="4">
        <f>IFERROR(INDEX(Table5[],MATCH($B231,Table5[Component],0),2),0)</f>
        <v>30</v>
      </c>
      <c r="AA231" s="4">
        <f>IFERROR(INDEX(Table5[],MATCH($B231,Table5[Component],0),1),0)</f>
        <v>1201518</v>
      </c>
      <c r="AB231" s="4">
        <f t="shared" si="40"/>
        <v>1201518</v>
      </c>
      <c r="AC231" s="4" t="str">
        <f t="shared" si="41"/>
        <v/>
      </c>
      <c r="AE231" s="4">
        <f t="shared" si="42"/>
        <v>-84</v>
      </c>
      <c r="AJ231" s="248" t="str">
        <f t="shared" si="43"/>
        <v/>
      </c>
      <c r="AK231" s="248" t="str">
        <f t="shared" si="44"/>
        <v/>
      </c>
      <c r="AL231">
        <f t="shared" si="45"/>
        <v>0</v>
      </c>
      <c r="AO231" s="4"/>
      <c r="AP231" s="4"/>
      <c r="AQ231">
        <f t="shared" si="47"/>
        <v>100</v>
      </c>
      <c r="AR231" s="4"/>
      <c r="AS231" s="4">
        <v>1220688</v>
      </c>
      <c r="AT231">
        <f t="shared" si="46"/>
        <v>0</v>
      </c>
    </row>
    <row r="232" spans="1:46" ht="15.5" x14ac:dyDescent="0.35">
      <c r="A232" s="2">
        <v>236</v>
      </c>
      <c r="B232" s="258">
        <v>1261615</v>
      </c>
      <c r="C232" s="3" t="s">
        <v>172</v>
      </c>
      <c r="D232" s="460">
        <v>1613</v>
      </c>
      <c r="E232" s="292" t="s">
        <v>202</v>
      </c>
      <c r="F232" s="292" t="s">
        <v>109</v>
      </c>
      <c r="G232" s="3"/>
      <c r="H232" s="13" t="s">
        <v>169</v>
      </c>
      <c r="I232" s="10">
        <f>SUMIFS('Cutters Consumption Updates'!$F:$F,'Cutters Consumption Updates'!$D:$D,I$1,'Cutters Consumption Updates'!$B:$B,$B232)-SUMIFS('Cutters Consumption Updates'!$E:$E,'Cutters Consumption Updates'!$D:$D,I$1,'Cutters Consumption Updates'!$B:$B,$B232)+ SUMIF('Cutters Consumption Updates'!$AS:$AS,$B232,'Cutters Consumption Updates'!AT:AT)</f>
        <v>0</v>
      </c>
      <c r="J232" s="10">
        <f>SUMIFS('Cutters Consumption Updates'!$F:$F,'Cutters Consumption Updates'!$D:$D,J$1,'Cutters Consumption Updates'!$B:$B,$B232)-SUMIFS('Cutters Consumption Updates'!$E:$E,'Cutters Consumption Updates'!$D:$D,J$1,'Cutters Consumption Updates'!$B:$B,$B232)+ SUMIF('Cutters Consumption Updates'!$AS:$AS,$B232,'Cutters Consumption Updates'!AU:AU)</f>
        <v>0</v>
      </c>
      <c r="K232" s="116">
        <f>SUMIFS('Cutters Consumption Updates'!$F:$F,'Cutters Consumption Updates'!$D:$D,K$1,'Cutters Consumption Updates'!$B:$B,$B232)-SUMIFS('Cutters Consumption Updates'!$E:$E,'Cutters Consumption Updates'!$D:$D,K$1,'Cutters Consumption Updates'!$B:$B,$B232)+ SUMIF('Cutters Consumption Updates'!$AS:$AS,$B232,'Cutters Consumption Updates'!AV:AV)</f>
        <v>0</v>
      </c>
      <c r="L232" s="738">
        <f>SUMIFS('Cutters Consumption Updates'!$F:$F,'Cutters Consumption Updates'!$D:$D,L$1,'Cutters Consumption Updates'!$B:$B,$B232)-SUMIFS('Cutters Consumption Updates'!$E:$E,'Cutters Consumption Updates'!$D:$D,L$1,'Cutters Consumption Updates'!$B:$B,$B232)+ SUMIF('Cutters Consumption Updates'!$AS:$AS,$B232,'Cutters Consumption Updates'!AW:AW)</f>
        <v>0</v>
      </c>
      <c r="M232" s="116">
        <f>SUMIFS('Cutters Consumption Updates'!$F:$F,'Cutters Consumption Updates'!$D:$D,M$1,'Cutters Consumption Updates'!$B:$B,$B232)-SUMIFS('Cutters Consumption Updates'!$E:$E,'Cutters Consumption Updates'!$D:$D,$M$1,'Cutters Consumption Updates'!$B:$B,$B232)+SUMIFS('Cutters Consumption Updates'!$F:$F,'Cutters Consumption Updates'!$D:$D,"Retrofit",'Cutters Consumption Updates'!$B:$B,$B232)-SUMIFS('Cutters Consumption Updates'!$E:$E,'Cutters Consumption Updates'!$D:$D,"Retrofit",'Cutters Consumption Updates'!$B:$B,$B232)+ SUMIF('Cutters Consumption Updates'!$AS:$AS,$B232,'Cutters Consumption Updates'!AX:AX)</f>
        <v>38</v>
      </c>
      <c r="N232" s="10">
        <f t="shared" si="36"/>
        <v>38</v>
      </c>
      <c r="O232" s="701">
        <f ca="1">SUMIFS('Cutters Consumption Updates'!E:E,
        'Cutters Consumption Updates'!B:B, B232,
        'Cutters Consumption Updates'!A:A, "&gt;" &amp; TODAY()-182)</f>
        <v>0</v>
      </c>
      <c r="P232" s="701">
        <f ca="1">SUMIFS('Cutters Consumption Updates'!E:E,
        'Cutters Consumption Updates'!B:B, B232,
        'Cutters Consumption Updates'!A:A, "&gt;" &amp; TODAY()-91)</f>
        <v>0</v>
      </c>
      <c r="Q232" s="701">
        <f t="shared" ca="1" si="37"/>
        <v>0</v>
      </c>
      <c r="R232" s="703">
        <f t="shared" ca="1" si="38"/>
        <v>0</v>
      </c>
      <c r="S232" s="703" t="s">
        <v>29</v>
      </c>
      <c r="T232" s="24">
        <f>IFERROR(INDEX(Table5[],MATCH($B232,Table5[Component],0),2),0)</f>
        <v>0</v>
      </c>
      <c r="U232" s="24">
        <f>SUMIFS(Table7[Balance],Table7[Cutter Mat'#],$B232)</f>
        <v>0</v>
      </c>
      <c r="V232" s="24">
        <f t="shared" si="39"/>
        <v>38</v>
      </c>
      <c r="W232" s="119"/>
      <c r="X232" s="2"/>
      <c r="Z232" s="4">
        <f>IFERROR(INDEX(Table5[],MATCH($B232,Table5[Component],0),2),0)</f>
        <v>0</v>
      </c>
      <c r="AA232" s="4">
        <f>IFERROR(INDEX(Table5[],MATCH($B232,Table5[Component],0),1),0)</f>
        <v>0</v>
      </c>
      <c r="AB232" s="4" t="str">
        <f t="shared" si="40"/>
        <v/>
      </c>
      <c r="AC232" s="4" t="str">
        <f t="shared" si="41"/>
        <v/>
      </c>
      <c r="AE232" s="4">
        <f t="shared" si="42"/>
        <v>38</v>
      </c>
      <c r="AJ232" s="248" t="str">
        <f t="shared" si="43"/>
        <v/>
      </c>
      <c r="AK232" s="248" t="str">
        <f t="shared" si="44"/>
        <v/>
      </c>
      <c r="AL232">
        <f t="shared" si="45"/>
        <v>0</v>
      </c>
      <c r="AO232" s="4"/>
      <c r="AP232" s="4"/>
      <c r="AQ232">
        <f t="shared" si="47"/>
        <v>0</v>
      </c>
      <c r="AR232" s="4"/>
      <c r="AS232" s="4">
        <v>1223172</v>
      </c>
      <c r="AT232">
        <f t="shared" si="46"/>
        <v>0</v>
      </c>
    </row>
    <row r="233" spans="1:46" ht="15.5" x14ac:dyDescent="0.35">
      <c r="A233" s="2">
        <v>237</v>
      </c>
      <c r="B233" s="258">
        <v>1100739</v>
      </c>
      <c r="C233" s="3" t="s">
        <v>26</v>
      </c>
      <c r="D233" s="460">
        <v>1608</v>
      </c>
      <c r="E233" s="292" t="s">
        <v>111</v>
      </c>
      <c r="F233" s="292" t="s">
        <v>253</v>
      </c>
      <c r="G233" s="3"/>
      <c r="H233" s="13" t="s">
        <v>49</v>
      </c>
      <c r="I233" s="10">
        <f>SUMIFS('Cutters Consumption Updates'!$F:$F,'Cutters Consumption Updates'!$D:$D,I$1,'Cutters Consumption Updates'!$B:$B,$B233)-SUMIFS('Cutters Consumption Updates'!$E:$E,'Cutters Consumption Updates'!$D:$D,I$1,'Cutters Consumption Updates'!$B:$B,$B233)+ SUMIF('Cutters Consumption Updates'!$AS:$AS,$B233,'Cutters Consumption Updates'!AT:AT)</f>
        <v>0</v>
      </c>
      <c r="J233" s="10">
        <f>SUMIFS('Cutters Consumption Updates'!$F:$F,'Cutters Consumption Updates'!$D:$D,J$1,'Cutters Consumption Updates'!$B:$B,$B233)-SUMIFS('Cutters Consumption Updates'!$E:$E,'Cutters Consumption Updates'!$D:$D,J$1,'Cutters Consumption Updates'!$B:$B,$B233)+ SUMIF('Cutters Consumption Updates'!$AS:$AS,$B233,'Cutters Consumption Updates'!AU:AU)</f>
        <v>0</v>
      </c>
      <c r="K233" s="116">
        <f>SUMIFS('Cutters Consumption Updates'!$F:$F,'Cutters Consumption Updates'!$D:$D,K$1,'Cutters Consumption Updates'!$B:$B,$B233)-SUMIFS('Cutters Consumption Updates'!$E:$E,'Cutters Consumption Updates'!$D:$D,K$1,'Cutters Consumption Updates'!$B:$B,$B233)+ SUMIF('Cutters Consumption Updates'!$AS:$AS,$B233,'Cutters Consumption Updates'!AV:AV)</f>
        <v>0</v>
      </c>
      <c r="L233" s="738">
        <f>SUMIFS('Cutters Consumption Updates'!$F:$F,'Cutters Consumption Updates'!$D:$D,L$1,'Cutters Consumption Updates'!$B:$B,$B233)-SUMIFS('Cutters Consumption Updates'!$E:$E,'Cutters Consumption Updates'!$D:$D,L$1,'Cutters Consumption Updates'!$B:$B,$B233)+ SUMIF('Cutters Consumption Updates'!$AS:$AS,$B233,'Cutters Consumption Updates'!AW:AW)</f>
        <v>0</v>
      </c>
      <c r="M233" s="116">
        <f>SUMIFS('Cutters Consumption Updates'!$F:$F,'Cutters Consumption Updates'!$D:$D,M$1,'Cutters Consumption Updates'!$B:$B,$B233)-SUMIFS('Cutters Consumption Updates'!$E:$E,'Cutters Consumption Updates'!$D:$D,$M$1,'Cutters Consumption Updates'!$B:$B,$B233)+SUMIFS('Cutters Consumption Updates'!$F:$F,'Cutters Consumption Updates'!$D:$D,"Retrofit",'Cutters Consumption Updates'!$B:$B,$B233)-SUMIFS('Cutters Consumption Updates'!$E:$E,'Cutters Consumption Updates'!$D:$D,"Retrofit",'Cutters Consumption Updates'!$B:$B,$B233)+ SUMIF('Cutters Consumption Updates'!$AS:$AS,$B233,'Cutters Consumption Updates'!AX:AX)</f>
        <v>141</v>
      </c>
      <c r="N233" s="10">
        <f t="shared" si="36"/>
        <v>141</v>
      </c>
      <c r="O233" s="701">
        <f ca="1">SUMIFS('Cutters Consumption Updates'!E:E,
        'Cutters Consumption Updates'!B:B, B233,
        'Cutters Consumption Updates'!A:A, "&gt;" &amp; TODAY()-182)</f>
        <v>29</v>
      </c>
      <c r="P233" s="701">
        <f ca="1">SUMIFS('Cutters Consumption Updates'!E:E,
        'Cutters Consumption Updates'!B:B, B233,
        'Cutters Consumption Updates'!A:A, "&gt;" &amp; TODAY()-91)</f>
        <v>6</v>
      </c>
      <c r="Q233" s="701">
        <f t="shared" ca="1" si="37"/>
        <v>10</v>
      </c>
      <c r="R233" s="703">
        <f t="shared" ca="1" si="38"/>
        <v>15</v>
      </c>
      <c r="S233" s="703" t="s">
        <v>29</v>
      </c>
      <c r="T233" s="24">
        <f>IFERROR(INDEX(Table5[],MATCH($B233,Table5[Component],0),2),0)</f>
        <v>114</v>
      </c>
      <c r="U233" s="24">
        <f>SUMIFS(Table7[Balance],Table7[Cutter Mat'#],$B233)</f>
        <v>0</v>
      </c>
      <c r="V233" s="24">
        <f t="shared" si="39"/>
        <v>27</v>
      </c>
      <c r="W233" s="119"/>
      <c r="X233" s="2"/>
      <c r="Z233" s="4">
        <f>IFERROR(INDEX(Table5[],MATCH($B233,Table5[Component],0),2),0)</f>
        <v>114</v>
      </c>
      <c r="AA233" s="4">
        <f>IFERROR(INDEX(Table5[],MATCH($B233,Table5[Component],0),1),0)</f>
        <v>1100739</v>
      </c>
      <c r="AB233" s="4">
        <f t="shared" si="40"/>
        <v>1100739</v>
      </c>
      <c r="AC233" s="4" t="str">
        <f t="shared" si="41"/>
        <v/>
      </c>
      <c r="AE233" s="4">
        <f t="shared" si="42"/>
        <v>141</v>
      </c>
      <c r="AJ233" s="248" t="str">
        <f t="shared" si="43"/>
        <v/>
      </c>
      <c r="AK233" s="248" t="str">
        <f t="shared" si="44"/>
        <v/>
      </c>
      <c r="AL233">
        <f t="shared" si="45"/>
        <v>0</v>
      </c>
      <c r="AO233" s="4"/>
      <c r="AP233" s="4"/>
      <c r="AQ233">
        <f t="shared" si="47"/>
        <v>0</v>
      </c>
      <c r="AR233" s="4"/>
      <c r="AS233" s="4">
        <v>1226868</v>
      </c>
      <c r="AT233">
        <f t="shared" si="46"/>
        <v>0</v>
      </c>
    </row>
    <row r="234" spans="1:46" ht="17.5" customHeight="1" x14ac:dyDescent="0.35">
      <c r="A234" s="2">
        <v>238</v>
      </c>
      <c r="B234" s="258">
        <v>1180935</v>
      </c>
      <c r="C234" s="3" t="s">
        <v>203</v>
      </c>
      <c r="D234" s="460">
        <v>1313</v>
      </c>
      <c r="E234" s="292" t="s">
        <v>204</v>
      </c>
      <c r="F234" s="292" t="s">
        <v>103</v>
      </c>
      <c r="G234" s="3"/>
      <c r="H234" s="13" t="s">
        <v>36</v>
      </c>
      <c r="I234" s="10">
        <f>SUMIFS('Cutters Consumption Updates'!$F:$F,'Cutters Consumption Updates'!$D:$D,I$1,'Cutters Consumption Updates'!$B:$B,$B234)-SUMIFS('Cutters Consumption Updates'!$E:$E,'Cutters Consumption Updates'!$D:$D,I$1,'Cutters Consumption Updates'!$B:$B,$B234)+ SUMIF('Cutters Consumption Updates'!$AS:$AS,$B234,'Cutters Consumption Updates'!AT:AT)</f>
        <v>0</v>
      </c>
      <c r="J234" s="10">
        <f>SUMIFS('Cutters Consumption Updates'!$F:$F,'Cutters Consumption Updates'!$D:$D,J$1,'Cutters Consumption Updates'!$B:$B,$B234)-SUMIFS('Cutters Consumption Updates'!$E:$E,'Cutters Consumption Updates'!$D:$D,J$1,'Cutters Consumption Updates'!$B:$B,$B234)+ SUMIF('Cutters Consumption Updates'!$AS:$AS,$B234,'Cutters Consumption Updates'!AU:AU)</f>
        <v>0</v>
      </c>
      <c r="K234" s="116">
        <f>SUMIFS('Cutters Consumption Updates'!$F:$F,'Cutters Consumption Updates'!$D:$D,K$1,'Cutters Consumption Updates'!$B:$B,$B234)-SUMIFS('Cutters Consumption Updates'!$E:$E,'Cutters Consumption Updates'!$D:$D,K$1,'Cutters Consumption Updates'!$B:$B,$B234)+ SUMIF('Cutters Consumption Updates'!$AS:$AS,$B234,'Cutters Consumption Updates'!AV:AV)</f>
        <v>0</v>
      </c>
      <c r="L234" s="738">
        <f>SUMIFS('Cutters Consumption Updates'!$F:$F,'Cutters Consumption Updates'!$D:$D,L$1,'Cutters Consumption Updates'!$B:$B,$B234)-SUMIFS('Cutters Consumption Updates'!$E:$E,'Cutters Consumption Updates'!$D:$D,L$1,'Cutters Consumption Updates'!$B:$B,$B234)+ SUMIF('Cutters Consumption Updates'!$AS:$AS,$B234,'Cutters Consumption Updates'!AW:AW)</f>
        <v>0</v>
      </c>
      <c r="M234" s="116">
        <f>SUMIFS('Cutters Consumption Updates'!$F:$F,'Cutters Consumption Updates'!$D:$D,M$1,'Cutters Consumption Updates'!$B:$B,$B234)-SUMIFS('Cutters Consumption Updates'!$E:$E,'Cutters Consumption Updates'!$D:$D,$M$1,'Cutters Consumption Updates'!$B:$B,$B234)+SUMIFS('Cutters Consumption Updates'!$F:$F,'Cutters Consumption Updates'!$D:$D,"Retrofit",'Cutters Consumption Updates'!$B:$B,$B234)-SUMIFS('Cutters Consumption Updates'!$E:$E,'Cutters Consumption Updates'!$D:$D,"Retrofit",'Cutters Consumption Updates'!$B:$B,$B234)+ SUMIF('Cutters Consumption Updates'!$AS:$AS,$B234,'Cutters Consumption Updates'!AX:AX)</f>
        <v>0</v>
      </c>
      <c r="N234" s="10">
        <f t="shared" si="36"/>
        <v>0</v>
      </c>
      <c r="O234" s="701">
        <f ca="1">SUMIFS('Cutters Consumption Updates'!E:E,
        'Cutters Consumption Updates'!B:B, B234,
        'Cutters Consumption Updates'!A:A, "&gt;" &amp; TODAY()-182)</f>
        <v>0</v>
      </c>
      <c r="P234" s="701">
        <f ca="1">SUMIFS('Cutters Consumption Updates'!E:E,
        'Cutters Consumption Updates'!B:B, B234,
        'Cutters Consumption Updates'!A:A, "&gt;" &amp; TODAY()-91)</f>
        <v>0</v>
      </c>
      <c r="Q234" s="701">
        <f t="shared" ca="1" si="37"/>
        <v>0</v>
      </c>
      <c r="R234" s="703">
        <f t="shared" ca="1" si="38"/>
        <v>0</v>
      </c>
      <c r="S234" s="703" t="s">
        <v>29</v>
      </c>
      <c r="T234" s="24">
        <f>IFERROR(INDEX(Table5[],MATCH($B234,Table5[Component],0),2),0)</f>
        <v>9</v>
      </c>
      <c r="U234" s="24">
        <f>SUMIFS(Table7[Balance],Table7[Cutter Mat'#],$B234)</f>
        <v>0</v>
      </c>
      <c r="V234" s="24">
        <f t="shared" si="39"/>
        <v>-9</v>
      </c>
      <c r="W234" s="119"/>
      <c r="X234" s="2"/>
      <c r="Z234" s="4">
        <f>IFERROR(INDEX(Table5[],MATCH($B234,Table5[Component],0),2),0)</f>
        <v>9</v>
      </c>
      <c r="AA234" s="4">
        <f>IFERROR(INDEX(Table5[],MATCH($B234,Table5[Component],0),1),0)</f>
        <v>1180935</v>
      </c>
      <c r="AB234" s="4">
        <f t="shared" si="40"/>
        <v>1180935</v>
      </c>
      <c r="AC234" s="4" t="str">
        <f t="shared" si="41"/>
        <v/>
      </c>
      <c r="AE234" s="4">
        <f t="shared" si="42"/>
        <v>0</v>
      </c>
      <c r="AJ234" s="248" t="str">
        <f t="shared" si="43"/>
        <v/>
      </c>
      <c r="AK234" s="248" t="str">
        <f t="shared" si="44"/>
        <v/>
      </c>
      <c r="AL234">
        <f t="shared" si="45"/>
        <v>0</v>
      </c>
      <c r="AO234" s="4"/>
      <c r="AP234" s="4"/>
      <c r="AQ234">
        <f t="shared" si="47"/>
        <v>0</v>
      </c>
      <c r="AR234" s="4"/>
      <c r="AS234" s="4">
        <v>1228501</v>
      </c>
      <c r="AT234">
        <f t="shared" si="46"/>
        <v>200</v>
      </c>
    </row>
    <row r="235" spans="1:46" ht="15.5" x14ac:dyDescent="0.35">
      <c r="A235" s="2">
        <v>239</v>
      </c>
      <c r="B235" s="258">
        <v>1199247</v>
      </c>
      <c r="C235" s="3" t="s">
        <v>26</v>
      </c>
      <c r="D235" s="460">
        <v>1010</v>
      </c>
      <c r="E235" s="292" t="s">
        <v>139</v>
      </c>
      <c r="F235" s="292" t="s">
        <v>248</v>
      </c>
      <c r="G235" s="3"/>
      <c r="H235" s="13" t="s">
        <v>49</v>
      </c>
      <c r="I235" s="10">
        <f>SUMIFS('Cutters Consumption Updates'!$F:$F,'Cutters Consumption Updates'!$D:$D,I$1,'Cutters Consumption Updates'!$B:$B,$B235)-SUMIFS('Cutters Consumption Updates'!$E:$E,'Cutters Consumption Updates'!$D:$D,I$1,'Cutters Consumption Updates'!$B:$B,$B235)+ SUMIF('Cutters Consumption Updates'!$AS:$AS,$B235,'Cutters Consumption Updates'!AT:AT)</f>
        <v>0</v>
      </c>
      <c r="J235" s="10">
        <f>SUMIFS('Cutters Consumption Updates'!$F:$F,'Cutters Consumption Updates'!$D:$D,J$1,'Cutters Consumption Updates'!$B:$B,$B235)-SUMIFS('Cutters Consumption Updates'!$E:$E,'Cutters Consumption Updates'!$D:$D,J$1,'Cutters Consumption Updates'!$B:$B,$B235)+ SUMIF('Cutters Consumption Updates'!$AS:$AS,$B235,'Cutters Consumption Updates'!AU:AU)</f>
        <v>0</v>
      </c>
      <c r="K235" s="116">
        <f>SUMIFS('Cutters Consumption Updates'!$F:$F,'Cutters Consumption Updates'!$D:$D,K$1,'Cutters Consumption Updates'!$B:$B,$B235)-SUMIFS('Cutters Consumption Updates'!$E:$E,'Cutters Consumption Updates'!$D:$D,K$1,'Cutters Consumption Updates'!$B:$B,$B235)+ SUMIF('Cutters Consumption Updates'!$AS:$AS,$B235,'Cutters Consumption Updates'!AV:AV)</f>
        <v>0</v>
      </c>
      <c r="L235" s="738">
        <f>SUMIFS('Cutters Consumption Updates'!$F:$F,'Cutters Consumption Updates'!$D:$D,L$1,'Cutters Consumption Updates'!$B:$B,$B235)-SUMIFS('Cutters Consumption Updates'!$E:$E,'Cutters Consumption Updates'!$D:$D,L$1,'Cutters Consumption Updates'!$B:$B,$B235)+ SUMIF('Cutters Consumption Updates'!$AS:$AS,$B235,'Cutters Consumption Updates'!AW:AW)</f>
        <v>0</v>
      </c>
      <c r="M235" s="116">
        <f>SUMIFS('Cutters Consumption Updates'!$F:$F,'Cutters Consumption Updates'!$D:$D,M$1,'Cutters Consumption Updates'!$B:$B,$B235)-SUMIFS('Cutters Consumption Updates'!$E:$E,'Cutters Consumption Updates'!$D:$D,$M$1,'Cutters Consumption Updates'!$B:$B,$B235)+SUMIFS('Cutters Consumption Updates'!$F:$F,'Cutters Consumption Updates'!$D:$D,"Retrofit",'Cutters Consumption Updates'!$B:$B,$B235)-SUMIFS('Cutters Consumption Updates'!$E:$E,'Cutters Consumption Updates'!$D:$D,"Retrofit",'Cutters Consumption Updates'!$B:$B,$B235)+ SUMIF('Cutters Consumption Updates'!$AS:$AS,$B235,'Cutters Consumption Updates'!AX:AX)</f>
        <v>73</v>
      </c>
      <c r="N235" s="10">
        <f t="shared" si="36"/>
        <v>73</v>
      </c>
      <c r="O235" s="701">
        <f ca="1">SUMIFS('Cutters Consumption Updates'!E:E,
        'Cutters Consumption Updates'!B:B, B235,
        'Cutters Consumption Updates'!A:A, "&gt;" &amp; TODAY()-182)</f>
        <v>37</v>
      </c>
      <c r="P235" s="701">
        <f ca="1">SUMIFS('Cutters Consumption Updates'!E:E,
        'Cutters Consumption Updates'!B:B, B235,
        'Cutters Consumption Updates'!A:A, "&gt;" &amp; TODAY()-91)</f>
        <v>37</v>
      </c>
      <c r="Q235" s="701">
        <f t="shared" ca="1" si="37"/>
        <v>13</v>
      </c>
      <c r="R235" s="703">
        <f t="shared" ca="1" si="38"/>
        <v>15</v>
      </c>
      <c r="S235" s="703" t="s">
        <v>29</v>
      </c>
      <c r="T235" s="24">
        <f>IFERROR(INDEX(Table5[],MATCH($B235,Table5[Component],0),2),0)</f>
        <v>0</v>
      </c>
      <c r="U235" s="24">
        <f>SUMIFS(Table7[Balance],Table7[Cutter Mat'#],$B235)</f>
        <v>0</v>
      </c>
      <c r="V235" s="24">
        <f t="shared" si="39"/>
        <v>73</v>
      </c>
      <c r="W235" s="119"/>
      <c r="X235" s="2"/>
      <c r="Z235" s="4">
        <f>IFERROR(INDEX(Table5[],MATCH($B235,Table5[Component],0),2),0)</f>
        <v>0</v>
      </c>
      <c r="AA235" s="4">
        <f>IFERROR(INDEX(Table5[],MATCH($B235,Table5[Component],0),1),0)</f>
        <v>0</v>
      </c>
      <c r="AB235" s="4" t="str">
        <f t="shared" si="40"/>
        <v/>
      </c>
      <c r="AC235" s="4" t="str">
        <f t="shared" si="41"/>
        <v/>
      </c>
      <c r="AE235" s="4">
        <f t="shared" si="42"/>
        <v>73</v>
      </c>
      <c r="AJ235" s="248" t="str">
        <f t="shared" si="43"/>
        <v/>
      </c>
      <c r="AK235" s="248" t="str">
        <f t="shared" si="44"/>
        <v/>
      </c>
      <c r="AL235">
        <f t="shared" si="45"/>
        <v>0</v>
      </c>
      <c r="AO235" s="4"/>
      <c r="AP235" s="4"/>
      <c r="AQ235">
        <f t="shared" si="47"/>
        <v>0</v>
      </c>
      <c r="AR235" s="4"/>
      <c r="AS235" s="4">
        <v>1228502</v>
      </c>
      <c r="AT235">
        <f t="shared" si="46"/>
        <v>200</v>
      </c>
    </row>
    <row r="236" spans="1:46" ht="15.5" x14ac:dyDescent="0.35">
      <c r="A236" s="2">
        <v>240</v>
      </c>
      <c r="B236" s="258">
        <v>1187118</v>
      </c>
      <c r="C236" s="3" t="s">
        <v>122</v>
      </c>
      <c r="D236" s="460">
        <v>1613</v>
      </c>
      <c r="E236" s="292" t="s">
        <v>205</v>
      </c>
      <c r="F236" s="292" t="s">
        <v>253</v>
      </c>
      <c r="G236" s="3" t="s">
        <v>206</v>
      </c>
      <c r="H236" s="13" t="s">
        <v>49</v>
      </c>
      <c r="I236" s="10">
        <f>SUMIFS('Cutters Consumption Updates'!$F:$F,'Cutters Consumption Updates'!$D:$D,I$1,'Cutters Consumption Updates'!$B:$B,$B236)-SUMIFS('Cutters Consumption Updates'!$E:$E,'Cutters Consumption Updates'!$D:$D,I$1,'Cutters Consumption Updates'!$B:$B,$B236)+ SUMIF('Cutters Consumption Updates'!$AS:$AS,$B236,'Cutters Consumption Updates'!AT:AT)</f>
        <v>0</v>
      </c>
      <c r="J236" s="10">
        <f>SUMIFS('Cutters Consumption Updates'!$F:$F,'Cutters Consumption Updates'!$D:$D,J$1,'Cutters Consumption Updates'!$B:$B,$B236)-SUMIFS('Cutters Consumption Updates'!$E:$E,'Cutters Consumption Updates'!$D:$D,J$1,'Cutters Consumption Updates'!$B:$B,$B236)+ SUMIF('Cutters Consumption Updates'!$AS:$AS,$B236,'Cutters Consumption Updates'!AU:AU)</f>
        <v>0</v>
      </c>
      <c r="K236" s="116">
        <f>SUMIFS('Cutters Consumption Updates'!$F:$F,'Cutters Consumption Updates'!$D:$D,K$1,'Cutters Consumption Updates'!$B:$B,$B236)-SUMIFS('Cutters Consumption Updates'!$E:$E,'Cutters Consumption Updates'!$D:$D,K$1,'Cutters Consumption Updates'!$B:$B,$B236)+ SUMIF('Cutters Consumption Updates'!$AS:$AS,$B236,'Cutters Consumption Updates'!AV:AV)</f>
        <v>0</v>
      </c>
      <c r="L236" s="738">
        <f>SUMIFS('Cutters Consumption Updates'!$F:$F,'Cutters Consumption Updates'!$D:$D,L$1,'Cutters Consumption Updates'!$B:$B,$B236)-SUMIFS('Cutters Consumption Updates'!$E:$E,'Cutters Consumption Updates'!$D:$D,L$1,'Cutters Consumption Updates'!$B:$B,$B236)+ SUMIF('Cutters Consumption Updates'!$AS:$AS,$B236,'Cutters Consumption Updates'!AW:AW)</f>
        <v>0</v>
      </c>
      <c r="M236" s="116">
        <f>SUMIFS('Cutters Consumption Updates'!$F:$F,'Cutters Consumption Updates'!$D:$D,M$1,'Cutters Consumption Updates'!$B:$B,$B236)-SUMIFS('Cutters Consumption Updates'!$E:$E,'Cutters Consumption Updates'!$D:$D,$M$1,'Cutters Consumption Updates'!$B:$B,$B236)+SUMIFS('Cutters Consumption Updates'!$F:$F,'Cutters Consumption Updates'!$D:$D,"Retrofit",'Cutters Consumption Updates'!$B:$B,$B236)-SUMIFS('Cutters Consumption Updates'!$E:$E,'Cutters Consumption Updates'!$D:$D,"Retrofit",'Cutters Consumption Updates'!$B:$B,$B236)+ SUMIF('Cutters Consumption Updates'!$AS:$AS,$B236,'Cutters Consumption Updates'!AX:AX)</f>
        <v>0</v>
      </c>
      <c r="N236" s="10">
        <f t="shared" si="36"/>
        <v>0</v>
      </c>
      <c r="O236" s="701">
        <f ca="1">SUMIFS('Cutters Consumption Updates'!E:E,
        'Cutters Consumption Updates'!B:B, B236,
        'Cutters Consumption Updates'!A:A, "&gt;" &amp; TODAY()-182)</f>
        <v>0</v>
      </c>
      <c r="P236" s="701">
        <f ca="1">SUMIFS('Cutters Consumption Updates'!E:E,
        'Cutters Consumption Updates'!B:B, B236,
        'Cutters Consumption Updates'!A:A, "&gt;" &amp; TODAY()-91)</f>
        <v>0</v>
      </c>
      <c r="Q236" s="701">
        <f t="shared" ca="1" si="37"/>
        <v>0</v>
      </c>
      <c r="R236" s="703">
        <f t="shared" ca="1" si="38"/>
        <v>0</v>
      </c>
      <c r="S236" s="703" t="s">
        <v>29</v>
      </c>
      <c r="T236" s="24">
        <f>IFERROR(INDEX(Table5[],MATCH($B236,Table5[Component],0),2),0)</f>
        <v>3</v>
      </c>
      <c r="U236" s="24">
        <f>SUMIFS(Table7[Balance],Table7[Cutter Mat'#],$B236)</f>
        <v>0</v>
      </c>
      <c r="V236" s="24">
        <f t="shared" si="39"/>
        <v>-3</v>
      </c>
      <c r="W236" s="119"/>
      <c r="X236" s="2"/>
      <c r="Z236" s="4">
        <f>IFERROR(INDEX(Table5[],MATCH($B236,Table5[Component],0),2),0)</f>
        <v>3</v>
      </c>
      <c r="AA236" s="4">
        <f>IFERROR(INDEX(Table5[],MATCH($B236,Table5[Component],0),1),0)</f>
        <v>1187118</v>
      </c>
      <c r="AB236" s="4">
        <f t="shared" si="40"/>
        <v>1187118</v>
      </c>
      <c r="AC236" s="4" t="str">
        <f t="shared" si="41"/>
        <v/>
      </c>
      <c r="AE236" s="4">
        <f t="shared" si="42"/>
        <v>0</v>
      </c>
      <c r="AJ236" s="248" t="str">
        <f t="shared" si="43"/>
        <v/>
      </c>
      <c r="AK236" s="248" t="str">
        <f t="shared" si="44"/>
        <v/>
      </c>
      <c r="AL236">
        <f t="shared" si="45"/>
        <v>0</v>
      </c>
      <c r="AO236" s="4"/>
      <c r="AP236" s="4"/>
      <c r="AQ236">
        <f t="shared" si="47"/>
        <v>0</v>
      </c>
      <c r="AR236" s="4"/>
      <c r="AS236" s="4">
        <v>1228503</v>
      </c>
      <c r="AT236">
        <f t="shared" si="46"/>
        <v>200</v>
      </c>
    </row>
    <row r="237" spans="1:46" ht="15.5" x14ac:dyDescent="0.35">
      <c r="A237" s="2">
        <v>241</v>
      </c>
      <c r="B237" s="258">
        <v>1100753</v>
      </c>
      <c r="C237" s="3" t="s">
        <v>26</v>
      </c>
      <c r="D237" s="460">
        <v>1608</v>
      </c>
      <c r="E237" s="292" t="s">
        <v>133</v>
      </c>
      <c r="F237" s="292" t="s">
        <v>253</v>
      </c>
      <c r="G237" s="3"/>
      <c r="H237" s="13" t="s">
        <v>49</v>
      </c>
      <c r="I237" s="10">
        <f>SUMIFS('Cutters Consumption Updates'!$F:$F,'Cutters Consumption Updates'!$D:$D,I$1,'Cutters Consumption Updates'!$B:$B,$B237)-SUMIFS('Cutters Consumption Updates'!$E:$E,'Cutters Consumption Updates'!$D:$D,I$1,'Cutters Consumption Updates'!$B:$B,$B237)+ SUMIF('Cutters Consumption Updates'!$AS:$AS,$B237,'Cutters Consumption Updates'!AT:AT)</f>
        <v>0</v>
      </c>
      <c r="J237" s="10">
        <f>SUMIFS('Cutters Consumption Updates'!$F:$F,'Cutters Consumption Updates'!$D:$D,J$1,'Cutters Consumption Updates'!$B:$B,$B237)-SUMIFS('Cutters Consumption Updates'!$E:$E,'Cutters Consumption Updates'!$D:$D,J$1,'Cutters Consumption Updates'!$B:$B,$B237)+ SUMIF('Cutters Consumption Updates'!$AS:$AS,$B237,'Cutters Consumption Updates'!AU:AU)</f>
        <v>0</v>
      </c>
      <c r="K237" s="116">
        <f>SUMIFS('Cutters Consumption Updates'!$F:$F,'Cutters Consumption Updates'!$D:$D,K$1,'Cutters Consumption Updates'!$B:$B,$B237)-SUMIFS('Cutters Consumption Updates'!$E:$E,'Cutters Consumption Updates'!$D:$D,K$1,'Cutters Consumption Updates'!$B:$B,$B237)+ SUMIF('Cutters Consumption Updates'!$AS:$AS,$B237,'Cutters Consumption Updates'!AV:AV)</f>
        <v>0</v>
      </c>
      <c r="L237" s="738">
        <f>SUMIFS('Cutters Consumption Updates'!$F:$F,'Cutters Consumption Updates'!$D:$D,L$1,'Cutters Consumption Updates'!$B:$B,$B237)-SUMIFS('Cutters Consumption Updates'!$E:$E,'Cutters Consumption Updates'!$D:$D,L$1,'Cutters Consumption Updates'!$B:$B,$B237)+ SUMIF('Cutters Consumption Updates'!$AS:$AS,$B237,'Cutters Consumption Updates'!AW:AW)</f>
        <v>0</v>
      </c>
      <c r="M237" s="116">
        <f>SUMIFS('Cutters Consumption Updates'!$F:$F,'Cutters Consumption Updates'!$D:$D,M$1,'Cutters Consumption Updates'!$B:$B,$B237)-SUMIFS('Cutters Consumption Updates'!$E:$E,'Cutters Consumption Updates'!$D:$D,$M$1,'Cutters Consumption Updates'!$B:$B,$B237)+SUMIFS('Cutters Consumption Updates'!$F:$F,'Cutters Consumption Updates'!$D:$D,"Retrofit",'Cutters Consumption Updates'!$B:$B,$B237)-SUMIFS('Cutters Consumption Updates'!$E:$E,'Cutters Consumption Updates'!$D:$D,"Retrofit",'Cutters Consumption Updates'!$B:$B,$B237)+ SUMIF('Cutters Consumption Updates'!$AS:$AS,$B237,'Cutters Consumption Updates'!AX:AX)</f>
        <v>2</v>
      </c>
      <c r="N237" s="10">
        <f t="shared" si="36"/>
        <v>2</v>
      </c>
      <c r="O237" s="701">
        <f ca="1">SUMIFS('Cutters Consumption Updates'!E:E,
        'Cutters Consumption Updates'!B:B, B237,
        'Cutters Consumption Updates'!A:A, "&gt;" &amp; TODAY()-182)</f>
        <v>29</v>
      </c>
      <c r="P237" s="701">
        <f ca="1">SUMIFS('Cutters Consumption Updates'!E:E,
        'Cutters Consumption Updates'!B:B, B237,
        'Cutters Consumption Updates'!A:A, "&gt;" &amp; TODAY()-91)</f>
        <v>6</v>
      </c>
      <c r="Q237" s="701">
        <f t="shared" ca="1" si="37"/>
        <v>10</v>
      </c>
      <c r="R237" s="703">
        <f t="shared" ca="1" si="38"/>
        <v>15</v>
      </c>
      <c r="S237" s="703" t="s">
        <v>119</v>
      </c>
      <c r="T237" s="24">
        <f>IFERROR(INDEX(Table5[],MATCH($B237,Table5[Component],0),2),0)</f>
        <v>12</v>
      </c>
      <c r="U237" s="24">
        <f>SUMIFS(Table7[Balance],Table7[Cutter Mat'#],$B237)</f>
        <v>0</v>
      </c>
      <c r="V237" s="24">
        <f t="shared" si="39"/>
        <v>-10</v>
      </c>
      <c r="W237" s="119"/>
      <c r="X237" s="2"/>
      <c r="Z237" s="4">
        <f>IFERROR(INDEX(Table5[],MATCH($B237,Table5[Component],0),2),0)</f>
        <v>12</v>
      </c>
      <c r="AA237" s="4">
        <f>IFERROR(INDEX(Table5[],MATCH($B237,Table5[Component],0),1),0)</f>
        <v>1100753</v>
      </c>
      <c r="AB237" s="4">
        <f t="shared" si="40"/>
        <v>1100753</v>
      </c>
      <c r="AC237" s="4" t="str">
        <f t="shared" si="41"/>
        <v/>
      </c>
      <c r="AE237" s="4">
        <f t="shared" si="42"/>
        <v>2</v>
      </c>
      <c r="AJ237" s="248" t="str">
        <f t="shared" si="43"/>
        <v/>
      </c>
      <c r="AK237" s="248" t="str">
        <f t="shared" si="44"/>
        <v/>
      </c>
      <c r="AL237">
        <f t="shared" si="45"/>
        <v>0</v>
      </c>
      <c r="AO237" s="4"/>
      <c r="AP237" s="4"/>
      <c r="AQ237">
        <f t="shared" si="47"/>
        <v>0</v>
      </c>
      <c r="AR237" s="4"/>
      <c r="AS237" s="4">
        <v>1230916</v>
      </c>
      <c r="AT237">
        <f t="shared" si="46"/>
        <v>0</v>
      </c>
    </row>
    <row r="238" spans="1:46" ht="15.5" x14ac:dyDescent="0.35">
      <c r="A238" s="2">
        <v>242</v>
      </c>
      <c r="B238" s="258">
        <v>1282370</v>
      </c>
      <c r="C238" s="3" t="s">
        <v>94</v>
      </c>
      <c r="D238" s="460">
        <v>1613</v>
      </c>
      <c r="E238" s="292" t="s">
        <v>207</v>
      </c>
      <c r="F238" s="292" t="s">
        <v>170</v>
      </c>
      <c r="G238" s="3"/>
      <c r="H238" s="13" t="s">
        <v>161</v>
      </c>
      <c r="I238" s="10">
        <f>SUMIFS('Cutters Consumption Updates'!$F:$F,'Cutters Consumption Updates'!$D:$D,I$1,'Cutters Consumption Updates'!$B:$B,$B238)-SUMIFS('Cutters Consumption Updates'!$E:$E,'Cutters Consumption Updates'!$D:$D,I$1,'Cutters Consumption Updates'!$B:$B,$B238)+ SUMIF('Cutters Consumption Updates'!$AS:$AS,$B238,'Cutters Consumption Updates'!AT:AT)</f>
        <v>0</v>
      </c>
      <c r="J238" s="10">
        <f>SUMIFS('Cutters Consumption Updates'!$F:$F,'Cutters Consumption Updates'!$D:$D,J$1,'Cutters Consumption Updates'!$B:$B,$B238)-SUMIFS('Cutters Consumption Updates'!$E:$E,'Cutters Consumption Updates'!$D:$D,J$1,'Cutters Consumption Updates'!$B:$B,$B238)+ SUMIF('Cutters Consumption Updates'!$AS:$AS,$B238,'Cutters Consumption Updates'!AU:AU)</f>
        <v>0</v>
      </c>
      <c r="K238" s="116">
        <f>SUMIFS('Cutters Consumption Updates'!$F:$F,'Cutters Consumption Updates'!$D:$D,K$1,'Cutters Consumption Updates'!$B:$B,$B238)-SUMIFS('Cutters Consumption Updates'!$E:$E,'Cutters Consumption Updates'!$D:$D,K$1,'Cutters Consumption Updates'!$B:$B,$B238)+ SUMIF('Cutters Consumption Updates'!$AS:$AS,$B238,'Cutters Consumption Updates'!AV:AV)</f>
        <v>0</v>
      </c>
      <c r="L238" s="738">
        <f>SUMIFS('Cutters Consumption Updates'!$F:$F,'Cutters Consumption Updates'!$D:$D,L$1,'Cutters Consumption Updates'!$B:$B,$B238)-SUMIFS('Cutters Consumption Updates'!$E:$E,'Cutters Consumption Updates'!$D:$D,L$1,'Cutters Consumption Updates'!$B:$B,$B238)+ SUMIF('Cutters Consumption Updates'!$AS:$AS,$B238,'Cutters Consumption Updates'!AW:AW)</f>
        <v>0</v>
      </c>
      <c r="M238" s="116">
        <f>SUMIFS('Cutters Consumption Updates'!$F:$F,'Cutters Consumption Updates'!$D:$D,M$1,'Cutters Consumption Updates'!$B:$B,$B238)-SUMIFS('Cutters Consumption Updates'!$E:$E,'Cutters Consumption Updates'!$D:$D,$M$1,'Cutters Consumption Updates'!$B:$B,$B238)+SUMIFS('Cutters Consumption Updates'!$F:$F,'Cutters Consumption Updates'!$D:$D,"Retrofit",'Cutters Consumption Updates'!$B:$B,$B238)-SUMIFS('Cutters Consumption Updates'!$E:$E,'Cutters Consumption Updates'!$D:$D,"Retrofit",'Cutters Consumption Updates'!$B:$B,$B238)+ SUMIF('Cutters Consumption Updates'!$AS:$AS,$B238,'Cutters Consumption Updates'!AX:AX)</f>
        <v>144</v>
      </c>
      <c r="N238" s="10">
        <f t="shared" si="36"/>
        <v>144</v>
      </c>
      <c r="O238" s="701">
        <f ca="1">SUMIFS('Cutters Consumption Updates'!E:E,
        'Cutters Consumption Updates'!B:B, B238,
        'Cutters Consumption Updates'!A:A, "&gt;" &amp; TODAY()-182)</f>
        <v>193</v>
      </c>
      <c r="P238" s="701">
        <f ca="1">SUMIFS('Cutters Consumption Updates'!E:E,
        'Cutters Consumption Updates'!B:B, B238,
        'Cutters Consumption Updates'!A:A, "&gt;" &amp; TODAY()-91)</f>
        <v>71</v>
      </c>
      <c r="Q238" s="701">
        <f t="shared" ca="1" si="37"/>
        <v>65</v>
      </c>
      <c r="R238" s="703">
        <f t="shared" ca="1" si="38"/>
        <v>70</v>
      </c>
      <c r="S238" s="703" t="s">
        <v>208</v>
      </c>
      <c r="T238" s="24">
        <f>IFERROR(INDEX(Table5[],MATCH($B238,Table5[Component],0),2),0)</f>
        <v>243</v>
      </c>
      <c r="U238" s="24">
        <f>SUMIFS(Table7[Balance],Table7[Cutter Mat'#],$B238)</f>
        <v>15</v>
      </c>
      <c r="V238" s="24">
        <f t="shared" si="39"/>
        <v>-84</v>
      </c>
      <c r="W238" s="119"/>
      <c r="X238" s="2"/>
      <c r="Z238" s="4">
        <f>IFERROR(INDEX(Table5[],MATCH($B238,Table5[Component],0),2),0)</f>
        <v>243</v>
      </c>
      <c r="AA238" s="4">
        <f>IFERROR(INDEX(Table5[],MATCH($B238,Table5[Component],0),1),0)</f>
        <v>1282370</v>
      </c>
      <c r="AB238" s="4">
        <f t="shared" si="40"/>
        <v>1282370</v>
      </c>
      <c r="AC238" s="4" t="str">
        <f t="shared" si="41"/>
        <v/>
      </c>
      <c r="AE238" s="4">
        <f t="shared" si="42"/>
        <v>144</v>
      </c>
      <c r="AJ238" s="248" t="str">
        <f t="shared" si="43"/>
        <v/>
      </c>
      <c r="AK238" s="248" t="str">
        <f t="shared" si="44"/>
        <v/>
      </c>
      <c r="AL238">
        <f t="shared" si="45"/>
        <v>0</v>
      </c>
      <c r="AO238" s="4"/>
      <c r="AP238" s="4"/>
      <c r="AQ238">
        <f t="shared" si="47"/>
        <v>15</v>
      </c>
      <c r="AR238" s="4"/>
      <c r="AS238" s="4">
        <v>1231982</v>
      </c>
      <c r="AT238">
        <f t="shared" si="46"/>
        <v>0</v>
      </c>
    </row>
    <row r="239" spans="1:46" ht="15.5" x14ac:dyDescent="0.35">
      <c r="A239" s="2">
        <v>243</v>
      </c>
      <c r="B239" s="258">
        <v>1272309</v>
      </c>
      <c r="C239" s="3" t="s">
        <v>179</v>
      </c>
      <c r="D239" s="460">
        <v>1313</v>
      </c>
      <c r="E239" s="292" t="s">
        <v>209</v>
      </c>
      <c r="F239" s="292" t="s">
        <v>109</v>
      </c>
      <c r="G239" s="3"/>
      <c r="H239" s="13" t="s">
        <v>161</v>
      </c>
      <c r="I239" s="10">
        <f>SUMIFS('Cutters Consumption Updates'!$F:$F,'Cutters Consumption Updates'!$D:$D,I$1,'Cutters Consumption Updates'!$B:$B,$B239)-SUMIFS('Cutters Consumption Updates'!$E:$E,'Cutters Consumption Updates'!$D:$D,I$1,'Cutters Consumption Updates'!$B:$B,$B239)+ SUMIF('Cutters Consumption Updates'!$AS:$AS,$B239,'Cutters Consumption Updates'!AT:AT)</f>
        <v>0</v>
      </c>
      <c r="J239" s="10">
        <f>SUMIFS('Cutters Consumption Updates'!$F:$F,'Cutters Consumption Updates'!$D:$D,J$1,'Cutters Consumption Updates'!$B:$B,$B239)-SUMIFS('Cutters Consumption Updates'!$E:$E,'Cutters Consumption Updates'!$D:$D,J$1,'Cutters Consumption Updates'!$B:$B,$B239)+ SUMIF('Cutters Consumption Updates'!$AS:$AS,$B239,'Cutters Consumption Updates'!AU:AU)</f>
        <v>0</v>
      </c>
      <c r="K239" s="116">
        <f>SUMIFS('Cutters Consumption Updates'!$F:$F,'Cutters Consumption Updates'!$D:$D,K$1,'Cutters Consumption Updates'!$B:$B,$B239)-SUMIFS('Cutters Consumption Updates'!$E:$E,'Cutters Consumption Updates'!$D:$D,K$1,'Cutters Consumption Updates'!$B:$B,$B239)+ SUMIF('Cutters Consumption Updates'!$AS:$AS,$B239,'Cutters Consumption Updates'!AV:AV)</f>
        <v>0</v>
      </c>
      <c r="L239" s="738">
        <f>SUMIFS('Cutters Consumption Updates'!$F:$F,'Cutters Consumption Updates'!$D:$D,L$1,'Cutters Consumption Updates'!$B:$B,$B239)-SUMIFS('Cutters Consumption Updates'!$E:$E,'Cutters Consumption Updates'!$D:$D,L$1,'Cutters Consumption Updates'!$B:$B,$B239)+ SUMIF('Cutters Consumption Updates'!$AS:$AS,$B239,'Cutters Consumption Updates'!AW:AW)</f>
        <v>4</v>
      </c>
      <c r="M239" s="116">
        <f>SUMIFS('Cutters Consumption Updates'!$F:$F,'Cutters Consumption Updates'!$D:$D,M$1,'Cutters Consumption Updates'!$B:$B,$B239)-SUMIFS('Cutters Consumption Updates'!$E:$E,'Cutters Consumption Updates'!$D:$D,$M$1,'Cutters Consumption Updates'!$B:$B,$B239)+SUMIFS('Cutters Consumption Updates'!$F:$F,'Cutters Consumption Updates'!$D:$D,"Retrofit",'Cutters Consumption Updates'!$B:$B,$B239)-SUMIFS('Cutters Consumption Updates'!$E:$E,'Cutters Consumption Updates'!$D:$D,"Retrofit",'Cutters Consumption Updates'!$B:$B,$B239)+ SUMIF('Cutters Consumption Updates'!$AS:$AS,$B239,'Cutters Consumption Updates'!AX:AX)</f>
        <v>0</v>
      </c>
      <c r="N239" s="10">
        <f t="shared" si="36"/>
        <v>0</v>
      </c>
      <c r="O239" s="701">
        <f ca="1">SUMIFS('Cutters Consumption Updates'!E:E,
        'Cutters Consumption Updates'!B:B, B239,
        'Cutters Consumption Updates'!A:A, "&gt;" &amp; TODAY()-182)</f>
        <v>16</v>
      </c>
      <c r="P239" s="701">
        <f ca="1">SUMIFS('Cutters Consumption Updates'!E:E,
        'Cutters Consumption Updates'!B:B, B239,
        'Cutters Consumption Updates'!A:A, "&gt;" &amp; TODAY()-91)</f>
        <v>2</v>
      </c>
      <c r="Q239" s="701">
        <f t="shared" ca="1" si="37"/>
        <v>6</v>
      </c>
      <c r="R239" s="703">
        <f t="shared" ca="1" si="38"/>
        <v>10</v>
      </c>
      <c r="S239" s="703" t="s">
        <v>181</v>
      </c>
      <c r="T239" s="24">
        <f>IFERROR(INDEX(Table5[],MATCH($B239,Table5[Component],0),2),0)</f>
        <v>0</v>
      </c>
      <c r="U239" s="24">
        <f>SUMIFS(Table7[Balance],Table7[Cutter Mat'#],$B239)</f>
        <v>0</v>
      </c>
      <c r="V239" s="24">
        <f t="shared" si="39"/>
        <v>0</v>
      </c>
      <c r="W239" s="119"/>
      <c r="X239" s="2"/>
      <c r="Z239" s="4">
        <f>IFERROR(INDEX(Table5[],MATCH($B239,Table5[Component],0),2),0)</f>
        <v>0</v>
      </c>
      <c r="AA239" s="4">
        <f>IFERROR(INDEX(Table5[],MATCH($B239,Table5[Component],0),1),0)</f>
        <v>0</v>
      </c>
      <c r="AB239" s="4" t="str">
        <f t="shared" si="40"/>
        <v/>
      </c>
      <c r="AC239" s="4" t="str">
        <f t="shared" si="41"/>
        <v/>
      </c>
      <c r="AE239" s="4">
        <f t="shared" si="42"/>
        <v>0</v>
      </c>
      <c r="AJ239" s="248" t="str">
        <f t="shared" si="43"/>
        <v/>
      </c>
      <c r="AK239" s="248" t="str">
        <f t="shared" si="44"/>
        <v/>
      </c>
      <c r="AL239">
        <f t="shared" si="45"/>
        <v>0</v>
      </c>
      <c r="AO239" s="4"/>
      <c r="AP239" s="4"/>
      <c r="AQ239">
        <f t="shared" si="47"/>
        <v>0</v>
      </c>
      <c r="AR239" s="4"/>
      <c r="AS239" s="4">
        <v>1232092</v>
      </c>
      <c r="AT239">
        <f t="shared" si="46"/>
        <v>0</v>
      </c>
    </row>
    <row r="240" spans="1:46" ht="15.5" x14ac:dyDescent="0.35">
      <c r="A240" s="2">
        <v>244</v>
      </c>
      <c r="B240" s="258">
        <v>1263823</v>
      </c>
      <c r="C240" s="3" t="s">
        <v>172</v>
      </c>
      <c r="D240" s="460">
        <v>1613</v>
      </c>
      <c r="E240" s="292" t="s">
        <v>210</v>
      </c>
      <c r="F240" s="292" t="s">
        <v>109</v>
      </c>
      <c r="G240" s="3"/>
      <c r="H240" s="13" t="s">
        <v>161</v>
      </c>
      <c r="I240" s="10">
        <f>SUMIFS('Cutters Consumption Updates'!$F:$F,'Cutters Consumption Updates'!$D:$D,I$1,'Cutters Consumption Updates'!$B:$B,$B240)-SUMIFS('Cutters Consumption Updates'!$E:$E,'Cutters Consumption Updates'!$D:$D,I$1,'Cutters Consumption Updates'!$B:$B,$B240)+ SUMIF('Cutters Consumption Updates'!$AS:$AS,$B240,'Cutters Consumption Updates'!AT:AT)</f>
        <v>0</v>
      </c>
      <c r="J240" s="10">
        <f>SUMIFS('Cutters Consumption Updates'!$F:$F,'Cutters Consumption Updates'!$D:$D,J$1,'Cutters Consumption Updates'!$B:$B,$B240)-SUMIFS('Cutters Consumption Updates'!$E:$E,'Cutters Consumption Updates'!$D:$D,J$1,'Cutters Consumption Updates'!$B:$B,$B240)+ SUMIF('Cutters Consumption Updates'!$AS:$AS,$B240,'Cutters Consumption Updates'!AU:AU)</f>
        <v>0</v>
      </c>
      <c r="K240" s="116">
        <f>SUMIFS('Cutters Consumption Updates'!$F:$F,'Cutters Consumption Updates'!$D:$D,K$1,'Cutters Consumption Updates'!$B:$B,$B240)-SUMIFS('Cutters Consumption Updates'!$E:$E,'Cutters Consumption Updates'!$D:$D,K$1,'Cutters Consumption Updates'!$B:$B,$B240)+ SUMIF('Cutters Consumption Updates'!$AS:$AS,$B240,'Cutters Consumption Updates'!AV:AV)</f>
        <v>0</v>
      </c>
      <c r="L240" s="738">
        <f>SUMIFS('Cutters Consumption Updates'!$F:$F,'Cutters Consumption Updates'!$D:$D,L$1,'Cutters Consumption Updates'!$B:$B,$B240)-SUMIFS('Cutters Consumption Updates'!$E:$E,'Cutters Consumption Updates'!$D:$D,L$1,'Cutters Consumption Updates'!$B:$B,$B240)+ SUMIF('Cutters Consumption Updates'!$AS:$AS,$B240,'Cutters Consumption Updates'!AW:AW)</f>
        <v>0</v>
      </c>
      <c r="M240" s="116">
        <f>SUMIFS('Cutters Consumption Updates'!$F:$F,'Cutters Consumption Updates'!$D:$D,M$1,'Cutters Consumption Updates'!$B:$B,$B240)-SUMIFS('Cutters Consumption Updates'!$E:$E,'Cutters Consumption Updates'!$D:$D,$M$1,'Cutters Consumption Updates'!$B:$B,$B240)+SUMIFS('Cutters Consumption Updates'!$F:$F,'Cutters Consumption Updates'!$D:$D,"Retrofit",'Cutters Consumption Updates'!$B:$B,$B240)-SUMIFS('Cutters Consumption Updates'!$E:$E,'Cutters Consumption Updates'!$D:$D,"Retrofit",'Cutters Consumption Updates'!$B:$B,$B240)+ SUMIF('Cutters Consumption Updates'!$AS:$AS,$B240,'Cutters Consumption Updates'!AX:AX)</f>
        <v>72</v>
      </c>
      <c r="N240" s="10">
        <f t="shared" si="36"/>
        <v>72</v>
      </c>
      <c r="O240" s="701">
        <f ca="1">SUMIFS('Cutters Consumption Updates'!E:E,
        'Cutters Consumption Updates'!B:B, B240,
        'Cutters Consumption Updates'!A:A, "&gt;" &amp; TODAY()-182)</f>
        <v>57</v>
      </c>
      <c r="P240" s="701">
        <f ca="1">SUMIFS('Cutters Consumption Updates'!E:E,
        'Cutters Consumption Updates'!B:B, B240,
        'Cutters Consumption Updates'!A:A, "&gt;" &amp; TODAY()-91)</f>
        <v>0</v>
      </c>
      <c r="Q240" s="701">
        <f t="shared" ca="1" si="37"/>
        <v>19</v>
      </c>
      <c r="R240" s="703">
        <f t="shared" ca="1" si="38"/>
        <v>25</v>
      </c>
      <c r="S240" s="703" t="s">
        <v>175</v>
      </c>
      <c r="T240" s="24">
        <f>IFERROR(INDEX(Table5[],MATCH($B240,Table5[Component],0),2),0)</f>
        <v>0</v>
      </c>
      <c r="U240" s="24">
        <f>SUMIFS(Table7[Balance],Table7[Cutter Mat'#],$B240)</f>
        <v>0</v>
      </c>
      <c r="V240" s="24">
        <f t="shared" si="39"/>
        <v>72</v>
      </c>
      <c r="W240" s="119"/>
      <c r="X240" s="2"/>
      <c r="Z240" s="4">
        <f>IFERROR(INDEX(Table5[],MATCH($B240,Table5[Component],0),2),0)</f>
        <v>0</v>
      </c>
      <c r="AA240" s="4">
        <f>IFERROR(INDEX(Table5[],MATCH($B240,Table5[Component],0),1),0)</f>
        <v>0</v>
      </c>
      <c r="AB240" s="4" t="str">
        <f t="shared" si="40"/>
        <v/>
      </c>
      <c r="AC240" s="4" t="str">
        <f t="shared" si="41"/>
        <v/>
      </c>
      <c r="AE240" s="4">
        <f t="shared" si="42"/>
        <v>72</v>
      </c>
      <c r="AJ240" s="248" t="str">
        <f t="shared" si="43"/>
        <v/>
      </c>
      <c r="AK240" s="248" t="str">
        <f t="shared" si="44"/>
        <v/>
      </c>
      <c r="AL240">
        <f t="shared" si="45"/>
        <v>0</v>
      </c>
      <c r="AO240" s="4"/>
      <c r="AP240" s="4"/>
      <c r="AQ240">
        <f t="shared" si="47"/>
        <v>0</v>
      </c>
      <c r="AR240" s="4"/>
      <c r="AS240" s="4">
        <v>1233855</v>
      </c>
      <c r="AT240">
        <f t="shared" si="46"/>
        <v>0</v>
      </c>
    </row>
    <row r="241" spans="1:46" ht="15.5" x14ac:dyDescent="0.35">
      <c r="A241" s="2">
        <v>245</v>
      </c>
      <c r="B241" s="258">
        <v>1199261</v>
      </c>
      <c r="C241" s="3" t="s">
        <v>26</v>
      </c>
      <c r="D241" s="460">
        <v>1010</v>
      </c>
      <c r="E241" s="292" t="s">
        <v>139</v>
      </c>
      <c r="F241" s="292" t="s">
        <v>253</v>
      </c>
      <c r="G241" s="3"/>
      <c r="H241" s="13" t="s">
        <v>49</v>
      </c>
      <c r="I241" s="10">
        <f>SUMIFS('Cutters Consumption Updates'!$F:$F,'Cutters Consumption Updates'!$D:$D,I$1,'Cutters Consumption Updates'!$B:$B,$B241)-SUMIFS('Cutters Consumption Updates'!$E:$E,'Cutters Consumption Updates'!$D:$D,I$1,'Cutters Consumption Updates'!$B:$B,$B241)+ SUMIF('Cutters Consumption Updates'!$AS:$AS,$B241,'Cutters Consumption Updates'!AT:AT)</f>
        <v>0</v>
      </c>
      <c r="J241" s="10">
        <f>SUMIFS('Cutters Consumption Updates'!$F:$F,'Cutters Consumption Updates'!$D:$D,J$1,'Cutters Consumption Updates'!$B:$B,$B241)-SUMIFS('Cutters Consumption Updates'!$E:$E,'Cutters Consumption Updates'!$D:$D,J$1,'Cutters Consumption Updates'!$B:$B,$B241)+ SUMIF('Cutters Consumption Updates'!$AS:$AS,$B241,'Cutters Consumption Updates'!AU:AU)</f>
        <v>0</v>
      </c>
      <c r="K241" s="116">
        <f>SUMIFS('Cutters Consumption Updates'!$F:$F,'Cutters Consumption Updates'!$D:$D,K$1,'Cutters Consumption Updates'!$B:$B,$B241)-SUMIFS('Cutters Consumption Updates'!$E:$E,'Cutters Consumption Updates'!$D:$D,K$1,'Cutters Consumption Updates'!$B:$B,$B241)+ SUMIF('Cutters Consumption Updates'!$AS:$AS,$B241,'Cutters Consumption Updates'!AV:AV)</f>
        <v>0</v>
      </c>
      <c r="L241" s="738">
        <f>SUMIFS('Cutters Consumption Updates'!$F:$F,'Cutters Consumption Updates'!$D:$D,L$1,'Cutters Consumption Updates'!$B:$B,$B241)-SUMIFS('Cutters Consumption Updates'!$E:$E,'Cutters Consumption Updates'!$D:$D,L$1,'Cutters Consumption Updates'!$B:$B,$B241)+ SUMIF('Cutters Consumption Updates'!$AS:$AS,$B241,'Cutters Consumption Updates'!AW:AW)</f>
        <v>0</v>
      </c>
      <c r="M241" s="116">
        <f>SUMIFS('Cutters Consumption Updates'!$F:$F,'Cutters Consumption Updates'!$D:$D,M$1,'Cutters Consumption Updates'!$B:$B,$B241)-SUMIFS('Cutters Consumption Updates'!$E:$E,'Cutters Consumption Updates'!$D:$D,$M$1,'Cutters Consumption Updates'!$B:$B,$B241)+SUMIFS('Cutters Consumption Updates'!$F:$F,'Cutters Consumption Updates'!$D:$D,"Retrofit",'Cutters Consumption Updates'!$B:$B,$B241)-SUMIFS('Cutters Consumption Updates'!$E:$E,'Cutters Consumption Updates'!$D:$D,"Retrofit",'Cutters Consumption Updates'!$B:$B,$B241)+ SUMIF('Cutters Consumption Updates'!$AS:$AS,$B241,'Cutters Consumption Updates'!AX:AX)</f>
        <v>-19</v>
      </c>
      <c r="N241" s="10">
        <f t="shared" si="36"/>
        <v>-19</v>
      </c>
      <c r="O241" s="701">
        <f ca="1">SUMIFS('Cutters Consumption Updates'!E:E,
        'Cutters Consumption Updates'!B:B, B241,
        'Cutters Consumption Updates'!A:A, "&gt;" &amp; TODAY()-182)</f>
        <v>206</v>
      </c>
      <c r="P241" s="701">
        <f ca="1">SUMIFS('Cutters Consumption Updates'!E:E,
        'Cutters Consumption Updates'!B:B, B241,
        'Cutters Consumption Updates'!A:A, "&gt;" &amp; TODAY()-91)</f>
        <v>180</v>
      </c>
      <c r="Q241" s="701">
        <f t="shared" ca="1" si="37"/>
        <v>69</v>
      </c>
      <c r="R241" s="703">
        <f t="shared" ca="1" si="38"/>
        <v>75</v>
      </c>
      <c r="S241" s="703" t="s">
        <v>29</v>
      </c>
      <c r="T241" s="24">
        <f>IFERROR(INDEX(Table5[],MATCH($B241,Table5[Component],0),2),0)</f>
        <v>208</v>
      </c>
      <c r="U241" s="24">
        <f>SUMIFS(Table7[Balance],Table7[Cutter Mat'#],$B241)</f>
        <v>50</v>
      </c>
      <c r="V241" s="24">
        <f t="shared" si="39"/>
        <v>-177</v>
      </c>
      <c r="W241" s="119"/>
      <c r="X241" s="2"/>
      <c r="Z241" s="4">
        <f>IFERROR(INDEX(Table5[],MATCH($B241,Table5[Component],0),2),0)</f>
        <v>208</v>
      </c>
      <c r="AA241" s="4">
        <f>IFERROR(INDEX(Table5[],MATCH($B241,Table5[Component],0),1),0)</f>
        <v>1199261</v>
      </c>
      <c r="AB241" s="4">
        <f t="shared" si="40"/>
        <v>1199261</v>
      </c>
      <c r="AC241" s="4" t="str">
        <f t="shared" si="41"/>
        <v/>
      </c>
      <c r="AE241" s="4">
        <f t="shared" si="42"/>
        <v>-19</v>
      </c>
      <c r="AJ241" s="248" t="str">
        <f t="shared" si="43"/>
        <v/>
      </c>
      <c r="AK241" s="248" t="str">
        <f t="shared" si="44"/>
        <v/>
      </c>
      <c r="AL241">
        <f t="shared" si="45"/>
        <v>0</v>
      </c>
      <c r="AO241" s="4"/>
      <c r="AP241" s="4"/>
      <c r="AQ241">
        <f t="shared" si="47"/>
        <v>50</v>
      </c>
      <c r="AR241" s="4"/>
      <c r="AS241" s="4">
        <v>1234189</v>
      </c>
      <c r="AT241">
        <f t="shared" si="46"/>
        <v>0</v>
      </c>
    </row>
    <row r="242" spans="1:46" ht="15.5" x14ac:dyDescent="0.35">
      <c r="A242" s="2">
        <v>246</v>
      </c>
      <c r="B242" s="258">
        <v>1230916</v>
      </c>
      <c r="C242" s="3" t="s">
        <v>26</v>
      </c>
      <c r="D242" s="460">
        <v>1005</v>
      </c>
      <c r="E242" s="292" t="s">
        <v>139</v>
      </c>
      <c r="F242" s="292" t="s">
        <v>253</v>
      </c>
      <c r="G242" s="3"/>
      <c r="H242" s="13" t="s">
        <v>49</v>
      </c>
      <c r="I242" s="10">
        <f>SUMIFS('Cutters Consumption Updates'!$F:$F,'Cutters Consumption Updates'!$D:$D,I$1,'Cutters Consumption Updates'!$B:$B,$B242)-SUMIFS('Cutters Consumption Updates'!$E:$E,'Cutters Consumption Updates'!$D:$D,I$1,'Cutters Consumption Updates'!$B:$B,$B242)+ SUMIF('Cutters Consumption Updates'!$AS:$AS,$B242,'Cutters Consumption Updates'!AT:AT)</f>
        <v>0</v>
      </c>
      <c r="J242" s="10">
        <f>SUMIFS('Cutters Consumption Updates'!$F:$F,'Cutters Consumption Updates'!$D:$D,J$1,'Cutters Consumption Updates'!$B:$B,$B242)-SUMIFS('Cutters Consumption Updates'!$E:$E,'Cutters Consumption Updates'!$D:$D,J$1,'Cutters Consumption Updates'!$B:$B,$B242)+ SUMIF('Cutters Consumption Updates'!$AS:$AS,$B242,'Cutters Consumption Updates'!AU:AU)</f>
        <v>0</v>
      </c>
      <c r="K242" s="116">
        <f>SUMIFS('Cutters Consumption Updates'!$F:$F,'Cutters Consumption Updates'!$D:$D,K$1,'Cutters Consumption Updates'!$B:$B,$B242)-SUMIFS('Cutters Consumption Updates'!$E:$E,'Cutters Consumption Updates'!$D:$D,K$1,'Cutters Consumption Updates'!$B:$B,$B242)+ SUMIF('Cutters Consumption Updates'!$AS:$AS,$B242,'Cutters Consumption Updates'!AV:AV)</f>
        <v>0</v>
      </c>
      <c r="L242" s="738">
        <f>SUMIFS('Cutters Consumption Updates'!$F:$F,'Cutters Consumption Updates'!$D:$D,L$1,'Cutters Consumption Updates'!$B:$B,$B242)-SUMIFS('Cutters Consumption Updates'!$E:$E,'Cutters Consumption Updates'!$D:$D,L$1,'Cutters Consumption Updates'!$B:$B,$B242)+ SUMIF('Cutters Consumption Updates'!$AS:$AS,$B242,'Cutters Consumption Updates'!AW:AW)</f>
        <v>0</v>
      </c>
      <c r="M242" s="116">
        <f>SUMIFS('Cutters Consumption Updates'!$F:$F,'Cutters Consumption Updates'!$D:$D,M$1,'Cutters Consumption Updates'!$B:$B,$B242)-SUMIFS('Cutters Consumption Updates'!$E:$E,'Cutters Consumption Updates'!$D:$D,$M$1,'Cutters Consumption Updates'!$B:$B,$B242)+SUMIFS('Cutters Consumption Updates'!$F:$F,'Cutters Consumption Updates'!$D:$D,"Retrofit",'Cutters Consumption Updates'!$B:$B,$B242)-SUMIFS('Cutters Consumption Updates'!$E:$E,'Cutters Consumption Updates'!$D:$D,"Retrofit",'Cutters Consumption Updates'!$B:$B,$B242)+ SUMIF('Cutters Consumption Updates'!$AS:$AS,$B242,'Cutters Consumption Updates'!AX:AX)</f>
        <v>35</v>
      </c>
      <c r="N242" s="10">
        <f t="shared" si="36"/>
        <v>35</v>
      </c>
      <c r="O242" s="701">
        <f ca="1">SUMIFS('Cutters Consumption Updates'!E:E,
        'Cutters Consumption Updates'!B:B, B242,
        'Cutters Consumption Updates'!A:A, "&gt;" &amp; TODAY()-182)</f>
        <v>45</v>
      </c>
      <c r="P242" s="701">
        <f ca="1">SUMIFS('Cutters Consumption Updates'!E:E,
        'Cutters Consumption Updates'!B:B, B242,
        'Cutters Consumption Updates'!A:A, "&gt;" &amp; TODAY()-91)</f>
        <v>37</v>
      </c>
      <c r="Q242" s="701">
        <f t="shared" ca="1" si="37"/>
        <v>15</v>
      </c>
      <c r="R242" s="703">
        <f t="shared" ca="1" si="38"/>
        <v>20</v>
      </c>
      <c r="S242" s="703" t="s">
        <v>29</v>
      </c>
      <c r="T242" s="24">
        <f>IFERROR(INDEX(Table5[],MATCH($B242,Table5[Component],0),2),0)</f>
        <v>0</v>
      </c>
      <c r="U242" s="24">
        <f>SUMIFS(Table7[Balance],Table7[Cutter Mat'#],$B242)</f>
        <v>0</v>
      </c>
      <c r="V242" s="24">
        <f t="shared" si="39"/>
        <v>35</v>
      </c>
      <c r="W242" s="119"/>
      <c r="X242" s="2"/>
      <c r="Z242" s="4">
        <f>IFERROR(INDEX(Table5[],MATCH($B242,Table5[Component],0),2),0)</f>
        <v>0</v>
      </c>
      <c r="AA242" s="4">
        <f>IFERROR(INDEX(Table5[],MATCH($B242,Table5[Component],0),1),0)</f>
        <v>0</v>
      </c>
      <c r="AB242" s="4" t="str">
        <f t="shared" si="40"/>
        <v/>
      </c>
      <c r="AC242" s="4" t="str">
        <f t="shared" si="41"/>
        <v/>
      </c>
      <c r="AE242" s="4">
        <f t="shared" si="42"/>
        <v>35</v>
      </c>
      <c r="AJ242" s="248" t="str">
        <f t="shared" si="43"/>
        <v/>
      </c>
      <c r="AK242" s="248" t="str">
        <f t="shared" si="44"/>
        <v/>
      </c>
      <c r="AL242">
        <f t="shared" si="45"/>
        <v>0</v>
      </c>
      <c r="AO242" s="4"/>
      <c r="AP242" s="4"/>
      <c r="AQ242">
        <f t="shared" si="47"/>
        <v>0</v>
      </c>
      <c r="AR242" s="4"/>
      <c r="AS242" s="4">
        <v>1234679</v>
      </c>
      <c r="AT242">
        <f t="shared" si="46"/>
        <v>0</v>
      </c>
    </row>
    <row r="243" spans="1:46" ht="15.5" x14ac:dyDescent="0.35">
      <c r="A243" s="2">
        <v>247</v>
      </c>
      <c r="B243" s="258">
        <v>1288721</v>
      </c>
      <c r="C243" s="3" t="s">
        <v>26</v>
      </c>
      <c r="D243" s="460">
        <v>1613</v>
      </c>
      <c r="E243" s="292" t="s">
        <v>211</v>
      </c>
      <c r="F243" s="292" t="s">
        <v>177</v>
      </c>
      <c r="G243" s="3"/>
      <c r="H243" s="13" t="s">
        <v>49</v>
      </c>
      <c r="I243" s="10">
        <f>SUMIFS('Cutters Consumption Updates'!$F:$F,'Cutters Consumption Updates'!$D:$D,I$1,'Cutters Consumption Updates'!$B:$B,$B243)-SUMIFS('Cutters Consumption Updates'!$E:$E,'Cutters Consumption Updates'!$D:$D,I$1,'Cutters Consumption Updates'!$B:$B,$B243)+ SUMIF('Cutters Consumption Updates'!$AS:$AS,$B243,'Cutters Consumption Updates'!AT:AT)</f>
        <v>0</v>
      </c>
      <c r="J243" s="10">
        <f>SUMIFS('Cutters Consumption Updates'!$F:$F,'Cutters Consumption Updates'!$D:$D,J$1,'Cutters Consumption Updates'!$B:$B,$B243)-SUMIFS('Cutters Consumption Updates'!$E:$E,'Cutters Consumption Updates'!$D:$D,J$1,'Cutters Consumption Updates'!$B:$B,$B243)+ SUMIF('Cutters Consumption Updates'!$AS:$AS,$B243,'Cutters Consumption Updates'!AU:AU)</f>
        <v>0</v>
      </c>
      <c r="K243" s="116">
        <f>SUMIFS('Cutters Consumption Updates'!$F:$F,'Cutters Consumption Updates'!$D:$D,K$1,'Cutters Consumption Updates'!$B:$B,$B243)-SUMIFS('Cutters Consumption Updates'!$E:$E,'Cutters Consumption Updates'!$D:$D,K$1,'Cutters Consumption Updates'!$B:$B,$B243)+ SUMIF('Cutters Consumption Updates'!$AS:$AS,$B243,'Cutters Consumption Updates'!AV:AV)</f>
        <v>7</v>
      </c>
      <c r="L243" s="738">
        <f>SUMIFS('Cutters Consumption Updates'!$F:$F,'Cutters Consumption Updates'!$D:$D,L$1,'Cutters Consumption Updates'!$B:$B,$B243)-SUMIFS('Cutters Consumption Updates'!$E:$E,'Cutters Consumption Updates'!$D:$D,L$1,'Cutters Consumption Updates'!$B:$B,$B243)+ SUMIF('Cutters Consumption Updates'!$AS:$AS,$B243,'Cutters Consumption Updates'!AW:AW)</f>
        <v>0</v>
      </c>
      <c r="M243" s="116">
        <f>SUMIFS('Cutters Consumption Updates'!$F:$F,'Cutters Consumption Updates'!$D:$D,M$1,'Cutters Consumption Updates'!$B:$B,$B243)-SUMIFS('Cutters Consumption Updates'!$E:$E,'Cutters Consumption Updates'!$D:$D,$M$1,'Cutters Consumption Updates'!$B:$B,$B243)+SUMIFS('Cutters Consumption Updates'!$F:$F,'Cutters Consumption Updates'!$D:$D,"Retrofit",'Cutters Consumption Updates'!$B:$B,$B243)-SUMIFS('Cutters Consumption Updates'!$E:$E,'Cutters Consumption Updates'!$D:$D,"Retrofit",'Cutters Consumption Updates'!$B:$B,$B243)+ SUMIF('Cutters Consumption Updates'!$AS:$AS,$B243,'Cutters Consumption Updates'!AX:AX)</f>
        <v>1</v>
      </c>
      <c r="N243" s="10">
        <f t="shared" si="36"/>
        <v>1</v>
      </c>
      <c r="O243" s="701">
        <f ca="1">SUMIFS('Cutters Consumption Updates'!E:E,
        'Cutters Consumption Updates'!B:B, B243,
        'Cutters Consumption Updates'!A:A, "&gt;" &amp; TODAY()-182)</f>
        <v>0</v>
      </c>
      <c r="P243" s="701">
        <f ca="1">SUMIFS('Cutters Consumption Updates'!E:E,
        'Cutters Consumption Updates'!B:B, B243,
        'Cutters Consumption Updates'!A:A, "&gt;" &amp; TODAY()-91)</f>
        <v>0</v>
      </c>
      <c r="Q243" s="701">
        <f t="shared" ca="1" si="37"/>
        <v>0</v>
      </c>
      <c r="R243" s="703">
        <f t="shared" ca="1" si="38"/>
        <v>0</v>
      </c>
      <c r="S243" s="703" t="s">
        <v>29</v>
      </c>
      <c r="T243" s="24">
        <f>IFERROR(INDEX(Table5[],MATCH($B243,Table5[Component],0),2),0)</f>
        <v>0</v>
      </c>
      <c r="U243" s="24">
        <f>SUMIFS(Table7[Balance],Table7[Cutter Mat'#],$B243)</f>
        <v>0</v>
      </c>
      <c r="V243" s="24">
        <f t="shared" si="39"/>
        <v>1</v>
      </c>
      <c r="W243" s="119"/>
      <c r="X243" s="2"/>
      <c r="Z243" s="4">
        <f>IFERROR(INDEX(Table5[],MATCH($B243,Table5[Component],0),2),0)</f>
        <v>0</v>
      </c>
      <c r="AA243" s="4">
        <f>IFERROR(INDEX(Table5[],MATCH($B243,Table5[Component],0),1),0)</f>
        <v>0</v>
      </c>
      <c r="AB243" s="4" t="str">
        <f t="shared" si="40"/>
        <v/>
      </c>
      <c r="AC243" s="4" t="str">
        <f t="shared" si="41"/>
        <v/>
      </c>
      <c r="AE243" s="4">
        <f t="shared" si="42"/>
        <v>8</v>
      </c>
      <c r="AJ243" s="248" t="str">
        <f t="shared" si="43"/>
        <v/>
      </c>
      <c r="AK243" s="248" t="str">
        <f t="shared" si="44"/>
        <v/>
      </c>
      <c r="AL243">
        <f t="shared" si="45"/>
        <v>0</v>
      </c>
      <c r="AO243" s="4"/>
      <c r="AP243" s="4"/>
      <c r="AQ243">
        <f t="shared" si="47"/>
        <v>0</v>
      </c>
      <c r="AR243" s="4"/>
      <c r="AS243" s="4">
        <v>1235963</v>
      </c>
      <c r="AT243">
        <f t="shared" si="46"/>
        <v>0</v>
      </c>
    </row>
    <row r="244" spans="1:46" ht="15.5" x14ac:dyDescent="0.35">
      <c r="A244" s="2">
        <v>248</v>
      </c>
      <c r="B244" s="258">
        <v>1282746</v>
      </c>
      <c r="C244" s="3" t="s">
        <v>172</v>
      </c>
      <c r="D244" s="460">
        <v>1913</v>
      </c>
      <c r="E244" s="292" t="s">
        <v>202</v>
      </c>
      <c r="F244" s="292" t="s">
        <v>109</v>
      </c>
      <c r="G244" s="3"/>
      <c r="H244" s="13" t="s">
        <v>169</v>
      </c>
      <c r="I244" s="10">
        <f>SUMIFS('Cutters Consumption Updates'!$F:$F,'Cutters Consumption Updates'!$D:$D,I$1,'Cutters Consumption Updates'!$B:$B,$B244)-SUMIFS('Cutters Consumption Updates'!$E:$E,'Cutters Consumption Updates'!$D:$D,I$1,'Cutters Consumption Updates'!$B:$B,$B244)+ SUMIF('Cutters Consumption Updates'!$AS:$AS,$B244,'Cutters Consumption Updates'!AT:AT)</f>
        <v>0</v>
      </c>
      <c r="J244" s="10">
        <f>SUMIFS('Cutters Consumption Updates'!$F:$F,'Cutters Consumption Updates'!$D:$D,J$1,'Cutters Consumption Updates'!$B:$B,$B244)-SUMIFS('Cutters Consumption Updates'!$E:$E,'Cutters Consumption Updates'!$D:$D,J$1,'Cutters Consumption Updates'!$B:$B,$B244)+ SUMIF('Cutters Consumption Updates'!$AS:$AS,$B244,'Cutters Consumption Updates'!AU:AU)</f>
        <v>0</v>
      </c>
      <c r="K244" s="116">
        <f>SUMIFS('Cutters Consumption Updates'!$F:$F,'Cutters Consumption Updates'!$D:$D,K$1,'Cutters Consumption Updates'!$B:$B,$B244)-SUMIFS('Cutters Consumption Updates'!$E:$E,'Cutters Consumption Updates'!$D:$D,K$1,'Cutters Consumption Updates'!$B:$B,$B244)+ SUMIF('Cutters Consumption Updates'!$AS:$AS,$B244,'Cutters Consumption Updates'!AV:AV)</f>
        <v>0</v>
      </c>
      <c r="L244" s="738">
        <f>SUMIFS('Cutters Consumption Updates'!$F:$F,'Cutters Consumption Updates'!$D:$D,L$1,'Cutters Consumption Updates'!$B:$B,$B244)-SUMIFS('Cutters Consumption Updates'!$E:$E,'Cutters Consumption Updates'!$D:$D,L$1,'Cutters Consumption Updates'!$B:$B,$B244)+ SUMIF('Cutters Consumption Updates'!$AS:$AS,$B244,'Cutters Consumption Updates'!AW:AW)</f>
        <v>0</v>
      </c>
      <c r="M244" s="116">
        <f>SUMIFS('Cutters Consumption Updates'!$F:$F,'Cutters Consumption Updates'!$D:$D,M$1,'Cutters Consumption Updates'!$B:$B,$B244)-SUMIFS('Cutters Consumption Updates'!$E:$E,'Cutters Consumption Updates'!$D:$D,$M$1,'Cutters Consumption Updates'!$B:$B,$B244)+SUMIFS('Cutters Consumption Updates'!$F:$F,'Cutters Consumption Updates'!$D:$D,"Retrofit",'Cutters Consumption Updates'!$B:$B,$B244)-SUMIFS('Cutters Consumption Updates'!$E:$E,'Cutters Consumption Updates'!$D:$D,"Retrofit",'Cutters Consumption Updates'!$B:$B,$B244)+ SUMIF('Cutters Consumption Updates'!$AS:$AS,$B244,'Cutters Consumption Updates'!AX:AX)</f>
        <v>0</v>
      </c>
      <c r="N244" s="10">
        <f t="shared" si="36"/>
        <v>0</v>
      </c>
      <c r="O244" s="701">
        <f ca="1">SUMIFS('Cutters Consumption Updates'!E:E,
        'Cutters Consumption Updates'!B:B, B244,
        'Cutters Consumption Updates'!A:A, "&gt;" &amp; TODAY()-182)</f>
        <v>0</v>
      </c>
      <c r="P244" s="701">
        <f ca="1">SUMIFS('Cutters Consumption Updates'!E:E,
        'Cutters Consumption Updates'!B:B, B244,
        'Cutters Consumption Updates'!A:A, "&gt;" &amp; TODAY()-91)</f>
        <v>0</v>
      </c>
      <c r="Q244" s="701">
        <f t="shared" ca="1" si="37"/>
        <v>0</v>
      </c>
      <c r="R244" s="703">
        <f t="shared" ca="1" si="38"/>
        <v>0</v>
      </c>
      <c r="S244" s="703" t="s">
        <v>29</v>
      </c>
      <c r="T244" s="24">
        <f>IFERROR(INDEX(Table5[],MATCH($B244,Table5[Component],0),2),0)</f>
        <v>0</v>
      </c>
      <c r="U244" s="24">
        <f>SUMIFS(Table7[Balance],Table7[Cutter Mat'#],$B244)</f>
        <v>0</v>
      </c>
      <c r="V244" s="24">
        <f t="shared" si="39"/>
        <v>0</v>
      </c>
      <c r="W244" s="119"/>
      <c r="X244" s="2"/>
      <c r="Z244" s="4">
        <f>IFERROR(INDEX(Table5[],MATCH($B244,Table5[Component],0),2),0)</f>
        <v>0</v>
      </c>
      <c r="AA244" s="4">
        <f>IFERROR(INDEX(Table5[],MATCH($B244,Table5[Component],0),1),0)</f>
        <v>0</v>
      </c>
      <c r="AB244" s="4" t="str">
        <f t="shared" si="40"/>
        <v/>
      </c>
      <c r="AC244" s="4" t="str">
        <f t="shared" si="41"/>
        <v/>
      </c>
      <c r="AE244" s="4">
        <f t="shared" si="42"/>
        <v>0</v>
      </c>
      <c r="AJ244" s="248" t="str">
        <f t="shared" si="43"/>
        <v/>
      </c>
      <c r="AK244" s="248" t="str">
        <f t="shared" si="44"/>
        <v/>
      </c>
      <c r="AL244">
        <f t="shared" si="45"/>
        <v>0</v>
      </c>
      <c r="AO244" s="4"/>
      <c r="AP244" s="4"/>
      <c r="AQ244">
        <f t="shared" si="47"/>
        <v>0</v>
      </c>
      <c r="AR244" s="4"/>
      <c r="AS244" s="4">
        <v>1238831</v>
      </c>
      <c r="AT244">
        <f t="shared" si="46"/>
        <v>0</v>
      </c>
    </row>
    <row r="245" spans="1:46" ht="15.5" x14ac:dyDescent="0.35">
      <c r="A245" s="2">
        <v>249</v>
      </c>
      <c r="B245" s="258">
        <v>1263929</v>
      </c>
      <c r="C245" s="3" t="s">
        <v>26</v>
      </c>
      <c r="D245" s="460">
        <v>1613</v>
      </c>
      <c r="E245" s="292" t="s">
        <v>212</v>
      </c>
      <c r="F245" s="292" t="s">
        <v>177</v>
      </c>
      <c r="G245" s="3"/>
      <c r="H245" s="13" t="s">
        <v>169</v>
      </c>
      <c r="I245" s="10">
        <f>SUMIFS('Cutters Consumption Updates'!$F:$F,'Cutters Consumption Updates'!$D:$D,I$1,'Cutters Consumption Updates'!$B:$B,$B245)-SUMIFS('Cutters Consumption Updates'!$E:$E,'Cutters Consumption Updates'!$D:$D,I$1,'Cutters Consumption Updates'!$B:$B,$B245)+ SUMIF('Cutters Consumption Updates'!$AS:$AS,$B245,'Cutters Consumption Updates'!AT:AT)</f>
        <v>0</v>
      </c>
      <c r="J245" s="10">
        <f>SUMIFS('Cutters Consumption Updates'!$F:$F,'Cutters Consumption Updates'!$D:$D,J$1,'Cutters Consumption Updates'!$B:$B,$B245)-SUMIFS('Cutters Consumption Updates'!$E:$E,'Cutters Consumption Updates'!$D:$D,J$1,'Cutters Consumption Updates'!$B:$B,$B245)+ SUMIF('Cutters Consumption Updates'!$AS:$AS,$B245,'Cutters Consumption Updates'!AU:AU)</f>
        <v>0</v>
      </c>
      <c r="K245" s="116">
        <f>SUMIFS('Cutters Consumption Updates'!$F:$F,'Cutters Consumption Updates'!$D:$D,K$1,'Cutters Consumption Updates'!$B:$B,$B245)-SUMIFS('Cutters Consumption Updates'!$E:$E,'Cutters Consumption Updates'!$D:$D,K$1,'Cutters Consumption Updates'!$B:$B,$B245)+ SUMIF('Cutters Consumption Updates'!$AS:$AS,$B245,'Cutters Consumption Updates'!AV:AV)</f>
        <v>0</v>
      </c>
      <c r="L245" s="738">
        <f>SUMIFS('Cutters Consumption Updates'!$F:$F,'Cutters Consumption Updates'!$D:$D,L$1,'Cutters Consumption Updates'!$B:$B,$B245)-SUMIFS('Cutters Consumption Updates'!$E:$E,'Cutters Consumption Updates'!$D:$D,L$1,'Cutters Consumption Updates'!$B:$B,$B245)+ SUMIF('Cutters Consumption Updates'!$AS:$AS,$B245,'Cutters Consumption Updates'!AW:AW)</f>
        <v>0</v>
      </c>
      <c r="M245" s="116">
        <f>SUMIFS('Cutters Consumption Updates'!$F:$F,'Cutters Consumption Updates'!$D:$D,M$1,'Cutters Consumption Updates'!$B:$B,$B245)-SUMIFS('Cutters Consumption Updates'!$E:$E,'Cutters Consumption Updates'!$D:$D,$M$1,'Cutters Consumption Updates'!$B:$B,$B245)+SUMIFS('Cutters Consumption Updates'!$F:$F,'Cutters Consumption Updates'!$D:$D,"Retrofit",'Cutters Consumption Updates'!$B:$B,$B245)-SUMIFS('Cutters Consumption Updates'!$E:$E,'Cutters Consumption Updates'!$D:$D,"Retrofit",'Cutters Consumption Updates'!$B:$B,$B245)+ SUMIF('Cutters Consumption Updates'!$AS:$AS,$B245,'Cutters Consumption Updates'!AX:AX)</f>
        <v>459</v>
      </c>
      <c r="N245" s="10">
        <f t="shared" si="36"/>
        <v>459</v>
      </c>
      <c r="O245" s="701">
        <f ca="1">SUMIFS('Cutters Consumption Updates'!E:E,
        'Cutters Consumption Updates'!B:B, B245,
        'Cutters Consumption Updates'!A:A, "&gt;" &amp; TODAY()-182)</f>
        <v>67</v>
      </c>
      <c r="P245" s="701">
        <f ca="1">SUMIFS('Cutters Consumption Updates'!E:E,
        'Cutters Consumption Updates'!B:B, B245,
        'Cutters Consumption Updates'!A:A, "&gt;" &amp; TODAY()-91)</f>
        <v>0</v>
      </c>
      <c r="Q245" s="701">
        <f t="shared" ca="1" si="37"/>
        <v>23</v>
      </c>
      <c r="R245" s="703">
        <f t="shared" ca="1" si="38"/>
        <v>25</v>
      </c>
      <c r="S245" s="703" t="s">
        <v>213</v>
      </c>
      <c r="T245" s="24">
        <f>IFERROR(INDEX(Table5[],MATCH($B245,Table5[Component],0),2),0)</f>
        <v>0</v>
      </c>
      <c r="U245" s="24">
        <f>SUMIFS(Table7[Balance],Table7[Cutter Mat'#],$B245)</f>
        <v>0</v>
      </c>
      <c r="V245" s="24">
        <f t="shared" si="39"/>
        <v>459</v>
      </c>
      <c r="W245" s="119"/>
      <c r="X245" s="2"/>
      <c r="Z245" s="4">
        <f>IFERROR(INDEX(Table5[],MATCH($B245,Table5[Component],0),2),0)</f>
        <v>0</v>
      </c>
      <c r="AA245" s="4">
        <f>IFERROR(INDEX(Table5[],MATCH($B245,Table5[Component],0),1),0)</f>
        <v>0</v>
      </c>
      <c r="AB245" s="4" t="str">
        <f t="shared" si="40"/>
        <v/>
      </c>
      <c r="AC245" s="4" t="str">
        <f t="shared" si="41"/>
        <v/>
      </c>
      <c r="AE245" s="4">
        <f t="shared" si="42"/>
        <v>459</v>
      </c>
      <c r="AJ245" s="248" t="str">
        <f t="shared" si="43"/>
        <v/>
      </c>
      <c r="AK245" s="248" t="str">
        <f t="shared" si="44"/>
        <v/>
      </c>
      <c r="AL245">
        <f t="shared" si="45"/>
        <v>0</v>
      </c>
      <c r="AO245" s="4"/>
      <c r="AP245" s="4"/>
      <c r="AQ245">
        <f t="shared" si="47"/>
        <v>0</v>
      </c>
      <c r="AR245" s="4"/>
      <c r="AS245" s="4">
        <v>1238832</v>
      </c>
      <c r="AT245">
        <f t="shared" si="46"/>
        <v>0</v>
      </c>
    </row>
    <row r="246" spans="1:46" ht="15.5" x14ac:dyDescent="0.35">
      <c r="A246" s="2">
        <v>250</v>
      </c>
      <c r="B246" s="258">
        <v>1186963</v>
      </c>
      <c r="C246" s="3" t="s">
        <v>122</v>
      </c>
      <c r="D246" s="460">
        <v>1313</v>
      </c>
      <c r="E246" s="292" t="s">
        <v>205</v>
      </c>
      <c r="F246" s="292" t="s">
        <v>248</v>
      </c>
      <c r="G246" s="3"/>
      <c r="H246" s="13" t="s">
        <v>49</v>
      </c>
      <c r="I246" s="10">
        <f>SUMIFS('Cutters Consumption Updates'!$F:$F,'Cutters Consumption Updates'!$D:$D,I$1,'Cutters Consumption Updates'!$B:$B,$B246)-SUMIFS('Cutters Consumption Updates'!$E:$E,'Cutters Consumption Updates'!$D:$D,I$1,'Cutters Consumption Updates'!$B:$B,$B246)+ SUMIF('Cutters Consumption Updates'!$AS:$AS,$B246,'Cutters Consumption Updates'!AT:AT)</f>
        <v>0</v>
      </c>
      <c r="J246" s="10">
        <f>SUMIFS('Cutters Consumption Updates'!$F:$F,'Cutters Consumption Updates'!$D:$D,J$1,'Cutters Consumption Updates'!$B:$B,$B246)-SUMIFS('Cutters Consumption Updates'!$E:$E,'Cutters Consumption Updates'!$D:$D,J$1,'Cutters Consumption Updates'!$B:$B,$B246)+ SUMIF('Cutters Consumption Updates'!$AS:$AS,$B246,'Cutters Consumption Updates'!AU:AU)</f>
        <v>0</v>
      </c>
      <c r="K246" s="116">
        <f>SUMIFS('Cutters Consumption Updates'!$F:$F,'Cutters Consumption Updates'!$D:$D,K$1,'Cutters Consumption Updates'!$B:$B,$B246)-SUMIFS('Cutters Consumption Updates'!$E:$E,'Cutters Consumption Updates'!$D:$D,K$1,'Cutters Consumption Updates'!$B:$B,$B246)+ SUMIF('Cutters Consumption Updates'!$AS:$AS,$B246,'Cutters Consumption Updates'!AV:AV)</f>
        <v>0</v>
      </c>
      <c r="L246" s="738">
        <f>SUMIFS('Cutters Consumption Updates'!$F:$F,'Cutters Consumption Updates'!$D:$D,L$1,'Cutters Consumption Updates'!$B:$B,$B246)-SUMIFS('Cutters Consumption Updates'!$E:$E,'Cutters Consumption Updates'!$D:$D,L$1,'Cutters Consumption Updates'!$B:$B,$B246)+ SUMIF('Cutters Consumption Updates'!$AS:$AS,$B246,'Cutters Consumption Updates'!AW:AW)</f>
        <v>0</v>
      </c>
      <c r="M246" s="116">
        <f>SUMIFS('Cutters Consumption Updates'!$F:$F,'Cutters Consumption Updates'!$D:$D,M$1,'Cutters Consumption Updates'!$B:$B,$B246)-SUMIFS('Cutters Consumption Updates'!$E:$E,'Cutters Consumption Updates'!$D:$D,$M$1,'Cutters Consumption Updates'!$B:$B,$B246)+SUMIFS('Cutters Consumption Updates'!$F:$F,'Cutters Consumption Updates'!$D:$D,"Retrofit",'Cutters Consumption Updates'!$B:$B,$B246)-SUMIFS('Cutters Consumption Updates'!$E:$E,'Cutters Consumption Updates'!$D:$D,"Retrofit",'Cutters Consumption Updates'!$B:$B,$B246)+ SUMIF('Cutters Consumption Updates'!$AS:$AS,$B246,'Cutters Consumption Updates'!AX:AX)</f>
        <v>2</v>
      </c>
      <c r="N246" s="10">
        <f t="shared" si="36"/>
        <v>2</v>
      </c>
      <c r="O246" s="701">
        <f ca="1">SUMIFS('Cutters Consumption Updates'!E:E,
        'Cutters Consumption Updates'!B:B, B246,
        'Cutters Consumption Updates'!A:A, "&gt;" &amp; TODAY()-182)</f>
        <v>9</v>
      </c>
      <c r="P246" s="701">
        <f ca="1">SUMIFS('Cutters Consumption Updates'!E:E,
        'Cutters Consumption Updates'!B:B, B246,
        'Cutters Consumption Updates'!A:A, "&gt;" &amp; TODAY()-91)</f>
        <v>7</v>
      </c>
      <c r="Q246" s="701">
        <f t="shared" ca="1" si="37"/>
        <v>3</v>
      </c>
      <c r="R246" s="703">
        <f t="shared" ca="1" si="38"/>
        <v>5</v>
      </c>
      <c r="S246" s="703" t="s">
        <v>29</v>
      </c>
      <c r="T246" s="24">
        <f>IFERROR(INDEX(Table5[],MATCH($B246,Table5[Component],0),2),0)</f>
        <v>1</v>
      </c>
      <c r="U246" s="24">
        <f>SUMIFS(Table7[Balance],Table7[Cutter Mat'#],$B246)</f>
        <v>0</v>
      </c>
      <c r="V246" s="24">
        <f t="shared" si="39"/>
        <v>1</v>
      </c>
      <c r="W246" s="119"/>
      <c r="X246" s="2"/>
      <c r="Z246" s="4">
        <f>IFERROR(INDEX(Table5[],MATCH($B246,Table5[Component],0),2),0)</f>
        <v>1</v>
      </c>
      <c r="AA246" s="4">
        <f>IFERROR(INDEX(Table5[],MATCH($B246,Table5[Component],0),1),0)</f>
        <v>1186963</v>
      </c>
      <c r="AB246" s="4">
        <f t="shared" si="40"/>
        <v>1186963</v>
      </c>
      <c r="AC246" s="4" t="str">
        <f t="shared" si="41"/>
        <v/>
      </c>
      <c r="AE246" s="4">
        <f t="shared" si="42"/>
        <v>2</v>
      </c>
      <c r="AJ246" s="248" t="str">
        <f t="shared" si="43"/>
        <v/>
      </c>
      <c r="AK246" s="248" t="str">
        <f t="shared" si="44"/>
        <v/>
      </c>
      <c r="AL246">
        <f t="shared" si="45"/>
        <v>0</v>
      </c>
      <c r="AO246" s="4"/>
      <c r="AP246" s="4"/>
      <c r="AQ246">
        <f t="shared" si="47"/>
        <v>0</v>
      </c>
      <c r="AR246" s="4"/>
      <c r="AS246" s="4">
        <v>1244299</v>
      </c>
      <c r="AT246">
        <f t="shared" si="46"/>
        <v>0</v>
      </c>
    </row>
    <row r="247" spans="1:46" ht="15.5" x14ac:dyDescent="0.35">
      <c r="A247" s="2">
        <v>251</v>
      </c>
      <c r="B247" s="258">
        <v>1288783</v>
      </c>
      <c r="C247" s="3" t="s">
        <v>26</v>
      </c>
      <c r="D247" s="460">
        <v>1613</v>
      </c>
      <c r="E247" s="292" t="s">
        <v>214</v>
      </c>
      <c r="F247" s="292" t="s">
        <v>177</v>
      </c>
      <c r="G247" s="3"/>
      <c r="H247" s="13" t="s">
        <v>161</v>
      </c>
      <c r="I247" s="10">
        <f>SUMIFS('Cutters Consumption Updates'!$F:$F,'Cutters Consumption Updates'!$D:$D,I$1,'Cutters Consumption Updates'!$B:$B,$B247)-SUMIFS('Cutters Consumption Updates'!$E:$E,'Cutters Consumption Updates'!$D:$D,I$1,'Cutters Consumption Updates'!$B:$B,$B247)+ SUMIF('Cutters Consumption Updates'!$AS:$AS,$B247,'Cutters Consumption Updates'!AT:AT)</f>
        <v>0</v>
      </c>
      <c r="J247" s="10">
        <f>SUMIFS('Cutters Consumption Updates'!$F:$F,'Cutters Consumption Updates'!$D:$D,J$1,'Cutters Consumption Updates'!$B:$B,$B247)-SUMIFS('Cutters Consumption Updates'!$E:$E,'Cutters Consumption Updates'!$D:$D,J$1,'Cutters Consumption Updates'!$B:$B,$B247)+ SUMIF('Cutters Consumption Updates'!$AS:$AS,$B247,'Cutters Consumption Updates'!AU:AU)</f>
        <v>0</v>
      </c>
      <c r="K247" s="116">
        <f>SUMIFS('Cutters Consumption Updates'!$F:$F,'Cutters Consumption Updates'!$D:$D,K$1,'Cutters Consumption Updates'!$B:$B,$B247)-SUMIFS('Cutters Consumption Updates'!$E:$E,'Cutters Consumption Updates'!$D:$D,K$1,'Cutters Consumption Updates'!$B:$B,$B247)+ SUMIF('Cutters Consumption Updates'!$AS:$AS,$B247,'Cutters Consumption Updates'!AV:AV)</f>
        <v>-1</v>
      </c>
      <c r="L247" s="738">
        <f>SUMIFS('Cutters Consumption Updates'!$F:$F,'Cutters Consumption Updates'!$D:$D,L$1,'Cutters Consumption Updates'!$B:$B,$B247)-SUMIFS('Cutters Consumption Updates'!$E:$E,'Cutters Consumption Updates'!$D:$D,L$1,'Cutters Consumption Updates'!$B:$B,$B247)+ SUMIF('Cutters Consumption Updates'!$AS:$AS,$B247,'Cutters Consumption Updates'!AW:AW)</f>
        <v>0</v>
      </c>
      <c r="M247" s="116">
        <f>SUMIFS('Cutters Consumption Updates'!$F:$F,'Cutters Consumption Updates'!$D:$D,M$1,'Cutters Consumption Updates'!$B:$B,$B247)-SUMIFS('Cutters Consumption Updates'!$E:$E,'Cutters Consumption Updates'!$D:$D,$M$1,'Cutters Consumption Updates'!$B:$B,$B247)+SUMIFS('Cutters Consumption Updates'!$F:$F,'Cutters Consumption Updates'!$D:$D,"Retrofit",'Cutters Consumption Updates'!$B:$B,$B247)-SUMIFS('Cutters Consumption Updates'!$E:$E,'Cutters Consumption Updates'!$D:$D,"Retrofit",'Cutters Consumption Updates'!$B:$B,$B247)+ SUMIF('Cutters Consumption Updates'!$AS:$AS,$B247,'Cutters Consumption Updates'!AX:AX)</f>
        <v>412</v>
      </c>
      <c r="N247" s="10">
        <f t="shared" si="36"/>
        <v>412</v>
      </c>
      <c r="O247" s="701">
        <f ca="1">SUMIFS('Cutters Consumption Updates'!E:E,
        'Cutters Consumption Updates'!B:B, B247,
        'Cutters Consumption Updates'!A:A, "&gt;" &amp; TODAY()-182)</f>
        <v>813</v>
      </c>
      <c r="P247" s="701">
        <f ca="1">SUMIFS('Cutters Consumption Updates'!E:E,
        'Cutters Consumption Updates'!B:B, B247,
        'Cutters Consumption Updates'!A:A, "&gt;" &amp; TODAY()-91)</f>
        <v>283</v>
      </c>
      <c r="Q247" s="701">
        <f t="shared" ca="1" si="37"/>
        <v>271</v>
      </c>
      <c r="R247" s="703">
        <f t="shared" ca="1" si="38"/>
        <v>280</v>
      </c>
      <c r="S247" s="703" t="s">
        <v>196</v>
      </c>
      <c r="T247" s="24">
        <f>IFERROR(INDEX(Table5[],MATCH($B247,Table5[Component],0),2),0)</f>
        <v>1235</v>
      </c>
      <c r="U247" s="24">
        <f>SUMIFS(Table7[Balance],Table7[Cutter Mat'#],$B247)</f>
        <v>0</v>
      </c>
      <c r="V247" s="24">
        <f t="shared" si="39"/>
        <v>-823</v>
      </c>
      <c r="W247" s="119"/>
      <c r="X247" s="2"/>
      <c r="Z247" s="4">
        <f>IFERROR(INDEX(Table5[],MATCH($B247,Table5[Component],0),2),0)</f>
        <v>1235</v>
      </c>
      <c r="AA247" s="4">
        <f>IFERROR(INDEX(Table5[],MATCH($B247,Table5[Component],0),1),0)</f>
        <v>1288783</v>
      </c>
      <c r="AB247" s="4">
        <f t="shared" si="40"/>
        <v>1288783</v>
      </c>
      <c r="AC247" s="4" t="str">
        <f t="shared" si="41"/>
        <v/>
      </c>
      <c r="AE247" s="4">
        <f t="shared" si="42"/>
        <v>411</v>
      </c>
      <c r="AJ247" s="248" t="str">
        <f t="shared" si="43"/>
        <v/>
      </c>
      <c r="AK247" s="248" t="str">
        <f t="shared" si="44"/>
        <v/>
      </c>
      <c r="AL247">
        <f t="shared" si="45"/>
        <v>0</v>
      </c>
      <c r="AO247" s="4"/>
      <c r="AP247" s="4"/>
      <c r="AQ247">
        <f t="shared" si="47"/>
        <v>0</v>
      </c>
      <c r="AR247" s="4"/>
      <c r="AS247" s="4">
        <v>1244957</v>
      </c>
      <c r="AT247">
        <f t="shared" si="46"/>
        <v>0</v>
      </c>
    </row>
    <row r="248" spans="1:46" ht="15.5" x14ac:dyDescent="0.35">
      <c r="A248" s="2">
        <v>252</v>
      </c>
      <c r="B248" s="258">
        <v>2002243</v>
      </c>
      <c r="C248" s="3" t="s">
        <v>26</v>
      </c>
      <c r="D248" s="460">
        <v>1308</v>
      </c>
      <c r="E248" s="292" t="s">
        <v>215</v>
      </c>
      <c r="F248" s="292" t="s">
        <v>170</v>
      </c>
      <c r="G248" s="3" t="s">
        <v>183</v>
      </c>
      <c r="H248" s="13" t="s">
        <v>146</v>
      </c>
      <c r="I248" s="10">
        <f>SUMIFS('Cutters Consumption Updates'!$F:$F,'Cutters Consumption Updates'!$D:$D,I$1,'Cutters Consumption Updates'!$B:$B,$B248)-SUMIFS('Cutters Consumption Updates'!$E:$E,'Cutters Consumption Updates'!$D:$D,I$1,'Cutters Consumption Updates'!$B:$B,$B248)+ SUMIF('Cutters Consumption Updates'!$AS:$AS,$B248,'Cutters Consumption Updates'!AT:AT)</f>
        <v>0</v>
      </c>
      <c r="J248" s="10">
        <f>SUMIFS('Cutters Consumption Updates'!$F:$F,'Cutters Consumption Updates'!$D:$D,J$1,'Cutters Consumption Updates'!$B:$B,$B248)-SUMIFS('Cutters Consumption Updates'!$E:$E,'Cutters Consumption Updates'!$D:$D,J$1,'Cutters Consumption Updates'!$B:$B,$B248)+ SUMIF('Cutters Consumption Updates'!$AS:$AS,$B248,'Cutters Consumption Updates'!AU:AU)</f>
        <v>0</v>
      </c>
      <c r="K248" s="116">
        <f>SUMIFS('Cutters Consumption Updates'!$F:$F,'Cutters Consumption Updates'!$D:$D,K$1,'Cutters Consumption Updates'!$B:$B,$B248)-SUMIFS('Cutters Consumption Updates'!$E:$E,'Cutters Consumption Updates'!$D:$D,K$1,'Cutters Consumption Updates'!$B:$B,$B248)+ SUMIF('Cutters Consumption Updates'!$AS:$AS,$B248,'Cutters Consumption Updates'!AV:AV)</f>
        <v>0</v>
      </c>
      <c r="L248" s="738">
        <f>SUMIFS('Cutters Consumption Updates'!$F:$F,'Cutters Consumption Updates'!$D:$D,L$1,'Cutters Consumption Updates'!$B:$B,$B248)-SUMIFS('Cutters Consumption Updates'!$E:$E,'Cutters Consumption Updates'!$D:$D,L$1,'Cutters Consumption Updates'!$B:$B,$B248)+ SUMIF('Cutters Consumption Updates'!$AS:$AS,$B248,'Cutters Consumption Updates'!AW:AW)</f>
        <v>0</v>
      </c>
      <c r="M248" s="116">
        <f>SUMIFS('Cutters Consumption Updates'!$F:$F,'Cutters Consumption Updates'!$D:$D,M$1,'Cutters Consumption Updates'!$B:$B,$B248)-SUMIFS('Cutters Consumption Updates'!$E:$E,'Cutters Consumption Updates'!$D:$D,$M$1,'Cutters Consumption Updates'!$B:$B,$B248)+SUMIFS('Cutters Consumption Updates'!$F:$F,'Cutters Consumption Updates'!$D:$D,"Retrofit",'Cutters Consumption Updates'!$B:$B,$B248)-SUMIFS('Cutters Consumption Updates'!$E:$E,'Cutters Consumption Updates'!$D:$D,"Retrofit",'Cutters Consumption Updates'!$B:$B,$B248)+ SUMIF('Cutters Consumption Updates'!$AS:$AS,$B248,'Cutters Consumption Updates'!AX:AX)</f>
        <v>0</v>
      </c>
      <c r="N248" s="10">
        <f t="shared" si="36"/>
        <v>0</v>
      </c>
      <c r="O248" s="701">
        <f ca="1">SUMIFS('Cutters Consumption Updates'!E:E,
        'Cutters Consumption Updates'!B:B, B248,
        'Cutters Consumption Updates'!A:A, "&gt;" &amp; TODAY()-182)</f>
        <v>214</v>
      </c>
      <c r="P248" s="701">
        <f ca="1">SUMIFS('Cutters Consumption Updates'!E:E,
        'Cutters Consumption Updates'!B:B, B248,
        'Cutters Consumption Updates'!A:A, "&gt;" &amp; TODAY()-91)</f>
        <v>0</v>
      </c>
      <c r="Q248" s="701">
        <f t="shared" ca="1" si="37"/>
        <v>72</v>
      </c>
      <c r="R248" s="703">
        <f t="shared" ca="1" si="38"/>
        <v>75</v>
      </c>
      <c r="S248" s="703" t="s">
        <v>121</v>
      </c>
      <c r="T248" s="24">
        <f>IFERROR(INDEX(Table5[],MATCH($B248,Table5[Component],0),2),0)</f>
        <v>0</v>
      </c>
      <c r="U248" s="24">
        <f>SUMIFS(Table7[Balance],Table7[Cutter Mat'#],$B248)</f>
        <v>0</v>
      </c>
      <c r="V248" s="24">
        <f t="shared" si="39"/>
        <v>0</v>
      </c>
      <c r="W248" s="119"/>
      <c r="X248" s="2"/>
      <c r="Z248" s="4">
        <f>IFERROR(INDEX(Table5[],MATCH($B248,Table5[Component],0),2),0)</f>
        <v>0</v>
      </c>
      <c r="AA248" s="4">
        <f>IFERROR(INDEX(Table5[],MATCH($B248,Table5[Component],0),1),0)</f>
        <v>0</v>
      </c>
      <c r="AB248" s="4" t="str">
        <f t="shared" si="40"/>
        <v/>
      </c>
      <c r="AC248" s="4" t="str">
        <f t="shared" si="41"/>
        <v/>
      </c>
      <c r="AE248" s="4">
        <f t="shared" si="42"/>
        <v>0</v>
      </c>
      <c r="AJ248" s="248" t="str">
        <f t="shared" si="43"/>
        <v/>
      </c>
      <c r="AK248" s="248" t="str">
        <f t="shared" si="44"/>
        <v/>
      </c>
      <c r="AL248">
        <f t="shared" si="45"/>
        <v>0</v>
      </c>
      <c r="AO248" s="4"/>
      <c r="AP248" s="4"/>
      <c r="AQ248">
        <f t="shared" si="47"/>
        <v>0</v>
      </c>
      <c r="AR248" s="4"/>
      <c r="AS248" s="4">
        <v>1244960</v>
      </c>
      <c r="AT248">
        <f t="shared" si="46"/>
        <v>0</v>
      </c>
    </row>
    <row r="249" spans="1:46" ht="15.5" x14ac:dyDescent="0.35">
      <c r="A249" s="2">
        <v>253</v>
      </c>
      <c r="B249" s="258">
        <v>1266417</v>
      </c>
      <c r="C249" s="3" t="s">
        <v>216</v>
      </c>
      <c r="D249" s="460">
        <v>1313</v>
      </c>
      <c r="E249" s="292" t="s">
        <v>217</v>
      </c>
      <c r="F249" s="292" t="s">
        <v>109</v>
      </c>
      <c r="G249" s="3"/>
      <c r="H249" s="13" t="s">
        <v>161</v>
      </c>
      <c r="I249" s="10">
        <f>SUMIFS('Cutters Consumption Updates'!$F:$F,'Cutters Consumption Updates'!$D:$D,I$1,'Cutters Consumption Updates'!$B:$B,$B249)-SUMIFS('Cutters Consumption Updates'!$E:$E,'Cutters Consumption Updates'!$D:$D,I$1,'Cutters Consumption Updates'!$B:$B,$B249)+ SUMIF('Cutters Consumption Updates'!$AS:$AS,$B249,'Cutters Consumption Updates'!AT:AT)</f>
        <v>0</v>
      </c>
      <c r="J249" s="10">
        <f>SUMIFS('Cutters Consumption Updates'!$F:$F,'Cutters Consumption Updates'!$D:$D,J$1,'Cutters Consumption Updates'!$B:$B,$B249)-SUMIFS('Cutters Consumption Updates'!$E:$E,'Cutters Consumption Updates'!$D:$D,J$1,'Cutters Consumption Updates'!$B:$B,$B249)+ SUMIF('Cutters Consumption Updates'!$AS:$AS,$B249,'Cutters Consumption Updates'!AU:AU)</f>
        <v>0</v>
      </c>
      <c r="K249" s="116">
        <f>SUMIFS('Cutters Consumption Updates'!$F:$F,'Cutters Consumption Updates'!$D:$D,K$1,'Cutters Consumption Updates'!$B:$B,$B249)-SUMIFS('Cutters Consumption Updates'!$E:$E,'Cutters Consumption Updates'!$D:$D,K$1,'Cutters Consumption Updates'!$B:$B,$B249)+ SUMIF('Cutters Consumption Updates'!$AS:$AS,$B249,'Cutters Consumption Updates'!AV:AV)</f>
        <v>0</v>
      </c>
      <c r="L249" s="738">
        <f>SUMIFS('Cutters Consumption Updates'!$F:$F,'Cutters Consumption Updates'!$D:$D,L$1,'Cutters Consumption Updates'!$B:$B,$B249)-SUMIFS('Cutters Consumption Updates'!$E:$E,'Cutters Consumption Updates'!$D:$D,L$1,'Cutters Consumption Updates'!$B:$B,$B249)+ SUMIF('Cutters Consumption Updates'!$AS:$AS,$B249,'Cutters Consumption Updates'!AW:AW)</f>
        <v>0</v>
      </c>
      <c r="M249" s="116">
        <f>SUMIFS('Cutters Consumption Updates'!$F:$F,'Cutters Consumption Updates'!$D:$D,M$1,'Cutters Consumption Updates'!$B:$B,$B249)-SUMIFS('Cutters Consumption Updates'!$E:$E,'Cutters Consumption Updates'!$D:$D,$M$1,'Cutters Consumption Updates'!$B:$B,$B249)+SUMIFS('Cutters Consumption Updates'!$F:$F,'Cutters Consumption Updates'!$D:$D,"Retrofit",'Cutters Consumption Updates'!$B:$B,$B249)-SUMIFS('Cutters Consumption Updates'!$E:$E,'Cutters Consumption Updates'!$D:$D,"Retrofit",'Cutters Consumption Updates'!$B:$B,$B249)+ SUMIF('Cutters Consumption Updates'!$AS:$AS,$B249,'Cutters Consumption Updates'!AX:AX)</f>
        <v>21</v>
      </c>
      <c r="N249" s="10">
        <f t="shared" si="36"/>
        <v>21</v>
      </c>
      <c r="O249" s="701">
        <f ca="1">SUMIFS('Cutters Consumption Updates'!E:E,
        'Cutters Consumption Updates'!B:B, B249,
        'Cutters Consumption Updates'!A:A, "&gt;" &amp; TODAY()-182)</f>
        <v>0</v>
      </c>
      <c r="P249" s="701">
        <f ca="1">SUMIFS('Cutters Consumption Updates'!E:E,
        'Cutters Consumption Updates'!B:B, B249,
        'Cutters Consumption Updates'!A:A, "&gt;" &amp; TODAY()-91)</f>
        <v>0</v>
      </c>
      <c r="Q249" s="701">
        <f t="shared" ca="1" si="37"/>
        <v>0</v>
      </c>
      <c r="R249" s="703">
        <f t="shared" ca="1" si="38"/>
        <v>0</v>
      </c>
      <c r="S249" s="703" t="s">
        <v>29</v>
      </c>
      <c r="T249" s="24">
        <f>IFERROR(INDEX(Table5[],MATCH($B249,Table5[Component],0),2),0)</f>
        <v>0</v>
      </c>
      <c r="U249" s="24">
        <f>SUMIFS(Table7[Balance],Table7[Cutter Mat'#],$B249)</f>
        <v>0</v>
      </c>
      <c r="V249" s="24">
        <f t="shared" si="39"/>
        <v>21</v>
      </c>
      <c r="W249" s="119"/>
      <c r="X249" s="2"/>
      <c r="Z249" s="4">
        <f>IFERROR(INDEX(Table5[],MATCH($B249,Table5[Component],0),2),0)</f>
        <v>0</v>
      </c>
      <c r="AA249" s="4">
        <f>IFERROR(INDEX(Table5[],MATCH($B249,Table5[Component],0),1),0)</f>
        <v>0</v>
      </c>
      <c r="AB249" s="4" t="str">
        <f t="shared" si="40"/>
        <v/>
      </c>
      <c r="AC249" s="4" t="str">
        <f t="shared" si="41"/>
        <v/>
      </c>
      <c r="AE249" s="4">
        <f t="shared" si="42"/>
        <v>21</v>
      </c>
      <c r="AJ249" s="248" t="str">
        <f t="shared" si="43"/>
        <v/>
      </c>
      <c r="AK249" s="248" t="str">
        <f t="shared" si="44"/>
        <v/>
      </c>
      <c r="AL249">
        <f t="shared" si="45"/>
        <v>0</v>
      </c>
      <c r="AO249" s="4"/>
      <c r="AP249" s="4"/>
      <c r="AQ249">
        <f t="shared" si="47"/>
        <v>0</v>
      </c>
      <c r="AR249" s="4"/>
      <c r="AS249" s="4">
        <v>1247589</v>
      </c>
      <c r="AT249">
        <f t="shared" si="46"/>
        <v>0</v>
      </c>
    </row>
    <row r="250" spans="1:46" ht="15.5" x14ac:dyDescent="0.35">
      <c r="A250" s="2">
        <v>254</v>
      </c>
      <c r="B250" s="258">
        <v>1296685</v>
      </c>
      <c r="C250" s="3" t="s">
        <v>172</v>
      </c>
      <c r="D250" s="460">
        <v>1613</v>
      </c>
      <c r="E250" s="292" t="s">
        <v>218</v>
      </c>
      <c r="F250" s="292" t="s">
        <v>109</v>
      </c>
      <c r="G250" s="3"/>
      <c r="H250" s="13" t="s">
        <v>161</v>
      </c>
      <c r="I250" s="10">
        <f>SUMIFS('Cutters Consumption Updates'!$F:$F,'Cutters Consumption Updates'!$D:$D,I$1,'Cutters Consumption Updates'!$B:$B,$B250)-SUMIFS('Cutters Consumption Updates'!$E:$E,'Cutters Consumption Updates'!$D:$D,I$1,'Cutters Consumption Updates'!$B:$B,$B250)+ SUMIF('Cutters Consumption Updates'!$AS:$AS,$B250,'Cutters Consumption Updates'!AT:AT)</f>
        <v>0</v>
      </c>
      <c r="J250" s="10">
        <f>SUMIFS('Cutters Consumption Updates'!$F:$F,'Cutters Consumption Updates'!$D:$D,J$1,'Cutters Consumption Updates'!$B:$B,$B250)-SUMIFS('Cutters Consumption Updates'!$E:$E,'Cutters Consumption Updates'!$D:$D,J$1,'Cutters Consumption Updates'!$B:$B,$B250)+ SUMIF('Cutters Consumption Updates'!$AS:$AS,$B250,'Cutters Consumption Updates'!AU:AU)</f>
        <v>0</v>
      </c>
      <c r="K250" s="116">
        <f>SUMIFS('Cutters Consumption Updates'!$F:$F,'Cutters Consumption Updates'!$D:$D,K$1,'Cutters Consumption Updates'!$B:$B,$B250)-SUMIFS('Cutters Consumption Updates'!$E:$E,'Cutters Consumption Updates'!$D:$D,K$1,'Cutters Consumption Updates'!$B:$B,$B250)+ SUMIF('Cutters Consumption Updates'!$AS:$AS,$B250,'Cutters Consumption Updates'!AV:AV)</f>
        <v>0</v>
      </c>
      <c r="L250" s="738">
        <f>SUMIFS('Cutters Consumption Updates'!$F:$F,'Cutters Consumption Updates'!$D:$D,L$1,'Cutters Consumption Updates'!$B:$B,$B250)-SUMIFS('Cutters Consumption Updates'!$E:$E,'Cutters Consumption Updates'!$D:$D,L$1,'Cutters Consumption Updates'!$B:$B,$B250)+ SUMIF('Cutters Consumption Updates'!$AS:$AS,$B250,'Cutters Consumption Updates'!AW:AW)</f>
        <v>0</v>
      </c>
      <c r="M250" s="116">
        <f>SUMIFS('Cutters Consumption Updates'!$F:$F,'Cutters Consumption Updates'!$D:$D,M$1,'Cutters Consumption Updates'!$B:$B,$B250)-SUMIFS('Cutters Consumption Updates'!$E:$E,'Cutters Consumption Updates'!$D:$D,$M$1,'Cutters Consumption Updates'!$B:$B,$B250)+SUMIFS('Cutters Consumption Updates'!$F:$F,'Cutters Consumption Updates'!$D:$D,"Retrofit",'Cutters Consumption Updates'!$B:$B,$B250)-SUMIFS('Cutters Consumption Updates'!$E:$E,'Cutters Consumption Updates'!$D:$D,"Retrofit",'Cutters Consumption Updates'!$B:$B,$B250)+ SUMIF('Cutters Consumption Updates'!$AS:$AS,$B250,'Cutters Consumption Updates'!AX:AX)</f>
        <v>100</v>
      </c>
      <c r="N250" s="10">
        <f t="shared" si="36"/>
        <v>100</v>
      </c>
      <c r="O250" s="701">
        <f ca="1">SUMIFS('Cutters Consumption Updates'!E:E,
        'Cutters Consumption Updates'!B:B, B250,
        'Cutters Consumption Updates'!A:A, "&gt;" &amp; TODAY()-182)</f>
        <v>196</v>
      </c>
      <c r="P250" s="701">
        <f ca="1">SUMIFS('Cutters Consumption Updates'!E:E,
        'Cutters Consumption Updates'!B:B, B250,
        'Cutters Consumption Updates'!A:A, "&gt;" &amp; TODAY()-91)</f>
        <v>118</v>
      </c>
      <c r="Q250" s="701">
        <f t="shared" ca="1" si="37"/>
        <v>66</v>
      </c>
      <c r="R250" s="703">
        <f t="shared" ca="1" si="38"/>
        <v>70</v>
      </c>
      <c r="S250" s="703" t="s">
        <v>175</v>
      </c>
      <c r="T250" s="24">
        <f>IFERROR(INDEX(Table5[],MATCH($B250,Table5[Component],0),2),0)</f>
        <v>623</v>
      </c>
      <c r="U250" s="24">
        <f>SUMIFS(Table7[Balance],Table7[Cutter Mat'#],$B250)</f>
        <v>0</v>
      </c>
      <c r="V250" s="24">
        <f t="shared" si="39"/>
        <v>-523</v>
      </c>
      <c r="W250" s="119"/>
      <c r="X250" s="2"/>
      <c r="Z250" s="4">
        <f>IFERROR(INDEX(Table5[],MATCH($B250,Table5[Component],0),2),0)</f>
        <v>623</v>
      </c>
      <c r="AA250" s="4">
        <f>IFERROR(INDEX(Table5[],MATCH($B250,Table5[Component],0),1),0)</f>
        <v>1296685</v>
      </c>
      <c r="AB250" s="4">
        <f t="shared" si="40"/>
        <v>1296685</v>
      </c>
      <c r="AC250" s="4" t="str">
        <f t="shared" si="41"/>
        <v/>
      </c>
      <c r="AE250" s="4">
        <f t="shared" si="42"/>
        <v>100</v>
      </c>
      <c r="AJ250" s="248" t="str">
        <f t="shared" si="43"/>
        <v/>
      </c>
      <c r="AK250" s="248" t="str">
        <f t="shared" si="44"/>
        <v/>
      </c>
      <c r="AL250">
        <f t="shared" si="45"/>
        <v>0</v>
      </c>
      <c r="AO250" s="4"/>
      <c r="AP250" s="4"/>
      <c r="AQ250">
        <f t="shared" si="47"/>
        <v>0</v>
      </c>
      <c r="AR250" s="4"/>
      <c r="AS250" s="4">
        <v>1250971</v>
      </c>
      <c r="AT250">
        <f t="shared" si="46"/>
        <v>0</v>
      </c>
    </row>
    <row r="251" spans="1:46" ht="15.5" x14ac:dyDescent="0.35">
      <c r="A251" s="2">
        <v>255</v>
      </c>
      <c r="B251" s="258">
        <v>1290837</v>
      </c>
      <c r="C251" s="3" t="s">
        <v>172</v>
      </c>
      <c r="D251" s="460">
        <v>1613</v>
      </c>
      <c r="E251" s="292" t="s">
        <v>219</v>
      </c>
      <c r="F251" s="292" t="s">
        <v>109</v>
      </c>
      <c r="G251" s="3"/>
      <c r="H251" s="13" t="s">
        <v>169</v>
      </c>
      <c r="I251" s="10">
        <f>SUMIFS('Cutters Consumption Updates'!$F:$F,'Cutters Consumption Updates'!$D:$D,I$1,'Cutters Consumption Updates'!$B:$B,$B251)-SUMIFS('Cutters Consumption Updates'!$E:$E,'Cutters Consumption Updates'!$D:$D,I$1,'Cutters Consumption Updates'!$B:$B,$B251)+ SUMIF('Cutters Consumption Updates'!$AS:$AS,$B251,'Cutters Consumption Updates'!AT:AT)</f>
        <v>0</v>
      </c>
      <c r="J251" s="10">
        <f>SUMIFS('Cutters Consumption Updates'!$F:$F,'Cutters Consumption Updates'!$D:$D,J$1,'Cutters Consumption Updates'!$B:$B,$B251)-SUMIFS('Cutters Consumption Updates'!$E:$E,'Cutters Consumption Updates'!$D:$D,J$1,'Cutters Consumption Updates'!$B:$B,$B251)+ SUMIF('Cutters Consumption Updates'!$AS:$AS,$B251,'Cutters Consumption Updates'!AU:AU)</f>
        <v>0</v>
      </c>
      <c r="K251" s="116">
        <f>SUMIFS('Cutters Consumption Updates'!$F:$F,'Cutters Consumption Updates'!$D:$D,K$1,'Cutters Consumption Updates'!$B:$B,$B251)-SUMIFS('Cutters Consumption Updates'!$E:$E,'Cutters Consumption Updates'!$D:$D,K$1,'Cutters Consumption Updates'!$B:$B,$B251)+ SUMIF('Cutters Consumption Updates'!$AS:$AS,$B251,'Cutters Consumption Updates'!AV:AV)</f>
        <v>0</v>
      </c>
      <c r="L251" s="738">
        <f>SUMIFS('Cutters Consumption Updates'!$F:$F,'Cutters Consumption Updates'!$D:$D,L$1,'Cutters Consumption Updates'!$B:$B,$B251)-SUMIFS('Cutters Consumption Updates'!$E:$E,'Cutters Consumption Updates'!$D:$D,L$1,'Cutters Consumption Updates'!$B:$B,$B251)+ SUMIF('Cutters Consumption Updates'!$AS:$AS,$B251,'Cutters Consumption Updates'!AW:AW)</f>
        <v>0</v>
      </c>
      <c r="M251" s="116">
        <f>SUMIFS('Cutters Consumption Updates'!$F:$F,'Cutters Consumption Updates'!$D:$D,M$1,'Cutters Consumption Updates'!$B:$B,$B251)-SUMIFS('Cutters Consumption Updates'!$E:$E,'Cutters Consumption Updates'!$D:$D,$M$1,'Cutters Consumption Updates'!$B:$B,$B251)+SUMIFS('Cutters Consumption Updates'!$F:$F,'Cutters Consumption Updates'!$D:$D,"Retrofit",'Cutters Consumption Updates'!$B:$B,$B251)-SUMIFS('Cutters Consumption Updates'!$E:$E,'Cutters Consumption Updates'!$D:$D,"Retrofit",'Cutters Consumption Updates'!$B:$B,$B251)+ SUMIF('Cutters Consumption Updates'!$AS:$AS,$B251,'Cutters Consumption Updates'!AX:AX)</f>
        <v>8</v>
      </c>
      <c r="N251" s="10">
        <f t="shared" si="36"/>
        <v>8</v>
      </c>
      <c r="O251" s="701">
        <f ca="1">SUMIFS('Cutters Consumption Updates'!E:E,
        'Cutters Consumption Updates'!B:B, B251,
        'Cutters Consumption Updates'!A:A, "&gt;" &amp; TODAY()-182)</f>
        <v>64</v>
      </c>
      <c r="P251" s="701">
        <f ca="1">SUMIFS('Cutters Consumption Updates'!E:E,
        'Cutters Consumption Updates'!B:B, B251,
        'Cutters Consumption Updates'!A:A, "&gt;" &amp; TODAY()-91)</f>
        <v>17</v>
      </c>
      <c r="Q251" s="701">
        <f t="shared" ca="1" si="37"/>
        <v>22</v>
      </c>
      <c r="R251" s="703">
        <f t="shared" ca="1" si="38"/>
        <v>25</v>
      </c>
      <c r="S251" s="703" t="s">
        <v>220</v>
      </c>
      <c r="T251" s="24">
        <f>IFERROR(INDEX(Table5[],MATCH($B251,Table5[Component],0),2),0)</f>
        <v>0</v>
      </c>
      <c r="U251" s="24">
        <f>SUMIFS(Table7[Balance],Table7[Cutter Mat'#],$B251)</f>
        <v>0</v>
      </c>
      <c r="V251" s="24">
        <f t="shared" si="39"/>
        <v>8</v>
      </c>
      <c r="W251" s="119"/>
      <c r="X251" s="2"/>
      <c r="Z251" s="4">
        <f>IFERROR(INDEX(Table5[],MATCH($B251,Table5[Component],0),2),0)</f>
        <v>0</v>
      </c>
      <c r="AA251" s="4">
        <f>IFERROR(INDEX(Table5[],MATCH($B251,Table5[Component],0),1),0)</f>
        <v>0</v>
      </c>
      <c r="AB251" s="4" t="str">
        <f t="shared" si="40"/>
        <v/>
      </c>
      <c r="AC251" s="4" t="str">
        <f t="shared" si="41"/>
        <v/>
      </c>
      <c r="AE251" s="4">
        <f t="shared" si="42"/>
        <v>8</v>
      </c>
      <c r="AJ251" s="248" t="str">
        <f t="shared" si="43"/>
        <v/>
      </c>
      <c r="AK251" s="248" t="str">
        <f t="shared" si="44"/>
        <v/>
      </c>
      <c r="AL251">
        <f t="shared" si="45"/>
        <v>0</v>
      </c>
      <c r="AO251" s="4"/>
      <c r="AP251" s="4"/>
      <c r="AQ251">
        <f t="shared" si="47"/>
        <v>0</v>
      </c>
      <c r="AR251" s="4"/>
      <c r="AS251" s="4">
        <v>1255772</v>
      </c>
      <c r="AT251">
        <f t="shared" si="46"/>
        <v>0</v>
      </c>
    </row>
    <row r="252" spans="1:46" ht="15.5" x14ac:dyDescent="0.35">
      <c r="A252" s="2">
        <v>256</v>
      </c>
      <c r="B252" s="258">
        <v>2002235</v>
      </c>
      <c r="C252" s="3" t="s">
        <v>26</v>
      </c>
      <c r="D252" s="460">
        <v>1613</v>
      </c>
      <c r="E252" s="292" t="s">
        <v>221</v>
      </c>
      <c r="F252" s="292" t="s">
        <v>177</v>
      </c>
      <c r="G252" s="3"/>
      <c r="H252" s="13" t="s">
        <v>169</v>
      </c>
      <c r="I252" s="10">
        <f>SUMIFS('Cutters Consumption Updates'!$F:$F,'Cutters Consumption Updates'!$D:$D,I$1,'Cutters Consumption Updates'!$B:$B,$B252)-SUMIFS('Cutters Consumption Updates'!$E:$E,'Cutters Consumption Updates'!$D:$D,I$1,'Cutters Consumption Updates'!$B:$B,$B252)+ SUMIF('Cutters Consumption Updates'!$AS:$AS,$B252,'Cutters Consumption Updates'!AT:AT)</f>
        <v>0</v>
      </c>
      <c r="J252" s="10">
        <f>SUMIFS('Cutters Consumption Updates'!$F:$F,'Cutters Consumption Updates'!$D:$D,J$1,'Cutters Consumption Updates'!$B:$B,$B252)-SUMIFS('Cutters Consumption Updates'!$E:$E,'Cutters Consumption Updates'!$D:$D,J$1,'Cutters Consumption Updates'!$B:$B,$B252)+ SUMIF('Cutters Consumption Updates'!$AS:$AS,$B252,'Cutters Consumption Updates'!AU:AU)</f>
        <v>0</v>
      </c>
      <c r="K252" s="116">
        <f>SUMIFS('Cutters Consumption Updates'!$F:$F,'Cutters Consumption Updates'!$D:$D,K$1,'Cutters Consumption Updates'!$B:$B,$B252)-SUMIFS('Cutters Consumption Updates'!$E:$E,'Cutters Consumption Updates'!$D:$D,K$1,'Cutters Consumption Updates'!$B:$B,$B252)+ SUMIF('Cutters Consumption Updates'!$AS:$AS,$B252,'Cutters Consumption Updates'!AV:AV)</f>
        <v>0</v>
      </c>
      <c r="L252" s="738">
        <f>SUMIFS('Cutters Consumption Updates'!$F:$F,'Cutters Consumption Updates'!$D:$D,L$1,'Cutters Consumption Updates'!$B:$B,$B252)-SUMIFS('Cutters Consumption Updates'!$E:$E,'Cutters Consumption Updates'!$D:$D,L$1,'Cutters Consumption Updates'!$B:$B,$B252)+ SUMIF('Cutters Consumption Updates'!$AS:$AS,$B252,'Cutters Consumption Updates'!AW:AW)</f>
        <v>0</v>
      </c>
      <c r="M252" s="116">
        <f>SUMIFS('Cutters Consumption Updates'!$F:$F,'Cutters Consumption Updates'!$D:$D,M$1,'Cutters Consumption Updates'!$B:$B,$B252)-SUMIFS('Cutters Consumption Updates'!$E:$E,'Cutters Consumption Updates'!$D:$D,$M$1,'Cutters Consumption Updates'!$B:$B,$B252)+SUMIFS('Cutters Consumption Updates'!$F:$F,'Cutters Consumption Updates'!$D:$D,"Retrofit",'Cutters Consumption Updates'!$B:$B,$B252)-SUMIFS('Cutters Consumption Updates'!$E:$E,'Cutters Consumption Updates'!$D:$D,"Retrofit",'Cutters Consumption Updates'!$B:$B,$B252)+ SUMIF('Cutters Consumption Updates'!$AS:$AS,$B252,'Cutters Consumption Updates'!AX:AX)</f>
        <v>0</v>
      </c>
      <c r="N252" s="10">
        <f t="shared" si="36"/>
        <v>0</v>
      </c>
      <c r="O252" s="701">
        <f ca="1">SUMIFS('Cutters Consumption Updates'!E:E,
        'Cutters Consumption Updates'!B:B, B252,
        'Cutters Consumption Updates'!A:A, "&gt;" &amp; TODAY()-182)</f>
        <v>30</v>
      </c>
      <c r="P252" s="701">
        <f ca="1">SUMIFS('Cutters Consumption Updates'!E:E,
        'Cutters Consumption Updates'!B:B, B252,
        'Cutters Consumption Updates'!A:A, "&gt;" &amp; TODAY()-91)</f>
        <v>0</v>
      </c>
      <c r="Q252" s="701">
        <f t="shared" ca="1" si="37"/>
        <v>10</v>
      </c>
      <c r="R252" s="703">
        <f t="shared" ca="1" si="38"/>
        <v>15</v>
      </c>
      <c r="S252" s="703" t="s">
        <v>29</v>
      </c>
      <c r="T252" s="24">
        <f>IFERROR(INDEX(Table5[],MATCH($B252,Table5[Component],0),2),0)</f>
        <v>0</v>
      </c>
      <c r="U252" s="24">
        <f>SUMIFS(Table7[Balance],Table7[Cutter Mat'#],$B252)</f>
        <v>0</v>
      </c>
      <c r="V252" s="24">
        <f t="shared" si="39"/>
        <v>0</v>
      </c>
      <c r="W252" s="119"/>
      <c r="X252" s="2"/>
      <c r="Z252" s="4">
        <f>IFERROR(INDEX(Table5[],MATCH($B252,Table5[Component],0),2),0)</f>
        <v>0</v>
      </c>
      <c r="AA252" s="4">
        <f>IFERROR(INDEX(Table5[],MATCH($B252,Table5[Component],0),1),0)</f>
        <v>0</v>
      </c>
      <c r="AB252" s="4" t="str">
        <f t="shared" si="40"/>
        <v/>
      </c>
      <c r="AC252" s="4" t="str">
        <f t="shared" si="41"/>
        <v/>
      </c>
      <c r="AE252" s="4">
        <f t="shared" si="42"/>
        <v>0</v>
      </c>
      <c r="AJ252" s="248" t="str">
        <f t="shared" si="43"/>
        <v/>
      </c>
      <c r="AK252" s="248" t="str">
        <f t="shared" si="44"/>
        <v/>
      </c>
      <c r="AL252">
        <f t="shared" si="45"/>
        <v>0</v>
      </c>
      <c r="AO252" s="4"/>
      <c r="AP252" s="4"/>
      <c r="AQ252">
        <f t="shared" si="47"/>
        <v>0</v>
      </c>
      <c r="AR252" s="4"/>
      <c r="AS252" s="4">
        <v>1255773</v>
      </c>
      <c r="AT252">
        <f t="shared" si="46"/>
        <v>0</v>
      </c>
    </row>
    <row r="253" spans="1:46" ht="15.5" x14ac:dyDescent="0.35">
      <c r="A253" s="2">
        <v>257</v>
      </c>
      <c r="B253" s="258">
        <v>1272937</v>
      </c>
      <c r="C253" s="3" t="s">
        <v>26</v>
      </c>
      <c r="D253" s="460">
        <v>1313</v>
      </c>
      <c r="E253" s="292" t="s">
        <v>222</v>
      </c>
      <c r="F253" s="292" t="s">
        <v>177</v>
      </c>
      <c r="G253" s="3"/>
      <c r="H253" s="13" t="s">
        <v>161</v>
      </c>
      <c r="I253" s="10">
        <f>SUMIFS('Cutters Consumption Updates'!$F:$F,'Cutters Consumption Updates'!$D:$D,I$1,'Cutters Consumption Updates'!$B:$B,$B253)-SUMIFS('Cutters Consumption Updates'!$E:$E,'Cutters Consumption Updates'!$D:$D,I$1,'Cutters Consumption Updates'!$B:$B,$B253)+ SUMIF('Cutters Consumption Updates'!$AS:$AS,$B253,'Cutters Consumption Updates'!AT:AT)</f>
        <v>0</v>
      </c>
      <c r="J253" s="10">
        <f>SUMIFS('Cutters Consumption Updates'!$F:$F,'Cutters Consumption Updates'!$D:$D,J$1,'Cutters Consumption Updates'!$B:$B,$B253)-SUMIFS('Cutters Consumption Updates'!$E:$E,'Cutters Consumption Updates'!$D:$D,J$1,'Cutters Consumption Updates'!$B:$B,$B253)+ SUMIF('Cutters Consumption Updates'!$AS:$AS,$B253,'Cutters Consumption Updates'!AU:AU)</f>
        <v>0</v>
      </c>
      <c r="K253" s="116">
        <f>SUMIFS('Cutters Consumption Updates'!$F:$F,'Cutters Consumption Updates'!$D:$D,K$1,'Cutters Consumption Updates'!$B:$B,$B253)-SUMIFS('Cutters Consumption Updates'!$E:$E,'Cutters Consumption Updates'!$D:$D,K$1,'Cutters Consumption Updates'!$B:$B,$B253)+ SUMIF('Cutters Consumption Updates'!$AS:$AS,$B253,'Cutters Consumption Updates'!AV:AV)</f>
        <v>0</v>
      </c>
      <c r="L253" s="738">
        <f>SUMIFS('Cutters Consumption Updates'!$F:$F,'Cutters Consumption Updates'!$D:$D,L$1,'Cutters Consumption Updates'!$B:$B,$B253)-SUMIFS('Cutters Consumption Updates'!$E:$E,'Cutters Consumption Updates'!$D:$D,L$1,'Cutters Consumption Updates'!$B:$B,$B253)+ SUMIF('Cutters Consumption Updates'!$AS:$AS,$B253,'Cutters Consumption Updates'!AW:AW)</f>
        <v>0</v>
      </c>
      <c r="M253" s="116">
        <f>SUMIFS('Cutters Consumption Updates'!$F:$F,'Cutters Consumption Updates'!$D:$D,M$1,'Cutters Consumption Updates'!$B:$B,$B253)-SUMIFS('Cutters Consumption Updates'!$E:$E,'Cutters Consumption Updates'!$D:$D,$M$1,'Cutters Consumption Updates'!$B:$B,$B253)+SUMIFS('Cutters Consumption Updates'!$F:$F,'Cutters Consumption Updates'!$D:$D,"Retrofit",'Cutters Consumption Updates'!$B:$B,$B253)-SUMIFS('Cutters Consumption Updates'!$E:$E,'Cutters Consumption Updates'!$D:$D,"Retrofit",'Cutters Consumption Updates'!$B:$B,$B253)+ SUMIF('Cutters Consumption Updates'!$AS:$AS,$B253,'Cutters Consumption Updates'!AX:AX)</f>
        <v>-75</v>
      </c>
      <c r="N253" s="10">
        <f t="shared" si="36"/>
        <v>-75</v>
      </c>
      <c r="O253" s="701">
        <f ca="1">SUMIFS('Cutters Consumption Updates'!E:E,
        'Cutters Consumption Updates'!B:B, B253,
        'Cutters Consumption Updates'!A:A, "&gt;" &amp; TODAY()-182)</f>
        <v>109</v>
      </c>
      <c r="P253" s="701">
        <f ca="1">SUMIFS('Cutters Consumption Updates'!E:E,
        'Cutters Consumption Updates'!B:B, B253,
        'Cutters Consumption Updates'!A:A, "&gt;" &amp; TODAY()-91)</f>
        <v>98</v>
      </c>
      <c r="Q253" s="701">
        <f t="shared" ca="1" si="37"/>
        <v>37</v>
      </c>
      <c r="R253" s="703">
        <f t="shared" ca="1" si="38"/>
        <v>40</v>
      </c>
      <c r="S253" s="703" t="s">
        <v>223</v>
      </c>
      <c r="T253" s="24">
        <f>IFERROR(INDEX(Table5[],MATCH($B253,Table5[Component],0),2),0)</f>
        <v>0</v>
      </c>
      <c r="U253" s="24">
        <f>SUMIFS(Table7[Balance],Table7[Cutter Mat'#],$B253)</f>
        <v>75</v>
      </c>
      <c r="V253" s="24">
        <f t="shared" si="39"/>
        <v>0</v>
      </c>
      <c r="W253" s="119"/>
      <c r="X253" s="2"/>
      <c r="Z253" s="4">
        <f>IFERROR(INDEX(Table5[],MATCH($B253,Table5[Component],0),2),0)</f>
        <v>0</v>
      </c>
      <c r="AA253" s="4">
        <f>IFERROR(INDEX(Table5[],MATCH($B253,Table5[Component],0),1),0)</f>
        <v>0</v>
      </c>
      <c r="AB253" s="4" t="str">
        <f t="shared" si="40"/>
        <v/>
      </c>
      <c r="AC253" s="4" t="str">
        <f t="shared" si="41"/>
        <v/>
      </c>
      <c r="AE253" s="4">
        <f t="shared" si="42"/>
        <v>-75</v>
      </c>
      <c r="AJ253" s="248" t="str">
        <f t="shared" si="43"/>
        <v/>
      </c>
      <c r="AK253" s="248" t="str">
        <f t="shared" si="44"/>
        <v/>
      </c>
      <c r="AL253">
        <f t="shared" si="45"/>
        <v>0</v>
      </c>
      <c r="AO253" s="4"/>
      <c r="AP253" s="4"/>
      <c r="AQ253">
        <f t="shared" si="47"/>
        <v>75</v>
      </c>
      <c r="AR253" s="4"/>
      <c r="AS253" s="4">
        <v>1261319</v>
      </c>
      <c r="AT253">
        <f t="shared" si="46"/>
        <v>0</v>
      </c>
    </row>
    <row r="254" spans="1:46" ht="15.5" x14ac:dyDescent="0.35">
      <c r="A254" s="2">
        <v>258</v>
      </c>
      <c r="B254" s="258">
        <v>1282369</v>
      </c>
      <c r="C254" s="3" t="s">
        <v>94</v>
      </c>
      <c r="D254" s="460">
        <v>1313</v>
      </c>
      <c r="E254" s="292" t="s">
        <v>207</v>
      </c>
      <c r="F254" s="292" t="s">
        <v>170</v>
      </c>
      <c r="G254" s="3"/>
      <c r="H254" s="13" t="s">
        <v>161</v>
      </c>
      <c r="I254" s="10">
        <f>SUMIFS('Cutters Consumption Updates'!$F:$F,'Cutters Consumption Updates'!$D:$D,I$1,'Cutters Consumption Updates'!$B:$B,$B254)-SUMIFS('Cutters Consumption Updates'!$E:$E,'Cutters Consumption Updates'!$D:$D,I$1,'Cutters Consumption Updates'!$B:$B,$B254)+ SUMIF('Cutters Consumption Updates'!$AS:$AS,$B254,'Cutters Consumption Updates'!AT:AT)</f>
        <v>0</v>
      </c>
      <c r="J254" s="10">
        <f>SUMIFS('Cutters Consumption Updates'!$F:$F,'Cutters Consumption Updates'!$D:$D,J$1,'Cutters Consumption Updates'!$B:$B,$B254)-SUMIFS('Cutters Consumption Updates'!$E:$E,'Cutters Consumption Updates'!$D:$D,J$1,'Cutters Consumption Updates'!$B:$B,$B254)+ SUMIF('Cutters Consumption Updates'!$AS:$AS,$B254,'Cutters Consumption Updates'!AU:AU)</f>
        <v>0</v>
      </c>
      <c r="K254" s="116">
        <f>SUMIFS('Cutters Consumption Updates'!$F:$F,'Cutters Consumption Updates'!$D:$D,K$1,'Cutters Consumption Updates'!$B:$B,$B254)-SUMIFS('Cutters Consumption Updates'!$E:$E,'Cutters Consumption Updates'!$D:$D,K$1,'Cutters Consumption Updates'!$B:$B,$B254)+ SUMIF('Cutters Consumption Updates'!$AS:$AS,$B254,'Cutters Consumption Updates'!AV:AV)</f>
        <v>0</v>
      </c>
      <c r="L254" s="738">
        <f>SUMIFS('Cutters Consumption Updates'!$F:$F,'Cutters Consumption Updates'!$D:$D,L$1,'Cutters Consumption Updates'!$B:$B,$B254)-SUMIFS('Cutters Consumption Updates'!$E:$E,'Cutters Consumption Updates'!$D:$D,L$1,'Cutters Consumption Updates'!$B:$B,$B254)+ SUMIF('Cutters Consumption Updates'!$AS:$AS,$B254,'Cutters Consumption Updates'!AW:AW)</f>
        <v>0</v>
      </c>
      <c r="M254" s="116">
        <f>SUMIFS('Cutters Consumption Updates'!$F:$F,'Cutters Consumption Updates'!$D:$D,M$1,'Cutters Consumption Updates'!$B:$B,$B254)-SUMIFS('Cutters Consumption Updates'!$E:$E,'Cutters Consumption Updates'!$D:$D,$M$1,'Cutters Consumption Updates'!$B:$B,$B254)+SUMIFS('Cutters Consumption Updates'!$F:$F,'Cutters Consumption Updates'!$D:$D,"Retrofit",'Cutters Consumption Updates'!$B:$B,$B254)-SUMIFS('Cutters Consumption Updates'!$E:$E,'Cutters Consumption Updates'!$D:$D,"Retrofit",'Cutters Consumption Updates'!$B:$B,$B254)+ SUMIF('Cutters Consumption Updates'!$AS:$AS,$B254,'Cutters Consumption Updates'!AX:AX)</f>
        <v>30</v>
      </c>
      <c r="N254" s="10">
        <f t="shared" si="36"/>
        <v>30</v>
      </c>
      <c r="O254" s="701">
        <f ca="1">SUMIFS('Cutters Consumption Updates'!E:E,
        'Cutters Consumption Updates'!B:B, B254,
        'Cutters Consumption Updates'!A:A, "&gt;" &amp; TODAY()-182)</f>
        <v>120</v>
      </c>
      <c r="P254" s="701">
        <f ca="1">SUMIFS('Cutters Consumption Updates'!E:E,
        'Cutters Consumption Updates'!B:B, B254,
        'Cutters Consumption Updates'!A:A, "&gt;" &amp; TODAY()-91)</f>
        <v>107</v>
      </c>
      <c r="Q254" s="701">
        <f t="shared" ca="1" si="37"/>
        <v>40</v>
      </c>
      <c r="R254" s="703">
        <f t="shared" ca="1" si="38"/>
        <v>45</v>
      </c>
      <c r="S254" s="703" t="s">
        <v>126</v>
      </c>
      <c r="T254" s="24">
        <f>IFERROR(INDEX(Table5[],MATCH($B254,Table5[Component],0),2),0)</f>
        <v>13</v>
      </c>
      <c r="U254" s="24">
        <f>SUMIFS(Table7[Balance],Table7[Cutter Mat'#],$B254)</f>
        <v>50</v>
      </c>
      <c r="V254" s="24">
        <f t="shared" si="39"/>
        <v>67</v>
      </c>
      <c r="W254" s="119"/>
      <c r="X254" s="2"/>
      <c r="Z254" s="4">
        <f>IFERROR(INDEX(Table5[],MATCH($B254,Table5[Component],0),2),0)</f>
        <v>13</v>
      </c>
      <c r="AA254" s="4">
        <f>IFERROR(INDEX(Table5[],MATCH($B254,Table5[Component],0),1),0)</f>
        <v>1282369</v>
      </c>
      <c r="AB254" s="4">
        <f t="shared" si="40"/>
        <v>1282369</v>
      </c>
      <c r="AC254" s="4" t="str">
        <f t="shared" si="41"/>
        <v/>
      </c>
      <c r="AE254" s="4">
        <f t="shared" si="42"/>
        <v>30</v>
      </c>
      <c r="AJ254" s="248" t="str">
        <f t="shared" si="43"/>
        <v/>
      </c>
      <c r="AK254" s="248" t="str">
        <f t="shared" si="44"/>
        <v/>
      </c>
      <c r="AL254">
        <f t="shared" si="45"/>
        <v>0</v>
      </c>
      <c r="AO254" s="4"/>
      <c r="AP254" s="4"/>
      <c r="AQ254">
        <f t="shared" si="47"/>
        <v>50</v>
      </c>
      <c r="AR254" s="4"/>
      <c r="AS254" s="4">
        <v>1261320</v>
      </c>
      <c r="AT254">
        <f t="shared" si="46"/>
        <v>0</v>
      </c>
    </row>
    <row r="255" spans="1:46" ht="15.5" x14ac:dyDescent="0.35">
      <c r="A255" s="2">
        <v>259</v>
      </c>
      <c r="B255" s="250">
        <v>1162285</v>
      </c>
      <c r="C255" s="3" t="s">
        <v>26</v>
      </c>
      <c r="D255" s="605">
        <v>1313</v>
      </c>
      <c r="E255" s="606" t="s">
        <v>153</v>
      </c>
      <c r="F255" s="606" t="s">
        <v>109</v>
      </c>
      <c r="G255" s="607"/>
      <c r="H255" s="13" t="s">
        <v>146</v>
      </c>
      <c r="I255" s="10">
        <f>SUMIFS('Cutters Consumption Updates'!$F:$F,'Cutters Consumption Updates'!$D:$D,I$1,'Cutters Consumption Updates'!$B:$B,$B255)-SUMIFS('Cutters Consumption Updates'!$E:$E,'Cutters Consumption Updates'!$D:$D,I$1,'Cutters Consumption Updates'!$B:$B,$B255)+ SUMIF('Cutters Consumption Updates'!$AS:$AS,$B255,'Cutters Consumption Updates'!AT:AT)</f>
        <v>0</v>
      </c>
      <c r="J255" s="10">
        <f>SUMIFS('Cutters Consumption Updates'!$F:$F,'Cutters Consumption Updates'!$D:$D,J$1,'Cutters Consumption Updates'!$B:$B,$B255)-SUMIFS('Cutters Consumption Updates'!$E:$E,'Cutters Consumption Updates'!$D:$D,J$1,'Cutters Consumption Updates'!$B:$B,$B255)+ SUMIF('Cutters Consumption Updates'!$AS:$AS,$B255,'Cutters Consumption Updates'!AU:AU)</f>
        <v>0</v>
      </c>
      <c r="K255" s="116">
        <f>SUMIFS('Cutters Consumption Updates'!$F:$F,'Cutters Consumption Updates'!$D:$D,K$1,'Cutters Consumption Updates'!$B:$B,$B255)-SUMIFS('Cutters Consumption Updates'!$E:$E,'Cutters Consumption Updates'!$D:$D,K$1,'Cutters Consumption Updates'!$B:$B,$B255)+ SUMIF('Cutters Consumption Updates'!$AS:$AS,$B255,'Cutters Consumption Updates'!AV:AV)</f>
        <v>0</v>
      </c>
      <c r="L255" s="738">
        <f>SUMIFS('Cutters Consumption Updates'!$F:$F,'Cutters Consumption Updates'!$D:$D,L$1,'Cutters Consumption Updates'!$B:$B,$B255)-SUMIFS('Cutters Consumption Updates'!$E:$E,'Cutters Consumption Updates'!$D:$D,L$1,'Cutters Consumption Updates'!$B:$B,$B255)+ SUMIF('Cutters Consumption Updates'!$AS:$AS,$B255,'Cutters Consumption Updates'!AW:AW)</f>
        <v>0</v>
      </c>
      <c r="M255" s="116">
        <f>SUMIFS('Cutters Consumption Updates'!$F:$F,'Cutters Consumption Updates'!$D:$D,M$1,'Cutters Consumption Updates'!$B:$B,$B255)-SUMIFS('Cutters Consumption Updates'!$E:$E,'Cutters Consumption Updates'!$D:$D,$M$1,'Cutters Consumption Updates'!$B:$B,$B255)+SUMIFS('Cutters Consumption Updates'!$F:$F,'Cutters Consumption Updates'!$D:$D,"Retrofit",'Cutters Consumption Updates'!$B:$B,$B255)-SUMIFS('Cutters Consumption Updates'!$E:$E,'Cutters Consumption Updates'!$D:$D,"Retrofit",'Cutters Consumption Updates'!$B:$B,$B255)+ SUMIF('Cutters Consumption Updates'!$AS:$AS,$B255,'Cutters Consumption Updates'!AX:AX)</f>
        <v>0</v>
      </c>
      <c r="N255" s="10">
        <f t="shared" si="36"/>
        <v>0</v>
      </c>
      <c r="O255" s="701">
        <f ca="1">SUMIFS('Cutters Consumption Updates'!E:E,
        'Cutters Consumption Updates'!B:B, B255,
        'Cutters Consumption Updates'!A:A, "&gt;" &amp; TODAY()-182)</f>
        <v>0</v>
      </c>
      <c r="P255" s="701">
        <f ca="1">SUMIFS('Cutters Consumption Updates'!E:E,
        'Cutters Consumption Updates'!B:B, B255,
        'Cutters Consumption Updates'!A:A, "&gt;" &amp; TODAY()-91)</f>
        <v>0</v>
      </c>
      <c r="Q255" s="701">
        <f t="shared" ca="1" si="37"/>
        <v>0</v>
      </c>
      <c r="R255" s="703">
        <f t="shared" ca="1" si="38"/>
        <v>0</v>
      </c>
      <c r="S255" s="703" t="s">
        <v>224</v>
      </c>
      <c r="T255" s="24">
        <f>IFERROR(INDEX(Table5[],MATCH($B255,Table5[Component],0),2),0)</f>
        <v>0</v>
      </c>
      <c r="U255" s="24">
        <f>SUMIFS(Table7[Balance],Table7[Cutter Mat'#],$B255)</f>
        <v>0</v>
      </c>
      <c r="V255" s="24">
        <f t="shared" si="39"/>
        <v>0</v>
      </c>
      <c r="W255" s="119"/>
      <c r="X255" s="2"/>
      <c r="Z255" s="4">
        <f>IFERROR(INDEX(Table5[],MATCH($B255,Table5[Component],0),2),0)</f>
        <v>0</v>
      </c>
      <c r="AA255" s="4">
        <f>IFERROR(INDEX(Table5[],MATCH($B255,Table5[Component],0),1),0)</f>
        <v>0</v>
      </c>
      <c r="AB255" s="4" t="str">
        <f t="shared" si="40"/>
        <v/>
      </c>
      <c r="AC255" s="4" t="str">
        <f t="shared" si="41"/>
        <v/>
      </c>
      <c r="AE255" s="4">
        <f t="shared" si="42"/>
        <v>0</v>
      </c>
      <c r="AJ255" s="248" t="str">
        <f t="shared" si="43"/>
        <v/>
      </c>
      <c r="AK255" s="248" t="str">
        <f t="shared" si="44"/>
        <v/>
      </c>
      <c r="AL255">
        <f t="shared" si="45"/>
        <v>0</v>
      </c>
      <c r="AO255" s="4"/>
      <c r="AP255" s="4"/>
      <c r="AQ255">
        <f t="shared" si="47"/>
        <v>0</v>
      </c>
      <c r="AR255" s="4"/>
      <c r="AS255" s="4">
        <v>1261321</v>
      </c>
      <c r="AT255">
        <f t="shared" si="46"/>
        <v>0</v>
      </c>
    </row>
    <row r="256" spans="1:46" ht="15.5" x14ac:dyDescent="0.35">
      <c r="A256" s="2">
        <v>260</v>
      </c>
      <c r="B256" s="250">
        <v>1255772</v>
      </c>
      <c r="C256" s="3" t="s">
        <v>26</v>
      </c>
      <c r="D256" s="605">
        <v>1313</v>
      </c>
      <c r="E256" s="606" t="s">
        <v>153</v>
      </c>
      <c r="F256" s="606" t="s">
        <v>170</v>
      </c>
      <c r="G256" s="607"/>
      <c r="H256" s="13" t="s">
        <v>146</v>
      </c>
      <c r="I256" s="10">
        <f>SUMIFS('Cutters Consumption Updates'!$F:$F,'Cutters Consumption Updates'!$D:$D,I$1,'Cutters Consumption Updates'!$B:$B,$B256)-SUMIFS('Cutters Consumption Updates'!$E:$E,'Cutters Consumption Updates'!$D:$D,I$1,'Cutters Consumption Updates'!$B:$B,$B256)+ SUMIF('Cutters Consumption Updates'!$AS:$AS,$B256,'Cutters Consumption Updates'!AT:AT)</f>
        <v>0</v>
      </c>
      <c r="J256" s="10">
        <f>SUMIFS('Cutters Consumption Updates'!$F:$F,'Cutters Consumption Updates'!$D:$D,J$1,'Cutters Consumption Updates'!$B:$B,$B256)-SUMIFS('Cutters Consumption Updates'!$E:$E,'Cutters Consumption Updates'!$D:$D,J$1,'Cutters Consumption Updates'!$B:$B,$B256)+ SUMIF('Cutters Consumption Updates'!$AS:$AS,$B256,'Cutters Consumption Updates'!AU:AU)</f>
        <v>0</v>
      </c>
      <c r="K256" s="116">
        <f>SUMIFS('Cutters Consumption Updates'!$F:$F,'Cutters Consumption Updates'!$D:$D,K$1,'Cutters Consumption Updates'!$B:$B,$B256)-SUMIFS('Cutters Consumption Updates'!$E:$E,'Cutters Consumption Updates'!$D:$D,K$1,'Cutters Consumption Updates'!$B:$B,$B256)+ SUMIF('Cutters Consumption Updates'!$AS:$AS,$B256,'Cutters Consumption Updates'!AV:AV)</f>
        <v>0</v>
      </c>
      <c r="L256" s="738">
        <f>SUMIFS('Cutters Consumption Updates'!$F:$F,'Cutters Consumption Updates'!$D:$D,L$1,'Cutters Consumption Updates'!$B:$B,$B256)-SUMIFS('Cutters Consumption Updates'!$E:$E,'Cutters Consumption Updates'!$D:$D,L$1,'Cutters Consumption Updates'!$B:$B,$B256)+ SUMIF('Cutters Consumption Updates'!$AS:$AS,$B256,'Cutters Consumption Updates'!AW:AW)</f>
        <v>0</v>
      </c>
      <c r="M256" s="116">
        <f>SUMIFS('Cutters Consumption Updates'!$F:$F,'Cutters Consumption Updates'!$D:$D,M$1,'Cutters Consumption Updates'!$B:$B,$B256)-SUMIFS('Cutters Consumption Updates'!$E:$E,'Cutters Consumption Updates'!$D:$D,$M$1,'Cutters Consumption Updates'!$B:$B,$B256)+SUMIFS('Cutters Consumption Updates'!$F:$F,'Cutters Consumption Updates'!$D:$D,"Retrofit",'Cutters Consumption Updates'!$B:$B,$B256)-SUMIFS('Cutters Consumption Updates'!$E:$E,'Cutters Consumption Updates'!$D:$D,"Retrofit",'Cutters Consumption Updates'!$B:$B,$B256)+ SUMIF('Cutters Consumption Updates'!$AS:$AS,$B256,'Cutters Consumption Updates'!AX:AX)</f>
        <v>0</v>
      </c>
      <c r="N256" s="10">
        <f t="shared" si="36"/>
        <v>0</v>
      </c>
      <c r="O256" s="701">
        <f ca="1">SUMIFS('Cutters Consumption Updates'!E:E,
        'Cutters Consumption Updates'!B:B, B256,
        'Cutters Consumption Updates'!A:A, "&gt;" &amp; TODAY()-182)</f>
        <v>0</v>
      </c>
      <c r="P256" s="701">
        <f ca="1">SUMIFS('Cutters Consumption Updates'!E:E,
        'Cutters Consumption Updates'!B:B, B256,
        'Cutters Consumption Updates'!A:A, "&gt;" &amp; TODAY()-91)</f>
        <v>0</v>
      </c>
      <c r="Q256" s="701">
        <f t="shared" ca="1" si="37"/>
        <v>0</v>
      </c>
      <c r="R256" s="703">
        <f t="shared" ca="1" si="38"/>
        <v>0</v>
      </c>
      <c r="S256" s="703" t="s">
        <v>224</v>
      </c>
      <c r="T256" s="24">
        <f>IFERROR(INDEX(Table5[],MATCH($B256,Table5[Component],0),2),0)</f>
        <v>0</v>
      </c>
      <c r="U256" s="24">
        <f>SUMIFS(Table7[Balance],Table7[Cutter Mat'#],$B256)</f>
        <v>0</v>
      </c>
      <c r="V256" s="24">
        <f t="shared" si="39"/>
        <v>0</v>
      </c>
      <c r="W256" s="119"/>
      <c r="X256" s="2"/>
      <c r="Z256" s="4">
        <f>IFERROR(INDEX(Table5[],MATCH($B256,Table5[Component],0),2),0)</f>
        <v>0</v>
      </c>
      <c r="AA256" s="4">
        <f>IFERROR(INDEX(Table5[],MATCH($B256,Table5[Component],0),1),0)</f>
        <v>0</v>
      </c>
      <c r="AB256" s="4" t="str">
        <f t="shared" si="40"/>
        <v/>
      </c>
      <c r="AC256" s="4" t="str">
        <f t="shared" si="41"/>
        <v/>
      </c>
      <c r="AE256" s="4">
        <f t="shared" si="42"/>
        <v>0</v>
      </c>
      <c r="AJ256" s="248" t="str">
        <f t="shared" si="43"/>
        <v/>
      </c>
      <c r="AK256" s="248" t="str">
        <f t="shared" si="44"/>
        <v/>
      </c>
      <c r="AL256">
        <f t="shared" si="45"/>
        <v>0</v>
      </c>
      <c r="AO256" s="4"/>
      <c r="AP256" s="4"/>
      <c r="AQ256">
        <f t="shared" si="47"/>
        <v>0</v>
      </c>
      <c r="AR256" s="4"/>
      <c r="AS256" s="4">
        <v>1261615</v>
      </c>
      <c r="AT256">
        <f t="shared" si="46"/>
        <v>0</v>
      </c>
    </row>
    <row r="257" spans="1:46" ht="15.5" x14ac:dyDescent="0.35">
      <c r="A257" s="2">
        <v>261</v>
      </c>
      <c r="B257" s="250">
        <v>1136983</v>
      </c>
      <c r="C257" s="3" t="s">
        <v>124</v>
      </c>
      <c r="D257" s="605">
        <v>1308</v>
      </c>
      <c r="E257" s="606" t="s">
        <v>125</v>
      </c>
      <c r="F257" s="292" t="s">
        <v>248</v>
      </c>
      <c r="G257" s="607"/>
      <c r="H257" s="6" t="s">
        <v>49</v>
      </c>
      <c r="I257" s="10">
        <f>SUMIFS('Cutters Consumption Updates'!$F:$F,'Cutters Consumption Updates'!$D:$D,I$1,'Cutters Consumption Updates'!$B:$B,$B257)-SUMIFS('Cutters Consumption Updates'!$E:$E,'Cutters Consumption Updates'!$D:$D,I$1,'Cutters Consumption Updates'!$B:$B,$B257)+ SUMIF('Cutters Consumption Updates'!$AS:$AS,$B257,'Cutters Consumption Updates'!AT:AT)</f>
        <v>0</v>
      </c>
      <c r="J257" s="10">
        <f>SUMIFS('Cutters Consumption Updates'!$F:$F,'Cutters Consumption Updates'!$D:$D,J$1,'Cutters Consumption Updates'!$B:$B,$B257)-SUMIFS('Cutters Consumption Updates'!$E:$E,'Cutters Consumption Updates'!$D:$D,J$1,'Cutters Consumption Updates'!$B:$B,$B257)+ SUMIF('Cutters Consumption Updates'!$AS:$AS,$B257,'Cutters Consumption Updates'!AU:AU)</f>
        <v>0</v>
      </c>
      <c r="K257" s="116">
        <f>SUMIFS('Cutters Consumption Updates'!$F:$F,'Cutters Consumption Updates'!$D:$D,K$1,'Cutters Consumption Updates'!$B:$B,$B257)-SUMIFS('Cutters Consumption Updates'!$E:$E,'Cutters Consumption Updates'!$D:$D,K$1,'Cutters Consumption Updates'!$B:$B,$B257)+ SUMIF('Cutters Consumption Updates'!$AS:$AS,$B257,'Cutters Consumption Updates'!AV:AV)</f>
        <v>0</v>
      </c>
      <c r="L257" s="738">
        <f>SUMIFS('Cutters Consumption Updates'!$F:$F,'Cutters Consumption Updates'!$D:$D,L$1,'Cutters Consumption Updates'!$B:$B,$B257)-SUMIFS('Cutters Consumption Updates'!$E:$E,'Cutters Consumption Updates'!$D:$D,L$1,'Cutters Consumption Updates'!$B:$B,$B257)+ SUMIF('Cutters Consumption Updates'!$AS:$AS,$B257,'Cutters Consumption Updates'!AW:AW)</f>
        <v>0</v>
      </c>
      <c r="M257" s="116">
        <f>SUMIFS('Cutters Consumption Updates'!$F:$F,'Cutters Consumption Updates'!$D:$D,M$1,'Cutters Consumption Updates'!$B:$B,$B257)-SUMIFS('Cutters Consumption Updates'!$E:$E,'Cutters Consumption Updates'!$D:$D,$M$1,'Cutters Consumption Updates'!$B:$B,$B257)+SUMIFS('Cutters Consumption Updates'!$F:$F,'Cutters Consumption Updates'!$D:$D,"Retrofit",'Cutters Consumption Updates'!$B:$B,$B257)-SUMIFS('Cutters Consumption Updates'!$E:$E,'Cutters Consumption Updates'!$D:$D,"Retrofit",'Cutters Consumption Updates'!$B:$B,$B257)+ SUMIF('Cutters Consumption Updates'!$AS:$AS,$B257,'Cutters Consumption Updates'!AX:AX)</f>
        <v>9</v>
      </c>
      <c r="N257" s="10">
        <f t="shared" si="36"/>
        <v>9</v>
      </c>
      <c r="O257" s="701">
        <f ca="1">SUMIFS('Cutters Consumption Updates'!E:E,
        'Cutters Consumption Updates'!B:B, B257,
        'Cutters Consumption Updates'!A:A, "&gt;" &amp; TODAY()-182)</f>
        <v>0</v>
      </c>
      <c r="P257" s="701">
        <f ca="1">SUMIFS('Cutters Consumption Updates'!E:E,
        'Cutters Consumption Updates'!B:B, B257,
        'Cutters Consumption Updates'!A:A, "&gt;" &amp; TODAY()-91)</f>
        <v>0</v>
      </c>
      <c r="Q257" s="701">
        <f t="shared" ca="1" si="37"/>
        <v>0</v>
      </c>
      <c r="R257" s="703">
        <f t="shared" ca="1" si="38"/>
        <v>0</v>
      </c>
      <c r="S257" s="703"/>
      <c r="T257" s="24">
        <f>IFERROR(INDEX(Table5[],MATCH($B257,Table5[Component],0),2),0)</f>
        <v>0</v>
      </c>
      <c r="U257" s="24">
        <f>SUMIFS(Table7[Balance],Table7[Cutter Mat'#],$B257)</f>
        <v>0</v>
      </c>
      <c r="V257" s="24">
        <f t="shared" si="39"/>
        <v>9</v>
      </c>
      <c r="W257" s="119"/>
      <c r="X257" s="2"/>
      <c r="Z257" s="4">
        <f>IFERROR(INDEX(Table5[],MATCH($B257,Table5[Component],0),2),0)</f>
        <v>0</v>
      </c>
      <c r="AA257" s="4">
        <f>IFERROR(INDEX(Table5[],MATCH($B257,Table5[Component],0),1),0)</f>
        <v>0</v>
      </c>
      <c r="AB257" s="4" t="str">
        <f t="shared" si="40"/>
        <v/>
      </c>
      <c r="AC257" s="4" t="str">
        <f t="shared" si="41"/>
        <v/>
      </c>
      <c r="AE257" s="4">
        <f t="shared" si="42"/>
        <v>9</v>
      </c>
      <c r="AJ257" s="248" t="str">
        <f t="shared" si="43"/>
        <v/>
      </c>
      <c r="AK257" s="248" t="str">
        <f t="shared" si="44"/>
        <v/>
      </c>
      <c r="AL257">
        <f t="shared" si="45"/>
        <v>0</v>
      </c>
      <c r="AO257" s="4"/>
      <c r="AP257" s="4"/>
      <c r="AQ257">
        <f t="shared" si="47"/>
        <v>0</v>
      </c>
      <c r="AR257" s="4"/>
      <c r="AS257" s="4">
        <v>1263281</v>
      </c>
      <c r="AT257">
        <f t="shared" si="46"/>
        <v>0</v>
      </c>
    </row>
    <row r="258" spans="1:46" ht="15.5" x14ac:dyDescent="0.35">
      <c r="A258" s="2">
        <v>262</v>
      </c>
      <c r="B258" s="250">
        <v>2004484</v>
      </c>
      <c r="C258" s="3" t="s">
        <v>26</v>
      </c>
      <c r="D258" s="605">
        <v>1308</v>
      </c>
      <c r="E258" s="606" t="s">
        <v>225</v>
      </c>
      <c r="F258" s="606" t="s">
        <v>170</v>
      </c>
      <c r="G258" s="3" t="s">
        <v>183</v>
      </c>
      <c r="H258" s="13" t="s">
        <v>146</v>
      </c>
      <c r="I258" s="10">
        <f>SUMIFS('Cutters Consumption Updates'!$F:$F,'Cutters Consumption Updates'!$D:$D,I$1,'Cutters Consumption Updates'!$B:$B,$B258)-SUMIFS('Cutters Consumption Updates'!$E:$E,'Cutters Consumption Updates'!$D:$D,I$1,'Cutters Consumption Updates'!$B:$B,$B258)+ SUMIF('Cutters Consumption Updates'!$AS:$AS,$B258,'Cutters Consumption Updates'!AT:AT)</f>
        <v>0</v>
      </c>
      <c r="J258" s="10">
        <f>SUMIFS('Cutters Consumption Updates'!$F:$F,'Cutters Consumption Updates'!$D:$D,J$1,'Cutters Consumption Updates'!$B:$B,$B258)-SUMIFS('Cutters Consumption Updates'!$E:$E,'Cutters Consumption Updates'!$D:$D,J$1,'Cutters Consumption Updates'!$B:$B,$B258)+ SUMIF('Cutters Consumption Updates'!$AS:$AS,$B258,'Cutters Consumption Updates'!AU:AU)</f>
        <v>0</v>
      </c>
      <c r="K258" s="116">
        <f>SUMIFS('Cutters Consumption Updates'!$F:$F,'Cutters Consumption Updates'!$D:$D,K$1,'Cutters Consumption Updates'!$B:$B,$B258)-SUMIFS('Cutters Consumption Updates'!$E:$E,'Cutters Consumption Updates'!$D:$D,K$1,'Cutters Consumption Updates'!$B:$B,$B258)+ SUMIF('Cutters Consumption Updates'!$AS:$AS,$B258,'Cutters Consumption Updates'!AV:AV)</f>
        <v>0</v>
      </c>
      <c r="L258" s="738">
        <f>SUMIFS('Cutters Consumption Updates'!$F:$F,'Cutters Consumption Updates'!$D:$D,L$1,'Cutters Consumption Updates'!$B:$B,$B258)-SUMIFS('Cutters Consumption Updates'!$E:$E,'Cutters Consumption Updates'!$D:$D,L$1,'Cutters Consumption Updates'!$B:$B,$B258)+ SUMIF('Cutters Consumption Updates'!$AS:$AS,$B258,'Cutters Consumption Updates'!AW:AW)</f>
        <v>0</v>
      </c>
      <c r="M258" s="116">
        <f>SUMIFS('Cutters Consumption Updates'!$F:$F,'Cutters Consumption Updates'!$D:$D,M$1,'Cutters Consumption Updates'!$B:$B,$B258)-SUMIFS('Cutters Consumption Updates'!$E:$E,'Cutters Consumption Updates'!$D:$D,$M$1,'Cutters Consumption Updates'!$B:$B,$B258)+SUMIFS('Cutters Consumption Updates'!$F:$F,'Cutters Consumption Updates'!$D:$D,"Retrofit",'Cutters Consumption Updates'!$B:$B,$B258)-SUMIFS('Cutters Consumption Updates'!$E:$E,'Cutters Consumption Updates'!$D:$D,"Retrofit",'Cutters Consumption Updates'!$B:$B,$B258)+ SUMIF('Cutters Consumption Updates'!$AS:$AS,$B258,'Cutters Consumption Updates'!AX:AX)</f>
        <v>293</v>
      </c>
      <c r="N258" s="10">
        <f t="shared" ref="N258:N303" si="48">M258+I258</f>
        <v>293</v>
      </c>
      <c r="O258" s="701">
        <f ca="1">SUMIFS('Cutters Consumption Updates'!E:E,
        'Cutters Consumption Updates'!B:B, B258,
        'Cutters Consumption Updates'!A:A, "&gt;" &amp; TODAY()-182)</f>
        <v>428</v>
      </c>
      <c r="P258" s="701">
        <f ca="1">SUMIFS('Cutters Consumption Updates'!E:E,
        'Cutters Consumption Updates'!B:B, B258,
        'Cutters Consumption Updates'!A:A, "&gt;" &amp; TODAY()-91)</f>
        <v>276</v>
      </c>
      <c r="Q258" s="701">
        <f t="shared" ref="Q258:Q282" ca="1" si="49">IF(O258&lt;&gt;0,_xlfn.CEILING.MATH(O258/3),0)</f>
        <v>143</v>
      </c>
      <c r="R258" s="703">
        <f t="shared" ref="R258:R303" ca="1" si="50">IF(Q258&lt;=1, 0,
 CEILING(
  IF(Q258&gt;=300, Q258+10,
  IF(Q258&gt;=200, Q258+5,
  IF(Q258&gt;=100, Q258+5,
  IF(Q258&gt;=50, Q258+2,
  IF(Q258&gt;=20, Q258+2,
  IF(Q258&gt;=10, Q258+2,
  IF(Q258&gt;=5,  Q258+2,
  Q258+1))))))), 5))</f>
        <v>150</v>
      </c>
      <c r="S258" s="703" t="s">
        <v>121</v>
      </c>
      <c r="T258" s="24">
        <f>IFERROR(INDEX(Table5[],MATCH($B258,Table5[Component],0),2),0)</f>
        <v>373</v>
      </c>
      <c r="U258" s="24">
        <f>SUMIFS(Table7[Balance],Table7[Cutter Mat'#],$B258)</f>
        <v>50</v>
      </c>
      <c r="V258" s="24">
        <f t="shared" ref="V258:V303" si="51">N258+U258-T258</f>
        <v>-30</v>
      </c>
      <c r="W258" s="119"/>
      <c r="X258" s="2"/>
      <c r="Z258" s="4">
        <f>IFERROR(INDEX(Table5[],MATCH($B258,Table5[Component],0),2),0)</f>
        <v>373</v>
      </c>
      <c r="AA258" s="4">
        <f>IFERROR(INDEX(Table5[],MATCH($B258,Table5[Component],0),1),0)</f>
        <v>2004484</v>
      </c>
      <c r="AB258" s="4">
        <f t="shared" ref="AB258:AB303" si="52">IF(Z258&lt;&gt;0,B258,"")</f>
        <v>2004484</v>
      </c>
      <c r="AC258" s="4" t="str">
        <f t="shared" ref="AC258:AC303" si="53">IF(T258&lt;&gt;Z258,1,"")</f>
        <v/>
      </c>
      <c r="AE258" s="4">
        <f t="shared" ref="AE258:AE303" si="54">I258+J258+K258+M258</f>
        <v>293</v>
      </c>
      <c r="AJ258" s="248" t="str">
        <f t="shared" ref="AJ258:AJ303" si="55">IFERROR(INDEX($B$1:$AL$243,MATCH(X258,$B$1:$B$243,0),13),"")</f>
        <v/>
      </c>
      <c r="AK258" s="248" t="str">
        <f t="shared" ref="AK258:AK303" si="56">IFERROR(INDEX($B$1:$AL$243,MATCH(X258,$B$1:$B$243,0),15),"")</f>
        <v/>
      </c>
      <c r="AL258">
        <f t="shared" ref="AL258:AL303" si="57">SUMIF($X$2:$X$243,B258,$T$2:$T$243)</f>
        <v>0</v>
      </c>
      <c r="AO258" s="4"/>
      <c r="AP258" s="4"/>
      <c r="AQ258">
        <f t="shared" si="47"/>
        <v>50</v>
      </c>
      <c r="AR258" s="4"/>
      <c r="AS258" s="4">
        <v>1263823</v>
      </c>
      <c r="AT258">
        <f t="shared" ref="AT258:AT287" si="58">SUMIF($B:$B,AS258,$AQ:$AQ)</f>
        <v>0</v>
      </c>
    </row>
    <row r="259" spans="1:46" ht="15.5" x14ac:dyDescent="0.35">
      <c r="A259" s="2">
        <v>263</v>
      </c>
      <c r="B259" s="250">
        <v>2000450</v>
      </c>
      <c r="C259" s="3" t="s">
        <v>94</v>
      </c>
      <c r="D259" s="605">
        <v>1313</v>
      </c>
      <c r="E259" s="606" t="s">
        <v>226</v>
      </c>
      <c r="F259" s="606" t="s">
        <v>170</v>
      </c>
      <c r="G259" s="607"/>
      <c r="H259" s="13" t="s">
        <v>146</v>
      </c>
      <c r="I259" s="10">
        <f>SUMIFS('Cutters Consumption Updates'!$F:$F,'Cutters Consumption Updates'!$D:$D,I$1,'Cutters Consumption Updates'!$B:$B,$B259)-SUMIFS('Cutters Consumption Updates'!$E:$E,'Cutters Consumption Updates'!$D:$D,I$1,'Cutters Consumption Updates'!$B:$B,$B259)+ SUMIF('Cutters Consumption Updates'!$AS:$AS,$B259,'Cutters Consumption Updates'!AT:AT)</f>
        <v>0</v>
      </c>
      <c r="J259" s="10">
        <f>SUMIFS('Cutters Consumption Updates'!$F:$F,'Cutters Consumption Updates'!$D:$D,J$1,'Cutters Consumption Updates'!$B:$B,$B259)-SUMIFS('Cutters Consumption Updates'!$E:$E,'Cutters Consumption Updates'!$D:$D,J$1,'Cutters Consumption Updates'!$B:$B,$B259)+ SUMIF('Cutters Consumption Updates'!$AS:$AS,$B259,'Cutters Consumption Updates'!AU:AU)</f>
        <v>0</v>
      </c>
      <c r="K259" s="116">
        <f>SUMIFS('Cutters Consumption Updates'!$F:$F,'Cutters Consumption Updates'!$D:$D,K$1,'Cutters Consumption Updates'!$B:$B,$B259)-SUMIFS('Cutters Consumption Updates'!$E:$E,'Cutters Consumption Updates'!$D:$D,K$1,'Cutters Consumption Updates'!$B:$B,$B259)+ SUMIF('Cutters Consumption Updates'!$AS:$AS,$B259,'Cutters Consumption Updates'!AV:AV)</f>
        <v>0</v>
      </c>
      <c r="L259" s="738">
        <f>SUMIFS('Cutters Consumption Updates'!$F:$F,'Cutters Consumption Updates'!$D:$D,L$1,'Cutters Consumption Updates'!$B:$B,$B259)-SUMIFS('Cutters Consumption Updates'!$E:$E,'Cutters Consumption Updates'!$D:$D,L$1,'Cutters Consumption Updates'!$B:$B,$B259)+ SUMIF('Cutters Consumption Updates'!$AS:$AS,$B259,'Cutters Consumption Updates'!AW:AW)</f>
        <v>0</v>
      </c>
      <c r="M259" s="116">
        <f>SUMIFS('Cutters Consumption Updates'!$F:$F,'Cutters Consumption Updates'!$D:$D,M$1,'Cutters Consumption Updates'!$B:$B,$B259)-SUMIFS('Cutters Consumption Updates'!$E:$E,'Cutters Consumption Updates'!$D:$D,$M$1,'Cutters Consumption Updates'!$B:$B,$B259)+SUMIFS('Cutters Consumption Updates'!$F:$F,'Cutters Consumption Updates'!$D:$D,"Retrofit",'Cutters Consumption Updates'!$B:$B,$B259)-SUMIFS('Cutters Consumption Updates'!$E:$E,'Cutters Consumption Updates'!$D:$D,"Retrofit",'Cutters Consumption Updates'!$B:$B,$B259)+ SUMIF('Cutters Consumption Updates'!$AS:$AS,$B259,'Cutters Consumption Updates'!AX:AX)</f>
        <v>30</v>
      </c>
      <c r="N259" s="10">
        <f t="shared" si="48"/>
        <v>30</v>
      </c>
      <c r="O259" s="701">
        <f ca="1">SUMIFS('Cutters Consumption Updates'!E:E,
        'Cutters Consumption Updates'!B:B, B259,
        'Cutters Consumption Updates'!A:A, "&gt;" &amp; TODAY()-182)</f>
        <v>0</v>
      </c>
      <c r="P259" s="701">
        <f ca="1">SUMIFS('Cutters Consumption Updates'!E:E,
        'Cutters Consumption Updates'!B:B, B259,
        'Cutters Consumption Updates'!A:A, "&gt;" &amp; TODAY()-91)</f>
        <v>0</v>
      </c>
      <c r="Q259" s="701">
        <f t="shared" ca="1" si="49"/>
        <v>0</v>
      </c>
      <c r="R259" s="703">
        <f t="shared" ca="1" si="50"/>
        <v>0</v>
      </c>
      <c r="S259" s="703" t="s">
        <v>29</v>
      </c>
      <c r="T259" s="24">
        <f>IFERROR(INDEX(Table5[],MATCH($B259,Table5[Component],0),2),0)</f>
        <v>10</v>
      </c>
      <c r="U259" s="24">
        <f>SUMIFS(Table7[Balance],Table7[Cutter Mat'#],$B259)</f>
        <v>0</v>
      </c>
      <c r="V259" s="24">
        <f t="shared" si="51"/>
        <v>20</v>
      </c>
      <c r="W259" s="119"/>
      <c r="X259" s="2"/>
      <c r="Z259" s="4">
        <f>IFERROR(INDEX(Table5[],MATCH($B259,Table5[Component],0),2),0)</f>
        <v>10</v>
      </c>
      <c r="AA259" s="4">
        <f>IFERROR(INDEX(Table5[],MATCH($B259,Table5[Component],0),1),0)</f>
        <v>2000450</v>
      </c>
      <c r="AB259" s="4">
        <f t="shared" si="52"/>
        <v>2000450</v>
      </c>
      <c r="AC259" s="4" t="str">
        <f t="shared" si="53"/>
        <v/>
      </c>
      <c r="AE259" s="4">
        <f t="shared" si="54"/>
        <v>30</v>
      </c>
      <c r="AJ259" s="248" t="str">
        <f t="shared" si="55"/>
        <v/>
      </c>
      <c r="AK259" s="248" t="str">
        <f t="shared" si="56"/>
        <v/>
      </c>
      <c r="AL259">
        <f t="shared" si="57"/>
        <v>0</v>
      </c>
      <c r="AO259" s="4"/>
      <c r="AP259" s="4"/>
      <c r="AQ259">
        <f t="shared" ref="AQ259:AQ287" si="59">U259</f>
        <v>0</v>
      </c>
      <c r="AR259" s="4"/>
      <c r="AS259" s="4">
        <v>1263929</v>
      </c>
      <c r="AT259">
        <f t="shared" si="58"/>
        <v>0</v>
      </c>
    </row>
    <row r="260" spans="1:46" ht="15.5" x14ac:dyDescent="0.35">
      <c r="A260" s="2">
        <v>264</v>
      </c>
      <c r="B260" s="250">
        <v>2007571</v>
      </c>
      <c r="C260" s="3" t="s">
        <v>26</v>
      </c>
      <c r="D260" s="605">
        <v>1913</v>
      </c>
      <c r="E260" s="606" t="s">
        <v>221</v>
      </c>
      <c r="F260" s="606" t="s">
        <v>177</v>
      </c>
      <c r="G260" s="607"/>
      <c r="H260" s="13" t="s">
        <v>169</v>
      </c>
      <c r="I260" s="10">
        <f>SUMIFS('Cutters Consumption Updates'!$F:$F,'Cutters Consumption Updates'!$D:$D,I$1,'Cutters Consumption Updates'!$B:$B,$B260)-SUMIFS('Cutters Consumption Updates'!$E:$E,'Cutters Consumption Updates'!$D:$D,I$1,'Cutters Consumption Updates'!$B:$B,$B260)+ SUMIF('Cutters Consumption Updates'!$AS:$AS,$B260,'Cutters Consumption Updates'!AT:AT)</f>
        <v>0</v>
      </c>
      <c r="J260" s="10">
        <f>SUMIFS('Cutters Consumption Updates'!$F:$F,'Cutters Consumption Updates'!$D:$D,J$1,'Cutters Consumption Updates'!$B:$B,$B260)-SUMIFS('Cutters Consumption Updates'!$E:$E,'Cutters Consumption Updates'!$D:$D,J$1,'Cutters Consumption Updates'!$B:$B,$B260)+ SUMIF('Cutters Consumption Updates'!$AS:$AS,$B260,'Cutters Consumption Updates'!AU:AU)</f>
        <v>0</v>
      </c>
      <c r="K260" s="116">
        <f>SUMIFS('Cutters Consumption Updates'!$F:$F,'Cutters Consumption Updates'!$D:$D,K$1,'Cutters Consumption Updates'!$B:$B,$B260)-SUMIFS('Cutters Consumption Updates'!$E:$E,'Cutters Consumption Updates'!$D:$D,K$1,'Cutters Consumption Updates'!$B:$B,$B260)+ SUMIF('Cutters Consumption Updates'!$AS:$AS,$B260,'Cutters Consumption Updates'!AV:AV)</f>
        <v>0</v>
      </c>
      <c r="L260" s="738">
        <f>SUMIFS('Cutters Consumption Updates'!$F:$F,'Cutters Consumption Updates'!$D:$D,L$1,'Cutters Consumption Updates'!$B:$B,$B260)-SUMIFS('Cutters Consumption Updates'!$E:$E,'Cutters Consumption Updates'!$D:$D,L$1,'Cutters Consumption Updates'!$B:$B,$B260)+ SUMIF('Cutters Consumption Updates'!$AS:$AS,$B260,'Cutters Consumption Updates'!AW:AW)</f>
        <v>0</v>
      </c>
      <c r="M260" s="116">
        <f>SUMIFS('Cutters Consumption Updates'!$F:$F,'Cutters Consumption Updates'!$D:$D,M$1,'Cutters Consumption Updates'!$B:$B,$B260)-SUMIFS('Cutters Consumption Updates'!$E:$E,'Cutters Consumption Updates'!$D:$D,$M$1,'Cutters Consumption Updates'!$B:$B,$B260)+SUMIFS('Cutters Consumption Updates'!$F:$F,'Cutters Consumption Updates'!$D:$D,"Retrofit",'Cutters Consumption Updates'!$B:$B,$B260)-SUMIFS('Cutters Consumption Updates'!$E:$E,'Cutters Consumption Updates'!$D:$D,"Retrofit",'Cutters Consumption Updates'!$B:$B,$B260)+ SUMIF('Cutters Consumption Updates'!$AS:$AS,$B260,'Cutters Consumption Updates'!AX:AX)</f>
        <v>0</v>
      </c>
      <c r="N260" s="10">
        <f t="shared" si="48"/>
        <v>0</v>
      </c>
      <c r="O260" s="701">
        <f ca="1">SUMIFS('Cutters Consumption Updates'!E:E,
        'Cutters Consumption Updates'!B:B, B260,
        'Cutters Consumption Updates'!A:A, "&gt;" &amp; TODAY()-182)</f>
        <v>0</v>
      </c>
      <c r="P260" s="701">
        <f ca="1">SUMIFS('Cutters Consumption Updates'!E:E,
        'Cutters Consumption Updates'!B:B, B260,
        'Cutters Consumption Updates'!A:A, "&gt;" &amp; TODAY()-91)</f>
        <v>0</v>
      </c>
      <c r="Q260" s="701">
        <f t="shared" ca="1" si="49"/>
        <v>0</v>
      </c>
      <c r="R260" s="703">
        <f t="shared" ca="1" si="50"/>
        <v>0</v>
      </c>
      <c r="S260" s="703" t="s">
        <v>29</v>
      </c>
      <c r="T260" s="24">
        <f>IFERROR(INDEX(Table5[],MATCH($B260,Table5[Component],0),2),0)</f>
        <v>0</v>
      </c>
      <c r="U260" s="24">
        <f>SUMIFS(Table7[Balance],Table7[Cutter Mat'#],$B260)</f>
        <v>0</v>
      </c>
      <c r="V260" s="24">
        <f t="shared" si="51"/>
        <v>0</v>
      </c>
      <c r="W260" s="119"/>
      <c r="X260" s="2"/>
      <c r="Z260" s="4">
        <f>IFERROR(INDEX(Table5[],MATCH($B260,Table5[Component],0),2),0)</f>
        <v>0</v>
      </c>
      <c r="AA260" s="4">
        <f>IFERROR(INDEX(Table5[],MATCH($B260,Table5[Component],0),1),0)</f>
        <v>0</v>
      </c>
      <c r="AB260" s="4" t="str">
        <f t="shared" si="52"/>
        <v/>
      </c>
      <c r="AC260" s="4" t="str">
        <f t="shared" si="53"/>
        <v/>
      </c>
      <c r="AE260" s="4">
        <f t="shared" si="54"/>
        <v>0</v>
      </c>
      <c r="AJ260" s="248" t="str">
        <f t="shared" si="55"/>
        <v/>
      </c>
      <c r="AK260" s="248" t="str">
        <f t="shared" si="56"/>
        <v/>
      </c>
      <c r="AL260">
        <f t="shared" si="57"/>
        <v>0</v>
      </c>
      <c r="AO260" s="4"/>
      <c r="AP260" s="4"/>
      <c r="AQ260">
        <f t="shared" si="59"/>
        <v>0</v>
      </c>
      <c r="AR260" s="4"/>
      <c r="AS260" s="4">
        <v>1266417</v>
      </c>
      <c r="AT260">
        <f t="shared" si="58"/>
        <v>0</v>
      </c>
    </row>
    <row r="261" spans="1:46" ht="18.75" customHeight="1" x14ac:dyDescent="0.35">
      <c r="A261" s="2">
        <v>265</v>
      </c>
      <c r="B261" s="250">
        <v>2002299</v>
      </c>
      <c r="C261" s="3" t="s">
        <v>26</v>
      </c>
      <c r="D261" s="460">
        <v>1613</v>
      </c>
      <c r="E261" s="292" t="s">
        <v>225</v>
      </c>
      <c r="F261" s="292" t="s">
        <v>170</v>
      </c>
      <c r="G261" s="3" t="s">
        <v>183</v>
      </c>
      <c r="H261" s="13" t="s">
        <v>146</v>
      </c>
      <c r="I261" s="10">
        <f>SUMIFS('Cutters Consumption Updates'!$F:$F,'Cutters Consumption Updates'!$D:$D,I$1,'Cutters Consumption Updates'!$B:$B,$B261)-SUMIFS('Cutters Consumption Updates'!$E:$E,'Cutters Consumption Updates'!$D:$D,I$1,'Cutters Consumption Updates'!$B:$B,$B261)+ SUMIF('Cutters Consumption Updates'!$AS:$AS,$B261,'Cutters Consumption Updates'!AT:AT)</f>
        <v>0</v>
      </c>
      <c r="J261" s="10">
        <f>SUMIFS('Cutters Consumption Updates'!$F:$F,'Cutters Consumption Updates'!$D:$D,J$1,'Cutters Consumption Updates'!$B:$B,$B261)-SUMIFS('Cutters Consumption Updates'!$E:$E,'Cutters Consumption Updates'!$D:$D,J$1,'Cutters Consumption Updates'!$B:$B,$B261)+ SUMIF('Cutters Consumption Updates'!$AS:$AS,$B261,'Cutters Consumption Updates'!AU:AU)</f>
        <v>0</v>
      </c>
      <c r="K261" s="116">
        <f>SUMIFS('Cutters Consumption Updates'!$F:$F,'Cutters Consumption Updates'!$D:$D,K$1,'Cutters Consumption Updates'!$B:$B,$B261)-SUMIFS('Cutters Consumption Updates'!$E:$E,'Cutters Consumption Updates'!$D:$D,K$1,'Cutters Consumption Updates'!$B:$B,$B261)+ SUMIF('Cutters Consumption Updates'!$AS:$AS,$B261,'Cutters Consumption Updates'!AV:AV)</f>
        <v>0</v>
      </c>
      <c r="L261" s="738">
        <f>SUMIFS('Cutters Consumption Updates'!$F:$F,'Cutters Consumption Updates'!$D:$D,L$1,'Cutters Consumption Updates'!$B:$B,$B261)-SUMIFS('Cutters Consumption Updates'!$E:$E,'Cutters Consumption Updates'!$D:$D,L$1,'Cutters Consumption Updates'!$B:$B,$B261)+ SUMIF('Cutters Consumption Updates'!$AS:$AS,$B261,'Cutters Consumption Updates'!AW:AW)</f>
        <v>0</v>
      </c>
      <c r="M261" s="116">
        <f>SUMIFS('Cutters Consumption Updates'!$F:$F,'Cutters Consumption Updates'!$D:$D,M$1,'Cutters Consumption Updates'!$B:$B,$B261)-SUMIFS('Cutters Consumption Updates'!$E:$E,'Cutters Consumption Updates'!$D:$D,$M$1,'Cutters Consumption Updates'!$B:$B,$B261)+SUMIFS('Cutters Consumption Updates'!$F:$F,'Cutters Consumption Updates'!$D:$D,"Retrofit",'Cutters Consumption Updates'!$B:$B,$B261)-SUMIFS('Cutters Consumption Updates'!$E:$E,'Cutters Consumption Updates'!$D:$D,"Retrofit",'Cutters Consumption Updates'!$B:$B,$B261)+ SUMIF('Cutters Consumption Updates'!$AS:$AS,$B261,'Cutters Consumption Updates'!AX:AX)</f>
        <v>11</v>
      </c>
      <c r="N261" s="10">
        <f t="shared" si="48"/>
        <v>11</v>
      </c>
      <c r="O261" s="701">
        <f ca="1">SUMIFS('Cutters Consumption Updates'!E:E,
        'Cutters Consumption Updates'!B:B, B261,
        'Cutters Consumption Updates'!A:A, "&gt;" &amp; TODAY()-182)</f>
        <v>557</v>
      </c>
      <c r="P261" s="701">
        <f ca="1">SUMIFS('Cutters Consumption Updates'!E:E,
        'Cutters Consumption Updates'!B:B, B261,
        'Cutters Consumption Updates'!A:A, "&gt;" &amp; TODAY()-91)</f>
        <v>325</v>
      </c>
      <c r="Q261" s="701">
        <f t="shared" ca="1" si="49"/>
        <v>186</v>
      </c>
      <c r="R261" s="703">
        <f t="shared" ca="1" si="50"/>
        <v>195</v>
      </c>
      <c r="S261" s="703" t="s">
        <v>187</v>
      </c>
      <c r="T261" s="24">
        <f>IFERROR(INDEX(Table5[],MATCH($B261,Table5[Component],0),2),0)</f>
        <v>246</v>
      </c>
      <c r="U261" s="24">
        <f>SUMIFS(Table7[Balance],Table7[Cutter Mat'#],$B261)</f>
        <v>150</v>
      </c>
      <c r="V261" s="24">
        <f t="shared" si="51"/>
        <v>-85</v>
      </c>
      <c r="W261" s="119"/>
      <c r="X261" s="2"/>
      <c r="Z261" s="4">
        <f>IFERROR(INDEX(Table5[],MATCH($B261,Table5[Component],0),2),0)</f>
        <v>246</v>
      </c>
      <c r="AA261" s="4">
        <f>IFERROR(INDEX(Table5[],MATCH($B261,Table5[Component],0),1),0)</f>
        <v>2002299</v>
      </c>
      <c r="AB261" s="4">
        <f t="shared" si="52"/>
        <v>2002299</v>
      </c>
      <c r="AC261" s="4" t="str">
        <f t="shared" si="53"/>
        <v/>
      </c>
      <c r="AE261" s="4">
        <f t="shared" si="54"/>
        <v>11</v>
      </c>
      <c r="AJ261" s="248" t="str">
        <f t="shared" si="55"/>
        <v/>
      </c>
      <c r="AK261" s="248" t="str">
        <f t="shared" si="56"/>
        <v/>
      </c>
      <c r="AL261">
        <f t="shared" si="57"/>
        <v>0</v>
      </c>
      <c r="AO261" s="4"/>
      <c r="AP261" s="4"/>
      <c r="AQ261">
        <f t="shared" si="59"/>
        <v>150</v>
      </c>
      <c r="AR261" s="4"/>
      <c r="AS261" s="4">
        <v>1266910</v>
      </c>
      <c r="AT261">
        <f t="shared" si="58"/>
        <v>0</v>
      </c>
    </row>
    <row r="262" spans="1:46" ht="18.75" customHeight="1" x14ac:dyDescent="0.35">
      <c r="A262" s="2">
        <v>267</v>
      </c>
      <c r="B262" s="250">
        <v>2001155</v>
      </c>
      <c r="C262" s="3" t="s">
        <v>179</v>
      </c>
      <c r="D262" s="460">
        <v>1313</v>
      </c>
      <c r="E262" s="292" t="s">
        <v>227</v>
      </c>
      <c r="F262" s="292" t="s">
        <v>170</v>
      </c>
      <c r="G262" s="3"/>
      <c r="H262" s="13" t="s">
        <v>161</v>
      </c>
      <c r="I262" s="10">
        <f>SUMIFS('Cutters Consumption Updates'!$F:$F,'Cutters Consumption Updates'!$D:$D,I$1,'Cutters Consumption Updates'!$B:$B,$B262)-SUMIFS('Cutters Consumption Updates'!$E:$E,'Cutters Consumption Updates'!$D:$D,I$1,'Cutters Consumption Updates'!$B:$B,$B262)+ SUMIF('Cutters Consumption Updates'!$AS:$AS,$B262,'Cutters Consumption Updates'!AT:AT)</f>
        <v>0</v>
      </c>
      <c r="J262" s="10">
        <f>SUMIFS('Cutters Consumption Updates'!$F:$F,'Cutters Consumption Updates'!$D:$D,J$1,'Cutters Consumption Updates'!$B:$B,$B262)-SUMIFS('Cutters Consumption Updates'!$E:$E,'Cutters Consumption Updates'!$D:$D,J$1,'Cutters Consumption Updates'!$B:$B,$B262)+ SUMIF('Cutters Consumption Updates'!$AS:$AS,$B262,'Cutters Consumption Updates'!AU:AU)</f>
        <v>0</v>
      </c>
      <c r="K262" s="116">
        <f>SUMIFS('Cutters Consumption Updates'!$F:$F,'Cutters Consumption Updates'!$D:$D,K$1,'Cutters Consumption Updates'!$B:$B,$B262)-SUMIFS('Cutters Consumption Updates'!$E:$E,'Cutters Consumption Updates'!$D:$D,K$1,'Cutters Consumption Updates'!$B:$B,$B262)+ SUMIF('Cutters Consumption Updates'!$AS:$AS,$B262,'Cutters Consumption Updates'!AV:AV)</f>
        <v>0</v>
      </c>
      <c r="L262" s="738">
        <f>SUMIFS('Cutters Consumption Updates'!$F:$F,'Cutters Consumption Updates'!$D:$D,L$1,'Cutters Consumption Updates'!$B:$B,$B262)-SUMIFS('Cutters Consumption Updates'!$E:$E,'Cutters Consumption Updates'!$D:$D,L$1,'Cutters Consumption Updates'!$B:$B,$B262)+ SUMIF('Cutters Consumption Updates'!$AS:$AS,$B262,'Cutters Consumption Updates'!AW:AW)</f>
        <v>0</v>
      </c>
      <c r="M262" s="116">
        <f>SUMIFS('Cutters Consumption Updates'!$F:$F,'Cutters Consumption Updates'!$D:$D,M$1,'Cutters Consumption Updates'!$B:$B,$B262)-SUMIFS('Cutters Consumption Updates'!$E:$E,'Cutters Consumption Updates'!$D:$D,$M$1,'Cutters Consumption Updates'!$B:$B,$B262)+SUMIFS('Cutters Consumption Updates'!$F:$F,'Cutters Consumption Updates'!$D:$D,"Retrofit",'Cutters Consumption Updates'!$B:$B,$B262)-SUMIFS('Cutters Consumption Updates'!$E:$E,'Cutters Consumption Updates'!$D:$D,"Retrofit",'Cutters Consumption Updates'!$B:$B,$B262)+ SUMIF('Cutters Consumption Updates'!$AS:$AS,$B262,'Cutters Consumption Updates'!AX:AX)</f>
        <v>39</v>
      </c>
      <c r="N262" s="10">
        <f t="shared" si="48"/>
        <v>39</v>
      </c>
      <c r="O262" s="701">
        <f ca="1">SUMIFS('Cutters Consumption Updates'!E:E,
        'Cutters Consumption Updates'!B:B, B262,
        'Cutters Consumption Updates'!A:A, "&gt;" &amp; TODAY()-182)</f>
        <v>45</v>
      </c>
      <c r="P262" s="701">
        <f ca="1">SUMIFS('Cutters Consumption Updates'!E:E,
        'Cutters Consumption Updates'!B:B, B262,
        'Cutters Consumption Updates'!A:A, "&gt;" &amp; TODAY()-91)</f>
        <v>38</v>
      </c>
      <c r="Q262" s="701">
        <f t="shared" ca="1" si="49"/>
        <v>15</v>
      </c>
      <c r="R262" s="703">
        <f t="shared" ca="1" si="50"/>
        <v>20</v>
      </c>
      <c r="S262" s="703" t="s">
        <v>181</v>
      </c>
      <c r="T262" s="24">
        <f>IFERROR(INDEX(Table5[],MATCH($B262,Table5[Component],0),2),0)</f>
        <v>70</v>
      </c>
      <c r="U262" s="24">
        <f>SUMIFS(Table7[Balance],Table7[Cutter Mat'#],$B262)</f>
        <v>0</v>
      </c>
      <c r="V262" s="24">
        <f t="shared" si="51"/>
        <v>-31</v>
      </c>
      <c r="W262" s="119"/>
      <c r="X262" s="2"/>
      <c r="Z262" s="4">
        <f>IFERROR(INDEX(Table5[],MATCH($B262,Table5[Component],0),2),0)</f>
        <v>70</v>
      </c>
      <c r="AA262" s="4">
        <f>IFERROR(INDEX(Table5[],MATCH($B262,Table5[Component],0),1),0)</f>
        <v>2001155</v>
      </c>
      <c r="AB262" s="4">
        <f t="shared" si="52"/>
        <v>2001155</v>
      </c>
      <c r="AC262" s="4" t="str">
        <f t="shared" si="53"/>
        <v/>
      </c>
      <c r="AE262" s="4">
        <f t="shared" si="54"/>
        <v>39</v>
      </c>
      <c r="AJ262" s="248" t="str">
        <f t="shared" si="55"/>
        <v/>
      </c>
      <c r="AK262" s="248" t="str">
        <f t="shared" si="56"/>
        <v/>
      </c>
      <c r="AL262">
        <f t="shared" si="57"/>
        <v>0</v>
      </c>
      <c r="AO262" s="4"/>
      <c r="AP262" s="4"/>
      <c r="AQ262">
        <f t="shared" si="59"/>
        <v>0</v>
      </c>
      <c r="AR262" s="4"/>
      <c r="AS262" s="4">
        <v>1271790</v>
      </c>
      <c r="AT262">
        <f t="shared" si="58"/>
        <v>0</v>
      </c>
    </row>
    <row r="263" spans="1:46" ht="18.75" customHeight="1" x14ac:dyDescent="0.35">
      <c r="A263" s="2">
        <v>268</v>
      </c>
      <c r="B263" s="250">
        <v>2001060</v>
      </c>
      <c r="C263" s="3" t="s">
        <v>179</v>
      </c>
      <c r="D263" s="460">
        <v>1613</v>
      </c>
      <c r="E263" s="292" t="s">
        <v>227</v>
      </c>
      <c r="F263" s="292" t="s">
        <v>170</v>
      </c>
      <c r="G263" s="3"/>
      <c r="H263" s="13" t="s">
        <v>161</v>
      </c>
      <c r="I263" s="10">
        <f>SUMIFS('Cutters Consumption Updates'!$F:$F,'Cutters Consumption Updates'!$D:$D,I$1,'Cutters Consumption Updates'!$B:$B,$B263)-SUMIFS('Cutters Consumption Updates'!$E:$E,'Cutters Consumption Updates'!$D:$D,I$1,'Cutters Consumption Updates'!$B:$B,$B263)+ SUMIF('Cutters Consumption Updates'!$AS:$AS,$B263,'Cutters Consumption Updates'!AT:AT)</f>
        <v>0</v>
      </c>
      <c r="J263" s="10">
        <f>SUMIFS('Cutters Consumption Updates'!$F:$F,'Cutters Consumption Updates'!$D:$D,J$1,'Cutters Consumption Updates'!$B:$B,$B263)-SUMIFS('Cutters Consumption Updates'!$E:$E,'Cutters Consumption Updates'!$D:$D,J$1,'Cutters Consumption Updates'!$B:$B,$B263)+ SUMIF('Cutters Consumption Updates'!$AS:$AS,$B263,'Cutters Consumption Updates'!AU:AU)</f>
        <v>0</v>
      </c>
      <c r="K263" s="116">
        <f>SUMIFS('Cutters Consumption Updates'!$F:$F,'Cutters Consumption Updates'!$D:$D,K$1,'Cutters Consumption Updates'!$B:$B,$B263)-SUMIFS('Cutters Consumption Updates'!$E:$E,'Cutters Consumption Updates'!$D:$D,K$1,'Cutters Consumption Updates'!$B:$B,$B263)+ SUMIF('Cutters Consumption Updates'!$AS:$AS,$B263,'Cutters Consumption Updates'!AV:AV)</f>
        <v>0</v>
      </c>
      <c r="L263" s="738">
        <f>SUMIFS('Cutters Consumption Updates'!$F:$F,'Cutters Consumption Updates'!$D:$D,L$1,'Cutters Consumption Updates'!$B:$B,$B263)-SUMIFS('Cutters Consumption Updates'!$E:$E,'Cutters Consumption Updates'!$D:$D,L$1,'Cutters Consumption Updates'!$B:$B,$B263)+ SUMIF('Cutters Consumption Updates'!$AS:$AS,$B263,'Cutters Consumption Updates'!AW:AW)</f>
        <v>0</v>
      </c>
      <c r="M263" s="116">
        <f>SUMIFS('Cutters Consumption Updates'!$F:$F,'Cutters Consumption Updates'!$D:$D,M$1,'Cutters Consumption Updates'!$B:$B,$B263)-SUMIFS('Cutters Consumption Updates'!$E:$E,'Cutters Consumption Updates'!$D:$D,$M$1,'Cutters Consumption Updates'!$B:$B,$B263)+SUMIFS('Cutters Consumption Updates'!$F:$F,'Cutters Consumption Updates'!$D:$D,"Retrofit",'Cutters Consumption Updates'!$B:$B,$B263)-SUMIFS('Cutters Consumption Updates'!$E:$E,'Cutters Consumption Updates'!$D:$D,"Retrofit",'Cutters Consumption Updates'!$B:$B,$B263)+ SUMIF('Cutters Consumption Updates'!$AS:$AS,$B263,'Cutters Consumption Updates'!AX:AX)</f>
        <v>1</v>
      </c>
      <c r="N263" s="10">
        <f t="shared" si="48"/>
        <v>1</v>
      </c>
      <c r="O263" s="701">
        <f ca="1">SUMIFS('Cutters Consumption Updates'!E:E,
        'Cutters Consumption Updates'!B:B, B263,
        'Cutters Consumption Updates'!A:A, "&gt;" &amp; TODAY()-182)</f>
        <v>27</v>
      </c>
      <c r="P263" s="701">
        <f ca="1">SUMIFS('Cutters Consumption Updates'!E:E,
        'Cutters Consumption Updates'!B:B, B263,
        'Cutters Consumption Updates'!A:A, "&gt;" &amp; TODAY()-91)</f>
        <v>17</v>
      </c>
      <c r="Q263" s="701">
        <f t="shared" ca="1" si="49"/>
        <v>9</v>
      </c>
      <c r="R263" s="703">
        <f t="shared" ca="1" si="50"/>
        <v>15</v>
      </c>
      <c r="S263" s="703" t="s">
        <v>167</v>
      </c>
      <c r="T263" s="24">
        <f>IFERROR(INDEX(Table5[],MATCH($B263,Table5[Component],0),2),0)</f>
        <v>24</v>
      </c>
      <c r="U263" s="24">
        <f>SUMIFS(Table7[Balance],Table7[Cutter Mat'#],$B263)</f>
        <v>0</v>
      </c>
      <c r="V263" s="24">
        <f t="shared" si="51"/>
        <v>-23</v>
      </c>
      <c r="W263" s="119"/>
      <c r="X263" s="2"/>
      <c r="Z263" s="4">
        <f>IFERROR(INDEX(Table5[],MATCH($B263,Table5[Component],0),2),0)</f>
        <v>24</v>
      </c>
      <c r="AA263" s="4">
        <f>IFERROR(INDEX(Table5[],MATCH($B263,Table5[Component],0),1),0)</f>
        <v>2001060</v>
      </c>
      <c r="AB263" s="4">
        <f t="shared" si="52"/>
        <v>2001060</v>
      </c>
      <c r="AC263" s="4" t="str">
        <f t="shared" si="53"/>
        <v/>
      </c>
      <c r="AE263" s="4">
        <f t="shared" si="54"/>
        <v>1</v>
      </c>
      <c r="AJ263" s="248" t="str">
        <f t="shared" si="55"/>
        <v/>
      </c>
      <c r="AK263" s="248" t="str">
        <f t="shared" si="56"/>
        <v/>
      </c>
      <c r="AL263">
        <f t="shared" si="57"/>
        <v>0</v>
      </c>
      <c r="AO263" s="4"/>
      <c r="AP263" s="4"/>
      <c r="AQ263">
        <f t="shared" si="59"/>
        <v>0</v>
      </c>
      <c r="AR263" s="4"/>
      <c r="AS263" s="4">
        <v>1272309</v>
      </c>
      <c r="AT263">
        <f t="shared" si="58"/>
        <v>0</v>
      </c>
    </row>
    <row r="264" spans="1:46" ht="18.75" customHeight="1" x14ac:dyDescent="0.35">
      <c r="A264" s="2">
        <v>269</v>
      </c>
      <c r="B264" s="250">
        <v>2013726</v>
      </c>
      <c r="C264" s="3" t="s">
        <v>26</v>
      </c>
      <c r="D264" s="460">
        <v>1913</v>
      </c>
      <c r="E264" s="292" t="s">
        <v>228</v>
      </c>
      <c r="F264" s="292" t="s">
        <v>177</v>
      </c>
      <c r="G264" s="3"/>
      <c r="H264" s="13" t="s">
        <v>169</v>
      </c>
      <c r="I264" s="10">
        <f>SUMIFS('Cutters Consumption Updates'!$F:$F,'Cutters Consumption Updates'!$D:$D,I$1,'Cutters Consumption Updates'!$B:$B,$B264)-SUMIFS('Cutters Consumption Updates'!$E:$E,'Cutters Consumption Updates'!$D:$D,I$1,'Cutters Consumption Updates'!$B:$B,$B264)+ SUMIF('Cutters Consumption Updates'!$AS:$AS,$B264,'Cutters Consumption Updates'!AT:AT)</f>
        <v>0</v>
      </c>
      <c r="J264" s="10">
        <f>SUMIFS('Cutters Consumption Updates'!$F:$F,'Cutters Consumption Updates'!$D:$D,J$1,'Cutters Consumption Updates'!$B:$B,$B264)-SUMIFS('Cutters Consumption Updates'!$E:$E,'Cutters Consumption Updates'!$D:$D,J$1,'Cutters Consumption Updates'!$B:$B,$B264)+ SUMIF('Cutters Consumption Updates'!$AS:$AS,$B264,'Cutters Consumption Updates'!AU:AU)</f>
        <v>0</v>
      </c>
      <c r="K264" s="116">
        <f>SUMIFS('Cutters Consumption Updates'!$F:$F,'Cutters Consumption Updates'!$D:$D,K$1,'Cutters Consumption Updates'!$B:$B,$B264)-SUMIFS('Cutters Consumption Updates'!$E:$E,'Cutters Consumption Updates'!$D:$D,K$1,'Cutters Consumption Updates'!$B:$B,$B264)+ SUMIF('Cutters Consumption Updates'!$AS:$AS,$B264,'Cutters Consumption Updates'!AV:AV)</f>
        <v>0</v>
      </c>
      <c r="L264" s="738">
        <f>SUMIFS('Cutters Consumption Updates'!$F:$F,'Cutters Consumption Updates'!$D:$D,L$1,'Cutters Consumption Updates'!$B:$B,$B264)-SUMIFS('Cutters Consumption Updates'!$E:$E,'Cutters Consumption Updates'!$D:$D,L$1,'Cutters Consumption Updates'!$B:$B,$B264)+ SUMIF('Cutters Consumption Updates'!$AS:$AS,$B264,'Cutters Consumption Updates'!AW:AW)</f>
        <v>0</v>
      </c>
      <c r="M264" s="116">
        <f>SUMIFS('Cutters Consumption Updates'!$F:$F,'Cutters Consumption Updates'!$D:$D,M$1,'Cutters Consumption Updates'!$B:$B,$B264)-SUMIFS('Cutters Consumption Updates'!$E:$E,'Cutters Consumption Updates'!$D:$D,$M$1,'Cutters Consumption Updates'!$B:$B,$B264)+SUMIFS('Cutters Consumption Updates'!$F:$F,'Cutters Consumption Updates'!$D:$D,"Retrofit",'Cutters Consumption Updates'!$B:$B,$B264)-SUMIFS('Cutters Consumption Updates'!$E:$E,'Cutters Consumption Updates'!$D:$D,"Retrofit",'Cutters Consumption Updates'!$B:$B,$B264)+ SUMIF('Cutters Consumption Updates'!$AS:$AS,$B264,'Cutters Consumption Updates'!AX:AX)</f>
        <v>192</v>
      </c>
      <c r="N264" s="10">
        <f t="shared" si="48"/>
        <v>192</v>
      </c>
      <c r="O264" s="701">
        <f ca="1">SUMIFS('Cutters Consumption Updates'!E:E,
        'Cutters Consumption Updates'!B:B, B264,
        'Cutters Consumption Updates'!A:A, "&gt;" &amp; TODAY()-182)</f>
        <v>0</v>
      </c>
      <c r="P264" s="701">
        <f ca="1">SUMIFS('Cutters Consumption Updates'!E:E,
        'Cutters Consumption Updates'!B:B, B264,
        'Cutters Consumption Updates'!A:A, "&gt;" &amp; TODAY()-91)</f>
        <v>0</v>
      </c>
      <c r="Q264" s="701">
        <f t="shared" ca="1" si="49"/>
        <v>0</v>
      </c>
      <c r="R264" s="703">
        <f t="shared" ca="1" si="50"/>
        <v>0</v>
      </c>
      <c r="S264" s="703" t="s">
        <v>229</v>
      </c>
      <c r="T264" s="24">
        <f>IFERROR(INDEX(Table5[],MATCH($B264,Table5[Component],0),2),0)</f>
        <v>0</v>
      </c>
      <c r="U264" s="24">
        <f>SUMIFS(Table7[Balance],Table7[Cutter Mat'#],$B264)</f>
        <v>0</v>
      </c>
      <c r="V264" s="24">
        <f t="shared" si="51"/>
        <v>192</v>
      </c>
      <c r="W264" s="119"/>
      <c r="X264" s="2"/>
      <c r="Z264" s="4">
        <f>IFERROR(INDEX(Table5[],MATCH($B264,Table5[Component],0),2),0)</f>
        <v>0</v>
      </c>
      <c r="AA264" s="4">
        <f>IFERROR(INDEX(Table5[],MATCH($B264,Table5[Component],0),1),0)</f>
        <v>0</v>
      </c>
      <c r="AB264" s="4" t="str">
        <f t="shared" si="52"/>
        <v/>
      </c>
      <c r="AC264" s="4" t="str">
        <f t="shared" si="53"/>
        <v/>
      </c>
      <c r="AE264" s="4">
        <f t="shared" si="54"/>
        <v>192</v>
      </c>
      <c r="AJ264" s="248" t="str">
        <f t="shared" si="55"/>
        <v/>
      </c>
      <c r="AK264" s="248" t="str">
        <f t="shared" si="56"/>
        <v/>
      </c>
      <c r="AL264">
        <f t="shared" si="57"/>
        <v>0</v>
      </c>
      <c r="AO264" s="4"/>
      <c r="AP264" s="4"/>
      <c r="AQ264">
        <f t="shared" si="59"/>
        <v>0</v>
      </c>
      <c r="AR264" s="4"/>
      <c r="AS264" s="4">
        <v>1272937</v>
      </c>
      <c r="AT264">
        <f t="shared" si="58"/>
        <v>75</v>
      </c>
    </row>
    <row r="265" spans="1:46" ht="18.75" customHeight="1" x14ac:dyDescent="0.35">
      <c r="A265" s="2">
        <v>270</v>
      </c>
      <c r="B265" s="250">
        <v>1274176</v>
      </c>
      <c r="C265" s="3" t="s">
        <v>26</v>
      </c>
      <c r="D265" s="460">
        <v>1613</v>
      </c>
      <c r="E265" s="292" t="s">
        <v>228</v>
      </c>
      <c r="F265" s="292" t="s">
        <v>177</v>
      </c>
      <c r="G265" s="3"/>
      <c r="H265" s="13" t="s">
        <v>169</v>
      </c>
      <c r="I265" s="10">
        <f>SUMIFS('Cutters Consumption Updates'!$F:$F,'Cutters Consumption Updates'!$D:$D,I$1,'Cutters Consumption Updates'!$B:$B,$B265)-SUMIFS('Cutters Consumption Updates'!$E:$E,'Cutters Consumption Updates'!$D:$D,I$1,'Cutters Consumption Updates'!$B:$B,$B265)+ SUMIF('Cutters Consumption Updates'!$AS:$AS,$B265,'Cutters Consumption Updates'!AT:AT)</f>
        <v>0</v>
      </c>
      <c r="J265" s="10">
        <f>SUMIFS('Cutters Consumption Updates'!$F:$F,'Cutters Consumption Updates'!$D:$D,J$1,'Cutters Consumption Updates'!$B:$B,$B265)-SUMIFS('Cutters Consumption Updates'!$E:$E,'Cutters Consumption Updates'!$D:$D,J$1,'Cutters Consumption Updates'!$B:$B,$B265)+ SUMIF('Cutters Consumption Updates'!$AS:$AS,$B265,'Cutters Consumption Updates'!AU:AU)</f>
        <v>0</v>
      </c>
      <c r="K265" s="116">
        <f>SUMIFS('Cutters Consumption Updates'!$F:$F,'Cutters Consumption Updates'!$D:$D,K$1,'Cutters Consumption Updates'!$B:$B,$B265)-SUMIFS('Cutters Consumption Updates'!$E:$E,'Cutters Consumption Updates'!$D:$D,K$1,'Cutters Consumption Updates'!$B:$B,$B265)+ SUMIF('Cutters Consumption Updates'!$AS:$AS,$B265,'Cutters Consumption Updates'!AV:AV)</f>
        <v>0</v>
      </c>
      <c r="L265" s="738">
        <f>SUMIFS('Cutters Consumption Updates'!$F:$F,'Cutters Consumption Updates'!$D:$D,L$1,'Cutters Consumption Updates'!$B:$B,$B265)-SUMIFS('Cutters Consumption Updates'!$E:$E,'Cutters Consumption Updates'!$D:$D,L$1,'Cutters Consumption Updates'!$B:$B,$B265)+ SUMIF('Cutters Consumption Updates'!$AS:$AS,$B265,'Cutters Consumption Updates'!AW:AW)</f>
        <v>0</v>
      </c>
      <c r="M265" s="116">
        <f>SUMIFS('Cutters Consumption Updates'!$F:$F,'Cutters Consumption Updates'!$D:$D,M$1,'Cutters Consumption Updates'!$B:$B,$B265)-SUMIFS('Cutters Consumption Updates'!$E:$E,'Cutters Consumption Updates'!$D:$D,$M$1,'Cutters Consumption Updates'!$B:$B,$B265)+SUMIFS('Cutters Consumption Updates'!$F:$F,'Cutters Consumption Updates'!$D:$D,"Retrofit",'Cutters Consumption Updates'!$B:$B,$B265)-SUMIFS('Cutters Consumption Updates'!$E:$E,'Cutters Consumption Updates'!$D:$D,"Retrofit",'Cutters Consumption Updates'!$B:$B,$B265)+ SUMIF('Cutters Consumption Updates'!$AS:$AS,$B265,'Cutters Consumption Updates'!AX:AX)</f>
        <v>1</v>
      </c>
      <c r="N265" s="10">
        <f t="shared" si="48"/>
        <v>1</v>
      </c>
      <c r="O265" s="701">
        <f ca="1">SUMIFS('Cutters Consumption Updates'!E:E,
        'Cutters Consumption Updates'!B:B, B265,
        'Cutters Consumption Updates'!A:A, "&gt;" &amp; TODAY()-182)</f>
        <v>0</v>
      </c>
      <c r="P265" s="701">
        <f ca="1">SUMIFS('Cutters Consumption Updates'!E:E,
        'Cutters Consumption Updates'!B:B, B265,
        'Cutters Consumption Updates'!A:A, "&gt;" &amp; TODAY()-91)</f>
        <v>0</v>
      </c>
      <c r="Q265" s="701">
        <f t="shared" ca="1" si="49"/>
        <v>0</v>
      </c>
      <c r="R265" s="703">
        <f t="shared" ca="1" si="50"/>
        <v>0</v>
      </c>
      <c r="S265" s="703" t="s">
        <v>213</v>
      </c>
      <c r="T265" s="24">
        <f>IFERROR(INDEX(Table5[],MATCH($B265,Table5[Component],0),2),0)</f>
        <v>0</v>
      </c>
      <c r="U265" s="24">
        <f>SUMIFS(Table7[Balance],Table7[Cutter Mat'#],$B265)</f>
        <v>0</v>
      </c>
      <c r="V265" s="24">
        <f t="shared" si="51"/>
        <v>1</v>
      </c>
      <c r="W265" s="119"/>
      <c r="X265" s="2"/>
      <c r="Z265" s="4">
        <f>IFERROR(INDEX(Table5[],MATCH($B265,Table5[Component],0),2),0)</f>
        <v>0</v>
      </c>
      <c r="AA265" s="4">
        <f>IFERROR(INDEX(Table5[],MATCH($B265,Table5[Component],0),1),0)</f>
        <v>0</v>
      </c>
      <c r="AB265" s="4" t="str">
        <f t="shared" si="52"/>
        <v/>
      </c>
      <c r="AC265" s="4" t="str">
        <f t="shared" si="53"/>
        <v/>
      </c>
      <c r="AE265" s="4">
        <f t="shared" si="54"/>
        <v>1</v>
      </c>
      <c r="AJ265" s="248" t="str">
        <f t="shared" si="55"/>
        <v/>
      </c>
      <c r="AK265" s="248" t="str">
        <f t="shared" si="56"/>
        <v/>
      </c>
      <c r="AL265">
        <f t="shared" si="57"/>
        <v>0</v>
      </c>
      <c r="AO265" s="4"/>
      <c r="AP265" s="4"/>
      <c r="AQ265">
        <f t="shared" si="59"/>
        <v>0</v>
      </c>
      <c r="AR265" s="4"/>
      <c r="AS265" s="4">
        <v>1274176</v>
      </c>
      <c r="AT265">
        <f t="shared" si="58"/>
        <v>0</v>
      </c>
    </row>
    <row r="266" spans="1:46" ht="18.75" customHeight="1" x14ac:dyDescent="0.35">
      <c r="A266" s="2">
        <v>271</v>
      </c>
      <c r="B266" s="250">
        <v>1293118</v>
      </c>
      <c r="C266" s="3" t="s">
        <v>26</v>
      </c>
      <c r="D266" s="3" t="s">
        <v>73</v>
      </c>
      <c r="E266" s="292" t="s">
        <v>230</v>
      </c>
      <c r="F266" s="292" t="s">
        <v>253</v>
      </c>
      <c r="G266" s="3" t="s">
        <v>231</v>
      </c>
      <c r="H266" s="13" t="s">
        <v>49</v>
      </c>
      <c r="I266" s="10">
        <f>SUMIFS('Cutters Consumption Updates'!$F:$F,'Cutters Consumption Updates'!$D:$D,I$1,'Cutters Consumption Updates'!$B:$B,$B266)-SUMIFS('Cutters Consumption Updates'!$E:$E,'Cutters Consumption Updates'!$D:$D,I$1,'Cutters Consumption Updates'!$B:$B,$B266)+ SUMIF('Cutters Consumption Updates'!$AS:$AS,$B266,'Cutters Consumption Updates'!AT:AT)</f>
        <v>0</v>
      </c>
      <c r="J266" s="10">
        <f>SUMIFS('Cutters Consumption Updates'!$F:$F,'Cutters Consumption Updates'!$D:$D,J$1,'Cutters Consumption Updates'!$B:$B,$B266)-SUMIFS('Cutters Consumption Updates'!$E:$E,'Cutters Consumption Updates'!$D:$D,J$1,'Cutters Consumption Updates'!$B:$B,$B266)+ SUMIF('Cutters Consumption Updates'!$AS:$AS,$B266,'Cutters Consumption Updates'!AU:AU)</f>
        <v>0</v>
      </c>
      <c r="K266" s="116">
        <f>SUMIFS('Cutters Consumption Updates'!$F:$F,'Cutters Consumption Updates'!$D:$D,K$1,'Cutters Consumption Updates'!$B:$B,$B266)-SUMIFS('Cutters Consumption Updates'!$E:$E,'Cutters Consumption Updates'!$D:$D,K$1,'Cutters Consumption Updates'!$B:$B,$B266)+ SUMIF('Cutters Consumption Updates'!$AS:$AS,$B266,'Cutters Consumption Updates'!AV:AV)</f>
        <v>0</v>
      </c>
      <c r="L266" s="738">
        <f>SUMIFS('Cutters Consumption Updates'!$F:$F,'Cutters Consumption Updates'!$D:$D,L$1,'Cutters Consumption Updates'!$B:$B,$B266)-SUMIFS('Cutters Consumption Updates'!$E:$E,'Cutters Consumption Updates'!$D:$D,L$1,'Cutters Consumption Updates'!$B:$B,$B266)+ SUMIF('Cutters Consumption Updates'!$AS:$AS,$B266,'Cutters Consumption Updates'!AW:AW)</f>
        <v>0</v>
      </c>
      <c r="M266" s="116">
        <f>SUMIFS('Cutters Consumption Updates'!$F:$F,'Cutters Consumption Updates'!$D:$D,M$1,'Cutters Consumption Updates'!$B:$B,$B266)-SUMIFS('Cutters Consumption Updates'!$E:$E,'Cutters Consumption Updates'!$D:$D,$M$1,'Cutters Consumption Updates'!$B:$B,$B266)+SUMIFS('Cutters Consumption Updates'!$F:$F,'Cutters Consumption Updates'!$D:$D,"Retrofit",'Cutters Consumption Updates'!$B:$B,$B266)-SUMIFS('Cutters Consumption Updates'!$E:$E,'Cutters Consumption Updates'!$D:$D,"Retrofit",'Cutters Consumption Updates'!$B:$B,$B266)+ SUMIF('Cutters Consumption Updates'!$AS:$AS,$B266,'Cutters Consumption Updates'!AX:AX)</f>
        <v>20</v>
      </c>
      <c r="N266" s="10">
        <f t="shared" si="48"/>
        <v>20</v>
      </c>
      <c r="O266" s="701">
        <f ca="1">SUMIFS('Cutters Consumption Updates'!E:E,
        'Cutters Consumption Updates'!B:B, B266,
        'Cutters Consumption Updates'!A:A, "&gt;" &amp; TODAY()-182)</f>
        <v>130</v>
      </c>
      <c r="P266" s="701">
        <f ca="1">SUMIFS('Cutters Consumption Updates'!E:E,
        'Cutters Consumption Updates'!B:B, B266,
        'Cutters Consumption Updates'!A:A, "&gt;" &amp; TODAY()-91)</f>
        <v>120</v>
      </c>
      <c r="Q266" s="701">
        <f t="shared" ca="1" si="49"/>
        <v>44</v>
      </c>
      <c r="R266" s="703">
        <f t="shared" ca="1" si="50"/>
        <v>50</v>
      </c>
      <c r="S266" s="703" t="s">
        <v>232</v>
      </c>
      <c r="T266" s="24">
        <f>IFERROR(INDEX(Table5[],MATCH($B266,Table5[Component],0),2),0)</f>
        <v>180</v>
      </c>
      <c r="U266" s="24">
        <f>SUMIFS(Table7[Balance],Table7[Cutter Mat'#],$B266)</f>
        <v>30</v>
      </c>
      <c r="V266" s="24">
        <f t="shared" si="51"/>
        <v>-130</v>
      </c>
      <c r="W266" s="119"/>
      <c r="X266" s="2"/>
      <c r="Z266" s="4">
        <f>IFERROR(INDEX(Table5[],MATCH($B266,Table5[Component],0),2),0)</f>
        <v>180</v>
      </c>
      <c r="AA266" s="4">
        <f>IFERROR(INDEX(Table5[],MATCH($B266,Table5[Component],0),1),0)</f>
        <v>1293118</v>
      </c>
      <c r="AB266" s="4">
        <f t="shared" si="52"/>
        <v>1293118</v>
      </c>
      <c r="AC266" s="4" t="str">
        <f t="shared" si="53"/>
        <v/>
      </c>
      <c r="AE266" s="4">
        <f t="shared" si="54"/>
        <v>20</v>
      </c>
      <c r="AJ266" s="248" t="str">
        <f t="shared" si="55"/>
        <v/>
      </c>
      <c r="AK266" s="248" t="str">
        <f t="shared" si="56"/>
        <v/>
      </c>
      <c r="AL266">
        <f t="shared" si="57"/>
        <v>0</v>
      </c>
      <c r="AO266" s="4"/>
      <c r="AP266" s="4"/>
      <c r="AQ266">
        <f t="shared" si="59"/>
        <v>30</v>
      </c>
      <c r="AR266" s="4"/>
      <c r="AS266" s="4">
        <v>1282369</v>
      </c>
      <c r="AT266">
        <f t="shared" si="58"/>
        <v>50</v>
      </c>
    </row>
    <row r="267" spans="1:46" ht="18.75" customHeight="1" x14ac:dyDescent="0.35">
      <c r="A267" s="2">
        <v>272</v>
      </c>
      <c r="B267" s="250">
        <v>1192901</v>
      </c>
      <c r="C267" s="3" t="s">
        <v>81</v>
      </c>
      <c r="D267" s="460" t="s">
        <v>201</v>
      </c>
      <c r="E267" s="292" t="s">
        <v>233</v>
      </c>
      <c r="F267" s="292"/>
      <c r="G267" s="3"/>
      <c r="H267" s="13" t="s">
        <v>36</v>
      </c>
      <c r="I267" s="10">
        <f>SUMIFS('Cutters Consumption Updates'!$F:$F,'Cutters Consumption Updates'!$D:$D,I$1,'Cutters Consumption Updates'!$B:$B,$B267)-SUMIFS('Cutters Consumption Updates'!$E:$E,'Cutters Consumption Updates'!$D:$D,I$1,'Cutters Consumption Updates'!$B:$B,$B267)+ SUMIF('Cutters Consumption Updates'!$AS:$AS,$B267,'Cutters Consumption Updates'!AT:AT)</f>
        <v>0</v>
      </c>
      <c r="J267" s="10">
        <f>SUMIFS('Cutters Consumption Updates'!$F:$F,'Cutters Consumption Updates'!$D:$D,J$1,'Cutters Consumption Updates'!$B:$B,$B267)-SUMIFS('Cutters Consumption Updates'!$E:$E,'Cutters Consumption Updates'!$D:$D,J$1,'Cutters Consumption Updates'!$B:$B,$B267)+ SUMIF('Cutters Consumption Updates'!$AS:$AS,$B267,'Cutters Consumption Updates'!AU:AU)</f>
        <v>0</v>
      </c>
      <c r="K267" s="116">
        <f>SUMIFS('Cutters Consumption Updates'!$F:$F,'Cutters Consumption Updates'!$D:$D,K$1,'Cutters Consumption Updates'!$B:$B,$B267)-SUMIFS('Cutters Consumption Updates'!$E:$E,'Cutters Consumption Updates'!$D:$D,K$1,'Cutters Consumption Updates'!$B:$B,$B267)+ SUMIF('Cutters Consumption Updates'!$AS:$AS,$B267,'Cutters Consumption Updates'!AV:AV)</f>
        <v>0</v>
      </c>
      <c r="L267" s="738">
        <f>SUMIFS('Cutters Consumption Updates'!$F:$F,'Cutters Consumption Updates'!$D:$D,L$1,'Cutters Consumption Updates'!$B:$B,$B267)-SUMIFS('Cutters Consumption Updates'!$E:$E,'Cutters Consumption Updates'!$D:$D,L$1,'Cutters Consumption Updates'!$B:$B,$B267)+ SUMIF('Cutters Consumption Updates'!$AS:$AS,$B267,'Cutters Consumption Updates'!AW:AW)</f>
        <v>0</v>
      </c>
      <c r="M267" s="116">
        <f>SUMIFS('Cutters Consumption Updates'!$F:$F,'Cutters Consumption Updates'!$D:$D,M$1,'Cutters Consumption Updates'!$B:$B,$B267)-SUMIFS('Cutters Consumption Updates'!$E:$E,'Cutters Consumption Updates'!$D:$D,$M$1,'Cutters Consumption Updates'!$B:$B,$B267)+SUMIFS('Cutters Consumption Updates'!$F:$F,'Cutters Consumption Updates'!$D:$D,"Retrofit",'Cutters Consumption Updates'!$B:$B,$B267)-SUMIFS('Cutters Consumption Updates'!$E:$E,'Cutters Consumption Updates'!$D:$D,"Retrofit",'Cutters Consumption Updates'!$B:$B,$B267)+ SUMIF('Cutters Consumption Updates'!$AS:$AS,$B267,'Cutters Consumption Updates'!AX:AX)</f>
        <v>0</v>
      </c>
      <c r="N267" s="10">
        <f t="shared" si="48"/>
        <v>0</v>
      </c>
      <c r="O267" s="701">
        <f ca="1">SUMIFS('Cutters Consumption Updates'!E:E,
        'Cutters Consumption Updates'!B:B, B267,
        'Cutters Consumption Updates'!A:A, "&gt;" &amp; TODAY()-182)</f>
        <v>30</v>
      </c>
      <c r="P267" s="701">
        <f ca="1">SUMIFS('Cutters Consumption Updates'!E:E,
        'Cutters Consumption Updates'!B:B, B267,
        'Cutters Consumption Updates'!A:A, "&gt;" &amp; TODAY()-91)</f>
        <v>30</v>
      </c>
      <c r="Q267" s="701">
        <f t="shared" ca="1" si="49"/>
        <v>10</v>
      </c>
      <c r="R267" s="703">
        <f t="shared" ca="1" si="50"/>
        <v>15</v>
      </c>
      <c r="S267" s="703" t="s">
        <v>29</v>
      </c>
      <c r="T267" s="24">
        <f>IFERROR(INDEX(Table5[],MATCH($B267,Table5[Component],0),2),0)</f>
        <v>27</v>
      </c>
      <c r="U267" s="24">
        <f>SUMIFS(Table7[Balance],Table7[Cutter Mat'#],$B267)</f>
        <v>0</v>
      </c>
      <c r="V267" s="24">
        <f t="shared" si="51"/>
        <v>-27</v>
      </c>
      <c r="W267" s="119"/>
      <c r="X267" s="2"/>
      <c r="Z267" s="4">
        <f>IFERROR(INDEX(Table5[],MATCH($B267,Table5[Component],0),2),0)</f>
        <v>27</v>
      </c>
      <c r="AA267" s="4">
        <f>IFERROR(INDEX(Table5[],MATCH($B267,Table5[Component],0),1),0)</f>
        <v>1192901</v>
      </c>
      <c r="AB267" s="4">
        <f t="shared" si="52"/>
        <v>1192901</v>
      </c>
      <c r="AC267" s="4" t="str">
        <f t="shared" si="53"/>
        <v/>
      </c>
      <c r="AE267" s="4">
        <f t="shared" si="54"/>
        <v>0</v>
      </c>
      <c r="AJ267" s="248" t="str">
        <f t="shared" si="55"/>
        <v/>
      </c>
      <c r="AK267" s="248" t="str">
        <f t="shared" si="56"/>
        <v/>
      </c>
      <c r="AL267">
        <f t="shared" si="57"/>
        <v>0</v>
      </c>
      <c r="AO267" s="4"/>
      <c r="AP267" s="4"/>
      <c r="AQ267">
        <f t="shared" si="59"/>
        <v>0</v>
      </c>
      <c r="AR267" s="4"/>
      <c r="AS267" s="4">
        <v>1282370</v>
      </c>
      <c r="AT267">
        <f t="shared" si="58"/>
        <v>15</v>
      </c>
    </row>
    <row r="268" spans="1:46" ht="18.75" customHeight="1" x14ac:dyDescent="0.35">
      <c r="A268" s="2">
        <v>273</v>
      </c>
      <c r="B268" s="250">
        <v>2002244</v>
      </c>
      <c r="C268" s="3" t="s">
        <v>26</v>
      </c>
      <c r="D268" s="460">
        <v>1313</v>
      </c>
      <c r="E268" s="292" t="s">
        <v>215</v>
      </c>
      <c r="F268" s="292" t="s">
        <v>234</v>
      </c>
      <c r="G268" s="3" t="s">
        <v>183</v>
      </c>
      <c r="H268" s="13" t="s">
        <v>146</v>
      </c>
      <c r="I268" s="10">
        <f>SUMIFS('Cutters Consumption Updates'!$F:$F,'Cutters Consumption Updates'!$D:$D,I$1,'Cutters Consumption Updates'!$B:$B,$B268)-SUMIFS('Cutters Consumption Updates'!$E:$E,'Cutters Consumption Updates'!$D:$D,I$1,'Cutters Consumption Updates'!$B:$B,$B268)+ SUMIF('Cutters Consumption Updates'!$AS:$AS,$B268,'Cutters Consumption Updates'!AT:AT)</f>
        <v>0</v>
      </c>
      <c r="J268" s="10">
        <f>SUMIFS('Cutters Consumption Updates'!$F:$F,'Cutters Consumption Updates'!$D:$D,J$1,'Cutters Consumption Updates'!$B:$B,$B268)-SUMIFS('Cutters Consumption Updates'!$E:$E,'Cutters Consumption Updates'!$D:$D,J$1,'Cutters Consumption Updates'!$B:$B,$B268)+ SUMIF('Cutters Consumption Updates'!$AS:$AS,$B268,'Cutters Consumption Updates'!AU:AU)</f>
        <v>0</v>
      </c>
      <c r="K268" s="116">
        <f>SUMIFS('Cutters Consumption Updates'!$F:$F,'Cutters Consumption Updates'!$D:$D,K$1,'Cutters Consumption Updates'!$B:$B,$B268)-SUMIFS('Cutters Consumption Updates'!$E:$E,'Cutters Consumption Updates'!$D:$D,K$1,'Cutters Consumption Updates'!$B:$B,$B268)+ SUMIF('Cutters Consumption Updates'!$AS:$AS,$B268,'Cutters Consumption Updates'!AV:AV)</f>
        <v>0</v>
      </c>
      <c r="L268" s="738">
        <f>SUMIFS('Cutters Consumption Updates'!$F:$F,'Cutters Consumption Updates'!$D:$D,L$1,'Cutters Consumption Updates'!$B:$B,$B268)-SUMIFS('Cutters Consumption Updates'!$E:$E,'Cutters Consumption Updates'!$D:$D,L$1,'Cutters Consumption Updates'!$B:$B,$B268)+ SUMIF('Cutters Consumption Updates'!$AS:$AS,$B268,'Cutters Consumption Updates'!AW:AW)</f>
        <v>0</v>
      </c>
      <c r="M268" s="116">
        <f>SUMIFS('Cutters Consumption Updates'!$F:$F,'Cutters Consumption Updates'!$D:$D,M$1,'Cutters Consumption Updates'!$B:$B,$B268)-SUMIFS('Cutters Consumption Updates'!$E:$E,'Cutters Consumption Updates'!$D:$D,$M$1,'Cutters Consumption Updates'!$B:$B,$B268)+SUMIFS('Cutters Consumption Updates'!$F:$F,'Cutters Consumption Updates'!$D:$D,"Retrofit",'Cutters Consumption Updates'!$B:$B,$B268)-SUMIFS('Cutters Consumption Updates'!$E:$E,'Cutters Consumption Updates'!$D:$D,"Retrofit",'Cutters Consumption Updates'!$B:$B,$B268)+ SUMIF('Cutters Consumption Updates'!$AS:$AS,$B268,'Cutters Consumption Updates'!AX:AX)</f>
        <v>0</v>
      </c>
      <c r="N268" s="10">
        <f t="shared" si="48"/>
        <v>0</v>
      </c>
      <c r="O268" s="701">
        <f ca="1">SUMIFS('Cutters Consumption Updates'!E:E,
        'Cutters Consumption Updates'!B:B, B268,
        'Cutters Consumption Updates'!A:A, "&gt;" &amp; TODAY()-182)</f>
        <v>0</v>
      </c>
      <c r="P268" s="701">
        <f ca="1">SUMIFS('Cutters Consumption Updates'!E:E,
        'Cutters Consumption Updates'!B:B, B268,
        'Cutters Consumption Updates'!A:A, "&gt;" &amp; TODAY()-91)</f>
        <v>0</v>
      </c>
      <c r="Q268" s="701">
        <f t="shared" ca="1" si="49"/>
        <v>0</v>
      </c>
      <c r="R268" s="703">
        <f t="shared" ca="1" si="50"/>
        <v>0</v>
      </c>
      <c r="S268" s="703" t="s">
        <v>184</v>
      </c>
      <c r="T268" s="24">
        <f>IFERROR(INDEX(Table5[],MATCH($B268,Table5[Component],0),2),0)</f>
        <v>0</v>
      </c>
      <c r="U268" s="24">
        <f>SUMIFS(Table7[Balance],Table7[Cutter Mat'#],$B268)</f>
        <v>0</v>
      </c>
      <c r="V268" s="24">
        <f t="shared" si="51"/>
        <v>0</v>
      </c>
      <c r="W268" s="119"/>
      <c r="X268" s="2"/>
      <c r="Z268" s="4">
        <f>IFERROR(INDEX(Table5[],MATCH($B268,Table5[Component],0),2),0)</f>
        <v>0</v>
      </c>
      <c r="AA268" s="4">
        <f>IFERROR(INDEX(Table5[],MATCH($B268,Table5[Component],0),1),0)</f>
        <v>0</v>
      </c>
      <c r="AB268" s="4" t="str">
        <f t="shared" si="52"/>
        <v/>
      </c>
      <c r="AC268" s="4" t="str">
        <f t="shared" si="53"/>
        <v/>
      </c>
      <c r="AE268" s="4">
        <f t="shared" si="54"/>
        <v>0</v>
      </c>
      <c r="AJ268" s="248" t="str">
        <f t="shared" si="55"/>
        <v/>
      </c>
      <c r="AK268" s="248" t="str">
        <f t="shared" si="56"/>
        <v/>
      </c>
      <c r="AL268">
        <f t="shared" si="57"/>
        <v>0</v>
      </c>
      <c r="AO268" s="4"/>
      <c r="AP268" s="4"/>
      <c r="AQ268">
        <f t="shared" si="59"/>
        <v>0</v>
      </c>
      <c r="AR268" s="4"/>
      <c r="AS268" s="4">
        <v>1282746</v>
      </c>
      <c r="AT268">
        <f t="shared" si="58"/>
        <v>0</v>
      </c>
    </row>
    <row r="269" spans="1:46" ht="18.75" customHeight="1" x14ac:dyDescent="0.35">
      <c r="A269" s="2">
        <v>274</v>
      </c>
      <c r="B269" s="250">
        <v>1146345</v>
      </c>
      <c r="C269" s="3" t="s">
        <v>26</v>
      </c>
      <c r="D269" s="460">
        <v>1308</v>
      </c>
      <c r="E269" s="292" t="s">
        <v>111</v>
      </c>
      <c r="F269" s="292" t="s">
        <v>177</v>
      </c>
      <c r="G269" s="3"/>
      <c r="H269" s="13" t="s">
        <v>49</v>
      </c>
      <c r="I269" s="10">
        <f>SUMIFS('Cutters Consumption Updates'!$F:$F,'Cutters Consumption Updates'!$D:$D,I$1,'Cutters Consumption Updates'!$B:$B,$B269)-SUMIFS('Cutters Consumption Updates'!$E:$E,'Cutters Consumption Updates'!$D:$D,I$1,'Cutters Consumption Updates'!$B:$B,$B269)+ SUMIF('Cutters Consumption Updates'!$AS:$AS,$B269,'Cutters Consumption Updates'!AT:AT)</f>
        <v>0</v>
      </c>
      <c r="J269" s="10">
        <f>SUMIFS('Cutters Consumption Updates'!$F:$F,'Cutters Consumption Updates'!$D:$D,J$1,'Cutters Consumption Updates'!$B:$B,$B269)-SUMIFS('Cutters Consumption Updates'!$E:$E,'Cutters Consumption Updates'!$D:$D,J$1,'Cutters Consumption Updates'!$B:$B,$B269)+ SUMIF('Cutters Consumption Updates'!$AS:$AS,$B269,'Cutters Consumption Updates'!AU:AU)</f>
        <v>0</v>
      </c>
      <c r="K269" s="116">
        <f>SUMIFS('Cutters Consumption Updates'!$F:$F,'Cutters Consumption Updates'!$D:$D,K$1,'Cutters Consumption Updates'!$B:$B,$B269)-SUMIFS('Cutters Consumption Updates'!$E:$E,'Cutters Consumption Updates'!$D:$D,K$1,'Cutters Consumption Updates'!$B:$B,$B269)+ SUMIF('Cutters Consumption Updates'!$AS:$AS,$B269,'Cutters Consumption Updates'!AV:AV)</f>
        <v>0</v>
      </c>
      <c r="L269" s="738">
        <f>SUMIFS('Cutters Consumption Updates'!$F:$F,'Cutters Consumption Updates'!$D:$D,L$1,'Cutters Consumption Updates'!$B:$B,$B269)-SUMIFS('Cutters Consumption Updates'!$E:$E,'Cutters Consumption Updates'!$D:$D,L$1,'Cutters Consumption Updates'!$B:$B,$B269)+ SUMIF('Cutters Consumption Updates'!$AS:$AS,$B269,'Cutters Consumption Updates'!AW:AW)</f>
        <v>0</v>
      </c>
      <c r="M269" s="116">
        <f>SUMIFS('Cutters Consumption Updates'!$F:$F,'Cutters Consumption Updates'!$D:$D,M$1,'Cutters Consumption Updates'!$B:$B,$B269)-SUMIFS('Cutters Consumption Updates'!$E:$E,'Cutters Consumption Updates'!$D:$D,$M$1,'Cutters Consumption Updates'!$B:$B,$B269)+SUMIFS('Cutters Consumption Updates'!$F:$F,'Cutters Consumption Updates'!$D:$D,"Retrofit",'Cutters Consumption Updates'!$B:$B,$B269)-SUMIFS('Cutters Consumption Updates'!$E:$E,'Cutters Consumption Updates'!$D:$D,"Retrofit",'Cutters Consumption Updates'!$B:$B,$B269)+ SUMIF('Cutters Consumption Updates'!$AS:$AS,$B269,'Cutters Consumption Updates'!AX:AX)</f>
        <v>20</v>
      </c>
      <c r="N269" s="10">
        <f t="shared" si="48"/>
        <v>20</v>
      </c>
      <c r="O269" s="701">
        <f ca="1">SUMIFS('Cutters Consumption Updates'!E:E,
        'Cutters Consumption Updates'!B:B, B269,
        'Cutters Consumption Updates'!A:A, "&gt;" &amp; TODAY()-182)</f>
        <v>0</v>
      </c>
      <c r="P269" s="701">
        <f ca="1">SUMIFS('Cutters Consumption Updates'!E:E,
        'Cutters Consumption Updates'!B:B, B269,
        'Cutters Consumption Updates'!A:A, "&gt;" &amp; TODAY()-91)</f>
        <v>0</v>
      </c>
      <c r="Q269" s="701">
        <f t="shared" ca="1" si="49"/>
        <v>0</v>
      </c>
      <c r="R269" s="703">
        <f t="shared" ca="1" si="50"/>
        <v>0</v>
      </c>
      <c r="S269" s="703" t="s">
        <v>29</v>
      </c>
      <c r="T269" s="24">
        <f>IFERROR(INDEX(Table5[],MATCH($B269,Table5[Component],0),2),0)</f>
        <v>0</v>
      </c>
      <c r="U269" s="24">
        <f>SUMIFS(Table7[Balance],Table7[Cutter Mat'#],$B269)</f>
        <v>0</v>
      </c>
      <c r="V269" s="24">
        <f t="shared" si="51"/>
        <v>20</v>
      </c>
      <c r="W269" s="119"/>
      <c r="X269" s="2"/>
      <c r="Z269" s="4">
        <f>IFERROR(INDEX(Table5[],MATCH($B269,Table5[Component],0),2),0)</f>
        <v>0</v>
      </c>
      <c r="AA269" s="4">
        <f>IFERROR(INDEX(Table5[],MATCH($B269,Table5[Component],0),1),0)</f>
        <v>0</v>
      </c>
      <c r="AB269" s="4" t="str">
        <f t="shared" si="52"/>
        <v/>
      </c>
      <c r="AC269" s="4" t="str">
        <f t="shared" si="53"/>
        <v/>
      </c>
      <c r="AE269" s="4">
        <f t="shared" si="54"/>
        <v>20</v>
      </c>
      <c r="AJ269" s="248" t="str">
        <f t="shared" si="55"/>
        <v/>
      </c>
      <c r="AK269" s="248" t="str">
        <f t="shared" si="56"/>
        <v/>
      </c>
      <c r="AL269">
        <f t="shared" si="57"/>
        <v>0</v>
      </c>
      <c r="AO269" s="4"/>
      <c r="AP269" s="4"/>
      <c r="AQ269">
        <f t="shared" si="59"/>
        <v>0</v>
      </c>
      <c r="AR269" s="4"/>
      <c r="AS269" s="4">
        <v>1288721</v>
      </c>
      <c r="AT269">
        <f t="shared" si="58"/>
        <v>0</v>
      </c>
    </row>
    <row r="270" spans="1:46" ht="18.75" customHeight="1" x14ac:dyDescent="0.35">
      <c r="A270" s="250">
        <v>275</v>
      </c>
      <c r="B270" s="250">
        <v>2002245</v>
      </c>
      <c r="C270" s="3" t="s">
        <v>26</v>
      </c>
      <c r="D270" s="460">
        <v>1613</v>
      </c>
      <c r="E270" s="460" t="s">
        <v>215</v>
      </c>
      <c r="F270" s="460" t="s">
        <v>170</v>
      </c>
      <c r="G270" s="3" t="s">
        <v>183</v>
      </c>
      <c r="H270" s="13" t="s">
        <v>146</v>
      </c>
      <c r="I270" s="10">
        <f>SUMIFS('Cutters Consumption Updates'!$F:$F,'Cutters Consumption Updates'!$D:$D,I$1,'Cutters Consumption Updates'!$B:$B,$B270)-SUMIFS('Cutters Consumption Updates'!$E:$E,'Cutters Consumption Updates'!$D:$D,I$1,'Cutters Consumption Updates'!$B:$B,$B270)+ SUMIF('Cutters Consumption Updates'!$AS:$AS,$B270,'Cutters Consumption Updates'!AT:AT)</f>
        <v>0</v>
      </c>
      <c r="J270" s="10">
        <f>SUMIFS('Cutters Consumption Updates'!$F:$F,'Cutters Consumption Updates'!$D:$D,J$1,'Cutters Consumption Updates'!$B:$B,$B270)-SUMIFS('Cutters Consumption Updates'!$E:$E,'Cutters Consumption Updates'!$D:$D,J$1,'Cutters Consumption Updates'!$B:$B,$B270)+ SUMIF('Cutters Consumption Updates'!$AS:$AS,$B270,'Cutters Consumption Updates'!AU:AU)</f>
        <v>0</v>
      </c>
      <c r="K270" s="116">
        <f>SUMIFS('Cutters Consumption Updates'!$F:$F,'Cutters Consumption Updates'!$D:$D,K$1,'Cutters Consumption Updates'!$B:$B,$B270)-SUMIFS('Cutters Consumption Updates'!$E:$E,'Cutters Consumption Updates'!$D:$D,K$1,'Cutters Consumption Updates'!$B:$B,$B270)+ SUMIF('Cutters Consumption Updates'!$AS:$AS,$B270,'Cutters Consumption Updates'!AV:AV)</f>
        <v>0</v>
      </c>
      <c r="L270" s="738">
        <f>SUMIFS('Cutters Consumption Updates'!$F:$F,'Cutters Consumption Updates'!$D:$D,L$1,'Cutters Consumption Updates'!$B:$B,$B270)-SUMIFS('Cutters Consumption Updates'!$E:$E,'Cutters Consumption Updates'!$D:$D,L$1,'Cutters Consumption Updates'!$B:$B,$B270)+ SUMIF('Cutters Consumption Updates'!$AS:$AS,$B270,'Cutters Consumption Updates'!AW:AW)</f>
        <v>0</v>
      </c>
      <c r="M270" s="116">
        <f>SUMIFS('Cutters Consumption Updates'!$F:$F,'Cutters Consumption Updates'!$D:$D,M$1,'Cutters Consumption Updates'!$B:$B,$B270)-SUMIFS('Cutters Consumption Updates'!$E:$E,'Cutters Consumption Updates'!$D:$D,$M$1,'Cutters Consumption Updates'!$B:$B,$B270)+SUMIFS('Cutters Consumption Updates'!$F:$F,'Cutters Consumption Updates'!$D:$D,"Retrofit",'Cutters Consumption Updates'!$B:$B,$B270)-SUMIFS('Cutters Consumption Updates'!$E:$E,'Cutters Consumption Updates'!$D:$D,"Retrofit",'Cutters Consumption Updates'!$B:$B,$B270)+ SUMIF('Cutters Consumption Updates'!$AS:$AS,$B270,'Cutters Consumption Updates'!AX:AX)</f>
        <v>10</v>
      </c>
      <c r="N270" s="10">
        <f t="shared" si="48"/>
        <v>10</v>
      </c>
      <c r="O270" s="701">
        <f ca="1">SUMIFS('Cutters Consumption Updates'!E:E,
        'Cutters Consumption Updates'!B:B, B270,
        'Cutters Consumption Updates'!A:A, "&gt;" &amp; TODAY()-182)</f>
        <v>0</v>
      </c>
      <c r="P270" s="701">
        <f ca="1">SUMIFS('Cutters Consumption Updates'!E:E,
        'Cutters Consumption Updates'!B:B, B270,
        'Cutters Consumption Updates'!A:A, "&gt;" &amp; TODAY()-91)</f>
        <v>0</v>
      </c>
      <c r="Q270" s="701">
        <f t="shared" ca="1" si="49"/>
        <v>0</v>
      </c>
      <c r="R270" s="703">
        <f t="shared" ca="1" si="50"/>
        <v>0</v>
      </c>
      <c r="S270" s="703" t="s">
        <v>29</v>
      </c>
      <c r="T270" s="24">
        <f>IFERROR(INDEX(Table5[],MATCH($B270,Table5[Component],0),2),0)</f>
        <v>0</v>
      </c>
      <c r="U270" s="24">
        <f>SUMIFS(Table7[Balance],Table7[Cutter Mat'#],$B270)</f>
        <v>0</v>
      </c>
      <c r="V270" s="24">
        <f t="shared" si="51"/>
        <v>10</v>
      </c>
      <c r="W270" s="119"/>
      <c r="X270" s="2"/>
      <c r="Z270" s="4">
        <f>IFERROR(INDEX(Table5[],MATCH($B270,Table5[Component],0),2),0)</f>
        <v>0</v>
      </c>
      <c r="AA270" s="4">
        <f>IFERROR(INDEX(Table5[],MATCH($B270,Table5[Component],0),1),0)</f>
        <v>0</v>
      </c>
      <c r="AB270" s="4" t="str">
        <f t="shared" si="52"/>
        <v/>
      </c>
      <c r="AC270" s="4" t="str">
        <f t="shared" si="53"/>
        <v/>
      </c>
      <c r="AE270" s="4">
        <f t="shared" si="54"/>
        <v>10</v>
      </c>
      <c r="AJ270" s="248" t="str">
        <f t="shared" si="55"/>
        <v/>
      </c>
      <c r="AK270" s="248" t="str">
        <f t="shared" si="56"/>
        <v/>
      </c>
      <c r="AL270">
        <f t="shared" si="57"/>
        <v>0</v>
      </c>
      <c r="AO270" s="4"/>
      <c r="AP270" s="4"/>
      <c r="AQ270">
        <f t="shared" si="59"/>
        <v>0</v>
      </c>
      <c r="AR270" s="4"/>
      <c r="AS270" s="4">
        <v>1288783</v>
      </c>
      <c r="AT270">
        <f t="shared" si="58"/>
        <v>0</v>
      </c>
    </row>
    <row r="271" spans="1:46" ht="18.75" customHeight="1" x14ac:dyDescent="0.35">
      <c r="A271" s="250">
        <v>276</v>
      </c>
      <c r="B271" s="250">
        <v>2002126</v>
      </c>
      <c r="C271" s="3" t="s">
        <v>26</v>
      </c>
      <c r="D271" s="460">
        <v>1613</v>
      </c>
      <c r="E271" s="460" t="s">
        <v>235</v>
      </c>
      <c r="F271" s="460" t="s">
        <v>170</v>
      </c>
      <c r="G271" s="3"/>
      <c r="H271" s="13" t="s">
        <v>169</v>
      </c>
      <c r="I271" s="10">
        <f>SUMIFS('Cutters Consumption Updates'!$F:$F,'Cutters Consumption Updates'!$D:$D,I$1,'Cutters Consumption Updates'!$B:$B,$B271)-SUMIFS('Cutters Consumption Updates'!$E:$E,'Cutters Consumption Updates'!$D:$D,I$1,'Cutters Consumption Updates'!$B:$B,$B271)+ SUMIF('Cutters Consumption Updates'!$AS:$AS,$B271,'Cutters Consumption Updates'!AT:AT)</f>
        <v>0</v>
      </c>
      <c r="J271" s="10">
        <f>SUMIFS('Cutters Consumption Updates'!$F:$F,'Cutters Consumption Updates'!$D:$D,J$1,'Cutters Consumption Updates'!$B:$B,$B271)-SUMIFS('Cutters Consumption Updates'!$E:$E,'Cutters Consumption Updates'!$D:$D,J$1,'Cutters Consumption Updates'!$B:$B,$B271)+ SUMIF('Cutters Consumption Updates'!$AS:$AS,$B271,'Cutters Consumption Updates'!AU:AU)</f>
        <v>0</v>
      </c>
      <c r="K271" s="116">
        <f>SUMIFS('Cutters Consumption Updates'!$F:$F,'Cutters Consumption Updates'!$D:$D,K$1,'Cutters Consumption Updates'!$B:$B,$B271)-SUMIFS('Cutters Consumption Updates'!$E:$E,'Cutters Consumption Updates'!$D:$D,K$1,'Cutters Consumption Updates'!$B:$B,$B271)+ SUMIF('Cutters Consumption Updates'!$AS:$AS,$B271,'Cutters Consumption Updates'!AV:AV)</f>
        <v>0</v>
      </c>
      <c r="L271" s="738">
        <f>SUMIFS('Cutters Consumption Updates'!$F:$F,'Cutters Consumption Updates'!$D:$D,L$1,'Cutters Consumption Updates'!$B:$B,$B271)-SUMIFS('Cutters Consumption Updates'!$E:$E,'Cutters Consumption Updates'!$D:$D,L$1,'Cutters Consumption Updates'!$B:$B,$B271)+ SUMIF('Cutters Consumption Updates'!$AS:$AS,$B271,'Cutters Consumption Updates'!AW:AW)</f>
        <v>0</v>
      </c>
      <c r="M271" s="116">
        <f>SUMIFS('Cutters Consumption Updates'!$F:$F,'Cutters Consumption Updates'!$D:$D,M$1,'Cutters Consumption Updates'!$B:$B,$B271)-SUMIFS('Cutters Consumption Updates'!$E:$E,'Cutters Consumption Updates'!$D:$D,$M$1,'Cutters Consumption Updates'!$B:$B,$B271)+SUMIFS('Cutters Consumption Updates'!$F:$F,'Cutters Consumption Updates'!$D:$D,"Retrofit",'Cutters Consumption Updates'!$B:$B,$B271)-SUMIFS('Cutters Consumption Updates'!$E:$E,'Cutters Consumption Updates'!$D:$D,"Retrofit",'Cutters Consumption Updates'!$B:$B,$B271)+ SUMIF('Cutters Consumption Updates'!$AS:$AS,$B271,'Cutters Consumption Updates'!AX:AX)</f>
        <v>25</v>
      </c>
      <c r="N271" s="10">
        <f t="shared" si="48"/>
        <v>25</v>
      </c>
      <c r="O271" s="701">
        <f ca="1">SUMIFS('Cutters Consumption Updates'!E:E,
        'Cutters Consumption Updates'!B:B, B271,
        'Cutters Consumption Updates'!A:A, "&gt;" &amp; TODAY()-182)</f>
        <v>0</v>
      </c>
      <c r="P271" s="701">
        <f ca="1">SUMIFS('Cutters Consumption Updates'!E:E,
        'Cutters Consumption Updates'!B:B, B271,
        'Cutters Consumption Updates'!A:A, "&gt;" &amp; TODAY()-91)</f>
        <v>0</v>
      </c>
      <c r="Q271" s="701">
        <f t="shared" ca="1" si="49"/>
        <v>0</v>
      </c>
      <c r="R271" s="703">
        <f t="shared" ca="1" si="50"/>
        <v>0</v>
      </c>
      <c r="S271" s="703" t="s">
        <v>29</v>
      </c>
      <c r="T271" s="24">
        <f>IFERROR(INDEX(Table5[],MATCH($B271,Table5[Component],0),2),0)</f>
        <v>0</v>
      </c>
      <c r="U271" s="24">
        <f>SUMIFS(Table7[Balance],Table7[Cutter Mat'#],$B271)</f>
        <v>0</v>
      </c>
      <c r="V271" s="24">
        <f t="shared" si="51"/>
        <v>25</v>
      </c>
      <c r="W271" s="119"/>
      <c r="X271" s="2"/>
      <c r="Z271" s="4">
        <f>IFERROR(INDEX(Table5[],MATCH($B271,Table5[Component],0),2),0)</f>
        <v>0</v>
      </c>
      <c r="AA271" s="4">
        <f>IFERROR(INDEX(Table5[],MATCH($B271,Table5[Component],0),1),0)</f>
        <v>0</v>
      </c>
      <c r="AB271" s="4" t="str">
        <f t="shared" si="52"/>
        <v/>
      </c>
      <c r="AC271" s="4" t="str">
        <f t="shared" si="53"/>
        <v/>
      </c>
      <c r="AE271" s="4">
        <f t="shared" si="54"/>
        <v>25</v>
      </c>
      <c r="AJ271" s="248" t="str">
        <f t="shared" si="55"/>
        <v/>
      </c>
      <c r="AK271" s="248" t="str">
        <f t="shared" si="56"/>
        <v/>
      </c>
      <c r="AL271">
        <f t="shared" si="57"/>
        <v>0</v>
      </c>
      <c r="AO271" s="4"/>
      <c r="AP271" s="4"/>
      <c r="AQ271">
        <f t="shared" si="59"/>
        <v>0</v>
      </c>
      <c r="AR271" s="4"/>
      <c r="AS271" s="4">
        <v>1290837</v>
      </c>
      <c r="AT271">
        <f t="shared" si="58"/>
        <v>0</v>
      </c>
    </row>
    <row r="272" spans="1:46" ht="18.75" customHeight="1" x14ac:dyDescent="0.35">
      <c r="A272" s="636">
        <v>277</v>
      </c>
      <c r="B272" s="250">
        <v>1291852</v>
      </c>
      <c r="C272" s="637" t="s">
        <v>172</v>
      </c>
      <c r="D272" s="460" t="s">
        <v>236</v>
      </c>
      <c r="E272" s="460" t="s">
        <v>237</v>
      </c>
      <c r="F272" s="606" t="s">
        <v>109</v>
      </c>
      <c r="G272" s="3"/>
      <c r="H272" s="13" t="s">
        <v>169</v>
      </c>
      <c r="I272" s="10">
        <f>SUMIFS('Cutters Consumption Updates'!$F:$F,'Cutters Consumption Updates'!$D:$D,I$1,'Cutters Consumption Updates'!$B:$B,$B272)-SUMIFS('Cutters Consumption Updates'!$E:$E,'Cutters Consumption Updates'!$D:$D,I$1,'Cutters Consumption Updates'!$B:$B,$B272)+ SUMIF('Cutters Consumption Updates'!$AS:$AS,$B272,'Cutters Consumption Updates'!AT:AT)</f>
        <v>0</v>
      </c>
      <c r="J272" s="10">
        <f>SUMIFS('Cutters Consumption Updates'!$F:$F,'Cutters Consumption Updates'!$D:$D,J$1,'Cutters Consumption Updates'!$B:$B,$B272)-SUMIFS('Cutters Consumption Updates'!$E:$E,'Cutters Consumption Updates'!$D:$D,J$1,'Cutters Consumption Updates'!$B:$B,$B272)+ SUMIF('Cutters Consumption Updates'!$AS:$AS,$B272,'Cutters Consumption Updates'!AU:AU)</f>
        <v>0</v>
      </c>
      <c r="K272" s="116">
        <f>SUMIFS('Cutters Consumption Updates'!$F:$F,'Cutters Consumption Updates'!$D:$D,K$1,'Cutters Consumption Updates'!$B:$B,$B272)-SUMIFS('Cutters Consumption Updates'!$E:$E,'Cutters Consumption Updates'!$D:$D,K$1,'Cutters Consumption Updates'!$B:$B,$B272)+ SUMIF('Cutters Consumption Updates'!$AS:$AS,$B272,'Cutters Consumption Updates'!AV:AV)</f>
        <v>0</v>
      </c>
      <c r="L272" s="738">
        <f>SUMIFS('Cutters Consumption Updates'!$F:$F,'Cutters Consumption Updates'!$D:$D,L$1,'Cutters Consumption Updates'!$B:$B,$B272)-SUMIFS('Cutters Consumption Updates'!$E:$E,'Cutters Consumption Updates'!$D:$D,L$1,'Cutters Consumption Updates'!$B:$B,$B272)+ SUMIF('Cutters Consumption Updates'!$AS:$AS,$B272,'Cutters Consumption Updates'!AW:AW)</f>
        <v>0</v>
      </c>
      <c r="M272" s="116">
        <f>SUMIFS('Cutters Consumption Updates'!$F:$F,'Cutters Consumption Updates'!$D:$D,M$1,'Cutters Consumption Updates'!$B:$B,$B272)-SUMIFS('Cutters Consumption Updates'!$E:$E,'Cutters Consumption Updates'!$D:$D,$M$1,'Cutters Consumption Updates'!$B:$B,$B272)+SUMIFS('Cutters Consumption Updates'!$F:$F,'Cutters Consumption Updates'!$D:$D,"Retrofit",'Cutters Consumption Updates'!$B:$B,$B272)-SUMIFS('Cutters Consumption Updates'!$E:$E,'Cutters Consumption Updates'!$D:$D,"Retrofit",'Cutters Consumption Updates'!$B:$B,$B272)+ SUMIF('Cutters Consumption Updates'!$AS:$AS,$B272,'Cutters Consumption Updates'!AX:AX)</f>
        <v>108</v>
      </c>
      <c r="N272" s="10">
        <f t="shared" si="48"/>
        <v>108</v>
      </c>
      <c r="O272" s="701">
        <f ca="1">SUMIFS('Cutters Consumption Updates'!E:E,
        'Cutters Consumption Updates'!B:B, B272,
        'Cutters Consumption Updates'!A:A, "&gt;" &amp; TODAY()-182)</f>
        <v>62</v>
      </c>
      <c r="P272" s="701">
        <f ca="1">SUMIFS('Cutters Consumption Updates'!E:E,
        'Cutters Consumption Updates'!B:B, B272,
        'Cutters Consumption Updates'!A:A, "&gt;" &amp; TODAY()-91)</f>
        <v>19</v>
      </c>
      <c r="Q272" s="701">
        <f t="shared" ca="1" si="49"/>
        <v>21</v>
      </c>
      <c r="R272" s="703">
        <f t="shared" ca="1" si="50"/>
        <v>25</v>
      </c>
      <c r="S272" s="703" t="s">
        <v>220</v>
      </c>
      <c r="T272" s="24">
        <f>IFERROR(INDEX(Table5[],MATCH($B272,Table5[Component],0),2),0)</f>
        <v>210</v>
      </c>
      <c r="U272" s="24">
        <f>SUMIFS(Table7[Balance],Table7[Cutter Mat'#],$B272)</f>
        <v>0</v>
      </c>
      <c r="V272" s="24">
        <f t="shared" si="51"/>
        <v>-102</v>
      </c>
      <c r="W272" s="119"/>
      <c r="X272" s="2"/>
      <c r="Z272" s="4">
        <f>IFERROR(INDEX(Table5[],MATCH($B272,Table5[Component],0),2),0)</f>
        <v>210</v>
      </c>
      <c r="AA272" s="4">
        <f>IFERROR(INDEX(Table5[],MATCH($B272,Table5[Component],0),1),0)</f>
        <v>1291852</v>
      </c>
      <c r="AB272" s="4">
        <f t="shared" si="52"/>
        <v>1291852</v>
      </c>
      <c r="AC272" s="4" t="str">
        <f t="shared" si="53"/>
        <v/>
      </c>
      <c r="AE272" s="4">
        <f t="shared" si="54"/>
        <v>108</v>
      </c>
      <c r="AJ272" s="248" t="str">
        <f t="shared" si="55"/>
        <v/>
      </c>
      <c r="AK272" s="248" t="str">
        <f t="shared" si="56"/>
        <v/>
      </c>
      <c r="AL272">
        <f t="shared" si="57"/>
        <v>0</v>
      </c>
      <c r="AO272" s="4"/>
      <c r="AP272" s="4"/>
      <c r="AQ272">
        <f t="shared" si="59"/>
        <v>0</v>
      </c>
      <c r="AR272" s="4"/>
      <c r="AS272" s="4">
        <v>1291852</v>
      </c>
      <c r="AT272">
        <f t="shared" si="58"/>
        <v>0</v>
      </c>
    </row>
    <row r="273" spans="1:46" ht="18.75" customHeight="1" x14ac:dyDescent="0.35">
      <c r="A273" s="636">
        <v>278</v>
      </c>
      <c r="B273" s="250">
        <v>1291870</v>
      </c>
      <c r="C273" s="637" t="s">
        <v>26</v>
      </c>
      <c r="D273" s="460">
        <v>1613</v>
      </c>
      <c r="E273" s="460" t="s">
        <v>235</v>
      </c>
      <c r="F273" s="460" t="s">
        <v>177</v>
      </c>
      <c r="G273" s="3"/>
      <c r="H273" s="13" t="s">
        <v>169</v>
      </c>
      <c r="I273" s="10">
        <f>SUMIFS('Cutters Consumption Updates'!$F:$F,'Cutters Consumption Updates'!$D:$D,I$1,'Cutters Consumption Updates'!$B:$B,$B273)-SUMIFS('Cutters Consumption Updates'!$E:$E,'Cutters Consumption Updates'!$D:$D,I$1,'Cutters Consumption Updates'!$B:$B,$B273)+ SUMIF('Cutters Consumption Updates'!$AS:$AS,$B273,'Cutters Consumption Updates'!AT:AT)</f>
        <v>0</v>
      </c>
      <c r="J273" s="10">
        <f>SUMIFS('Cutters Consumption Updates'!$F:$F,'Cutters Consumption Updates'!$D:$D,J$1,'Cutters Consumption Updates'!$B:$B,$B273)-SUMIFS('Cutters Consumption Updates'!$E:$E,'Cutters Consumption Updates'!$D:$D,J$1,'Cutters Consumption Updates'!$B:$B,$B273)+ SUMIF('Cutters Consumption Updates'!$AS:$AS,$B273,'Cutters Consumption Updates'!AU:AU)</f>
        <v>0</v>
      </c>
      <c r="K273" s="116">
        <f>SUMIFS('Cutters Consumption Updates'!$F:$F,'Cutters Consumption Updates'!$D:$D,K$1,'Cutters Consumption Updates'!$B:$B,$B273)-SUMIFS('Cutters Consumption Updates'!$E:$E,'Cutters Consumption Updates'!$D:$D,K$1,'Cutters Consumption Updates'!$B:$B,$B273)+ SUMIF('Cutters Consumption Updates'!$AS:$AS,$B273,'Cutters Consumption Updates'!AV:AV)</f>
        <v>0</v>
      </c>
      <c r="L273" s="738">
        <f>SUMIFS('Cutters Consumption Updates'!$F:$F,'Cutters Consumption Updates'!$D:$D,L$1,'Cutters Consumption Updates'!$B:$B,$B273)-SUMIFS('Cutters Consumption Updates'!$E:$E,'Cutters Consumption Updates'!$D:$D,L$1,'Cutters Consumption Updates'!$B:$B,$B273)+ SUMIF('Cutters Consumption Updates'!$AS:$AS,$B273,'Cutters Consumption Updates'!AW:AW)</f>
        <v>0</v>
      </c>
      <c r="M273" s="116">
        <f>SUMIFS('Cutters Consumption Updates'!$F:$F,'Cutters Consumption Updates'!$D:$D,M$1,'Cutters Consumption Updates'!$B:$B,$B273)-SUMIFS('Cutters Consumption Updates'!$E:$E,'Cutters Consumption Updates'!$D:$D,$M$1,'Cutters Consumption Updates'!$B:$B,$B273)+SUMIFS('Cutters Consumption Updates'!$F:$F,'Cutters Consumption Updates'!$D:$D,"Retrofit",'Cutters Consumption Updates'!$B:$B,$B273)-SUMIFS('Cutters Consumption Updates'!$E:$E,'Cutters Consumption Updates'!$D:$D,"Retrofit",'Cutters Consumption Updates'!$B:$B,$B273)+ SUMIF('Cutters Consumption Updates'!$AS:$AS,$B273,'Cutters Consumption Updates'!AX:AX)</f>
        <v>147</v>
      </c>
      <c r="N273" s="10">
        <f t="shared" si="48"/>
        <v>147</v>
      </c>
      <c r="O273" s="701">
        <f ca="1">SUMIFS('Cutters Consumption Updates'!E:E,
        'Cutters Consumption Updates'!B:B, B273,
        'Cutters Consumption Updates'!A:A, "&gt;" &amp; TODAY()-182)</f>
        <v>56</v>
      </c>
      <c r="P273" s="701">
        <f ca="1">SUMIFS('Cutters Consumption Updates'!E:E,
        'Cutters Consumption Updates'!B:B, B273,
        'Cutters Consumption Updates'!A:A, "&gt;" &amp; TODAY()-91)</f>
        <v>6</v>
      </c>
      <c r="Q273" s="701">
        <f t="shared" ca="1" si="49"/>
        <v>19</v>
      </c>
      <c r="R273" s="703">
        <f t="shared" ca="1" si="50"/>
        <v>25</v>
      </c>
      <c r="S273" s="703" t="s">
        <v>213</v>
      </c>
      <c r="T273" s="24">
        <f>IFERROR(INDEX(Table5[],MATCH($B273,Table5[Component],0),2),0)</f>
        <v>107</v>
      </c>
      <c r="U273" s="24">
        <f>SUMIFS(Table7[Balance],Table7[Cutter Mat'#],$B273)</f>
        <v>0</v>
      </c>
      <c r="V273" s="24">
        <f t="shared" si="51"/>
        <v>40</v>
      </c>
      <c r="W273" s="119"/>
      <c r="X273" s="2"/>
      <c r="Z273" s="4">
        <f>IFERROR(INDEX(Table5[],MATCH($B273,Table5[Component],0),2),0)</f>
        <v>107</v>
      </c>
      <c r="AA273" s="4">
        <f>IFERROR(INDEX(Table5[],MATCH($B273,Table5[Component],0),1),0)</f>
        <v>1291870</v>
      </c>
      <c r="AB273" s="4">
        <f t="shared" si="52"/>
        <v>1291870</v>
      </c>
      <c r="AC273" s="4" t="str">
        <f t="shared" si="53"/>
        <v/>
      </c>
      <c r="AE273" s="4">
        <f t="shared" si="54"/>
        <v>147</v>
      </c>
      <c r="AJ273" s="248" t="str">
        <f t="shared" si="55"/>
        <v/>
      </c>
      <c r="AK273" s="248" t="str">
        <f t="shared" si="56"/>
        <v/>
      </c>
      <c r="AL273">
        <f t="shared" si="57"/>
        <v>0</v>
      </c>
      <c r="AO273" s="4"/>
      <c r="AP273" s="4"/>
      <c r="AQ273">
        <f t="shared" si="59"/>
        <v>0</v>
      </c>
      <c r="AR273" s="4"/>
      <c r="AS273" s="4">
        <v>1291870</v>
      </c>
      <c r="AT273">
        <f t="shared" si="58"/>
        <v>0</v>
      </c>
    </row>
    <row r="274" spans="1:46" ht="18.75" customHeight="1" x14ac:dyDescent="0.35">
      <c r="A274" s="636">
        <v>279</v>
      </c>
      <c r="B274" s="209">
        <v>2008253</v>
      </c>
      <c r="C274" s="637" t="s">
        <v>26</v>
      </c>
      <c r="D274" s="460">
        <v>1313</v>
      </c>
      <c r="E274" s="460" t="s">
        <v>225</v>
      </c>
      <c r="F274" s="460" t="s">
        <v>109</v>
      </c>
      <c r="G274" s="3" t="s">
        <v>183</v>
      </c>
      <c r="H274" s="13" t="s">
        <v>146</v>
      </c>
      <c r="I274" s="10">
        <f>SUMIFS('Cutters Consumption Updates'!$F:$F,'Cutters Consumption Updates'!$D:$D,I$1,'Cutters Consumption Updates'!$B:$B,$B274)-SUMIFS('Cutters Consumption Updates'!$E:$E,'Cutters Consumption Updates'!$D:$D,I$1,'Cutters Consumption Updates'!$B:$B,$B274)+ SUMIF('Cutters Consumption Updates'!$AS:$AS,$B274,'Cutters Consumption Updates'!AT:AT)</f>
        <v>0</v>
      </c>
      <c r="J274" s="10">
        <f>SUMIFS('Cutters Consumption Updates'!$F:$F,'Cutters Consumption Updates'!$D:$D,J$1,'Cutters Consumption Updates'!$B:$B,$B274)-SUMIFS('Cutters Consumption Updates'!$E:$E,'Cutters Consumption Updates'!$D:$D,J$1,'Cutters Consumption Updates'!$B:$B,$B274)+ SUMIF('Cutters Consumption Updates'!$AS:$AS,$B274,'Cutters Consumption Updates'!AU:AU)</f>
        <v>0</v>
      </c>
      <c r="K274" s="116">
        <f>SUMIFS('Cutters Consumption Updates'!$F:$F,'Cutters Consumption Updates'!$D:$D,K$1,'Cutters Consumption Updates'!$B:$B,$B274)-SUMIFS('Cutters Consumption Updates'!$E:$E,'Cutters Consumption Updates'!$D:$D,K$1,'Cutters Consumption Updates'!$B:$B,$B274)+ SUMIF('Cutters Consumption Updates'!$AS:$AS,$B274,'Cutters Consumption Updates'!AV:AV)</f>
        <v>0</v>
      </c>
      <c r="L274" s="738">
        <f>SUMIFS('Cutters Consumption Updates'!$F:$F,'Cutters Consumption Updates'!$D:$D,L$1,'Cutters Consumption Updates'!$B:$B,$B274)-SUMIFS('Cutters Consumption Updates'!$E:$E,'Cutters Consumption Updates'!$D:$D,L$1,'Cutters Consumption Updates'!$B:$B,$B274)+ SUMIF('Cutters Consumption Updates'!$AS:$AS,$B274,'Cutters Consumption Updates'!AW:AW)</f>
        <v>0</v>
      </c>
      <c r="M274" s="116">
        <f>SUMIFS('Cutters Consumption Updates'!$F:$F,'Cutters Consumption Updates'!$D:$D,M$1,'Cutters Consumption Updates'!$B:$B,$B274)-SUMIFS('Cutters Consumption Updates'!$E:$E,'Cutters Consumption Updates'!$D:$D,$M$1,'Cutters Consumption Updates'!$B:$B,$B274)+SUMIFS('Cutters Consumption Updates'!$F:$F,'Cutters Consumption Updates'!$D:$D,"Retrofit",'Cutters Consumption Updates'!$B:$B,$B274)-SUMIFS('Cutters Consumption Updates'!$E:$E,'Cutters Consumption Updates'!$D:$D,"Retrofit",'Cutters Consumption Updates'!$B:$B,$B274)+ SUMIF('Cutters Consumption Updates'!$AS:$AS,$B274,'Cutters Consumption Updates'!AX:AX)</f>
        <v>0</v>
      </c>
      <c r="N274" s="10">
        <f t="shared" si="48"/>
        <v>0</v>
      </c>
      <c r="O274" s="701">
        <f ca="1">SUMIFS('Cutters Consumption Updates'!E:E,
        'Cutters Consumption Updates'!B:B, B274,
        'Cutters Consumption Updates'!A:A, "&gt;" &amp; TODAY()-182)</f>
        <v>0</v>
      </c>
      <c r="P274" s="701">
        <f ca="1">SUMIFS('Cutters Consumption Updates'!E:E,
        'Cutters Consumption Updates'!B:B, B274,
        'Cutters Consumption Updates'!A:A, "&gt;" &amp; TODAY()-91)</f>
        <v>0</v>
      </c>
      <c r="Q274" s="701">
        <f t="shared" ca="1" si="49"/>
        <v>0</v>
      </c>
      <c r="R274" s="703">
        <f t="shared" ca="1" si="50"/>
        <v>0</v>
      </c>
      <c r="S274" s="703" t="s">
        <v>224</v>
      </c>
      <c r="T274" s="24">
        <f>IFERROR(INDEX(Table5[],MATCH($B274,Table5[Component],0),2),0)</f>
        <v>0</v>
      </c>
      <c r="U274" s="24">
        <f>SUMIFS(Table7[Balance],Table7[Cutter Mat'#],$B274)</f>
        <v>0</v>
      </c>
      <c r="V274" s="24">
        <f t="shared" si="51"/>
        <v>0</v>
      </c>
      <c r="W274" s="119"/>
      <c r="X274" s="2"/>
      <c r="Z274" s="4">
        <f>IFERROR(INDEX(Table5[],MATCH($B274,Table5[Component],0),2),0)</f>
        <v>0</v>
      </c>
      <c r="AA274" s="4">
        <f>IFERROR(INDEX(Table5[],MATCH($B274,Table5[Component],0),1),0)</f>
        <v>0</v>
      </c>
      <c r="AB274" s="4" t="str">
        <f t="shared" si="52"/>
        <v/>
      </c>
      <c r="AC274" s="4" t="str">
        <f t="shared" si="53"/>
        <v/>
      </c>
      <c r="AE274" s="4">
        <f t="shared" si="54"/>
        <v>0</v>
      </c>
      <c r="AJ274" s="248" t="str">
        <f t="shared" si="55"/>
        <v/>
      </c>
      <c r="AK274" s="248" t="str">
        <f t="shared" si="56"/>
        <v/>
      </c>
      <c r="AL274">
        <f t="shared" si="57"/>
        <v>0</v>
      </c>
      <c r="AO274" s="4"/>
      <c r="AP274" s="4"/>
      <c r="AQ274">
        <f t="shared" si="59"/>
        <v>0</v>
      </c>
      <c r="AR274" s="4"/>
      <c r="AS274" s="4">
        <v>1292498</v>
      </c>
      <c r="AT274">
        <f t="shared" si="58"/>
        <v>0</v>
      </c>
    </row>
    <row r="275" spans="1:46" ht="18.75" customHeight="1" x14ac:dyDescent="0.35">
      <c r="A275" s="636">
        <v>280</v>
      </c>
      <c r="B275" s="209">
        <v>1292498</v>
      </c>
      <c r="C275" s="637" t="s">
        <v>94</v>
      </c>
      <c r="D275" s="460">
        <v>1613</v>
      </c>
      <c r="E275" s="460" t="s">
        <v>238</v>
      </c>
      <c r="F275" s="460" t="s">
        <v>170</v>
      </c>
      <c r="G275" s="3"/>
      <c r="H275" s="13" t="s">
        <v>169</v>
      </c>
      <c r="I275" s="10">
        <f>SUMIFS('Cutters Consumption Updates'!$F:$F,'Cutters Consumption Updates'!$D:$D,I$1,'Cutters Consumption Updates'!$B:$B,$B275)-SUMIFS('Cutters Consumption Updates'!$E:$E,'Cutters Consumption Updates'!$D:$D,I$1,'Cutters Consumption Updates'!$B:$B,$B275)+ SUMIF('Cutters Consumption Updates'!$AS:$AS,$B275,'Cutters Consumption Updates'!AT:AT)</f>
        <v>0</v>
      </c>
      <c r="J275" s="10">
        <f>SUMIFS('Cutters Consumption Updates'!$F:$F,'Cutters Consumption Updates'!$D:$D,J$1,'Cutters Consumption Updates'!$B:$B,$B275)-SUMIFS('Cutters Consumption Updates'!$E:$E,'Cutters Consumption Updates'!$D:$D,J$1,'Cutters Consumption Updates'!$B:$B,$B275)+ SUMIF('Cutters Consumption Updates'!$AS:$AS,$B275,'Cutters Consumption Updates'!AU:AU)</f>
        <v>0</v>
      </c>
      <c r="K275" s="116">
        <f>SUMIFS('Cutters Consumption Updates'!$F:$F,'Cutters Consumption Updates'!$D:$D,K$1,'Cutters Consumption Updates'!$B:$B,$B275)-SUMIFS('Cutters Consumption Updates'!$E:$E,'Cutters Consumption Updates'!$D:$D,K$1,'Cutters Consumption Updates'!$B:$B,$B275)+ SUMIF('Cutters Consumption Updates'!$AS:$AS,$B275,'Cutters Consumption Updates'!AV:AV)</f>
        <v>0</v>
      </c>
      <c r="L275" s="738">
        <f>SUMIFS('Cutters Consumption Updates'!$F:$F,'Cutters Consumption Updates'!$D:$D,L$1,'Cutters Consumption Updates'!$B:$B,$B275)-SUMIFS('Cutters Consumption Updates'!$E:$E,'Cutters Consumption Updates'!$D:$D,L$1,'Cutters Consumption Updates'!$B:$B,$B275)+ SUMIF('Cutters Consumption Updates'!$AS:$AS,$B275,'Cutters Consumption Updates'!AW:AW)</f>
        <v>0</v>
      </c>
      <c r="M275" s="116">
        <f>SUMIFS('Cutters Consumption Updates'!$F:$F,'Cutters Consumption Updates'!$D:$D,M$1,'Cutters Consumption Updates'!$B:$B,$B275)-SUMIFS('Cutters Consumption Updates'!$E:$E,'Cutters Consumption Updates'!$D:$D,$M$1,'Cutters Consumption Updates'!$B:$B,$B275)+SUMIFS('Cutters Consumption Updates'!$F:$F,'Cutters Consumption Updates'!$D:$D,"Retrofit",'Cutters Consumption Updates'!$B:$B,$B275)-SUMIFS('Cutters Consumption Updates'!$E:$E,'Cutters Consumption Updates'!$D:$D,"Retrofit",'Cutters Consumption Updates'!$B:$B,$B275)+ SUMIF('Cutters Consumption Updates'!$AS:$AS,$B275,'Cutters Consumption Updates'!AX:AX)</f>
        <v>25</v>
      </c>
      <c r="N275" s="10">
        <f t="shared" si="48"/>
        <v>25</v>
      </c>
      <c r="O275" s="701">
        <f ca="1">SUMIFS('Cutters Consumption Updates'!E:E,
        'Cutters Consumption Updates'!B:B, B275,
        'Cutters Consumption Updates'!A:A, "&gt;" &amp; TODAY()-182)</f>
        <v>5</v>
      </c>
      <c r="P275" s="701">
        <f ca="1">SUMIFS('Cutters Consumption Updates'!E:E,
        'Cutters Consumption Updates'!B:B, B275,
        'Cutters Consumption Updates'!A:A, "&gt;" &amp; TODAY()-91)</f>
        <v>5</v>
      </c>
      <c r="Q275" s="701">
        <f t="shared" ca="1" si="49"/>
        <v>2</v>
      </c>
      <c r="R275" s="703">
        <f t="shared" ca="1" si="50"/>
        <v>5</v>
      </c>
      <c r="S275" s="703" t="s">
        <v>29</v>
      </c>
      <c r="T275" s="24">
        <f>IFERROR(INDEX(Table5[],MATCH($B275,Table5[Component],0),2),0)</f>
        <v>21</v>
      </c>
      <c r="U275" s="24">
        <f>SUMIFS(Table7[Balance],Table7[Cutter Mat'#],$B275)</f>
        <v>0</v>
      </c>
      <c r="V275" s="24">
        <f t="shared" si="51"/>
        <v>4</v>
      </c>
      <c r="W275" s="119"/>
      <c r="X275" s="2"/>
      <c r="Z275" s="4">
        <f>IFERROR(INDEX(Table5[],MATCH($B275,Table5[Component],0),2),0)</f>
        <v>21</v>
      </c>
      <c r="AA275" s="4">
        <f>IFERROR(INDEX(Table5[],MATCH($B275,Table5[Component],0),1),0)</f>
        <v>1292498</v>
      </c>
      <c r="AB275" s="4">
        <f t="shared" si="52"/>
        <v>1292498</v>
      </c>
      <c r="AC275" s="4" t="str">
        <f t="shared" si="53"/>
        <v/>
      </c>
      <c r="AE275" s="4">
        <f t="shared" si="54"/>
        <v>25</v>
      </c>
      <c r="AJ275" s="248" t="str">
        <f t="shared" si="55"/>
        <v/>
      </c>
      <c r="AK275" s="248" t="str">
        <f t="shared" si="56"/>
        <v/>
      </c>
      <c r="AL275">
        <f t="shared" si="57"/>
        <v>0</v>
      </c>
      <c r="AO275" s="4"/>
      <c r="AP275" s="4"/>
      <c r="AQ275">
        <f t="shared" si="59"/>
        <v>0</v>
      </c>
      <c r="AR275" s="4"/>
      <c r="AS275" s="4">
        <v>1293118</v>
      </c>
      <c r="AT275">
        <f t="shared" si="58"/>
        <v>30</v>
      </c>
    </row>
    <row r="276" spans="1:46" ht="18.75" customHeight="1" x14ac:dyDescent="0.35">
      <c r="A276" s="636">
        <v>281</v>
      </c>
      <c r="B276" s="209">
        <v>1247589</v>
      </c>
      <c r="C276" s="637" t="s">
        <v>94</v>
      </c>
      <c r="D276" s="460">
        <v>1313</v>
      </c>
      <c r="E276" s="292" t="s">
        <v>239</v>
      </c>
      <c r="F276" s="292" t="s">
        <v>109</v>
      </c>
      <c r="G276" s="3"/>
      <c r="H276" s="6" t="s">
        <v>49</v>
      </c>
      <c r="I276" s="10">
        <f>SUMIFS('Cutters Consumption Updates'!$F:$F,'Cutters Consumption Updates'!$D:$D,I$1,'Cutters Consumption Updates'!$B:$B,$B276)-SUMIFS('Cutters Consumption Updates'!$E:$E,'Cutters Consumption Updates'!$D:$D,I$1,'Cutters Consumption Updates'!$B:$B,$B276)+ SUMIF('Cutters Consumption Updates'!$AS:$AS,$B276,'Cutters Consumption Updates'!AT:AT)</f>
        <v>0</v>
      </c>
      <c r="J276" s="10">
        <f>SUMIFS('Cutters Consumption Updates'!$F:$F,'Cutters Consumption Updates'!$D:$D,J$1,'Cutters Consumption Updates'!$B:$B,$B276)-SUMIFS('Cutters Consumption Updates'!$E:$E,'Cutters Consumption Updates'!$D:$D,J$1,'Cutters Consumption Updates'!$B:$B,$B276)+ SUMIF('Cutters Consumption Updates'!$AS:$AS,$B276,'Cutters Consumption Updates'!AU:AU)</f>
        <v>0</v>
      </c>
      <c r="K276" s="116">
        <f>SUMIFS('Cutters Consumption Updates'!$F:$F,'Cutters Consumption Updates'!$D:$D,K$1,'Cutters Consumption Updates'!$B:$B,$B276)-SUMIFS('Cutters Consumption Updates'!$E:$E,'Cutters Consumption Updates'!$D:$D,K$1,'Cutters Consumption Updates'!$B:$B,$B276)+ SUMIF('Cutters Consumption Updates'!$AS:$AS,$B276,'Cutters Consumption Updates'!AV:AV)</f>
        <v>0</v>
      </c>
      <c r="L276" s="738">
        <f>SUMIFS('Cutters Consumption Updates'!$F:$F,'Cutters Consumption Updates'!$D:$D,L$1,'Cutters Consumption Updates'!$B:$B,$B276)-SUMIFS('Cutters Consumption Updates'!$E:$E,'Cutters Consumption Updates'!$D:$D,L$1,'Cutters Consumption Updates'!$B:$B,$B276)+ SUMIF('Cutters Consumption Updates'!$AS:$AS,$B276,'Cutters Consumption Updates'!AW:AW)</f>
        <v>0</v>
      </c>
      <c r="M276" s="116">
        <f>SUMIFS('Cutters Consumption Updates'!$F:$F,'Cutters Consumption Updates'!$D:$D,M$1,'Cutters Consumption Updates'!$B:$B,$B276)-SUMIFS('Cutters Consumption Updates'!$E:$E,'Cutters Consumption Updates'!$D:$D,$M$1,'Cutters Consumption Updates'!$B:$B,$B276)+SUMIFS('Cutters Consumption Updates'!$F:$F,'Cutters Consumption Updates'!$D:$D,"Retrofit",'Cutters Consumption Updates'!$B:$B,$B276)-SUMIFS('Cutters Consumption Updates'!$E:$E,'Cutters Consumption Updates'!$D:$D,"Retrofit",'Cutters Consumption Updates'!$B:$B,$B276)+ SUMIF('Cutters Consumption Updates'!$AS:$AS,$B276,'Cutters Consumption Updates'!AX:AX)</f>
        <v>25</v>
      </c>
      <c r="N276" s="10">
        <f t="shared" si="48"/>
        <v>25</v>
      </c>
      <c r="O276" s="701">
        <f ca="1">SUMIFS('Cutters Consumption Updates'!E:E,
        'Cutters Consumption Updates'!B:B, B276,
        'Cutters Consumption Updates'!A:A, "&gt;" &amp; TODAY()-182)</f>
        <v>0</v>
      </c>
      <c r="P276" s="701">
        <f ca="1">SUMIFS('Cutters Consumption Updates'!E:E,
        'Cutters Consumption Updates'!B:B, B276,
        'Cutters Consumption Updates'!A:A, "&gt;" &amp; TODAY()-91)</f>
        <v>0</v>
      </c>
      <c r="Q276" s="701">
        <f t="shared" ca="1" si="49"/>
        <v>0</v>
      </c>
      <c r="R276" s="703">
        <f t="shared" ca="1" si="50"/>
        <v>0</v>
      </c>
      <c r="S276" s="703" t="s">
        <v>29</v>
      </c>
      <c r="T276" s="24">
        <f>IFERROR(INDEX(Table5[],MATCH($B276,Table5[Component],0),2),0)</f>
        <v>0</v>
      </c>
      <c r="U276" s="24">
        <f>SUMIFS(Table7[Balance],Table7[Cutter Mat'#],$B276)</f>
        <v>0</v>
      </c>
      <c r="V276" s="24">
        <f t="shared" si="51"/>
        <v>25</v>
      </c>
      <c r="W276" s="119"/>
      <c r="X276" s="2"/>
      <c r="Z276" s="4">
        <f>IFERROR(INDEX(Table5[],MATCH($B276,Table5[Component],0),2),0)</f>
        <v>0</v>
      </c>
      <c r="AA276" s="4">
        <f>IFERROR(INDEX(Table5[],MATCH($B276,Table5[Component],0),1),0)</f>
        <v>0</v>
      </c>
      <c r="AB276" s="4" t="str">
        <f t="shared" si="52"/>
        <v/>
      </c>
      <c r="AC276" s="4" t="str">
        <f t="shared" si="53"/>
        <v/>
      </c>
      <c r="AE276" s="4">
        <f t="shared" si="54"/>
        <v>25</v>
      </c>
      <c r="AJ276" s="248" t="str">
        <f t="shared" si="55"/>
        <v/>
      </c>
      <c r="AK276" s="248" t="str">
        <f t="shared" si="56"/>
        <v/>
      </c>
      <c r="AL276">
        <f t="shared" si="57"/>
        <v>0</v>
      </c>
      <c r="AO276" s="4"/>
      <c r="AP276" s="4"/>
      <c r="AQ276">
        <f t="shared" si="59"/>
        <v>0</v>
      </c>
      <c r="AR276" s="4"/>
      <c r="AS276" s="4">
        <v>1296685</v>
      </c>
      <c r="AT276">
        <f t="shared" si="58"/>
        <v>0</v>
      </c>
    </row>
    <row r="277" spans="1:46" ht="18.75" customHeight="1" x14ac:dyDescent="0.35">
      <c r="A277" s="636">
        <v>282</v>
      </c>
      <c r="B277" s="209">
        <v>2002186</v>
      </c>
      <c r="C277" s="3" t="s">
        <v>26</v>
      </c>
      <c r="D277" s="460">
        <v>1313</v>
      </c>
      <c r="E277" s="292" t="s">
        <v>225</v>
      </c>
      <c r="F277" s="292" t="s">
        <v>170</v>
      </c>
      <c r="G277" s="3" t="s">
        <v>183</v>
      </c>
      <c r="H277" s="13" t="s">
        <v>146</v>
      </c>
      <c r="I277" s="10">
        <f>SUMIFS('Cutters Consumption Updates'!$F:$F,'Cutters Consumption Updates'!$D:$D,I$1,'Cutters Consumption Updates'!$B:$B,$B277)-SUMIFS('Cutters Consumption Updates'!$E:$E,'Cutters Consumption Updates'!$D:$D,I$1,'Cutters Consumption Updates'!$B:$B,$B277)+ SUMIF('Cutters Consumption Updates'!$AS:$AS,$B277,'Cutters Consumption Updates'!AT:AT)</f>
        <v>0</v>
      </c>
      <c r="J277" s="10">
        <f>SUMIFS('Cutters Consumption Updates'!$F:$F,'Cutters Consumption Updates'!$D:$D,J$1,'Cutters Consumption Updates'!$B:$B,$B277)-SUMIFS('Cutters Consumption Updates'!$E:$E,'Cutters Consumption Updates'!$D:$D,J$1,'Cutters Consumption Updates'!$B:$B,$B277)+ SUMIF('Cutters Consumption Updates'!$AS:$AS,$B277,'Cutters Consumption Updates'!AU:AU)</f>
        <v>0</v>
      </c>
      <c r="K277" s="116">
        <f>SUMIFS('Cutters Consumption Updates'!$F:$F,'Cutters Consumption Updates'!$D:$D,K$1,'Cutters Consumption Updates'!$B:$B,$B277)-SUMIFS('Cutters Consumption Updates'!$E:$E,'Cutters Consumption Updates'!$D:$D,K$1,'Cutters Consumption Updates'!$B:$B,$B277)+ SUMIF('Cutters Consumption Updates'!$AS:$AS,$B277,'Cutters Consumption Updates'!AV:AV)</f>
        <v>0</v>
      </c>
      <c r="L277" s="738">
        <f>SUMIFS('Cutters Consumption Updates'!$F:$F,'Cutters Consumption Updates'!$D:$D,L$1,'Cutters Consumption Updates'!$B:$B,$B277)-SUMIFS('Cutters Consumption Updates'!$E:$E,'Cutters Consumption Updates'!$D:$D,L$1,'Cutters Consumption Updates'!$B:$B,$B277)+ SUMIF('Cutters Consumption Updates'!$AS:$AS,$B277,'Cutters Consumption Updates'!AW:AW)</f>
        <v>0</v>
      </c>
      <c r="M277" s="116">
        <f>SUMIFS('Cutters Consumption Updates'!$F:$F,'Cutters Consumption Updates'!$D:$D,M$1,'Cutters Consumption Updates'!$B:$B,$B277)-SUMIFS('Cutters Consumption Updates'!$E:$E,'Cutters Consumption Updates'!$D:$D,$M$1,'Cutters Consumption Updates'!$B:$B,$B277)+SUMIFS('Cutters Consumption Updates'!$F:$F,'Cutters Consumption Updates'!$D:$D,"Retrofit",'Cutters Consumption Updates'!$B:$B,$B277)-SUMIFS('Cutters Consumption Updates'!$E:$E,'Cutters Consumption Updates'!$D:$D,"Retrofit",'Cutters Consumption Updates'!$B:$B,$B277)+ SUMIF('Cutters Consumption Updates'!$AS:$AS,$B277,'Cutters Consumption Updates'!AX:AX)</f>
        <v>375</v>
      </c>
      <c r="N277" s="10">
        <f t="shared" si="48"/>
        <v>375</v>
      </c>
      <c r="O277" s="701">
        <f ca="1">SUMIFS('Cutters Consumption Updates'!E:E,
        'Cutters Consumption Updates'!B:B, B277,
        'Cutters Consumption Updates'!A:A, "&gt;" &amp; TODAY()-182)</f>
        <v>330</v>
      </c>
      <c r="P277" s="701">
        <f ca="1">SUMIFS('Cutters Consumption Updates'!E:E,
        'Cutters Consumption Updates'!B:B, B277,
        'Cutters Consumption Updates'!A:A, "&gt;" &amp; TODAY()-91)</f>
        <v>30</v>
      </c>
      <c r="Q277" s="701">
        <f t="shared" ca="1" si="49"/>
        <v>110</v>
      </c>
      <c r="R277" s="703">
        <f t="shared" ca="1" si="50"/>
        <v>115</v>
      </c>
      <c r="S277" s="703" t="s">
        <v>184</v>
      </c>
      <c r="T277" s="24">
        <f>IFERROR(INDEX(Table5[],MATCH($B277,Table5[Component],0),2),0)</f>
        <v>136</v>
      </c>
      <c r="U277" s="24">
        <f>SUMIFS(Table7[Balance],Table7[Cutter Mat'#],$B277)</f>
        <v>0</v>
      </c>
      <c r="V277" s="24">
        <f t="shared" si="51"/>
        <v>239</v>
      </c>
      <c r="W277" s="119"/>
      <c r="X277" s="2"/>
      <c r="Z277" s="4">
        <f>IFERROR(INDEX(Table5[],MATCH($B277,Table5[Component],0),2),0)</f>
        <v>136</v>
      </c>
      <c r="AA277" s="4">
        <f>IFERROR(INDEX(Table5[],MATCH($B277,Table5[Component],0),1),0)</f>
        <v>2002186</v>
      </c>
      <c r="AB277" s="4">
        <f t="shared" si="52"/>
        <v>2002186</v>
      </c>
      <c r="AC277" s="4" t="str">
        <f t="shared" si="53"/>
        <v/>
      </c>
      <c r="AE277" s="4">
        <f t="shared" si="54"/>
        <v>375</v>
      </c>
      <c r="AJ277" s="248" t="str">
        <f t="shared" si="55"/>
        <v/>
      </c>
      <c r="AK277" s="248" t="str">
        <f t="shared" si="56"/>
        <v/>
      </c>
      <c r="AL277">
        <f t="shared" si="57"/>
        <v>0</v>
      </c>
      <c r="AO277" s="4"/>
      <c r="AP277" s="4"/>
      <c r="AQ277">
        <f t="shared" si="59"/>
        <v>0</v>
      </c>
      <c r="AR277" s="4"/>
      <c r="AS277" s="4">
        <v>2000450</v>
      </c>
      <c r="AT277">
        <f t="shared" si="58"/>
        <v>0</v>
      </c>
    </row>
    <row r="278" spans="1:46" ht="18.75" customHeight="1" x14ac:dyDescent="0.35">
      <c r="A278" s="636">
        <v>283</v>
      </c>
      <c r="B278" s="209">
        <v>2020817</v>
      </c>
      <c r="C278" s="637" t="s">
        <v>26</v>
      </c>
      <c r="D278" s="460">
        <v>1913</v>
      </c>
      <c r="E278" s="292" t="s">
        <v>235</v>
      </c>
      <c r="F278" s="292" t="s">
        <v>177</v>
      </c>
      <c r="G278" s="3" t="s">
        <v>240</v>
      </c>
      <c r="H278" s="13" t="s">
        <v>169</v>
      </c>
      <c r="I278" s="10">
        <f>SUMIFS('Cutters Consumption Updates'!$F:$F,'Cutters Consumption Updates'!$D:$D,I$1,'Cutters Consumption Updates'!$B:$B,$B278)-SUMIFS('Cutters Consumption Updates'!$E:$E,'Cutters Consumption Updates'!$D:$D,I$1,'Cutters Consumption Updates'!$B:$B,$B278)+ SUMIF('Cutters Consumption Updates'!$AS:$AS,$B278,'Cutters Consumption Updates'!AT:AT)</f>
        <v>0</v>
      </c>
      <c r="J278" s="10">
        <f>SUMIFS('Cutters Consumption Updates'!$F:$F,'Cutters Consumption Updates'!$D:$D,J$1,'Cutters Consumption Updates'!$B:$B,$B278)-SUMIFS('Cutters Consumption Updates'!$E:$E,'Cutters Consumption Updates'!$D:$D,J$1,'Cutters Consumption Updates'!$B:$B,$B278)+ SUMIF('Cutters Consumption Updates'!$AS:$AS,$B278,'Cutters Consumption Updates'!AU:AU)</f>
        <v>0</v>
      </c>
      <c r="K278" s="116">
        <f>SUMIFS('Cutters Consumption Updates'!$F:$F,'Cutters Consumption Updates'!$D:$D,K$1,'Cutters Consumption Updates'!$B:$B,$B278)-SUMIFS('Cutters Consumption Updates'!$E:$E,'Cutters Consumption Updates'!$D:$D,K$1,'Cutters Consumption Updates'!$B:$B,$B278)+ SUMIF('Cutters Consumption Updates'!$AS:$AS,$B278,'Cutters Consumption Updates'!AV:AV)</f>
        <v>0</v>
      </c>
      <c r="L278" s="738">
        <f>SUMIFS('Cutters Consumption Updates'!$F:$F,'Cutters Consumption Updates'!$D:$D,L$1,'Cutters Consumption Updates'!$B:$B,$B278)-SUMIFS('Cutters Consumption Updates'!$E:$E,'Cutters Consumption Updates'!$D:$D,L$1,'Cutters Consumption Updates'!$B:$B,$B278)+ SUMIF('Cutters Consumption Updates'!$AS:$AS,$B278,'Cutters Consumption Updates'!AW:AW)</f>
        <v>0</v>
      </c>
      <c r="M278" s="116">
        <f>SUMIFS('Cutters Consumption Updates'!$F:$F,'Cutters Consumption Updates'!$D:$D,M$1,'Cutters Consumption Updates'!$B:$B,$B278)-SUMIFS('Cutters Consumption Updates'!$E:$E,'Cutters Consumption Updates'!$D:$D,$M$1,'Cutters Consumption Updates'!$B:$B,$B278)+SUMIFS('Cutters Consumption Updates'!$F:$F,'Cutters Consumption Updates'!$D:$D,"Retrofit",'Cutters Consumption Updates'!$B:$B,$B278)-SUMIFS('Cutters Consumption Updates'!$E:$E,'Cutters Consumption Updates'!$D:$D,"Retrofit",'Cutters Consumption Updates'!$B:$B,$B278)+ SUMIF('Cutters Consumption Updates'!$AS:$AS,$B278,'Cutters Consumption Updates'!AX:AX)</f>
        <v>50</v>
      </c>
      <c r="N278" s="10">
        <f t="shared" si="48"/>
        <v>50</v>
      </c>
      <c r="O278" s="701">
        <f ca="1">SUMIFS('Cutters Consumption Updates'!E:E,
        'Cutters Consumption Updates'!B:B, B278,
        'Cutters Consumption Updates'!A:A, "&gt;" &amp; TODAY()-182)</f>
        <v>0</v>
      </c>
      <c r="P278" s="701">
        <f ca="1">SUMIFS('Cutters Consumption Updates'!E:E,
        'Cutters Consumption Updates'!B:B, B278,
        'Cutters Consumption Updates'!A:A, "&gt;" &amp; TODAY()-91)</f>
        <v>0</v>
      </c>
      <c r="Q278" s="701">
        <f t="shared" ca="1" si="49"/>
        <v>0</v>
      </c>
      <c r="R278" s="703">
        <f t="shared" ca="1" si="50"/>
        <v>0</v>
      </c>
      <c r="S278" s="703" t="s">
        <v>229</v>
      </c>
      <c r="T278" s="24">
        <f>IFERROR(INDEX(Table5[],MATCH($B278,Table5[Component],0),2),0)</f>
        <v>0</v>
      </c>
      <c r="U278" s="24">
        <f>SUMIFS(Table7[Balance],Table7[Cutter Mat'#],$B278)</f>
        <v>0</v>
      </c>
      <c r="V278" s="24">
        <f t="shared" si="51"/>
        <v>50</v>
      </c>
      <c r="W278" s="119"/>
      <c r="X278" s="2"/>
      <c r="Z278" s="4">
        <f>IFERROR(INDEX(Table5[],MATCH($B278,Table5[Component],0),2),0)</f>
        <v>0</v>
      </c>
      <c r="AA278" s="4">
        <f>IFERROR(INDEX(Table5[],MATCH($B278,Table5[Component],0),1),0)</f>
        <v>0</v>
      </c>
      <c r="AB278" s="4" t="str">
        <f t="shared" si="52"/>
        <v/>
      </c>
      <c r="AC278" s="4" t="str">
        <f t="shared" si="53"/>
        <v/>
      </c>
      <c r="AE278" s="4">
        <f t="shared" si="54"/>
        <v>50</v>
      </c>
      <c r="AJ278" s="248" t="str">
        <f t="shared" si="55"/>
        <v/>
      </c>
      <c r="AK278" s="248" t="str">
        <f t="shared" si="56"/>
        <v/>
      </c>
      <c r="AL278">
        <f t="shared" si="57"/>
        <v>0</v>
      </c>
      <c r="AO278" s="4"/>
      <c r="AP278" s="4"/>
      <c r="AQ278">
        <f t="shared" si="59"/>
        <v>0</v>
      </c>
      <c r="AR278" s="4"/>
      <c r="AS278" s="4">
        <v>2001060</v>
      </c>
      <c r="AT278">
        <f t="shared" si="58"/>
        <v>0</v>
      </c>
    </row>
    <row r="279" spans="1:46" ht="18.75" customHeight="1" x14ac:dyDescent="0.35">
      <c r="A279" s="636">
        <v>284</v>
      </c>
      <c r="B279" s="209">
        <v>1146738</v>
      </c>
      <c r="C279" s="637" t="s">
        <v>26</v>
      </c>
      <c r="D279" s="605">
        <v>1913</v>
      </c>
      <c r="E279" s="606" t="s">
        <v>111</v>
      </c>
      <c r="F279" s="606" t="s">
        <v>177</v>
      </c>
      <c r="G279" s="3"/>
      <c r="H279" s="6" t="s">
        <v>49</v>
      </c>
      <c r="I279" s="10">
        <f>SUMIFS('Cutters Consumption Updates'!$F:$F,'Cutters Consumption Updates'!$D:$D,I$1,'Cutters Consumption Updates'!$B:$B,$B279)-SUMIFS('Cutters Consumption Updates'!$E:$E,'Cutters Consumption Updates'!$D:$D,I$1,'Cutters Consumption Updates'!$B:$B,$B279)+ SUMIF('Cutters Consumption Updates'!$AS:$AS,$B279,'Cutters Consumption Updates'!AT:AT)</f>
        <v>0</v>
      </c>
      <c r="J279" s="10">
        <f>SUMIFS('Cutters Consumption Updates'!$F:$F,'Cutters Consumption Updates'!$D:$D,J$1,'Cutters Consumption Updates'!$B:$B,$B279)-SUMIFS('Cutters Consumption Updates'!$E:$E,'Cutters Consumption Updates'!$D:$D,J$1,'Cutters Consumption Updates'!$B:$B,$B279)+ SUMIF('Cutters Consumption Updates'!$AS:$AS,$B279,'Cutters Consumption Updates'!AU:AU)</f>
        <v>0</v>
      </c>
      <c r="K279" s="116">
        <f>SUMIFS('Cutters Consumption Updates'!$F:$F,'Cutters Consumption Updates'!$D:$D,K$1,'Cutters Consumption Updates'!$B:$B,$B279)-SUMIFS('Cutters Consumption Updates'!$E:$E,'Cutters Consumption Updates'!$D:$D,K$1,'Cutters Consumption Updates'!$B:$B,$B279)+ SUMIF('Cutters Consumption Updates'!$AS:$AS,$B279,'Cutters Consumption Updates'!AV:AV)</f>
        <v>0</v>
      </c>
      <c r="L279" s="738">
        <f>SUMIFS('Cutters Consumption Updates'!$F:$F,'Cutters Consumption Updates'!$D:$D,L$1,'Cutters Consumption Updates'!$B:$B,$B279)-SUMIFS('Cutters Consumption Updates'!$E:$E,'Cutters Consumption Updates'!$D:$D,L$1,'Cutters Consumption Updates'!$B:$B,$B279)+ SUMIF('Cutters Consumption Updates'!$AS:$AS,$B279,'Cutters Consumption Updates'!AW:AW)</f>
        <v>0</v>
      </c>
      <c r="M279" s="116">
        <f>SUMIFS('Cutters Consumption Updates'!$F:$F,'Cutters Consumption Updates'!$D:$D,M$1,'Cutters Consumption Updates'!$B:$B,$B279)-SUMIFS('Cutters Consumption Updates'!$E:$E,'Cutters Consumption Updates'!$D:$D,$M$1,'Cutters Consumption Updates'!$B:$B,$B279)+SUMIFS('Cutters Consumption Updates'!$F:$F,'Cutters Consumption Updates'!$D:$D,"Retrofit",'Cutters Consumption Updates'!$B:$B,$B279)-SUMIFS('Cutters Consumption Updates'!$E:$E,'Cutters Consumption Updates'!$D:$D,"Retrofit",'Cutters Consumption Updates'!$B:$B,$B279)+ SUMIF('Cutters Consumption Updates'!$AS:$AS,$B279,'Cutters Consumption Updates'!AX:AX)</f>
        <v>14</v>
      </c>
      <c r="N279" s="10">
        <f t="shared" si="48"/>
        <v>14</v>
      </c>
      <c r="O279" s="701">
        <f ca="1">SUMIFS('Cutters Consumption Updates'!E:E,
        'Cutters Consumption Updates'!B:B, B279,
        'Cutters Consumption Updates'!A:A, "&gt;" &amp; TODAY()-182)</f>
        <v>76</v>
      </c>
      <c r="P279" s="701">
        <f ca="1">SUMIFS('Cutters Consumption Updates'!E:E,
        'Cutters Consumption Updates'!B:B, B279,
        'Cutters Consumption Updates'!A:A, "&gt;" &amp; TODAY()-91)</f>
        <v>56</v>
      </c>
      <c r="Q279" s="701">
        <f t="shared" ca="1" si="49"/>
        <v>26</v>
      </c>
      <c r="R279" s="703">
        <f t="shared" ca="1" si="50"/>
        <v>30</v>
      </c>
      <c r="S279" s="703" t="s">
        <v>113</v>
      </c>
      <c r="T279" s="24">
        <f>IFERROR(INDEX(Table5[],MATCH($B279,Table5[Component],0),2),0)</f>
        <v>26</v>
      </c>
      <c r="U279" s="24">
        <f>SUMIFS(Table7[Balance],Table7[Cutter Mat'#],$B279)</f>
        <v>30</v>
      </c>
      <c r="V279" s="24">
        <f t="shared" si="51"/>
        <v>18</v>
      </c>
      <c r="W279" s="119"/>
      <c r="X279" s="2"/>
      <c r="Z279" s="4">
        <f>IFERROR(INDEX(Table5[],MATCH($B279,Table5[Component],0),2),0)</f>
        <v>26</v>
      </c>
      <c r="AA279" s="4">
        <f>IFERROR(INDEX(Table5[],MATCH($B279,Table5[Component],0),1),0)</f>
        <v>1146738</v>
      </c>
      <c r="AB279" s="4">
        <f t="shared" si="52"/>
        <v>1146738</v>
      </c>
      <c r="AC279" s="4" t="str">
        <f t="shared" si="53"/>
        <v/>
      </c>
      <c r="AE279" s="4">
        <f t="shared" si="54"/>
        <v>14</v>
      </c>
      <c r="AJ279" s="248" t="str">
        <f t="shared" si="55"/>
        <v/>
      </c>
      <c r="AK279" s="248" t="str">
        <f t="shared" si="56"/>
        <v/>
      </c>
      <c r="AL279">
        <f t="shared" si="57"/>
        <v>0</v>
      </c>
      <c r="AO279" s="4"/>
      <c r="AP279" s="4"/>
      <c r="AQ279">
        <f t="shared" si="59"/>
        <v>30</v>
      </c>
      <c r="AR279" s="4"/>
      <c r="AS279" s="4">
        <v>2001155</v>
      </c>
      <c r="AT279">
        <f t="shared" si="58"/>
        <v>0</v>
      </c>
    </row>
    <row r="280" spans="1:46" ht="18.75" customHeight="1" x14ac:dyDescent="0.35">
      <c r="A280" s="636">
        <v>285</v>
      </c>
      <c r="B280" s="209">
        <v>1192902</v>
      </c>
      <c r="C280" s="3" t="s">
        <v>241</v>
      </c>
      <c r="D280" s="605">
        <v>1218</v>
      </c>
      <c r="E280" s="606" t="s">
        <v>242</v>
      </c>
      <c r="F280" s="606" t="s">
        <v>103</v>
      </c>
      <c r="G280" s="3"/>
      <c r="H280" s="13" t="s">
        <v>36</v>
      </c>
      <c r="I280" s="10">
        <f>SUMIFS('Cutters Consumption Updates'!$F:$F,'Cutters Consumption Updates'!$D:$D,I$1,'Cutters Consumption Updates'!$B:$B,$B280)-SUMIFS('Cutters Consumption Updates'!$E:$E,'Cutters Consumption Updates'!$D:$D,I$1,'Cutters Consumption Updates'!$B:$B,$B280)+ SUMIF('Cutters Consumption Updates'!$AS:$AS,$B280,'Cutters Consumption Updates'!AT:AT)</f>
        <v>0</v>
      </c>
      <c r="J280" s="10">
        <f>SUMIFS('Cutters Consumption Updates'!$F:$F,'Cutters Consumption Updates'!$D:$D,J$1,'Cutters Consumption Updates'!$B:$B,$B280)-SUMIFS('Cutters Consumption Updates'!$E:$E,'Cutters Consumption Updates'!$D:$D,J$1,'Cutters Consumption Updates'!$B:$B,$B280)+ SUMIF('Cutters Consumption Updates'!$AS:$AS,$B280,'Cutters Consumption Updates'!AU:AU)</f>
        <v>0</v>
      </c>
      <c r="K280" s="116">
        <f>SUMIFS('Cutters Consumption Updates'!$F:$F,'Cutters Consumption Updates'!$D:$D,K$1,'Cutters Consumption Updates'!$B:$B,$B280)-SUMIFS('Cutters Consumption Updates'!$E:$E,'Cutters Consumption Updates'!$D:$D,K$1,'Cutters Consumption Updates'!$B:$B,$B280)+ SUMIF('Cutters Consumption Updates'!$AS:$AS,$B280,'Cutters Consumption Updates'!AV:AV)</f>
        <v>0</v>
      </c>
      <c r="L280" s="738">
        <f>SUMIFS('Cutters Consumption Updates'!$F:$F,'Cutters Consumption Updates'!$D:$D,L$1,'Cutters Consumption Updates'!$B:$B,$B280)-SUMIFS('Cutters Consumption Updates'!$E:$E,'Cutters Consumption Updates'!$D:$D,L$1,'Cutters Consumption Updates'!$B:$B,$B280)+ SUMIF('Cutters Consumption Updates'!$AS:$AS,$B280,'Cutters Consumption Updates'!AW:AW)</f>
        <v>0</v>
      </c>
      <c r="M280" s="116">
        <f>SUMIFS('Cutters Consumption Updates'!$F:$F,'Cutters Consumption Updates'!$D:$D,M$1,'Cutters Consumption Updates'!$B:$B,$B280)-SUMIFS('Cutters Consumption Updates'!$E:$E,'Cutters Consumption Updates'!$D:$D,$M$1,'Cutters Consumption Updates'!$B:$B,$B280)+SUMIFS('Cutters Consumption Updates'!$F:$F,'Cutters Consumption Updates'!$D:$D,"Retrofit",'Cutters Consumption Updates'!$B:$B,$B280)-SUMIFS('Cutters Consumption Updates'!$E:$E,'Cutters Consumption Updates'!$D:$D,"Retrofit",'Cutters Consumption Updates'!$B:$B,$B280)+ SUMIF('Cutters Consumption Updates'!$AS:$AS,$B280,'Cutters Consumption Updates'!AX:AX)</f>
        <v>-43</v>
      </c>
      <c r="N280" s="10">
        <f t="shared" si="48"/>
        <v>-43</v>
      </c>
      <c r="O280" s="701">
        <f ca="1">SUMIFS('Cutters Consumption Updates'!E:E,
        'Cutters Consumption Updates'!B:B, B280,
        'Cutters Consumption Updates'!A:A, "&gt;" &amp; TODAY()-182)</f>
        <v>63</v>
      </c>
      <c r="P280" s="701">
        <f ca="1">SUMIFS('Cutters Consumption Updates'!E:E,
        'Cutters Consumption Updates'!B:B, B280,
        'Cutters Consumption Updates'!A:A, "&gt;" &amp; TODAY()-91)</f>
        <v>63</v>
      </c>
      <c r="Q280" s="701">
        <f t="shared" ca="1" si="49"/>
        <v>21</v>
      </c>
      <c r="R280" s="703">
        <f t="shared" ca="1" si="50"/>
        <v>25</v>
      </c>
      <c r="S280" s="703" t="s">
        <v>29</v>
      </c>
      <c r="T280" s="24">
        <f>IFERROR(INDEX(Table5[],MATCH($B280,Table5[Component],0),2),0)</f>
        <v>15</v>
      </c>
      <c r="U280" s="24">
        <f>SUMIFS(Table7[Balance],Table7[Cutter Mat'#],$B280)</f>
        <v>50</v>
      </c>
      <c r="V280" s="24">
        <f t="shared" si="51"/>
        <v>-8</v>
      </c>
      <c r="W280" s="119"/>
      <c r="X280" s="2"/>
      <c r="Z280" s="4">
        <f>IFERROR(INDEX(Table5[],MATCH($B280,Table5[Component],0),2),0)</f>
        <v>15</v>
      </c>
      <c r="AA280" s="4">
        <f>IFERROR(INDEX(Table5[],MATCH($B280,Table5[Component],0),1),0)</f>
        <v>1192902</v>
      </c>
      <c r="AB280" s="4">
        <f t="shared" si="52"/>
        <v>1192902</v>
      </c>
      <c r="AC280" s="4" t="str">
        <f t="shared" si="53"/>
        <v/>
      </c>
      <c r="AE280" s="4">
        <f t="shared" si="54"/>
        <v>-43</v>
      </c>
      <c r="AJ280" s="248" t="str">
        <f t="shared" si="55"/>
        <v/>
      </c>
      <c r="AK280" s="248" t="str">
        <f t="shared" si="56"/>
        <v/>
      </c>
      <c r="AL280">
        <f t="shared" si="57"/>
        <v>0</v>
      </c>
      <c r="AO280" s="4"/>
      <c r="AP280" s="4"/>
      <c r="AQ280">
        <f t="shared" si="59"/>
        <v>50</v>
      </c>
      <c r="AR280" s="4"/>
      <c r="AS280" s="4">
        <v>2001657</v>
      </c>
      <c r="AT280">
        <f t="shared" si="58"/>
        <v>0</v>
      </c>
    </row>
    <row r="281" spans="1:46" ht="18.75" customHeight="1" x14ac:dyDescent="0.35">
      <c r="A281" s="636">
        <v>286</v>
      </c>
      <c r="B281" s="209">
        <v>1126400</v>
      </c>
      <c r="C281" s="3" t="s">
        <v>26</v>
      </c>
      <c r="D281" s="605">
        <v>1313</v>
      </c>
      <c r="E281" s="606" t="s">
        <v>133</v>
      </c>
      <c r="F281" s="606" t="s">
        <v>177</v>
      </c>
      <c r="G281" s="3"/>
      <c r="H281" s="13" t="s">
        <v>49</v>
      </c>
      <c r="I281" s="10">
        <f>SUMIFS('Cutters Consumption Updates'!$F:$F,'Cutters Consumption Updates'!$D:$D,I$1,'Cutters Consumption Updates'!$B:$B,$B281)-SUMIFS('Cutters Consumption Updates'!$E:$E,'Cutters Consumption Updates'!$D:$D,I$1,'Cutters Consumption Updates'!$B:$B,$B281)+ SUMIF('Cutters Consumption Updates'!$AS:$AS,$B281,'Cutters Consumption Updates'!AT:AT)</f>
        <v>0</v>
      </c>
      <c r="J281" s="10">
        <f>SUMIFS('Cutters Consumption Updates'!$F:$F,'Cutters Consumption Updates'!$D:$D,J$1,'Cutters Consumption Updates'!$B:$B,$B281)-SUMIFS('Cutters Consumption Updates'!$E:$E,'Cutters Consumption Updates'!$D:$D,J$1,'Cutters Consumption Updates'!$B:$B,$B281)+ SUMIF('Cutters Consumption Updates'!$AS:$AS,$B281,'Cutters Consumption Updates'!AU:AU)</f>
        <v>0</v>
      </c>
      <c r="K281" s="116">
        <f>SUMIFS('Cutters Consumption Updates'!$F:$F,'Cutters Consumption Updates'!$D:$D,K$1,'Cutters Consumption Updates'!$B:$B,$B281)-SUMIFS('Cutters Consumption Updates'!$E:$E,'Cutters Consumption Updates'!$D:$D,K$1,'Cutters Consumption Updates'!$B:$B,$B281)+ SUMIF('Cutters Consumption Updates'!$AS:$AS,$B281,'Cutters Consumption Updates'!AV:AV)</f>
        <v>0</v>
      </c>
      <c r="L281" s="738">
        <f>SUMIFS('Cutters Consumption Updates'!$F:$F,'Cutters Consumption Updates'!$D:$D,L$1,'Cutters Consumption Updates'!$B:$B,$B281)-SUMIFS('Cutters Consumption Updates'!$E:$E,'Cutters Consumption Updates'!$D:$D,L$1,'Cutters Consumption Updates'!$B:$B,$B281)+ SUMIF('Cutters Consumption Updates'!$AS:$AS,$B281,'Cutters Consumption Updates'!AW:AW)</f>
        <v>0</v>
      </c>
      <c r="M281" s="116">
        <f>SUMIFS('Cutters Consumption Updates'!$F:$F,'Cutters Consumption Updates'!$D:$D,M$1,'Cutters Consumption Updates'!$B:$B,$B281)-SUMIFS('Cutters Consumption Updates'!$E:$E,'Cutters Consumption Updates'!$D:$D,$M$1,'Cutters Consumption Updates'!$B:$B,$B281)+SUMIFS('Cutters Consumption Updates'!$F:$F,'Cutters Consumption Updates'!$D:$D,"Retrofit",'Cutters Consumption Updates'!$B:$B,$B281)-SUMIFS('Cutters Consumption Updates'!$E:$E,'Cutters Consumption Updates'!$D:$D,"Retrofit",'Cutters Consumption Updates'!$B:$B,$B281)+ SUMIF('Cutters Consumption Updates'!$AS:$AS,$B281,'Cutters Consumption Updates'!AX:AX)</f>
        <v>26</v>
      </c>
      <c r="N281" s="10">
        <f t="shared" si="48"/>
        <v>26</v>
      </c>
      <c r="O281" s="701">
        <f ca="1">SUMIFS('Cutters Consumption Updates'!E:E,
        'Cutters Consumption Updates'!B:B, B281,
        'Cutters Consumption Updates'!A:A, "&gt;" &amp; TODAY()-182)</f>
        <v>44</v>
      </c>
      <c r="P281" s="701">
        <f ca="1">SUMIFS('Cutters Consumption Updates'!E:E,
        'Cutters Consumption Updates'!B:B, B281,
        'Cutters Consumption Updates'!A:A, "&gt;" &amp; TODAY()-91)</f>
        <v>44</v>
      </c>
      <c r="Q281" s="701">
        <f t="shared" ca="1" si="49"/>
        <v>15</v>
      </c>
      <c r="R281" s="703">
        <f t="shared" ca="1" si="50"/>
        <v>20</v>
      </c>
      <c r="S281" s="703" t="s">
        <v>89</v>
      </c>
      <c r="T281" s="24">
        <f>IFERROR(INDEX(Table5[],MATCH($B281,Table5[Component],0),2),0)</f>
        <v>14</v>
      </c>
      <c r="U281" s="24">
        <f>SUMIFS(Table7[Balance],Table7[Cutter Mat'#],$B281)</f>
        <v>0</v>
      </c>
      <c r="V281" s="24">
        <f t="shared" si="51"/>
        <v>12</v>
      </c>
      <c r="W281" s="119"/>
      <c r="X281" s="2"/>
      <c r="Z281" s="4">
        <f>IFERROR(INDEX(Table5[],MATCH($B281,Table5[Component],0),2),0)</f>
        <v>14</v>
      </c>
      <c r="AA281" s="4">
        <f>IFERROR(INDEX(Table5[],MATCH($B281,Table5[Component],0),1),0)</f>
        <v>1126400</v>
      </c>
      <c r="AB281" s="4">
        <f t="shared" si="52"/>
        <v>1126400</v>
      </c>
      <c r="AC281" s="4" t="str">
        <f t="shared" si="53"/>
        <v/>
      </c>
      <c r="AE281" s="4">
        <f t="shared" si="54"/>
        <v>26</v>
      </c>
      <c r="AJ281" s="248" t="str">
        <f t="shared" si="55"/>
        <v/>
      </c>
      <c r="AK281" s="248" t="str">
        <f t="shared" si="56"/>
        <v/>
      </c>
      <c r="AL281">
        <f t="shared" si="57"/>
        <v>0</v>
      </c>
      <c r="AO281" s="4"/>
      <c r="AP281" s="4"/>
      <c r="AQ281">
        <f t="shared" si="59"/>
        <v>0</v>
      </c>
      <c r="AR281" s="4"/>
      <c r="AS281" s="4">
        <v>2002126</v>
      </c>
      <c r="AT281">
        <f t="shared" si="58"/>
        <v>0</v>
      </c>
    </row>
    <row r="282" spans="1:46" ht="18.75" customHeight="1" x14ac:dyDescent="0.35">
      <c r="A282" s="250">
        <v>287</v>
      </c>
      <c r="B282" s="209">
        <v>2017131</v>
      </c>
      <c r="C282" s="3" t="s">
        <v>26</v>
      </c>
      <c r="D282" s="606">
        <v>1313</v>
      </c>
      <c r="E282" s="606" t="s">
        <v>214</v>
      </c>
      <c r="F282" s="606" t="s">
        <v>170</v>
      </c>
      <c r="G282" s="3"/>
      <c r="H282" s="13" t="s">
        <v>161</v>
      </c>
      <c r="I282" s="10">
        <f>SUMIFS('Cutters Consumption Updates'!$F:$F,'Cutters Consumption Updates'!$D:$D,I$1,'Cutters Consumption Updates'!$B:$B,$B282)-SUMIFS('Cutters Consumption Updates'!$E:$E,'Cutters Consumption Updates'!$D:$D,I$1,'Cutters Consumption Updates'!$B:$B,$B282)+ SUMIF('Cutters Consumption Updates'!$AS:$AS,$B282,'Cutters Consumption Updates'!AT:AT)</f>
        <v>0</v>
      </c>
      <c r="J282" s="10">
        <f>SUMIFS('Cutters Consumption Updates'!$F:$F,'Cutters Consumption Updates'!$D:$D,J$1,'Cutters Consumption Updates'!$B:$B,$B282)-SUMIFS('Cutters Consumption Updates'!$E:$E,'Cutters Consumption Updates'!$D:$D,J$1,'Cutters Consumption Updates'!$B:$B,$B282)+ SUMIF('Cutters Consumption Updates'!$AS:$AS,$B282,'Cutters Consumption Updates'!AU:AU)</f>
        <v>0</v>
      </c>
      <c r="K282" s="116">
        <f>SUMIFS('Cutters Consumption Updates'!$F:$F,'Cutters Consumption Updates'!$D:$D,K$1,'Cutters Consumption Updates'!$B:$B,$B282)-SUMIFS('Cutters Consumption Updates'!$E:$E,'Cutters Consumption Updates'!$D:$D,K$1,'Cutters Consumption Updates'!$B:$B,$B282)+ SUMIF('Cutters Consumption Updates'!$AS:$AS,$B282,'Cutters Consumption Updates'!AV:AV)</f>
        <v>0</v>
      </c>
      <c r="L282" s="738">
        <f>SUMIFS('Cutters Consumption Updates'!$F:$F,'Cutters Consumption Updates'!$D:$D,L$1,'Cutters Consumption Updates'!$B:$B,$B282)-SUMIFS('Cutters Consumption Updates'!$E:$E,'Cutters Consumption Updates'!$D:$D,L$1,'Cutters Consumption Updates'!$B:$B,$B282)+ SUMIF('Cutters Consumption Updates'!$AS:$AS,$B282,'Cutters Consumption Updates'!AW:AW)</f>
        <v>0</v>
      </c>
      <c r="M282" s="116">
        <f>SUMIFS('Cutters Consumption Updates'!$F:$F,'Cutters Consumption Updates'!$D:$D,M$1,'Cutters Consumption Updates'!$B:$B,$B282)-SUMIFS('Cutters Consumption Updates'!$E:$E,'Cutters Consumption Updates'!$D:$D,$M$1,'Cutters Consumption Updates'!$B:$B,$B282)+SUMIFS('Cutters Consumption Updates'!$F:$F,'Cutters Consumption Updates'!$D:$D,"Retrofit",'Cutters Consumption Updates'!$B:$B,$B282)-SUMIFS('Cutters Consumption Updates'!$E:$E,'Cutters Consumption Updates'!$D:$D,"Retrofit",'Cutters Consumption Updates'!$B:$B,$B282)+ SUMIF('Cutters Consumption Updates'!$AS:$AS,$B282,'Cutters Consumption Updates'!AX:AX)</f>
        <v>28</v>
      </c>
      <c r="N282" s="10">
        <f t="shared" si="48"/>
        <v>28</v>
      </c>
      <c r="O282" s="701">
        <f ca="1">SUMIFS('Cutters Consumption Updates'!E:E,
        'Cutters Consumption Updates'!B:B, B282,
        'Cutters Consumption Updates'!A:A, "&gt;" &amp; TODAY()-182)</f>
        <v>12</v>
      </c>
      <c r="P282" s="701">
        <f ca="1">SUMIFS('Cutters Consumption Updates'!E:E,
        'Cutters Consumption Updates'!B:B, B282,
        'Cutters Consumption Updates'!A:A, "&gt;" &amp; TODAY()-91)</f>
        <v>12</v>
      </c>
      <c r="Q282" s="701">
        <f t="shared" ca="1" si="49"/>
        <v>4</v>
      </c>
      <c r="R282" s="703">
        <f t="shared" ca="1" si="50"/>
        <v>5</v>
      </c>
      <c r="S282" s="703" t="s">
        <v>29</v>
      </c>
      <c r="T282" s="24">
        <f>IFERROR(INDEX(Table5[],MATCH($B282,Table5[Component],0),2),0)</f>
        <v>0</v>
      </c>
      <c r="U282" s="24">
        <f>SUMIFS(Table7[Balance],Table7[Cutter Mat'#],$B282)</f>
        <v>0</v>
      </c>
      <c r="V282" s="24">
        <f t="shared" si="51"/>
        <v>28</v>
      </c>
      <c r="W282" s="119"/>
      <c r="X282" s="2"/>
      <c r="Z282" s="4">
        <f>IFERROR(INDEX(Table5[],MATCH($B282,Table5[Component],0),2),0)</f>
        <v>0</v>
      </c>
      <c r="AA282" s="4">
        <f>IFERROR(INDEX(Table5[],MATCH($B282,Table5[Component],0),1),0)</f>
        <v>0</v>
      </c>
      <c r="AB282" s="4" t="str">
        <f t="shared" si="52"/>
        <v/>
      </c>
      <c r="AC282" s="4" t="str">
        <f t="shared" si="53"/>
        <v/>
      </c>
      <c r="AE282" s="4">
        <f t="shared" si="54"/>
        <v>28</v>
      </c>
      <c r="AJ282" s="248" t="str">
        <f t="shared" si="55"/>
        <v/>
      </c>
      <c r="AK282" s="248" t="str">
        <f t="shared" si="56"/>
        <v/>
      </c>
      <c r="AL282">
        <f t="shared" si="57"/>
        <v>0</v>
      </c>
      <c r="AO282" s="4"/>
      <c r="AP282" s="4"/>
      <c r="AQ282">
        <f t="shared" si="59"/>
        <v>0</v>
      </c>
      <c r="AR282" s="4"/>
      <c r="AS282" s="4">
        <v>2002186</v>
      </c>
      <c r="AT282">
        <f t="shared" si="58"/>
        <v>0</v>
      </c>
    </row>
    <row r="283" spans="1:46" ht="18.75" customHeight="1" x14ac:dyDescent="0.35">
      <c r="A283" s="250">
        <v>288</v>
      </c>
      <c r="B283" s="209">
        <v>1126398</v>
      </c>
      <c r="C283" s="3" t="s">
        <v>26</v>
      </c>
      <c r="D283" s="605">
        <v>1308</v>
      </c>
      <c r="E283" s="606" t="s">
        <v>133</v>
      </c>
      <c r="F283" s="606" t="s">
        <v>177</v>
      </c>
      <c r="G283" s="3"/>
      <c r="H283" s="13" t="s">
        <v>169</v>
      </c>
      <c r="I283" s="10">
        <f>SUMIFS('Cutters Consumption Updates'!$F:$F,'Cutters Consumption Updates'!$D:$D,I$1,'Cutters Consumption Updates'!$B:$B,$B283)-SUMIFS('Cutters Consumption Updates'!$E:$E,'Cutters Consumption Updates'!$D:$D,I$1,'Cutters Consumption Updates'!$B:$B,$B283)+ SUMIF('Cutters Consumption Updates'!$AS:$AS,$B283,'Cutters Consumption Updates'!AT:AT)</f>
        <v>0</v>
      </c>
      <c r="J283" s="10">
        <f>SUMIFS('Cutters Consumption Updates'!$F:$F,'Cutters Consumption Updates'!$D:$D,J$1,'Cutters Consumption Updates'!$B:$B,$B283)-SUMIFS('Cutters Consumption Updates'!$E:$E,'Cutters Consumption Updates'!$D:$D,J$1,'Cutters Consumption Updates'!$B:$B,$B283)+ SUMIF('Cutters Consumption Updates'!$AS:$AS,$B283,'Cutters Consumption Updates'!AU:AU)</f>
        <v>0</v>
      </c>
      <c r="K283" s="116">
        <f>SUMIFS('Cutters Consumption Updates'!$F:$F,'Cutters Consumption Updates'!$D:$D,K$1,'Cutters Consumption Updates'!$B:$B,$B283)-SUMIFS('Cutters Consumption Updates'!$E:$E,'Cutters Consumption Updates'!$D:$D,K$1,'Cutters Consumption Updates'!$B:$B,$B283)+ SUMIF('Cutters Consumption Updates'!$AS:$AS,$B283,'Cutters Consumption Updates'!AV:AV)</f>
        <v>0</v>
      </c>
      <c r="L283" s="738">
        <f>SUMIFS('Cutters Consumption Updates'!$F:$F,'Cutters Consumption Updates'!$D:$D,L$1,'Cutters Consumption Updates'!$B:$B,$B283)-SUMIFS('Cutters Consumption Updates'!$E:$E,'Cutters Consumption Updates'!$D:$D,L$1,'Cutters Consumption Updates'!$B:$B,$B283)+ SUMIF('Cutters Consumption Updates'!$AS:$AS,$B283,'Cutters Consumption Updates'!AW:AW)</f>
        <v>0</v>
      </c>
      <c r="M283" s="116">
        <f>SUMIFS('Cutters Consumption Updates'!$F:$F,'Cutters Consumption Updates'!$D:$D,M$1,'Cutters Consumption Updates'!$B:$B,$B283)-SUMIFS('Cutters Consumption Updates'!$E:$E,'Cutters Consumption Updates'!$D:$D,$M$1,'Cutters Consumption Updates'!$B:$B,$B283)+SUMIFS('Cutters Consumption Updates'!$F:$F,'Cutters Consumption Updates'!$D:$D,"Retrofit",'Cutters Consumption Updates'!$B:$B,$B283)-SUMIFS('Cutters Consumption Updates'!$E:$E,'Cutters Consumption Updates'!$D:$D,"Retrofit",'Cutters Consumption Updates'!$B:$B,$B283)+ SUMIF('Cutters Consumption Updates'!$AS:$AS,$B283,'Cutters Consumption Updates'!AX:AX)</f>
        <v>20</v>
      </c>
      <c r="N283" s="10">
        <f t="shared" si="48"/>
        <v>20</v>
      </c>
      <c r="O283" s="701">
        <f ca="1">SUMIFS('Cutters Consumption Updates'!E:E,
        'Cutters Consumption Updates'!B:B, B283,
        'Cutters Consumption Updates'!A:A, "&gt;" &amp; TODAY()-182)</f>
        <v>0</v>
      </c>
      <c r="P283" s="701">
        <f ca="1">SUMIFS('Cutters Consumption Updates'!E:E,
        'Cutters Consumption Updates'!B:B, B283,
        'Cutters Consumption Updates'!A:A, "&gt;" &amp; TODAY()-91)</f>
        <v>0</v>
      </c>
      <c r="Q283" s="701">
        <f ca="1">SUMIFS('Cutters Consumption Updates'!F:F,
        'Cutters Consumption Updates'!C:C, C283,
        'Cutters Consumption Updates'!B:B, "&gt;" &amp; TODAY()-91)</f>
        <v>0</v>
      </c>
      <c r="R283" s="703">
        <f t="shared" ca="1" si="50"/>
        <v>0</v>
      </c>
      <c r="S283" s="705" t="s">
        <v>118</v>
      </c>
      <c r="T283" s="24">
        <f>IFERROR(INDEX(Table5[],MATCH($B283,Table5[Component],0),2),0)</f>
        <v>0</v>
      </c>
      <c r="U283" s="24">
        <f>SUMIFS(Table7[Balance],Table7[Cutter Mat'#],$B283)</f>
        <v>0</v>
      </c>
      <c r="V283" s="24">
        <f t="shared" si="51"/>
        <v>20</v>
      </c>
      <c r="W283" s="119"/>
      <c r="X283" s="2"/>
      <c r="Z283" s="4">
        <f>IFERROR(INDEX(Table5[],MATCH($B283,Table5[Component],0),2),0)</f>
        <v>0</v>
      </c>
      <c r="AA283" s="4">
        <f>IFERROR(INDEX(Table5[],MATCH($B283,Table5[Component],0),1),0)</f>
        <v>0</v>
      </c>
      <c r="AB283" s="4" t="str">
        <f t="shared" si="52"/>
        <v/>
      </c>
      <c r="AC283" s="4" t="str">
        <f t="shared" si="53"/>
        <v/>
      </c>
      <c r="AE283" s="4">
        <f t="shared" si="54"/>
        <v>20</v>
      </c>
      <c r="AJ283" s="248" t="str">
        <f t="shared" si="55"/>
        <v/>
      </c>
      <c r="AK283" s="248" t="str">
        <f t="shared" si="56"/>
        <v/>
      </c>
      <c r="AL283">
        <f t="shared" si="57"/>
        <v>0</v>
      </c>
      <c r="AO283" s="4"/>
      <c r="AP283" s="4"/>
      <c r="AQ283">
        <f t="shared" si="59"/>
        <v>0</v>
      </c>
      <c r="AR283" s="4"/>
      <c r="AS283" s="4">
        <v>2002235</v>
      </c>
      <c r="AT283">
        <f t="shared" si="58"/>
        <v>0</v>
      </c>
    </row>
    <row r="284" spans="1:46" ht="18.75" customHeight="1" x14ac:dyDescent="0.35">
      <c r="A284" s="250">
        <v>289</v>
      </c>
      <c r="B284" s="209">
        <v>1220479</v>
      </c>
      <c r="C284" s="3" t="s">
        <v>122</v>
      </c>
      <c r="D284" s="605">
        <v>1613</v>
      </c>
      <c r="E284" s="606" t="s">
        <v>244</v>
      </c>
      <c r="F284" s="292" t="s">
        <v>253</v>
      </c>
      <c r="G284" s="3"/>
      <c r="H284" s="13" t="s">
        <v>169</v>
      </c>
      <c r="I284" s="10">
        <f>SUMIFS('Cutters Consumption Updates'!$F:$F,'Cutters Consumption Updates'!$D:$D,I$1,'Cutters Consumption Updates'!$B:$B,$B284)-SUMIFS('Cutters Consumption Updates'!$E:$E,'Cutters Consumption Updates'!$D:$D,I$1,'Cutters Consumption Updates'!$B:$B,$B284)+ SUMIF('Cutters Consumption Updates'!$AS:$AS,$B284,'Cutters Consumption Updates'!AT:AT)</f>
        <v>0</v>
      </c>
      <c r="J284" s="10">
        <f>SUMIFS('Cutters Consumption Updates'!$F:$F,'Cutters Consumption Updates'!$D:$D,J$1,'Cutters Consumption Updates'!$B:$B,$B284)-SUMIFS('Cutters Consumption Updates'!$E:$E,'Cutters Consumption Updates'!$D:$D,J$1,'Cutters Consumption Updates'!$B:$B,$B284)+ SUMIF('Cutters Consumption Updates'!$AS:$AS,$B284,'Cutters Consumption Updates'!AU:AU)</f>
        <v>0</v>
      </c>
      <c r="K284" s="116">
        <f>SUMIFS('Cutters Consumption Updates'!$F:$F,'Cutters Consumption Updates'!$D:$D,K$1,'Cutters Consumption Updates'!$B:$B,$B284)-SUMIFS('Cutters Consumption Updates'!$E:$E,'Cutters Consumption Updates'!$D:$D,K$1,'Cutters Consumption Updates'!$B:$B,$B284)+ SUMIF('Cutters Consumption Updates'!$AS:$AS,$B284,'Cutters Consumption Updates'!AV:AV)</f>
        <v>0</v>
      </c>
      <c r="L284" s="738">
        <f>SUMIFS('Cutters Consumption Updates'!$F:$F,'Cutters Consumption Updates'!$D:$D,L$1,'Cutters Consumption Updates'!$B:$B,$B284)-SUMIFS('Cutters Consumption Updates'!$E:$E,'Cutters Consumption Updates'!$D:$D,L$1,'Cutters Consumption Updates'!$B:$B,$B284)+ SUMIF('Cutters Consumption Updates'!$AS:$AS,$B284,'Cutters Consumption Updates'!AW:AW)</f>
        <v>0</v>
      </c>
      <c r="M284" s="116">
        <f>SUMIFS('Cutters Consumption Updates'!$F:$F,'Cutters Consumption Updates'!$D:$D,M$1,'Cutters Consumption Updates'!$B:$B,$B284)-SUMIFS('Cutters Consumption Updates'!$E:$E,'Cutters Consumption Updates'!$D:$D,$M$1,'Cutters Consumption Updates'!$B:$B,$B284)+SUMIFS('Cutters Consumption Updates'!$F:$F,'Cutters Consumption Updates'!$D:$D,"Retrofit",'Cutters Consumption Updates'!$B:$B,$B284)-SUMIFS('Cutters Consumption Updates'!$E:$E,'Cutters Consumption Updates'!$D:$D,"Retrofit",'Cutters Consumption Updates'!$B:$B,$B284)+ SUMIF('Cutters Consumption Updates'!$AS:$AS,$B284,'Cutters Consumption Updates'!AX:AX)</f>
        <v>3</v>
      </c>
      <c r="N284" s="10">
        <f t="shared" si="48"/>
        <v>3</v>
      </c>
      <c r="O284" s="701">
        <f ca="1">SUMIFS('Cutters Consumption Updates'!E:E,
        'Cutters Consumption Updates'!B:B, B284,
        'Cutters Consumption Updates'!A:A, "&gt;" &amp; TODAY()-182)</f>
        <v>2</v>
      </c>
      <c r="P284" s="701">
        <f ca="1">SUMIFS('Cutters Consumption Updates'!E:E,
        'Cutters Consumption Updates'!B:B, B284,
        'Cutters Consumption Updates'!A:A, "&gt;" &amp; TODAY()-91)</f>
        <v>1</v>
      </c>
      <c r="Q284" s="40"/>
      <c r="R284" s="703">
        <f t="shared" si="50"/>
        <v>0</v>
      </c>
      <c r="S284" s="703" t="s">
        <v>29</v>
      </c>
      <c r="T284" s="24">
        <f>IFERROR(INDEX(Table5[],MATCH($B284,Table5[Component],0),2),0)</f>
        <v>0</v>
      </c>
      <c r="U284" s="24">
        <f>SUMIFS(Table7[Balance],Table7[Cutter Mat'#],$B284)</f>
        <v>0</v>
      </c>
      <c r="V284" s="24">
        <f t="shared" si="51"/>
        <v>3</v>
      </c>
      <c r="W284" s="119"/>
      <c r="X284" s="2"/>
      <c r="Z284" s="4">
        <f>IFERROR(INDEX(Table5[],MATCH($B284,Table5[Component],0),2),0)</f>
        <v>0</v>
      </c>
      <c r="AA284" s="4">
        <f>IFERROR(INDEX(Table5[],MATCH($B284,Table5[Component],0),1),0)</f>
        <v>0</v>
      </c>
      <c r="AB284" s="4" t="str">
        <f t="shared" si="52"/>
        <v/>
      </c>
      <c r="AC284" s="4" t="str">
        <f t="shared" si="53"/>
        <v/>
      </c>
      <c r="AE284" s="4">
        <f t="shared" si="54"/>
        <v>3</v>
      </c>
      <c r="AJ284" s="248" t="str">
        <f t="shared" si="55"/>
        <v/>
      </c>
      <c r="AK284" s="248" t="str">
        <f t="shared" si="56"/>
        <v/>
      </c>
      <c r="AL284">
        <f t="shared" si="57"/>
        <v>0</v>
      </c>
      <c r="AO284" s="4"/>
      <c r="AP284" s="4"/>
      <c r="AQ284">
        <f t="shared" si="59"/>
        <v>0</v>
      </c>
      <c r="AR284" s="4"/>
      <c r="AS284" s="4">
        <v>2002243</v>
      </c>
      <c r="AT284">
        <f t="shared" si="58"/>
        <v>0</v>
      </c>
    </row>
    <row r="285" spans="1:46" ht="18.75" customHeight="1" x14ac:dyDescent="0.35">
      <c r="A285" s="250">
        <v>290</v>
      </c>
      <c r="B285" s="209">
        <v>1172481</v>
      </c>
      <c r="C285" s="3" t="s">
        <v>81</v>
      </c>
      <c r="D285" s="605" t="s">
        <v>245</v>
      </c>
      <c r="E285" s="292" t="s">
        <v>246</v>
      </c>
      <c r="F285" s="292" t="s">
        <v>103</v>
      </c>
      <c r="G285" s="3"/>
      <c r="H285" s="13" t="s">
        <v>36</v>
      </c>
      <c r="I285" s="10">
        <f>SUMIFS('Cutters Consumption Updates'!$F:$F,'Cutters Consumption Updates'!$D:$D,I$1,'Cutters Consumption Updates'!$B:$B,$B285)-SUMIFS('Cutters Consumption Updates'!$E:$E,'Cutters Consumption Updates'!$D:$D,I$1,'Cutters Consumption Updates'!$B:$B,$B285)+ SUMIF('Cutters Consumption Updates'!$AS:$AS,$B285,'Cutters Consumption Updates'!AT:AT)</f>
        <v>0</v>
      </c>
      <c r="J285" s="10">
        <f>SUMIFS('Cutters Consumption Updates'!$F:$F,'Cutters Consumption Updates'!$D:$D,J$1,'Cutters Consumption Updates'!$B:$B,$B285)-SUMIFS('Cutters Consumption Updates'!$E:$E,'Cutters Consumption Updates'!$D:$D,J$1,'Cutters Consumption Updates'!$B:$B,$B285)+ SUMIF('Cutters Consumption Updates'!$AS:$AS,$B285,'Cutters Consumption Updates'!AU:AU)</f>
        <v>0</v>
      </c>
      <c r="K285" s="116">
        <f>SUMIFS('Cutters Consumption Updates'!$F:$F,'Cutters Consumption Updates'!$D:$D,K$1,'Cutters Consumption Updates'!$B:$B,$B285)-SUMIFS('Cutters Consumption Updates'!$E:$E,'Cutters Consumption Updates'!$D:$D,K$1,'Cutters Consumption Updates'!$B:$B,$B285)+ SUMIF('Cutters Consumption Updates'!$AS:$AS,$B285,'Cutters Consumption Updates'!AV:AV)</f>
        <v>0</v>
      </c>
      <c r="L285" s="738">
        <f>SUMIFS('Cutters Consumption Updates'!$F:$F,'Cutters Consumption Updates'!$D:$D,L$1,'Cutters Consumption Updates'!$B:$B,$B285)-SUMIFS('Cutters Consumption Updates'!$E:$E,'Cutters Consumption Updates'!$D:$D,L$1,'Cutters Consumption Updates'!$B:$B,$B285)+ SUMIF('Cutters Consumption Updates'!$AS:$AS,$B285,'Cutters Consumption Updates'!AW:AW)</f>
        <v>0</v>
      </c>
      <c r="M285" s="116">
        <f>SUMIFS('Cutters Consumption Updates'!$F:$F,'Cutters Consumption Updates'!$D:$D,M$1,'Cutters Consumption Updates'!$B:$B,$B285)-SUMIFS('Cutters Consumption Updates'!$E:$E,'Cutters Consumption Updates'!$D:$D,$M$1,'Cutters Consumption Updates'!$B:$B,$B285)+SUMIFS('Cutters Consumption Updates'!$F:$F,'Cutters Consumption Updates'!$D:$D,"Retrofit",'Cutters Consumption Updates'!$B:$B,$B285)-SUMIFS('Cutters Consumption Updates'!$E:$E,'Cutters Consumption Updates'!$D:$D,"Retrofit",'Cutters Consumption Updates'!$B:$B,$B285)+ SUMIF('Cutters Consumption Updates'!$AS:$AS,$B285,'Cutters Consumption Updates'!AX:AX)</f>
        <v>13</v>
      </c>
      <c r="N285" s="10">
        <f t="shared" si="48"/>
        <v>13</v>
      </c>
      <c r="O285" s="701">
        <f ca="1">SUMIFS('Cutters Consumption Updates'!E:E,
        'Cutters Consumption Updates'!B:B, B285,
        'Cutters Consumption Updates'!A:A, "&gt;" &amp; TODAY()-182)</f>
        <v>12</v>
      </c>
      <c r="P285" s="701">
        <f ca="1">SUMIFS('Cutters Consumption Updates'!E:E,
        'Cutters Consumption Updates'!B:B, B285,
        'Cutters Consumption Updates'!A:A, "&gt;" &amp; TODAY()-91)</f>
        <v>12</v>
      </c>
      <c r="Q285" s="40"/>
      <c r="R285" s="703">
        <f t="shared" si="50"/>
        <v>0</v>
      </c>
      <c r="S285" s="705"/>
      <c r="T285" s="24">
        <f>IFERROR(INDEX(Table5[],MATCH($B285,Table5[Component],0),2),0)</f>
        <v>0</v>
      </c>
      <c r="U285" s="24">
        <f>SUMIFS(Table7[Balance],Table7[Cutter Mat'#],$B285)</f>
        <v>0</v>
      </c>
      <c r="V285" s="24">
        <f t="shared" si="51"/>
        <v>13</v>
      </c>
      <c r="W285" s="119"/>
      <c r="X285" s="2"/>
      <c r="Z285" s="4">
        <f>IFERROR(INDEX(Table5[],MATCH($B285,Table5[Component],0),2),0)</f>
        <v>0</v>
      </c>
      <c r="AA285" s="4">
        <f>IFERROR(INDEX(Table5[],MATCH($B285,Table5[Component],0),1),0)</f>
        <v>0</v>
      </c>
      <c r="AB285" s="4" t="str">
        <f t="shared" si="52"/>
        <v/>
      </c>
      <c r="AC285" s="4" t="str">
        <f t="shared" si="53"/>
        <v/>
      </c>
      <c r="AE285" s="4">
        <f t="shared" si="54"/>
        <v>13</v>
      </c>
      <c r="AJ285" s="248" t="str">
        <f t="shared" si="55"/>
        <v/>
      </c>
      <c r="AK285" s="248" t="str">
        <f t="shared" si="56"/>
        <v/>
      </c>
      <c r="AL285">
        <f t="shared" si="57"/>
        <v>0</v>
      </c>
      <c r="AO285" s="4"/>
      <c r="AP285" s="4"/>
      <c r="AQ285">
        <f t="shared" si="59"/>
        <v>0</v>
      </c>
      <c r="AR285" s="4"/>
      <c r="AS285" s="4">
        <v>2002244</v>
      </c>
      <c r="AT285">
        <f t="shared" si="58"/>
        <v>0</v>
      </c>
    </row>
    <row r="286" spans="1:46" ht="19.149999999999999" customHeight="1" x14ac:dyDescent="0.35">
      <c r="A286" s="250">
        <v>291</v>
      </c>
      <c r="B286" s="209">
        <v>2022731</v>
      </c>
      <c r="C286" s="3" t="s">
        <v>172</v>
      </c>
      <c r="D286" s="605">
        <v>1613</v>
      </c>
      <c r="E286" s="606" t="s">
        <v>218</v>
      </c>
      <c r="F286" s="292" t="s">
        <v>170</v>
      </c>
      <c r="G286" s="3"/>
      <c r="H286" s="13" t="s">
        <v>161</v>
      </c>
      <c r="I286" s="10">
        <f>SUMIFS('Cutters Consumption Updates'!$F:$F,'Cutters Consumption Updates'!$D:$D,I$1,'Cutters Consumption Updates'!$B:$B,$B286)-SUMIFS('Cutters Consumption Updates'!$E:$E,'Cutters Consumption Updates'!$D:$D,I$1,'Cutters Consumption Updates'!$B:$B,$B286)+ SUMIF('Cutters Consumption Updates'!$AS:$AS,$B286,'Cutters Consumption Updates'!AT:AT)</f>
        <v>0</v>
      </c>
      <c r="J286" s="10">
        <f>SUMIFS('Cutters Consumption Updates'!$F:$F,'Cutters Consumption Updates'!$D:$D,J$1,'Cutters Consumption Updates'!$B:$B,$B286)-SUMIFS('Cutters Consumption Updates'!$E:$E,'Cutters Consumption Updates'!$D:$D,J$1,'Cutters Consumption Updates'!$B:$B,$B286)+ SUMIF('Cutters Consumption Updates'!$AS:$AS,$B286,'Cutters Consumption Updates'!AU:AU)</f>
        <v>0</v>
      </c>
      <c r="K286" s="116">
        <f>SUMIFS('Cutters Consumption Updates'!$F:$F,'Cutters Consumption Updates'!$D:$D,K$1,'Cutters Consumption Updates'!$B:$B,$B286)-SUMIFS('Cutters Consumption Updates'!$E:$E,'Cutters Consumption Updates'!$D:$D,K$1,'Cutters Consumption Updates'!$B:$B,$B286)+ SUMIF('Cutters Consumption Updates'!$AS:$AS,$B286,'Cutters Consumption Updates'!AV:AV)</f>
        <v>0</v>
      </c>
      <c r="L286" s="738">
        <f>SUMIFS('Cutters Consumption Updates'!$F:$F,'Cutters Consumption Updates'!$D:$D,L$1,'Cutters Consumption Updates'!$B:$B,$B286)-SUMIFS('Cutters Consumption Updates'!$E:$E,'Cutters Consumption Updates'!$D:$D,L$1,'Cutters Consumption Updates'!$B:$B,$B286)+ SUMIF('Cutters Consumption Updates'!$AS:$AS,$B286,'Cutters Consumption Updates'!AW:AW)</f>
        <v>0</v>
      </c>
      <c r="M286" s="116">
        <f>SUMIFS('Cutters Consumption Updates'!$F:$F,'Cutters Consumption Updates'!$D:$D,M$1,'Cutters Consumption Updates'!$B:$B,$B286)-SUMIFS('Cutters Consumption Updates'!$E:$E,'Cutters Consumption Updates'!$D:$D,$M$1,'Cutters Consumption Updates'!$B:$B,$B286)+SUMIFS('Cutters Consumption Updates'!$F:$F,'Cutters Consumption Updates'!$D:$D,"Retrofit",'Cutters Consumption Updates'!$B:$B,$B286)-SUMIFS('Cutters Consumption Updates'!$E:$E,'Cutters Consumption Updates'!$D:$D,"Retrofit",'Cutters Consumption Updates'!$B:$B,$B286)+ SUMIF('Cutters Consumption Updates'!$AS:$AS,$B286,'Cutters Consumption Updates'!AX:AX)</f>
        <v>0</v>
      </c>
      <c r="N286" s="10">
        <f t="shared" si="48"/>
        <v>0</v>
      </c>
      <c r="O286" s="701">
        <f ca="1">SUMIFS('Cutters Consumption Updates'!E:E,
        'Cutters Consumption Updates'!B:B, B286,
        'Cutters Consumption Updates'!A:A, "&gt;" &amp; TODAY()-182)</f>
        <v>75</v>
      </c>
      <c r="P286" s="701">
        <f ca="1">SUMIFS('Cutters Consumption Updates'!E:E,
        'Cutters Consumption Updates'!B:B, B286,
        'Cutters Consumption Updates'!A:A, "&gt;" &amp; TODAY()-91)</f>
        <v>75</v>
      </c>
      <c r="Q286" s="40"/>
      <c r="R286" s="703">
        <f t="shared" si="50"/>
        <v>0</v>
      </c>
      <c r="S286" s="705" t="s">
        <v>175</v>
      </c>
      <c r="T286" s="24">
        <f>IFERROR(INDEX(Table5[],MATCH($B286,Table5[Component],0),2),0)</f>
        <v>0</v>
      </c>
      <c r="U286" s="24">
        <f>SUMIFS(Table7[Balance],Table7[Cutter Mat'#],$B286)</f>
        <v>0</v>
      </c>
      <c r="V286" s="24">
        <f t="shared" si="51"/>
        <v>0</v>
      </c>
      <c r="W286" s="119"/>
      <c r="X286" s="2"/>
      <c r="Z286" s="4">
        <f>IFERROR(INDEX(Table5[],MATCH($B286,Table5[Component],0),2),0)</f>
        <v>0</v>
      </c>
      <c r="AA286" s="4">
        <f>IFERROR(INDEX(Table5[],MATCH($B286,Table5[Component],0),1),0)</f>
        <v>0</v>
      </c>
      <c r="AB286" s="4" t="str">
        <f t="shared" si="52"/>
        <v/>
      </c>
      <c r="AC286" s="4" t="str">
        <f t="shared" si="53"/>
        <v/>
      </c>
      <c r="AE286" s="4">
        <f t="shared" si="54"/>
        <v>0</v>
      </c>
      <c r="AJ286" s="248" t="str">
        <f t="shared" si="55"/>
        <v/>
      </c>
      <c r="AK286" s="248" t="str">
        <f t="shared" si="56"/>
        <v/>
      </c>
      <c r="AL286">
        <f t="shared" si="57"/>
        <v>0</v>
      </c>
      <c r="AO286" s="4"/>
      <c r="AP286" s="4"/>
      <c r="AQ286">
        <f t="shared" si="59"/>
        <v>0</v>
      </c>
      <c r="AR286" s="4"/>
      <c r="AS286" s="4">
        <v>2002245</v>
      </c>
      <c r="AT286">
        <f t="shared" si="58"/>
        <v>0</v>
      </c>
    </row>
    <row r="287" spans="1:46" ht="19.149999999999999" customHeight="1" x14ac:dyDescent="0.35">
      <c r="A287" s="250">
        <v>292</v>
      </c>
      <c r="B287" s="209">
        <v>1100749</v>
      </c>
      <c r="C287" s="3" t="s">
        <v>26</v>
      </c>
      <c r="D287" s="605">
        <v>1308</v>
      </c>
      <c r="E287" s="606" t="s">
        <v>133</v>
      </c>
      <c r="F287" s="292" t="s">
        <v>253</v>
      </c>
      <c r="G287" s="3"/>
      <c r="H287" s="13" t="s">
        <v>169</v>
      </c>
      <c r="I287" s="10">
        <f>SUMIFS('Cutters Consumption Updates'!$F:$F,'Cutters Consumption Updates'!$D:$D,I$1,'Cutters Consumption Updates'!$B:$B,$B287)-SUMIFS('Cutters Consumption Updates'!$E:$E,'Cutters Consumption Updates'!$D:$D,I$1,'Cutters Consumption Updates'!$B:$B,$B287)+ SUMIF('Cutters Consumption Updates'!$AS:$AS,$B287,'Cutters Consumption Updates'!AT:AT)</f>
        <v>0</v>
      </c>
      <c r="J287" s="10">
        <f>SUMIFS('Cutters Consumption Updates'!$F:$F,'Cutters Consumption Updates'!$D:$D,J$1,'Cutters Consumption Updates'!$B:$B,$B287)-SUMIFS('Cutters Consumption Updates'!$E:$E,'Cutters Consumption Updates'!$D:$D,J$1,'Cutters Consumption Updates'!$B:$B,$B287)+ SUMIF('Cutters Consumption Updates'!$AS:$AS,$B287,'Cutters Consumption Updates'!AU:AU)</f>
        <v>0</v>
      </c>
      <c r="K287" s="116">
        <f>SUMIFS('Cutters Consumption Updates'!$F:$F,'Cutters Consumption Updates'!$D:$D,K$1,'Cutters Consumption Updates'!$B:$B,$B287)-SUMIFS('Cutters Consumption Updates'!$E:$E,'Cutters Consumption Updates'!$D:$D,K$1,'Cutters Consumption Updates'!$B:$B,$B287)+ SUMIF('Cutters Consumption Updates'!$AS:$AS,$B287,'Cutters Consumption Updates'!AV:AV)</f>
        <v>0</v>
      </c>
      <c r="L287" s="738">
        <f>SUMIFS('Cutters Consumption Updates'!$F:$F,'Cutters Consumption Updates'!$D:$D,L$1,'Cutters Consumption Updates'!$B:$B,$B287)-SUMIFS('Cutters Consumption Updates'!$E:$E,'Cutters Consumption Updates'!$D:$D,L$1,'Cutters Consumption Updates'!$B:$B,$B287)+ SUMIF('Cutters Consumption Updates'!$AS:$AS,$B287,'Cutters Consumption Updates'!AW:AW)</f>
        <v>0</v>
      </c>
      <c r="M287" s="116">
        <f>SUMIFS('Cutters Consumption Updates'!$F:$F,'Cutters Consumption Updates'!$D:$D,M$1,'Cutters Consumption Updates'!$B:$B,$B287)-SUMIFS('Cutters Consumption Updates'!$E:$E,'Cutters Consumption Updates'!$D:$D,$M$1,'Cutters Consumption Updates'!$B:$B,$B287)+SUMIFS('Cutters Consumption Updates'!$F:$F,'Cutters Consumption Updates'!$D:$D,"Retrofit",'Cutters Consumption Updates'!$B:$B,$B287)-SUMIFS('Cutters Consumption Updates'!$E:$E,'Cutters Consumption Updates'!$D:$D,"Retrofit",'Cutters Consumption Updates'!$B:$B,$B287)+ SUMIF('Cutters Consumption Updates'!$AS:$AS,$B287,'Cutters Consumption Updates'!AX:AX)</f>
        <v>8</v>
      </c>
      <c r="N287" s="10">
        <f t="shared" si="48"/>
        <v>8</v>
      </c>
      <c r="O287" s="701">
        <f ca="1">SUMIFS('Cutters Consumption Updates'!E:E,
        'Cutters Consumption Updates'!B:B, B287,
        'Cutters Consumption Updates'!A:A, "&gt;" &amp; TODAY()-182)</f>
        <v>2</v>
      </c>
      <c r="P287" s="701">
        <f ca="1">SUMIFS('Cutters Consumption Updates'!E:E,
        'Cutters Consumption Updates'!B:B, B287,
        'Cutters Consumption Updates'!A:A, "&gt;" &amp; TODAY()-91)</f>
        <v>2</v>
      </c>
      <c r="Q287" s="40"/>
      <c r="R287" s="703">
        <f t="shared" si="50"/>
        <v>0</v>
      </c>
      <c r="S287" s="705" t="s">
        <v>118</v>
      </c>
      <c r="T287" s="24">
        <f>IFERROR(INDEX(Table5[],MATCH($B287,Table5[Component],0),2),0)</f>
        <v>0</v>
      </c>
      <c r="U287" s="24">
        <f>SUMIFS(Table7[Balance],Table7[Cutter Mat'#],$B287)</f>
        <v>0</v>
      </c>
      <c r="V287" s="24">
        <f t="shared" si="51"/>
        <v>8</v>
      </c>
      <c r="W287" s="119"/>
      <c r="X287" s="2"/>
      <c r="Z287" s="4">
        <f>IFERROR(INDEX(Table5[],MATCH($B287,Table5[Component],0),2),0)</f>
        <v>0</v>
      </c>
      <c r="AA287" s="4">
        <f>IFERROR(INDEX(Table5[],MATCH($B287,Table5[Component],0),1),0)</f>
        <v>0</v>
      </c>
      <c r="AB287" s="4" t="str">
        <f t="shared" si="52"/>
        <v/>
      </c>
      <c r="AC287" s="4" t="str">
        <f t="shared" si="53"/>
        <v/>
      </c>
      <c r="AE287" s="4">
        <f t="shared" si="54"/>
        <v>8</v>
      </c>
      <c r="AJ287" s="248" t="str">
        <f t="shared" si="55"/>
        <v/>
      </c>
      <c r="AK287" s="248" t="str">
        <f t="shared" si="56"/>
        <v/>
      </c>
      <c r="AL287">
        <f t="shared" si="57"/>
        <v>0</v>
      </c>
      <c r="AO287" s="4"/>
      <c r="AP287" s="4"/>
      <c r="AQ287">
        <f t="shared" si="59"/>
        <v>0</v>
      </c>
      <c r="AR287" s="4"/>
      <c r="AS287" s="4">
        <v>2002299</v>
      </c>
      <c r="AT287">
        <f t="shared" si="58"/>
        <v>150</v>
      </c>
    </row>
    <row r="288" spans="1:46" ht="19.149999999999999" customHeight="1" x14ac:dyDescent="0.35">
      <c r="A288" s="250">
        <v>293</v>
      </c>
      <c r="B288" s="209">
        <v>2024742</v>
      </c>
      <c r="C288" s="3" t="s">
        <v>26</v>
      </c>
      <c r="D288" s="605">
        <v>1608</v>
      </c>
      <c r="E288" s="606" t="s">
        <v>133</v>
      </c>
      <c r="F288" s="292" t="s">
        <v>170</v>
      </c>
      <c r="G288" s="3"/>
      <c r="H288" s="13" t="s">
        <v>169</v>
      </c>
      <c r="I288" s="10">
        <f>SUMIFS('Cutters Consumption Updates'!$F:$F,'Cutters Consumption Updates'!$D:$D,I$1,'Cutters Consumption Updates'!$B:$B,$B288)-SUMIFS('Cutters Consumption Updates'!$E:$E,'Cutters Consumption Updates'!$D:$D,I$1,'Cutters Consumption Updates'!$B:$B,$B288)+ SUMIF('Cutters Consumption Updates'!$AS:$AS,$B288,'Cutters Consumption Updates'!AT:AT)</f>
        <v>0</v>
      </c>
      <c r="J288" s="10">
        <f>SUMIFS('Cutters Consumption Updates'!$F:$F,'Cutters Consumption Updates'!$D:$D,J$1,'Cutters Consumption Updates'!$B:$B,$B288)-SUMIFS('Cutters Consumption Updates'!$E:$E,'Cutters Consumption Updates'!$D:$D,J$1,'Cutters Consumption Updates'!$B:$B,$B288)+ SUMIF('Cutters Consumption Updates'!$AS:$AS,$B288,'Cutters Consumption Updates'!AU:AU)</f>
        <v>0</v>
      </c>
      <c r="K288" s="116">
        <f>SUMIFS('Cutters Consumption Updates'!$F:$F,'Cutters Consumption Updates'!$D:$D,K$1,'Cutters Consumption Updates'!$B:$B,$B288)-SUMIFS('Cutters Consumption Updates'!$E:$E,'Cutters Consumption Updates'!$D:$D,K$1,'Cutters Consumption Updates'!$B:$B,$B288)+ SUMIF('Cutters Consumption Updates'!$AS:$AS,$B288,'Cutters Consumption Updates'!AV:AV)</f>
        <v>0</v>
      </c>
      <c r="L288" s="738">
        <f>SUMIFS('Cutters Consumption Updates'!$F:$F,'Cutters Consumption Updates'!$D:$D,L$1,'Cutters Consumption Updates'!$B:$B,$B288)-SUMIFS('Cutters Consumption Updates'!$E:$E,'Cutters Consumption Updates'!$D:$D,L$1,'Cutters Consumption Updates'!$B:$B,$B288)+ SUMIF('Cutters Consumption Updates'!$AS:$AS,$B288,'Cutters Consumption Updates'!AW:AW)</f>
        <v>0</v>
      </c>
      <c r="M288" s="116">
        <f>SUMIFS('Cutters Consumption Updates'!$F:$F,'Cutters Consumption Updates'!$D:$D,M$1,'Cutters Consumption Updates'!$B:$B,$B288)-SUMIFS('Cutters Consumption Updates'!$E:$E,'Cutters Consumption Updates'!$D:$D,$M$1,'Cutters Consumption Updates'!$B:$B,$B288)+SUMIFS('Cutters Consumption Updates'!$F:$F,'Cutters Consumption Updates'!$D:$D,"Retrofit",'Cutters Consumption Updates'!$B:$B,$B288)-SUMIFS('Cutters Consumption Updates'!$E:$E,'Cutters Consumption Updates'!$D:$D,"Retrofit",'Cutters Consumption Updates'!$B:$B,$B288)+ SUMIF('Cutters Consumption Updates'!$AS:$AS,$B288,'Cutters Consumption Updates'!AX:AX)</f>
        <v>0</v>
      </c>
      <c r="N288" s="10">
        <f t="shared" si="48"/>
        <v>0</v>
      </c>
      <c r="O288" s="701">
        <f ca="1">SUMIFS('Cutters Consumption Updates'!E:E,
        'Cutters Consumption Updates'!B:B, B288,
        'Cutters Consumption Updates'!A:A, "&gt;" &amp; TODAY()-182)</f>
        <v>0</v>
      </c>
      <c r="P288" s="701">
        <f ca="1">SUMIFS('Cutters Consumption Updates'!E:E,
        'Cutters Consumption Updates'!B:B, B288,
        'Cutters Consumption Updates'!A:A, "&gt;" &amp; TODAY()-91)</f>
        <v>0</v>
      </c>
      <c r="Q288" s="40"/>
      <c r="R288" s="703">
        <f t="shared" si="50"/>
        <v>0</v>
      </c>
      <c r="S288" s="705" t="s">
        <v>119</v>
      </c>
      <c r="T288" s="24">
        <f>IFERROR(INDEX(Table5[],MATCH($B288,Table5[Component],0),2),0)</f>
        <v>0</v>
      </c>
      <c r="U288" s="24">
        <f>SUMIFS(Table7[Balance],Table7[Cutter Mat'#],$B288)</f>
        <v>0</v>
      </c>
      <c r="V288" s="24">
        <f t="shared" si="51"/>
        <v>0</v>
      </c>
      <c r="W288" s="119"/>
      <c r="X288" s="2"/>
      <c r="Z288" s="4">
        <f>IFERROR(INDEX(Table5[],MATCH($B288,Table5[Component],0),2),0)</f>
        <v>0</v>
      </c>
      <c r="AA288" s="4">
        <f>IFERROR(INDEX(Table5[],MATCH($B288,Table5[Component],0),1),0)</f>
        <v>0</v>
      </c>
      <c r="AB288" s="4" t="str">
        <f t="shared" si="52"/>
        <v/>
      </c>
      <c r="AC288" s="4" t="str">
        <f t="shared" si="53"/>
        <v/>
      </c>
      <c r="AE288" s="4">
        <f t="shared" si="54"/>
        <v>0</v>
      </c>
      <c r="AJ288" s="248" t="str">
        <f t="shared" si="55"/>
        <v/>
      </c>
      <c r="AK288" s="248" t="str">
        <f t="shared" si="56"/>
        <v/>
      </c>
      <c r="AL288">
        <f t="shared" si="57"/>
        <v>0</v>
      </c>
      <c r="AO288" s="4"/>
      <c r="AP288" s="4"/>
      <c r="AR288" s="4"/>
      <c r="AS288" s="4">
        <v>2004484</v>
      </c>
    </row>
    <row r="289" spans="1:45" ht="19.149999999999999" customHeight="1" x14ac:dyDescent="0.35">
      <c r="A289" s="250">
        <v>294</v>
      </c>
      <c r="B289" s="209">
        <v>2013427</v>
      </c>
      <c r="C289" s="3" t="s">
        <v>81</v>
      </c>
      <c r="D289" s="605">
        <v>1218</v>
      </c>
      <c r="E289" s="606" t="s">
        <v>247</v>
      </c>
      <c r="F289" s="292" t="s">
        <v>103</v>
      </c>
      <c r="G289" s="3"/>
      <c r="H289" s="13" t="s">
        <v>36</v>
      </c>
      <c r="I289" s="10">
        <f>SUMIFS('Cutters Consumption Updates'!$F:$F,'Cutters Consumption Updates'!$D:$D,I$1,'Cutters Consumption Updates'!$B:$B,$B289)-SUMIFS('Cutters Consumption Updates'!$E:$E,'Cutters Consumption Updates'!$D:$D,I$1,'Cutters Consumption Updates'!$B:$B,$B289)+ SUMIF('Cutters Consumption Updates'!$AS:$AS,$B289,'Cutters Consumption Updates'!AT:AT)</f>
        <v>0</v>
      </c>
      <c r="J289" s="10">
        <f>SUMIFS('Cutters Consumption Updates'!$F:$F,'Cutters Consumption Updates'!$D:$D,J$1,'Cutters Consumption Updates'!$B:$B,$B289)-SUMIFS('Cutters Consumption Updates'!$E:$E,'Cutters Consumption Updates'!$D:$D,J$1,'Cutters Consumption Updates'!$B:$B,$B289)+ SUMIF('Cutters Consumption Updates'!$AS:$AS,$B289,'Cutters Consumption Updates'!AU:AU)</f>
        <v>0</v>
      </c>
      <c r="K289" s="116">
        <f>SUMIFS('Cutters Consumption Updates'!$F:$F,'Cutters Consumption Updates'!$D:$D,K$1,'Cutters Consumption Updates'!$B:$B,$B289)-SUMIFS('Cutters Consumption Updates'!$E:$E,'Cutters Consumption Updates'!$D:$D,K$1,'Cutters Consumption Updates'!$B:$B,$B289)+ SUMIF('Cutters Consumption Updates'!$AS:$AS,$B289,'Cutters Consumption Updates'!AV:AV)</f>
        <v>0</v>
      </c>
      <c r="L289" s="738">
        <f>SUMIFS('Cutters Consumption Updates'!$F:$F,'Cutters Consumption Updates'!$D:$D,L$1,'Cutters Consumption Updates'!$B:$B,$B289)-SUMIFS('Cutters Consumption Updates'!$E:$E,'Cutters Consumption Updates'!$D:$D,L$1,'Cutters Consumption Updates'!$B:$B,$B289)+ SUMIF('Cutters Consumption Updates'!$AS:$AS,$B289,'Cutters Consumption Updates'!AW:AW)</f>
        <v>0</v>
      </c>
      <c r="M289" s="116">
        <f>SUMIFS('Cutters Consumption Updates'!$F:$F,'Cutters Consumption Updates'!$D:$D,M$1,'Cutters Consumption Updates'!$B:$B,$B289)-SUMIFS('Cutters Consumption Updates'!$E:$E,'Cutters Consumption Updates'!$D:$D,$M$1,'Cutters Consumption Updates'!$B:$B,$B289)+SUMIFS('Cutters Consumption Updates'!$F:$F,'Cutters Consumption Updates'!$D:$D,"Retrofit",'Cutters Consumption Updates'!$B:$B,$B289)-SUMIFS('Cutters Consumption Updates'!$E:$E,'Cutters Consumption Updates'!$D:$D,"Retrofit",'Cutters Consumption Updates'!$B:$B,$B289)+ SUMIF('Cutters Consumption Updates'!$AS:$AS,$B289,'Cutters Consumption Updates'!AX:AX)</f>
        <v>19</v>
      </c>
      <c r="N289" s="10">
        <f t="shared" si="48"/>
        <v>19</v>
      </c>
      <c r="O289" s="701">
        <f ca="1">SUMIFS('Cutters Consumption Updates'!E:E,
        'Cutters Consumption Updates'!B:B, B289,
        'Cutters Consumption Updates'!A:A, "&gt;" &amp; TODAY()-182)</f>
        <v>6</v>
      </c>
      <c r="P289" s="701">
        <f ca="1">SUMIFS('Cutters Consumption Updates'!E:E,
        'Cutters Consumption Updates'!B:B, B289,
        'Cutters Consumption Updates'!A:A, "&gt;" &amp; TODAY()-91)</f>
        <v>6</v>
      </c>
      <c r="Q289" s="40"/>
      <c r="R289" s="703">
        <f t="shared" si="50"/>
        <v>0</v>
      </c>
      <c r="S289" s="705"/>
      <c r="T289" s="24">
        <f>IFERROR(INDEX(Table5[],MATCH($B289,Table5[Component],0),2),0)</f>
        <v>0</v>
      </c>
      <c r="U289" s="24">
        <f>SUMIFS(Table7[Balance],Table7[Cutter Mat'#],$B289)</f>
        <v>0</v>
      </c>
      <c r="V289" s="24">
        <f t="shared" si="51"/>
        <v>19</v>
      </c>
      <c r="W289" s="119"/>
      <c r="X289" s="2"/>
      <c r="Z289" s="4">
        <f>IFERROR(INDEX(Table5[],MATCH($B289,Table5[Component],0),2),0)</f>
        <v>0</v>
      </c>
      <c r="AA289" s="4">
        <f>IFERROR(INDEX(Table5[],MATCH($B289,Table5[Component],0),1),0)</f>
        <v>2013427</v>
      </c>
      <c r="AB289" s="4" t="str">
        <f t="shared" si="52"/>
        <v/>
      </c>
      <c r="AC289" s="4" t="str">
        <f t="shared" si="53"/>
        <v/>
      </c>
      <c r="AE289" s="4">
        <f t="shared" si="54"/>
        <v>19</v>
      </c>
      <c r="AJ289" s="248" t="str">
        <f t="shared" si="55"/>
        <v/>
      </c>
      <c r="AK289" s="248" t="str">
        <f t="shared" si="56"/>
        <v/>
      </c>
      <c r="AL289">
        <f t="shared" si="57"/>
        <v>0</v>
      </c>
      <c r="AO289" s="4"/>
      <c r="AP289" s="4"/>
      <c r="AR289" s="4"/>
      <c r="AS289" s="4">
        <v>2007571</v>
      </c>
    </row>
    <row r="290" spans="1:45" ht="19.149999999999999" customHeight="1" x14ac:dyDescent="0.35">
      <c r="A290" s="250">
        <v>295</v>
      </c>
      <c r="B290" s="209">
        <v>2023242</v>
      </c>
      <c r="C290" s="3" t="s">
        <v>26</v>
      </c>
      <c r="D290" s="605">
        <v>1613</v>
      </c>
      <c r="E290" s="606" t="s">
        <v>133</v>
      </c>
      <c r="F290" s="292" t="s">
        <v>170</v>
      </c>
      <c r="G290" s="3"/>
      <c r="H290" s="13" t="s">
        <v>169</v>
      </c>
      <c r="I290" s="10">
        <f>SUMIFS('Cutters Consumption Updates'!$F:$F,'Cutters Consumption Updates'!$D:$D,I$1,'Cutters Consumption Updates'!$B:$B,$B290)-SUMIFS('Cutters Consumption Updates'!$E:$E,'Cutters Consumption Updates'!$D:$D,I$1,'Cutters Consumption Updates'!$B:$B,$B290)+ SUMIF('Cutters Consumption Updates'!$AS:$AS,$B290,'Cutters Consumption Updates'!AT:AT)</f>
        <v>0</v>
      </c>
      <c r="J290" s="10">
        <f>SUMIFS('Cutters Consumption Updates'!$F:$F,'Cutters Consumption Updates'!$D:$D,J$1,'Cutters Consumption Updates'!$B:$B,$B290)-SUMIFS('Cutters Consumption Updates'!$E:$E,'Cutters Consumption Updates'!$D:$D,J$1,'Cutters Consumption Updates'!$B:$B,$B290)+ SUMIF('Cutters Consumption Updates'!$AS:$AS,$B290,'Cutters Consumption Updates'!AU:AU)</f>
        <v>0</v>
      </c>
      <c r="K290" s="116">
        <f>SUMIFS('Cutters Consumption Updates'!$F:$F,'Cutters Consumption Updates'!$D:$D,K$1,'Cutters Consumption Updates'!$B:$B,$B290)-SUMIFS('Cutters Consumption Updates'!$E:$E,'Cutters Consumption Updates'!$D:$D,K$1,'Cutters Consumption Updates'!$B:$B,$B290)+ SUMIF('Cutters Consumption Updates'!$AS:$AS,$B290,'Cutters Consumption Updates'!AV:AV)</f>
        <v>0</v>
      </c>
      <c r="L290" s="738">
        <f>SUMIFS('Cutters Consumption Updates'!$F:$F,'Cutters Consumption Updates'!$D:$D,L$1,'Cutters Consumption Updates'!$B:$B,$B290)-SUMIFS('Cutters Consumption Updates'!$E:$E,'Cutters Consumption Updates'!$D:$D,L$1,'Cutters Consumption Updates'!$B:$B,$B290)+ SUMIF('Cutters Consumption Updates'!$AS:$AS,$B290,'Cutters Consumption Updates'!AW:AW)</f>
        <v>0</v>
      </c>
      <c r="M290" s="116">
        <f>SUMIFS('Cutters Consumption Updates'!$F:$F,'Cutters Consumption Updates'!$D:$D,M$1,'Cutters Consumption Updates'!$B:$B,$B290)-SUMIFS('Cutters Consumption Updates'!$E:$E,'Cutters Consumption Updates'!$D:$D,$M$1,'Cutters Consumption Updates'!$B:$B,$B290)+SUMIFS('Cutters Consumption Updates'!$F:$F,'Cutters Consumption Updates'!$D:$D,"Retrofit",'Cutters Consumption Updates'!$B:$B,$B290)-SUMIFS('Cutters Consumption Updates'!$E:$E,'Cutters Consumption Updates'!$D:$D,"Retrofit",'Cutters Consumption Updates'!$B:$B,$B290)+ SUMIF('Cutters Consumption Updates'!$AS:$AS,$B290,'Cutters Consumption Updates'!AX:AX)</f>
        <v>13</v>
      </c>
      <c r="N290" s="10">
        <f t="shared" si="48"/>
        <v>13</v>
      </c>
      <c r="O290" s="701">
        <f ca="1">SUMIFS('Cutters Consumption Updates'!E:E,
        'Cutters Consumption Updates'!B:B, B290,
        'Cutters Consumption Updates'!A:A, "&gt;" &amp; TODAY()-182)</f>
        <v>27</v>
      </c>
      <c r="P290" s="701">
        <f ca="1">SUMIFS('Cutters Consumption Updates'!E:E,
        'Cutters Consumption Updates'!B:B, B290,
        'Cutters Consumption Updates'!A:A, "&gt;" &amp; TODAY()-91)</f>
        <v>27</v>
      </c>
      <c r="Q290" s="40"/>
      <c r="R290" s="703">
        <f t="shared" si="50"/>
        <v>0</v>
      </c>
      <c r="S290" s="705" t="s">
        <v>64</v>
      </c>
      <c r="T290" s="24">
        <f>IFERROR(INDEX(Table5[],MATCH($B290,Table5[Component],0),2),0)</f>
        <v>0</v>
      </c>
      <c r="U290" s="24">
        <f>SUMIFS(Table7[Balance],Table7[Cutter Mat'#],$B290)</f>
        <v>0</v>
      </c>
      <c r="V290" s="24">
        <f t="shared" si="51"/>
        <v>13</v>
      </c>
      <c r="W290" s="119"/>
      <c r="X290" s="2"/>
      <c r="Z290" s="4">
        <f>IFERROR(INDEX(Table5[],MATCH($B290,Table5[Component],0),2),0)</f>
        <v>0</v>
      </c>
      <c r="AA290" s="4">
        <f>IFERROR(INDEX(Table5[],MATCH($B290,Table5[Component],0),1),0)</f>
        <v>0</v>
      </c>
      <c r="AB290" s="4" t="str">
        <f t="shared" si="52"/>
        <v/>
      </c>
      <c r="AC290" s="4" t="str">
        <f t="shared" si="53"/>
        <v/>
      </c>
      <c r="AE290" s="4">
        <f t="shared" si="54"/>
        <v>13</v>
      </c>
      <c r="AJ290" s="248" t="str">
        <f t="shared" si="55"/>
        <v/>
      </c>
      <c r="AK290" s="248" t="str">
        <f t="shared" si="56"/>
        <v/>
      </c>
      <c r="AL290">
        <f t="shared" si="57"/>
        <v>0</v>
      </c>
      <c r="AO290" s="4"/>
      <c r="AP290" s="4"/>
      <c r="AR290" s="4"/>
      <c r="AS290" s="4">
        <v>2008253</v>
      </c>
    </row>
    <row r="291" spans="1:45" ht="19.149999999999999" customHeight="1" x14ac:dyDescent="0.35">
      <c r="A291" s="250">
        <v>296</v>
      </c>
      <c r="B291" s="209">
        <v>1126404</v>
      </c>
      <c r="C291" s="3" t="s">
        <v>26</v>
      </c>
      <c r="D291" s="605">
        <v>1913</v>
      </c>
      <c r="E291" s="606" t="s">
        <v>133</v>
      </c>
      <c r="F291" s="292" t="s">
        <v>177</v>
      </c>
      <c r="G291" s="3"/>
      <c r="H291" s="13" t="s">
        <v>169</v>
      </c>
      <c r="I291" s="10">
        <f>SUMIFS('Cutters Consumption Updates'!$F:$F,'Cutters Consumption Updates'!$D:$D,I$1,'Cutters Consumption Updates'!$B:$B,$B291)-SUMIFS('Cutters Consumption Updates'!$E:$E,'Cutters Consumption Updates'!$D:$D,I$1,'Cutters Consumption Updates'!$B:$B,$B291)+ SUMIF('Cutters Consumption Updates'!$AS:$AS,$B291,'Cutters Consumption Updates'!AT:AT)</f>
        <v>0</v>
      </c>
      <c r="J291" s="10">
        <f>SUMIFS('Cutters Consumption Updates'!$F:$F,'Cutters Consumption Updates'!$D:$D,J$1,'Cutters Consumption Updates'!$B:$B,$B291)-SUMIFS('Cutters Consumption Updates'!$E:$E,'Cutters Consumption Updates'!$D:$D,J$1,'Cutters Consumption Updates'!$B:$B,$B291)+ SUMIF('Cutters Consumption Updates'!$AS:$AS,$B291,'Cutters Consumption Updates'!AU:AU)</f>
        <v>0</v>
      </c>
      <c r="K291" s="116">
        <f>SUMIFS('Cutters Consumption Updates'!$F:$F,'Cutters Consumption Updates'!$D:$D,K$1,'Cutters Consumption Updates'!$B:$B,$B291)-SUMIFS('Cutters Consumption Updates'!$E:$E,'Cutters Consumption Updates'!$D:$D,K$1,'Cutters Consumption Updates'!$B:$B,$B291)+ SUMIF('Cutters Consumption Updates'!$AS:$AS,$B291,'Cutters Consumption Updates'!AV:AV)</f>
        <v>0</v>
      </c>
      <c r="L291" s="738">
        <f>SUMIFS('Cutters Consumption Updates'!$F:$F,'Cutters Consumption Updates'!$D:$D,L$1,'Cutters Consumption Updates'!$B:$B,$B291)-SUMIFS('Cutters Consumption Updates'!$E:$E,'Cutters Consumption Updates'!$D:$D,L$1,'Cutters Consumption Updates'!$B:$B,$B291)+ SUMIF('Cutters Consumption Updates'!$AS:$AS,$B291,'Cutters Consumption Updates'!AW:AW)</f>
        <v>0</v>
      </c>
      <c r="M291" s="116">
        <f>SUMIFS('Cutters Consumption Updates'!$F:$F,'Cutters Consumption Updates'!$D:$D,M$1,'Cutters Consumption Updates'!$B:$B,$B291)-SUMIFS('Cutters Consumption Updates'!$E:$E,'Cutters Consumption Updates'!$D:$D,$M$1,'Cutters Consumption Updates'!$B:$B,$B291)+SUMIFS('Cutters Consumption Updates'!$F:$F,'Cutters Consumption Updates'!$D:$D,"Retrofit",'Cutters Consumption Updates'!$B:$B,$B291)-SUMIFS('Cutters Consumption Updates'!$E:$E,'Cutters Consumption Updates'!$D:$D,"Retrofit",'Cutters Consumption Updates'!$B:$B,$B291)+ SUMIF('Cutters Consumption Updates'!$AS:$AS,$B291,'Cutters Consumption Updates'!AX:AX)</f>
        <v>100</v>
      </c>
      <c r="N291" s="10">
        <f t="shared" si="48"/>
        <v>100</v>
      </c>
      <c r="O291" s="701">
        <f ca="1">SUMIFS('Cutters Consumption Updates'!E:E,
        'Cutters Consumption Updates'!B:B, B291,
        'Cutters Consumption Updates'!A:A, "&gt;" &amp; TODAY()-182)</f>
        <v>0</v>
      </c>
      <c r="P291" s="701">
        <f ca="1">SUMIFS('Cutters Consumption Updates'!E:E,
        'Cutters Consumption Updates'!B:B, B291,
        'Cutters Consumption Updates'!A:A, "&gt;" &amp; TODAY()-91)</f>
        <v>0</v>
      </c>
      <c r="Q291" s="40"/>
      <c r="R291" s="703">
        <f t="shared" si="50"/>
        <v>0</v>
      </c>
      <c r="S291" s="705" t="s">
        <v>63</v>
      </c>
      <c r="T291" s="24">
        <f>IFERROR(INDEX(Table5[],MATCH($B291,Table5[Component],0),2),0)</f>
        <v>390</v>
      </c>
      <c r="U291" s="24">
        <f>SUMIFS(Table7[Balance],Table7[Cutter Mat'#],$B291)</f>
        <v>0</v>
      </c>
      <c r="V291" s="24">
        <f t="shared" si="51"/>
        <v>-290</v>
      </c>
      <c r="W291" s="119"/>
      <c r="X291" s="2"/>
      <c r="Z291" s="4">
        <f>IFERROR(INDEX(Table5[],MATCH($B291,Table5[Component],0),2),0)</f>
        <v>390</v>
      </c>
      <c r="AA291" s="4">
        <f>IFERROR(INDEX(Table5[],MATCH($B291,Table5[Component],0),1),0)</f>
        <v>1126404</v>
      </c>
      <c r="AB291" s="4">
        <f t="shared" si="52"/>
        <v>1126404</v>
      </c>
      <c r="AC291" s="4" t="str">
        <f t="shared" si="53"/>
        <v/>
      </c>
      <c r="AE291" s="4">
        <f t="shared" si="54"/>
        <v>100</v>
      </c>
      <c r="AJ291" s="248" t="str">
        <f t="shared" si="55"/>
        <v/>
      </c>
      <c r="AK291" s="248" t="str">
        <f t="shared" si="56"/>
        <v/>
      </c>
      <c r="AL291">
        <f t="shared" si="57"/>
        <v>0</v>
      </c>
      <c r="AO291" s="4"/>
      <c r="AP291" s="4"/>
      <c r="AR291" s="4"/>
      <c r="AS291" s="4">
        <v>2013427</v>
      </c>
    </row>
    <row r="292" spans="1:45" ht="19.149999999999999" customHeight="1" x14ac:dyDescent="0.35">
      <c r="A292" s="250">
        <v>297</v>
      </c>
      <c r="B292" s="209">
        <v>1220334</v>
      </c>
      <c r="C292" s="3" t="s">
        <v>122</v>
      </c>
      <c r="D292" s="605">
        <v>1313</v>
      </c>
      <c r="E292" s="606" t="s">
        <v>244</v>
      </c>
      <c r="F292" s="292" t="s">
        <v>248</v>
      </c>
      <c r="G292" s="3"/>
      <c r="H292" s="13" t="s">
        <v>49</v>
      </c>
      <c r="I292" s="10">
        <f>SUMIFS('Cutters Consumption Updates'!$F:$F,'Cutters Consumption Updates'!$D:$D,I$1,'Cutters Consumption Updates'!$B:$B,$B292)-SUMIFS('Cutters Consumption Updates'!$E:$E,'Cutters Consumption Updates'!$D:$D,I$1,'Cutters Consumption Updates'!$B:$B,$B292)+ SUMIF('Cutters Consumption Updates'!$AS:$AS,$B292,'Cutters Consumption Updates'!AT:AT)</f>
        <v>0</v>
      </c>
      <c r="J292" s="10">
        <f>SUMIFS('Cutters Consumption Updates'!$F:$F,'Cutters Consumption Updates'!$D:$D,J$1,'Cutters Consumption Updates'!$B:$B,$B292)-SUMIFS('Cutters Consumption Updates'!$E:$E,'Cutters Consumption Updates'!$D:$D,J$1,'Cutters Consumption Updates'!$B:$B,$B292)+ SUMIF('Cutters Consumption Updates'!$AS:$AS,$B292,'Cutters Consumption Updates'!AU:AU)</f>
        <v>0</v>
      </c>
      <c r="K292" s="116">
        <f>SUMIFS('Cutters Consumption Updates'!$F:$F,'Cutters Consumption Updates'!$D:$D,K$1,'Cutters Consumption Updates'!$B:$B,$B292)-SUMIFS('Cutters Consumption Updates'!$E:$E,'Cutters Consumption Updates'!$D:$D,K$1,'Cutters Consumption Updates'!$B:$B,$B292)+ SUMIF('Cutters Consumption Updates'!$AS:$AS,$B292,'Cutters Consumption Updates'!AV:AV)</f>
        <v>0</v>
      </c>
      <c r="L292" s="738">
        <f>SUMIFS('Cutters Consumption Updates'!$F:$F,'Cutters Consumption Updates'!$D:$D,L$1,'Cutters Consumption Updates'!$B:$B,$B292)-SUMIFS('Cutters Consumption Updates'!$E:$E,'Cutters Consumption Updates'!$D:$D,L$1,'Cutters Consumption Updates'!$B:$B,$B292)+ SUMIF('Cutters Consumption Updates'!$AS:$AS,$B292,'Cutters Consumption Updates'!AW:AW)</f>
        <v>0</v>
      </c>
      <c r="M292" s="116">
        <f>SUMIFS('Cutters Consumption Updates'!$F:$F,'Cutters Consumption Updates'!$D:$D,M$1,'Cutters Consumption Updates'!$B:$B,$B292)-SUMIFS('Cutters Consumption Updates'!$E:$E,'Cutters Consumption Updates'!$D:$D,$M$1,'Cutters Consumption Updates'!$B:$B,$B292)+SUMIFS('Cutters Consumption Updates'!$F:$F,'Cutters Consumption Updates'!$D:$D,"Retrofit",'Cutters Consumption Updates'!$B:$B,$B292)-SUMIFS('Cutters Consumption Updates'!$E:$E,'Cutters Consumption Updates'!$D:$D,"Retrofit",'Cutters Consumption Updates'!$B:$B,$B292)+ SUMIF('Cutters Consumption Updates'!$AS:$AS,$B292,'Cutters Consumption Updates'!AX:AX)</f>
        <v>-5</v>
      </c>
      <c r="N292" s="10">
        <f t="shared" si="48"/>
        <v>-5</v>
      </c>
      <c r="O292" s="701">
        <f ca="1">SUMIFS('Cutters Consumption Updates'!E:E,
        'Cutters Consumption Updates'!B:B, B292,
        'Cutters Consumption Updates'!A:A, "&gt;" &amp; TODAY()-182)</f>
        <v>5</v>
      </c>
      <c r="P292" s="701">
        <f ca="1">SUMIFS('Cutters Consumption Updates'!E:E,
        'Cutters Consumption Updates'!B:B, B292,
        'Cutters Consumption Updates'!A:A, "&gt;" &amp; TODAY()-91)</f>
        <v>5</v>
      </c>
      <c r="Q292" s="40"/>
      <c r="R292" s="703">
        <f t="shared" si="50"/>
        <v>0</v>
      </c>
      <c r="S292" s="705"/>
      <c r="T292" s="24">
        <f>IFERROR(INDEX(Table5[],MATCH($B292,Table5[Component],0),2),0)</f>
        <v>0</v>
      </c>
      <c r="U292" s="24">
        <f>SUMIFS(Table7[Balance],Table7[Cutter Mat'#],$B292)</f>
        <v>5</v>
      </c>
      <c r="V292" s="24">
        <f t="shared" si="51"/>
        <v>0</v>
      </c>
      <c r="W292" s="119"/>
      <c r="X292" s="2"/>
      <c r="Z292" s="4">
        <f>IFERROR(INDEX(Table5[],MATCH($B292,Table5[Component],0),2),0)</f>
        <v>0</v>
      </c>
      <c r="AA292" s="4">
        <f>IFERROR(INDEX(Table5[],MATCH($B292,Table5[Component],0),1),0)</f>
        <v>0</v>
      </c>
      <c r="AB292" s="4" t="str">
        <f t="shared" si="52"/>
        <v/>
      </c>
      <c r="AC292" s="4" t="str">
        <f t="shared" si="53"/>
        <v/>
      </c>
      <c r="AE292" s="4">
        <f t="shared" si="54"/>
        <v>-5</v>
      </c>
      <c r="AJ292" s="248" t="str">
        <f t="shared" si="55"/>
        <v/>
      </c>
      <c r="AK292" s="248" t="str">
        <f t="shared" si="56"/>
        <v/>
      </c>
      <c r="AL292">
        <f t="shared" si="57"/>
        <v>0</v>
      </c>
      <c r="AO292" s="4"/>
      <c r="AP292" s="4"/>
      <c r="AR292" s="4"/>
      <c r="AS292" s="4">
        <v>2013726</v>
      </c>
    </row>
    <row r="293" spans="1:45" ht="19.149999999999999" customHeight="1" x14ac:dyDescent="0.35">
      <c r="A293" s="250">
        <v>298</v>
      </c>
      <c r="B293" s="209">
        <v>2024642</v>
      </c>
      <c r="C293" s="3" t="s">
        <v>26</v>
      </c>
      <c r="D293" s="605">
        <v>1613</v>
      </c>
      <c r="E293" s="606" t="s">
        <v>249</v>
      </c>
      <c r="F293" s="292" t="s">
        <v>177</v>
      </c>
      <c r="G293" s="3"/>
      <c r="H293" s="13" t="s">
        <v>161</v>
      </c>
      <c r="I293" s="10">
        <f>SUMIFS('Cutters Consumption Updates'!$F:$F,'Cutters Consumption Updates'!$D:$D,I$1,'Cutters Consumption Updates'!$B:$B,$B293)-SUMIFS('Cutters Consumption Updates'!$E:$E,'Cutters Consumption Updates'!$D:$D,I$1,'Cutters Consumption Updates'!$B:$B,$B293)+ SUMIF('Cutters Consumption Updates'!$AS:$AS,$B293,'Cutters Consumption Updates'!AT:AT)</f>
        <v>0</v>
      </c>
      <c r="J293" s="10">
        <f>SUMIFS('Cutters Consumption Updates'!$F:$F,'Cutters Consumption Updates'!$D:$D,J$1,'Cutters Consumption Updates'!$B:$B,$B293)-SUMIFS('Cutters Consumption Updates'!$E:$E,'Cutters Consumption Updates'!$D:$D,J$1,'Cutters Consumption Updates'!$B:$B,$B293)+ SUMIF('Cutters Consumption Updates'!$AS:$AS,$B293,'Cutters Consumption Updates'!AU:AU)</f>
        <v>0</v>
      </c>
      <c r="K293" s="116">
        <f>SUMIFS('Cutters Consumption Updates'!$F:$F,'Cutters Consumption Updates'!$D:$D,K$1,'Cutters Consumption Updates'!$B:$B,$B293)-SUMIFS('Cutters Consumption Updates'!$E:$E,'Cutters Consumption Updates'!$D:$D,K$1,'Cutters Consumption Updates'!$B:$B,$B293)+ SUMIF('Cutters Consumption Updates'!$AS:$AS,$B293,'Cutters Consumption Updates'!AV:AV)</f>
        <v>0</v>
      </c>
      <c r="L293" s="738">
        <f>SUMIFS('Cutters Consumption Updates'!$F:$F,'Cutters Consumption Updates'!$D:$D,L$1,'Cutters Consumption Updates'!$B:$B,$B293)-SUMIFS('Cutters Consumption Updates'!$E:$E,'Cutters Consumption Updates'!$D:$D,L$1,'Cutters Consumption Updates'!$B:$B,$B293)+ SUMIF('Cutters Consumption Updates'!$AS:$AS,$B293,'Cutters Consumption Updates'!AW:AW)</f>
        <v>0</v>
      </c>
      <c r="M293" s="116">
        <f>SUMIFS('Cutters Consumption Updates'!$F:$F,'Cutters Consumption Updates'!$D:$D,M$1,'Cutters Consumption Updates'!$B:$B,$B293)-SUMIFS('Cutters Consumption Updates'!$E:$E,'Cutters Consumption Updates'!$D:$D,$M$1,'Cutters Consumption Updates'!$B:$B,$B293)+SUMIFS('Cutters Consumption Updates'!$F:$F,'Cutters Consumption Updates'!$D:$D,"Retrofit",'Cutters Consumption Updates'!$B:$B,$B293)-SUMIFS('Cutters Consumption Updates'!$E:$E,'Cutters Consumption Updates'!$D:$D,"Retrofit",'Cutters Consumption Updates'!$B:$B,$B293)+ SUMIF('Cutters Consumption Updates'!$AS:$AS,$B293,'Cutters Consumption Updates'!AX:AX)</f>
        <v>-31</v>
      </c>
      <c r="N293" s="10">
        <f t="shared" si="48"/>
        <v>-31</v>
      </c>
      <c r="O293" s="701">
        <f ca="1">SUMIFS('Cutters Consumption Updates'!E:E,
        'Cutters Consumption Updates'!B:B, B293,
        'Cutters Consumption Updates'!A:A, "&gt;" &amp; TODAY()-182)</f>
        <v>86</v>
      </c>
      <c r="P293" s="701">
        <f ca="1">SUMIFS('Cutters Consumption Updates'!E:E,
        'Cutters Consumption Updates'!B:B, B293,
        'Cutters Consumption Updates'!A:A, "&gt;" &amp; TODAY()-91)</f>
        <v>86</v>
      </c>
      <c r="Q293" s="40"/>
      <c r="R293" s="703">
        <f t="shared" si="50"/>
        <v>0</v>
      </c>
      <c r="S293" s="705"/>
      <c r="T293" s="24">
        <f>IFERROR(INDEX(Table5[],MATCH($B293,Table5[Component],0),2),0)</f>
        <v>38</v>
      </c>
      <c r="U293" s="24">
        <f>SUMIFS(Table7[Balance],Table7[Cutter Mat'#],$B293)</f>
        <v>50</v>
      </c>
      <c r="V293" s="24">
        <f t="shared" si="51"/>
        <v>-19</v>
      </c>
      <c r="W293" s="119"/>
      <c r="X293" s="2"/>
      <c r="Z293" s="4">
        <f>IFERROR(INDEX(Table5[],MATCH($B293,Table5[Component],0),2),0)</f>
        <v>38</v>
      </c>
      <c r="AA293" s="4">
        <f>IFERROR(INDEX(Table5[],MATCH($B293,Table5[Component],0),1),0)</f>
        <v>2024642</v>
      </c>
      <c r="AB293" s="4">
        <f t="shared" si="52"/>
        <v>2024642</v>
      </c>
      <c r="AC293" s="4" t="str">
        <f t="shared" si="53"/>
        <v/>
      </c>
      <c r="AE293" s="4">
        <f t="shared" si="54"/>
        <v>-31</v>
      </c>
      <c r="AJ293" s="248" t="str">
        <f t="shared" si="55"/>
        <v/>
      </c>
      <c r="AK293" s="248" t="str">
        <f t="shared" si="56"/>
        <v/>
      </c>
      <c r="AL293">
        <f t="shared" si="57"/>
        <v>0</v>
      </c>
      <c r="AO293" s="4"/>
      <c r="AP293" s="4"/>
      <c r="AR293" s="4"/>
      <c r="AS293" s="4">
        <v>2017131</v>
      </c>
    </row>
    <row r="294" spans="1:45" ht="19.149999999999999" customHeight="1" x14ac:dyDescent="0.35">
      <c r="A294" s="250">
        <v>299</v>
      </c>
      <c r="B294" s="209">
        <v>1244960</v>
      </c>
      <c r="C294" s="3" t="s">
        <v>26</v>
      </c>
      <c r="D294" s="605">
        <v>1613</v>
      </c>
      <c r="E294" s="606" t="s">
        <v>250</v>
      </c>
      <c r="F294" s="292" t="s">
        <v>170</v>
      </c>
      <c r="G294" s="3"/>
      <c r="H294" s="13" t="s">
        <v>49</v>
      </c>
      <c r="I294" s="10">
        <f>SUMIFS('Cutters Consumption Updates'!$F:$F,'Cutters Consumption Updates'!$D:$D,I$1,'Cutters Consumption Updates'!$B:$B,$B294)-SUMIFS('Cutters Consumption Updates'!$E:$E,'Cutters Consumption Updates'!$D:$D,I$1,'Cutters Consumption Updates'!$B:$B,$B294)+ SUMIF('Cutters Consumption Updates'!$AS:$AS,$B294,'Cutters Consumption Updates'!AT:AT)</f>
        <v>0</v>
      </c>
      <c r="J294" s="10">
        <f>SUMIFS('Cutters Consumption Updates'!$F:$F,'Cutters Consumption Updates'!$D:$D,J$1,'Cutters Consumption Updates'!$B:$B,$B294)-SUMIFS('Cutters Consumption Updates'!$E:$E,'Cutters Consumption Updates'!$D:$D,J$1,'Cutters Consumption Updates'!$B:$B,$B294)+ SUMIF('Cutters Consumption Updates'!$AS:$AS,$B294,'Cutters Consumption Updates'!AU:AU)</f>
        <v>0</v>
      </c>
      <c r="K294" s="116">
        <f>SUMIFS('Cutters Consumption Updates'!$F:$F,'Cutters Consumption Updates'!$D:$D,K$1,'Cutters Consumption Updates'!$B:$B,$B294)-SUMIFS('Cutters Consumption Updates'!$E:$E,'Cutters Consumption Updates'!$D:$D,K$1,'Cutters Consumption Updates'!$B:$B,$B294)+ SUMIF('Cutters Consumption Updates'!$AS:$AS,$B294,'Cutters Consumption Updates'!AV:AV)</f>
        <v>0</v>
      </c>
      <c r="L294" s="738">
        <f>SUMIFS('Cutters Consumption Updates'!$F:$F,'Cutters Consumption Updates'!$D:$D,L$1,'Cutters Consumption Updates'!$B:$B,$B294)-SUMIFS('Cutters Consumption Updates'!$E:$E,'Cutters Consumption Updates'!$D:$D,L$1,'Cutters Consumption Updates'!$B:$B,$B294)+ SUMIF('Cutters Consumption Updates'!$AS:$AS,$B294,'Cutters Consumption Updates'!AW:AW)</f>
        <v>0</v>
      </c>
      <c r="M294" s="116">
        <f>SUMIFS('Cutters Consumption Updates'!$F:$F,'Cutters Consumption Updates'!$D:$D,M$1,'Cutters Consumption Updates'!$B:$B,$B294)-SUMIFS('Cutters Consumption Updates'!$E:$E,'Cutters Consumption Updates'!$D:$D,$M$1,'Cutters Consumption Updates'!$B:$B,$B294)+SUMIFS('Cutters Consumption Updates'!$F:$F,'Cutters Consumption Updates'!$D:$D,"Retrofit",'Cutters Consumption Updates'!$B:$B,$B294)-SUMIFS('Cutters Consumption Updates'!$E:$E,'Cutters Consumption Updates'!$D:$D,"Retrofit",'Cutters Consumption Updates'!$B:$B,$B294)+ SUMIF('Cutters Consumption Updates'!$AS:$AS,$B294,'Cutters Consumption Updates'!AX:AX)</f>
        <v>25</v>
      </c>
      <c r="N294" s="10">
        <f t="shared" si="48"/>
        <v>25</v>
      </c>
      <c r="O294" s="701">
        <f ca="1">SUMIFS('Cutters Consumption Updates'!E:E,
        'Cutters Consumption Updates'!B:B, B294,
        'Cutters Consumption Updates'!A:A, "&gt;" &amp; TODAY()-182)</f>
        <v>0</v>
      </c>
      <c r="P294" s="701">
        <f ca="1">SUMIFS('Cutters Consumption Updates'!E:E,
        'Cutters Consumption Updates'!B:B, B294,
        'Cutters Consumption Updates'!A:A, "&gt;" &amp; TODAY()-91)</f>
        <v>0</v>
      </c>
      <c r="Q294" s="40"/>
      <c r="R294" s="703">
        <f t="shared" si="50"/>
        <v>0</v>
      </c>
      <c r="S294" s="705"/>
      <c r="T294" s="24">
        <f>IFERROR(INDEX(Table5[],MATCH($B294,Table5[Component],0),2),0)</f>
        <v>0</v>
      </c>
      <c r="U294" s="24">
        <f>SUMIFS(Table7[Balance],Table7[Cutter Mat'#],$B294)</f>
        <v>0</v>
      </c>
      <c r="V294" s="24">
        <f t="shared" si="51"/>
        <v>25</v>
      </c>
      <c r="W294" s="119"/>
      <c r="X294" s="2"/>
      <c r="Z294" s="4">
        <f>IFERROR(INDEX(Table5[],MATCH($B294,Table5[Component],0),2),0)</f>
        <v>0</v>
      </c>
      <c r="AA294" s="4">
        <f>IFERROR(INDEX(Table5[],MATCH($B294,Table5[Component],0),1),0)</f>
        <v>0</v>
      </c>
      <c r="AB294" s="4" t="str">
        <f t="shared" si="52"/>
        <v/>
      </c>
      <c r="AC294" s="4" t="str">
        <f t="shared" si="53"/>
        <v/>
      </c>
      <c r="AE294" s="4">
        <f t="shared" si="54"/>
        <v>25</v>
      </c>
      <c r="AJ294" s="248" t="str">
        <f t="shared" si="55"/>
        <v/>
      </c>
      <c r="AK294" s="248" t="str">
        <f t="shared" si="56"/>
        <v/>
      </c>
      <c r="AL294">
        <f t="shared" si="57"/>
        <v>0</v>
      </c>
      <c r="AO294" s="4"/>
      <c r="AP294" s="4"/>
      <c r="AR294" s="4"/>
      <c r="AS294" s="4">
        <v>2020817</v>
      </c>
    </row>
    <row r="295" spans="1:45" ht="19.149999999999999" customHeight="1" x14ac:dyDescent="0.35">
      <c r="A295" s="250">
        <v>300</v>
      </c>
      <c r="B295" s="209">
        <v>2028302</v>
      </c>
      <c r="C295" s="3" t="s">
        <v>26</v>
      </c>
      <c r="D295" s="605">
        <v>1313</v>
      </c>
      <c r="E295" s="606" t="s">
        <v>251</v>
      </c>
      <c r="F295" s="292" t="s">
        <v>170</v>
      </c>
      <c r="G295" s="3"/>
      <c r="H295" s="13" t="s">
        <v>146</v>
      </c>
      <c r="I295" s="10">
        <f>SUMIFS('Cutters Consumption Updates'!$F:$F,'Cutters Consumption Updates'!$D:$D,I$1,'Cutters Consumption Updates'!$B:$B,$B295)-SUMIFS('Cutters Consumption Updates'!$E:$E,'Cutters Consumption Updates'!$D:$D,I$1,'Cutters Consumption Updates'!$B:$B,$B295)+ SUMIF('Cutters Consumption Updates'!$AS:$AS,$B295,'Cutters Consumption Updates'!AT:AT)</f>
        <v>0</v>
      </c>
      <c r="J295" s="10">
        <f>SUMIFS('Cutters Consumption Updates'!$F:$F,'Cutters Consumption Updates'!$D:$D,J$1,'Cutters Consumption Updates'!$B:$B,$B295)-SUMIFS('Cutters Consumption Updates'!$E:$E,'Cutters Consumption Updates'!$D:$D,J$1,'Cutters Consumption Updates'!$B:$B,$B295)+ SUMIF('Cutters Consumption Updates'!$AS:$AS,$B295,'Cutters Consumption Updates'!AU:AU)</f>
        <v>0</v>
      </c>
      <c r="K295" s="116">
        <f>SUMIFS('Cutters Consumption Updates'!$F:$F,'Cutters Consumption Updates'!$D:$D,K$1,'Cutters Consumption Updates'!$B:$B,$B295)-SUMIFS('Cutters Consumption Updates'!$E:$E,'Cutters Consumption Updates'!$D:$D,K$1,'Cutters Consumption Updates'!$B:$B,$B295)+ SUMIF('Cutters Consumption Updates'!$AS:$AS,$B295,'Cutters Consumption Updates'!AV:AV)</f>
        <v>0</v>
      </c>
      <c r="L295" s="738">
        <f>SUMIFS('Cutters Consumption Updates'!$F:$F,'Cutters Consumption Updates'!$D:$D,L$1,'Cutters Consumption Updates'!$B:$B,$B295)-SUMIFS('Cutters Consumption Updates'!$E:$E,'Cutters Consumption Updates'!$D:$D,L$1,'Cutters Consumption Updates'!$B:$B,$B295)+ SUMIF('Cutters Consumption Updates'!$AS:$AS,$B295,'Cutters Consumption Updates'!AW:AW)</f>
        <v>0</v>
      </c>
      <c r="M295" s="116">
        <f>SUMIFS('Cutters Consumption Updates'!$F:$F,'Cutters Consumption Updates'!$D:$D,M$1,'Cutters Consumption Updates'!$B:$B,$B295)-SUMIFS('Cutters Consumption Updates'!$E:$E,'Cutters Consumption Updates'!$D:$D,$M$1,'Cutters Consumption Updates'!$B:$B,$B295)+SUMIFS('Cutters Consumption Updates'!$F:$F,'Cutters Consumption Updates'!$D:$D,"Retrofit",'Cutters Consumption Updates'!$B:$B,$B295)-SUMIFS('Cutters Consumption Updates'!$E:$E,'Cutters Consumption Updates'!$D:$D,"Retrofit",'Cutters Consumption Updates'!$B:$B,$B295)+ SUMIF('Cutters Consumption Updates'!$AS:$AS,$B295,'Cutters Consumption Updates'!AX:AX)</f>
        <v>25</v>
      </c>
      <c r="N295" s="10">
        <f t="shared" si="48"/>
        <v>25</v>
      </c>
      <c r="O295" s="701">
        <f ca="1">SUMIFS('Cutters Consumption Updates'!E:E,
        'Cutters Consumption Updates'!B:B, B295,
        'Cutters Consumption Updates'!A:A, "&gt;" &amp; TODAY()-182)</f>
        <v>0</v>
      </c>
      <c r="P295" s="701">
        <f ca="1">SUMIFS('Cutters Consumption Updates'!E:E,
        'Cutters Consumption Updates'!B:B, B295,
        'Cutters Consumption Updates'!A:A, "&gt;" &amp; TODAY()-91)</f>
        <v>0</v>
      </c>
      <c r="Q295" s="40"/>
      <c r="R295" s="703">
        <f t="shared" si="50"/>
        <v>0</v>
      </c>
      <c r="S295" s="705"/>
      <c r="T295" s="24">
        <f>IFERROR(INDEX(Table5[],MATCH($B295,Table5[Component],0),2),0)</f>
        <v>0</v>
      </c>
      <c r="U295" s="24">
        <f>SUMIFS(Table7[Balance],Table7[Cutter Mat'#],$B295)</f>
        <v>0</v>
      </c>
      <c r="V295" s="24">
        <f t="shared" si="51"/>
        <v>25</v>
      </c>
      <c r="W295" s="119"/>
      <c r="X295" s="2"/>
      <c r="Z295" s="4">
        <f>IFERROR(INDEX(Table5[],MATCH($B295,Table5[Component],0),2),0)</f>
        <v>0</v>
      </c>
      <c r="AA295" s="4">
        <f>IFERROR(INDEX(Table5[],MATCH($B295,Table5[Component],0),1),0)</f>
        <v>0</v>
      </c>
      <c r="AB295" s="4" t="str">
        <f t="shared" si="52"/>
        <v/>
      </c>
      <c r="AC295" s="4" t="str">
        <f t="shared" si="53"/>
        <v/>
      </c>
      <c r="AE295" s="4">
        <f t="shared" si="54"/>
        <v>25</v>
      </c>
      <c r="AJ295" s="248" t="str">
        <f t="shared" si="55"/>
        <v/>
      </c>
      <c r="AK295" s="248" t="str">
        <f t="shared" si="56"/>
        <v/>
      </c>
      <c r="AL295">
        <f t="shared" si="57"/>
        <v>0</v>
      </c>
      <c r="AO295" s="4"/>
      <c r="AP295" s="4"/>
      <c r="AR295" s="4"/>
      <c r="AS295" s="4">
        <v>2022731</v>
      </c>
    </row>
    <row r="296" spans="1:45" ht="19.149999999999999" customHeight="1" x14ac:dyDescent="0.35">
      <c r="A296" s="250">
        <v>301</v>
      </c>
      <c r="B296" s="209">
        <v>2028303</v>
      </c>
      <c r="C296" s="3" t="s">
        <v>26</v>
      </c>
      <c r="D296" s="605">
        <v>1613</v>
      </c>
      <c r="E296" s="606" t="s">
        <v>251</v>
      </c>
      <c r="F296" s="292" t="s">
        <v>170</v>
      </c>
      <c r="G296" s="3"/>
      <c r="H296" s="13" t="s">
        <v>146</v>
      </c>
      <c r="I296" s="10">
        <f>SUMIFS('Cutters Consumption Updates'!$F:$F,'Cutters Consumption Updates'!$D:$D,I$1,'Cutters Consumption Updates'!$B:$B,$B296)-SUMIFS('Cutters Consumption Updates'!$E:$E,'Cutters Consumption Updates'!$D:$D,I$1,'Cutters Consumption Updates'!$B:$B,$B296)+ SUMIF('Cutters Consumption Updates'!$AS:$AS,$B296,'Cutters Consumption Updates'!AT:AT)</f>
        <v>0</v>
      </c>
      <c r="J296" s="10">
        <f>SUMIFS('Cutters Consumption Updates'!$F:$F,'Cutters Consumption Updates'!$D:$D,J$1,'Cutters Consumption Updates'!$B:$B,$B296)-SUMIFS('Cutters Consumption Updates'!$E:$E,'Cutters Consumption Updates'!$D:$D,J$1,'Cutters Consumption Updates'!$B:$B,$B296)+ SUMIF('Cutters Consumption Updates'!$AS:$AS,$B296,'Cutters Consumption Updates'!AU:AU)</f>
        <v>0</v>
      </c>
      <c r="K296" s="116">
        <f>SUMIFS('Cutters Consumption Updates'!$F:$F,'Cutters Consumption Updates'!$D:$D,K$1,'Cutters Consumption Updates'!$B:$B,$B296)-SUMIFS('Cutters Consumption Updates'!$E:$E,'Cutters Consumption Updates'!$D:$D,K$1,'Cutters Consumption Updates'!$B:$B,$B296)+ SUMIF('Cutters Consumption Updates'!$AS:$AS,$B296,'Cutters Consumption Updates'!AV:AV)</f>
        <v>0</v>
      </c>
      <c r="L296" s="738">
        <f>SUMIFS('Cutters Consumption Updates'!$F:$F,'Cutters Consumption Updates'!$D:$D,L$1,'Cutters Consumption Updates'!$B:$B,$B296)-SUMIFS('Cutters Consumption Updates'!$E:$E,'Cutters Consumption Updates'!$D:$D,L$1,'Cutters Consumption Updates'!$B:$B,$B296)+ SUMIF('Cutters Consumption Updates'!$AS:$AS,$B296,'Cutters Consumption Updates'!AW:AW)</f>
        <v>0</v>
      </c>
      <c r="M296" s="116">
        <f>SUMIFS('Cutters Consumption Updates'!$F:$F,'Cutters Consumption Updates'!$D:$D,M$1,'Cutters Consumption Updates'!$B:$B,$B296)-SUMIFS('Cutters Consumption Updates'!$E:$E,'Cutters Consumption Updates'!$D:$D,$M$1,'Cutters Consumption Updates'!$B:$B,$B296)+SUMIFS('Cutters Consumption Updates'!$F:$F,'Cutters Consumption Updates'!$D:$D,"Retrofit",'Cutters Consumption Updates'!$B:$B,$B296)-SUMIFS('Cutters Consumption Updates'!$E:$E,'Cutters Consumption Updates'!$D:$D,"Retrofit",'Cutters Consumption Updates'!$B:$B,$B296)+ SUMIF('Cutters Consumption Updates'!$AS:$AS,$B296,'Cutters Consumption Updates'!AX:AX)</f>
        <v>48</v>
      </c>
      <c r="N296" s="10">
        <f t="shared" si="48"/>
        <v>48</v>
      </c>
      <c r="O296" s="701">
        <f ca="1">SUMIFS('Cutters Consumption Updates'!E:E,
        'Cutters Consumption Updates'!B:B, B296,
        'Cutters Consumption Updates'!A:A, "&gt;" &amp; TODAY()-182)</f>
        <v>12</v>
      </c>
      <c r="P296" s="701">
        <f ca="1">SUMIFS('Cutters Consumption Updates'!E:E,
        'Cutters Consumption Updates'!B:B, B296,
        'Cutters Consumption Updates'!A:A, "&gt;" &amp; TODAY()-91)</f>
        <v>12</v>
      </c>
      <c r="Q296" s="40"/>
      <c r="R296" s="703">
        <f t="shared" si="50"/>
        <v>0</v>
      </c>
      <c r="S296" s="705"/>
      <c r="T296" s="24">
        <f>IFERROR(INDEX(Table5[],MATCH($B296,Table5[Component],0),2),0)</f>
        <v>0</v>
      </c>
      <c r="U296" s="24">
        <f>SUMIFS(Table7[Balance],Table7[Cutter Mat'#],$B296)</f>
        <v>-30</v>
      </c>
      <c r="V296" s="24">
        <f t="shared" si="51"/>
        <v>18</v>
      </c>
      <c r="W296" s="119"/>
      <c r="X296" s="2"/>
      <c r="Z296" s="4">
        <f>IFERROR(INDEX(Table5[],MATCH($B296,Table5[Component],0),2),0)</f>
        <v>0</v>
      </c>
      <c r="AA296" s="4">
        <f>IFERROR(INDEX(Table5[],MATCH($B296,Table5[Component],0),1),0)</f>
        <v>0</v>
      </c>
      <c r="AB296" s="4" t="str">
        <f t="shared" si="52"/>
        <v/>
      </c>
      <c r="AC296" s="4" t="str">
        <f t="shared" si="53"/>
        <v/>
      </c>
      <c r="AE296" s="4">
        <f t="shared" si="54"/>
        <v>48</v>
      </c>
      <c r="AJ296" s="248" t="str">
        <f t="shared" si="55"/>
        <v/>
      </c>
      <c r="AK296" s="248" t="str">
        <f t="shared" si="56"/>
        <v/>
      </c>
      <c r="AL296">
        <f t="shared" si="57"/>
        <v>0</v>
      </c>
      <c r="AO296" s="4"/>
      <c r="AP296" s="4"/>
      <c r="AR296" s="4"/>
      <c r="AS296" s="4">
        <v>2023242</v>
      </c>
    </row>
    <row r="297" spans="1:45" ht="19.149999999999999" customHeight="1" x14ac:dyDescent="0.35">
      <c r="A297" s="250">
        <v>302</v>
      </c>
      <c r="B297" s="209">
        <v>2023674</v>
      </c>
      <c r="C297" s="3" t="s">
        <v>26</v>
      </c>
      <c r="D297" s="605">
        <v>1313</v>
      </c>
      <c r="E297" s="606" t="s">
        <v>250</v>
      </c>
      <c r="F297" s="292" t="s">
        <v>177</v>
      </c>
      <c r="G297" s="3"/>
      <c r="H297" s="13" t="s">
        <v>49</v>
      </c>
      <c r="I297" s="10">
        <f>SUMIFS('Cutters Consumption Updates'!$F:$F,'Cutters Consumption Updates'!$D:$D,I$1,'Cutters Consumption Updates'!$B:$B,$B297)-SUMIFS('Cutters Consumption Updates'!$E:$E,'Cutters Consumption Updates'!$D:$D,I$1,'Cutters Consumption Updates'!$B:$B,$B297)+ SUMIF('Cutters Consumption Updates'!$AS:$AS,$B297,'Cutters Consumption Updates'!AT:AT)</f>
        <v>0</v>
      </c>
      <c r="J297" s="10">
        <f>SUMIFS('Cutters Consumption Updates'!$F:$F,'Cutters Consumption Updates'!$D:$D,J$1,'Cutters Consumption Updates'!$B:$B,$B297)-SUMIFS('Cutters Consumption Updates'!$E:$E,'Cutters Consumption Updates'!$D:$D,J$1,'Cutters Consumption Updates'!$B:$B,$B297)+ SUMIF('Cutters Consumption Updates'!$AS:$AS,$B297,'Cutters Consumption Updates'!AU:AU)</f>
        <v>0</v>
      </c>
      <c r="K297" s="116">
        <f>SUMIFS('Cutters Consumption Updates'!$F:$F,'Cutters Consumption Updates'!$D:$D,K$1,'Cutters Consumption Updates'!$B:$B,$B297)-SUMIFS('Cutters Consumption Updates'!$E:$E,'Cutters Consumption Updates'!$D:$D,K$1,'Cutters Consumption Updates'!$B:$B,$B297)+ SUMIF('Cutters Consumption Updates'!$AS:$AS,$B297,'Cutters Consumption Updates'!AV:AV)</f>
        <v>0</v>
      </c>
      <c r="L297" s="738">
        <f>SUMIFS('Cutters Consumption Updates'!$F:$F,'Cutters Consumption Updates'!$D:$D,L$1,'Cutters Consumption Updates'!$B:$B,$B297)-SUMIFS('Cutters Consumption Updates'!$E:$E,'Cutters Consumption Updates'!$D:$D,L$1,'Cutters Consumption Updates'!$B:$B,$B297)+ SUMIF('Cutters Consumption Updates'!$AS:$AS,$B297,'Cutters Consumption Updates'!AW:AW)</f>
        <v>0</v>
      </c>
      <c r="M297" s="116">
        <f>SUMIFS('Cutters Consumption Updates'!$F:$F,'Cutters Consumption Updates'!$D:$D,M$1,'Cutters Consumption Updates'!$B:$B,$B297)-SUMIFS('Cutters Consumption Updates'!$E:$E,'Cutters Consumption Updates'!$D:$D,$M$1,'Cutters Consumption Updates'!$B:$B,$B297)+SUMIFS('Cutters Consumption Updates'!$F:$F,'Cutters Consumption Updates'!$D:$D,"Retrofit",'Cutters Consumption Updates'!$B:$B,$B297)-SUMIFS('Cutters Consumption Updates'!$E:$E,'Cutters Consumption Updates'!$D:$D,"Retrofit",'Cutters Consumption Updates'!$B:$B,$B297)+ SUMIF('Cutters Consumption Updates'!$AS:$AS,$B297,'Cutters Consumption Updates'!AX:AX)</f>
        <v>0</v>
      </c>
      <c r="N297" s="10">
        <f t="shared" si="48"/>
        <v>0</v>
      </c>
      <c r="O297" s="701">
        <f ca="1">SUMIFS('Cutters Consumption Updates'!E:E,
        'Cutters Consumption Updates'!B:B, B297,
        'Cutters Consumption Updates'!A:A, "&gt;" &amp; TODAY()-182)</f>
        <v>0</v>
      </c>
      <c r="P297" s="701">
        <f ca="1">SUMIFS('Cutters Consumption Updates'!E:E,
        'Cutters Consumption Updates'!B:B, B297,
        'Cutters Consumption Updates'!A:A, "&gt;" &amp; TODAY()-91)</f>
        <v>0</v>
      </c>
      <c r="Q297" s="40"/>
      <c r="R297" s="703">
        <f t="shared" si="50"/>
        <v>0</v>
      </c>
      <c r="S297" s="705"/>
      <c r="T297" s="24">
        <f>IFERROR(INDEX(Table5[],MATCH($B297,Table5[Component],0),2),0)</f>
        <v>0</v>
      </c>
      <c r="U297" s="24">
        <f>SUMIFS(Table7[Balance],Table7[Cutter Mat'#],$B297)</f>
        <v>0</v>
      </c>
      <c r="V297" s="24">
        <f t="shared" si="51"/>
        <v>0</v>
      </c>
      <c r="W297" s="119"/>
      <c r="X297" s="2"/>
      <c r="Z297" s="4">
        <f>IFERROR(INDEX(Table5[],MATCH($B297,Table5[Component],0),2),0)</f>
        <v>0</v>
      </c>
      <c r="AA297" s="4">
        <f>IFERROR(INDEX(Table5[],MATCH($B297,Table5[Component],0),1),0)</f>
        <v>0</v>
      </c>
      <c r="AB297" s="4" t="str">
        <f t="shared" si="52"/>
        <v/>
      </c>
      <c r="AC297" s="4" t="str">
        <f t="shared" si="53"/>
        <v/>
      </c>
      <c r="AE297" s="4">
        <f t="shared" si="54"/>
        <v>0</v>
      </c>
      <c r="AJ297" s="248" t="str">
        <f t="shared" si="55"/>
        <v/>
      </c>
      <c r="AK297" s="248" t="str">
        <f t="shared" si="56"/>
        <v/>
      </c>
      <c r="AL297">
        <f t="shared" si="57"/>
        <v>0</v>
      </c>
      <c r="AO297" s="4"/>
      <c r="AP297" s="4"/>
      <c r="AR297" s="4"/>
      <c r="AS297" s="4">
        <v>2023674</v>
      </c>
    </row>
    <row r="298" spans="1:45" ht="19.149999999999999" customHeight="1" x14ac:dyDescent="0.35">
      <c r="A298" s="250">
        <v>303</v>
      </c>
      <c r="B298" s="209">
        <v>2029244</v>
      </c>
      <c r="C298" s="3" t="s">
        <v>26</v>
      </c>
      <c r="D298" s="605">
        <v>1313</v>
      </c>
      <c r="E298" s="606" t="s">
        <v>252</v>
      </c>
      <c r="F298" s="292" t="s">
        <v>177</v>
      </c>
      <c r="G298" s="3"/>
      <c r="H298" s="13" t="s">
        <v>49</v>
      </c>
      <c r="I298" s="10">
        <f>SUMIFS('Cutters Consumption Updates'!$F:$F,'Cutters Consumption Updates'!$D:$D,I$1,'Cutters Consumption Updates'!$B:$B,$B298)-SUMIFS('Cutters Consumption Updates'!$E:$E,'Cutters Consumption Updates'!$D:$D,I$1,'Cutters Consumption Updates'!$B:$B,$B298)+ SUMIF('Cutters Consumption Updates'!$AS:$AS,$B298,'Cutters Consumption Updates'!AT:AT)</f>
        <v>0</v>
      </c>
      <c r="J298" s="10">
        <f>SUMIFS('Cutters Consumption Updates'!$F:$F,'Cutters Consumption Updates'!$D:$D,J$1,'Cutters Consumption Updates'!$B:$B,$B298)-SUMIFS('Cutters Consumption Updates'!$E:$E,'Cutters Consumption Updates'!$D:$D,J$1,'Cutters Consumption Updates'!$B:$B,$B298)+ SUMIF('Cutters Consumption Updates'!$AS:$AS,$B298,'Cutters Consumption Updates'!AU:AU)</f>
        <v>0</v>
      </c>
      <c r="K298" s="116">
        <f>SUMIFS('Cutters Consumption Updates'!$F:$F,'Cutters Consumption Updates'!$D:$D,K$1,'Cutters Consumption Updates'!$B:$B,$B298)-SUMIFS('Cutters Consumption Updates'!$E:$E,'Cutters Consumption Updates'!$D:$D,K$1,'Cutters Consumption Updates'!$B:$B,$B298)+ SUMIF('Cutters Consumption Updates'!$AS:$AS,$B298,'Cutters Consumption Updates'!AV:AV)</f>
        <v>0</v>
      </c>
      <c r="L298" s="738">
        <f>SUMIFS('Cutters Consumption Updates'!$F:$F,'Cutters Consumption Updates'!$D:$D,L$1,'Cutters Consumption Updates'!$B:$B,$B298)-SUMIFS('Cutters Consumption Updates'!$E:$E,'Cutters Consumption Updates'!$D:$D,L$1,'Cutters Consumption Updates'!$B:$B,$B298)+ SUMIF('Cutters Consumption Updates'!$AS:$AS,$B298,'Cutters Consumption Updates'!AW:AW)</f>
        <v>0</v>
      </c>
      <c r="M298" s="116">
        <f>SUMIFS('Cutters Consumption Updates'!$F:$F,'Cutters Consumption Updates'!$D:$D,M$1,'Cutters Consumption Updates'!$B:$B,$B298)-SUMIFS('Cutters Consumption Updates'!$E:$E,'Cutters Consumption Updates'!$D:$D,$M$1,'Cutters Consumption Updates'!$B:$B,$B298)+SUMIFS('Cutters Consumption Updates'!$F:$F,'Cutters Consumption Updates'!$D:$D,"Retrofit",'Cutters Consumption Updates'!$B:$B,$B298)-SUMIFS('Cutters Consumption Updates'!$E:$E,'Cutters Consumption Updates'!$D:$D,"Retrofit",'Cutters Consumption Updates'!$B:$B,$B298)+ SUMIF('Cutters Consumption Updates'!$AS:$AS,$B298,'Cutters Consumption Updates'!AX:AX)</f>
        <v>0</v>
      </c>
      <c r="N298" s="10">
        <f t="shared" si="48"/>
        <v>0</v>
      </c>
      <c r="O298" s="701">
        <f ca="1">SUMIFS('Cutters Consumption Updates'!E:E,
        'Cutters Consumption Updates'!B:B, B298,
        'Cutters Consumption Updates'!A:A, "&gt;" &amp; TODAY()-182)</f>
        <v>0</v>
      </c>
      <c r="P298" s="701">
        <f ca="1">SUMIFS('Cutters Consumption Updates'!E:E,
        'Cutters Consumption Updates'!B:B, B298,
        'Cutters Consumption Updates'!A:A, "&gt;" &amp; TODAY()-91)</f>
        <v>0</v>
      </c>
      <c r="Q298" s="40"/>
      <c r="R298" s="703">
        <f t="shared" si="50"/>
        <v>0</v>
      </c>
      <c r="S298" s="705"/>
      <c r="T298" s="24">
        <f>IFERROR(INDEX(Table5[],MATCH($B298,Table5[Component],0),2),0)</f>
        <v>0</v>
      </c>
      <c r="U298" s="24">
        <f>SUMIFS(Table7[Balance],Table7[Cutter Mat'#],$B298)</f>
        <v>20</v>
      </c>
      <c r="V298" s="24">
        <f t="shared" si="51"/>
        <v>20</v>
      </c>
      <c r="W298" s="119"/>
      <c r="X298" s="2"/>
      <c r="Z298" s="4">
        <f>IFERROR(INDEX(Table5[],MATCH($B298,Table5[Component],0),2),0)</f>
        <v>0</v>
      </c>
      <c r="AA298" s="4">
        <f>IFERROR(INDEX(Table5[],MATCH($B298,Table5[Component],0),1),0)</f>
        <v>0</v>
      </c>
      <c r="AB298" s="4" t="str">
        <f t="shared" si="52"/>
        <v/>
      </c>
      <c r="AC298" s="4" t="str">
        <f t="shared" si="53"/>
        <v/>
      </c>
      <c r="AE298" s="4">
        <f t="shared" si="54"/>
        <v>0</v>
      </c>
      <c r="AJ298" s="248" t="str">
        <f t="shared" si="55"/>
        <v/>
      </c>
      <c r="AK298" s="248" t="str">
        <f t="shared" si="56"/>
        <v/>
      </c>
      <c r="AL298">
        <f t="shared" si="57"/>
        <v>0</v>
      </c>
      <c r="AO298" s="4"/>
      <c r="AP298" s="4"/>
      <c r="AR298" s="4"/>
      <c r="AS298" s="4">
        <v>2024640</v>
      </c>
    </row>
    <row r="299" spans="1:45" ht="19.149999999999999" customHeight="1" x14ac:dyDescent="0.35">
      <c r="A299" s="250">
        <v>304</v>
      </c>
      <c r="B299" s="209">
        <v>1187117</v>
      </c>
      <c r="C299" s="3" t="s">
        <v>122</v>
      </c>
      <c r="D299" s="605">
        <v>1313</v>
      </c>
      <c r="E299" s="606" t="s">
        <v>205</v>
      </c>
      <c r="F299" s="292" t="s">
        <v>253</v>
      </c>
      <c r="G299" s="3"/>
      <c r="H299" s="13" t="s">
        <v>169</v>
      </c>
      <c r="I299" s="10">
        <f>SUMIFS('Cutters Consumption Updates'!$F:$F,'Cutters Consumption Updates'!$D:$D,I$1,'Cutters Consumption Updates'!$B:$B,$B299)-SUMIFS('Cutters Consumption Updates'!$E:$E,'Cutters Consumption Updates'!$D:$D,I$1,'Cutters Consumption Updates'!$B:$B,$B299)+ SUMIF('Cutters Consumption Updates'!$AS:$AS,$B299,'Cutters Consumption Updates'!AT:AT)</f>
        <v>0</v>
      </c>
      <c r="J299" s="10">
        <f>SUMIFS('Cutters Consumption Updates'!$F:$F,'Cutters Consumption Updates'!$D:$D,J$1,'Cutters Consumption Updates'!$B:$B,$B299)-SUMIFS('Cutters Consumption Updates'!$E:$E,'Cutters Consumption Updates'!$D:$D,J$1,'Cutters Consumption Updates'!$B:$B,$B299)+ SUMIF('Cutters Consumption Updates'!$AS:$AS,$B299,'Cutters Consumption Updates'!AU:AU)</f>
        <v>0</v>
      </c>
      <c r="K299" s="116">
        <f>SUMIFS('Cutters Consumption Updates'!$F:$F,'Cutters Consumption Updates'!$D:$D,K$1,'Cutters Consumption Updates'!$B:$B,$B299)-SUMIFS('Cutters Consumption Updates'!$E:$E,'Cutters Consumption Updates'!$D:$D,K$1,'Cutters Consumption Updates'!$B:$B,$B299)+ SUMIF('Cutters Consumption Updates'!$AS:$AS,$B299,'Cutters Consumption Updates'!AV:AV)</f>
        <v>0</v>
      </c>
      <c r="L299" s="738">
        <f>SUMIFS('Cutters Consumption Updates'!$F:$F,'Cutters Consumption Updates'!$D:$D,L$1,'Cutters Consumption Updates'!$B:$B,$B299)-SUMIFS('Cutters Consumption Updates'!$E:$E,'Cutters Consumption Updates'!$D:$D,L$1,'Cutters Consumption Updates'!$B:$B,$B299)+ SUMIF('Cutters Consumption Updates'!$AS:$AS,$B299,'Cutters Consumption Updates'!AW:AW)</f>
        <v>0</v>
      </c>
      <c r="M299" s="116">
        <f>SUMIFS('Cutters Consumption Updates'!$F:$F,'Cutters Consumption Updates'!$D:$D,M$1,'Cutters Consumption Updates'!$B:$B,$B299)-SUMIFS('Cutters Consumption Updates'!$E:$E,'Cutters Consumption Updates'!$D:$D,$M$1,'Cutters Consumption Updates'!$B:$B,$B299)+SUMIFS('Cutters Consumption Updates'!$F:$F,'Cutters Consumption Updates'!$D:$D,"Retrofit",'Cutters Consumption Updates'!$B:$B,$B299)-SUMIFS('Cutters Consumption Updates'!$E:$E,'Cutters Consumption Updates'!$D:$D,"Retrofit",'Cutters Consumption Updates'!$B:$B,$B299)+ SUMIF('Cutters Consumption Updates'!$AS:$AS,$B299,'Cutters Consumption Updates'!AX:AX)</f>
        <v>15</v>
      </c>
      <c r="N299" s="10">
        <f t="shared" si="48"/>
        <v>15</v>
      </c>
      <c r="O299" s="701">
        <f ca="1">SUMIFS('Cutters Consumption Updates'!E:E,
        'Cutters Consumption Updates'!B:B, B299,
        'Cutters Consumption Updates'!A:A, "&gt;" &amp; TODAY()-182)</f>
        <v>0</v>
      </c>
      <c r="P299" s="701">
        <f ca="1">SUMIFS('Cutters Consumption Updates'!E:E,
        'Cutters Consumption Updates'!B:B, B299,
        'Cutters Consumption Updates'!A:A, "&gt;" &amp; TODAY()-91)</f>
        <v>0</v>
      </c>
      <c r="Q299" s="40"/>
      <c r="R299" s="703">
        <f t="shared" si="50"/>
        <v>0</v>
      </c>
      <c r="S299" s="705"/>
      <c r="T299" s="24">
        <f>IFERROR(INDEX(Table5[],MATCH($B299,Table5[Component],0),2),0)</f>
        <v>0</v>
      </c>
      <c r="U299" s="24">
        <f>SUMIFS(Table7[Balance],Table7[Cutter Mat'#],$B299)</f>
        <v>0</v>
      </c>
      <c r="V299" s="24">
        <f t="shared" si="51"/>
        <v>15</v>
      </c>
      <c r="W299" s="119"/>
      <c r="X299" s="2"/>
      <c r="Z299" s="4">
        <f>IFERROR(INDEX(Table5[],MATCH($B299,Table5[Component],0),2),0)</f>
        <v>0</v>
      </c>
      <c r="AA299" s="4">
        <f>IFERROR(INDEX(Table5[],MATCH($B299,Table5[Component],0),1),0)</f>
        <v>0</v>
      </c>
      <c r="AB299" s="4" t="str">
        <f t="shared" si="52"/>
        <v/>
      </c>
      <c r="AC299" s="4" t="str">
        <f t="shared" si="53"/>
        <v/>
      </c>
      <c r="AE299" s="4">
        <f t="shared" si="54"/>
        <v>15</v>
      </c>
      <c r="AJ299" s="248" t="str">
        <f t="shared" si="55"/>
        <v/>
      </c>
      <c r="AK299" s="248" t="str">
        <f t="shared" si="56"/>
        <v/>
      </c>
      <c r="AL299">
        <f t="shared" si="57"/>
        <v>0</v>
      </c>
      <c r="AO299" s="4"/>
      <c r="AP299" s="4"/>
      <c r="AR299" s="4"/>
      <c r="AS299" s="4">
        <v>2024642</v>
      </c>
    </row>
    <row r="300" spans="1:45" ht="19.149999999999999" customHeight="1" x14ac:dyDescent="0.35">
      <c r="A300" s="250">
        <v>305</v>
      </c>
      <c r="B300" s="209">
        <v>2024640</v>
      </c>
      <c r="C300" s="3" t="s">
        <v>26</v>
      </c>
      <c r="D300" s="605">
        <v>1613</v>
      </c>
      <c r="E300" s="605" t="s">
        <v>254</v>
      </c>
      <c r="F300" s="605" t="s">
        <v>177</v>
      </c>
      <c r="G300" s="3"/>
      <c r="H300" s="13"/>
      <c r="I300" s="10">
        <f>SUMIFS('Cutters Consumption Updates'!$F:$F,'Cutters Consumption Updates'!$D:$D,I$1,'Cutters Consumption Updates'!$B:$B,$B300)-SUMIFS('Cutters Consumption Updates'!$E:$E,'Cutters Consumption Updates'!$D:$D,I$1,'Cutters Consumption Updates'!$B:$B,$B300)+ SUMIF('Cutters Consumption Updates'!$AS:$AS,$B300,'Cutters Consumption Updates'!AT:AT)</f>
        <v>0</v>
      </c>
      <c r="J300" s="10">
        <f>SUMIFS('Cutters Consumption Updates'!$F:$F,'Cutters Consumption Updates'!$D:$D,J$1,'Cutters Consumption Updates'!$B:$B,$B300)-SUMIFS('Cutters Consumption Updates'!$E:$E,'Cutters Consumption Updates'!$D:$D,J$1,'Cutters Consumption Updates'!$B:$B,$B300)+ SUMIF('Cutters Consumption Updates'!$AS:$AS,$B300,'Cutters Consumption Updates'!AU:AU)</f>
        <v>0</v>
      </c>
      <c r="K300" s="116">
        <f>SUMIFS('Cutters Consumption Updates'!$F:$F,'Cutters Consumption Updates'!$D:$D,K$1,'Cutters Consumption Updates'!$B:$B,$B300)-SUMIFS('Cutters Consumption Updates'!$E:$E,'Cutters Consumption Updates'!$D:$D,K$1,'Cutters Consumption Updates'!$B:$B,$B300)+ SUMIF('Cutters Consumption Updates'!$AS:$AS,$B300,'Cutters Consumption Updates'!AV:AV)</f>
        <v>0</v>
      </c>
      <c r="L300" s="738">
        <f>SUMIFS('Cutters Consumption Updates'!$F:$F,'Cutters Consumption Updates'!$D:$D,L$1,'Cutters Consumption Updates'!$B:$B,$B300)-SUMIFS('Cutters Consumption Updates'!$E:$E,'Cutters Consumption Updates'!$D:$D,L$1,'Cutters Consumption Updates'!$B:$B,$B300)+ SUMIF('Cutters Consumption Updates'!$AS:$AS,$B300,'Cutters Consumption Updates'!AW:AW)</f>
        <v>0</v>
      </c>
      <c r="M300" s="116">
        <f>SUMIFS('Cutters Consumption Updates'!$F:$F,'Cutters Consumption Updates'!$D:$D,M$1,'Cutters Consumption Updates'!$B:$B,$B300)-SUMIFS('Cutters Consumption Updates'!$E:$E,'Cutters Consumption Updates'!$D:$D,$M$1,'Cutters Consumption Updates'!$B:$B,$B300)+SUMIFS('Cutters Consumption Updates'!$F:$F,'Cutters Consumption Updates'!$D:$D,"Retrofit",'Cutters Consumption Updates'!$B:$B,$B300)-SUMIFS('Cutters Consumption Updates'!$E:$E,'Cutters Consumption Updates'!$D:$D,"Retrofit",'Cutters Consumption Updates'!$B:$B,$B300)+ SUMIF('Cutters Consumption Updates'!$AS:$AS,$B300,'Cutters Consumption Updates'!AX:AX)</f>
        <v>7</v>
      </c>
      <c r="N300" s="10">
        <f t="shared" si="48"/>
        <v>7</v>
      </c>
      <c r="O300" s="701">
        <f ca="1">SUMIFS('Cutters Consumption Updates'!E:E,
        'Cutters Consumption Updates'!B:B, B300,
        'Cutters Consumption Updates'!A:A, "&gt;" &amp; TODAY()-182)</f>
        <v>23</v>
      </c>
      <c r="P300" s="701">
        <f ca="1">SUMIFS('Cutters Consumption Updates'!E:E,
        'Cutters Consumption Updates'!B:B, B300,
        'Cutters Consumption Updates'!A:A, "&gt;" &amp; TODAY()-91)</f>
        <v>23</v>
      </c>
      <c r="Q300" s="40"/>
      <c r="R300" s="703">
        <f t="shared" si="50"/>
        <v>0</v>
      </c>
      <c r="S300" s="705"/>
      <c r="T300" s="24">
        <f>IFERROR(INDEX(Table5[],MATCH($B300,Table5[Component],0),2),0)</f>
        <v>0</v>
      </c>
      <c r="U300" s="24">
        <f>SUMIFS(Table7[Balance],Table7[Cutter Mat'#],$B300)</f>
        <v>0</v>
      </c>
      <c r="V300" s="24">
        <f t="shared" si="51"/>
        <v>7</v>
      </c>
      <c r="W300" s="119"/>
      <c r="X300" s="2"/>
      <c r="Z300" s="4">
        <f>IFERROR(INDEX(Table5[],MATCH($B300,Table5[Component],0),2),0)</f>
        <v>0</v>
      </c>
      <c r="AA300" s="4">
        <f>IFERROR(INDEX(Table5[],MATCH($B300,Table5[Component],0),1),0)</f>
        <v>0</v>
      </c>
      <c r="AB300" s="4" t="str">
        <f t="shared" si="52"/>
        <v/>
      </c>
      <c r="AC300" s="4" t="str">
        <f t="shared" si="53"/>
        <v/>
      </c>
      <c r="AE300" s="4">
        <f t="shared" si="54"/>
        <v>7</v>
      </c>
      <c r="AJ300" s="248" t="str">
        <f t="shared" si="55"/>
        <v/>
      </c>
      <c r="AK300" s="248" t="str">
        <f t="shared" si="56"/>
        <v/>
      </c>
      <c r="AL300">
        <f t="shared" si="57"/>
        <v>0</v>
      </c>
      <c r="AO300" s="4"/>
      <c r="AP300" s="4"/>
      <c r="AR300" s="4"/>
      <c r="AS300" s="4">
        <v>2024742</v>
      </c>
    </row>
    <row r="301" spans="1:45" ht="19.149999999999999" customHeight="1" x14ac:dyDescent="0.35">
      <c r="A301" s="250">
        <v>306</v>
      </c>
      <c r="B301" s="209">
        <v>2001657</v>
      </c>
      <c r="C301" s="3"/>
      <c r="D301" s="605">
        <v>1613</v>
      </c>
      <c r="E301" s="606" t="s">
        <v>227</v>
      </c>
      <c r="F301" s="292" t="s">
        <v>109</v>
      </c>
      <c r="G301" s="3"/>
      <c r="H301" s="13"/>
      <c r="I301" s="10">
        <f>SUMIFS('Cutters Consumption Updates'!$F:$F,'Cutters Consumption Updates'!$D:$D,I$1,'Cutters Consumption Updates'!$B:$B,$B301)-SUMIFS('Cutters Consumption Updates'!$E:$E,'Cutters Consumption Updates'!$D:$D,I$1,'Cutters Consumption Updates'!$B:$B,$B301)+ SUMIF('Cutters Consumption Updates'!$AS:$AS,$B301,'Cutters Consumption Updates'!AT:AT)</f>
        <v>0</v>
      </c>
      <c r="J301" s="10">
        <f>SUMIFS('Cutters Consumption Updates'!$F:$F,'Cutters Consumption Updates'!$D:$D,J$1,'Cutters Consumption Updates'!$B:$B,$B301)-SUMIFS('Cutters Consumption Updates'!$E:$E,'Cutters Consumption Updates'!$D:$D,J$1,'Cutters Consumption Updates'!$B:$B,$B301)+ SUMIF('Cutters Consumption Updates'!$AS:$AS,$B301,'Cutters Consumption Updates'!AU:AU)</f>
        <v>0</v>
      </c>
      <c r="K301" s="116">
        <f>SUMIFS('Cutters Consumption Updates'!$F:$F,'Cutters Consumption Updates'!$D:$D,K$1,'Cutters Consumption Updates'!$B:$B,$B301)-SUMIFS('Cutters Consumption Updates'!$E:$E,'Cutters Consumption Updates'!$D:$D,K$1,'Cutters Consumption Updates'!$B:$B,$B301)+ SUMIF('Cutters Consumption Updates'!$AS:$AS,$B301,'Cutters Consumption Updates'!AV:AV)</f>
        <v>0</v>
      </c>
      <c r="L301" s="738">
        <f>SUMIFS('Cutters Consumption Updates'!$F:$F,'Cutters Consumption Updates'!$D:$D,L$1,'Cutters Consumption Updates'!$B:$B,$B301)-SUMIFS('Cutters Consumption Updates'!$E:$E,'Cutters Consumption Updates'!$D:$D,L$1,'Cutters Consumption Updates'!$B:$B,$B301)+ SUMIF('Cutters Consumption Updates'!$AS:$AS,$B301,'Cutters Consumption Updates'!AW:AW)</f>
        <v>0</v>
      </c>
      <c r="M301" s="116">
        <f>SUMIFS('Cutters Consumption Updates'!$F:$F,'Cutters Consumption Updates'!$D:$D,M$1,'Cutters Consumption Updates'!$B:$B,$B301)-SUMIFS('Cutters Consumption Updates'!$E:$E,'Cutters Consumption Updates'!$D:$D,$M$1,'Cutters Consumption Updates'!$B:$B,$B301)+SUMIFS('Cutters Consumption Updates'!$F:$F,'Cutters Consumption Updates'!$D:$D,"Retrofit",'Cutters Consumption Updates'!$B:$B,$B301)-SUMIFS('Cutters Consumption Updates'!$E:$E,'Cutters Consumption Updates'!$D:$D,"Retrofit",'Cutters Consumption Updates'!$B:$B,$B301)+ SUMIF('Cutters Consumption Updates'!$AS:$AS,$B301,'Cutters Consumption Updates'!AX:AX)</f>
        <v>28</v>
      </c>
      <c r="N301" s="10">
        <f t="shared" si="48"/>
        <v>28</v>
      </c>
      <c r="O301" s="701">
        <f ca="1">SUMIFS('Cutters Consumption Updates'!E:E,
        'Cutters Consumption Updates'!B:B, B301,
        'Cutters Consumption Updates'!A:A, "&gt;" &amp; TODAY()-182)</f>
        <v>12</v>
      </c>
      <c r="P301" s="701">
        <f ca="1">SUMIFS('Cutters Consumption Updates'!E:E,
        'Cutters Consumption Updates'!B:B, B301,
        'Cutters Consumption Updates'!A:A, "&gt;" &amp; TODAY()-91)</f>
        <v>12</v>
      </c>
      <c r="Q301" s="40"/>
      <c r="R301" s="703">
        <f t="shared" si="50"/>
        <v>0</v>
      </c>
      <c r="S301" s="705"/>
      <c r="T301" s="24">
        <f>IFERROR(INDEX(Table5[],MATCH($B301,Table5[Component],0),2),0)</f>
        <v>0</v>
      </c>
      <c r="U301" s="24">
        <f>SUMIFS(Table7[Balance],Table7[Cutter Mat'#],$B301)</f>
        <v>0</v>
      </c>
      <c r="V301" s="24">
        <f t="shared" si="51"/>
        <v>28</v>
      </c>
      <c r="W301" s="119"/>
      <c r="X301" s="2"/>
      <c r="Z301" s="4">
        <f>IFERROR(INDEX(Table5[],MATCH($B301,Table5[Component],0),2),0)</f>
        <v>0</v>
      </c>
      <c r="AA301" s="4">
        <f>IFERROR(INDEX(Table5[],MATCH($B301,Table5[Component],0),1),0)</f>
        <v>0</v>
      </c>
      <c r="AB301" s="4" t="str">
        <f t="shared" si="52"/>
        <v/>
      </c>
      <c r="AC301" s="4" t="str">
        <f t="shared" si="53"/>
        <v/>
      </c>
      <c r="AE301" s="4">
        <f t="shared" si="54"/>
        <v>28</v>
      </c>
      <c r="AJ301" s="248" t="str">
        <f t="shared" si="55"/>
        <v/>
      </c>
      <c r="AK301" s="248" t="str">
        <f t="shared" si="56"/>
        <v/>
      </c>
      <c r="AL301">
        <f t="shared" si="57"/>
        <v>0</v>
      </c>
      <c r="AO301" s="4"/>
      <c r="AP301" s="4"/>
      <c r="AR301" s="4"/>
      <c r="AS301" s="4">
        <v>2028302</v>
      </c>
    </row>
    <row r="302" spans="1:45" ht="19.149999999999999" customHeight="1" x14ac:dyDescent="0.35">
      <c r="A302" s="250">
        <v>307</v>
      </c>
      <c r="B302" s="209">
        <v>1142710</v>
      </c>
      <c r="C302" s="3"/>
      <c r="D302" s="605">
        <v>1608</v>
      </c>
      <c r="E302" s="606" t="s">
        <v>133</v>
      </c>
      <c r="F302" s="292" t="s">
        <v>109</v>
      </c>
      <c r="G302" s="3"/>
      <c r="H302" s="13"/>
      <c r="I302" s="10">
        <f>SUMIFS('Cutters Consumption Updates'!$F:$F,'Cutters Consumption Updates'!$D:$D,I$1,'Cutters Consumption Updates'!$B:$B,$B302)-SUMIFS('Cutters Consumption Updates'!$E:$E,'Cutters Consumption Updates'!$D:$D,I$1,'Cutters Consumption Updates'!$B:$B,$B302)+ SUMIF('Cutters Consumption Updates'!$AS:$AS,$B302,'Cutters Consumption Updates'!AT:AT)</f>
        <v>0</v>
      </c>
      <c r="J302" s="10">
        <f>SUMIFS('Cutters Consumption Updates'!$F:$F,'Cutters Consumption Updates'!$D:$D,J$1,'Cutters Consumption Updates'!$B:$B,$B302)-SUMIFS('Cutters Consumption Updates'!$E:$E,'Cutters Consumption Updates'!$D:$D,J$1,'Cutters Consumption Updates'!$B:$B,$B302)+ SUMIF('Cutters Consumption Updates'!$AS:$AS,$B302,'Cutters Consumption Updates'!AU:AU)</f>
        <v>0</v>
      </c>
      <c r="K302" s="116">
        <f>SUMIFS('Cutters Consumption Updates'!$F:$F,'Cutters Consumption Updates'!$D:$D,K$1,'Cutters Consumption Updates'!$B:$B,$B302)-SUMIFS('Cutters Consumption Updates'!$E:$E,'Cutters Consumption Updates'!$D:$D,K$1,'Cutters Consumption Updates'!$B:$B,$B302)+ SUMIF('Cutters Consumption Updates'!$AS:$AS,$B302,'Cutters Consumption Updates'!AV:AV)</f>
        <v>0</v>
      </c>
      <c r="L302" s="738">
        <f>SUMIFS('Cutters Consumption Updates'!$F:$F,'Cutters Consumption Updates'!$D:$D,L$1,'Cutters Consumption Updates'!$B:$B,$B302)-SUMIFS('Cutters Consumption Updates'!$E:$E,'Cutters Consumption Updates'!$D:$D,L$1,'Cutters Consumption Updates'!$B:$B,$B302)+ SUMIF('Cutters Consumption Updates'!$AS:$AS,$B302,'Cutters Consumption Updates'!AW:AW)</f>
        <v>0</v>
      </c>
      <c r="M302" s="116">
        <f>SUMIFS('Cutters Consumption Updates'!$F:$F,'Cutters Consumption Updates'!$D:$D,M$1,'Cutters Consumption Updates'!$B:$B,$B302)-SUMIFS('Cutters Consumption Updates'!$E:$E,'Cutters Consumption Updates'!$D:$D,$M$1,'Cutters Consumption Updates'!$B:$B,$B302)+SUMIFS('Cutters Consumption Updates'!$F:$F,'Cutters Consumption Updates'!$D:$D,"Retrofit",'Cutters Consumption Updates'!$B:$B,$B302)-SUMIFS('Cutters Consumption Updates'!$E:$E,'Cutters Consumption Updates'!$D:$D,"Retrofit",'Cutters Consumption Updates'!$B:$B,$B302)+ SUMIF('Cutters Consumption Updates'!$AS:$AS,$B302,'Cutters Consumption Updates'!AX:AX)</f>
        <v>20</v>
      </c>
      <c r="N302" s="10">
        <f t="shared" ref="N302" si="60">M302+I302</f>
        <v>20</v>
      </c>
      <c r="O302" s="701">
        <f ca="1">SUMIFS('Cutters Consumption Updates'!E:E,
        'Cutters Consumption Updates'!B:B, B302,
        'Cutters Consumption Updates'!A:A, "&gt;" &amp; TODAY()-182)</f>
        <v>0</v>
      </c>
      <c r="P302" s="701">
        <f ca="1">SUMIFS('Cutters Consumption Updates'!E:E,
        'Cutters Consumption Updates'!B:B, B302,
        'Cutters Consumption Updates'!A:A, "&gt;" &amp; TODAY()-91)</f>
        <v>0</v>
      </c>
      <c r="Q302" s="40"/>
      <c r="R302" s="703">
        <f t="shared" ref="R302" si="61">IF(Q302&lt;=1, 0,
 CEILING(
  IF(Q302&gt;=300, Q302+10,
  IF(Q302&gt;=200, Q302+5,
  IF(Q302&gt;=100, Q302+5,
  IF(Q302&gt;=50, Q302+2,
  IF(Q302&gt;=20, Q302+2,
  IF(Q302&gt;=10, Q302+2,
  IF(Q302&gt;=5,  Q302+2,
  Q302+1))))))), 5))</f>
        <v>0</v>
      </c>
      <c r="S302" s="705"/>
      <c r="T302" s="24">
        <f>IFERROR(INDEX(Table5[],MATCH($B302,Table5[Component],0),2),0)</f>
        <v>0</v>
      </c>
      <c r="U302" s="24">
        <f>SUMIFS(Table7[Balance],Table7[Cutter Mat'#],$B302)</f>
        <v>0</v>
      </c>
      <c r="V302" s="24">
        <f t="shared" ref="V302" si="62">N302+U302-T302</f>
        <v>20</v>
      </c>
      <c r="W302" s="119"/>
      <c r="X302" s="2"/>
      <c r="Z302" s="4">
        <f>IFERROR(INDEX(Table5[],MATCH($B302,Table5[Component],0),2),0)</f>
        <v>0</v>
      </c>
      <c r="AA302" s="4">
        <f>IFERROR(INDEX(Table5[],MATCH($B302,Table5[Component],0),1),0)</f>
        <v>0</v>
      </c>
      <c r="AB302" s="4" t="str">
        <f t="shared" ref="AB302" si="63">IF(Z302&lt;&gt;0,B302,"")</f>
        <v/>
      </c>
      <c r="AC302" s="4" t="str">
        <f t="shared" ref="AC302" si="64">IF(T302&lt;&gt;Z302,1,"")</f>
        <v/>
      </c>
      <c r="AE302" s="4">
        <f t="shared" ref="AE302" si="65">I302+J302+K302+M302</f>
        <v>20</v>
      </c>
      <c r="AJ302" s="248" t="str">
        <f t="shared" ref="AJ302" si="66">IFERROR(INDEX($B$1:$AL$243,MATCH(X302,$B$1:$B$243,0),13),"")</f>
        <v/>
      </c>
      <c r="AK302" s="248" t="str">
        <f t="shared" ref="AK302" si="67">IFERROR(INDEX($B$1:$AL$243,MATCH(X302,$B$1:$B$243,0),15),"")</f>
        <v/>
      </c>
      <c r="AL302">
        <f t="shared" ref="AL302" si="68">SUMIF($X$2:$X$243,B302,$T$2:$T$243)</f>
        <v>0</v>
      </c>
      <c r="AO302" s="4"/>
      <c r="AP302" s="4"/>
      <c r="AR302" s="4"/>
      <c r="AS302" s="4">
        <v>2028303</v>
      </c>
    </row>
    <row r="303" spans="1:45" ht="19.149999999999999" customHeight="1" x14ac:dyDescent="0.35">
      <c r="A303" s="250">
        <v>308</v>
      </c>
      <c r="B303" s="209">
        <v>1232092</v>
      </c>
      <c r="C303" s="3"/>
      <c r="D303" s="605" t="s">
        <v>1020</v>
      </c>
      <c r="E303" s="606">
        <v>1218</v>
      </c>
      <c r="F303" s="292" t="s">
        <v>103</v>
      </c>
      <c r="G303" s="3"/>
      <c r="H303" s="13"/>
      <c r="I303" s="10">
        <f>SUMIFS('Cutters Consumption Updates'!$F:$F,'Cutters Consumption Updates'!$D:$D,I$1,'Cutters Consumption Updates'!$B:$B,$B303)-SUMIFS('Cutters Consumption Updates'!$E:$E,'Cutters Consumption Updates'!$D:$D,I$1,'Cutters Consumption Updates'!$B:$B,$B303)+ SUMIF('Cutters Consumption Updates'!$AS:$AS,$B303,'Cutters Consumption Updates'!AT:AT)</f>
        <v>0</v>
      </c>
      <c r="J303" s="10">
        <f>SUMIFS('Cutters Consumption Updates'!$F:$F,'Cutters Consumption Updates'!$D:$D,J$1,'Cutters Consumption Updates'!$B:$B,$B303)-SUMIFS('Cutters Consumption Updates'!$E:$E,'Cutters Consumption Updates'!$D:$D,J$1,'Cutters Consumption Updates'!$B:$B,$B303)+ SUMIF('Cutters Consumption Updates'!$AS:$AS,$B303,'Cutters Consumption Updates'!AU:AU)</f>
        <v>0</v>
      </c>
      <c r="K303" s="116">
        <f>SUMIFS('Cutters Consumption Updates'!$F:$F,'Cutters Consumption Updates'!$D:$D,K$1,'Cutters Consumption Updates'!$B:$B,$B303)-SUMIFS('Cutters Consumption Updates'!$E:$E,'Cutters Consumption Updates'!$D:$D,K$1,'Cutters Consumption Updates'!$B:$B,$B303)+ SUMIF('Cutters Consumption Updates'!$AS:$AS,$B303,'Cutters Consumption Updates'!AV:AV)</f>
        <v>0</v>
      </c>
      <c r="L303" s="738">
        <f>SUMIFS('Cutters Consumption Updates'!$F:$F,'Cutters Consumption Updates'!$D:$D,L$1,'Cutters Consumption Updates'!$B:$B,$B303)-SUMIFS('Cutters Consumption Updates'!$E:$E,'Cutters Consumption Updates'!$D:$D,L$1,'Cutters Consumption Updates'!$B:$B,$B303)+ SUMIF('Cutters Consumption Updates'!$AS:$AS,$B303,'Cutters Consumption Updates'!AW:AW)</f>
        <v>0</v>
      </c>
      <c r="M303" s="116">
        <f>SUMIFS('Cutters Consumption Updates'!$F:$F,'Cutters Consumption Updates'!$D:$D,M$1,'Cutters Consumption Updates'!$B:$B,$B303)-SUMIFS('Cutters Consumption Updates'!$E:$E,'Cutters Consumption Updates'!$D:$D,$M$1,'Cutters Consumption Updates'!$B:$B,$B303)+SUMIFS('Cutters Consumption Updates'!$F:$F,'Cutters Consumption Updates'!$D:$D,"Retrofit",'Cutters Consumption Updates'!$B:$B,$B303)-SUMIFS('Cutters Consumption Updates'!$E:$E,'Cutters Consumption Updates'!$D:$D,"Retrofit",'Cutters Consumption Updates'!$B:$B,$B303)+ SUMIF('Cutters Consumption Updates'!$AS:$AS,$B303,'Cutters Consumption Updates'!AX:AX)</f>
        <v>0</v>
      </c>
      <c r="N303" s="10">
        <f t="shared" si="48"/>
        <v>0</v>
      </c>
      <c r="O303" s="701">
        <f ca="1">SUMIFS('Cutters Consumption Updates'!E:E,
        'Cutters Consumption Updates'!B:B, B303,
        'Cutters Consumption Updates'!A:A, "&gt;" &amp; TODAY()-182)</f>
        <v>0</v>
      </c>
      <c r="P303" s="701">
        <f ca="1">SUMIFS('Cutters Consumption Updates'!E:E,
        'Cutters Consumption Updates'!B:B, B303,
        'Cutters Consumption Updates'!A:A, "&gt;" &amp; TODAY()-91)</f>
        <v>0</v>
      </c>
      <c r="Q303" s="40"/>
      <c r="R303" s="703">
        <f t="shared" si="50"/>
        <v>0</v>
      </c>
      <c r="S303" s="705"/>
      <c r="T303" s="24">
        <f>IFERROR(INDEX(Table5[],MATCH($B303,Table5[Component],0),2),0)</f>
        <v>0</v>
      </c>
      <c r="U303" s="24">
        <f>SUMIFS(Table7[Balance],Table7[Cutter Mat'#],$B303)</f>
        <v>100</v>
      </c>
      <c r="V303" s="24">
        <f t="shared" si="51"/>
        <v>100</v>
      </c>
      <c r="W303" s="119"/>
      <c r="X303" s="2"/>
      <c r="Z303" s="4">
        <f>IFERROR(INDEX(Table5[],MATCH($B303,Table5[Component],0),2),0)</f>
        <v>0</v>
      </c>
      <c r="AA303" s="4">
        <f>IFERROR(INDEX(Table5[],MATCH($B303,Table5[Component],0),1),0)</f>
        <v>0</v>
      </c>
      <c r="AB303" s="4" t="str">
        <f t="shared" si="52"/>
        <v/>
      </c>
      <c r="AC303" s="4" t="str">
        <f t="shared" si="53"/>
        <v/>
      </c>
      <c r="AE303" s="4">
        <f t="shared" si="54"/>
        <v>0</v>
      </c>
      <c r="AJ303" s="248" t="str">
        <f t="shared" si="55"/>
        <v/>
      </c>
      <c r="AK303" s="248" t="str">
        <f t="shared" si="56"/>
        <v/>
      </c>
      <c r="AL303">
        <f t="shared" si="57"/>
        <v>0</v>
      </c>
      <c r="AO303" s="4"/>
      <c r="AP303" s="4"/>
      <c r="AR303" s="4"/>
      <c r="AS303" s="4">
        <v>2029244</v>
      </c>
    </row>
    <row r="304" spans="1:45" x14ac:dyDescent="0.35">
      <c r="A304"/>
      <c r="I304" s="648">
        <f>SUM(I2:I303)</f>
        <v>114</v>
      </c>
      <c r="J304" s="648">
        <f>SUM(J2:J303)</f>
        <v>307</v>
      </c>
      <c r="K304" s="648">
        <f t="shared" ref="K304:R304" si="69">SUM(K2:K303)</f>
        <v>586</v>
      </c>
      <c r="L304" s="734">
        <f t="shared" si="69"/>
        <v>552</v>
      </c>
      <c r="M304" s="648">
        <f t="shared" si="69"/>
        <v>8844</v>
      </c>
      <c r="N304" s="648">
        <f t="shared" si="69"/>
        <v>8958</v>
      </c>
      <c r="O304" s="648">
        <f t="shared" ca="1" si="69"/>
        <v>14791</v>
      </c>
      <c r="P304" s="648">
        <f t="shared" ca="1" si="69"/>
        <v>7381</v>
      </c>
      <c r="Q304" s="648">
        <f t="shared" ca="1" si="69"/>
        <v>4880</v>
      </c>
      <c r="R304" s="648">
        <f t="shared" ca="1" si="69"/>
        <v>5285</v>
      </c>
      <c r="S304" s="648">
        <f>SUM(S2:S303)</f>
        <v>0</v>
      </c>
      <c r="T304" s="648">
        <f>SUM(T2:T303)</f>
        <v>17380</v>
      </c>
      <c r="U304" s="648">
        <f>SUM(U2:U303)</f>
        <v>2695</v>
      </c>
      <c r="V304" s="648">
        <f t="shared" ref="V304" si="70">SUM(V2:V303)</f>
        <v>-5727</v>
      </c>
      <c r="W304" s="119"/>
      <c r="X304" s="2"/>
      <c r="AE304" s="4">
        <f>I304+J304+K304+M304</f>
        <v>9851</v>
      </c>
      <c r="AJ304" s="248" t="str">
        <f>IFERROR(INDEX($B$1:$AL$243,MATCH(X304,$B$1:$B$243,0),13),"")</f>
        <v/>
      </c>
      <c r="AK304" s="248" t="str">
        <f>IFERROR(INDEX($B$1:$AL$243,MATCH(X304,$B$1:$B$243,0),15),"")</f>
        <v/>
      </c>
      <c r="AS304" t="str">
        <v>SAPNo</v>
      </c>
    </row>
    <row r="305" spans="1:45" customFormat="1" ht="18" x14ac:dyDescent="0.4">
      <c r="B305" s="4"/>
      <c r="L305" s="735"/>
      <c r="S305" s="28"/>
      <c r="AS305">
        <v>0</v>
      </c>
    </row>
    <row r="314" spans="1:45" ht="15.5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E314"/>
    </row>
    <row r="315" spans="1:45" ht="15.5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E315"/>
    </row>
    <row r="316" spans="1:45" ht="15.5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E316"/>
    </row>
    <row r="317" spans="1:45" ht="15.5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E317"/>
    </row>
    <row r="318" spans="1:45" ht="15.5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E318"/>
    </row>
    <row r="319" spans="1:45" ht="15.5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E319"/>
    </row>
    <row r="320" spans="1:45" ht="15.5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E320"/>
    </row>
    <row r="321" spans="1:31" ht="15.5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E321"/>
    </row>
    <row r="322" spans="1:31" ht="15.5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E322"/>
    </row>
    <row r="323" spans="1:31" ht="15.5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E323"/>
    </row>
    <row r="324" spans="1:31" ht="15.5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E324"/>
    </row>
    <row r="325" spans="1:31" ht="15.5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E325"/>
    </row>
    <row r="326" spans="1:31" ht="15.5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E326"/>
    </row>
    <row r="327" spans="1:31" ht="15.5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E327"/>
    </row>
    <row r="328" spans="1:31" ht="15.5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E328"/>
    </row>
    <row r="329" spans="1:31" ht="15.5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E329"/>
    </row>
    <row r="330" spans="1:31" ht="15.5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E330"/>
    </row>
    <row r="331" spans="1:31" ht="15.5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E331"/>
    </row>
    <row r="332" spans="1:31" ht="15.5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E332"/>
    </row>
    <row r="333" spans="1:31" ht="15.5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E333"/>
    </row>
    <row r="334" spans="1:31" ht="15.5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E334"/>
    </row>
    <row r="335" spans="1:31" ht="15.5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E335"/>
    </row>
    <row r="336" spans="1:31" ht="15.5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E336"/>
    </row>
    <row r="337" spans="1:31" ht="15.5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E337"/>
    </row>
    <row r="338" spans="1:31" ht="15.5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E338"/>
    </row>
    <row r="339" spans="1:31" ht="15.5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E339"/>
    </row>
    <row r="340" spans="1:31" ht="15.5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E340"/>
    </row>
    <row r="341" spans="1:31" ht="15.5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E341"/>
    </row>
    <row r="342" spans="1:31" ht="15.5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E342"/>
    </row>
    <row r="343" spans="1:31" ht="15.5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E343"/>
    </row>
    <row r="344" spans="1:31" ht="15.5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E344"/>
    </row>
    <row r="345" spans="1:31" ht="15.5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E345"/>
    </row>
    <row r="346" spans="1:31" ht="15.5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E346"/>
    </row>
    <row r="347" spans="1:31" ht="15.5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E347"/>
    </row>
    <row r="348" spans="1:31" ht="15.5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E348"/>
    </row>
    <row r="349" spans="1:31" ht="15.5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E349"/>
    </row>
    <row r="350" spans="1:31" ht="15.5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E350"/>
    </row>
    <row r="351" spans="1:31" ht="15.5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E351"/>
    </row>
    <row r="352" spans="1:31" ht="15.5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E352"/>
    </row>
    <row r="353" spans="1:31" ht="15.5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E353"/>
    </row>
    <row r="354" spans="1:31" ht="15.5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E354"/>
    </row>
    <row r="355" spans="1:31" ht="15.5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E355"/>
    </row>
    <row r="356" spans="1:31" ht="15.5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E356"/>
    </row>
    <row r="357" spans="1:31" ht="15.5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E357"/>
    </row>
    <row r="358" spans="1:31" ht="15.5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E358"/>
    </row>
    <row r="359" spans="1:31" ht="15.5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E359"/>
    </row>
    <row r="360" spans="1:31" ht="15.5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E360"/>
    </row>
    <row r="361" spans="1:31" ht="15.5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E361"/>
    </row>
    <row r="362" spans="1:31" ht="15.5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E362"/>
    </row>
    <row r="363" spans="1:31" ht="15.5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E363"/>
    </row>
    <row r="364" spans="1:31" ht="15.5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E364"/>
    </row>
    <row r="365" spans="1:31" ht="15.5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E365"/>
    </row>
    <row r="366" spans="1:31" ht="15.5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E366"/>
    </row>
    <row r="367" spans="1:31" ht="15.5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E367"/>
    </row>
    <row r="368" spans="1:31" ht="15.5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E368"/>
    </row>
    <row r="369" spans="1:31" ht="15.5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E369"/>
    </row>
    <row r="370" spans="1:31" ht="15.5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E370"/>
    </row>
    <row r="371" spans="1:31" ht="15.5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E371"/>
    </row>
    <row r="372" spans="1:31" ht="15.5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E372"/>
    </row>
    <row r="373" spans="1:31" ht="15.5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E373"/>
    </row>
    <row r="374" spans="1:31" ht="15.5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E374"/>
    </row>
    <row r="375" spans="1:31" ht="15.5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E375"/>
    </row>
    <row r="376" spans="1:31" ht="15.5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E376"/>
    </row>
    <row r="377" spans="1:31" ht="15.5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E377"/>
    </row>
    <row r="378" spans="1:31" ht="15.5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E378"/>
    </row>
    <row r="379" spans="1:31" ht="15.5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E379"/>
    </row>
    <row r="380" spans="1:31" ht="15.5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E380"/>
    </row>
    <row r="381" spans="1:31" ht="15.5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E381"/>
    </row>
    <row r="382" spans="1:31" ht="15.5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E382"/>
    </row>
    <row r="383" spans="1:31" ht="15.5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E383"/>
    </row>
    <row r="384" spans="1:31" ht="15.5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E384"/>
    </row>
    <row r="385" spans="1:31" ht="15.5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E385"/>
    </row>
    <row r="386" spans="1:31" ht="15.5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E386"/>
    </row>
    <row r="387" spans="1:31" ht="15.5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E387"/>
    </row>
    <row r="388" spans="1:31" ht="15.5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E388"/>
    </row>
    <row r="389" spans="1:31" ht="15.5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E389"/>
    </row>
    <row r="390" spans="1:31" ht="15.5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E390"/>
    </row>
    <row r="391" spans="1:31" ht="15.5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E391"/>
    </row>
    <row r="392" spans="1:31" ht="15.5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E392"/>
    </row>
    <row r="393" spans="1:31" ht="15.5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E393"/>
    </row>
    <row r="394" spans="1:31" ht="15.5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E394"/>
    </row>
    <row r="395" spans="1:31" ht="15.5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E395"/>
    </row>
    <row r="396" spans="1:31" ht="15.5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E396"/>
    </row>
    <row r="397" spans="1:31" ht="15.5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E397"/>
    </row>
    <row r="398" spans="1:31" ht="15.5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E398"/>
    </row>
    <row r="399" spans="1:31" ht="15.5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E399"/>
    </row>
    <row r="400" spans="1:31" ht="15.5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E400"/>
    </row>
    <row r="401" spans="1:31" ht="15.5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E401"/>
    </row>
    <row r="402" spans="1:31" ht="15.5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E402"/>
    </row>
    <row r="403" spans="1:31" ht="15.5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E403"/>
    </row>
    <row r="404" spans="1:31" ht="15.5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E404"/>
    </row>
    <row r="405" spans="1:31" ht="15.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E405"/>
    </row>
    <row r="406" spans="1:31" ht="15.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E406"/>
    </row>
    <row r="407" spans="1:31" ht="15.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E407"/>
    </row>
    <row r="408" spans="1:31" ht="15.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E408"/>
    </row>
    <row r="409" spans="1:31" ht="15.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E409"/>
    </row>
    <row r="410" spans="1:31" ht="15.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E410"/>
    </row>
    <row r="411" spans="1:31" ht="15.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E411"/>
    </row>
    <row r="412" spans="1:31" ht="15.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E412"/>
    </row>
    <row r="413" spans="1:31" ht="15.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E413"/>
    </row>
    <row r="414" spans="1:31" ht="15.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E414"/>
    </row>
    <row r="415" spans="1:31" ht="15.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E415"/>
    </row>
    <row r="416" spans="1:31" ht="15.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E416"/>
    </row>
    <row r="417" spans="1:31" ht="15.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E417"/>
    </row>
    <row r="418" spans="1:31" ht="15.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E418"/>
    </row>
    <row r="419" spans="1:31" ht="15.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E419"/>
    </row>
    <row r="420" spans="1:31" ht="15.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E420"/>
    </row>
    <row r="421" spans="1:31" ht="15.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E421"/>
    </row>
    <row r="422" spans="1:31" ht="15.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E422"/>
    </row>
    <row r="423" spans="1:31" ht="15.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E423"/>
    </row>
    <row r="424" spans="1:31" ht="15.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E424"/>
    </row>
    <row r="425" spans="1:31" ht="15.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E425"/>
    </row>
    <row r="426" spans="1:31" ht="15.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E426"/>
    </row>
    <row r="427" spans="1:31" ht="15.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E427"/>
    </row>
    <row r="428" spans="1:31" ht="15.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E428"/>
    </row>
    <row r="429" spans="1:31" ht="15.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E429"/>
    </row>
    <row r="430" spans="1:31" ht="15.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E430"/>
    </row>
    <row r="431" spans="1:31" ht="15.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E431"/>
    </row>
    <row r="432" spans="1:31" ht="15.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E432"/>
    </row>
    <row r="433" spans="1:31" ht="15.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E433"/>
    </row>
    <row r="434" spans="1:31" ht="15.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E434"/>
    </row>
    <row r="435" spans="1:31" ht="15.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E435"/>
    </row>
    <row r="436" spans="1:31" ht="15.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E436"/>
    </row>
    <row r="437" spans="1:31" ht="15.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E437"/>
    </row>
    <row r="438" spans="1:31" ht="15.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E438"/>
    </row>
    <row r="439" spans="1:31" ht="15.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E439"/>
    </row>
    <row r="440" spans="1:31" ht="15.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E440"/>
    </row>
    <row r="441" spans="1:31" ht="15.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E441"/>
    </row>
    <row r="442" spans="1:31" ht="15.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  <c r="Y442"/>
      <c r="Z442"/>
      <c r="AA442"/>
      <c r="AB442"/>
      <c r="AC442"/>
      <c r="AE442"/>
    </row>
    <row r="443" spans="1:31" ht="15.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E443"/>
    </row>
    <row r="444" spans="1:31" ht="15.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E444"/>
    </row>
    <row r="445" spans="1:31" ht="15.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E445"/>
    </row>
    <row r="446" spans="1:31" ht="15.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  <c r="Y446"/>
      <c r="Z446"/>
      <c r="AA446"/>
      <c r="AB446"/>
      <c r="AC446"/>
      <c r="AE446"/>
    </row>
    <row r="447" spans="1:31" ht="15.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E447"/>
    </row>
    <row r="448" spans="1:31" ht="15.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E448"/>
    </row>
    <row r="449" spans="1:31" ht="15.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E449"/>
    </row>
    <row r="450" spans="1:31" ht="15.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E450"/>
    </row>
    <row r="451" spans="1:31" ht="15.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/>
      <c r="AE451"/>
    </row>
    <row r="452" spans="1:31" ht="15.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E452"/>
    </row>
    <row r="453" spans="1:31" ht="15.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E453"/>
    </row>
    <row r="454" spans="1:31" ht="15.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E454"/>
    </row>
    <row r="455" spans="1:31" ht="15.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/>
      <c r="AE455"/>
    </row>
    <row r="456" spans="1:31" ht="15.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E456"/>
    </row>
    <row r="457" spans="1:31" ht="15.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E457"/>
    </row>
    <row r="458" spans="1:31" ht="15.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E458"/>
    </row>
    <row r="459" spans="1:31" ht="15.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  <c r="Y459"/>
      <c r="Z459"/>
      <c r="AA459"/>
      <c r="AB459"/>
      <c r="AC459"/>
      <c r="AE459"/>
    </row>
    <row r="460" spans="1:31" ht="15.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E460"/>
    </row>
    <row r="461" spans="1:31" ht="15.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/>
      <c r="AE461"/>
    </row>
    <row r="462" spans="1:31" ht="15.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E462"/>
    </row>
    <row r="463" spans="1:31" ht="15.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E463"/>
    </row>
    <row r="464" spans="1:31" ht="15.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E464"/>
    </row>
    <row r="465" spans="1:31" ht="15.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  <c r="Y465"/>
      <c r="Z465"/>
      <c r="AA465"/>
      <c r="AB465"/>
      <c r="AC465"/>
      <c r="AE465"/>
    </row>
    <row r="466" spans="1:31" ht="15.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E466"/>
    </row>
    <row r="467" spans="1:31" ht="15.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/>
      <c r="AE467"/>
    </row>
    <row r="468" spans="1:31" ht="15.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E468"/>
    </row>
    <row r="469" spans="1:31" ht="15.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/>
      <c r="AE469"/>
    </row>
    <row r="470" spans="1:31" ht="15.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E470"/>
    </row>
    <row r="471" spans="1:31" ht="15.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/>
      <c r="AE471"/>
    </row>
    <row r="472" spans="1:31" ht="15.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E472"/>
    </row>
    <row r="473" spans="1:31" ht="15.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  <c r="AA473"/>
      <c r="AB473"/>
      <c r="AC473"/>
      <c r="AE473"/>
    </row>
    <row r="474" spans="1:31" ht="15.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E474"/>
    </row>
    <row r="475" spans="1:31" ht="15.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E475"/>
    </row>
    <row r="476" spans="1:31" ht="15.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E476"/>
    </row>
    <row r="477" spans="1:31" ht="15.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E477"/>
    </row>
    <row r="478" spans="1:31" ht="15.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E478"/>
    </row>
    <row r="479" spans="1:31" ht="15.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E479"/>
    </row>
  </sheetData>
  <autoFilter ref="A1:AN304" xr:uid="{00000000-0009-0000-0000-000000000000}"/>
  <conditionalFormatting sqref="A2:A269">
    <cfRule type="duplicateValues" dxfId="748" priority="38"/>
  </conditionalFormatting>
  <conditionalFormatting sqref="A270:A303">
    <cfRule type="duplicateValues" dxfId="747" priority="9"/>
    <cfRule type="duplicateValues" dxfId="746" priority="10"/>
    <cfRule type="duplicateValues" dxfId="745" priority="11"/>
    <cfRule type="duplicateValues" dxfId="744" priority="12"/>
    <cfRule type="duplicateValues" dxfId="743" priority="13"/>
    <cfRule type="duplicateValues" dxfId="742" priority="14"/>
    <cfRule type="duplicateValues" dxfId="741" priority="15"/>
    <cfRule type="duplicateValues" dxfId="740" priority="16"/>
    <cfRule type="duplicateValues" dxfId="739" priority="17"/>
    <cfRule type="duplicateValues" dxfId="738" priority="18"/>
    <cfRule type="duplicateValues" dxfId="737" priority="19"/>
    <cfRule type="duplicateValues" dxfId="736" priority="20"/>
    <cfRule type="duplicateValues" dxfId="735" priority="21"/>
    <cfRule type="duplicateValues" dxfId="734" priority="22"/>
    <cfRule type="duplicateValues" dxfId="733" priority="23"/>
  </conditionalFormatting>
  <conditionalFormatting sqref="A309 A480:A1048576 A1">
    <cfRule type="duplicateValues" dxfId="732" priority="26"/>
  </conditionalFormatting>
  <conditionalFormatting sqref="B1:B1048576">
    <cfRule type="duplicateValues" dxfId="731" priority="1"/>
  </conditionalFormatting>
  <conditionalFormatting sqref="B480:B1048576 B1:B313">
    <cfRule type="duplicateValues" dxfId="730" priority="2"/>
    <cfRule type="duplicateValues" dxfId="729" priority="3"/>
    <cfRule type="duplicateValues" dxfId="728" priority="4"/>
    <cfRule type="duplicateValues" dxfId="727" priority="6"/>
    <cfRule type="duplicateValues" dxfId="726" priority="7"/>
    <cfRule type="duplicateValues" dxfId="725" priority="8"/>
  </conditionalFormatting>
  <conditionalFormatting sqref="I1:I285 V1:V303 J2:J285 I286:J303 I305:I307 I480:I1048576">
    <cfRule type="cellIs" dxfId="724" priority="24" operator="lessThan">
      <formula>0</formula>
    </cfRule>
  </conditionalFormatting>
  <conditionalFormatting sqref="M1">
    <cfRule type="cellIs" dxfId="723" priority="25" operator="lessThan">
      <formula>0</formula>
    </cfRule>
  </conditionalFormatting>
  <conditionalFormatting sqref="M305:M313 M480:M1048576">
    <cfRule type="cellIs" dxfId="722" priority="27" operator="lessThan">
      <formula>0</formula>
    </cfRule>
  </conditionalFormatting>
  <conditionalFormatting sqref="R1:R313 J304:Q304 R480:R1048576">
    <cfRule type="expression" dxfId="721" priority="5">
      <formula>AND($R1&lt;&gt;0,OR($R1&gt;$N1/3,$R1=$N1/3))</formula>
    </cfRule>
  </conditionalFormatting>
  <conditionalFormatting sqref="T2:T303">
    <cfRule type="expression" dxfId="720" priority="37">
      <formula>$T2&gt;$N2</formula>
    </cfRule>
  </conditionalFormatting>
  <conditionalFormatting sqref="T2:V303 I304:V304">
    <cfRule type="cellIs" dxfId="719" priority="31" stopIfTrue="1" operator="equal">
      <formula>0</formula>
    </cfRule>
  </conditionalFormatting>
  <conditionalFormatting sqref="V559:V1048576">
    <cfRule type="cellIs" dxfId="718" priority="32" operator="lessThan">
      <formula>0</formula>
    </cfRule>
  </conditionalFormatting>
  <conditionalFormatting sqref="X2:X304">
    <cfRule type="expression" dxfId="717" priority="28">
      <formula>AK2&lt;AJ2</formula>
    </cfRule>
    <cfRule type="expression" dxfId="716" priority="29">
      <formula>AK2&gt;AJ2</formula>
    </cfRule>
  </conditionalFormatting>
  <conditionalFormatting sqref="Y1">
    <cfRule type="expression" dxfId="715" priority="33">
      <formula>COUNTIF($AC$1,"THERE IS ERROR")</formula>
    </cfRule>
    <cfRule type="expression" dxfId="714" priority="34">
      <formula>COUNTIF($AC$1,"ITS OKAY")</formula>
    </cfRule>
  </conditionalFormatting>
  <conditionalFormatting sqref="AC1">
    <cfRule type="expression" dxfId="713" priority="35">
      <formula>COUNTIF($AC$1,"THERE IS ERROR")</formula>
    </cfRule>
    <cfRule type="expression" dxfId="712" priority="36">
      <formula>COUNTIF($AC$1,"ITS OKAY")</formula>
    </cfRule>
  </conditionalFormatting>
  <conditionalFormatting sqref="AL2:AL304">
    <cfRule type="cellIs" dxfId="711" priority="30" operator="equal">
      <formula>0</formula>
    </cfRule>
  </conditionalFormatting>
  <pageMargins left="0.25" right="0.25" top="0.75" bottom="0.75" header="0.3" footer="0.3"/>
  <pageSetup paperSize="9" scale="24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7D617D-F010-4C03-B587-EF8D216055EB}">
          <x14:formula1>
            <xm:f>'Categories Data'!$B$2:$B$33</xm:f>
          </x14:formula1>
          <xm:sqref>S2:S303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60E47-E1AA-4753-B524-7FB77111AB1E}">
  <sheetPr>
    <tabColor rgb="FFC00000"/>
  </sheetPr>
  <dimension ref="A1:F33"/>
  <sheetViews>
    <sheetView workbookViewId="0">
      <selection activeCell="D21" sqref="D21"/>
    </sheetView>
  </sheetViews>
  <sheetFormatPr defaultRowHeight="12.5" x14ac:dyDescent="0.25"/>
  <cols>
    <col min="1" max="1" width="3" style="159" bestFit="1" customWidth="1"/>
    <col min="2" max="2" width="16.26953125" style="159" bestFit="1" customWidth="1"/>
    <col min="3" max="3" width="10.1796875" style="159" bestFit="1" customWidth="1"/>
    <col min="4" max="4" width="21.7265625" style="159" bestFit="1" customWidth="1"/>
    <col min="5" max="5" width="12.26953125" style="159" bestFit="1" customWidth="1"/>
    <col min="6" max="6" width="9.26953125" bestFit="1" customWidth="1"/>
    <col min="12" max="12" width="16.26953125" bestFit="1" customWidth="1"/>
  </cols>
  <sheetData>
    <row r="1" spans="1:6" ht="19.5" customHeight="1" x14ac:dyDescent="0.3">
      <c r="A1" s="696" t="s">
        <v>0</v>
      </c>
      <c r="B1" s="696" t="s">
        <v>7</v>
      </c>
      <c r="C1" s="696" t="s">
        <v>13</v>
      </c>
      <c r="D1" s="696" t="s">
        <v>16</v>
      </c>
      <c r="E1" s="696" t="s">
        <v>17</v>
      </c>
      <c r="F1" s="696" t="s">
        <v>599</v>
      </c>
    </row>
    <row r="2" spans="1:6" x14ac:dyDescent="0.25">
      <c r="A2" s="695">
        <v>1</v>
      </c>
      <c r="B2" s="695" t="s">
        <v>232</v>
      </c>
      <c r="C2" s="695">
        <f>SUMIF('Cutters Inventory 12-30-2025'!R:R,B2,'Cutters Inventory 12-30-2025'!M:M)</f>
        <v>20</v>
      </c>
      <c r="D2" s="695">
        <f ca="1">SUMIF('Cutters Inventory 12-30-2025'!R:R,B2,'Cutters Inventory 12-30-2025'!P:P)</f>
        <v>44</v>
      </c>
      <c r="E2" s="695">
        <f ca="1">IF(D2&lt;=1, 0,
 CEILING(
  IF(D2&gt;=300, D2+10,
  IF(D2&gt;=200, D2+5,
  IF(D2&gt;=100, D2+5,
  IF(D2&gt;=50, D2+2,
  IF(D2&gt;=20, D2+2,
  IF(D2&gt;=10, D2+2,
  IF(D2&gt;=5,  D2+2,
  D2+1))))))), 5))</f>
        <v>50</v>
      </c>
      <c r="F2" s="695">
        <f ca="1">IF(C2&gt;E2,"",E2-C2)</f>
        <v>30</v>
      </c>
    </row>
    <row r="3" spans="1:6" x14ac:dyDescent="0.25">
      <c r="A3" s="695">
        <v>2</v>
      </c>
      <c r="B3" s="695" t="s">
        <v>84</v>
      </c>
      <c r="C3" s="695">
        <f>SUMIF('Cutters Inventory 12-30-2025'!R:R,B3,'Cutters Inventory 12-30-2025'!M:M)</f>
        <v>90</v>
      </c>
      <c r="D3" s="695">
        <f ca="1">SUMIF('Cutters Inventory 12-30-2025'!R:R,B3,'Cutters Inventory 12-30-2025'!P:P)</f>
        <v>18</v>
      </c>
      <c r="E3" s="695">
        <f t="shared" ref="E3:E33" ca="1" si="0">IF(D3&lt;=1, 0,
 CEILING(
  IF(D3&gt;=300, D3+10,
  IF(D3&gt;=200, D3+5,
  IF(D3&gt;=100, D3+5,
  IF(D3&gt;=50, D3+2,
  IF(D3&gt;=20, D3+2,
  IF(D3&gt;=10, D3+2,
  IF(D3&gt;=5,  D3+2,
  D3+1))))))), 5))</f>
        <v>20</v>
      </c>
      <c r="F3" s="695" t="str">
        <f t="shared" ref="F3:F33" ca="1" si="1">IF(C3&gt;E3,"",E3-C3)</f>
        <v/>
      </c>
    </row>
    <row r="4" spans="1:6" x14ac:dyDescent="0.25">
      <c r="A4" s="695">
        <v>3</v>
      </c>
      <c r="B4" s="695" t="s">
        <v>140</v>
      </c>
      <c r="C4" s="695">
        <f>SUMIF('Cutters Inventory 12-30-2025'!R:R,B4,'Cutters Inventory 12-30-2025'!M:M)</f>
        <v>6</v>
      </c>
      <c r="D4" s="695">
        <f ca="1">SUMIF('Cutters Inventory 12-30-2025'!R:R,B4,'Cutters Inventory 12-30-2025'!P:P)</f>
        <v>0</v>
      </c>
      <c r="E4" s="695">
        <f t="shared" ca="1" si="0"/>
        <v>0</v>
      </c>
      <c r="F4" s="695" t="str">
        <f t="shared" ca="1" si="1"/>
        <v/>
      </c>
    </row>
    <row r="5" spans="1:6" x14ac:dyDescent="0.25">
      <c r="A5" s="695">
        <v>4</v>
      </c>
      <c r="B5" s="695" t="s">
        <v>67</v>
      </c>
      <c r="C5" s="695">
        <f>SUMIF('Cutters Inventory 12-30-2025'!R:R,B5,'Cutters Inventory 12-30-2025'!M:M)</f>
        <v>-19</v>
      </c>
      <c r="D5" s="695">
        <f ca="1">SUMIF('Cutters Inventory 12-30-2025'!R:R,B5,'Cutters Inventory 12-30-2025'!P:P)</f>
        <v>99</v>
      </c>
      <c r="E5" s="695">
        <f t="shared" ca="1" si="0"/>
        <v>105</v>
      </c>
      <c r="F5" s="695">
        <f t="shared" ca="1" si="1"/>
        <v>124</v>
      </c>
    </row>
    <row r="6" spans="1:6" x14ac:dyDescent="0.25">
      <c r="A6" s="695">
        <v>5</v>
      </c>
      <c r="B6" s="695" t="s">
        <v>121</v>
      </c>
      <c r="C6" s="695">
        <f>SUMIF('Cutters Inventory 12-30-2025'!R:R,B6,'Cutters Inventory 12-30-2025'!M:M)</f>
        <v>293</v>
      </c>
      <c r="D6" s="695">
        <f ca="1">SUMIF('Cutters Inventory 12-30-2025'!R:R,B6,'Cutters Inventory 12-30-2025'!P:P)</f>
        <v>240</v>
      </c>
      <c r="E6" s="695">
        <f t="shared" ca="1" si="0"/>
        <v>245</v>
      </c>
      <c r="F6" s="695" t="str">
        <f t="shared" ca="1" si="1"/>
        <v/>
      </c>
    </row>
    <row r="7" spans="1:6" x14ac:dyDescent="0.25">
      <c r="A7" s="695">
        <v>6</v>
      </c>
      <c r="B7" s="695" t="s">
        <v>118</v>
      </c>
      <c r="C7" s="695">
        <f>SUMIF('Cutters Inventory 12-30-2025'!R:R,B7,'Cutters Inventory 12-30-2025'!M:M)</f>
        <v>29</v>
      </c>
      <c r="D7" s="695">
        <f ca="1">SUMIF('Cutters Inventory 12-30-2025'!R:R,B7,'Cutters Inventory 12-30-2025'!P:P)</f>
        <v>13</v>
      </c>
      <c r="E7" s="695">
        <f t="shared" ca="1" si="0"/>
        <v>15</v>
      </c>
      <c r="F7" s="695" t="str">
        <f t="shared" ca="1" si="1"/>
        <v/>
      </c>
    </row>
    <row r="8" spans="1:6" x14ac:dyDescent="0.25">
      <c r="A8" s="695">
        <v>7</v>
      </c>
      <c r="B8" s="695" t="s">
        <v>112</v>
      </c>
      <c r="C8" s="695">
        <f>SUMIF('Cutters Inventory 12-30-2025'!R:R,B8,'Cutters Inventory 12-30-2025'!M:M)</f>
        <v>-214</v>
      </c>
      <c r="D8" s="695">
        <f ca="1">SUMIF('Cutters Inventory 12-30-2025'!R:R,B8,'Cutters Inventory 12-30-2025'!P:P)</f>
        <v>208</v>
      </c>
      <c r="E8" s="695">
        <f t="shared" ca="1" si="0"/>
        <v>215</v>
      </c>
      <c r="F8" s="695">
        <f t="shared" ca="1" si="1"/>
        <v>429</v>
      </c>
    </row>
    <row r="9" spans="1:6" x14ac:dyDescent="0.25">
      <c r="A9" s="695">
        <v>8</v>
      </c>
      <c r="B9" s="695" t="s">
        <v>158</v>
      </c>
      <c r="C9" s="695">
        <f>SUMIF('Cutters Inventory 12-30-2025'!R:R,B9,'Cutters Inventory 12-30-2025'!M:M)</f>
        <v>53</v>
      </c>
      <c r="D9" s="695">
        <f ca="1">SUMIF('Cutters Inventory 12-30-2025'!R:R,B9,'Cutters Inventory 12-30-2025'!P:P)</f>
        <v>8</v>
      </c>
      <c r="E9" s="695">
        <f t="shared" ca="1" si="0"/>
        <v>10</v>
      </c>
      <c r="F9" s="695" t="str">
        <f t="shared" ca="1" si="1"/>
        <v/>
      </c>
    </row>
    <row r="10" spans="1:6" x14ac:dyDescent="0.25">
      <c r="A10" s="695">
        <v>9</v>
      </c>
      <c r="B10" s="695" t="s">
        <v>224</v>
      </c>
      <c r="C10" s="695">
        <f>SUMIF('Cutters Inventory 12-30-2025'!R:R,B10,'Cutters Inventory 12-30-2025'!M:M)</f>
        <v>0</v>
      </c>
      <c r="D10" s="695">
        <f ca="1">SUMIF('Cutters Inventory 12-30-2025'!R:R,B10,'Cutters Inventory 12-30-2025'!P:P)</f>
        <v>0</v>
      </c>
      <c r="E10" s="695">
        <f t="shared" ca="1" si="0"/>
        <v>0</v>
      </c>
      <c r="F10" s="695">
        <f t="shared" ca="1" si="1"/>
        <v>0</v>
      </c>
    </row>
    <row r="11" spans="1:6" x14ac:dyDescent="0.25">
      <c r="A11" s="695">
        <v>10</v>
      </c>
      <c r="B11" s="695" t="s">
        <v>223</v>
      </c>
      <c r="C11" s="695">
        <f>SUMIF('Cutters Inventory 12-30-2025'!R:R,B11,'Cutters Inventory 12-30-2025'!M:M)</f>
        <v>-75</v>
      </c>
      <c r="D11" s="695">
        <f ca="1">SUMIF('Cutters Inventory 12-30-2025'!R:R,B11,'Cutters Inventory 12-30-2025'!P:P)</f>
        <v>37</v>
      </c>
      <c r="E11" s="695">
        <f t="shared" ca="1" si="0"/>
        <v>40</v>
      </c>
      <c r="F11" s="695">
        <f t="shared" ca="1" si="1"/>
        <v>115</v>
      </c>
    </row>
    <row r="12" spans="1:6" x14ac:dyDescent="0.25">
      <c r="A12" s="695">
        <v>11</v>
      </c>
      <c r="B12" s="695" t="s">
        <v>126</v>
      </c>
      <c r="C12" s="695">
        <f>SUMIF('Cutters Inventory 12-30-2025'!R:R,B12,'Cutters Inventory 12-30-2025'!M:M)</f>
        <v>33</v>
      </c>
      <c r="D12" s="695">
        <f ca="1">SUMIF('Cutters Inventory 12-30-2025'!R:R,B12,'Cutters Inventory 12-30-2025'!P:P)</f>
        <v>71</v>
      </c>
      <c r="E12" s="695">
        <f t="shared" ca="1" si="0"/>
        <v>75</v>
      </c>
      <c r="F12" s="695">
        <f t="shared" ca="1" si="1"/>
        <v>42</v>
      </c>
    </row>
    <row r="13" spans="1:6" x14ac:dyDescent="0.25">
      <c r="A13" s="695">
        <v>12</v>
      </c>
      <c r="B13" s="695" t="s">
        <v>181</v>
      </c>
      <c r="C13" s="695">
        <f>SUMIF('Cutters Inventory 12-30-2025'!R:R,B13,'Cutters Inventory 12-30-2025'!M:M)</f>
        <v>40</v>
      </c>
      <c r="D13" s="695">
        <f ca="1">SUMIF('Cutters Inventory 12-30-2025'!R:R,B13,'Cutters Inventory 12-30-2025'!P:P)</f>
        <v>26</v>
      </c>
      <c r="E13" s="695">
        <f t="shared" ca="1" si="0"/>
        <v>30</v>
      </c>
      <c r="F13" s="695" t="str">
        <f t="shared" ca="1" si="1"/>
        <v/>
      </c>
    </row>
    <row r="14" spans="1:6" x14ac:dyDescent="0.25">
      <c r="A14" s="695">
        <v>13</v>
      </c>
      <c r="B14" s="695" t="s">
        <v>89</v>
      </c>
      <c r="C14" s="695">
        <f>SUMIF('Cutters Inventory 12-30-2025'!R:R,B14,'Cutters Inventory 12-30-2025'!M:M)</f>
        <v>82</v>
      </c>
      <c r="D14" s="695">
        <f ca="1">SUMIF('Cutters Inventory 12-30-2025'!R:R,B14,'Cutters Inventory 12-30-2025'!P:P)</f>
        <v>43</v>
      </c>
      <c r="E14" s="695">
        <f t="shared" ca="1" si="0"/>
        <v>45</v>
      </c>
      <c r="F14" s="695" t="str">
        <f t="shared" ca="1" si="1"/>
        <v/>
      </c>
    </row>
    <row r="15" spans="1:6" x14ac:dyDescent="0.25">
      <c r="A15" s="695">
        <v>14</v>
      </c>
      <c r="B15" s="695" t="s">
        <v>52</v>
      </c>
      <c r="C15" s="695">
        <f>SUMIF('Cutters Inventory 12-30-2025'!R:R,B15,'Cutters Inventory 12-30-2025'!M:M)</f>
        <v>-234</v>
      </c>
      <c r="D15" s="695">
        <f ca="1">SUMIF('Cutters Inventory 12-30-2025'!R:R,B15,'Cutters Inventory 12-30-2025'!P:P)</f>
        <v>298</v>
      </c>
      <c r="E15" s="695">
        <f t="shared" ca="1" si="0"/>
        <v>305</v>
      </c>
      <c r="F15" s="695">
        <f t="shared" ca="1" si="1"/>
        <v>539</v>
      </c>
    </row>
    <row r="16" spans="1:6" x14ac:dyDescent="0.25">
      <c r="A16" s="695">
        <v>15</v>
      </c>
      <c r="B16" s="695" t="s">
        <v>119</v>
      </c>
      <c r="C16" s="695">
        <f>SUMIF('Cutters Inventory 12-30-2025'!R:R,B16,'Cutters Inventory 12-30-2025'!M:M)</f>
        <v>4</v>
      </c>
      <c r="D16" s="695">
        <f ca="1">SUMIF('Cutters Inventory 12-30-2025'!R:R,B16,'Cutters Inventory 12-30-2025'!P:P)</f>
        <v>25</v>
      </c>
      <c r="E16" s="695">
        <f t="shared" ca="1" si="0"/>
        <v>30</v>
      </c>
      <c r="F16" s="695">
        <f t="shared" ca="1" si="1"/>
        <v>26</v>
      </c>
    </row>
    <row r="17" spans="1:6" x14ac:dyDescent="0.25">
      <c r="A17" s="695">
        <v>16</v>
      </c>
      <c r="B17" s="695" t="s">
        <v>104</v>
      </c>
      <c r="C17" s="695">
        <f>SUMIF('Cutters Inventory 12-30-2025'!R:R,B17,'Cutters Inventory 12-30-2025'!M:M)</f>
        <v>202</v>
      </c>
      <c r="D17" s="695">
        <f ca="1">SUMIF('Cutters Inventory 12-30-2025'!R:R,B17,'Cutters Inventory 12-30-2025'!P:P)</f>
        <v>95</v>
      </c>
      <c r="E17" s="695">
        <f t="shared" ca="1" si="0"/>
        <v>100</v>
      </c>
      <c r="F17" s="695" t="str">
        <f t="shared" ca="1" si="1"/>
        <v/>
      </c>
    </row>
    <row r="18" spans="1:6" x14ac:dyDescent="0.25">
      <c r="A18" s="695">
        <v>17</v>
      </c>
      <c r="B18" s="695" t="s">
        <v>115</v>
      </c>
      <c r="C18" s="695">
        <f>SUMIF('Cutters Inventory 12-30-2025'!R:R,B18,'Cutters Inventory 12-30-2025'!M:M)</f>
        <v>96</v>
      </c>
      <c r="D18" s="695">
        <f ca="1">SUMIF('Cutters Inventory 12-30-2025'!R:R,B18,'Cutters Inventory 12-30-2025'!P:P)</f>
        <v>427</v>
      </c>
      <c r="E18" s="695">
        <f t="shared" ca="1" si="0"/>
        <v>440</v>
      </c>
      <c r="F18" s="695">
        <f t="shared" ca="1" si="1"/>
        <v>344</v>
      </c>
    </row>
    <row r="19" spans="1:6" x14ac:dyDescent="0.25">
      <c r="A19" s="695">
        <v>18</v>
      </c>
      <c r="B19" s="695" t="s">
        <v>171</v>
      </c>
      <c r="C19" s="695">
        <f>SUMIF('Cutters Inventory 12-30-2025'!R:R,B19,'Cutters Inventory 12-30-2025'!M:M)</f>
        <v>124</v>
      </c>
      <c r="D19" s="695">
        <f ca="1">SUMIF('Cutters Inventory 12-30-2025'!R:R,B19,'Cutters Inventory 12-30-2025'!P:P)</f>
        <v>77</v>
      </c>
      <c r="E19" s="695">
        <f t="shared" ca="1" si="0"/>
        <v>80</v>
      </c>
      <c r="F19" s="695" t="str">
        <f t="shared" ca="1" si="1"/>
        <v/>
      </c>
    </row>
    <row r="20" spans="1:6" x14ac:dyDescent="0.25">
      <c r="A20" s="695">
        <v>19</v>
      </c>
      <c r="B20" s="695" t="s">
        <v>187</v>
      </c>
      <c r="C20" s="695">
        <f>SUMIF('Cutters Inventory 12-30-2025'!R:R,B20,'Cutters Inventory 12-30-2025'!M:M)</f>
        <v>44</v>
      </c>
      <c r="D20" s="695">
        <f ca="1">SUMIF('Cutters Inventory 12-30-2025'!R:R,B20,'Cutters Inventory 12-30-2025'!P:P)</f>
        <v>188</v>
      </c>
      <c r="E20" s="695">
        <f t="shared" ca="1" si="0"/>
        <v>195</v>
      </c>
      <c r="F20" s="695">
        <f t="shared" ca="1" si="1"/>
        <v>151</v>
      </c>
    </row>
    <row r="21" spans="1:6" x14ac:dyDescent="0.25">
      <c r="A21" s="695">
        <v>20</v>
      </c>
      <c r="B21" s="695" t="s">
        <v>196</v>
      </c>
      <c r="C21" s="695">
        <f>SUMIF('Cutters Inventory 12-30-2025'!R:R,B21,'Cutters Inventory 12-30-2025'!M:M)</f>
        <v>461</v>
      </c>
      <c r="D21" s="695">
        <f ca="1">SUMIF('Cutters Inventory 12-30-2025'!R:R,B21,'Cutters Inventory 12-30-2025'!P:P)</f>
        <v>335</v>
      </c>
      <c r="E21" s="695">
        <f t="shared" ca="1" si="0"/>
        <v>345</v>
      </c>
      <c r="F21" s="695" t="str">
        <f t="shared" ca="1" si="1"/>
        <v/>
      </c>
    </row>
    <row r="22" spans="1:6" x14ac:dyDescent="0.25">
      <c r="A22" s="695">
        <v>21</v>
      </c>
      <c r="B22" s="695" t="s">
        <v>208</v>
      </c>
      <c r="C22" s="695">
        <f>SUMIF('Cutters Inventory 12-30-2025'!R:R,B22,'Cutters Inventory 12-30-2025'!M:M)</f>
        <v>144</v>
      </c>
      <c r="D22" s="695">
        <f ca="1">SUMIF('Cutters Inventory 12-30-2025'!R:R,B22,'Cutters Inventory 12-30-2025'!P:P)</f>
        <v>65</v>
      </c>
      <c r="E22" s="695">
        <f t="shared" ca="1" si="0"/>
        <v>70</v>
      </c>
      <c r="F22" s="695" t="str">
        <f t="shared" ca="1" si="1"/>
        <v/>
      </c>
    </row>
    <row r="23" spans="1:6" x14ac:dyDescent="0.25">
      <c r="A23" s="695">
        <v>22</v>
      </c>
      <c r="B23" s="695" t="s">
        <v>175</v>
      </c>
      <c r="C23" s="695">
        <f>SUMIF('Cutters Inventory 12-30-2025'!R:R,B23,'Cutters Inventory 12-30-2025'!M:M)</f>
        <v>184</v>
      </c>
      <c r="D23" s="695">
        <f ca="1">SUMIF('Cutters Inventory 12-30-2025'!R:R,B23,'Cutters Inventory 12-30-2025'!P:P)</f>
        <v>85</v>
      </c>
      <c r="E23" s="695">
        <f t="shared" ca="1" si="0"/>
        <v>90</v>
      </c>
      <c r="F23" s="695" t="str">
        <f t="shared" ca="1" si="1"/>
        <v/>
      </c>
    </row>
    <row r="24" spans="1:6" x14ac:dyDescent="0.25">
      <c r="A24" s="695">
        <v>23</v>
      </c>
      <c r="B24" s="695" t="s">
        <v>167</v>
      </c>
      <c r="C24" s="695">
        <f>SUMIF('Cutters Inventory 12-30-2025'!R:R,B24,'Cutters Inventory 12-30-2025'!M:M)</f>
        <v>102</v>
      </c>
      <c r="D24" s="695">
        <f ca="1">SUMIF('Cutters Inventory 12-30-2025'!R:R,B24,'Cutters Inventory 12-30-2025'!P:P)</f>
        <v>13</v>
      </c>
      <c r="E24" s="695">
        <f t="shared" ca="1" si="0"/>
        <v>15</v>
      </c>
      <c r="F24" s="695" t="str">
        <f t="shared" ca="1" si="1"/>
        <v/>
      </c>
    </row>
    <row r="25" spans="1:6" x14ac:dyDescent="0.25">
      <c r="A25" s="695">
        <v>24</v>
      </c>
      <c r="B25" s="695" t="s">
        <v>64</v>
      </c>
      <c r="C25" s="695">
        <f>SUMIF('Cutters Inventory 12-30-2025'!R:R,B25,'Cutters Inventory 12-30-2025'!M:M)</f>
        <v>507</v>
      </c>
      <c r="D25" s="695">
        <f ca="1">SUMIF('Cutters Inventory 12-30-2025'!R:R,B25,'Cutters Inventory 12-30-2025'!P:P)</f>
        <v>381</v>
      </c>
      <c r="E25" s="695">
        <f t="shared" ca="1" si="0"/>
        <v>395</v>
      </c>
      <c r="F25" s="695" t="str">
        <f t="shared" ca="1" si="1"/>
        <v/>
      </c>
    </row>
    <row r="26" spans="1:6" x14ac:dyDescent="0.25">
      <c r="A26" s="695">
        <v>25</v>
      </c>
      <c r="B26" s="695" t="s">
        <v>213</v>
      </c>
      <c r="C26" s="695">
        <f>SUMIF('Cutters Inventory 12-30-2025'!R:R,B26,'Cutters Inventory 12-30-2025'!M:M)</f>
        <v>607</v>
      </c>
      <c r="D26" s="695">
        <f ca="1">SUMIF('Cutters Inventory 12-30-2025'!R:R,B26,'Cutters Inventory 12-30-2025'!P:P)</f>
        <v>42</v>
      </c>
      <c r="E26" s="695">
        <f t="shared" ca="1" si="0"/>
        <v>45</v>
      </c>
      <c r="F26" s="695" t="str">
        <f t="shared" ca="1" si="1"/>
        <v/>
      </c>
    </row>
    <row r="27" spans="1:6" x14ac:dyDescent="0.25">
      <c r="A27" s="695">
        <v>26</v>
      </c>
      <c r="B27" s="695" t="s">
        <v>220</v>
      </c>
      <c r="C27" s="695">
        <f>SUMIF('Cutters Inventory 12-30-2025'!R:R,B27,'Cutters Inventory 12-30-2025'!M:M)</f>
        <v>116</v>
      </c>
      <c r="D27" s="695">
        <f ca="1">SUMIF('Cutters Inventory 12-30-2025'!R:R,B27,'Cutters Inventory 12-30-2025'!P:P)</f>
        <v>43</v>
      </c>
      <c r="E27" s="695">
        <f t="shared" ca="1" si="0"/>
        <v>45</v>
      </c>
      <c r="F27" s="695" t="str">
        <f t="shared" ca="1" si="1"/>
        <v/>
      </c>
    </row>
    <row r="28" spans="1:6" x14ac:dyDescent="0.25">
      <c r="A28" s="695">
        <v>27</v>
      </c>
      <c r="B28" s="695" t="s">
        <v>80</v>
      </c>
      <c r="C28" s="695">
        <f>SUMIF('Cutters Inventory 12-30-2025'!R:R,B28,'Cutters Inventory 12-30-2025'!M:M)</f>
        <v>353</v>
      </c>
      <c r="D28" s="695">
        <f ca="1">SUMIF('Cutters Inventory 12-30-2025'!R:R,B28,'Cutters Inventory 12-30-2025'!P:P)</f>
        <v>138</v>
      </c>
      <c r="E28" s="695">
        <f t="shared" ca="1" si="0"/>
        <v>145</v>
      </c>
      <c r="F28" s="695" t="str">
        <f t="shared" ca="1" si="1"/>
        <v/>
      </c>
    </row>
    <row r="29" spans="1:6" x14ac:dyDescent="0.25">
      <c r="A29" s="695">
        <v>28</v>
      </c>
      <c r="B29" s="695" t="s">
        <v>113</v>
      </c>
      <c r="C29" s="695">
        <f>SUMIF('Cutters Inventory 12-30-2025'!R:R,B29,'Cutters Inventory 12-30-2025'!M:M)</f>
        <v>42</v>
      </c>
      <c r="D29" s="695">
        <f ca="1">SUMIF('Cutters Inventory 12-30-2025'!R:R,B29,'Cutters Inventory 12-30-2025'!P:P)</f>
        <v>33</v>
      </c>
      <c r="E29" s="695">
        <f t="shared" ca="1" si="0"/>
        <v>35</v>
      </c>
      <c r="F29" s="695" t="str">
        <f t="shared" ca="1" si="1"/>
        <v/>
      </c>
    </row>
    <row r="30" spans="1:6" x14ac:dyDescent="0.25">
      <c r="A30" s="695">
        <v>29</v>
      </c>
      <c r="B30" s="695" t="s">
        <v>63</v>
      </c>
      <c r="C30" s="695">
        <f>SUMIF('Cutters Inventory 12-30-2025'!R:R,B30,'Cutters Inventory 12-30-2025'!M:M)</f>
        <v>169</v>
      </c>
      <c r="D30" s="695">
        <f ca="1">SUMIF('Cutters Inventory 12-30-2025'!R:R,B30,'Cutters Inventory 12-30-2025'!P:P)</f>
        <v>37</v>
      </c>
      <c r="E30" s="695">
        <f t="shared" ca="1" si="0"/>
        <v>40</v>
      </c>
      <c r="F30" s="695" t="str">
        <f t="shared" ca="1" si="1"/>
        <v/>
      </c>
    </row>
    <row r="31" spans="1:6" x14ac:dyDescent="0.25">
      <c r="A31" s="695">
        <v>30</v>
      </c>
      <c r="B31" s="695" t="s">
        <v>229</v>
      </c>
      <c r="C31" s="695">
        <f>SUMIF('Cutters Inventory 12-30-2025'!R:R,B31,'Cutters Inventory 12-30-2025'!M:M)</f>
        <v>242</v>
      </c>
      <c r="D31" s="695">
        <f ca="1">SUMIF('Cutters Inventory 12-30-2025'!R:R,B31,'Cutters Inventory 12-30-2025'!P:P)</f>
        <v>0</v>
      </c>
      <c r="E31" s="695">
        <f t="shared" ca="1" si="0"/>
        <v>0</v>
      </c>
      <c r="F31" s="695" t="str">
        <f t="shared" ca="1" si="1"/>
        <v/>
      </c>
    </row>
    <row r="32" spans="1:6" x14ac:dyDescent="0.25">
      <c r="A32" s="695">
        <v>31</v>
      </c>
      <c r="B32" s="695" t="s">
        <v>77</v>
      </c>
      <c r="C32" s="695">
        <f>SUMIF('Cutters Inventory 12-30-2025'!R:R,B32,'Cutters Inventory 12-30-2025'!M:M)</f>
        <v>146</v>
      </c>
      <c r="D32" s="695">
        <f ca="1">SUMIF('Cutters Inventory 12-30-2025'!R:R,B32,'Cutters Inventory 12-30-2025'!P:P)</f>
        <v>28</v>
      </c>
      <c r="E32" s="695">
        <f t="shared" ca="1" si="0"/>
        <v>30</v>
      </c>
      <c r="F32" s="695" t="str">
        <f t="shared" ca="1" si="1"/>
        <v/>
      </c>
    </row>
    <row r="33" spans="1:6" x14ac:dyDescent="0.25">
      <c r="A33" s="695">
        <v>32</v>
      </c>
      <c r="B33" s="695" t="s">
        <v>184</v>
      </c>
      <c r="C33" s="695">
        <f>SUMIF('Cutters Inventory 12-30-2025'!R:R,B33,'Cutters Inventory 12-30-2025'!M:M)</f>
        <v>1170</v>
      </c>
      <c r="D33" s="695">
        <f ca="1">SUMIF('Cutters Inventory 12-30-2025'!R:R,B33,'Cutters Inventory 12-30-2025'!P:P)</f>
        <v>813</v>
      </c>
      <c r="E33" s="695">
        <f t="shared" ca="1" si="0"/>
        <v>825</v>
      </c>
      <c r="F33" s="695" t="str">
        <f t="shared" ca="1" si="1"/>
        <v/>
      </c>
    </row>
  </sheetData>
  <conditionalFormatting sqref="E2:E57">
    <cfRule type="expression" dxfId="710" priority="2">
      <formula>AND($E2&lt;&gt;0,OR($E2&gt;$C2/3,$E2=$C2/3))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>
    <tabColor theme="7" tint="0.39997558519241921"/>
  </sheetPr>
  <dimension ref="A1:BG925"/>
  <sheetViews>
    <sheetView topLeftCell="S1" zoomScale="80" zoomScaleNormal="80" workbookViewId="0">
      <pane ySplit="1" topLeftCell="A577" activePane="bottomLeft" state="frozen"/>
      <selection activeCell="B1" sqref="B1"/>
      <selection pane="bottomLeft" activeCell="W582" sqref="W582"/>
    </sheetView>
  </sheetViews>
  <sheetFormatPr defaultRowHeight="24.75" customHeight="1" x14ac:dyDescent="0.35"/>
  <cols>
    <col min="1" max="1" width="15" style="21" bestFit="1" customWidth="1"/>
    <col min="2" max="2" width="22.54296875" style="713" customWidth="1"/>
    <col min="3" max="3" width="10.26953125" style="21" customWidth="1"/>
    <col min="4" max="4" width="6.26953125" style="21" customWidth="1"/>
    <col min="5" max="5" width="13.26953125" style="21" bestFit="1" customWidth="1"/>
    <col min="6" max="6" width="8.26953125" style="21" customWidth="1"/>
    <col min="7" max="7" width="5.54296875" style="21" customWidth="1"/>
    <col min="8" max="8" width="12" style="19" customWidth="1"/>
    <col min="9" max="9" width="18.54296875" style="21" bestFit="1" customWidth="1"/>
    <col min="10" max="10" width="10.7265625" style="19" customWidth="1"/>
    <col min="11" max="11" width="7.81640625" customWidth="1"/>
    <col min="12" max="12" width="36.81640625" bestFit="1" customWidth="1"/>
    <col min="13" max="13" width="4.54296875" customWidth="1"/>
    <col min="14" max="14" width="16.7265625" hidden="1" customWidth="1"/>
    <col min="15" max="15" width="12.54296875" style="28" customWidth="1"/>
    <col min="16" max="16" width="12.7265625" style="28" bestFit="1" customWidth="1"/>
    <col min="17" max="17" width="39" style="28" customWidth="1"/>
    <col min="18" max="18" width="4.54296875" customWidth="1"/>
    <col min="19" max="19" width="15.54296875" style="283" bestFit="1" customWidth="1"/>
    <col min="20" max="20" width="12.453125" style="159" customWidth="1"/>
    <col min="21" max="21" width="15" style="159" customWidth="1"/>
    <col min="22" max="22" width="5.54296875" style="19" customWidth="1"/>
    <col min="23" max="23" width="18.54296875" style="287" bestFit="1" customWidth="1"/>
    <col min="24" max="24" width="35" style="19" bestFit="1" customWidth="1"/>
    <col min="25" max="25" width="14.453125" style="287" bestFit="1" customWidth="1"/>
    <col min="26" max="26" width="16" style="19" bestFit="1" customWidth="1"/>
    <col min="27" max="27" width="18.453125" style="19" bestFit="1" customWidth="1"/>
    <col min="28" max="28" width="8.7265625" bestFit="1" customWidth="1"/>
    <col min="29" max="29" width="10" bestFit="1" customWidth="1"/>
    <col min="30" max="30" width="17.81640625" bestFit="1" customWidth="1"/>
    <col min="31" max="31" width="12.453125" bestFit="1" customWidth="1"/>
    <col min="32" max="32" width="12" bestFit="1" customWidth="1"/>
    <col min="33" max="33" width="49.54296875" style="159" bestFit="1" customWidth="1"/>
    <col min="34" max="34" width="3.7265625" customWidth="1"/>
    <col min="35" max="35" width="9.26953125" hidden="1" customWidth="1"/>
    <col min="36" max="37" width="14.26953125" style="19" customWidth="1"/>
    <col min="38" max="38" width="12.7265625" customWidth="1"/>
    <col min="39" max="40" width="8.54296875" bestFit="1" customWidth="1"/>
    <col min="41" max="41" width="8.54296875" hidden="1" customWidth="1"/>
    <col min="42" max="42" width="14.26953125" customWidth="1"/>
    <col min="43" max="44" width="3.7265625" customWidth="1"/>
    <col min="45" max="47" width="9.26953125" customWidth="1"/>
    <col min="48" max="48" width="14" customWidth="1"/>
    <col min="50" max="50" width="3.7265625" customWidth="1"/>
    <col min="51" max="52" width="9.26953125" hidden="1" customWidth="1"/>
    <col min="53" max="53" width="17.453125" hidden="1" customWidth="1"/>
    <col min="54" max="54" width="3.54296875" hidden="1" customWidth="1"/>
    <col min="55" max="55" width="17.453125" style="159" hidden="1" customWidth="1"/>
    <col min="56" max="56" width="4.26953125" hidden="1" customWidth="1"/>
    <col min="57" max="57" width="15.1796875" style="159" hidden="1" customWidth="1"/>
    <col min="58" max="58" width="0" hidden="1" customWidth="1"/>
    <col min="59" max="59" width="17.26953125" customWidth="1"/>
  </cols>
  <sheetData>
    <row r="1" spans="1:59" ht="54" customHeight="1" thickBot="1" x14ac:dyDescent="0.3">
      <c r="A1" s="114" t="s">
        <v>338</v>
      </c>
      <c r="B1" s="706" t="s">
        <v>600</v>
      </c>
      <c r="C1" s="27" t="s">
        <v>322</v>
      </c>
      <c r="D1" s="27" t="s">
        <v>325</v>
      </c>
      <c r="E1" s="27" t="s">
        <v>326</v>
      </c>
      <c r="F1" s="27" t="s">
        <v>327</v>
      </c>
      <c r="G1" s="27" t="s">
        <v>601</v>
      </c>
      <c r="H1" s="114" t="s">
        <v>602</v>
      </c>
      <c r="I1" s="27" t="s">
        <v>328</v>
      </c>
      <c r="J1" s="288" t="s">
        <v>516</v>
      </c>
      <c r="K1" s="346" t="s">
        <v>603</v>
      </c>
      <c r="L1" s="26" t="s">
        <v>604</v>
      </c>
      <c r="M1" s="429">
        <f>SUM(J:J)</f>
        <v>207</v>
      </c>
      <c r="N1" t="s">
        <v>328</v>
      </c>
      <c r="O1" s="25" t="s">
        <v>328</v>
      </c>
      <c r="P1" s="25" t="s">
        <v>605</v>
      </c>
      <c r="Q1" s="25" t="s">
        <v>606</v>
      </c>
      <c r="S1" s="280" t="s">
        <v>328</v>
      </c>
      <c r="T1" s="50" t="s">
        <v>258</v>
      </c>
      <c r="U1" s="50" t="s">
        <v>4</v>
      </c>
      <c r="V1" s="629" t="s">
        <v>339</v>
      </c>
      <c r="W1" s="630" t="s">
        <v>340</v>
      </c>
      <c r="X1" s="631" t="s">
        <v>514</v>
      </c>
      <c r="Y1" s="630" t="s">
        <v>516</v>
      </c>
      <c r="Z1" s="347" t="s">
        <v>607</v>
      </c>
      <c r="AA1" s="347" t="s">
        <v>608</v>
      </c>
      <c r="AB1" s="348" t="s">
        <v>609</v>
      </c>
      <c r="AC1" s="347" t="s">
        <v>610</v>
      </c>
      <c r="AD1" s="347" t="s">
        <v>611</v>
      </c>
      <c r="AE1" s="347" t="s">
        <v>612</v>
      </c>
      <c r="AF1" s="347" t="s">
        <v>613</v>
      </c>
      <c r="AG1" s="347" t="s">
        <v>19</v>
      </c>
      <c r="AI1" s="22" t="s">
        <v>340</v>
      </c>
      <c r="AJ1" s="29" t="s">
        <v>340</v>
      </c>
      <c r="AK1" s="29" t="s">
        <v>614</v>
      </c>
      <c r="AL1" s="29" t="s">
        <v>611</v>
      </c>
      <c r="AM1" s="348" t="s">
        <v>609</v>
      </c>
      <c r="AN1" s="29" t="s">
        <v>615</v>
      </c>
      <c r="AO1" s="29" t="s">
        <v>344</v>
      </c>
      <c r="AP1" s="574" t="s">
        <v>616</v>
      </c>
      <c r="AT1" s="23" t="s">
        <v>617</v>
      </c>
      <c r="AU1" s="23" t="s">
        <v>618</v>
      </c>
      <c r="AV1" s="30" t="s">
        <v>618</v>
      </c>
      <c r="AW1" s="31" t="s">
        <v>619</v>
      </c>
      <c r="BA1" s="131" t="s">
        <v>620</v>
      </c>
      <c r="BC1" s="490" t="s">
        <v>620</v>
      </c>
      <c r="BE1" s="601" t="s">
        <v>620</v>
      </c>
      <c r="BG1" s="601" t="s">
        <v>620</v>
      </c>
    </row>
    <row r="2" spans="1:59" ht="24.75" customHeight="1" x14ac:dyDescent="0.3">
      <c r="A2" s="109"/>
      <c r="B2" s="608"/>
      <c r="C2" s="109">
        <v>13567176</v>
      </c>
      <c r="D2" s="109" t="s">
        <v>309</v>
      </c>
      <c r="E2" s="109" t="s">
        <v>621</v>
      </c>
      <c r="F2" s="109"/>
      <c r="G2" s="109"/>
      <c r="H2" s="140">
        <v>1146317</v>
      </c>
      <c r="I2" s="140">
        <v>965522</v>
      </c>
      <c r="J2" s="26">
        <f>IF(H2&lt;&gt;"",IF(AND(C2&lt;&gt;"",IFERROR(MATCH(C2,Table10[Serial No.],0),0)),0,1),0)</f>
        <v>1</v>
      </c>
      <c r="K2" s="21"/>
      <c r="L2" s="539" t="str">
        <f ca="1">IFERROR(INDEX($O$2:$Q$57,MATCH($I2,$O$2:$O$93,0),3),"")</f>
        <v/>
      </c>
      <c r="N2" cm="1">
        <f t="array" ref="N2:N91">_xlfn._xlws.SORT(_xlfn.UNIQUE(Table1[LEVEL 5 MAT NO.]))</f>
        <v>771779</v>
      </c>
      <c r="O2" s="28">
        <f t="shared" ref="O2:O56" si="0">IFERROR(N2,"")</f>
        <v>771779</v>
      </c>
      <c r="P2" s="28">
        <f>SUMIF(Table1[LEVEL 5 MAT NO.],N2,Table1[Quantity])</f>
        <v>0</v>
      </c>
      <c r="Q2" s="479" t="str" cm="1">
        <f t="array" aca="1" ref="Q2" ca="1">_xlfn.TEXTJOIN(", ", TRUE, IF(($S$2:$S$485 = O2) * ($AF$2:$AF$485 &lt; 0), $W$2:$W$485&amp;" "&amp;$X$2:$X$485, ""))</f>
        <v/>
      </c>
      <c r="S2" s="281">
        <v>771779</v>
      </c>
      <c r="T2" s="278" t="s">
        <v>622</v>
      </c>
      <c r="U2" s="278" t="s">
        <v>623</v>
      </c>
      <c r="V2" s="25">
        <v>1</v>
      </c>
      <c r="W2" s="284">
        <v>1130219</v>
      </c>
      <c r="X2" s="19" t="str">
        <f>IFERROR(INDEX(Table14[],MATCH($W2,Table14[SAPNo],0),3),"")</f>
        <v>Round 1313 CT182  10C (S)</v>
      </c>
      <c r="Y2" s="284">
        <v>27</v>
      </c>
      <c r="Z2" s="25">
        <f t="shared" ref="Z2:Z65" si="1">IFERROR(INDEX($O$2:$P$400,MATCH($S2,$O$2:$O$93,0),2),0)</f>
        <v>0</v>
      </c>
      <c r="AA2" s="25">
        <f t="shared" ref="AA2:AA65" si="2">Y2*Z2</f>
        <v>0</v>
      </c>
      <c r="AB2" s="23">
        <f ca="1">IFERROR(INDEX('Cutters Inventory 12-30-2025'!A:W,MATCH($W2,'Cutters Inventory 12-30-2025'!B:B,0),14),0)</f>
        <v>42</v>
      </c>
      <c r="AC2" s="23">
        <f>SUMIF(Table1[LEVEL 5 MAT NO.],S2,Table1[Braze Plan])</f>
        <v>0</v>
      </c>
      <c r="AD2" s="23">
        <f>Table4[[#This Row],[Quantity]]*Table4[[#This Row],[Bits Braze Plan]]</f>
        <v>0</v>
      </c>
      <c r="AE2" s="23">
        <f ca="1">Table4[[#This Row],[INV. QTY]]-Table4[[#This Row],[Required For Braze Cutters Check]]</f>
        <v>42</v>
      </c>
      <c r="AF2" s="23">
        <f t="shared" ref="AF2:AF65" ca="1" si="3">IFERROR(INDEX($AJ$2:$AO$136,MATCH($W2,$AJ$2:$AJ$136,0),5),0)</f>
        <v>42</v>
      </c>
      <c r="AG2" s="23"/>
      <c r="AI2" cm="1">
        <f t="array" ref="AI2:AI98">_xlfn._xlws.SORT(_xlfn.UNIQUE(Table4[Component]))</f>
        <v>179733</v>
      </c>
      <c r="AJ2" s="19">
        <f t="shared" ref="AJ2:AJ33" si="4">IFERROR(AI2,"")</f>
        <v>179733</v>
      </c>
      <c r="AK2" s="19">
        <f>SUMIF(Table4[Component],AJ2,Table4[Qty of Cutters in these MATs])</f>
        <v>89</v>
      </c>
      <c r="AL2" s="19">
        <f>SUMIF(Table4[Component],AJ2,Table4[Required For Braze Cutters Check])</f>
        <v>0</v>
      </c>
      <c r="AM2" s="19">
        <f ca="1">IFERROR(INDEX('Cutters Inventory 12-30-2025'!A:W,MATCH($AI2,'Cutters Inventory 12-30-2025'!B:B,0),14),0)</f>
        <v>68</v>
      </c>
      <c r="AN2" s="19">
        <f ca="1">Table5[[#This Row],[INV. QTY]]-Table5[[#This Row],[Required For Braze Cutters Check]]</f>
        <v>68</v>
      </c>
      <c r="AO2" s="19" t="str">
        <f ca="1">IF($AN2&lt;0,Table5[[#This Row],[Component]],"")</f>
        <v/>
      </c>
      <c r="AP2" s="575">
        <f>SUM(Table5[required Qty of Cutters])</f>
        <v>17380</v>
      </c>
      <c r="AS2" cm="1">
        <f t="array" ref="AS2:AS98">_xlfn._xlws.SORT(_xlfn.UNIQUE('Cutters Inventory 12-30-2025'!Z:Z))</f>
        <v>0</v>
      </c>
      <c r="AT2">
        <f>IFERROR(AS2,"")</f>
        <v>0</v>
      </c>
      <c r="AU2" cm="1">
        <f t="array" ref="AU2:AU3">IFERROR(_xlfn.UNIQUE(AJ2:AJ485,,TRUE),"")</f>
        <v>1162511</v>
      </c>
      <c r="AV2" s="573">
        <f>IFERROR(AU2,"")</f>
        <v>1162511</v>
      </c>
      <c r="AW2">
        <f t="shared" ref="AW2:AW33" si="5">IFERROR(INDEX($AJ$2:$AK$387,MATCH($AU2,$AJ$2:$AJ$100,0),2),0)</f>
        <v>0</v>
      </c>
      <c r="AY2" cm="1">
        <f t="array" ref="AY2:AY128">_xlfn.UNIQUE(Table4[LEVEL 5 MAT NO.])</f>
        <v>771779</v>
      </c>
      <c r="AZ2" cm="1">
        <f t="array" ref="AZ2:AZ55">IFERROR(_xlfn.UNIQUE(AY2:AY457,,TRUE),"")</f>
        <v>1005462</v>
      </c>
      <c r="BA2">
        <f>IFERROR(AZ2,"")</f>
        <v>1005462</v>
      </c>
      <c r="BC2" s="159">
        <f>IFERROR(VLOOKUP(BA:BA,Table4[],8,FALSE),Table6[[#This Row],[Not Exist BOM''s]])</f>
        <v>0</v>
      </c>
      <c r="BE2" s="575" cm="1">
        <f t="array" ref="BE2:BE10">_xlfn._xlws.SORT(_xlfn.UNIQUE(Table2[Not Exist BOM''s]))</f>
        <v>0</v>
      </c>
      <c r="BG2" s="248" t="str">
        <f t="shared" ref="BG2:BG19" si="6">IF(SUMIF($O:$O,BE2,$P:$P)&gt;0,BE2,"")</f>
        <v/>
      </c>
    </row>
    <row r="3" spans="1:59" ht="24.75" customHeight="1" x14ac:dyDescent="0.3">
      <c r="A3" s="109"/>
      <c r="B3" s="608"/>
      <c r="C3" s="109">
        <v>13567178</v>
      </c>
      <c r="D3" s="109" t="s">
        <v>309</v>
      </c>
      <c r="E3" s="109" t="s">
        <v>621</v>
      </c>
      <c r="F3" s="109"/>
      <c r="G3" s="109"/>
      <c r="H3" s="140">
        <v>1146317</v>
      </c>
      <c r="I3" s="140">
        <v>965522</v>
      </c>
      <c r="J3" s="26">
        <f>IF(H3&lt;&gt;"",IF(AND(C3&lt;&gt;"",IFERROR(MATCH(C3,Table10[Serial No.],0),0)),0,1),0)</f>
        <v>1</v>
      </c>
      <c r="K3" s="21"/>
      <c r="L3" s="539" t="str">
        <f t="shared" ref="L3:L66" ca="1" si="7">IFERROR(INDEX($O$2:$Q$57,MATCH($I3,$O$2:$O$93,0),3),"")</f>
        <v/>
      </c>
      <c r="N3">
        <v>959209</v>
      </c>
      <c r="O3" s="28">
        <f t="shared" si="0"/>
        <v>959209</v>
      </c>
      <c r="P3" s="28">
        <f>SUMIF(Table1[LEVEL 5 MAT NO.],N3,Table1[Quantity])</f>
        <v>4</v>
      </c>
      <c r="Q3" s="479" t="str" cm="1">
        <f t="array" aca="1" ref="Q3" ca="1">_xlfn.TEXTJOIN(", ", TRUE, IF(($S$2:$S$485 = O3) * ($AF$2:$AF$485 &lt; 0), $W$2:$W$485&amp;" "&amp;$X$2:$X$485, ""))</f>
        <v/>
      </c>
      <c r="S3" s="281">
        <v>959209</v>
      </c>
      <c r="T3" s="278" t="s">
        <v>624</v>
      </c>
      <c r="U3" s="278" t="s">
        <v>625</v>
      </c>
      <c r="V3" s="25">
        <v>1</v>
      </c>
      <c r="W3" s="284">
        <v>1126402</v>
      </c>
      <c r="X3" s="19" t="str">
        <f>IFERROR(INDEX(Table14[],MATCH($W3,Table14[SAPNo],0),3),"")</f>
        <v>1613 CT421 16-60</v>
      </c>
      <c r="Y3" s="284">
        <v>28</v>
      </c>
      <c r="Z3" s="25">
        <f t="shared" si="1"/>
        <v>4</v>
      </c>
      <c r="AA3" s="25">
        <f t="shared" si="2"/>
        <v>112</v>
      </c>
      <c r="AB3" s="23">
        <f ca="1">IFERROR(INDEX('Cutters Inventory 12-30-2025'!A:W,MATCH($W3,'Cutters Inventory 12-30-2025'!B:B,0),14),0)</f>
        <v>422</v>
      </c>
      <c r="AC3" s="23">
        <f>SUMIF(Table1[LEVEL 5 MAT NO.],S3,Table1[Braze Plan])</f>
        <v>0</v>
      </c>
      <c r="AD3" s="23">
        <f>Table4[[#This Row],[Quantity]]*Table4[[#This Row],[Bits Braze Plan]]</f>
        <v>0</v>
      </c>
      <c r="AE3" s="23">
        <f ca="1">Table4[[#This Row],[INV. QTY]]-Table4[[#This Row],[Required For Braze Cutters Check]]</f>
        <v>422</v>
      </c>
      <c r="AF3" s="23">
        <f t="shared" ca="1" si="3"/>
        <v>422</v>
      </c>
      <c r="AG3" s="23"/>
      <c r="AI3">
        <v>179734</v>
      </c>
      <c r="AJ3" s="19">
        <f t="shared" si="4"/>
        <v>179734</v>
      </c>
      <c r="AK3" s="19">
        <f>SUMIF(Table4[Component],AJ3,Table4[Qty of Cutters in these MATs])</f>
        <v>342</v>
      </c>
      <c r="AL3" s="19">
        <f>SUMIF(Table4[Component],AJ3,Table4[Required For Braze Cutters Check])</f>
        <v>0</v>
      </c>
      <c r="AM3" s="19">
        <f ca="1">IFERROR(INDEX('Cutters Inventory 12-30-2025'!A:W,MATCH($AI3,'Cutters Inventory 12-30-2025'!B:B,0),14),0)</f>
        <v>140</v>
      </c>
      <c r="AN3" s="19">
        <f ca="1">Table5[[#This Row],[INV. QTY]]-Table5[[#This Row],[Required For Braze Cutters Check]]</f>
        <v>140</v>
      </c>
      <c r="AO3" s="19" t="str">
        <f ca="1">IF($AN3&lt;0,Table5[[#This Row],[Component]],"")</f>
        <v/>
      </c>
      <c r="AS3">
        <v>179733</v>
      </c>
      <c r="AT3">
        <f t="shared" ref="AT3:AT66" si="8">IFERROR(AS3,"")</f>
        <v>179733</v>
      </c>
      <c r="AU3">
        <v>1165769</v>
      </c>
      <c r="AV3" s="573">
        <f t="shared" ref="AV3:AV28" si="9">IFERROR(AU3,"")</f>
        <v>1165769</v>
      </c>
      <c r="AW3">
        <f t="shared" si="5"/>
        <v>0</v>
      </c>
      <c r="AY3">
        <v>959209</v>
      </c>
      <c r="AZ3">
        <v>1020531</v>
      </c>
      <c r="BA3">
        <f>IFERROR(AZ3,"")</f>
        <v>1020531</v>
      </c>
      <c r="BC3" s="159">
        <f>IFERROR(VLOOKUP(BA:BA,Table4[],8,FALSE),Table6[[#This Row],[Not Exist BOM''s]])</f>
        <v>0</v>
      </c>
      <c r="BE3" s="575">
        <v>990050</v>
      </c>
      <c r="BG3" s="248" t="str">
        <f t="shared" si="6"/>
        <v/>
      </c>
    </row>
    <row r="4" spans="1:59" ht="24.75" customHeight="1" x14ac:dyDescent="0.3">
      <c r="A4" s="109"/>
      <c r="B4" s="608" t="s">
        <v>626</v>
      </c>
      <c r="C4" s="109">
        <v>13616543</v>
      </c>
      <c r="D4" s="109" t="s">
        <v>315</v>
      </c>
      <c r="E4" s="109" t="s">
        <v>272</v>
      </c>
      <c r="F4" s="109"/>
      <c r="G4" s="109"/>
      <c r="H4" s="140">
        <v>1188197</v>
      </c>
      <c r="I4" s="323">
        <v>1157663</v>
      </c>
      <c r="J4" s="26">
        <f>IF(H4&lt;&gt;"",IF(AND(C4&lt;&gt;"",IFERROR(MATCH(C4,Table10[Serial No.],0),0)),0,1),0)</f>
        <v>1</v>
      </c>
      <c r="K4" s="21"/>
      <c r="L4" s="539" t="str">
        <f t="shared" ca="1" si="7"/>
        <v/>
      </c>
      <c r="N4">
        <v>960723</v>
      </c>
      <c r="O4" s="28">
        <f t="shared" si="0"/>
        <v>960723</v>
      </c>
      <c r="P4" s="28">
        <f>SUMIF(Table1[LEVEL 5 MAT NO.],N4,Table1[Quantity])</f>
        <v>8</v>
      </c>
      <c r="Q4" s="479" t="str" cm="1">
        <f t="array" aca="1" ref="Q4" ca="1">_xlfn.TEXTJOIN(", ", TRUE, IF(($S$2:$S$485 = O4) * ($AF$2:$AF$485 &lt; 0), $W$2:$W$485&amp;" "&amp;$X$2:$X$485, ""))</f>
        <v/>
      </c>
      <c r="S4" s="281">
        <v>959209</v>
      </c>
      <c r="T4" s="278" t="s">
        <v>624</v>
      </c>
      <c r="U4" s="278" t="s">
        <v>625</v>
      </c>
      <c r="V4" s="25">
        <v>2</v>
      </c>
      <c r="W4" s="284">
        <v>1130197</v>
      </c>
      <c r="X4" s="19" t="str">
        <f>IFERROR(INDEX(Table14[],MATCH($W4,Table14[SAPNo],0),3),"")</f>
        <v>Round 1608 CT182  0.018" (S)</v>
      </c>
      <c r="Y4" s="284">
        <v>9</v>
      </c>
      <c r="Z4" s="25">
        <f t="shared" si="1"/>
        <v>4</v>
      </c>
      <c r="AA4" s="25">
        <f t="shared" si="2"/>
        <v>36</v>
      </c>
      <c r="AB4" s="23">
        <f ca="1">IFERROR(INDEX('Cutters Inventory 12-30-2025'!A:W,MATCH($W4,'Cutters Inventory 12-30-2025'!B:B,0),14),0)</f>
        <v>39</v>
      </c>
      <c r="AC4" s="23">
        <f>SUMIF(Table1[LEVEL 5 MAT NO.],S4,Table1[Braze Plan])</f>
        <v>0</v>
      </c>
      <c r="AD4" s="23">
        <f>Table4[[#This Row],[Quantity]]*Table4[[#This Row],[Bits Braze Plan]]</f>
        <v>0</v>
      </c>
      <c r="AE4" s="23">
        <f ca="1">Table4[[#This Row],[INV. QTY]]-Table4[[#This Row],[Required For Braze Cutters Check]]</f>
        <v>39</v>
      </c>
      <c r="AF4" s="23">
        <f t="shared" ca="1" si="3"/>
        <v>39</v>
      </c>
      <c r="AG4" s="23"/>
      <c r="AI4">
        <v>375538</v>
      </c>
      <c r="AJ4" s="19">
        <f t="shared" si="4"/>
        <v>375538</v>
      </c>
      <c r="AK4" s="19">
        <f>SUMIF(Table4[Component],AJ4,Table4[Qty of Cutters in these MATs])</f>
        <v>24</v>
      </c>
      <c r="AL4" s="19">
        <f>SUMIF(Table4[Component],AJ4,Table4[Required For Braze Cutters Check])</f>
        <v>0</v>
      </c>
      <c r="AM4" s="19">
        <f ca="1">IFERROR(INDEX('Cutters Inventory 12-30-2025'!A:W,MATCH($AI4,'Cutters Inventory 12-30-2025'!B:B,0),14),0)</f>
        <v>0</v>
      </c>
      <c r="AN4" s="19">
        <f ca="1">Table5[[#This Row],[INV. QTY]]-Table5[[#This Row],[Required For Braze Cutters Check]]</f>
        <v>0</v>
      </c>
      <c r="AO4" s="19" t="str">
        <f ca="1">IF($AN4&lt;0,Table5[[#This Row],[Component]],"")</f>
        <v/>
      </c>
      <c r="AS4">
        <v>179734</v>
      </c>
      <c r="AT4">
        <f t="shared" si="8"/>
        <v>179734</v>
      </c>
      <c r="AV4" s="573">
        <f t="shared" si="9"/>
        <v>0</v>
      </c>
      <c r="AW4">
        <f t="shared" si="5"/>
        <v>0</v>
      </c>
      <c r="AY4">
        <v>960723</v>
      </c>
      <c r="AZ4">
        <v>1056029</v>
      </c>
      <c r="BA4">
        <f>IFERROR(AZ4,"")</f>
        <v>1056029</v>
      </c>
      <c r="BC4" s="159">
        <f>IFERROR(VLOOKUP(BA:BA,Table4[],8,FALSE),Table6[[#This Row],[Not Exist BOM''s]])</f>
        <v>0</v>
      </c>
      <c r="BE4" s="575" t="str">
        <v>1246020M</v>
      </c>
      <c r="BG4" s="248" t="str">
        <f t="shared" si="6"/>
        <v/>
      </c>
    </row>
    <row r="5" spans="1:59" ht="24.75" customHeight="1" x14ac:dyDescent="0.3">
      <c r="A5" s="109"/>
      <c r="B5" s="608"/>
      <c r="C5" s="109">
        <v>13778370</v>
      </c>
      <c r="D5" s="109" t="s">
        <v>627</v>
      </c>
      <c r="E5" s="109" t="s">
        <v>628</v>
      </c>
      <c r="F5" s="109"/>
      <c r="G5" s="109"/>
      <c r="H5" s="140">
        <v>1223029</v>
      </c>
      <c r="I5" s="140" t="s">
        <v>629</v>
      </c>
      <c r="J5" s="26">
        <f>IF(H5&lt;&gt;"",IF(AND(C5&lt;&gt;"",IFERROR(MATCH(C5,Table10[Serial No.],0),0)),0,1),0)</f>
        <v>0</v>
      </c>
      <c r="K5" s="21"/>
      <c r="L5" s="539" t="str">
        <f t="shared" si="7"/>
        <v/>
      </c>
      <c r="N5">
        <v>965522</v>
      </c>
      <c r="O5" s="28">
        <f t="shared" si="0"/>
        <v>965522</v>
      </c>
      <c r="P5" s="28">
        <f>SUMIF(Table1[LEVEL 5 MAT NO.],N5,Table1[Quantity])</f>
        <v>2</v>
      </c>
      <c r="Q5" s="479" t="str" cm="1">
        <f t="array" aca="1" ref="Q5" ca="1">_xlfn.TEXTJOIN(", ", TRUE, IF(($S$2:$S$485 = O5) * ($AF$2:$AF$485 &lt; 0), $W$2:$W$485&amp;" "&amp;$X$2:$X$485, ""))</f>
        <v/>
      </c>
      <c r="S5" s="281">
        <v>959209</v>
      </c>
      <c r="T5" s="278" t="s">
        <v>624</v>
      </c>
      <c r="U5" s="278" t="s">
        <v>625</v>
      </c>
      <c r="V5" s="25">
        <v>3</v>
      </c>
      <c r="W5" s="284">
        <v>1134752</v>
      </c>
      <c r="X5" s="19" t="str">
        <f>IFERROR(INDEX(Table14[],MATCH($W5,Table14[SAPNo],0),3),"")</f>
        <v>Round 1308 CT182  0.018" (S)</v>
      </c>
      <c r="Y5" s="284">
        <v>18</v>
      </c>
      <c r="Z5" s="25">
        <f t="shared" si="1"/>
        <v>4</v>
      </c>
      <c r="AA5" s="25">
        <f t="shared" si="2"/>
        <v>72</v>
      </c>
      <c r="AB5" s="23">
        <f ca="1">IFERROR(INDEX('Cutters Inventory 12-30-2025'!A:W,MATCH($W5,'Cutters Inventory 12-30-2025'!B:B,0),14),0)</f>
        <v>38</v>
      </c>
      <c r="AC5" s="23">
        <f>SUMIF(Table1[LEVEL 5 MAT NO.],S5,Table1[Braze Plan])</f>
        <v>0</v>
      </c>
      <c r="AD5" s="23">
        <f>Table4[[#This Row],[Quantity]]*Table4[[#This Row],[Bits Braze Plan]]</f>
        <v>0</v>
      </c>
      <c r="AE5" s="23">
        <f ca="1">Table4[[#This Row],[INV. QTY]]-Table4[[#This Row],[Required For Braze Cutters Check]]</f>
        <v>38</v>
      </c>
      <c r="AF5" s="23">
        <f t="shared" ca="1" si="3"/>
        <v>38</v>
      </c>
      <c r="AG5" s="23"/>
      <c r="AI5">
        <v>410851</v>
      </c>
      <c r="AJ5" s="19">
        <f t="shared" si="4"/>
        <v>410851</v>
      </c>
      <c r="AK5" s="19">
        <f>SUMIF(Table4[Component],AJ5,Table4[Qty of Cutters in these MATs])</f>
        <v>570</v>
      </c>
      <c r="AL5" s="19">
        <f>SUMIF(Table4[Component],AJ5,Table4[Required For Braze Cutters Check])</f>
        <v>0</v>
      </c>
      <c r="AM5" s="19">
        <f ca="1">IFERROR(INDEX('Cutters Inventory 12-30-2025'!A:W,MATCH($AI5,'Cutters Inventory 12-30-2025'!B:B,0),14),0)</f>
        <v>93</v>
      </c>
      <c r="AN5" s="19">
        <f ca="1">Table5[[#This Row],[INV. QTY]]-Table5[[#This Row],[Required For Braze Cutters Check]]</f>
        <v>93</v>
      </c>
      <c r="AO5" s="19" t="str">
        <f ca="1">IF($AN5&lt;0,Table5[[#This Row],[Component]],"")</f>
        <v/>
      </c>
      <c r="AS5">
        <v>375538</v>
      </c>
      <c r="AT5">
        <f t="shared" si="8"/>
        <v>375538</v>
      </c>
      <c r="AV5" s="573">
        <f t="shared" si="9"/>
        <v>0</v>
      </c>
      <c r="AW5">
        <f t="shared" si="5"/>
        <v>0</v>
      </c>
      <c r="AY5">
        <v>965522</v>
      </c>
      <c r="AZ5">
        <v>1059290</v>
      </c>
      <c r="BA5">
        <f t="shared" ref="BA5:BA17" si="10">IFERROR(AZ5,"")</f>
        <v>1059290</v>
      </c>
      <c r="BC5" s="159">
        <f>IFERROR(VLOOKUP(BA:BA,Table4[],8,FALSE),Table6[[#This Row],[Not Exist BOM''s]])</f>
        <v>0</v>
      </c>
      <c r="BE5" s="575" t="str">
        <v>1246680M</v>
      </c>
      <c r="BG5" s="248" t="str">
        <f t="shared" si="6"/>
        <v/>
      </c>
    </row>
    <row r="6" spans="1:59" ht="24.75" customHeight="1" x14ac:dyDescent="0.3">
      <c r="A6" s="109"/>
      <c r="B6" s="608"/>
      <c r="C6" s="109">
        <v>13778371</v>
      </c>
      <c r="D6" s="109" t="s">
        <v>627</v>
      </c>
      <c r="E6" s="109" t="s">
        <v>628</v>
      </c>
      <c r="F6" s="109"/>
      <c r="G6" s="109"/>
      <c r="H6" s="140">
        <v>1223029</v>
      </c>
      <c r="I6" s="140" t="s">
        <v>629</v>
      </c>
      <c r="J6" s="26">
        <f>IF(H6&lt;&gt;"",IF(AND(C6&lt;&gt;"",IFERROR(MATCH(C6,Table10[Serial No.],0),0)),0,1),0)</f>
        <v>1</v>
      </c>
      <c r="K6" s="21"/>
      <c r="L6" s="539" t="str">
        <f t="shared" si="7"/>
        <v/>
      </c>
      <c r="N6">
        <v>990050</v>
      </c>
      <c r="O6" s="28">
        <f t="shared" si="0"/>
        <v>990050</v>
      </c>
      <c r="P6" s="28">
        <f>SUMIF(Table1[LEVEL 5 MAT NO.],N6,Table1[Quantity])</f>
        <v>0</v>
      </c>
      <c r="Q6" s="479" t="str" cm="1">
        <f t="array" aca="1" ref="Q6" ca="1">_xlfn.TEXTJOIN(", ", TRUE, IF(($S$2:$S$485 = O6) * ($AF$2:$AF$485 &lt; 0), $W$2:$W$485&amp;" "&amp;$X$2:$X$485, ""))</f>
        <v/>
      </c>
      <c r="S6" s="281">
        <v>959209</v>
      </c>
      <c r="T6" s="278" t="s">
        <v>624</v>
      </c>
      <c r="U6" s="278" t="s">
        <v>625</v>
      </c>
      <c r="V6" s="25">
        <v>4</v>
      </c>
      <c r="W6" s="284">
        <v>871781</v>
      </c>
      <c r="X6" s="19" t="str">
        <f>IFERROR(INDEX(Table14[],MATCH($W6,Table14[SAPNo],0),3),"")</f>
        <v>Round 1313 CT200  0.018" (B)</v>
      </c>
      <c r="Y6" s="284">
        <v>3</v>
      </c>
      <c r="Z6" s="25">
        <f t="shared" si="1"/>
        <v>4</v>
      </c>
      <c r="AA6" s="25">
        <f t="shared" si="2"/>
        <v>12</v>
      </c>
      <c r="AB6" s="23">
        <f ca="1">IFERROR(INDEX('Cutters Inventory 12-30-2025'!A:W,MATCH($W6,'Cutters Inventory 12-30-2025'!B:B,0),14),0)</f>
        <v>843</v>
      </c>
      <c r="AC6" s="23">
        <f>SUMIF(Table1[LEVEL 5 MAT NO.],S6,Table1[Braze Plan])</f>
        <v>0</v>
      </c>
      <c r="AD6" s="23">
        <f>Table4[[#This Row],[Quantity]]*Table4[[#This Row],[Bits Braze Plan]]</f>
        <v>0</v>
      </c>
      <c r="AE6" s="23">
        <f ca="1">Table4[[#This Row],[INV. QTY]]-Table4[[#This Row],[Required For Braze Cutters Check]]</f>
        <v>843</v>
      </c>
      <c r="AF6" s="23">
        <f t="shared" ca="1" si="3"/>
        <v>843</v>
      </c>
      <c r="AG6" s="23"/>
      <c r="AI6">
        <v>418525</v>
      </c>
      <c r="AJ6" s="19">
        <f t="shared" si="4"/>
        <v>418525</v>
      </c>
      <c r="AK6" s="19">
        <f>SUMIF(Table4[Component],AJ6,Table4[Qty of Cutters in these MATs])</f>
        <v>715</v>
      </c>
      <c r="AL6" s="19">
        <f>SUMIF(Table4[Component],AJ6,Table4[Required For Braze Cutters Check])</f>
        <v>0</v>
      </c>
      <c r="AM6" s="19">
        <f ca="1">IFERROR(INDEX('Cutters Inventory 12-30-2025'!A:W,MATCH($AI6,'Cutters Inventory 12-30-2025'!B:B,0),14),0)</f>
        <v>933</v>
      </c>
      <c r="AN6" s="19">
        <f ca="1">Table5[[#This Row],[INV. QTY]]-Table5[[#This Row],[Required For Braze Cutters Check]]</f>
        <v>933</v>
      </c>
      <c r="AO6" s="19" t="str">
        <f ca="1">IF($AN6&lt;0,Table5[[#This Row],[Component]],"")</f>
        <v/>
      </c>
      <c r="AS6">
        <v>410851</v>
      </c>
      <c r="AT6">
        <f t="shared" si="8"/>
        <v>410851</v>
      </c>
      <c r="AV6" s="573">
        <f t="shared" si="9"/>
        <v>0</v>
      </c>
      <c r="AW6">
        <f t="shared" si="5"/>
        <v>0</v>
      </c>
      <c r="AY6">
        <v>1005462</v>
      </c>
      <c r="AZ6">
        <v>1080537</v>
      </c>
      <c r="BA6">
        <f t="shared" si="10"/>
        <v>1080537</v>
      </c>
      <c r="BC6" s="159">
        <f>IFERROR(VLOOKUP(BA:BA,Table4[],8,FALSE),Table6[[#This Row],[Not Exist BOM''s]])</f>
        <v>0</v>
      </c>
      <c r="BE6" s="575" t="str">
        <v>1251098M</v>
      </c>
      <c r="BG6" s="248" t="str">
        <f t="shared" si="6"/>
        <v/>
      </c>
    </row>
    <row r="7" spans="1:59" ht="24.75" customHeight="1" x14ac:dyDescent="0.3">
      <c r="A7" s="109"/>
      <c r="B7" s="608"/>
      <c r="C7" s="324">
        <v>13778372</v>
      </c>
      <c r="D7" s="109" t="s">
        <v>627</v>
      </c>
      <c r="E7" s="109" t="s">
        <v>628</v>
      </c>
      <c r="F7" s="109"/>
      <c r="G7" s="109"/>
      <c r="H7" s="140">
        <v>1223029</v>
      </c>
      <c r="I7" s="140" t="s">
        <v>629</v>
      </c>
      <c r="J7" s="26">
        <f>IF(H7&lt;&gt;"",IF(AND(C7&lt;&gt;"",IFERROR(MATCH(C7,Table10[Serial No.],0),0)),0,1),0)</f>
        <v>1</v>
      </c>
      <c r="K7" s="21"/>
      <c r="L7" s="539" t="str">
        <f t="shared" si="7"/>
        <v/>
      </c>
      <c r="N7">
        <v>1016454</v>
      </c>
      <c r="O7" s="28">
        <f t="shared" si="0"/>
        <v>1016454</v>
      </c>
      <c r="P7" s="28">
        <f>SUMIF(Table1[LEVEL 5 MAT NO.],N7,Table1[Quantity])</f>
        <v>10</v>
      </c>
      <c r="Q7" s="479" t="str" cm="1">
        <f t="array" aca="1" ref="Q7" ca="1">_xlfn.TEXTJOIN(", ", TRUE, IF(($S$2:$S$485 = O7) * ($AF$2:$AF$485 &lt; 0), $W$2:$W$485&amp;" "&amp;$X$2:$X$485, ""))</f>
        <v/>
      </c>
      <c r="S7" s="281">
        <v>959209</v>
      </c>
      <c r="T7" s="278" t="s">
        <v>624</v>
      </c>
      <c r="U7" s="278" t="s">
        <v>625</v>
      </c>
      <c r="V7" s="25">
        <v>5</v>
      </c>
      <c r="W7" s="284">
        <v>625854</v>
      </c>
      <c r="X7" s="19" t="str">
        <f>IFERROR(INDEX(Table14[],MATCH($W7,Table14[SAPNo],0),3),"")</f>
        <v>Carbide IA 1318    (C)</v>
      </c>
      <c r="Y7" s="284">
        <v>6</v>
      </c>
      <c r="Z7" s="25">
        <f t="shared" si="1"/>
        <v>4</v>
      </c>
      <c r="AA7" s="25">
        <f t="shared" si="2"/>
        <v>24</v>
      </c>
      <c r="AB7" s="23">
        <f ca="1">IFERROR(INDEX('Cutters Inventory 12-30-2025'!A:W,MATCH($W7,'Cutters Inventory 12-30-2025'!B:B,0),14),0)</f>
        <v>74</v>
      </c>
      <c r="AC7" s="23">
        <f>SUMIF(Table1[LEVEL 5 MAT NO.],S7,Table1[Braze Plan])</f>
        <v>0</v>
      </c>
      <c r="AD7" s="23">
        <f>Table4[[#This Row],[Quantity]]*Table4[[#This Row],[Bits Braze Plan]]</f>
        <v>0</v>
      </c>
      <c r="AE7" s="23">
        <f ca="1">Table4[[#This Row],[INV. QTY]]-Table4[[#This Row],[Required For Braze Cutters Check]]</f>
        <v>74</v>
      </c>
      <c r="AF7" s="23">
        <f t="shared" ca="1" si="3"/>
        <v>74</v>
      </c>
      <c r="AG7" s="23"/>
      <c r="AI7">
        <v>562195</v>
      </c>
      <c r="AJ7" s="19">
        <f t="shared" si="4"/>
        <v>562195</v>
      </c>
      <c r="AK7" s="19">
        <f>SUMIF(Table4[Component],AJ7,Table4[Qty of Cutters in these MATs])</f>
        <v>0</v>
      </c>
      <c r="AL7" s="19">
        <f>SUMIF(Table4[Component],AJ7,Table4[Required For Braze Cutters Check])</f>
        <v>0</v>
      </c>
      <c r="AM7" s="19">
        <f ca="1">IFERROR(INDEX('Cutters Inventory 12-30-2025'!A:W,MATCH($AI7,'Cutters Inventory 12-30-2025'!B:B,0),14),0)</f>
        <v>0</v>
      </c>
      <c r="AN7" s="19">
        <f ca="1">Table5[[#This Row],[INV. QTY]]-Table5[[#This Row],[Required For Braze Cutters Check]]</f>
        <v>0</v>
      </c>
      <c r="AO7" s="19" t="str">
        <f ca="1">IF($AN7&lt;0,Table5[[#This Row],[Component]],"")</f>
        <v/>
      </c>
      <c r="AS7">
        <v>418525</v>
      </c>
      <c r="AT7">
        <f t="shared" si="8"/>
        <v>418525</v>
      </c>
      <c r="AV7" s="573">
        <f t="shared" si="9"/>
        <v>0</v>
      </c>
      <c r="AW7">
        <f t="shared" si="5"/>
        <v>0</v>
      </c>
      <c r="AY7">
        <v>1016454</v>
      </c>
      <c r="AZ7">
        <v>1083564</v>
      </c>
      <c r="BA7">
        <f t="shared" si="10"/>
        <v>1083564</v>
      </c>
      <c r="BC7" s="159">
        <f>IFERROR(VLOOKUP(BA:BA,Table4[],8,FALSE),Table6[[#This Row],[Not Exist BOM''s]])</f>
        <v>0</v>
      </c>
      <c r="BE7" s="575" t="str">
        <v>1282368M</v>
      </c>
      <c r="BG7" s="248" t="str">
        <f t="shared" si="6"/>
        <v/>
      </c>
    </row>
    <row r="8" spans="1:59" ht="24.75" customHeight="1" x14ac:dyDescent="0.3">
      <c r="A8" s="109"/>
      <c r="B8" s="608"/>
      <c r="C8" s="109">
        <v>13791101</v>
      </c>
      <c r="D8" s="109" t="s">
        <v>313</v>
      </c>
      <c r="E8" s="109" t="s">
        <v>272</v>
      </c>
      <c r="F8" s="109"/>
      <c r="G8" s="109"/>
      <c r="H8" s="140">
        <v>1141517</v>
      </c>
      <c r="I8" s="140">
        <v>1092981</v>
      </c>
      <c r="J8" s="26">
        <f>IF(H8&lt;&gt;"",IF(AND(C8&lt;&gt;"",IFERROR(MATCH(C8,Table10[Serial No.],0),0)),0,1),0)</f>
        <v>0</v>
      </c>
      <c r="K8" s="21"/>
      <c r="L8" s="539" t="str">
        <f t="shared" ca="1" si="7"/>
        <v/>
      </c>
      <c r="N8">
        <v>1033011</v>
      </c>
      <c r="O8" s="28">
        <f t="shared" si="0"/>
        <v>1033011</v>
      </c>
      <c r="P8" s="28">
        <f>SUMIF(Table1[LEVEL 5 MAT NO.],N8,Table1[Quantity])</f>
        <v>1</v>
      </c>
      <c r="Q8" s="479" t="str" cm="1">
        <f t="array" aca="1" ref="Q8" ca="1">_xlfn.TEXTJOIN(", ", TRUE, IF(($S$2:$S$485 = O8) * ($AF$2:$AF$485 &lt; 0), $W$2:$W$485&amp;" "&amp;$X$2:$X$485, ""))</f>
        <v/>
      </c>
      <c r="S8" s="281">
        <v>959209</v>
      </c>
      <c r="T8" s="278" t="s">
        <v>624</v>
      </c>
      <c r="U8" s="278" t="s">
        <v>625</v>
      </c>
      <c r="V8" s="25">
        <v>6</v>
      </c>
      <c r="W8" s="284">
        <v>418525</v>
      </c>
      <c r="X8" s="19" t="str">
        <f>IFERROR(INDEX(Table14[],MATCH($W8,Table14[SAPNo],0),3),"")</f>
        <v>Drop In 1308 CT31   (B)</v>
      </c>
      <c r="Y8" s="284">
        <v>9</v>
      </c>
      <c r="Z8" s="25">
        <f t="shared" si="1"/>
        <v>4</v>
      </c>
      <c r="AA8" s="25">
        <f t="shared" si="2"/>
        <v>36</v>
      </c>
      <c r="AB8" s="23">
        <f ca="1">IFERROR(INDEX('Cutters Inventory 12-30-2025'!A:W,MATCH($W8,'Cutters Inventory 12-30-2025'!B:B,0),14),0)</f>
        <v>933</v>
      </c>
      <c r="AC8" s="23">
        <f>SUMIF(Table1[LEVEL 5 MAT NO.],S8,Table1[Braze Plan])</f>
        <v>0</v>
      </c>
      <c r="AD8" s="23">
        <f>Table4[[#This Row],[Quantity]]*Table4[[#This Row],[Bits Braze Plan]]</f>
        <v>0</v>
      </c>
      <c r="AE8" s="23">
        <f ca="1">Table4[[#This Row],[INV. QTY]]-Table4[[#This Row],[Required For Braze Cutters Check]]</f>
        <v>933</v>
      </c>
      <c r="AF8" s="23">
        <f t="shared" ca="1" si="3"/>
        <v>933</v>
      </c>
      <c r="AG8" s="23"/>
      <c r="AI8">
        <v>625854</v>
      </c>
      <c r="AJ8" s="19">
        <f t="shared" si="4"/>
        <v>625854</v>
      </c>
      <c r="AK8" s="19">
        <f>SUMIF(Table4[Component],AJ8,Table4[Qty of Cutters in these MATs])</f>
        <v>245</v>
      </c>
      <c r="AL8" s="19">
        <f>SUMIF(Table4[Component],AJ8,Table4[Required For Braze Cutters Check])</f>
        <v>0</v>
      </c>
      <c r="AM8" s="19">
        <f ca="1">IFERROR(INDEX('Cutters Inventory 12-30-2025'!A:W,MATCH($AI8,'Cutters Inventory 12-30-2025'!B:B,0),14),0)</f>
        <v>74</v>
      </c>
      <c r="AN8" s="19">
        <f ca="1">Table5[[#This Row],[INV. QTY]]-Table5[[#This Row],[Required For Braze Cutters Check]]</f>
        <v>74</v>
      </c>
      <c r="AO8" s="19" t="str">
        <f ca="1">IF($AN8&lt;0,Table5[[#This Row],[Component]],"")</f>
        <v/>
      </c>
      <c r="AS8">
        <v>562195</v>
      </c>
      <c r="AT8">
        <f t="shared" si="8"/>
        <v>562195</v>
      </c>
      <c r="AV8" s="573">
        <f t="shared" si="9"/>
        <v>0</v>
      </c>
      <c r="AW8">
        <f t="shared" si="5"/>
        <v>0</v>
      </c>
      <c r="AY8">
        <v>1020531</v>
      </c>
      <c r="AZ8">
        <v>1084341</v>
      </c>
      <c r="BA8">
        <f t="shared" si="10"/>
        <v>1084341</v>
      </c>
      <c r="BC8" s="159">
        <f>IFERROR(VLOOKUP(BA:BA,Table4[],8,FALSE),Table6[[#This Row],[Not Exist BOM''s]])</f>
        <v>0</v>
      </c>
      <c r="BE8" s="575" t="str">
        <v>2013542M</v>
      </c>
      <c r="BG8" s="248" t="str">
        <f t="shared" si="6"/>
        <v/>
      </c>
    </row>
    <row r="9" spans="1:59" ht="24.75" customHeight="1" x14ac:dyDescent="0.3">
      <c r="A9" s="109"/>
      <c r="B9" s="608"/>
      <c r="C9" s="109">
        <v>13807909</v>
      </c>
      <c r="D9" s="109" t="s">
        <v>313</v>
      </c>
      <c r="E9" s="109" t="s">
        <v>272</v>
      </c>
      <c r="F9" s="109"/>
      <c r="G9" s="109"/>
      <c r="H9" s="140">
        <v>1141517</v>
      </c>
      <c r="I9" s="140">
        <v>1092981</v>
      </c>
      <c r="J9" s="26">
        <f>IF(H9&lt;&gt;"",IF(AND(C9&lt;&gt;"",IFERROR(MATCH(C9,Table10[Serial No.],0),0)),0,1),0)</f>
        <v>0</v>
      </c>
      <c r="K9" s="21"/>
      <c r="L9" s="539" t="str">
        <f t="shared" ca="1" si="7"/>
        <v/>
      </c>
      <c r="N9">
        <v>1058252</v>
      </c>
      <c r="O9" s="28">
        <f t="shared" si="0"/>
        <v>1058252</v>
      </c>
      <c r="P9" s="28">
        <f>SUMIF(Table1[LEVEL 5 MAT NO.],N9,Table1[Quantity])</f>
        <v>4</v>
      </c>
      <c r="Q9" s="479" t="str" cm="1">
        <f t="array" aca="1" ref="Q9" ca="1">_xlfn.TEXTJOIN(", ", TRUE, IF(($S$2:$S$485 = O9) * ($AF$2:$AF$485 &lt; 0), $W$2:$W$485&amp;" "&amp;$X$2:$X$485, ""))</f>
        <v/>
      </c>
      <c r="S9" s="281">
        <v>960723</v>
      </c>
      <c r="T9" s="278" t="s">
        <v>304</v>
      </c>
      <c r="U9" s="278" t="s">
        <v>630</v>
      </c>
      <c r="V9" s="25">
        <v>1</v>
      </c>
      <c r="W9" s="284">
        <v>1199261</v>
      </c>
      <c r="X9" s="19" t="str">
        <f>IFERROR(INDEX(Table14[],MATCH($W9,Table14[SAPNo],0),3),"")</f>
        <v>1010 CT158 0.018"</v>
      </c>
      <c r="Y9" s="284">
        <v>26</v>
      </c>
      <c r="Z9" s="25">
        <f t="shared" si="1"/>
        <v>8</v>
      </c>
      <c r="AA9" s="25">
        <f t="shared" si="2"/>
        <v>208</v>
      </c>
      <c r="AB9" s="23">
        <f ca="1">IFERROR(INDEX('Cutters Inventory 12-30-2025'!A:W,MATCH($W9,'Cutters Inventory 12-30-2025'!B:B,0),14),0)</f>
        <v>206</v>
      </c>
      <c r="AC9" s="23">
        <f>SUMIF(Table1[LEVEL 5 MAT NO.],S9,Table1[Braze Plan])</f>
        <v>0</v>
      </c>
      <c r="AD9" s="23">
        <f>Table4[[#This Row],[Quantity]]*Table4[[#This Row],[Bits Braze Plan]]</f>
        <v>0</v>
      </c>
      <c r="AE9" s="23">
        <f ca="1">Table4[[#This Row],[INV. QTY]]-Table4[[#This Row],[Required For Braze Cutters Check]]</f>
        <v>206</v>
      </c>
      <c r="AF9" s="23">
        <f t="shared" ca="1" si="3"/>
        <v>206</v>
      </c>
      <c r="AG9" s="23"/>
      <c r="AI9">
        <v>647435</v>
      </c>
      <c r="AJ9" s="19">
        <f t="shared" si="4"/>
        <v>647435</v>
      </c>
      <c r="AK9" s="19">
        <f>SUMIF(Table4[Component],AJ9,Table4[Qty of Cutters in these MATs])</f>
        <v>287</v>
      </c>
      <c r="AL9" s="19">
        <f>SUMIF(Table4[Component],AJ9,Table4[Required For Braze Cutters Check])</f>
        <v>0</v>
      </c>
      <c r="AM9" s="19">
        <f ca="1">IFERROR(INDEX('Cutters Inventory 12-30-2025'!A:W,MATCH($AI9,'Cutters Inventory 12-30-2025'!B:B,0),14),0)</f>
        <v>284</v>
      </c>
      <c r="AN9" s="19">
        <f ca="1">Table5[[#This Row],[INV. QTY]]-Table5[[#This Row],[Required For Braze Cutters Check]]</f>
        <v>284</v>
      </c>
      <c r="AO9" s="19" t="str">
        <f ca="1">IF($AN9&lt;0,Table5[[#This Row],[Component]],"")</f>
        <v/>
      </c>
      <c r="AS9">
        <v>625854</v>
      </c>
      <c r="AT9">
        <f t="shared" si="8"/>
        <v>625854</v>
      </c>
      <c r="AV9" s="573">
        <f t="shared" si="9"/>
        <v>0</v>
      </c>
      <c r="AW9">
        <f t="shared" si="5"/>
        <v>0</v>
      </c>
      <c r="AY9">
        <v>1033011</v>
      </c>
      <c r="AZ9">
        <v>1092722</v>
      </c>
      <c r="BA9">
        <f t="shared" si="10"/>
        <v>1092722</v>
      </c>
      <c r="BC9" s="159">
        <f>IFERROR(VLOOKUP(BA:BA,Table4[],8,FALSE),Table6[[#This Row],[Not Exist BOM''s]])</f>
        <v>0</v>
      </c>
      <c r="BE9" s="575" t="str">
        <v>2017993M</v>
      </c>
      <c r="BG9" s="248" t="str">
        <f t="shared" si="6"/>
        <v/>
      </c>
    </row>
    <row r="10" spans="1:59" ht="24.75" customHeight="1" x14ac:dyDescent="0.3">
      <c r="A10" s="109"/>
      <c r="B10" s="608"/>
      <c r="C10" s="109">
        <v>13807925</v>
      </c>
      <c r="D10" s="109" t="s">
        <v>631</v>
      </c>
      <c r="E10" s="109" t="s">
        <v>632</v>
      </c>
      <c r="F10" s="109"/>
      <c r="G10" s="109"/>
      <c r="H10" s="140">
        <v>1227237</v>
      </c>
      <c r="I10" s="140">
        <v>1138943</v>
      </c>
      <c r="J10" s="26">
        <f>IF(H10&lt;&gt;"",IF(AND(C10&lt;&gt;"",IFERROR(MATCH(C10,Table10[Serial No.],0),0)),0,1),0)</f>
        <v>1</v>
      </c>
      <c r="K10" s="21"/>
      <c r="L10" s="539" t="str">
        <f t="shared" ca="1" si="7"/>
        <v/>
      </c>
      <c r="N10">
        <v>1061407</v>
      </c>
      <c r="O10" s="28">
        <f t="shared" si="0"/>
        <v>1061407</v>
      </c>
      <c r="P10" s="28">
        <f>SUMIF(Table1[LEVEL 5 MAT NO.],N10,Table1[Quantity])</f>
        <v>0</v>
      </c>
      <c r="Q10" s="479" t="str" cm="1">
        <f t="array" aca="1" ref="Q10" ca="1">_xlfn.TEXTJOIN(", ", TRUE, IF(($S$2:$S$485 = O10) * ($AF$2:$AF$485 &lt; 0), $W$2:$W$485&amp;" "&amp;$X$2:$X$485, ""))</f>
        <v/>
      </c>
      <c r="S10" s="281">
        <v>960723</v>
      </c>
      <c r="T10" s="278" t="s">
        <v>304</v>
      </c>
      <c r="U10" s="278" t="s">
        <v>630</v>
      </c>
      <c r="V10" s="25">
        <v>2</v>
      </c>
      <c r="W10" s="284">
        <v>1130193</v>
      </c>
      <c r="X10" s="19" t="str">
        <f>IFERROR(INDEX(Table14[],MATCH($W10,Table14[SAPNo],0),3),"")</f>
        <v xml:space="preserve"> 1005 CT182  0.018 (S)</v>
      </c>
      <c r="Y10" s="284">
        <v>8</v>
      </c>
      <c r="Z10" s="25">
        <f t="shared" si="1"/>
        <v>8</v>
      </c>
      <c r="AA10" s="25">
        <f t="shared" si="2"/>
        <v>64</v>
      </c>
      <c r="AB10" s="23">
        <f ca="1">IFERROR(INDEX('Cutters Inventory 12-30-2025'!A:W,MATCH($W10,'Cutters Inventory 12-30-2025'!B:B,0),14),0)</f>
        <v>3</v>
      </c>
      <c r="AC10" s="23">
        <f>SUMIF(Table1[LEVEL 5 MAT NO.],S10,Table1[Braze Plan])</f>
        <v>0</v>
      </c>
      <c r="AD10" s="23">
        <f>Table4[[#This Row],[Quantity]]*Table4[[#This Row],[Bits Braze Plan]]</f>
        <v>0</v>
      </c>
      <c r="AE10" s="23">
        <f ca="1">Table4[[#This Row],[INV. QTY]]-Table4[[#This Row],[Required For Braze Cutters Check]]</f>
        <v>3</v>
      </c>
      <c r="AF10" s="23">
        <f t="shared" ca="1" si="3"/>
        <v>3</v>
      </c>
      <c r="AG10" s="23"/>
      <c r="AI10">
        <v>647436</v>
      </c>
      <c r="AJ10" s="19">
        <f t="shared" si="4"/>
        <v>647436</v>
      </c>
      <c r="AK10" s="19">
        <f>SUMIF(Table4[Component],AJ10,Table4[Qty of Cutters in these MATs])</f>
        <v>705</v>
      </c>
      <c r="AL10" s="19">
        <f>SUMIF(Table4[Component],AJ10,Table4[Required For Braze Cutters Check])</f>
        <v>0</v>
      </c>
      <c r="AM10" s="19">
        <f ca="1">IFERROR(INDEX('Cutters Inventory 12-30-2025'!A:W,MATCH($AI10,'Cutters Inventory 12-30-2025'!B:B,0),14),0)</f>
        <v>412</v>
      </c>
      <c r="AN10" s="19">
        <f ca="1">Table5[[#This Row],[INV. QTY]]-Table5[[#This Row],[Required For Braze Cutters Check]]</f>
        <v>412</v>
      </c>
      <c r="AO10" s="19" t="str">
        <f ca="1">IF($AN10&lt;0,Table5[[#This Row],[Component]],"")</f>
        <v/>
      </c>
      <c r="AS10">
        <v>647435</v>
      </c>
      <c r="AT10">
        <f t="shared" si="8"/>
        <v>647435</v>
      </c>
      <c r="AV10" s="573">
        <f t="shared" si="9"/>
        <v>0</v>
      </c>
      <c r="AW10">
        <f t="shared" si="5"/>
        <v>0</v>
      </c>
      <c r="AY10">
        <v>1056029</v>
      </c>
      <c r="AZ10">
        <v>1102426</v>
      </c>
      <c r="BA10">
        <f t="shared" si="10"/>
        <v>1102426</v>
      </c>
      <c r="BC10" s="159">
        <f>IFERROR(VLOOKUP(BA:BA,Table4[],8,FALSE),Table6[[#This Row],[Not Exist BOM''s]])</f>
        <v>0</v>
      </c>
      <c r="BE10" s="575" t="str">
        <v>level3</v>
      </c>
      <c r="BG10" s="248" t="str">
        <f t="shared" si="6"/>
        <v>level3</v>
      </c>
    </row>
    <row r="11" spans="1:59" ht="24.75" customHeight="1" x14ac:dyDescent="0.3">
      <c r="A11" s="109"/>
      <c r="B11" s="608"/>
      <c r="C11" s="109">
        <v>13807932</v>
      </c>
      <c r="D11" s="109" t="s">
        <v>309</v>
      </c>
      <c r="E11" s="109" t="s">
        <v>633</v>
      </c>
      <c r="F11" s="109"/>
      <c r="G11" s="109"/>
      <c r="H11" s="140">
        <v>1212881</v>
      </c>
      <c r="I11" s="140" t="s">
        <v>634</v>
      </c>
      <c r="J11" s="26">
        <f>IF(H11&lt;&gt;"",IF(AND(C11&lt;&gt;"",IFERROR(MATCH(C11,Table10[Serial No.],0),0)),0,1),0)</f>
        <v>1</v>
      </c>
      <c r="K11" s="21"/>
      <c r="L11" s="539" t="str">
        <f t="shared" si="7"/>
        <v/>
      </c>
      <c r="N11">
        <v>1083599</v>
      </c>
      <c r="O11" s="28">
        <f t="shared" si="0"/>
        <v>1083599</v>
      </c>
      <c r="P11" s="28">
        <f>SUMIF(Table1[LEVEL 5 MAT NO.],N11,Table1[Quantity])</f>
        <v>0</v>
      </c>
      <c r="Q11" s="479" t="str" cm="1">
        <f t="array" aca="1" ref="Q11" ca="1">_xlfn.TEXTJOIN(", ", TRUE, IF(($S$2:$S$485 = O11) * ($AF$2:$AF$485 &lt; 0), $W$2:$W$485&amp;" "&amp;$X$2:$X$485, ""))</f>
        <v/>
      </c>
      <c r="S11" s="281">
        <v>960723</v>
      </c>
      <c r="T11" s="278" t="s">
        <v>304</v>
      </c>
      <c r="U11" s="278" t="s">
        <v>630</v>
      </c>
      <c r="V11" s="25">
        <v>3</v>
      </c>
      <c r="W11" s="284">
        <v>1293118</v>
      </c>
      <c r="X11" s="19" t="str">
        <f>IFERROR(INDEX(Table14[],MATCH($W11,Table14[SAPNo],0),3),"")</f>
        <v>0808 CT158NL 0.018"</v>
      </c>
      <c r="Y11" s="284">
        <v>10</v>
      </c>
      <c r="Z11" s="25">
        <f t="shared" si="1"/>
        <v>8</v>
      </c>
      <c r="AA11" s="25">
        <f t="shared" si="2"/>
        <v>80</v>
      </c>
      <c r="AB11" s="23">
        <f ca="1">IFERROR(INDEX('Cutters Inventory 12-30-2025'!A:W,MATCH($W11,'Cutters Inventory 12-30-2025'!B:B,0),14),0)</f>
        <v>130</v>
      </c>
      <c r="AC11" s="23">
        <f>SUMIF(Table1[LEVEL 5 MAT NO.],S11,Table1[Braze Plan])</f>
        <v>0</v>
      </c>
      <c r="AD11" s="23">
        <f>Table4[[#This Row],[Quantity]]*Table4[[#This Row],[Bits Braze Plan]]</f>
        <v>0</v>
      </c>
      <c r="AE11" s="23">
        <f ca="1">Table4[[#This Row],[INV. QTY]]-Table4[[#This Row],[Required For Braze Cutters Check]]</f>
        <v>130</v>
      </c>
      <c r="AF11" s="23">
        <f t="shared" ca="1" si="3"/>
        <v>130</v>
      </c>
      <c r="AG11" s="23"/>
      <c r="AI11">
        <v>649901</v>
      </c>
      <c r="AJ11" s="19">
        <f t="shared" si="4"/>
        <v>649901</v>
      </c>
      <c r="AK11" s="19">
        <f>SUMIF(Table4[Component],AJ11,Table4[Qty of Cutters in these MATs])</f>
        <v>80</v>
      </c>
      <c r="AL11" s="19">
        <f>SUMIF(Table4[Component],AJ11,Table4[Required For Braze Cutters Check])</f>
        <v>0</v>
      </c>
      <c r="AM11" s="19">
        <f ca="1">IFERROR(INDEX('Cutters Inventory 12-30-2025'!A:W,MATCH($AI11,'Cutters Inventory 12-30-2025'!B:B,0),14),0)</f>
        <v>0</v>
      </c>
      <c r="AN11" s="19">
        <f ca="1">Table5[[#This Row],[INV. QTY]]-Table5[[#This Row],[Required For Braze Cutters Check]]</f>
        <v>0</v>
      </c>
      <c r="AO11" s="19" t="str">
        <f ca="1">IF($AN11&lt;0,Table5[[#This Row],[Component]],"")</f>
        <v/>
      </c>
      <c r="AS11">
        <v>647436</v>
      </c>
      <c r="AT11">
        <f t="shared" si="8"/>
        <v>647436</v>
      </c>
      <c r="AV11" s="573">
        <f t="shared" si="9"/>
        <v>0</v>
      </c>
      <c r="AW11">
        <f t="shared" si="5"/>
        <v>0</v>
      </c>
      <c r="AY11">
        <v>1058252</v>
      </c>
      <c r="AZ11">
        <v>1121983</v>
      </c>
      <c r="BA11">
        <f t="shared" si="10"/>
        <v>1121983</v>
      </c>
      <c r="BC11" s="159">
        <f>IFERROR(VLOOKUP(BA:BA,Table4[],8,FALSE),Table6[[#This Row],[Not Exist BOM''s]])</f>
        <v>0</v>
      </c>
      <c r="BE11" s="575"/>
      <c r="BG11" s="248" t="str">
        <f t="shared" si="6"/>
        <v/>
      </c>
    </row>
    <row r="12" spans="1:59" ht="24.75" customHeight="1" x14ac:dyDescent="0.3">
      <c r="A12" s="109"/>
      <c r="B12" s="608"/>
      <c r="C12" s="109">
        <v>13824398</v>
      </c>
      <c r="D12" s="109" t="s">
        <v>309</v>
      </c>
      <c r="E12" s="109" t="s">
        <v>633</v>
      </c>
      <c r="F12" s="109"/>
      <c r="G12" s="109"/>
      <c r="H12" s="140">
        <v>1229062</v>
      </c>
      <c r="I12" s="140" t="s">
        <v>634</v>
      </c>
      <c r="J12" s="26">
        <f>IF(H12&lt;&gt;"",IF(AND(C12&lt;&gt;"",IFERROR(MATCH(C12,Table10[Serial No.],0),0)),0,1),0)</f>
        <v>1</v>
      </c>
      <c r="K12" s="21"/>
      <c r="L12" s="539" t="str">
        <f t="shared" si="7"/>
        <v/>
      </c>
      <c r="N12">
        <v>1086630</v>
      </c>
      <c r="O12" s="28">
        <f t="shared" si="0"/>
        <v>1086630</v>
      </c>
      <c r="P12" s="28">
        <f>SUMIF(Table1[LEVEL 5 MAT NO.],N12,Table1[Quantity])</f>
        <v>0</v>
      </c>
      <c r="Q12" s="479" t="str" cm="1">
        <f t="array" aca="1" ref="Q12" ca="1">_xlfn.TEXTJOIN(", ", TRUE, IF(($S$2:$S$485 = O12) * ($AF$2:$AF$485 &lt; 0), $W$2:$W$485&amp;" "&amp;$X$2:$X$485, ""))</f>
        <v/>
      </c>
      <c r="S12" s="281">
        <v>965522</v>
      </c>
      <c r="T12" s="278" t="s">
        <v>309</v>
      </c>
      <c r="U12" s="278" t="s">
        <v>635</v>
      </c>
      <c r="V12" s="25">
        <v>1</v>
      </c>
      <c r="W12" s="284">
        <v>1130196</v>
      </c>
      <c r="X12" s="19" t="str">
        <f>IFERROR(INDEX(Table14[],MATCH($W12,Table14[SAPNo],0),3),"")</f>
        <v>Round 1313 CT182  0.018" (S)</v>
      </c>
      <c r="Y12" s="284">
        <v>23</v>
      </c>
      <c r="Z12" s="25">
        <f t="shared" si="1"/>
        <v>2</v>
      </c>
      <c r="AA12" s="25">
        <f t="shared" si="2"/>
        <v>46</v>
      </c>
      <c r="AB12" s="23">
        <f ca="1">IFERROR(INDEX('Cutters Inventory 12-30-2025'!A:W,MATCH($W12,'Cutters Inventory 12-30-2025'!B:B,0),14),0)</f>
        <v>6</v>
      </c>
      <c r="AC12" s="23">
        <f>SUMIF(Table1[LEVEL 5 MAT NO.],S12,Table1[Braze Plan])</f>
        <v>0</v>
      </c>
      <c r="AD12" s="23">
        <f>Table4[[#This Row],[Quantity]]*Table4[[#This Row],[Bits Braze Plan]]</f>
        <v>0</v>
      </c>
      <c r="AE12" s="23">
        <f ca="1">Table4[[#This Row],[INV. QTY]]-Table4[[#This Row],[Required For Braze Cutters Check]]</f>
        <v>6</v>
      </c>
      <c r="AF12" s="23">
        <f t="shared" ca="1" si="3"/>
        <v>6</v>
      </c>
      <c r="AG12" s="23"/>
      <c r="AI12">
        <v>653400</v>
      </c>
      <c r="AJ12" s="19">
        <f t="shared" si="4"/>
        <v>653400</v>
      </c>
      <c r="AK12" s="19">
        <f>SUMIF(Table4[Component],AJ12,Table4[Qty of Cutters in these MATs])</f>
        <v>72</v>
      </c>
      <c r="AL12" s="19">
        <f>SUMIF(Table4[Component],AJ12,Table4[Required For Braze Cutters Check])</f>
        <v>0</v>
      </c>
      <c r="AM12" s="19">
        <f ca="1">IFERROR(INDEX('Cutters Inventory 12-30-2025'!A:W,MATCH($AI12,'Cutters Inventory 12-30-2025'!B:B,0),14),0)</f>
        <v>37</v>
      </c>
      <c r="AN12" s="19">
        <f ca="1">Table5[[#This Row],[INV. QTY]]-Table5[[#This Row],[Required For Braze Cutters Check]]</f>
        <v>37</v>
      </c>
      <c r="AO12" s="19" t="str">
        <f ca="1">IF($AN12&lt;0,Table5[[#This Row],[Component]],"")</f>
        <v/>
      </c>
      <c r="AS12">
        <v>649901</v>
      </c>
      <c r="AT12">
        <f t="shared" si="8"/>
        <v>649901</v>
      </c>
      <c r="AV12" s="573">
        <f t="shared" si="9"/>
        <v>0</v>
      </c>
      <c r="AW12">
        <f t="shared" si="5"/>
        <v>0</v>
      </c>
      <c r="AY12">
        <v>1059290</v>
      </c>
      <c r="AZ12">
        <v>1137348</v>
      </c>
      <c r="BA12">
        <f t="shared" si="10"/>
        <v>1137348</v>
      </c>
      <c r="BC12" s="159">
        <f>IFERROR(VLOOKUP(BA:BA,Table4[],8,FALSE),Table6[[#This Row],[Not Exist BOM''s]])</f>
        <v>0</v>
      </c>
      <c r="BE12" s="575"/>
      <c r="BG12" s="248" t="str">
        <f t="shared" si="6"/>
        <v/>
      </c>
    </row>
    <row r="13" spans="1:59" ht="24.75" customHeight="1" x14ac:dyDescent="0.3">
      <c r="A13" s="109"/>
      <c r="B13" s="608"/>
      <c r="C13" s="109">
        <v>13832564</v>
      </c>
      <c r="D13" s="109" t="s">
        <v>624</v>
      </c>
      <c r="E13" s="109" t="s">
        <v>625</v>
      </c>
      <c r="F13" s="109"/>
      <c r="G13" s="109"/>
      <c r="H13" s="140">
        <v>1188084</v>
      </c>
      <c r="I13" s="140">
        <v>959209</v>
      </c>
      <c r="J13" s="26">
        <f>IF(H13&lt;&gt;"",IF(AND(C13&lt;&gt;"",IFERROR(MATCH(C13,Table10[Serial No.],0),0)),0,1),0)</f>
        <v>1</v>
      </c>
      <c r="K13" s="21"/>
      <c r="L13" s="539" t="str">
        <f t="shared" ca="1" si="7"/>
        <v/>
      </c>
      <c r="N13">
        <v>1092981</v>
      </c>
      <c r="O13" s="28">
        <f t="shared" si="0"/>
        <v>1092981</v>
      </c>
      <c r="P13" s="28">
        <f>SUMIF(Table1[LEVEL 5 MAT NO.],N13,Table1[Quantity])</f>
        <v>1</v>
      </c>
      <c r="Q13" s="479" t="str" cm="1">
        <f t="array" aca="1" ref="Q13" ca="1">_xlfn.TEXTJOIN(", ", TRUE, IF(($S$2:$S$485 = O13) * ($AF$2:$AF$485 &lt; 0), $W$2:$W$485&amp;" "&amp;$X$2:$X$485, ""))</f>
        <v/>
      </c>
      <c r="S13" s="281">
        <v>965522</v>
      </c>
      <c r="T13" s="278" t="s">
        <v>309</v>
      </c>
      <c r="U13" s="278" t="s">
        <v>635</v>
      </c>
      <c r="V13" s="25">
        <v>2</v>
      </c>
      <c r="W13" s="284">
        <v>717751</v>
      </c>
      <c r="X13" s="19" t="str">
        <f>IFERROR(INDEX(Table14[],MATCH($W13,Table14[SAPNo],0),3),"")</f>
        <v>Round 1308 CT200  0.018" (B)</v>
      </c>
      <c r="Y13" s="284">
        <v>6</v>
      </c>
      <c r="Z13" s="25">
        <f t="shared" si="1"/>
        <v>2</v>
      </c>
      <c r="AA13" s="25">
        <f t="shared" si="2"/>
        <v>12</v>
      </c>
      <c r="AB13" s="23">
        <f ca="1">IFERROR(INDEX('Cutters Inventory 12-30-2025'!A:W,MATCH($W13,'Cutters Inventory 12-30-2025'!B:B,0),14),0)</f>
        <v>28</v>
      </c>
      <c r="AC13" s="23">
        <f>SUMIF(Table1[LEVEL 5 MAT NO.],S13,Table1[Braze Plan])</f>
        <v>0</v>
      </c>
      <c r="AD13" s="23">
        <f>Table4[[#This Row],[Quantity]]*Table4[[#This Row],[Bits Braze Plan]]</f>
        <v>0</v>
      </c>
      <c r="AE13" s="23">
        <f ca="1">Table4[[#This Row],[INV. QTY]]-Table4[[#This Row],[Required For Braze Cutters Check]]</f>
        <v>28</v>
      </c>
      <c r="AF13" s="23">
        <f t="shared" ca="1" si="3"/>
        <v>28</v>
      </c>
      <c r="AG13" s="23"/>
      <c r="AI13">
        <v>703670</v>
      </c>
      <c r="AJ13" s="19">
        <f t="shared" si="4"/>
        <v>703670</v>
      </c>
      <c r="AK13" s="19">
        <f>SUMIF(Table4[Component],AJ13,Table4[Qty of Cutters in these MATs])</f>
        <v>0</v>
      </c>
      <c r="AL13" s="19">
        <f>SUMIF(Table4[Component],AJ13,Table4[Required For Braze Cutters Check])</f>
        <v>0</v>
      </c>
      <c r="AM13" s="19">
        <f ca="1">IFERROR(INDEX('Cutters Inventory 12-30-2025'!A:W,MATCH($AI13,'Cutters Inventory 12-30-2025'!B:B,0),14),0)</f>
        <v>49</v>
      </c>
      <c r="AN13" s="19">
        <f ca="1">Table5[[#This Row],[INV. QTY]]-Table5[[#This Row],[Required For Braze Cutters Check]]</f>
        <v>49</v>
      </c>
      <c r="AO13" s="19" t="str">
        <f ca="1">IF($AN13&lt;0,Table5[[#This Row],[Component]],"")</f>
        <v/>
      </c>
      <c r="AS13">
        <v>653400</v>
      </c>
      <c r="AT13">
        <f t="shared" si="8"/>
        <v>653400</v>
      </c>
      <c r="AV13" s="573">
        <f t="shared" si="9"/>
        <v>0</v>
      </c>
      <c r="AW13">
        <f t="shared" si="5"/>
        <v>0</v>
      </c>
      <c r="AY13">
        <v>1061407</v>
      </c>
      <c r="AZ13">
        <v>1138896</v>
      </c>
      <c r="BA13">
        <f t="shared" si="10"/>
        <v>1138896</v>
      </c>
      <c r="BC13" s="159">
        <f>IFERROR(VLOOKUP(BA:BA,Table4[],8,FALSE),Table6[[#This Row],[Not Exist BOM''s]])</f>
        <v>0</v>
      </c>
      <c r="BE13" s="575"/>
      <c r="BG13" s="248" t="str">
        <f t="shared" si="6"/>
        <v/>
      </c>
    </row>
    <row r="14" spans="1:59" ht="24.75" customHeight="1" x14ac:dyDescent="0.3">
      <c r="A14" s="109"/>
      <c r="B14" s="608"/>
      <c r="C14" s="109">
        <v>13844445</v>
      </c>
      <c r="D14" s="109" t="s">
        <v>624</v>
      </c>
      <c r="E14" s="109" t="s">
        <v>625</v>
      </c>
      <c r="F14" s="109"/>
      <c r="G14" s="109"/>
      <c r="H14" s="140">
        <v>1188084</v>
      </c>
      <c r="I14" s="140">
        <v>959209</v>
      </c>
      <c r="J14" s="26">
        <f>IF(H14&lt;&gt;"",IF(AND(C14&lt;&gt;"",IFERROR(MATCH(C14,Table10[Serial No.],0),0)),0,1),0)</f>
        <v>1</v>
      </c>
      <c r="K14" s="21"/>
      <c r="L14" s="539" t="str">
        <f t="shared" ca="1" si="7"/>
        <v/>
      </c>
      <c r="N14">
        <v>1095217</v>
      </c>
      <c r="O14" s="28">
        <f t="shared" si="0"/>
        <v>1095217</v>
      </c>
      <c r="P14" s="28">
        <f>SUMIF(Table1[LEVEL 5 MAT NO.],N14,Table1[Quantity])</f>
        <v>0</v>
      </c>
      <c r="Q14" s="479" t="str" cm="1">
        <f t="array" aca="1" ref="Q14" ca="1">_xlfn.TEXTJOIN(", ", TRUE, IF(($S$2:$S$485 = O14) * ($AF$2:$AF$485 &lt; 0), $W$2:$W$485&amp;" "&amp;$X$2:$X$485, ""))</f>
        <v/>
      </c>
      <c r="S14" s="281">
        <v>965522</v>
      </c>
      <c r="T14" s="278" t="s">
        <v>309</v>
      </c>
      <c r="U14" s="278" t="s">
        <v>635</v>
      </c>
      <c r="V14" s="25">
        <v>3</v>
      </c>
      <c r="W14" s="284">
        <v>375538</v>
      </c>
      <c r="X14" s="19" t="str">
        <f>IFERROR(INDEX(Table14[],MATCH($W14,Table14[SAPNo],0),3),"")</f>
        <v>R1 13  R1 PEP .012R LG BEVEL  (D)</v>
      </c>
      <c r="Y14" s="284">
        <v>12</v>
      </c>
      <c r="Z14" s="25">
        <f t="shared" si="1"/>
        <v>2</v>
      </c>
      <c r="AA14" s="25">
        <f t="shared" si="2"/>
        <v>24</v>
      </c>
      <c r="AB14" s="23">
        <f ca="1">IFERROR(INDEX('Cutters Inventory 12-30-2025'!A:W,MATCH($W14,'Cutters Inventory 12-30-2025'!B:B,0),14),0)</f>
        <v>0</v>
      </c>
      <c r="AC14" s="23">
        <f>SUMIF(Table1[LEVEL 5 MAT NO.],S14,Table1[Braze Plan])</f>
        <v>0</v>
      </c>
      <c r="AD14" s="23">
        <f>Table4[[#This Row],[Quantity]]*Table4[[#This Row],[Bits Braze Plan]]</f>
        <v>0</v>
      </c>
      <c r="AE14" s="23">
        <f ca="1">Table4[[#This Row],[INV. QTY]]-Table4[[#This Row],[Required For Braze Cutters Check]]</f>
        <v>0</v>
      </c>
      <c r="AF14" s="23">
        <f t="shared" ca="1" si="3"/>
        <v>0</v>
      </c>
      <c r="AG14" s="23"/>
      <c r="AI14">
        <v>708306</v>
      </c>
      <c r="AJ14" s="19">
        <f t="shared" si="4"/>
        <v>708306</v>
      </c>
      <c r="AK14" s="19">
        <f>SUMIF(Table4[Component],AJ14,Table4[Qty of Cutters in these MATs])</f>
        <v>272</v>
      </c>
      <c r="AL14" s="19">
        <f>SUMIF(Table4[Component],AJ14,Table4[Required For Braze Cutters Check])</f>
        <v>0</v>
      </c>
      <c r="AM14" s="19">
        <f ca="1">IFERROR(INDEX('Cutters Inventory 12-30-2025'!A:W,MATCH($AI14,'Cutters Inventory 12-30-2025'!B:B,0),14),0)</f>
        <v>82</v>
      </c>
      <c r="AN14" s="19">
        <f ca="1">Table5[[#This Row],[INV. QTY]]-Table5[[#This Row],[Required For Braze Cutters Check]]</f>
        <v>82</v>
      </c>
      <c r="AO14" s="19" t="str">
        <f ca="1">IF($AN14&lt;0,Table5[[#This Row],[Component]],"")</f>
        <v/>
      </c>
      <c r="AS14">
        <v>703670</v>
      </c>
      <c r="AT14">
        <f t="shared" si="8"/>
        <v>703670</v>
      </c>
      <c r="AV14" s="573">
        <f t="shared" si="9"/>
        <v>0</v>
      </c>
      <c r="AW14">
        <f t="shared" si="5"/>
        <v>0</v>
      </c>
      <c r="AY14">
        <v>1080537</v>
      </c>
      <c r="AZ14">
        <v>1159702</v>
      </c>
      <c r="BA14">
        <f t="shared" si="10"/>
        <v>1159702</v>
      </c>
      <c r="BC14" s="159">
        <f>IFERROR(VLOOKUP(BA:BA,Table4[],8,FALSE),Table6[[#This Row],[Not Exist BOM''s]])</f>
        <v>0</v>
      </c>
      <c r="BE14" s="575"/>
      <c r="BG14" s="248" t="str">
        <f t="shared" si="6"/>
        <v/>
      </c>
    </row>
    <row r="15" spans="1:59" ht="24.75" customHeight="1" x14ac:dyDescent="0.3">
      <c r="A15" s="109"/>
      <c r="B15" s="707"/>
      <c r="C15" s="109">
        <v>13863503</v>
      </c>
      <c r="D15" s="109" t="s">
        <v>316</v>
      </c>
      <c r="E15" s="109" t="s">
        <v>317</v>
      </c>
      <c r="F15" s="109"/>
      <c r="G15" s="109"/>
      <c r="H15" s="140">
        <v>1197910</v>
      </c>
      <c r="I15" s="140">
        <v>1190973</v>
      </c>
      <c r="J15" s="26">
        <f>IF(H15&lt;&gt;"",IF(AND(C15&lt;&gt;"",IFERROR(MATCH(C15,Table10[Serial No.],0),0)),0,1),0)</f>
        <v>1</v>
      </c>
      <c r="K15" s="21"/>
      <c r="L15" s="539" t="str">
        <f t="shared" ca="1" si="7"/>
        <v/>
      </c>
      <c r="N15">
        <v>1096183</v>
      </c>
      <c r="O15" s="28">
        <f t="shared" si="0"/>
        <v>1096183</v>
      </c>
      <c r="P15" s="28">
        <f>SUMIF(Table1[LEVEL 5 MAT NO.],N15,Table1[Quantity])</f>
        <v>0</v>
      </c>
      <c r="Q15" s="479" t="str" cm="1">
        <f t="array" aca="1" ref="Q15" ca="1">_xlfn.TEXTJOIN(", ", TRUE, IF(($S$2:$S$485 = O15) * ($AF$2:$AF$485 &lt; 0), $W$2:$W$485&amp;" "&amp;$X$2:$X$485, ""))</f>
        <v/>
      </c>
      <c r="S15" s="281">
        <v>965522</v>
      </c>
      <c r="T15" s="278" t="s">
        <v>309</v>
      </c>
      <c r="U15" s="278" t="s">
        <v>635</v>
      </c>
      <c r="V15" s="25">
        <v>4</v>
      </c>
      <c r="W15" s="284">
        <v>871781</v>
      </c>
      <c r="X15" s="19" t="str">
        <f>IFERROR(INDEX(Table14[],MATCH($W15,Table14[SAPNo],0),3),"")</f>
        <v>Round 1313 CT200  0.018" (B)</v>
      </c>
      <c r="Y15" s="284">
        <v>6</v>
      </c>
      <c r="Z15" s="25">
        <f t="shared" si="1"/>
        <v>2</v>
      </c>
      <c r="AA15" s="25">
        <f t="shared" si="2"/>
        <v>12</v>
      </c>
      <c r="AB15" s="23">
        <f ca="1">IFERROR(INDEX('Cutters Inventory 12-30-2025'!A:W,MATCH($W15,'Cutters Inventory 12-30-2025'!B:B,0),14),0)</f>
        <v>843</v>
      </c>
      <c r="AC15" s="23">
        <f>SUMIF(Table1[LEVEL 5 MAT NO.],S15,Table1[Braze Plan])</f>
        <v>0</v>
      </c>
      <c r="AD15" s="23">
        <f>Table4[[#This Row],[Quantity]]*Table4[[#This Row],[Bits Braze Plan]]</f>
        <v>0</v>
      </c>
      <c r="AE15" s="23">
        <f ca="1">Table4[[#This Row],[INV. QTY]]-Table4[[#This Row],[Required For Braze Cutters Check]]</f>
        <v>843</v>
      </c>
      <c r="AF15" s="23">
        <f t="shared" ca="1" si="3"/>
        <v>843</v>
      </c>
      <c r="AG15" s="23"/>
      <c r="AI15">
        <v>717748</v>
      </c>
      <c r="AJ15" s="19">
        <f t="shared" si="4"/>
        <v>717748</v>
      </c>
      <c r="AK15" s="19">
        <f>SUMIF(Table4[Component],AJ15,Table4[Qty of Cutters in these MATs])</f>
        <v>382</v>
      </c>
      <c r="AL15" s="19">
        <f>SUMIF(Table4[Component],AJ15,Table4[Required For Braze Cutters Check])</f>
        <v>0</v>
      </c>
      <c r="AM15" s="19">
        <f ca="1">IFERROR(INDEX('Cutters Inventory 12-30-2025'!A:W,MATCH($AI15,'Cutters Inventory 12-30-2025'!B:B,0),14),0)</f>
        <v>295</v>
      </c>
      <c r="AN15" s="19">
        <f ca="1">Table5[[#This Row],[INV. QTY]]-Table5[[#This Row],[Required For Braze Cutters Check]]</f>
        <v>295</v>
      </c>
      <c r="AO15" s="19" t="str">
        <f ca="1">IF($AN15&lt;0,Table5[[#This Row],[Component]],"")</f>
        <v/>
      </c>
      <c r="AS15">
        <v>708306</v>
      </c>
      <c r="AT15">
        <f t="shared" si="8"/>
        <v>708306</v>
      </c>
      <c r="AV15" s="573">
        <f t="shared" si="9"/>
        <v>0</v>
      </c>
      <c r="AW15">
        <f t="shared" si="5"/>
        <v>0</v>
      </c>
      <c r="AY15">
        <v>1083564</v>
      </c>
      <c r="AZ15">
        <v>1174282</v>
      </c>
      <c r="BA15">
        <f t="shared" si="10"/>
        <v>1174282</v>
      </c>
      <c r="BC15" s="159">
        <f>IFERROR(VLOOKUP(BA:BA,Table4[],8,FALSE),Table6[[#This Row],[Not Exist BOM''s]])</f>
        <v>0</v>
      </c>
      <c r="BE15" s="575"/>
      <c r="BG15" s="248" t="str">
        <f t="shared" si="6"/>
        <v/>
      </c>
    </row>
    <row r="16" spans="1:59" ht="24.75" customHeight="1" x14ac:dyDescent="0.3">
      <c r="A16" s="109"/>
      <c r="B16" s="707"/>
      <c r="C16" s="109">
        <v>13864100</v>
      </c>
      <c r="D16" s="109" t="s">
        <v>316</v>
      </c>
      <c r="E16" s="109" t="s">
        <v>317</v>
      </c>
      <c r="F16" s="109"/>
      <c r="G16" s="109"/>
      <c r="H16" s="140">
        <v>1197910</v>
      </c>
      <c r="I16" s="140">
        <v>1190973</v>
      </c>
      <c r="J16" s="26">
        <f>IF(H16&lt;&gt;"",IF(AND(C16&lt;&gt;"",IFERROR(MATCH(C16,Table10[Serial No.],0),0)),0,1),0)</f>
        <v>1</v>
      </c>
      <c r="K16" s="21"/>
      <c r="L16" s="539" t="str">
        <f t="shared" ca="1" si="7"/>
        <v/>
      </c>
      <c r="N16">
        <v>1134806</v>
      </c>
      <c r="O16" s="28">
        <f t="shared" si="0"/>
        <v>1134806</v>
      </c>
      <c r="P16" s="28">
        <f>SUMIF(Table1[LEVEL 5 MAT NO.],N16,Table1[Quantity])</f>
        <v>2</v>
      </c>
      <c r="Q16" s="479" t="str" cm="1">
        <f t="array" aca="1" ref="Q16" ca="1">_xlfn.TEXTJOIN(", ", TRUE, IF(($S$2:$S$485 = O16) * ($AF$2:$AF$485 &lt; 0), $W$2:$W$485&amp;" "&amp;$X$2:$X$485, ""))</f>
        <v/>
      </c>
      <c r="S16" s="281">
        <v>965522</v>
      </c>
      <c r="T16" s="278" t="s">
        <v>309</v>
      </c>
      <c r="U16" s="278" t="s">
        <v>635</v>
      </c>
      <c r="V16" s="25">
        <v>5</v>
      </c>
      <c r="W16" s="284">
        <v>1134752</v>
      </c>
      <c r="X16" s="19" t="str">
        <f>IFERROR(INDEX(Table14[],MATCH($W16,Table14[SAPNo],0),3),"")</f>
        <v>Round 1308 CT182  0.018" (S)</v>
      </c>
      <c r="Y16" s="284">
        <v>3</v>
      </c>
      <c r="Z16" s="25">
        <f t="shared" si="1"/>
        <v>2</v>
      </c>
      <c r="AA16" s="25">
        <f t="shared" si="2"/>
        <v>6</v>
      </c>
      <c r="AB16" s="23">
        <f ca="1">IFERROR(INDEX('Cutters Inventory 12-30-2025'!A:W,MATCH($W16,'Cutters Inventory 12-30-2025'!B:B,0),14),0)</f>
        <v>38</v>
      </c>
      <c r="AC16" s="23">
        <f>SUMIF(Table1[LEVEL 5 MAT NO.],S16,Table1[Braze Plan])</f>
        <v>0</v>
      </c>
      <c r="AD16" s="23">
        <f>Table4[[#This Row],[Quantity]]*Table4[[#This Row],[Bits Braze Plan]]</f>
        <v>0</v>
      </c>
      <c r="AE16" s="23">
        <f ca="1">Table4[[#This Row],[INV. QTY]]-Table4[[#This Row],[Required For Braze Cutters Check]]</f>
        <v>38</v>
      </c>
      <c r="AF16" s="23">
        <f t="shared" ca="1" si="3"/>
        <v>38</v>
      </c>
      <c r="AG16" s="23"/>
      <c r="AI16">
        <v>717751</v>
      </c>
      <c r="AJ16" s="19">
        <f t="shared" si="4"/>
        <v>717751</v>
      </c>
      <c r="AK16" s="19">
        <f>SUMIF(Table4[Component],AJ16,Table4[Qty of Cutters in these MATs])</f>
        <v>248</v>
      </c>
      <c r="AL16" s="19">
        <f>SUMIF(Table4[Component],AJ16,Table4[Required For Braze Cutters Check])</f>
        <v>0</v>
      </c>
      <c r="AM16" s="19">
        <f ca="1">IFERROR(INDEX('Cutters Inventory 12-30-2025'!A:W,MATCH($AI16,'Cutters Inventory 12-30-2025'!B:B,0),14),0)</f>
        <v>28</v>
      </c>
      <c r="AN16" s="19">
        <f ca="1">Table5[[#This Row],[INV. QTY]]-Table5[[#This Row],[Required For Braze Cutters Check]]</f>
        <v>28</v>
      </c>
      <c r="AO16" s="19" t="str">
        <f ca="1">IF($AN16&lt;0,Table5[[#This Row],[Component]],"")</f>
        <v/>
      </c>
      <c r="AS16">
        <v>717748</v>
      </c>
      <c r="AT16">
        <f t="shared" si="8"/>
        <v>717748</v>
      </c>
      <c r="AV16" s="573">
        <f t="shared" si="9"/>
        <v>0</v>
      </c>
      <c r="AW16">
        <f t="shared" si="5"/>
        <v>0</v>
      </c>
      <c r="AY16">
        <v>1083599</v>
      </c>
      <c r="AZ16">
        <v>1176919</v>
      </c>
      <c r="BA16">
        <f t="shared" si="10"/>
        <v>1176919</v>
      </c>
      <c r="BC16" s="159">
        <f>IFERROR(VLOOKUP(BA:BA,Table4[],8,FALSE),Table6[[#This Row],[Not Exist BOM''s]])</f>
        <v>0</v>
      </c>
      <c r="BE16" s="575"/>
      <c r="BG16" s="248" t="str">
        <f t="shared" si="6"/>
        <v/>
      </c>
    </row>
    <row r="17" spans="1:59" ht="24.75" customHeight="1" x14ac:dyDescent="0.3">
      <c r="A17" s="109"/>
      <c r="B17" s="707"/>
      <c r="C17" s="109">
        <v>13869680</v>
      </c>
      <c r="D17" s="109" t="s">
        <v>316</v>
      </c>
      <c r="E17" s="109" t="s">
        <v>317</v>
      </c>
      <c r="F17" s="109"/>
      <c r="G17" s="109"/>
      <c r="H17" s="140">
        <v>1197910</v>
      </c>
      <c r="I17" s="140">
        <v>1190973</v>
      </c>
      <c r="J17" s="26">
        <f>IF(H17&lt;&gt;"",IF(AND(C17&lt;&gt;"",IFERROR(MATCH(C17,Table10[Serial No.],0),0)),0,1),0)</f>
        <v>1</v>
      </c>
      <c r="K17" s="21"/>
      <c r="L17" s="539" t="str">
        <f t="shared" ca="1" si="7"/>
        <v/>
      </c>
      <c r="N17">
        <v>1134878</v>
      </c>
      <c r="O17" s="28">
        <f t="shared" si="0"/>
        <v>1134878</v>
      </c>
      <c r="P17" s="28">
        <f>SUMIF(Table1[LEVEL 5 MAT NO.],N17,Table1[Quantity])</f>
        <v>3</v>
      </c>
      <c r="Q17" s="479" t="str" cm="1">
        <f t="array" aca="1" ref="Q17" ca="1">_xlfn.TEXTJOIN(", ", TRUE, IF(($S$2:$S$485 = O17) * ($AF$2:$AF$485 &lt; 0), $W$2:$W$485&amp;" "&amp;$X$2:$X$485, ""))</f>
        <v/>
      </c>
      <c r="S17" s="281">
        <v>1005462</v>
      </c>
      <c r="T17" s="278" t="s">
        <v>315</v>
      </c>
      <c r="U17" s="278" t="s">
        <v>367</v>
      </c>
      <c r="V17" s="25">
        <v>1</v>
      </c>
      <c r="W17" s="284">
        <v>1126404</v>
      </c>
      <c r="X17" s="19" t="str">
        <f>IFERROR(INDEX(Table14[],MATCH($W17,Table14[SAPNo],0),3),"")</f>
        <v>1913 CT421 18-60</v>
      </c>
      <c r="Y17" s="284">
        <v>54</v>
      </c>
      <c r="Z17" s="25">
        <f t="shared" si="1"/>
        <v>0</v>
      </c>
      <c r="AA17" s="25">
        <f t="shared" si="2"/>
        <v>0</v>
      </c>
      <c r="AB17" s="23">
        <f ca="1">IFERROR(INDEX('Cutters Inventory 12-30-2025'!A:W,MATCH($W17,'Cutters Inventory 12-30-2025'!B:B,0),14),0)</f>
        <v>0</v>
      </c>
      <c r="AC17" s="23">
        <f>SUMIF(Table1[LEVEL 5 MAT NO.],S17,Table1[Braze Plan])</f>
        <v>0</v>
      </c>
      <c r="AD17" s="23">
        <f>Table4[[#This Row],[Quantity]]*Table4[[#This Row],[Bits Braze Plan]]</f>
        <v>0</v>
      </c>
      <c r="AE17" s="23">
        <f ca="1">Table4[[#This Row],[INV. QTY]]-Table4[[#This Row],[Required For Braze Cutters Check]]</f>
        <v>0</v>
      </c>
      <c r="AF17" s="23">
        <f t="shared" ca="1" si="3"/>
        <v>0</v>
      </c>
      <c r="AG17" s="23"/>
      <c r="AI17">
        <v>773383</v>
      </c>
      <c r="AJ17" s="19">
        <f t="shared" si="4"/>
        <v>773383</v>
      </c>
      <c r="AK17" s="19">
        <f>SUMIF(Table4[Component],AJ17,Table4[Qty of Cutters in these MATs])</f>
        <v>56</v>
      </c>
      <c r="AL17" s="19">
        <f>SUMIF(Table4[Component],AJ17,Table4[Required For Braze Cutters Check])</f>
        <v>0</v>
      </c>
      <c r="AM17" s="19">
        <f ca="1">IFERROR(INDEX('Cutters Inventory 12-30-2025'!A:W,MATCH($AI17,'Cutters Inventory 12-30-2025'!B:B,0),14),0)</f>
        <v>0</v>
      </c>
      <c r="AN17" s="19">
        <f ca="1">Table5[[#This Row],[INV. QTY]]-Table5[[#This Row],[Required For Braze Cutters Check]]</f>
        <v>0</v>
      </c>
      <c r="AO17" s="19" t="str">
        <f ca="1">IF($AN17&lt;0,Table5[[#This Row],[Component]],"")</f>
        <v/>
      </c>
      <c r="AS17">
        <v>717751</v>
      </c>
      <c r="AT17">
        <f t="shared" si="8"/>
        <v>717751</v>
      </c>
      <c r="AV17" s="573">
        <f t="shared" si="9"/>
        <v>0</v>
      </c>
      <c r="AW17">
        <f t="shared" si="5"/>
        <v>0</v>
      </c>
      <c r="AY17">
        <v>1084341</v>
      </c>
      <c r="AZ17">
        <v>1186699</v>
      </c>
      <c r="BA17">
        <f t="shared" si="10"/>
        <v>1186699</v>
      </c>
      <c r="BC17" s="159">
        <f>IFERROR(VLOOKUP(BA:BA,Table4[],8,FALSE),Table6[[#This Row],[Not Exist BOM''s]])</f>
        <v>0</v>
      </c>
      <c r="BE17" s="575"/>
      <c r="BG17" s="248" t="str">
        <f t="shared" si="6"/>
        <v/>
      </c>
    </row>
    <row r="18" spans="1:59" ht="24.75" customHeight="1" x14ac:dyDescent="0.3">
      <c r="A18" s="109"/>
      <c r="B18" s="608"/>
      <c r="C18" s="109">
        <v>13870632</v>
      </c>
      <c r="D18" s="109" t="s">
        <v>313</v>
      </c>
      <c r="E18" s="109" t="s">
        <v>314</v>
      </c>
      <c r="F18" s="109"/>
      <c r="G18" s="109"/>
      <c r="H18" s="140">
        <v>1145826</v>
      </c>
      <c r="I18" s="140">
        <v>1061407</v>
      </c>
      <c r="J18" s="26">
        <f>IF(H18&lt;&gt;"",IF(AND(C18&lt;&gt;"",IFERROR(MATCH(C18,Table10[Serial No.],0),0)),0,1),0)</f>
        <v>0</v>
      </c>
      <c r="K18" s="21"/>
      <c r="L18" s="539" t="str">
        <f t="shared" ca="1" si="7"/>
        <v/>
      </c>
      <c r="N18">
        <v>1135558</v>
      </c>
      <c r="O18" s="28">
        <f t="shared" si="0"/>
        <v>1135558</v>
      </c>
      <c r="P18" s="28">
        <f>SUMIF(Table1[LEVEL 5 MAT NO.],N18,Table1[Quantity])</f>
        <v>3</v>
      </c>
      <c r="Q18" s="479" t="str" cm="1">
        <f t="array" aca="1" ref="Q18" ca="1">_xlfn.TEXTJOIN(", ", TRUE, IF(($S$2:$S$485 = O18) * ($AF$2:$AF$485 &lt; 0), $W$2:$W$485&amp;" "&amp;$X$2:$X$485, ""))</f>
        <v/>
      </c>
      <c r="S18" s="281">
        <v>1005462</v>
      </c>
      <c r="T18" s="278" t="s">
        <v>315</v>
      </c>
      <c r="U18" s="278" t="s">
        <v>367</v>
      </c>
      <c r="V18" s="25">
        <v>2</v>
      </c>
      <c r="W18" s="284">
        <v>1126402</v>
      </c>
      <c r="X18" s="19" t="str">
        <f>IFERROR(INDEX(Table14[],MATCH($W18,Table14[SAPNo],0),3),"")</f>
        <v>1613 CT421 16-60</v>
      </c>
      <c r="Y18" s="284">
        <v>9</v>
      </c>
      <c r="Z18" s="25">
        <f t="shared" si="1"/>
        <v>0</v>
      </c>
      <c r="AA18" s="25">
        <f t="shared" si="2"/>
        <v>0</v>
      </c>
      <c r="AB18" s="23">
        <f ca="1">IFERROR(INDEX('Cutters Inventory 12-30-2025'!A:W,MATCH($W18,'Cutters Inventory 12-30-2025'!B:B,0),14),0)</f>
        <v>422</v>
      </c>
      <c r="AC18" s="23">
        <f>SUMIF(Table1[LEVEL 5 MAT NO.],S18,Table1[Braze Plan])</f>
        <v>0</v>
      </c>
      <c r="AD18" s="23">
        <f>Table4[[#This Row],[Quantity]]*Table4[[#This Row],[Bits Braze Plan]]</f>
        <v>0</v>
      </c>
      <c r="AE18" s="23">
        <f ca="1">Table4[[#This Row],[INV. QTY]]-Table4[[#This Row],[Required For Braze Cutters Check]]</f>
        <v>422</v>
      </c>
      <c r="AF18" s="23">
        <f t="shared" ca="1" si="3"/>
        <v>422</v>
      </c>
      <c r="AG18" s="23"/>
      <c r="AI18">
        <v>773384</v>
      </c>
      <c r="AJ18" s="19">
        <f t="shared" si="4"/>
        <v>773384</v>
      </c>
      <c r="AK18" s="19">
        <f>SUMIF(Table4[Component],AJ18,Table4[Qty of Cutters in these MATs])</f>
        <v>100</v>
      </c>
      <c r="AL18" s="19">
        <f>SUMIF(Table4[Component],AJ18,Table4[Required For Braze Cutters Check])</f>
        <v>0</v>
      </c>
      <c r="AM18" s="19">
        <f ca="1">IFERROR(INDEX('Cutters Inventory 12-30-2025'!A:W,MATCH($AI18,'Cutters Inventory 12-30-2025'!B:B,0),14),0)</f>
        <v>54</v>
      </c>
      <c r="AN18" s="19">
        <f ca="1">Table5[[#This Row],[INV. QTY]]-Table5[[#This Row],[Required For Braze Cutters Check]]</f>
        <v>54</v>
      </c>
      <c r="AO18" s="19" t="str">
        <f ca="1">IF($AN18&lt;0,Table5[[#This Row],[Component]],"")</f>
        <v/>
      </c>
      <c r="AS18">
        <v>773383</v>
      </c>
      <c r="AT18">
        <f t="shared" si="8"/>
        <v>773383</v>
      </c>
      <c r="AV18" s="573">
        <f t="shared" si="9"/>
        <v>0</v>
      </c>
      <c r="AW18">
        <f t="shared" si="5"/>
        <v>0</v>
      </c>
      <c r="AY18">
        <v>1086630</v>
      </c>
      <c r="AZ18">
        <v>1201053</v>
      </c>
      <c r="BA18">
        <f t="shared" ref="BA18:BA28" si="11">IFERROR(AZ18,"")</f>
        <v>1201053</v>
      </c>
      <c r="BC18" s="159">
        <f>IFERROR(VLOOKUP(BA:BA,Table4[],8,FALSE),Table6[[#This Row],[Not Exist BOM''s]])</f>
        <v>0</v>
      </c>
      <c r="BE18" s="575"/>
      <c r="BG18" s="248" t="str">
        <f t="shared" si="6"/>
        <v/>
      </c>
    </row>
    <row r="19" spans="1:59" ht="24.75" customHeight="1" x14ac:dyDescent="0.3">
      <c r="A19" s="109"/>
      <c r="B19" s="608"/>
      <c r="C19" s="109">
        <v>13870635</v>
      </c>
      <c r="D19" s="109" t="s">
        <v>313</v>
      </c>
      <c r="E19" s="109" t="s">
        <v>314</v>
      </c>
      <c r="F19" s="109"/>
      <c r="G19" s="109"/>
      <c r="H19" s="140">
        <v>1145826</v>
      </c>
      <c r="I19" s="140">
        <v>1061407</v>
      </c>
      <c r="J19" s="26">
        <f>IF(H19&lt;&gt;"",IF(AND(C19&lt;&gt;"",IFERROR(MATCH(C19,Table10[Serial No.],0),0)),0,1),0)</f>
        <v>0</v>
      </c>
      <c r="K19" s="21"/>
      <c r="L19" s="539" t="str">
        <f t="shared" ca="1" si="7"/>
        <v/>
      </c>
      <c r="N19">
        <v>1137349</v>
      </c>
      <c r="O19" s="28">
        <f t="shared" si="0"/>
        <v>1137349</v>
      </c>
      <c r="P19" s="28">
        <f>SUMIF(Table1[LEVEL 5 MAT NO.],N19,Table1[Quantity])</f>
        <v>8</v>
      </c>
      <c r="Q19" s="479" t="str" cm="1">
        <f t="array" aca="1" ref="Q19" ca="1">_xlfn.TEXTJOIN(", ", TRUE, IF(($S$2:$S$485 = O19) * ($AF$2:$AF$485 &lt; 0), $W$2:$W$485&amp;" "&amp;$X$2:$X$485, ""))</f>
        <v/>
      </c>
      <c r="S19" s="281">
        <v>1005462</v>
      </c>
      <c r="T19" s="278" t="s">
        <v>315</v>
      </c>
      <c r="U19" s="278" t="s">
        <v>367</v>
      </c>
      <c r="V19" s="25">
        <v>3</v>
      </c>
      <c r="W19" s="284">
        <v>708306</v>
      </c>
      <c r="X19" s="19" t="str">
        <f>IFERROR(INDEX(Table14[],MATCH($W19,Table14[SAPNo],0),3),"")</f>
        <v>Round 1913 CT200  0.018" (B)</v>
      </c>
      <c r="Y19" s="284">
        <v>28</v>
      </c>
      <c r="Z19" s="25">
        <f t="shared" si="1"/>
        <v>0</v>
      </c>
      <c r="AA19" s="25">
        <f t="shared" si="2"/>
        <v>0</v>
      </c>
      <c r="AB19" s="23">
        <f ca="1">IFERROR(INDEX('Cutters Inventory 12-30-2025'!A:W,MATCH($W19,'Cutters Inventory 12-30-2025'!B:B,0),14),0)</f>
        <v>82</v>
      </c>
      <c r="AC19" s="23">
        <f>SUMIF(Table1[LEVEL 5 MAT NO.],S19,Table1[Braze Plan])</f>
        <v>0</v>
      </c>
      <c r="AD19" s="23">
        <f>Table4[[#This Row],[Quantity]]*Table4[[#This Row],[Bits Braze Plan]]</f>
        <v>0</v>
      </c>
      <c r="AE19" s="23">
        <f ca="1">Table4[[#This Row],[INV. QTY]]-Table4[[#This Row],[Required For Braze Cutters Check]]</f>
        <v>82</v>
      </c>
      <c r="AF19" s="23">
        <f t="shared" ca="1" si="3"/>
        <v>82</v>
      </c>
      <c r="AG19" s="23"/>
      <c r="AI19">
        <v>780654</v>
      </c>
      <c r="AJ19" s="19">
        <f t="shared" si="4"/>
        <v>780654</v>
      </c>
      <c r="AK19" s="19">
        <f>SUMIF(Table4[Component],AJ19,Table4[Qty of Cutters in these MATs])</f>
        <v>0</v>
      </c>
      <c r="AL19" s="19">
        <f>SUMIF(Table4[Component],AJ19,Table4[Required For Braze Cutters Check])</f>
        <v>0</v>
      </c>
      <c r="AM19" s="19">
        <f ca="1">IFERROR(INDEX('Cutters Inventory 12-30-2025'!A:W,MATCH($AI19,'Cutters Inventory 12-30-2025'!B:B,0),14),0)</f>
        <v>0</v>
      </c>
      <c r="AN19" s="19">
        <f ca="1">Table5[[#This Row],[INV. QTY]]-Table5[[#This Row],[Required For Braze Cutters Check]]</f>
        <v>0</v>
      </c>
      <c r="AO19" s="19" t="str">
        <f ca="1">IF($AN19&lt;0,Table5[[#This Row],[Component]],"")</f>
        <v/>
      </c>
      <c r="AS19">
        <v>773384</v>
      </c>
      <c r="AT19">
        <f t="shared" si="8"/>
        <v>773384</v>
      </c>
      <c r="AV19" s="573">
        <f t="shared" si="9"/>
        <v>0</v>
      </c>
      <c r="AW19">
        <f t="shared" si="5"/>
        <v>0</v>
      </c>
      <c r="AY19">
        <v>1092722</v>
      </c>
      <c r="AZ19">
        <v>1201087</v>
      </c>
      <c r="BA19">
        <f t="shared" si="11"/>
        <v>1201087</v>
      </c>
      <c r="BC19" s="159">
        <f>IFERROR(VLOOKUP(BA:BA,Table4[],8,FALSE),Table6[[#This Row],[Not Exist BOM''s]])</f>
        <v>0</v>
      </c>
      <c r="BE19" s="575"/>
      <c r="BG19" s="248" t="str">
        <f t="shared" si="6"/>
        <v/>
      </c>
    </row>
    <row r="20" spans="1:59" ht="24.75" customHeight="1" x14ac:dyDescent="0.3">
      <c r="A20" s="109"/>
      <c r="B20" s="608"/>
      <c r="C20" s="109">
        <v>13875924</v>
      </c>
      <c r="D20" s="109" t="s">
        <v>316</v>
      </c>
      <c r="E20" s="109" t="s">
        <v>317</v>
      </c>
      <c r="F20" s="109"/>
      <c r="G20" s="109"/>
      <c r="H20" s="140">
        <v>1197910</v>
      </c>
      <c r="I20" s="140">
        <v>1190973</v>
      </c>
      <c r="J20" s="26">
        <f>IF(H20&lt;&gt;"",IF(AND(C20&lt;&gt;"",IFERROR(MATCH(C20,Table10[Serial No.],0),0)),0,1),0)</f>
        <v>1</v>
      </c>
      <c r="K20" s="21"/>
      <c r="L20" s="539" t="str">
        <f t="shared" ca="1" si="7"/>
        <v/>
      </c>
      <c r="N20">
        <v>1138943</v>
      </c>
      <c r="O20" s="28">
        <f t="shared" si="0"/>
        <v>1138943</v>
      </c>
      <c r="P20" s="28">
        <f>SUMIF(Table1[LEVEL 5 MAT NO.],N20,Table1[Quantity])</f>
        <v>4</v>
      </c>
      <c r="Q20" s="479" t="str" cm="1">
        <f t="array" aca="1" ref="Q20" ca="1">_xlfn.TEXTJOIN(", ", TRUE, IF(($S$2:$S$485 = O20) * ($AF$2:$AF$485 &lt; 0), $W$2:$W$485&amp;" "&amp;$X$2:$X$485, ""))</f>
        <v/>
      </c>
      <c r="S20" s="281">
        <v>1005462</v>
      </c>
      <c r="T20" s="278" t="s">
        <v>315</v>
      </c>
      <c r="U20" s="278" t="s">
        <v>367</v>
      </c>
      <c r="V20" s="25">
        <v>4</v>
      </c>
      <c r="W20" s="284">
        <v>871781</v>
      </c>
      <c r="X20" s="19" t="str">
        <f>IFERROR(INDEX(Table14[],MATCH($W20,Table14[SAPNo],0),3),"")</f>
        <v>Round 1313 CT200  0.018" (B)</v>
      </c>
      <c r="Y20" s="284">
        <v>4</v>
      </c>
      <c r="Z20" s="25">
        <f t="shared" si="1"/>
        <v>0</v>
      </c>
      <c r="AA20" s="25">
        <f t="shared" si="2"/>
        <v>0</v>
      </c>
      <c r="AB20" s="23">
        <f ca="1">IFERROR(INDEX('Cutters Inventory 12-30-2025'!A:W,MATCH($W20,'Cutters Inventory 12-30-2025'!B:B,0),14),0)</f>
        <v>843</v>
      </c>
      <c r="AC20" s="23">
        <f>SUMIF(Table1[LEVEL 5 MAT NO.],S20,Table1[Braze Plan])</f>
        <v>0</v>
      </c>
      <c r="AD20" s="23">
        <f>Table4[[#This Row],[Quantity]]*Table4[[#This Row],[Bits Braze Plan]]</f>
        <v>0</v>
      </c>
      <c r="AE20" s="23">
        <f ca="1">Table4[[#This Row],[INV. QTY]]-Table4[[#This Row],[Required For Braze Cutters Check]]</f>
        <v>843</v>
      </c>
      <c r="AF20" s="23">
        <f t="shared" ca="1" si="3"/>
        <v>843</v>
      </c>
      <c r="AG20" s="23"/>
      <c r="AI20">
        <v>871781</v>
      </c>
      <c r="AJ20" s="19">
        <f t="shared" si="4"/>
        <v>871781</v>
      </c>
      <c r="AK20" s="19">
        <f>SUMIF(Table4[Component],AJ20,Table4[Qty of Cutters in these MATs])</f>
        <v>772</v>
      </c>
      <c r="AL20" s="19">
        <f>SUMIF(Table4[Component],AJ20,Table4[Required For Braze Cutters Check])</f>
        <v>0</v>
      </c>
      <c r="AM20" s="19">
        <f ca="1">IFERROR(INDEX('Cutters Inventory 12-30-2025'!A:W,MATCH($AI20,'Cutters Inventory 12-30-2025'!B:B,0),14),0)</f>
        <v>843</v>
      </c>
      <c r="AN20" s="19">
        <f ca="1">Table5[[#This Row],[INV. QTY]]-Table5[[#This Row],[Required For Braze Cutters Check]]</f>
        <v>843</v>
      </c>
      <c r="AO20" s="19" t="str">
        <f ca="1">IF($AN20&lt;0,Table5[[#This Row],[Component]],"")</f>
        <v/>
      </c>
      <c r="AS20">
        <v>780654</v>
      </c>
      <c r="AT20">
        <f t="shared" si="8"/>
        <v>780654</v>
      </c>
      <c r="AV20" s="573">
        <f t="shared" si="9"/>
        <v>0</v>
      </c>
      <c r="AW20">
        <f t="shared" si="5"/>
        <v>0</v>
      </c>
      <c r="AY20">
        <v>1092981</v>
      </c>
      <c r="AZ20">
        <v>1207508</v>
      </c>
      <c r="BA20">
        <f t="shared" si="11"/>
        <v>1207508</v>
      </c>
      <c r="BC20" s="159">
        <f>IFERROR(VLOOKUP(BA:BA,Table4[],8,FALSE),Table6[[#This Row],[Not Exist BOM''s]])</f>
        <v>0</v>
      </c>
      <c r="BG20" s="248"/>
    </row>
    <row r="21" spans="1:59" ht="24.75" customHeight="1" x14ac:dyDescent="0.3">
      <c r="A21" s="109"/>
      <c r="B21" s="608"/>
      <c r="C21" s="109">
        <v>13876158</v>
      </c>
      <c r="D21" s="109" t="s">
        <v>316</v>
      </c>
      <c r="E21" s="109" t="s">
        <v>317</v>
      </c>
      <c r="F21" s="109"/>
      <c r="G21" s="109"/>
      <c r="H21" s="140">
        <v>1197910</v>
      </c>
      <c r="I21" s="140">
        <v>1190973</v>
      </c>
      <c r="J21" s="26">
        <f>IF(H21&lt;&gt;"",IF(AND(C21&lt;&gt;"",IFERROR(MATCH(C21,Table10[Serial No.],0),0)),0,1),0)</f>
        <v>1</v>
      </c>
      <c r="K21" s="21"/>
      <c r="L21" s="539" t="str">
        <f t="shared" ca="1" si="7"/>
        <v/>
      </c>
      <c r="N21">
        <v>1142907</v>
      </c>
      <c r="O21" s="28">
        <f t="shared" si="0"/>
        <v>1142907</v>
      </c>
      <c r="P21" s="28">
        <f>SUMIF(Table1[LEVEL 5 MAT NO.],N21,Table1[Quantity])</f>
        <v>0</v>
      </c>
      <c r="Q21" s="479" t="str" cm="1">
        <f t="array" aca="1" ref="Q21" ca="1">_xlfn.TEXTJOIN(", ", TRUE, IF(($S$2:$S$485 = O21) * ($AF$2:$AF$485 &lt; 0), $W$2:$W$485&amp;" "&amp;$X$2:$X$485, ""))</f>
        <v/>
      </c>
      <c r="S21" s="281">
        <v>1005462</v>
      </c>
      <c r="T21" s="278" t="s">
        <v>315</v>
      </c>
      <c r="U21" s="278" t="s">
        <v>367</v>
      </c>
      <c r="V21" s="25">
        <v>5</v>
      </c>
      <c r="W21" s="284">
        <v>418525</v>
      </c>
      <c r="X21" s="19" t="str">
        <f>IFERROR(INDEX(Table14[],MATCH($W21,Table14[SAPNo],0),3),"")</f>
        <v>Drop In 1308 CT31   (B)</v>
      </c>
      <c r="Y21" s="284">
        <v>4</v>
      </c>
      <c r="Z21" s="25">
        <f t="shared" si="1"/>
        <v>0</v>
      </c>
      <c r="AA21" s="25">
        <f t="shared" si="2"/>
        <v>0</v>
      </c>
      <c r="AB21" s="23">
        <f ca="1">IFERROR(INDEX('Cutters Inventory 12-30-2025'!A:W,MATCH($W21,'Cutters Inventory 12-30-2025'!B:B,0),14),0)</f>
        <v>933</v>
      </c>
      <c r="AC21" s="23">
        <f>SUMIF(Table1[LEVEL 5 MAT NO.],S21,Table1[Braze Plan])</f>
        <v>0</v>
      </c>
      <c r="AD21" s="23">
        <f>Table4[[#This Row],[Quantity]]*Table4[[#This Row],[Bits Braze Plan]]</f>
        <v>0</v>
      </c>
      <c r="AE21" s="23">
        <f ca="1">Table4[[#This Row],[INV. QTY]]-Table4[[#This Row],[Required For Braze Cutters Check]]</f>
        <v>933</v>
      </c>
      <c r="AF21" s="23">
        <f t="shared" ca="1" si="3"/>
        <v>933</v>
      </c>
      <c r="AG21" s="23"/>
      <c r="AI21">
        <v>971055</v>
      </c>
      <c r="AJ21" s="19">
        <f t="shared" si="4"/>
        <v>971055</v>
      </c>
      <c r="AK21" s="19">
        <f>SUMIF(Table4[Component],AJ21,Table4[Qty of Cutters in these MATs])</f>
        <v>0</v>
      </c>
      <c r="AL21" s="19">
        <f>SUMIF(Table4[Component],AJ21,Table4[Required For Braze Cutters Check])</f>
        <v>0</v>
      </c>
      <c r="AM21" s="19">
        <f ca="1">IFERROR(INDEX('Cutters Inventory 12-30-2025'!A:W,MATCH($AI21,'Cutters Inventory 12-30-2025'!B:B,0),14),0)</f>
        <v>0</v>
      </c>
      <c r="AN21" s="19">
        <f ca="1">Table5[[#This Row],[INV. QTY]]-Table5[[#This Row],[Required For Braze Cutters Check]]</f>
        <v>0</v>
      </c>
      <c r="AO21" s="19" t="str">
        <f ca="1">IF($AN21&lt;0,Table5[[#This Row],[Component]],"")</f>
        <v/>
      </c>
      <c r="AS21">
        <v>871781</v>
      </c>
      <c r="AT21">
        <f t="shared" si="8"/>
        <v>871781</v>
      </c>
      <c r="AV21" s="573">
        <f t="shared" si="9"/>
        <v>0</v>
      </c>
      <c r="AW21">
        <f t="shared" si="5"/>
        <v>0</v>
      </c>
      <c r="AY21">
        <v>1095217</v>
      </c>
      <c r="AZ21">
        <v>1208059</v>
      </c>
      <c r="BA21">
        <f t="shared" si="11"/>
        <v>1208059</v>
      </c>
      <c r="BC21" s="159">
        <f>IFERROR(VLOOKUP(BA:BA,Table4[],8,FALSE),Table6[[#This Row],[Not Exist BOM''s]])</f>
        <v>0</v>
      </c>
      <c r="BG21" s="248"/>
    </row>
    <row r="22" spans="1:59" ht="24.75" customHeight="1" x14ac:dyDescent="0.3">
      <c r="A22" s="109"/>
      <c r="B22" s="608"/>
      <c r="C22" s="109">
        <v>13884768</v>
      </c>
      <c r="D22" s="109" t="s">
        <v>631</v>
      </c>
      <c r="E22" s="109" t="s">
        <v>632</v>
      </c>
      <c r="F22" s="109"/>
      <c r="G22" s="109"/>
      <c r="H22" s="140">
        <v>1227237</v>
      </c>
      <c r="I22" s="140">
        <v>1138943</v>
      </c>
      <c r="J22" s="26">
        <f>IF(H22&lt;&gt;"",IF(AND(C22&lt;&gt;"",IFERROR(MATCH(C22,Table10[Serial No.],0),0)),0,1),0)</f>
        <v>1</v>
      </c>
      <c r="K22" s="21"/>
      <c r="L22" s="539" t="str">
        <f t="shared" ca="1" si="7"/>
        <v/>
      </c>
      <c r="N22">
        <v>1157663</v>
      </c>
      <c r="O22" s="28">
        <f t="shared" si="0"/>
        <v>1157663</v>
      </c>
      <c r="P22" s="28">
        <f>SUMIF(Table1[LEVEL 5 MAT NO.],N22,Table1[Quantity])</f>
        <v>1</v>
      </c>
      <c r="Q22" s="479" t="str" cm="1">
        <f t="array" aca="1" ref="Q22" ca="1">_xlfn.TEXTJOIN(", ", TRUE, IF(($S$2:$S$485 = O22) * ($AF$2:$AF$485 &lt; 0), $W$2:$W$485&amp;" "&amp;$X$2:$X$485, ""))</f>
        <v/>
      </c>
      <c r="S22" s="281">
        <v>1016454</v>
      </c>
      <c r="T22" s="278" t="s">
        <v>304</v>
      </c>
      <c r="U22" s="278" t="s">
        <v>636</v>
      </c>
      <c r="V22" s="25">
        <v>1</v>
      </c>
      <c r="W22" s="284">
        <v>717748</v>
      </c>
      <c r="X22" s="19" t="str">
        <f>IFERROR(INDEX(Table14[],MATCH($W22,Table14[SAPNo],0),3),"")</f>
        <v>Round 1010 CT200  0.018" (B)</v>
      </c>
      <c r="Y22" s="284">
        <v>23</v>
      </c>
      <c r="Z22" s="25">
        <f t="shared" si="1"/>
        <v>10</v>
      </c>
      <c r="AA22" s="25">
        <f t="shared" si="2"/>
        <v>230</v>
      </c>
      <c r="AB22" s="23">
        <f ca="1">IFERROR(INDEX('Cutters Inventory 12-30-2025'!A:W,MATCH($W22,'Cutters Inventory 12-30-2025'!B:B,0),14),0)</f>
        <v>295</v>
      </c>
      <c r="AC22" s="23">
        <f>SUMIF(Table1[LEVEL 5 MAT NO.],S22,Table1[Braze Plan])</f>
        <v>0</v>
      </c>
      <c r="AD22" s="23">
        <f>Table4[[#This Row],[Quantity]]*Table4[[#This Row],[Bits Braze Plan]]</f>
        <v>0</v>
      </c>
      <c r="AE22" s="23">
        <f ca="1">Table4[[#This Row],[INV. QTY]]-Table4[[#This Row],[Required For Braze Cutters Check]]</f>
        <v>295</v>
      </c>
      <c r="AF22" s="23">
        <f t="shared" ca="1" si="3"/>
        <v>295</v>
      </c>
      <c r="AG22" s="23"/>
      <c r="AI22">
        <v>1022971</v>
      </c>
      <c r="AJ22" s="19">
        <f t="shared" si="4"/>
        <v>1022971</v>
      </c>
      <c r="AK22" s="19">
        <f>SUMIF(Table4[Component],AJ22,Table4[Qty of Cutters in these MATs])</f>
        <v>0</v>
      </c>
      <c r="AL22" s="19">
        <f>SUMIF(Table4[Component],AJ22,Table4[Required For Braze Cutters Check])</f>
        <v>0</v>
      </c>
      <c r="AM22" s="19">
        <f ca="1">IFERROR(INDEX('Cutters Inventory 12-30-2025'!A:W,MATCH($AI22,'Cutters Inventory 12-30-2025'!B:B,0),14),0)</f>
        <v>0</v>
      </c>
      <c r="AN22" s="19">
        <f ca="1">Table5[[#This Row],[INV. QTY]]-Table5[[#This Row],[Required For Braze Cutters Check]]</f>
        <v>0</v>
      </c>
      <c r="AO22" s="19" t="str">
        <f ca="1">IF($AN22&lt;0,Table5[[#This Row],[Component]],"")</f>
        <v/>
      </c>
      <c r="AS22">
        <v>971055</v>
      </c>
      <c r="AT22">
        <f t="shared" si="8"/>
        <v>971055</v>
      </c>
      <c r="AV22" s="573">
        <f t="shared" si="9"/>
        <v>0</v>
      </c>
      <c r="AW22">
        <f t="shared" si="5"/>
        <v>0</v>
      </c>
      <c r="AY22">
        <v>1096183</v>
      </c>
      <c r="AZ22">
        <v>1212043</v>
      </c>
      <c r="BA22">
        <f t="shared" si="11"/>
        <v>1212043</v>
      </c>
      <c r="BC22" s="159">
        <f>IFERROR(VLOOKUP(BA:BA,Table4[],8,FALSE),Table6[[#This Row],[Not Exist BOM''s]])</f>
        <v>0</v>
      </c>
      <c r="BG22" s="248"/>
    </row>
    <row r="23" spans="1:59" ht="24.75" customHeight="1" x14ac:dyDescent="0.3">
      <c r="A23" s="109"/>
      <c r="B23" s="608"/>
      <c r="C23" s="109">
        <v>13884769</v>
      </c>
      <c r="D23" s="109" t="s">
        <v>631</v>
      </c>
      <c r="E23" s="109" t="s">
        <v>632</v>
      </c>
      <c r="F23" s="109"/>
      <c r="G23" s="109"/>
      <c r="H23" s="140">
        <v>1227237</v>
      </c>
      <c r="I23" s="140">
        <v>1138943</v>
      </c>
      <c r="J23" s="26">
        <f>IF(H23&lt;&gt;"",IF(AND(C23&lt;&gt;"",IFERROR(MATCH(C23,Table10[Serial No.],0),0)),0,1),0)</f>
        <v>1</v>
      </c>
      <c r="K23" s="21"/>
      <c r="L23" s="539" t="str">
        <f t="shared" ca="1" si="7"/>
        <v/>
      </c>
      <c r="N23">
        <v>1160951</v>
      </c>
      <c r="O23" s="28">
        <f t="shared" si="0"/>
        <v>1160951</v>
      </c>
      <c r="P23" s="28">
        <f>SUMIF(Table1[LEVEL 5 MAT NO.],N23,Table1[Quantity])</f>
        <v>6</v>
      </c>
      <c r="Q23" s="479" t="str" cm="1">
        <f t="array" aca="1" ref="Q23" ca="1">_xlfn.TEXTJOIN(", ", TRUE, IF(($S$2:$S$485 = O23) * ($AF$2:$AF$485 &lt; 0), $W$2:$W$485&amp;" "&amp;$X$2:$X$485, ""))</f>
        <v/>
      </c>
      <c r="S23" s="281">
        <v>1016454</v>
      </c>
      <c r="T23" s="278" t="s">
        <v>304</v>
      </c>
      <c r="U23" s="278" t="s">
        <v>636</v>
      </c>
      <c r="V23" s="25">
        <v>2</v>
      </c>
      <c r="W23" s="284">
        <v>773384</v>
      </c>
      <c r="X23" s="19" t="str">
        <f>IFERROR(INDEX(Table14[],MATCH($W23,Table14[SAPNo],0),3),"")</f>
        <v>Round 1005 CT200  0.018" (B)</v>
      </c>
      <c r="Y23" s="284">
        <v>10</v>
      </c>
      <c r="Z23" s="25">
        <f t="shared" si="1"/>
        <v>10</v>
      </c>
      <c r="AA23" s="25">
        <f t="shared" si="2"/>
        <v>100</v>
      </c>
      <c r="AB23" s="23">
        <f ca="1">IFERROR(INDEX('Cutters Inventory 12-30-2025'!A:W,MATCH($W23,'Cutters Inventory 12-30-2025'!B:B,0),14),0)</f>
        <v>54</v>
      </c>
      <c r="AC23" s="23">
        <f>SUMIF(Table1[LEVEL 5 MAT NO.],S23,Table1[Braze Plan])</f>
        <v>0</v>
      </c>
      <c r="AD23" s="23">
        <f>Table4[[#This Row],[Quantity]]*Table4[[#This Row],[Bits Braze Plan]]</f>
        <v>0</v>
      </c>
      <c r="AE23" s="23">
        <f ca="1">Table4[[#This Row],[INV. QTY]]-Table4[[#This Row],[Required For Braze Cutters Check]]</f>
        <v>54</v>
      </c>
      <c r="AF23" s="23">
        <f t="shared" ca="1" si="3"/>
        <v>54</v>
      </c>
      <c r="AG23" s="23"/>
      <c r="AI23">
        <v>1039029</v>
      </c>
      <c r="AJ23" s="19">
        <f t="shared" si="4"/>
        <v>1039029</v>
      </c>
      <c r="AK23" s="19">
        <f>SUMIF(Table4[Component],AJ23,Table4[Qty of Cutters in these MATs])</f>
        <v>0</v>
      </c>
      <c r="AL23" s="19">
        <f>SUMIF(Table4[Component],AJ23,Table4[Required For Braze Cutters Check])</f>
        <v>0</v>
      </c>
      <c r="AM23" s="19">
        <f ca="1">IFERROR(INDEX('Cutters Inventory 12-30-2025'!A:W,MATCH($AI23,'Cutters Inventory 12-30-2025'!B:B,0),14),0)</f>
        <v>0</v>
      </c>
      <c r="AN23" s="19">
        <f ca="1">Table5[[#This Row],[INV. QTY]]-Table5[[#This Row],[Required For Braze Cutters Check]]</f>
        <v>0</v>
      </c>
      <c r="AO23" s="19" t="str">
        <f ca="1">IF($AN23&lt;0,Table5[[#This Row],[Component]],"")</f>
        <v/>
      </c>
      <c r="AS23">
        <v>1022971</v>
      </c>
      <c r="AT23">
        <f t="shared" si="8"/>
        <v>1022971</v>
      </c>
      <c r="AV23" s="573">
        <f t="shared" si="9"/>
        <v>0</v>
      </c>
      <c r="AW23">
        <f t="shared" si="5"/>
        <v>0</v>
      </c>
      <c r="AY23">
        <v>1102426</v>
      </c>
      <c r="AZ23">
        <v>1219698</v>
      </c>
      <c r="BA23">
        <f t="shared" si="11"/>
        <v>1219698</v>
      </c>
      <c r="BC23" s="159">
        <f>IFERROR(VLOOKUP(BA:BA,Table4[],8,FALSE),Table6[[#This Row],[Not Exist BOM''s]])</f>
        <v>0</v>
      </c>
      <c r="BG23" s="248"/>
    </row>
    <row r="24" spans="1:59" ht="24.75" customHeight="1" x14ac:dyDescent="0.3">
      <c r="A24" s="109"/>
      <c r="B24" s="608"/>
      <c r="C24" s="109">
        <v>13884772</v>
      </c>
      <c r="D24" s="109" t="s">
        <v>313</v>
      </c>
      <c r="E24" s="109" t="s">
        <v>272</v>
      </c>
      <c r="F24" s="109"/>
      <c r="G24" s="109"/>
      <c r="H24" s="140">
        <v>1141517</v>
      </c>
      <c r="I24" s="140">
        <v>1092981</v>
      </c>
      <c r="J24" s="26">
        <f>IF(H24&lt;&gt;"",IF(AND(C24&lt;&gt;"",IFERROR(MATCH(C24,Table10[Serial No.],0),0)),0,1),0)</f>
        <v>0</v>
      </c>
      <c r="K24" s="21"/>
      <c r="L24" s="539" t="str">
        <f t="shared" ca="1" si="7"/>
        <v/>
      </c>
      <c r="N24">
        <v>1176003</v>
      </c>
      <c r="O24" s="28">
        <f t="shared" si="0"/>
        <v>1176003</v>
      </c>
      <c r="P24" s="28">
        <f>SUMIF(Table1[LEVEL 5 MAT NO.],N24,Table1[Quantity])</f>
        <v>2</v>
      </c>
      <c r="Q24" s="479" t="str" cm="1">
        <f t="array" aca="1" ref="Q24" ca="1">_xlfn.TEXTJOIN(", ", TRUE, IF(($S$2:$S$485 = O24) * ($AF$2:$AF$485 &lt; 0), $W$2:$W$485&amp;" "&amp;$X$2:$X$485, ""))</f>
        <v/>
      </c>
      <c r="S24" s="281">
        <v>1016454</v>
      </c>
      <c r="T24" s="278" t="s">
        <v>304</v>
      </c>
      <c r="U24" s="278" t="s">
        <v>636</v>
      </c>
      <c r="V24" s="25">
        <v>3</v>
      </c>
      <c r="W24" s="284">
        <v>1293118</v>
      </c>
      <c r="X24" s="19" t="str">
        <f>IFERROR(INDEX(Table14[],MATCH($W24,Table14[SAPNo],0),3),"")</f>
        <v>0808 CT158NL 0.018"</v>
      </c>
      <c r="Y24" s="284">
        <v>10</v>
      </c>
      <c r="Z24" s="25">
        <f t="shared" si="1"/>
        <v>10</v>
      </c>
      <c r="AA24" s="25">
        <f t="shared" si="2"/>
        <v>100</v>
      </c>
      <c r="AB24" s="23">
        <f ca="1">IFERROR(INDEX('Cutters Inventory 12-30-2025'!A:W,MATCH($W24,'Cutters Inventory 12-30-2025'!B:B,0),14),0)</f>
        <v>130</v>
      </c>
      <c r="AC24" s="23">
        <f>SUMIF(Table1[LEVEL 5 MAT NO.],S24,Table1[Braze Plan])</f>
        <v>0</v>
      </c>
      <c r="AD24" s="23">
        <f>Table4[[#This Row],[Quantity]]*Table4[[#This Row],[Bits Braze Plan]]</f>
        <v>0</v>
      </c>
      <c r="AE24" s="23">
        <f ca="1">Table4[[#This Row],[INV. QTY]]-Table4[[#This Row],[Required For Braze Cutters Check]]</f>
        <v>130</v>
      </c>
      <c r="AF24" s="23">
        <f t="shared" ca="1" si="3"/>
        <v>130</v>
      </c>
      <c r="AG24" s="23"/>
      <c r="AI24">
        <v>1039033</v>
      </c>
      <c r="AJ24" s="19">
        <f t="shared" si="4"/>
        <v>1039033</v>
      </c>
      <c r="AK24" s="19">
        <f>SUMIF(Table4[Component],AJ24,Table4[Qty of Cutters in these MATs])</f>
        <v>0</v>
      </c>
      <c r="AL24" s="19">
        <f>SUMIF(Table4[Component],AJ24,Table4[Required For Braze Cutters Check])</f>
        <v>0</v>
      </c>
      <c r="AM24" s="19">
        <f ca="1">IFERROR(INDEX('Cutters Inventory 12-30-2025'!A:W,MATCH($AI24,'Cutters Inventory 12-30-2025'!B:B,0),14),0)</f>
        <v>0</v>
      </c>
      <c r="AN24" s="19">
        <f ca="1">Table5[[#This Row],[INV. QTY]]-Table5[[#This Row],[Required For Braze Cutters Check]]</f>
        <v>0</v>
      </c>
      <c r="AO24" s="19" t="str">
        <f ca="1">IF($AN24&lt;0,Table5[[#This Row],[Component]],"")</f>
        <v/>
      </c>
      <c r="AS24">
        <v>1039029</v>
      </c>
      <c r="AT24">
        <f t="shared" si="8"/>
        <v>1039029</v>
      </c>
      <c r="AV24" s="573">
        <f t="shared" si="9"/>
        <v>0</v>
      </c>
      <c r="AW24">
        <f t="shared" si="5"/>
        <v>0</v>
      </c>
      <c r="AY24">
        <v>1121983</v>
      </c>
      <c r="AZ24">
        <v>1225753</v>
      </c>
      <c r="BA24">
        <f t="shared" si="11"/>
        <v>1225753</v>
      </c>
      <c r="BC24" s="159">
        <f>IFERROR(VLOOKUP(BA:BA,Table4[],8,FALSE),Table6[[#This Row],[Not Exist BOM''s]])</f>
        <v>0</v>
      </c>
      <c r="BG24" s="248"/>
    </row>
    <row r="25" spans="1:59" ht="24.75" customHeight="1" x14ac:dyDescent="0.3">
      <c r="A25" s="109"/>
      <c r="B25" s="608"/>
      <c r="C25" s="109">
        <v>13885235</v>
      </c>
      <c r="D25" s="109" t="s">
        <v>624</v>
      </c>
      <c r="E25" s="109" t="s">
        <v>282</v>
      </c>
      <c r="F25" s="109"/>
      <c r="G25" s="109"/>
      <c r="H25" s="140">
        <v>1228723</v>
      </c>
      <c r="I25" s="140">
        <v>1135558</v>
      </c>
      <c r="J25" s="26">
        <f>IF(H25&lt;&gt;"",IF(AND(C25&lt;&gt;"",IFERROR(MATCH(C25,Table10[Serial No.],0),0)),0,1),0)</f>
        <v>0</v>
      </c>
      <c r="K25" s="21"/>
      <c r="L25" s="539" t="str">
        <f t="shared" ca="1" si="7"/>
        <v/>
      </c>
      <c r="N25">
        <v>1190973</v>
      </c>
      <c r="O25" s="28">
        <f t="shared" si="0"/>
        <v>1190973</v>
      </c>
      <c r="P25" s="28">
        <f>SUMIF(Table1[LEVEL 5 MAT NO.],N25,Table1[Quantity])</f>
        <v>10</v>
      </c>
      <c r="Q25" s="479" t="str" cm="1">
        <f t="array" aca="1" ref="Q25" ca="1">_xlfn.TEXTJOIN(", ", TRUE, IF(($S$2:$S$485 = O25) * ($AF$2:$AF$485 &lt; 0), $W$2:$W$485&amp;" "&amp;$X$2:$X$485, ""))</f>
        <v/>
      </c>
      <c r="S25" s="281">
        <v>1020531</v>
      </c>
      <c r="T25" s="278" t="s">
        <v>315</v>
      </c>
      <c r="U25" s="278" t="s">
        <v>367</v>
      </c>
      <c r="V25" s="25">
        <v>1</v>
      </c>
      <c r="W25" s="284">
        <v>1126402</v>
      </c>
      <c r="X25" s="19" t="str">
        <f>IFERROR(INDEX(Table14[],MATCH($W25,Table14[SAPNo],0),3),"")</f>
        <v>1613 CT421 16-60</v>
      </c>
      <c r="Y25" s="284">
        <v>77</v>
      </c>
      <c r="Z25" s="25">
        <f t="shared" si="1"/>
        <v>0</v>
      </c>
      <c r="AA25" s="25">
        <f t="shared" si="2"/>
        <v>0</v>
      </c>
      <c r="AB25" s="23">
        <f ca="1">IFERROR(INDEX('Cutters Inventory 12-30-2025'!A:W,MATCH($W25,'Cutters Inventory 12-30-2025'!B:B,0),14),0)</f>
        <v>422</v>
      </c>
      <c r="AC25" s="23">
        <f>SUMIF(Table1[LEVEL 5 MAT NO.],S25,Table1[Braze Plan])</f>
        <v>0</v>
      </c>
      <c r="AD25" s="23">
        <f>Table4[[#This Row],[Quantity]]*Table4[[#This Row],[Bits Braze Plan]]</f>
        <v>0</v>
      </c>
      <c r="AE25" s="23">
        <f ca="1">Table4[[#This Row],[INV. QTY]]-Table4[[#This Row],[Required For Braze Cutters Check]]</f>
        <v>422</v>
      </c>
      <c r="AF25" s="23">
        <f t="shared" ca="1" si="3"/>
        <v>422</v>
      </c>
      <c r="AG25" s="23"/>
      <c r="AI25">
        <v>1039034</v>
      </c>
      <c r="AJ25" s="19">
        <f t="shared" si="4"/>
        <v>1039034</v>
      </c>
      <c r="AK25" s="19">
        <f>SUMIF(Table4[Component],AJ25,Table4[Qty of Cutters in these MATs])</f>
        <v>0</v>
      </c>
      <c r="AL25" s="19">
        <f>SUMIF(Table4[Component],AJ25,Table4[Required For Braze Cutters Check])</f>
        <v>0</v>
      </c>
      <c r="AM25" s="19">
        <f ca="1">IFERROR(INDEX('Cutters Inventory 12-30-2025'!A:W,MATCH($AI25,'Cutters Inventory 12-30-2025'!B:B,0),14),0)</f>
        <v>22</v>
      </c>
      <c r="AN25" s="19">
        <f ca="1">Table5[[#This Row],[INV. QTY]]-Table5[[#This Row],[Required For Braze Cutters Check]]</f>
        <v>22</v>
      </c>
      <c r="AO25" s="19" t="str">
        <f ca="1">IF($AN25&lt;0,Table5[[#This Row],[Component]],"")</f>
        <v/>
      </c>
      <c r="AS25">
        <v>1039033</v>
      </c>
      <c r="AT25">
        <f t="shared" si="8"/>
        <v>1039033</v>
      </c>
      <c r="AV25" s="573">
        <f t="shared" si="9"/>
        <v>0</v>
      </c>
      <c r="AW25">
        <f t="shared" si="5"/>
        <v>0</v>
      </c>
      <c r="AY25">
        <v>1134806</v>
      </c>
      <c r="AZ25">
        <v>1226841</v>
      </c>
      <c r="BA25">
        <f>IFERROR(AZ25,"")</f>
        <v>1226841</v>
      </c>
      <c r="BC25" s="159">
        <f>IFERROR(VLOOKUP(BA:BA,Table4[],8,FALSE),Table6[[#This Row],[Not Exist BOM''s]])</f>
        <v>0</v>
      </c>
    </row>
    <row r="26" spans="1:59" ht="24.75" customHeight="1" x14ac:dyDescent="0.3">
      <c r="A26" s="109"/>
      <c r="B26" s="608"/>
      <c r="C26" s="109">
        <v>13885236</v>
      </c>
      <c r="D26" s="109" t="s">
        <v>624</v>
      </c>
      <c r="E26" s="109" t="s">
        <v>282</v>
      </c>
      <c r="F26" s="109"/>
      <c r="G26" s="109"/>
      <c r="H26" s="140">
        <v>1228723</v>
      </c>
      <c r="I26" s="140">
        <v>1135558</v>
      </c>
      <c r="J26" s="26">
        <f>IF(H26&lt;&gt;"",IF(AND(C26&lt;&gt;"",IFERROR(MATCH(C26,Table10[Serial No.],0),0)),0,1),0)</f>
        <v>1</v>
      </c>
      <c r="K26" s="21"/>
      <c r="L26" s="539" t="str">
        <f t="shared" ca="1" si="7"/>
        <v/>
      </c>
      <c r="N26">
        <v>1207425</v>
      </c>
      <c r="O26" s="28">
        <f t="shared" si="0"/>
        <v>1207425</v>
      </c>
      <c r="P26" s="28">
        <f>SUMIF(Table1[LEVEL 5 MAT NO.],N26,Table1[Quantity])</f>
        <v>1</v>
      </c>
      <c r="Q26" s="479" t="str" cm="1">
        <f t="array" aca="1" ref="Q26" ca="1">_xlfn.TEXTJOIN(", ", TRUE, IF(($S$2:$S$485 = O26) * ($AF$2:$AF$485 &lt; 0), $W$2:$W$485&amp;" "&amp;$X$2:$X$485, ""))</f>
        <v/>
      </c>
      <c r="S26" s="281">
        <v>1020531</v>
      </c>
      <c r="T26" s="278" t="s">
        <v>315</v>
      </c>
      <c r="U26" s="278" t="s">
        <v>367</v>
      </c>
      <c r="V26" s="25">
        <v>2</v>
      </c>
      <c r="W26" s="284">
        <v>1126404</v>
      </c>
      <c r="X26" s="19" t="str">
        <f>IFERROR(INDEX(Table14[],MATCH($W26,Table14[SAPNo],0),3),"")</f>
        <v>1913 CT421 18-60</v>
      </c>
      <c r="Y26" s="284">
        <v>24</v>
      </c>
      <c r="Z26" s="25">
        <f t="shared" si="1"/>
        <v>0</v>
      </c>
      <c r="AA26" s="25">
        <f t="shared" si="2"/>
        <v>0</v>
      </c>
      <c r="AB26" s="23">
        <f ca="1">IFERROR(INDEX('Cutters Inventory 12-30-2025'!A:W,MATCH($W26,'Cutters Inventory 12-30-2025'!B:B,0),14),0)</f>
        <v>0</v>
      </c>
      <c r="AC26" s="23">
        <f>SUMIF(Table1[LEVEL 5 MAT NO.],S26,Table1[Braze Plan])</f>
        <v>0</v>
      </c>
      <c r="AD26" s="23">
        <f>Table4[[#This Row],[Quantity]]*Table4[[#This Row],[Bits Braze Plan]]</f>
        <v>0</v>
      </c>
      <c r="AE26" s="23">
        <f ca="1">Table4[[#This Row],[INV. QTY]]-Table4[[#This Row],[Required For Braze Cutters Check]]</f>
        <v>0</v>
      </c>
      <c r="AF26" s="23">
        <f t="shared" ca="1" si="3"/>
        <v>0</v>
      </c>
      <c r="AG26" s="23"/>
      <c r="AI26">
        <v>1039036</v>
      </c>
      <c r="AJ26" s="19">
        <f t="shared" si="4"/>
        <v>1039036</v>
      </c>
      <c r="AK26" s="19">
        <f>SUMIF(Table4[Component],AJ26,Table4[Qty of Cutters in these MATs])</f>
        <v>0</v>
      </c>
      <c r="AL26" s="19">
        <f>SUMIF(Table4[Component],AJ26,Table4[Required For Braze Cutters Check])</f>
        <v>0</v>
      </c>
      <c r="AM26" s="19">
        <f ca="1">IFERROR(INDEX('Cutters Inventory 12-30-2025'!A:W,MATCH($AI26,'Cutters Inventory 12-30-2025'!B:B,0),14),0)</f>
        <v>2</v>
      </c>
      <c r="AN26" s="19">
        <f ca="1">Table5[[#This Row],[INV. QTY]]-Table5[[#This Row],[Required For Braze Cutters Check]]</f>
        <v>2</v>
      </c>
      <c r="AO26" s="19" t="str">
        <f ca="1">IF($AN26&lt;0,Table5[[#This Row],[Component]],"")</f>
        <v/>
      </c>
      <c r="AS26">
        <v>1039034</v>
      </c>
      <c r="AT26">
        <f t="shared" si="8"/>
        <v>1039034</v>
      </c>
      <c r="AV26" s="573">
        <f t="shared" si="9"/>
        <v>0</v>
      </c>
      <c r="AW26">
        <f t="shared" si="5"/>
        <v>0</v>
      </c>
      <c r="AY26">
        <v>1134878</v>
      </c>
      <c r="AZ26">
        <v>1233276</v>
      </c>
      <c r="BA26">
        <f t="shared" si="11"/>
        <v>1233276</v>
      </c>
      <c r="BC26" s="159">
        <f>IFERROR(VLOOKUP(BA:BA,Table4[],8,FALSE),Table6[[#This Row],[Not Exist BOM''s]])</f>
        <v>0</v>
      </c>
    </row>
    <row r="27" spans="1:59" ht="24.75" customHeight="1" x14ac:dyDescent="0.3">
      <c r="A27" s="109"/>
      <c r="B27" s="608"/>
      <c r="C27" s="109">
        <v>13885444</v>
      </c>
      <c r="D27" s="109" t="s">
        <v>313</v>
      </c>
      <c r="E27" s="109" t="s">
        <v>272</v>
      </c>
      <c r="F27" s="109"/>
      <c r="G27" s="109"/>
      <c r="H27" s="140">
        <v>1141517</v>
      </c>
      <c r="I27" s="140">
        <v>1092981</v>
      </c>
      <c r="J27" s="26">
        <f>IF(H27&lt;&gt;"",IF(AND(C27&lt;&gt;"",IFERROR(MATCH(C27,Table10[Serial No.],0),0)),0,1),0)</f>
        <v>0</v>
      </c>
      <c r="K27" s="21"/>
      <c r="L27" s="539" t="str">
        <f t="shared" ca="1" si="7"/>
        <v/>
      </c>
      <c r="N27">
        <v>1216970</v>
      </c>
      <c r="O27" s="28">
        <f t="shared" si="0"/>
        <v>1216970</v>
      </c>
      <c r="P27" s="28">
        <f>SUMIF(Table1[LEVEL 5 MAT NO.],N27,Table1[Quantity])</f>
        <v>13</v>
      </c>
      <c r="Q27" s="479" t="str" cm="1">
        <f t="array" aca="1" ref="Q27" ca="1">_xlfn.TEXTJOIN(", ", TRUE, IF(($S$2:$S$485 = O27) * ($AF$2:$AF$485 &lt; 0), $W$2:$W$485&amp;" "&amp;$X$2:$X$485, ""))</f>
        <v/>
      </c>
      <c r="S27" s="281">
        <v>1020531</v>
      </c>
      <c r="T27" s="278" t="s">
        <v>315</v>
      </c>
      <c r="U27" s="278" t="s">
        <v>367</v>
      </c>
      <c r="V27" s="25">
        <v>3</v>
      </c>
      <c r="W27" s="284">
        <v>418525</v>
      </c>
      <c r="X27" s="19" t="str">
        <f>IFERROR(INDEX(Table14[],MATCH($W27,Table14[SAPNo],0),3),"")</f>
        <v>Drop In 1308 CT31   (B)</v>
      </c>
      <c r="Y27" s="284">
        <v>8</v>
      </c>
      <c r="Z27" s="25">
        <f t="shared" si="1"/>
        <v>0</v>
      </c>
      <c r="AA27" s="25">
        <f t="shared" si="2"/>
        <v>0</v>
      </c>
      <c r="AB27" s="23">
        <f ca="1">IFERROR(INDEX('Cutters Inventory 12-30-2025'!A:W,MATCH($W27,'Cutters Inventory 12-30-2025'!B:B,0),14),0)</f>
        <v>933</v>
      </c>
      <c r="AC27" s="23">
        <f>SUMIF(Table1[LEVEL 5 MAT NO.],S27,Table1[Braze Plan])</f>
        <v>0</v>
      </c>
      <c r="AD27" s="23">
        <f>Table4[[#This Row],[Quantity]]*Table4[[#This Row],[Bits Braze Plan]]</f>
        <v>0</v>
      </c>
      <c r="AE27" s="23">
        <f ca="1">Table4[[#This Row],[INV. QTY]]-Table4[[#This Row],[Required For Braze Cutters Check]]</f>
        <v>933</v>
      </c>
      <c r="AF27" s="23">
        <f t="shared" ca="1" si="3"/>
        <v>933</v>
      </c>
      <c r="AG27" s="23"/>
      <c r="AI27">
        <v>1039057</v>
      </c>
      <c r="AJ27" s="19">
        <f t="shared" si="4"/>
        <v>1039057</v>
      </c>
      <c r="AK27" s="19">
        <f>SUMIF(Table4[Component],AJ27,Table4[Qty of Cutters in these MATs])</f>
        <v>0</v>
      </c>
      <c r="AL27" s="19">
        <f>SUMIF(Table4[Component],AJ27,Table4[Required For Braze Cutters Check])</f>
        <v>0</v>
      </c>
      <c r="AM27" s="19">
        <f ca="1">IFERROR(INDEX('Cutters Inventory 12-30-2025'!A:W,MATCH($AI27,'Cutters Inventory 12-30-2025'!B:B,0),14),0)</f>
        <v>6</v>
      </c>
      <c r="AN27" s="19">
        <f ca="1">Table5[[#This Row],[INV. QTY]]-Table5[[#This Row],[Required For Braze Cutters Check]]</f>
        <v>6</v>
      </c>
      <c r="AO27" s="19" t="str">
        <f ca="1">IF($AN27&lt;0,Table5[[#This Row],[Component]],"")</f>
        <v/>
      </c>
      <c r="AS27">
        <v>1039036</v>
      </c>
      <c r="AT27">
        <f t="shared" si="8"/>
        <v>1039036</v>
      </c>
      <c r="AV27" s="573">
        <f t="shared" si="9"/>
        <v>0</v>
      </c>
      <c r="AW27">
        <f t="shared" si="5"/>
        <v>0</v>
      </c>
      <c r="AY27">
        <v>1135558</v>
      </c>
      <c r="AZ27" t="str">
        <v>1158011M2</v>
      </c>
      <c r="BA27" t="str">
        <f t="shared" si="11"/>
        <v>1158011M2</v>
      </c>
      <c r="BC27" s="159">
        <f>IFERROR(VLOOKUP(BA:BA,Table4[],8,FALSE),Table6[[#This Row],[Not Exist BOM''s]])</f>
        <v>0</v>
      </c>
    </row>
    <row r="28" spans="1:59" ht="24.75" customHeight="1" x14ac:dyDescent="0.3">
      <c r="A28" s="109"/>
      <c r="B28" s="608"/>
      <c r="C28" s="109">
        <v>13885445</v>
      </c>
      <c r="D28" s="109" t="s">
        <v>313</v>
      </c>
      <c r="E28" s="109" t="s">
        <v>272</v>
      </c>
      <c r="F28" s="109"/>
      <c r="G28" s="109"/>
      <c r="H28" s="140">
        <v>1141517</v>
      </c>
      <c r="I28" s="140">
        <v>1092981</v>
      </c>
      <c r="J28" s="26">
        <f>IF(H28&lt;&gt;"",IF(AND(C28&lt;&gt;"",IFERROR(MATCH(C28,Table10[Serial No.],0),0)),0,1),0)</f>
        <v>0</v>
      </c>
      <c r="K28" s="21"/>
      <c r="L28" s="539" t="str">
        <f t="shared" ca="1" si="7"/>
        <v/>
      </c>
      <c r="N28">
        <v>1224750</v>
      </c>
      <c r="O28" s="28">
        <f t="shared" si="0"/>
        <v>1224750</v>
      </c>
      <c r="P28" s="28">
        <f>SUMIF(Table1[LEVEL 5 MAT NO.],N28,Table1[Quantity])</f>
        <v>0</v>
      </c>
      <c r="Q28" s="479" t="str" cm="1">
        <f t="array" aca="1" ref="Q28" ca="1">_xlfn.TEXTJOIN(", ", TRUE, IF(($S$2:$S$485 = O28) * ($AF$2:$AF$485 &lt; 0), $W$2:$W$485&amp;" "&amp;$X$2:$X$485, ""))</f>
        <v/>
      </c>
      <c r="S28" s="281">
        <v>1020531</v>
      </c>
      <c r="T28" s="278" t="s">
        <v>315</v>
      </c>
      <c r="U28" s="278" t="s">
        <v>367</v>
      </c>
      <c r="V28" s="25">
        <v>4</v>
      </c>
      <c r="W28" s="284">
        <v>1146737</v>
      </c>
      <c r="X28" s="19" t="str">
        <f>IFERROR(INDEX(Table14[],MATCH($W28,Table14[SAPNo],0),3),"")</f>
        <v>1613 CT418 18-60</v>
      </c>
      <c r="Y28" s="284">
        <v>9</v>
      </c>
      <c r="Z28" s="25">
        <f t="shared" si="1"/>
        <v>0</v>
      </c>
      <c r="AA28" s="25">
        <f t="shared" si="2"/>
        <v>0</v>
      </c>
      <c r="AB28" s="23">
        <f ca="1">IFERROR(INDEX('Cutters Inventory 12-30-2025'!A:W,MATCH($W28,'Cutters Inventory 12-30-2025'!B:B,0),14),0)</f>
        <v>1281</v>
      </c>
      <c r="AC28" s="23">
        <f>SUMIF(Table1[LEVEL 5 MAT NO.],S28,Table1[Braze Plan])</f>
        <v>0</v>
      </c>
      <c r="AD28" s="23">
        <f>Table4[[#This Row],[Quantity]]*Table4[[#This Row],[Bits Braze Plan]]</f>
        <v>0</v>
      </c>
      <c r="AE28" s="23">
        <f ca="1">Table4[[#This Row],[INV. QTY]]-Table4[[#This Row],[Required For Braze Cutters Check]]</f>
        <v>1281</v>
      </c>
      <c r="AF28" s="23">
        <f t="shared" ca="1" si="3"/>
        <v>1281</v>
      </c>
      <c r="AG28" s="23"/>
      <c r="AI28">
        <v>1039058</v>
      </c>
      <c r="AJ28" s="19">
        <f t="shared" si="4"/>
        <v>1039058</v>
      </c>
      <c r="AK28" s="19">
        <f>SUMIF(Table4[Component],AJ28,Table4[Qty of Cutters in these MATs])</f>
        <v>0</v>
      </c>
      <c r="AL28" s="19">
        <f>SUMIF(Table4[Component],AJ28,Table4[Required For Braze Cutters Check])</f>
        <v>0</v>
      </c>
      <c r="AM28" s="19">
        <f ca="1">IFERROR(INDEX('Cutters Inventory 12-30-2025'!A:W,MATCH($AI28,'Cutters Inventory 12-30-2025'!B:B,0),14),0)</f>
        <v>15</v>
      </c>
      <c r="AN28" s="19">
        <f ca="1">Table5[[#This Row],[INV. QTY]]-Table5[[#This Row],[Required For Braze Cutters Check]]</f>
        <v>15</v>
      </c>
      <c r="AO28" s="19" t="str">
        <f ca="1">IF($AN28&lt;0,Table5[[#This Row],[Component]],"")</f>
        <v/>
      </c>
      <c r="AS28">
        <v>1039057</v>
      </c>
      <c r="AT28">
        <f t="shared" si="8"/>
        <v>1039057</v>
      </c>
      <c r="AV28" s="573">
        <f t="shared" si="9"/>
        <v>0</v>
      </c>
      <c r="AW28">
        <f t="shared" si="5"/>
        <v>0</v>
      </c>
      <c r="AY28">
        <v>1137348</v>
      </c>
      <c r="AZ28" t="str">
        <v>1198387M</v>
      </c>
      <c r="BA28" t="str">
        <f t="shared" si="11"/>
        <v>1198387M</v>
      </c>
      <c r="BC28" s="159">
        <f>IFERROR(VLOOKUP(BA:BA,Table4[],8,FALSE),Table6[[#This Row],[Not Exist BOM''s]])</f>
        <v>0</v>
      </c>
    </row>
    <row r="29" spans="1:59" ht="24.75" customHeight="1" x14ac:dyDescent="0.3">
      <c r="A29" s="109"/>
      <c r="B29" s="608"/>
      <c r="C29" s="109">
        <v>13885447</v>
      </c>
      <c r="D29" s="109" t="s">
        <v>624</v>
      </c>
      <c r="E29" s="109" t="s">
        <v>282</v>
      </c>
      <c r="F29" s="109"/>
      <c r="G29" s="109"/>
      <c r="H29" s="140">
        <v>1228723</v>
      </c>
      <c r="I29" s="140">
        <v>1135558</v>
      </c>
      <c r="J29" s="26">
        <f>IF(H29&lt;&gt;"",IF(AND(C29&lt;&gt;"",IFERROR(MATCH(C29,Table10[Serial No.],0),0)),0,1),0)</f>
        <v>1</v>
      </c>
      <c r="K29" s="21"/>
      <c r="L29" s="539" t="str">
        <f t="shared" ca="1" si="7"/>
        <v/>
      </c>
      <c r="N29">
        <v>1235768</v>
      </c>
      <c r="O29" s="28">
        <f t="shared" si="0"/>
        <v>1235768</v>
      </c>
      <c r="P29" s="28">
        <f>SUMIF(Table1[LEVEL 5 MAT NO.],N29,Table1[Quantity])</f>
        <v>0</v>
      </c>
      <c r="Q29" s="479" t="str" cm="1">
        <f t="array" aca="1" ref="Q29" ca="1">_xlfn.TEXTJOIN(", ", TRUE, IF(($S$2:$S$485 = O29) * ($AF$2:$AF$485 &lt; 0), $W$2:$W$485&amp;" "&amp;$X$2:$X$485, ""))</f>
        <v/>
      </c>
      <c r="S29" s="281">
        <v>1020531</v>
      </c>
      <c r="T29" s="278" t="s">
        <v>315</v>
      </c>
      <c r="U29" s="278" t="s">
        <v>367</v>
      </c>
      <c r="V29" s="25">
        <v>5</v>
      </c>
      <c r="W29" s="284">
        <v>1130197</v>
      </c>
      <c r="X29" s="19" t="str">
        <f>IFERROR(INDEX(Table14[],MATCH($W29,Table14[SAPNo],0),3),"")</f>
        <v>Round 1608 CT182  0.018" (S)</v>
      </c>
      <c r="Y29" s="284">
        <v>8</v>
      </c>
      <c r="Z29" s="25">
        <f t="shared" si="1"/>
        <v>0</v>
      </c>
      <c r="AA29" s="25">
        <f t="shared" si="2"/>
        <v>0</v>
      </c>
      <c r="AB29" s="23">
        <f ca="1">IFERROR(INDEX('Cutters Inventory 12-30-2025'!A:W,MATCH($W29,'Cutters Inventory 12-30-2025'!B:B,0),14),0)</f>
        <v>39</v>
      </c>
      <c r="AC29" s="23">
        <f>SUMIF(Table1[LEVEL 5 MAT NO.],S29,Table1[Braze Plan])</f>
        <v>0</v>
      </c>
      <c r="AD29" s="23">
        <f>Table4[[#This Row],[Quantity]]*Table4[[#This Row],[Bits Braze Plan]]</f>
        <v>0</v>
      </c>
      <c r="AE29" s="23">
        <f ca="1">Table4[[#This Row],[INV. QTY]]-Table4[[#This Row],[Required For Braze Cutters Check]]</f>
        <v>39</v>
      </c>
      <c r="AF29" s="23">
        <f t="shared" ca="1" si="3"/>
        <v>39</v>
      </c>
      <c r="AG29" s="23"/>
      <c r="AI29">
        <v>1050785</v>
      </c>
      <c r="AJ29" s="19">
        <f t="shared" si="4"/>
        <v>1050785</v>
      </c>
      <c r="AK29" s="19">
        <f>SUMIF(Table4[Component],AJ29,Table4[Qty of Cutters in these MATs])</f>
        <v>0</v>
      </c>
      <c r="AL29" s="19">
        <f>SUMIF(Table4[Component],AJ29,Table4[Required For Braze Cutters Check])</f>
        <v>0</v>
      </c>
      <c r="AM29" s="19">
        <f ca="1">IFERROR(INDEX('Cutters Inventory 12-30-2025'!A:W,MATCH($AI29,'Cutters Inventory 12-30-2025'!B:B,0),14),0)</f>
        <v>0</v>
      </c>
      <c r="AN29" s="19">
        <f ca="1">Table5[[#This Row],[INV. QTY]]-Table5[[#This Row],[Required For Braze Cutters Check]]</f>
        <v>0</v>
      </c>
      <c r="AO29" s="19" t="str">
        <f ca="1">IF($AN29&lt;0,Table5[[#This Row],[Component]],"")</f>
        <v/>
      </c>
      <c r="AS29">
        <v>1039058</v>
      </c>
      <c r="AT29">
        <f t="shared" si="8"/>
        <v>1039058</v>
      </c>
      <c r="AV29" s="573">
        <f t="shared" ref="AV29:AV35" si="12">IFERROR(AU29,"")</f>
        <v>0</v>
      </c>
      <c r="AW29">
        <f t="shared" si="5"/>
        <v>0</v>
      </c>
      <c r="AY29">
        <v>1137349</v>
      </c>
      <c r="AZ29" t="str">
        <v>1212043M</v>
      </c>
      <c r="BA29" t="str">
        <f t="shared" ref="BA29:BA31" si="13">IFERROR(AZ29,"")</f>
        <v>1212043M</v>
      </c>
      <c r="BC29" s="159">
        <f>IFERROR(VLOOKUP(BA:BA,Table4[],8,FALSE),Table6[[#This Row],[Not Exist BOM''s]])</f>
        <v>0</v>
      </c>
    </row>
    <row r="30" spans="1:59" ht="24.75" customHeight="1" x14ac:dyDescent="0.3">
      <c r="A30" s="109"/>
      <c r="B30" s="608"/>
      <c r="C30" s="109">
        <v>13885448</v>
      </c>
      <c r="D30" s="109" t="s">
        <v>624</v>
      </c>
      <c r="E30" s="109" t="s">
        <v>282</v>
      </c>
      <c r="F30" s="109"/>
      <c r="G30" s="109"/>
      <c r="H30" s="140">
        <v>1228723</v>
      </c>
      <c r="I30" s="140">
        <v>1135558</v>
      </c>
      <c r="J30" s="26">
        <f>IF(H30&lt;&gt;"",IF(AND(C30&lt;&gt;"",IFERROR(MATCH(C30,Table10[Serial No.],0),0)),0,1),0)</f>
        <v>1</v>
      </c>
      <c r="K30" s="21"/>
      <c r="L30" s="539" t="str">
        <f t="shared" ca="1" si="7"/>
        <v/>
      </c>
      <c r="N30">
        <v>1241180</v>
      </c>
      <c r="O30" s="28">
        <f t="shared" si="0"/>
        <v>1241180</v>
      </c>
      <c r="P30" s="28">
        <f>SUMIF(Table1[LEVEL 5 MAT NO.],N30,Table1[Quantity])</f>
        <v>1</v>
      </c>
      <c r="Q30" s="479" t="str" cm="1">
        <f t="array" aca="1" ref="Q30" ca="1">_xlfn.TEXTJOIN(", ", TRUE, IF(($S$2:$S$485 = O30) * ($AF$2:$AF$485 &lt; 0), $W$2:$W$485&amp;" "&amp;$X$2:$X$485, ""))</f>
        <v/>
      </c>
      <c r="S30" s="281">
        <v>1033011</v>
      </c>
      <c r="T30" s="278" t="s">
        <v>316</v>
      </c>
      <c r="U30" s="278" t="s">
        <v>318</v>
      </c>
      <c r="V30" s="25">
        <v>1</v>
      </c>
      <c r="W30" s="284">
        <v>418525</v>
      </c>
      <c r="X30" s="19" t="str">
        <f>IFERROR(INDEX(Table14[],MATCH($W30,Table14[SAPNo],0),3),"")</f>
        <v>Drop In 1308 CT31   (B)</v>
      </c>
      <c r="Y30" s="284">
        <v>8</v>
      </c>
      <c r="Z30" s="25">
        <f t="shared" si="1"/>
        <v>1</v>
      </c>
      <c r="AA30" s="25">
        <f t="shared" si="2"/>
        <v>8</v>
      </c>
      <c r="AB30" s="23">
        <f ca="1">IFERROR(INDEX('Cutters Inventory 12-30-2025'!A:W,MATCH($W30,'Cutters Inventory 12-30-2025'!B:B,0),14),0)</f>
        <v>933</v>
      </c>
      <c r="AC30" s="23">
        <f>SUMIF(Table1[LEVEL 5 MAT NO.],S30,Table1[Braze Plan])</f>
        <v>0</v>
      </c>
      <c r="AD30" s="23">
        <f>Table4[[#This Row],[Quantity]]*Table4[[#This Row],[Bits Braze Plan]]</f>
        <v>0</v>
      </c>
      <c r="AE30" s="23">
        <f ca="1">Table4[[#This Row],[INV. QTY]]-Table4[[#This Row],[Required For Braze Cutters Check]]</f>
        <v>933</v>
      </c>
      <c r="AF30" s="23">
        <f t="shared" ca="1" si="3"/>
        <v>933</v>
      </c>
      <c r="AG30" s="23"/>
      <c r="AI30">
        <v>1078371</v>
      </c>
      <c r="AJ30" s="19">
        <f t="shared" si="4"/>
        <v>1078371</v>
      </c>
      <c r="AK30" s="19">
        <f>SUMIF(Table4[Component],AJ30,Table4[Qty of Cutters in these MATs])</f>
        <v>0</v>
      </c>
      <c r="AL30" s="19">
        <f>SUMIF(Table4[Component],AJ30,Table4[Required For Braze Cutters Check])</f>
        <v>0</v>
      </c>
      <c r="AM30" s="19">
        <f ca="1">IFERROR(INDEX('Cutters Inventory 12-30-2025'!A:W,MATCH($AI30,'Cutters Inventory 12-30-2025'!B:B,0),14),0)</f>
        <v>0</v>
      </c>
      <c r="AN30" s="19">
        <f ca="1">Table5[[#This Row],[INV. QTY]]-Table5[[#This Row],[Required For Braze Cutters Check]]</f>
        <v>0</v>
      </c>
      <c r="AO30" s="19" t="str">
        <f ca="1">IF($AN30&lt;0,Table5[[#This Row],[Component]],"")</f>
        <v/>
      </c>
      <c r="AS30">
        <v>1050785</v>
      </c>
      <c r="AT30">
        <f t="shared" si="8"/>
        <v>1050785</v>
      </c>
      <c r="AV30" s="573">
        <f t="shared" si="12"/>
        <v>0</v>
      </c>
      <c r="AW30">
        <f t="shared" si="5"/>
        <v>0</v>
      </c>
      <c r="AY30">
        <v>1138896</v>
      </c>
      <c r="AZ30" t="str">
        <v>1212207M</v>
      </c>
      <c r="BA30" t="str">
        <f t="shared" si="13"/>
        <v>1212207M</v>
      </c>
      <c r="BC30" s="159">
        <f>IFERROR(VLOOKUP(BA:BA,Table4[],8,FALSE),Table6[[#This Row],[Not Exist BOM''s]])</f>
        <v>0</v>
      </c>
    </row>
    <row r="31" spans="1:59" ht="24.75" customHeight="1" x14ac:dyDescent="0.3">
      <c r="A31" s="109"/>
      <c r="B31" s="608"/>
      <c r="C31" s="109">
        <v>13888896</v>
      </c>
      <c r="D31" s="109" t="s">
        <v>316</v>
      </c>
      <c r="E31" s="109" t="s">
        <v>318</v>
      </c>
      <c r="F31" s="109"/>
      <c r="G31" s="109"/>
      <c r="H31" s="140">
        <v>1145823</v>
      </c>
      <c r="I31" s="140">
        <v>1033011</v>
      </c>
      <c r="J31" s="26">
        <f>IF(H31&lt;&gt;"",IF(AND(C31&lt;&gt;"",IFERROR(MATCH(C31,Table10[Serial No.],0),0)),0,1),0)</f>
        <v>0</v>
      </c>
      <c r="K31" s="21"/>
      <c r="L31" s="539" t="str">
        <f t="shared" ca="1" si="7"/>
        <v/>
      </c>
      <c r="N31">
        <v>1249569</v>
      </c>
      <c r="O31" s="28">
        <f t="shared" si="0"/>
        <v>1249569</v>
      </c>
      <c r="P31" s="28">
        <f>SUMIF(Table1[LEVEL 5 MAT NO.],N31,Table1[Quantity])</f>
        <v>5</v>
      </c>
      <c r="Q31" s="479" t="str" cm="1">
        <f t="array" aca="1" ref="Q31" ca="1">_xlfn.TEXTJOIN(", ", TRUE, IF(($S$2:$S$485 = O31) * ($AF$2:$AF$485 &lt; 0), $W$2:$W$485&amp;" "&amp;$X$2:$X$485, ""))</f>
        <v/>
      </c>
      <c r="S31" s="281">
        <v>1033011</v>
      </c>
      <c r="T31" s="278" t="s">
        <v>316</v>
      </c>
      <c r="U31" s="278" t="s">
        <v>318</v>
      </c>
      <c r="V31" s="25">
        <v>2</v>
      </c>
      <c r="W31" s="284">
        <v>647436</v>
      </c>
      <c r="X31" s="19" t="str">
        <f>IFERROR(INDEX(Table14[],MATCH($W31,Table14[SAPNo],0),3),"")</f>
        <v>Round 1613 CT200  0.018" (B)</v>
      </c>
      <c r="Y31" s="284">
        <v>32</v>
      </c>
      <c r="Z31" s="25">
        <f t="shared" si="1"/>
        <v>1</v>
      </c>
      <c r="AA31" s="25">
        <f t="shared" si="2"/>
        <v>32</v>
      </c>
      <c r="AB31" s="23">
        <f ca="1">IFERROR(INDEX('Cutters Inventory 12-30-2025'!A:W,MATCH($W31,'Cutters Inventory 12-30-2025'!B:B,0),14),0)</f>
        <v>412</v>
      </c>
      <c r="AC31" s="23">
        <f>SUMIF(Table1[LEVEL 5 MAT NO.],S31,Table1[Braze Plan])</f>
        <v>0</v>
      </c>
      <c r="AD31" s="23">
        <f>Table4[[#This Row],[Quantity]]*Table4[[#This Row],[Bits Braze Plan]]</f>
        <v>0</v>
      </c>
      <c r="AE31" s="23">
        <f ca="1">Table4[[#This Row],[INV. QTY]]-Table4[[#This Row],[Required For Braze Cutters Check]]</f>
        <v>412</v>
      </c>
      <c r="AF31" s="23">
        <f t="shared" ca="1" si="3"/>
        <v>412</v>
      </c>
      <c r="AG31" s="23"/>
      <c r="AI31">
        <v>1078377</v>
      </c>
      <c r="AJ31" s="19">
        <f t="shared" si="4"/>
        <v>1078377</v>
      </c>
      <c r="AK31" s="19">
        <f>SUMIF(Table4[Component],AJ31,Table4[Qty of Cutters in these MATs])</f>
        <v>210</v>
      </c>
      <c r="AL31" s="19">
        <f>SUMIF(Table4[Component],AJ31,Table4[Required For Braze Cutters Check])</f>
        <v>0</v>
      </c>
      <c r="AM31" s="19">
        <f ca="1">IFERROR(INDEX('Cutters Inventory 12-30-2025'!A:W,MATCH($AI31,'Cutters Inventory 12-30-2025'!B:B,0),14),0)</f>
        <v>439</v>
      </c>
      <c r="AN31" s="19">
        <f ca="1">Table5[[#This Row],[INV. QTY]]-Table5[[#This Row],[Required For Braze Cutters Check]]</f>
        <v>439</v>
      </c>
      <c r="AO31" s="19" t="str">
        <f ca="1">IF($AN31&lt;0,Table5[[#This Row],[Component]],"")</f>
        <v/>
      </c>
      <c r="AS31">
        <v>1078371</v>
      </c>
      <c r="AT31">
        <f t="shared" si="8"/>
        <v>1078371</v>
      </c>
      <c r="AV31" s="573">
        <f t="shared" si="12"/>
        <v>0</v>
      </c>
      <c r="AW31">
        <f t="shared" si="5"/>
        <v>0</v>
      </c>
      <c r="AY31">
        <v>1138943</v>
      </c>
      <c r="AZ31" t="str">
        <v>1212881M</v>
      </c>
      <c r="BA31" t="str">
        <f t="shared" si="13"/>
        <v>1212881M</v>
      </c>
      <c r="BC31" s="159">
        <f>IFERROR(VLOOKUP(BA:BA,Table4[],8,FALSE),Table6[[#This Row],[Not Exist BOM''s]])</f>
        <v>0</v>
      </c>
    </row>
    <row r="32" spans="1:59" ht="24.75" customHeight="1" x14ac:dyDescent="0.3">
      <c r="A32" s="109"/>
      <c r="B32" s="608"/>
      <c r="C32" s="109">
        <v>13889235</v>
      </c>
      <c r="D32" s="109" t="s">
        <v>316</v>
      </c>
      <c r="E32" s="109" t="s">
        <v>318</v>
      </c>
      <c r="F32" s="109"/>
      <c r="G32" s="109"/>
      <c r="H32" s="140">
        <v>1145823</v>
      </c>
      <c r="I32" s="140">
        <v>1033011</v>
      </c>
      <c r="J32" s="26">
        <f>IF(H32&lt;&gt;"",IF(AND(C32&lt;&gt;"",IFERROR(MATCH(C32,Table10[Serial No.],0),0)),0,1),0)</f>
        <v>0</v>
      </c>
      <c r="K32" s="21"/>
      <c r="L32" s="539" t="str">
        <f t="shared" ca="1" si="7"/>
        <v/>
      </c>
      <c r="N32">
        <v>1251098</v>
      </c>
      <c r="O32" s="28">
        <f t="shared" si="0"/>
        <v>1251098</v>
      </c>
      <c r="P32" s="28">
        <f>SUMIF(Table1[LEVEL 5 MAT NO.],N32,Table1[Quantity])</f>
        <v>4</v>
      </c>
      <c r="Q32" s="479" t="str" cm="1">
        <f t="array" aca="1" ref="Q32" ca="1">_xlfn.TEXTJOIN(", ", TRUE, IF(($S$2:$S$485 = O32) * ($AF$2:$AF$485 &lt; 0), $W$2:$W$485&amp;" "&amp;$X$2:$X$485, ""))</f>
        <v/>
      </c>
      <c r="S32" s="281">
        <v>1033011</v>
      </c>
      <c r="T32" s="278" t="s">
        <v>316</v>
      </c>
      <c r="U32" s="278" t="s">
        <v>318</v>
      </c>
      <c r="V32" s="25">
        <v>3</v>
      </c>
      <c r="W32" s="284">
        <v>1126402</v>
      </c>
      <c r="X32" s="19" t="str">
        <f>IFERROR(INDEX(Table14[],MATCH($W32,Table14[SAPNo],0),3),"")</f>
        <v>1613 CT421 16-60</v>
      </c>
      <c r="Y32" s="284">
        <v>105</v>
      </c>
      <c r="Z32" s="25">
        <f t="shared" si="1"/>
        <v>1</v>
      </c>
      <c r="AA32" s="25">
        <f t="shared" si="2"/>
        <v>105</v>
      </c>
      <c r="AB32" s="23">
        <f ca="1">IFERROR(INDEX('Cutters Inventory 12-30-2025'!A:W,MATCH($W32,'Cutters Inventory 12-30-2025'!B:B,0),14),0)</f>
        <v>422</v>
      </c>
      <c r="AC32" s="23">
        <f>SUMIF(Table1[LEVEL 5 MAT NO.],S32,Table1[Braze Plan])</f>
        <v>0</v>
      </c>
      <c r="AD32" s="23">
        <f>Table4[[#This Row],[Quantity]]*Table4[[#This Row],[Bits Braze Plan]]</f>
        <v>0</v>
      </c>
      <c r="AE32" s="23">
        <f ca="1">Table4[[#This Row],[INV. QTY]]-Table4[[#This Row],[Required For Braze Cutters Check]]</f>
        <v>422</v>
      </c>
      <c r="AF32" s="23">
        <f t="shared" ca="1" si="3"/>
        <v>422</v>
      </c>
      <c r="AG32" s="23"/>
      <c r="AI32">
        <v>1100694</v>
      </c>
      <c r="AJ32" s="19">
        <f t="shared" si="4"/>
        <v>1100694</v>
      </c>
      <c r="AK32" s="19">
        <f>SUMIF(Table4[Component],AJ32,Table4[Qty of Cutters in these MATs])</f>
        <v>0</v>
      </c>
      <c r="AL32" s="19">
        <f>SUMIF(Table4[Component],AJ32,Table4[Required For Braze Cutters Check])</f>
        <v>0</v>
      </c>
      <c r="AM32" s="19">
        <f ca="1">IFERROR(INDEX('Cutters Inventory 12-30-2025'!A:W,MATCH($AI32,'Cutters Inventory 12-30-2025'!B:B,0),14),0)</f>
        <v>0</v>
      </c>
      <c r="AN32" s="19">
        <f ca="1">Table5[[#This Row],[INV. QTY]]-Table5[[#This Row],[Required For Braze Cutters Check]]</f>
        <v>0</v>
      </c>
      <c r="AO32" s="19" t="str">
        <f ca="1">IF($AN32&lt;0,Table5[[#This Row],[Component]],"")</f>
        <v/>
      </c>
      <c r="AS32">
        <v>1078377</v>
      </c>
      <c r="AT32">
        <f t="shared" si="8"/>
        <v>1078377</v>
      </c>
      <c r="AV32" s="573">
        <f t="shared" si="12"/>
        <v>0</v>
      </c>
      <c r="AW32">
        <f t="shared" si="5"/>
        <v>0</v>
      </c>
      <c r="AY32">
        <v>1142907</v>
      </c>
      <c r="AZ32" t="str">
        <v>1214858M</v>
      </c>
      <c r="BA32" t="str">
        <f t="shared" ref="BA32:BA35" si="14">IFERROR(AZ32,"")</f>
        <v>1214858M</v>
      </c>
      <c r="BC32" s="159">
        <f>IFERROR(VLOOKUP(BA:BA,Table4[],8,FALSE),Table6[[#This Row],[Not Exist BOM''s]])</f>
        <v>0</v>
      </c>
    </row>
    <row r="33" spans="1:55" ht="24.75" customHeight="1" x14ac:dyDescent="0.3">
      <c r="A33" s="109"/>
      <c r="B33" s="608"/>
      <c r="C33" s="109">
        <v>13899518</v>
      </c>
      <c r="D33" s="109" t="s">
        <v>624</v>
      </c>
      <c r="E33" s="109" t="s">
        <v>625</v>
      </c>
      <c r="F33" s="109"/>
      <c r="G33" s="109"/>
      <c r="H33" s="140">
        <v>1188084</v>
      </c>
      <c r="I33" s="140">
        <v>959209</v>
      </c>
      <c r="J33" s="26">
        <f>IF(H33&lt;&gt;"",IF(AND(C33&lt;&gt;"",IFERROR(MATCH(C33,Table10[Serial No.],0),0)),0,1),0)</f>
        <v>1</v>
      </c>
      <c r="K33" s="21"/>
      <c r="L33" s="539" t="str">
        <f t="shared" ca="1" si="7"/>
        <v/>
      </c>
      <c r="N33">
        <v>1251627</v>
      </c>
      <c r="O33" s="28">
        <f t="shared" si="0"/>
        <v>1251627</v>
      </c>
      <c r="P33" s="28">
        <f>SUMIF(Table1[LEVEL 5 MAT NO.],N33,Table1[Quantity])</f>
        <v>3</v>
      </c>
      <c r="Q33" s="479" t="str" cm="1">
        <f t="array" aca="1" ref="Q33" ca="1">_xlfn.TEXTJOIN(", ", TRUE, IF(($S$2:$S$485 = O33) * ($AF$2:$AF$485 &lt; 0), $W$2:$W$485&amp;" "&amp;$X$2:$X$485, ""))</f>
        <v/>
      </c>
      <c r="S33" s="281">
        <v>1056029</v>
      </c>
      <c r="T33" s="278" t="s">
        <v>313</v>
      </c>
      <c r="U33" s="278" t="s">
        <v>465</v>
      </c>
      <c r="V33" s="25">
        <v>1</v>
      </c>
      <c r="W33" s="284">
        <v>1039034</v>
      </c>
      <c r="X33" s="19" t="str">
        <f>IFERROR(INDEX(Table14[],MATCH($W33,Table14[SAPNo],0),3),"")</f>
        <v>Round 1308 CT138  0.018" (S)</v>
      </c>
      <c r="Y33" s="284">
        <v>32</v>
      </c>
      <c r="Z33" s="25">
        <f t="shared" si="1"/>
        <v>0</v>
      </c>
      <c r="AA33" s="25">
        <f t="shared" si="2"/>
        <v>0</v>
      </c>
      <c r="AB33" s="23">
        <f ca="1">IFERROR(INDEX('Cutters Inventory 12-30-2025'!A:W,MATCH($W33,'Cutters Inventory 12-30-2025'!B:B,0),14),0)</f>
        <v>22</v>
      </c>
      <c r="AC33" s="23">
        <f>SUMIF(Table1[LEVEL 5 MAT NO.],S33,Table1[Braze Plan])</f>
        <v>0</v>
      </c>
      <c r="AD33" s="23">
        <f>Table4[[#This Row],[Quantity]]*Table4[[#This Row],[Bits Braze Plan]]</f>
        <v>0</v>
      </c>
      <c r="AE33" s="23">
        <f ca="1">Table4[[#This Row],[INV. QTY]]-Table4[[#This Row],[Required For Braze Cutters Check]]</f>
        <v>22</v>
      </c>
      <c r="AF33" s="23">
        <f t="shared" ca="1" si="3"/>
        <v>22</v>
      </c>
      <c r="AG33" s="23"/>
      <c r="AI33">
        <v>1100696</v>
      </c>
      <c r="AJ33" s="19">
        <f t="shared" si="4"/>
        <v>1100696</v>
      </c>
      <c r="AK33" s="19">
        <f>SUMIF(Table4[Component],AJ33,Table4[Qty of Cutters in these MATs])</f>
        <v>136</v>
      </c>
      <c r="AL33" s="19">
        <f>SUMIF(Table4[Component],AJ33,Table4[Required For Braze Cutters Check])</f>
        <v>0</v>
      </c>
      <c r="AM33" s="19">
        <f ca="1">IFERROR(INDEX('Cutters Inventory 12-30-2025'!A:W,MATCH($AI33,'Cutters Inventory 12-30-2025'!B:B,0),14),0)</f>
        <v>19</v>
      </c>
      <c r="AN33" s="19">
        <f ca="1">Table5[[#This Row],[INV. QTY]]-Table5[[#This Row],[Required For Braze Cutters Check]]</f>
        <v>19</v>
      </c>
      <c r="AO33" s="19" t="str">
        <f ca="1">IF($AN33&lt;0,Table5[[#This Row],[Component]],"")</f>
        <v/>
      </c>
      <c r="AS33">
        <v>1100694</v>
      </c>
      <c r="AT33">
        <f t="shared" si="8"/>
        <v>1100694</v>
      </c>
      <c r="AV33" s="573">
        <f t="shared" si="12"/>
        <v>0</v>
      </c>
      <c r="AW33">
        <f t="shared" si="5"/>
        <v>0</v>
      </c>
      <c r="AY33">
        <v>1157663</v>
      </c>
      <c r="AZ33" t="str">
        <v>1217589M</v>
      </c>
      <c r="BA33" t="str">
        <f t="shared" si="14"/>
        <v>1217589M</v>
      </c>
      <c r="BC33" s="159">
        <f>IFERROR(VLOOKUP(BA:BA,Table4[],8,FALSE),Table6[[#This Row],[Not Exist BOM''s]])</f>
        <v>0</v>
      </c>
    </row>
    <row r="34" spans="1:55" ht="24.75" customHeight="1" x14ac:dyDescent="0.3">
      <c r="A34" s="109"/>
      <c r="B34" s="608"/>
      <c r="C34" s="109">
        <v>13901164</v>
      </c>
      <c r="D34" s="109" t="s">
        <v>624</v>
      </c>
      <c r="E34" s="109" t="s">
        <v>625</v>
      </c>
      <c r="F34" s="109"/>
      <c r="G34" s="109"/>
      <c r="H34" s="140">
        <v>1188084</v>
      </c>
      <c r="I34" s="140">
        <v>959209</v>
      </c>
      <c r="J34" s="26">
        <f>IF(H34&lt;&gt;"",IF(AND(C34&lt;&gt;"",IFERROR(MATCH(C34,Table10[Serial No.],0),0)),0,1),0)</f>
        <v>1</v>
      </c>
      <c r="K34" s="21"/>
      <c r="L34" s="539" t="str">
        <f t="shared" ca="1" si="7"/>
        <v/>
      </c>
      <c r="N34">
        <v>1252149</v>
      </c>
      <c r="O34" s="28">
        <f t="shared" si="0"/>
        <v>1252149</v>
      </c>
      <c r="P34" s="28">
        <f>SUMIF(Table1[LEVEL 5 MAT NO.],N34,Table1[Quantity])</f>
        <v>8</v>
      </c>
      <c r="Q34" s="479" t="str" cm="1">
        <f t="array" aca="1" ref="Q34" ca="1">_xlfn.TEXTJOIN(", ", TRUE, IF(($S$2:$S$485 = O34) * ($AF$2:$AF$485 &lt; 0), $W$2:$W$485&amp;" "&amp;$X$2:$X$485, ""))</f>
        <v/>
      </c>
      <c r="S34" s="281">
        <v>1056029</v>
      </c>
      <c r="T34" s="278" t="s">
        <v>313</v>
      </c>
      <c r="U34" s="278" t="s">
        <v>465</v>
      </c>
      <c r="V34" s="25">
        <v>2</v>
      </c>
      <c r="W34" s="284">
        <v>1039058</v>
      </c>
      <c r="X34" s="19" t="str">
        <f>IFERROR(INDEX(Table14[],MATCH($W34,Table14[SAPNo],0),3),"")</f>
        <v>Round 1608 CT138  0.018" (S)</v>
      </c>
      <c r="Y34" s="284">
        <v>15</v>
      </c>
      <c r="Z34" s="25">
        <f t="shared" si="1"/>
        <v>0</v>
      </c>
      <c r="AA34" s="25">
        <f t="shared" si="2"/>
        <v>0</v>
      </c>
      <c r="AB34" s="23">
        <f ca="1">IFERROR(INDEX('Cutters Inventory 12-30-2025'!A:W,MATCH($W34,'Cutters Inventory 12-30-2025'!B:B,0),14),0)</f>
        <v>15</v>
      </c>
      <c r="AC34" s="23">
        <f>SUMIF(Table1[LEVEL 5 MAT NO.],S34,Table1[Braze Plan])</f>
        <v>0</v>
      </c>
      <c r="AD34" s="23">
        <f>Table4[[#This Row],[Quantity]]*Table4[[#This Row],[Bits Braze Plan]]</f>
        <v>0</v>
      </c>
      <c r="AE34" s="23">
        <f ca="1">Table4[[#This Row],[INV. QTY]]-Table4[[#This Row],[Required For Braze Cutters Check]]</f>
        <v>15</v>
      </c>
      <c r="AF34" s="23">
        <f t="shared" ca="1" si="3"/>
        <v>15</v>
      </c>
      <c r="AG34" s="23"/>
      <c r="AI34">
        <v>1100739</v>
      </c>
      <c r="AJ34" s="19">
        <f t="shared" ref="AJ34:AJ65" si="15">IFERROR(AI34,"")</f>
        <v>1100739</v>
      </c>
      <c r="AK34" s="19">
        <f>SUMIF(Table4[Component],AJ34,Table4[Qty of Cutters in these MATs])</f>
        <v>114</v>
      </c>
      <c r="AL34" s="19">
        <f>SUMIF(Table4[Component],AJ34,Table4[Required For Braze Cutters Check])</f>
        <v>0</v>
      </c>
      <c r="AM34" s="19">
        <f ca="1">IFERROR(INDEX('Cutters Inventory 12-30-2025'!A:W,MATCH($AI34,'Cutters Inventory 12-30-2025'!B:B,0),14),0)</f>
        <v>29</v>
      </c>
      <c r="AN34" s="19">
        <f ca="1">Table5[[#This Row],[INV. QTY]]-Table5[[#This Row],[Required For Braze Cutters Check]]</f>
        <v>29</v>
      </c>
      <c r="AO34" s="19" t="str">
        <f ca="1">IF($AN34&lt;0,Table5[[#This Row],[Component]],"")</f>
        <v/>
      </c>
      <c r="AS34">
        <v>1100696</v>
      </c>
      <c r="AT34">
        <f t="shared" si="8"/>
        <v>1100696</v>
      </c>
      <c r="AV34" s="573">
        <f t="shared" si="12"/>
        <v>0</v>
      </c>
      <c r="AW34">
        <f t="shared" ref="AW34:AW65" si="16">IFERROR(INDEX($AJ$2:$AK$387,MATCH($AU34,$AJ$2:$AJ$100,0),2),0)</f>
        <v>0</v>
      </c>
      <c r="AY34">
        <v>1159702</v>
      </c>
      <c r="AZ34" t="str">
        <v>1220553M</v>
      </c>
      <c r="BA34" t="str">
        <f t="shared" si="14"/>
        <v>1220553M</v>
      </c>
      <c r="BC34" s="159">
        <f>IFERROR(VLOOKUP(BA:BA,Table4[],8,FALSE),Table6[[#This Row],[Not Exist BOM''s]])</f>
        <v>0</v>
      </c>
    </row>
    <row r="35" spans="1:55" ht="24.75" customHeight="1" x14ac:dyDescent="0.3">
      <c r="A35" s="109"/>
      <c r="B35" s="608"/>
      <c r="C35" s="109">
        <v>13901738</v>
      </c>
      <c r="D35" s="109" t="s">
        <v>316</v>
      </c>
      <c r="E35" s="109" t="s">
        <v>317</v>
      </c>
      <c r="F35" s="109"/>
      <c r="G35" s="109"/>
      <c r="H35" s="140">
        <v>1197910</v>
      </c>
      <c r="I35" s="140">
        <v>1190973</v>
      </c>
      <c r="J35" s="26">
        <f>IF(H35&lt;&gt;"",IF(AND(C35&lt;&gt;"",IFERROR(MATCH(C35,Table10[Serial No.],0),0)),0,1),0)</f>
        <v>1</v>
      </c>
      <c r="K35" s="21"/>
      <c r="L35" s="539" t="str">
        <f t="shared" ca="1" si="7"/>
        <v/>
      </c>
      <c r="N35">
        <v>1254482</v>
      </c>
      <c r="O35" s="28">
        <f t="shared" si="0"/>
        <v>1254482</v>
      </c>
      <c r="P35" s="28">
        <f>SUMIF(Table1[LEVEL 5 MAT NO.],N35,Table1[Quantity])</f>
        <v>6</v>
      </c>
      <c r="Q35" s="479" t="str" cm="1">
        <f t="array" aca="1" ref="Q35" ca="1">_xlfn.TEXTJOIN(", ", TRUE, IF(($S$2:$S$485 = O35) * ($AF$2:$AF$485 &lt; 0), $W$2:$W$485&amp;" "&amp;$X$2:$X$485, ""))</f>
        <v/>
      </c>
      <c r="S35" s="281">
        <v>1056029</v>
      </c>
      <c r="T35" s="278" t="s">
        <v>313</v>
      </c>
      <c r="U35" s="278" t="s">
        <v>465</v>
      </c>
      <c r="V35" s="25">
        <v>3</v>
      </c>
      <c r="W35" s="284">
        <v>1039033</v>
      </c>
      <c r="X35" s="19" t="str">
        <f>IFERROR(INDEX(Table14[],MATCH($W35,Table14[SAPNo],0),3),"")</f>
        <v>Round 1308 CT138  10C (S)</v>
      </c>
      <c r="Y35" s="284">
        <v>28</v>
      </c>
      <c r="Z35" s="25">
        <f t="shared" si="1"/>
        <v>0</v>
      </c>
      <c r="AA35" s="25">
        <f t="shared" si="2"/>
        <v>0</v>
      </c>
      <c r="AB35" s="23">
        <f ca="1">IFERROR(INDEX('Cutters Inventory 12-30-2025'!A:W,MATCH($W35,'Cutters Inventory 12-30-2025'!B:B,0),14),0)</f>
        <v>0</v>
      </c>
      <c r="AC35" s="23">
        <f>SUMIF(Table1[LEVEL 5 MAT NO.],S35,Table1[Braze Plan])</f>
        <v>0</v>
      </c>
      <c r="AD35" s="23">
        <f>Table4[[#This Row],[Quantity]]*Table4[[#This Row],[Bits Braze Plan]]</f>
        <v>0</v>
      </c>
      <c r="AE35" s="23">
        <f ca="1">Table4[[#This Row],[INV. QTY]]-Table4[[#This Row],[Required For Braze Cutters Check]]</f>
        <v>0</v>
      </c>
      <c r="AF35" s="23">
        <f t="shared" ca="1" si="3"/>
        <v>0</v>
      </c>
      <c r="AG35" s="23"/>
      <c r="AI35">
        <v>1100751</v>
      </c>
      <c r="AJ35" s="19">
        <f t="shared" si="15"/>
        <v>1100751</v>
      </c>
      <c r="AK35" s="19">
        <f>SUMIF(Table4[Component],AJ35,Table4[Qty of Cutters in these MATs])</f>
        <v>22</v>
      </c>
      <c r="AL35" s="19">
        <f>SUMIF(Table4[Component],AJ35,Table4[Required For Braze Cutters Check])</f>
        <v>0</v>
      </c>
      <c r="AM35" s="19">
        <f ca="1">IFERROR(INDEX('Cutters Inventory 12-30-2025'!A:W,MATCH($AI35,'Cutters Inventory 12-30-2025'!B:B,0),14),0)</f>
        <v>30</v>
      </c>
      <c r="AN35" s="19">
        <f ca="1">Table5[[#This Row],[INV. QTY]]-Table5[[#This Row],[Required For Braze Cutters Check]]</f>
        <v>30</v>
      </c>
      <c r="AO35" s="19" t="str">
        <f ca="1">IF($AN35&lt;0,Table5[[#This Row],[Component]],"")</f>
        <v/>
      </c>
      <c r="AS35">
        <v>1100739</v>
      </c>
      <c r="AT35">
        <f t="shared" si="8"/>
        <v>1100739</v>
      </c>
      <c r="AV35" s="573">
        <f t="shared" si="12"/>
        <v>0</v>
      </c>
      <c r="AW35">
        <f t="shared" si="16"/>
        <v>0</v>
      </c>
      <c r="AY35">
        <v>1160951</v>
      </c>
      <c r="AZ35" t="str">
        <v>1221158M</v>
      </c>
      <c r="BA35" t="str">
        <f t="shared" si="14"/>
        <v>1221158M</v>
      </c>
      <c r="BC35" s="159">
        <f>IFERROR(VLOOKUP(BA:BA,Table4[],8,FALSE),Table6[[#This Row],[Not Exist BOM''s]])</f>
        <v>0</v>
      </c>
    </row>
    <row r="36" spans="1:55" ht="24.75" customHeight="1" x14ac:dyDescent="0.3">
      <c r="A36" s="109"/>
      <c r="B36" s="608"/>
      <c r="C36" s="109">
        <v>13902285</v>
      </c>
      <c r="D36" s="109" t="s">
        <v>316</v>
      </c>
      <c r="E36" s="109" t="s">
        <v>317</v>
      </c>
      <c r="F36" s="109"/>
      <c r="G36" s="109"/>
      <c r="H36" s="140">
        <v>1197910</v>
      </c>
      <c r="I36" s="140">
        <v>1190973</v>
      </c>
      <c r="J36" s="26">
        <f>IF(H36&lt;&gt;"",IF(AND(C36&lt;&gt;"",IFERROR(MATCH(C36,Table10[Serial No.],0),0)),0,1),0)</f>
        <v>1</v>
      </c>
      <c r="K36" s="21"/>
      <c r="L36" s="539" t="str">
        <f t="shared" ca="1" si="7"/>
        <v/>
      </c>
      <c r="N36">
        <v>1254762</v>
      </c>
      <c r="O36" s="28">
        <f t="shared" si="0"/>
        <v>1254762</v>
      </c>
      <c r="P36" s="28">
        <f>SUMIF(Table1[LEVEL 5 MAT NO.],N36,Table1[Quantity])</f>
        <v>5</v>
      </c>
      <c r="Q36" s="479" t="str" cm="1">
        <f t="array" aca="1" ref="Q36" ca="1">_xlfn.TEXTJOIN(", ", TRUE, IF(($S$2:$S$485 = O36) * ($AF$2:$AF$485 &lt; 0), $W$2:$W$485&amp;" "&amp;$X$2:$X$485, ""))</f>
        <v/>
      </c>
      <c r="S36" s="281">
        <v>1056029</v>
      </c>
      <c r="T36" s="278" t="s">
        <v>313</v>
      </c>
      <c r="U36" s="278" t="s">
        <v>465</v>
      </c>
      <c r="V36" s="25">
        <v>4</v>
      </c>
      <c r="W36" s="284">
        <v>418525</v>
      </c>
      <c r="X36" s="19" t="str">
        <f>IFERROR(INDEX(Table14[],MATCH($W36,Table14[SAPNo],0),3),"")</f>
        <v>Drop In 1308 CT31   (B)</v>
      </c>
      <c r="Y36" s="284">
        <v>7</v>
      </c>
      <c r="Z36" s="25">
        <f t="shared" si="1"/>
        <v>0</v>
      </c>
      <c r="AA36" s="25">
        <f t="shared" si="2"/>
        <v>0</v>
      </c>
      <c r="AB36" s="23">
        <f ca="1">IFERROR(INDEX('Cutters Inventory 12-30-2025'!A:W,MATCH($W36,'Cutters Inventory 12-30-2025'!B:B,0),14),0)</f>
        <v>933</v>
      </c>
      <c r="AC36" s="23">
        <f>SUMIF(Table1[LEVEL 5 MAT NO.],S36,Table1[Braze Plan])</f>
        <v>0</v>
      </c>
      <c r="AD36" s="23">
        <f>Table4[[#This Row],[Quantity]]*Table4[[#This Row],[Bits Braze Plan]]</f>
        <v>0</v>
      </c>
      <c r="AE36" s="23">
        <f ca="1">Table4[[#This Row],[INV. QTY]]-Table4[[#This Row],[Required For Braze Cutters Check]]</f>
        <v>933</v>
      </c>
      <c r="AF36" s="23">
        <f t="shared" ca="1" si="3"/>
        <v>933</v>
      </c>
      <c r="AG36" s="23"/>
      <c r="AI36">
        <v>1100753</v>
      </c>
      <c r="AJ36" s="19">
        <f t="shared" si="15"/>
        <v>1100753</v>
      </c>
      <c r="AK36" s="19">
        <f>SUMIF(Table4[Component],AJ36,Table4[Qty of Cutters in these MATs])</f>
        <v>12</v>
      </c>
      <c r="AL36" s="19">
        <f>SUMIF(Table4[Component],AJ36,Table4[Required For Braze Cutters Check])</f>
        <v>0</v>
      </c>
      <c r="AM36" s="19">
        <f ca="1">IFERROR(INDEX('Cutters Inventory 12-30-2025'!A:W,MATCH($AI36,'Cutters Inventory 12-30-2025'!B:B,0),14),0)</f>
        <v>29</v>
      </c>
      <c r="AN36" s="19">
        <f ca="1">Table5[[#This Row],[INV. QTY]]-Table5[[#This Row],[Required For Braze Cutters Check]]</f>
        <v>29</v>
      </c>
      <c r="AO36" s="19" t="str">
        <f ca="1">IF($AN36&lt;0,Table5[[#This Row],[Component]],"")</f>
        <v/>
      </c>
      <c r="AS36">
        <v>1100751</v>
      </c>
      <c r="AT36">
        <f t="shared" si="8"/>
        <v>1100751</v>
      </c>
      <c r="AV36" s="573">
        <f t="shared" ref="AV36:AV40" si="17">IFERROR(AU36,"")</f>
        <v>0</v>
      </c>
      <c r="AW36">
        <f t="shared" si="16"/>
        <v>0</v>
      </c>
      <c r="AY36">
        <v>1174282</v>
      </c>
      <c r="AZ36" t="str">
        <v>1223749M</v>
      </c>
      <c r="BA36" t="str">
        <f t="shared" ref="BA36:BA41" si="18">IFERROR(AZ36,"")</f>
        <v>1223749M</v>
      </c>
      <c r="BC36" s="159">
        <f>IFERROR(VLOOKUP(BA:BA,Table4[],8,FALSE),Table6[[#This Row],[Not Exist BOM''s]])</f>
        <v>0</v>
      </c>
    </row>
    <row r="37" spans="1:55" ht="24.75" customHeight="1" x14ac:dyDescent="0.3">
      <c r="A37" s="109"/>
      <c r="B37" s="608"/>
      <c r="C37" s="109">
        <v>13903295</v>
      </c>
      <c r="D37" s="21" t="s">
        <v>316</v>
      </c>
      <c r="E37" s="21" t="s">
        <v>318</v>
      </c>
      <c r="F37" s="109"/>
      <c r="H37" s="19">
        <v>1145823</v>
      </c>
      <c r="I37" s="140">
        <v>1033011</v>
      </c>
      <c r="J37" s="26">
        <f>IF(H37&lt;&gt;"",IF(AND(C37&lt;&gt;"",IFERROR(MATCH(C37,Table10[Serial No.],0),0)),0,1),0)</f>
        <v>0</v>
      </c>
      <c r="K37" s="21"/>
      <c r="L37" s="539" t="str">
        <f t="shared" ca="1" si="7"/>
        <v/>
      </c>
      <c r="N37">
        <v>1257458</v>
      </c>
      <c r="O37" s="28">
        <f t="shared" si="0"/>
        <v>1257458</v>
      </c>
      <c r="P37" s="28">
        <f>SUMIF(Table1[LEVEL 5 MAT NO.],N37,Table1[Quantity])</f>
        <v>4</v>
      </c>
      <c r="Q37" s="479" t="str" cm="1">
        <f t="array" aca="1" ref="Q37" ca="1">_xlfn.TEXTJOIN(", ", TRUE, IF(($S$2:$S$485 = O37) * ($AF$2:$AF$485 &lt; 0), $W$2:$W$485&amp;" "&amp;$X$2:$X$485, ""))</f>
        <v/>
      </c>
      <c r="S37" s="281">
        <v>1058252</v>
      </c>
      <c r="T37" s="278" t="s">
        <v>316</v>
      </c>
      <c r="U37" s="278" t="s">
        <v>291</v>
      </c>
      <c r="V37" s="25">
        <v>1</v>
      </c>
      <c r="W37" s="284">
        <v>1126402</v>
      </c>
      <c r="X37" s="19" t="str">
        <f>IFERROR(INDEX(Table14[],MATCH($W37,Table14[SAPNo],0),3),"")</f>
        <v>1613 CT421 16-60</v>
      </c>
      <c r="Y37" s="284">
        <v>147</v>
      </c>
      <c r="Z37" s="25">
        <f t="shared" si="1"/>
        <v>4</v>
      </c>
      <c r="AA37" s="25">
        <f t="shared" si="2"/>
        <v>588</v>
      </c>
      <c r="AB37" s="23">
        <f ca="1">IFERROR(INDEX('Cutters Inventory 12-30-2025'!A:W,MATCH($W37,'Cutters Inventory 12-30-2025'!B:B,0),14),0)</f>
        <v>422</v>
      </c>
      <c r="AC37" s="23">
        <f>SUMIF(Table1[LEVEL 5 MAT NO.],S37,Table1[Braze Plan])</f>
        <v>0</v>
      </c>
      <c r="AD37" s="23">
        <f>Table4[[#This Row],[Quantity]]*Table4[[#This Row],[Bits Braze Plan]]</f>
        <v>0</v>
      </c>
      <c r="AE37" s="23">
        <f ca="1">Table4[[#This Row],[INV. QTY]]-Table4[[#This Row],[Required For Braze Cutters Check]]</f>
        <v>422</v>
      </c>
      <c r="AF37" s="23">
        <f t="shared" ca="1" si="3"/>
        <v>422</v>
      </c>
      <c r="AG37" s="23"/>
      <c r="AI37">
        <v>1101509</v>
      </c>
      <c r="AJ37" s="19">
        <f t="shared" si="15"/>
        <v>1101509</v>
      </c>
      <c r="AK37" s="19">
        <f>SUMIF(Table4[Component],AJ37,Table4[Qty of Cutters in these MATs])</f>
        <v>63</v>
      </c>
      <c r="AL37" s="19">
        <f>SUMIF(Table4[Component],AJ37,Table4[Required For Braze Cutters Check])</f>
        <v>0</v>
      </c>
      <c r="AM37" s="19">
        <f ca="1">IFERROR(INDEX('Cutters Inventory 12-30-2025'!A:W,MATCH($AI37,'Cutters Inventory 12-30-2025'!B:B,0),14),0)</f>
        <v>66</v>
      </c>
      <c r="AN37" s="19">
        <f ca="1">Table5[[#This Row],[INV. QTY]]-Table5[[#This Row],[Required For Braze Cutters Check]]</f>
        <v>66</v>
      </c>
      <c r="AO37" s="19" t="str">
        <f ca="1">IF($AN37&lt;0,Table5[[#This Row],[Component]],"")</f>
        <v/>
      </c>
      <c r="AS37">
        <v>1100753</v>
      </c>
      <c r="AT37">
        <f t="shared" si="8"/>
        <v>1100753</v>
      </c>
      <c r="AV37" s="573">
        <f t="shared" si="17"/>
        <v>0</v>
      </c>
      <c r="AW37">
        <f t="shared" si="16"/>
        <v>0</v>
      </c>
      <c r="AY37">
        <v>1176003</v>
      </c>
      <c r="AZ37" t="str">
        <v>1224225M</v>
      </c>
      <c r="BA37" t="str">
        <f t="shared" si="18"/>
        <v>1224225M</v>
      </c>
      <c r="BC37" s="159">
        <f>IFERROR(VLOOKUP(BA:BA,Table4[],8,FALSE),Table6[[#This Row],[Not Exist BOM''s]])</f>
        <v>0</v>
      </c>
    </row>
    <row r="38" spans="1:55" ht="24.75" customHeight="1" x14ac:dyDescent="0.3">
      <c r="A38" s="109"/>
      <c r="B38" s="608"/>
      <c r="C38" s="109">
        <v>13910643</v>
      </c>
      <c r="D38" s="21" t="s">
        <v>637</v>
      </c>
      <c r="E38" s="21" t="s">
        <v>638</v>
      </c>
      <c r="F38" s="109"/>
      <c r="H38" s="19">
        <v>1112857</v>
      </c>
      <c r="I38" s="140">
        <v>1142907</v>
      </c>
      <c r="J38" s="26">
        <f>IF(H38&lt;&gt;"",IF(AND(C38&lt;&gt;"",IFERROR(MATCH(C38,Table10[Serial No.],0),0)),0,1),0)</f>
        <v>0</v>
      </c>
      <c r="K38" s="21"/>
      <c r="L38" s="539" t="str">
        <f t="shared" ca="1" si="7"/>
        <v/>
      </c>
      <c r="N38">
        <v>1258557</v>
      </c>
      <c r="O38" s="28">
        <f t="shared" si="0"/>
        <v>1258557</v>
      </c>
      <c r="P38" s="28">
        <f>SUMIF(Table1[LEVEL 5 MAT NO.],N38,Table1[Quantity])</f>
        <v>2</v>
      </c>
      <c r="Q38" s="479" t="str" cm="1">
        <f t="array" aca="1" ref="Q38" ca="1">_xlfn.TEXTJOIN(", ", TRUE, IF(($S$2:$S$485 = O38) * ($AF$2:$AF$485 &lt; 0), $W$2:$W$485&amp;" "&amp;$X$2:$X$485, ""))</f>
        <v/>
      </c>
      <c r="S38" s="281">
        <v>1058252</v>
      </c>
      <c r="T38" s="278" t="s">
        <v>316</v>
      </c>
      <c r="U38" s="278" t="s">
        <v>291</v>
      </c>
      <c r="V38" s="25">
        <v>2</v>
      </c>
      <c r="W38" s="284">
        <v>418525</v>
      </c>
      <c r="X38" s="19" t="str">
        <f>IFERROR(INDEX(Table14[],MATCH($W38,Table14[SAPNo],0),3),"")</f>
        <v>Drop In 1308 CT31   (B)</v>
      </c>
      <c r="Y38" s="284">
        <v>8</v>
      </c>
      <c r="Z38" s="25">
        <f t="shared" si="1"/>
        <v>4</v>
      </c>
      <c r="AA38" s="25">
        <f t="shared" si="2"/>
        <v>32</v>
      </c>
      <c r="AB38" s="23">
        <f ca="1">IFERROR(INDEX('Cutters Inventory 12-30-2025'!A:W,MATCH($W38,'Cutters Inventory 12-30-2025'!B:B,0),14),0)</f>
        <v>933</v>
      </c>
      <c r="AC38" s="23">
        <f>SUMIF(Table1[LEVEL 5 MAT NO.],S38,Table1[Braze Plan])</f>
        <v>0</v>
      </c>
      <c r="AD38" s="23">
        <f>Table4[[#This Row],[Quantity]]*Table4[[#This Row],[Bits Braze Plan]]</f>
        <v>0</v>
      </c>
      <c r="AE38" s="23">
        <f ca="1">Table4[[#This Row],[INV. QTY]]-Table4[[#This Row],[Required For Braze Cutters Check]]</f>
        <v>933</v>
      </c>
      <c r="AF38" s="23">
        <f t="shared" ca="1" si="3"/>
        <v>933</v>
      </c>
      <c r="AG38" s="23"/>
      <c r="AI38">
        <v>1104083</v>
      </c>
      <c r="AJ38" s="19">
        <f t="shared" si="15"/>
        <v>1104083</v>
      </c>
      <c r="AK38" s="19">
        <f>SUMIF(Table4[Component],AJ38,Table4[Qty of Cutters in these MATs])</f>
        <v>6</v>
      </c>
      <c r="AL38" s="19">
        <f>SUMIF(Table4[Component],AJ38,Table4[Required For Braze Cutters Check])</f>
        <v>0</v>
      </c>
      <c r="AM38" s="19">
        <f ca="1">IFERROR(INDEX('Cutters Inventory 12-30-2025'!A:W,MATCH($AI38,'Cutters Inventory 12-30-2025'!B:B,0),14),0)</f>
        <v>2</v>
      </c>
      <c r="AN38" s="19">
        <f ca="1">Table5[[#This Row],[INV. QTY]]-Table5[[#This Row],[Required For Braze Cutters Check]]</f>
        <v>2</v>
      </c>
      <c r="AO38" s="19" t="str">
        <f ca="1">IF($AN38&lt;0,Table5[[#This Row],[Component]],"")</f>
        <v/>
      </c>
      <c r="AS38">
        <v>1101509</v>
      </c>
      <c r="AT38">
        <f t="shared" si="8"/>
        <v>1101509</v>
      </c>
      <c r="AV38" s="573">
        <f t="shared" si="17"/>
        <v>0</v>
      </c>
      <c r="AW38">
        <f t="shared" si="16"/>
        <v>0</v>
      </c>
      <c r="AY38">
        <v>1268728</v>
      </c>
      <c r="AZ38" t="str">
        <v>1224750M</v>
      </c>
      <c r="BA38" t="str">
        <f t="shared" si="18"/>
        <v>1224750M</v>
      </c>
      <c r="BC38" s="159">
        <f>IFERROR(VLOOKUP(BA:BA,Table4[],8,FALSE),Table6[[#This Row],[Not Exist BOM''s]])</f>
        <v>0</v>
      </c>
    </row>
    <row r="39" spans="1:55" ht="24.75" customHeight="1" x14ac:dyDescent="0.3">
      <c r="A39" s="109"/>
      <c r="B39" s="707"/>
      <c r="C39" s="109">
        <v>13910882</v>
      </c>
      <c r="D39" s="21" t="s">
        <v>316</v>
      </c>
      <c r="E39" s="21" t="s">
        <v>317</v>
      </c>
      <c r="F39" s="109"/>
      <c r="H39" s="19">
        <v>1197910</v>
      </c>
      <c r="I39" s="140">
        <v>1190973</v>
      </c>
      <c r="J39" s="26">
        <f>IF(H39&lt;&gt;"",IF(AND(C39&lt;&gt;"",IFERROR(MATCH(C39,Table10[Serial No.],0),0)),0,1),0)</f>
        <v>1</v>
      </c>
      <c r="K39" s="21"/>
      <c r="L39" s="539" t="str">
        <f t="shared" ca="1" si="7"/>
        <v/>
      </c>
      <c r="N39">
        <v>1263805</v>
      </c>
      <c r="O39" s="28">
        <f t="shared" si="0"/>
        <v>1263805</v>
      </c>
      <c r="P39" s="28">
        <f>SUMIF(Table1[LEVEL 5 MAT NO.],N39,Table1[Quantity])</f>
        <v>2</v>
      </c>
      <c r="Q39" s="479" t="str" cm="1">
        <f t="array" aca="1" ref="Q39" ca="1">_xlfn.TEXTJOIN(", ", TRUE, IF(($S$2:$S$485 = O39) * ($AF$2:$AF$485 &lt; 0), $W$2:$W$485&amp;" "&amp;$X$2:$X$485, ""))</f>
        <v/>
      </c>
      <c r="S39" s="281">
        <v>1059290</v>
      </c>
      <c r="T39" s="278" t="s">
        <v>307</v>
      </c>
      <c r="U39" s="278" t="s">
        <v>308</v>
      </c>
      <c r="V39" s="25">
        <v>1</v>
      </c>
      <c r="W39" s="284">
        <v>971055</v>
      </c>
      <c r="X39" s="19" t="str">
        <f>IFERROR(INDEX(Table14[],MATCH($W39,Table14[SAPNo],0),3),"")</f>
        <v>MED Bullet 10.5 CT217 MBL 0.018" (B)</v>
      </c>
      <c r="Y39" s="284">
        <v>19</v>
      </c>
      <c r="Z39" s="25">
        <f t="shared" si="1"/>
        <v>0</v>
      </c>
      <c r="AA39" s="25">
        <f t="shared" si="2"/>
        <v>0</v>
      </c>
      <c r="AB39" s="23">
        <f ca="1">IFERROR(INDEX('Cutters Inventory 12-30-2025'!A:W,MATCH($W39,'Cutters Inventory 12-30-2025'!B:B,0),14),0)</f>
        <v>0</v>
      </c>
      <c r="AC39" s="23">
        <f>SUMIF(Table1[LEVEL 5 MAT NO.],S39,Table1[Braze Plan])</f>
        <v>0</v>
      </c>
      <c r="AD39" s="23">
        <f>Table4[[#This Row],[Quantity]]*Table4[[#This Row],[Bits Braze Plan]]</f>
        <v>0</v>
      </c>
      <c r="AE39" s="23">
        <f ca="1">Table4[[#This Row],[INV. QTY]]-Table4[[#This Row],[Required For Braze Cutters Check]]</f>
        <v>0</v>
      </c>
      <c r="AF39" s="23">
        <f t="shared" ca="1" si="3"/>
        <v>0</v>
      </c>
      <c r="AG39" s="23"/>
      <c r="AI39">
        <v>1104086</v>
      </c>
      <c r="AJ39" s="19">
        <f t="shared" si="15"/>
        <v>1104086</v>
      </c>
      <c r="AK39" s="19">
        <f>SUMIF(Table4[Component],AJ39,Table4[Qty of Cutters in these MATs])</f>
        <v>2</v>
      </c>
      <c r="AL39" s="19">
        <f>SUMIF(Table4[Component],AJ39,Table4[Required For Braze Cutters Check])</f>
        <v>0</v>
      </c>
      <c r="AM39" s="19">
        <f ca="1">IFERROR(INDEX('Cutters Inventory 12-30-2025'!A:W,MATCH($AI39,'Cutters Inventory 12-30-2025'!B:B,0),14),0)</f>
        <v>1</v>
      </c>
      <c r="AN39" s="19">
        <f ca="1">Table5[[#This Row],[INV. QTY]]-Table5[[#This Row],[Required For Braze Cutters Check]]</f>
        <v>1</v>
      </c>
      <c r="AO39" s="19" t="str">
        <f ca="1">IF($AN39&lt;0,Table5[[#This Row],[Component]],"")</f>
        <v/>
      </c>
      <c r="AS39">
        <v>1104083</v>
      </c>
      <c r="AT39">
        <f t="shared" si="8"/>
        <v>1104083</v>
      </c>
      <c r="AV39" s="573">
        <f t="shared" si="17"/>
        <v>0</v>
      </c>
      <c r="AW39">
        <f t="shared" si="16"/>
        <v>0</v>
      </c>
      <c r="AY39">
        <v>1176919</v>
      </c>
      <c r="AZ39" t="str">
        <v>1226735M</v>
      </c>
      <c r="BA39" t="str">
        <f t="shared" si="18"/>
        <v>1226735M</v>
      </c>
      <c r="BC39" s="159">
        <f>IFERROR(VLOOKUP(BA:BA,Table4[],8,FALSE),Table6[[#This Row],[Not Exist BOM''s]])</f>
        <v>0</v>
      </c>
    </row>
    <row r="40" spans="1:55" ht="24.75" customHeight="1" x14ac:dyDescent="0.3">
      <c r="A40" s="109"/>
      <c r="B40" s="608"/>
      <c r="C40" s="109">
        <v>13910883</v>
      </c>
      <c r="D40" s="21" t="s">
        <v>316</v>
      </c>
      <c r="E40" s="21" t="s">
        <v>317</v>
      </c>
      <c r="F40" s="109"/>
      <c r="H40" s="19">
        <v>1197910</v>
      </c>
      <c r="I40" s="140">
        <v>1190973</v>
      </c>
      <c r="J40" s="26">
        <f>IF(H40&lt;&gt;"",IF(AND(C40&lt;&gt;"",IFERROR(MATCH(C40,Table10[Serial No.],0),0)),0,1),0)</f>
        <v>1</v>
      </c>
      <c r="K40" s="21"/>
      <c r="L40" s="539" t="str">
        <f t="shared" ca="1" si="7"/>
        <v/>
      </c>
      <c r="N40">
        <v>1266749</v>
      </c>
      <c r="O40" s="28">
        <f t="shared" si="0"/>
        <v>1266749</v>
      </c>
      <c r="P40" s="28">
        <f>SUMIF(Table1[LEVEL 5 MAT NO.],N40,Table1[Quantity])</f>
        <v>2</v>
      </c>
      <c r="Q40" s="479" t="str" cm="1">
        <f t="array" aca="1" ref="Q40" ca="1">_xlfn.TEXTJOIN(", ", TRUE, IF(($S$2:$S$485 = O40) * ($AF$2:$AF$485 &lt; 0), $W$2:$W$485&amp;" "&amp;$X$2:$X$485, ""))</f>
        <v/>
      </c>
      <c r="S40" s="281">
        <v>1061407</v>
      </c>
      <c r="T40" s="278" t="s">
        <v>313</v>
      </c>
      <c r="U40" s="278" t="s">
        <v>272</v>
      </c>
      <c r="V40" s="25">
        <v>1</v>
      </c>
      <c r="W40" s="284">
        <v>1126402</v>
      </c>
      <c r="X40" s="19" t="str">
        <f>IFERROR(INDEX(Table14[],MATCH($W40,Table14[SAPNo],0),3),"")</f>
        <v>1613 CT421 16-60</v>
      </c>
      <c r="Y40" s="284">
        <v>33</v>
      </c>
      <c r="Z40" s="25">
        <f t="shared" si="1"/>
        <v>0</v>
      </c>
      <c r="AA40" s="25">
        <f t="shared" si="2"/>
        <v>0</v>
      </c>
      <c r="AB40" s="23">
        <f ca="1">IFERROR(INDEX('Cutters Inventory 12-30-2025'!A:W,MATCH($W40,'Cutters Inventory 12-30-2025'!B:B,0),14),0)</f>
        <v>422</v>
      </c>
      <c r="AC40" s="23">
        <f>SUMIF(Table1[LEVEL 5 MAT NO.],S40,Table1[Braze Plan])</f>
        <v>0</v>
      </c>
      <c r="AD40" s="23">
        <f>Table4[[#This Row],[Quantity]]*Table4[[#This Row],[Bits Braze Plan]]</f>
        <v>0</v>
      </c>
      <c r="AE40" s="23">
        <f ca="1">Table4[[#This Row],[INV. QTY]]-Table4[[#This Row],[Required For Braze Cutters Check]]</f>
        <v>422</v>
      </c>
      <c r="AF40" s="23">
        <f t="shared" ca="1" si="3"/>
        <v>422</v>
      </c>
      <c r="AG40" s="23"/>
      <c r="AI40">
        <v>1126400</v>
      </c>
      <c r="AJ40" s="19">
        <f t="shared" si="15"/>
        <v>1126400</v>
      </c>
      <c r="AK40" s="19">
        <f>SUMIF(Table4[Component],AJ40,Table4[Qty of Cutters in these MATs])</f>
        <v>14</v>
      </c>
      <c r="AL40" s="19">
        <f>SUMIF(Table4[Component],AJ40,Table4[Required For Braze Cutters Check])</f>
        <v>0</v>
      </c>
      <c r="AM40" s="19">
        <f ca="1">IFERROR(INDEX('Cutters Inventory 12-30-2025'!A:W,MATCH($AI40,'Cutters Inventory 12-30-2025'!B:B,0),14),0)</f>
        <v>44</v>
      </c>
      <c r="AN40" s="19">
        <f ca="1">Table5[[#This Row],[INV. QTY]]-Table5[[#This Row],[Required For Braze Cutters Check]]</f>
        <v>44</v>
      </c>
      <c r="AO40" s="19" t="str">
        <f ca="1">IF($AN40&lt;0,Table5[[#This Row],[Component]],"")</f>
        <v/>
      </c>
      <c r="AS40">
        <v>1104086</v>
      </c>
      <c r="AT40">
        <f t="shared" si="8"/>
        <v>1104086</v>
      </c>
      <c r="AV40" s="573">
        <f t="shared" si="17"/>
        <v>0</v>
      </c>
      <c r="AW40">
        <f t="shared" si="16"/>
        <v>0</v>
      </c>
      <c r="AY40">
        <v>1186699</v>
      </c>
      <c r="AZ40" t="str">
        <v>1228739M</v>
      </c>
      <c r="BA40" t="str">
        <f t="shared" si="18"/>
        <v>1228739M</v>
      </c>
      <c r="BC40" s="159">
        <f>IFERROR(VLOOKUP(BA:BA,Table4[],8,FALSE),Table6[[#This Row],[Not Exist BOM''s]])</f>
        <v>0</v>
      </c>
    </row>
    <row r="41" spans="1:55" ht="24.75" customHeight="1" x14ac:dyDescent="0.3">
      <c r="A41" s="109"/>
      <c r="B41" s="608"/>
      <c r="C41" s="109">
        <v>13911473</v>
      </c>
      <c r="D41" s="21" t="s">
        <v>637</v>
      </c>
      <c r="E41" s="21" t="s">
        <v>638</v>
      </c>
      <c r="F41" s="109"/>
      <c r="H41" s="19">
        <v>1112857</v>
      </c>
      <c r="I41" s="140">
        <v>1142907</v>
      </c>
      <c r="J41" s="26">
        <f>IF(H41&lt;&gt;"",IF(AND(C41&lt;&gt;"",IFERROR(MATCH(C41,Table10[Serial No.],0),0)),0,1),0)</f>
        <v>0</v>
      </c>
      <c r="K41" s="21"/>
      <c r="L41" s="539" t="str">
        <f t="shared" ca="1" si="7"/>
        <v/>
      </c>
      <c r="N41">
        <v>1267829</v>
      </c>
      <c r="O41" s="28">
        <f t="shared" si="0"/>
        <v>1267829</v>
      </c>
      <c r="P41" s="28">
        <f>SUMIF(Table1[LEVEL 5 MAT NO.],N41,Table1[Quantity])</f>
        <v>5</v>
      </c>
      <c r="Q41" s="479" t="str" cm="1">
        <f t="array" aca="1" ref="Q41" ca="1">_xlfn.TEXTJOIN(", ", TRUE, IF(($S$2:$S$485 = O41) * ($AF$2:$AF$485 &lt; 0), $W$2:$W$485&amp;" "&amp;$X$2:$X$485, ""))</f>
        <v/>
      </c>
      <c r="S41" s="281">
        <v>1061407</v>
      </c>
      <c r="T41" s="278" t="s">
        <v>313</v>
      </c>
      <c r="U41" s="278" t="s">
        <v>272</v>
      </c>
      <c r="V41" s="25">
        <v>2</v>
      </c>
      <c r="W41" s="284">
        <v>1130197</v>
      </c>
      <c r="X41" s="19" t="str">
        <f>IFERROR(INDEX(Table14[],MATCH($W41,Table14[SAPNo],0),3),"")</f>
        <v>Round 1608 CT182  0.018" (S)</v>
      </c>
      <c r="Y41" s="284">
        <v>23</v>
      </c>
      <c r="Z41" s="25">
        <f t="shared" si="1"/>
        <v>0</v>
      </c>
      <c r="AA41" s="25">
        <f t="shared" si="2"/>
        <v>0</v>
      </c>
      <c r="AB41" s="23">
        <f ca="1">IFERROR(INDEX('Cutters Inventory 12-30-2025'!A:W,MATCH($W41,'Cutters Inventory 12-30-2025'!B:B,0),14),0)</f>
        <v>39</v>
      </c>
      <c r="AC41" s="23">
        <f>SUMIF(Table1[LEVEL 5 MAT NO.],S41,Table1[Braze Plan])</f>
        <v>0</v>
      </c>
      <c r="AD41" s="23">
        <f>Table4[[#This Row],[Quantity]]*Table4[[#This Row],[Bits Braze Plan]]</f>
        <v>0</v>
      </c>
      <c r="AE41" s="23">
        <f ca="1">Table4[[#This Row],[INV. QTY]]-Table4[[#This Row],[Required For Braze Cutters Check]]</f>
        <v>39</v>
      </c>
      <c r="AF41" s="23">
        <f t="shared" ca="1" si="3"/>
        <v>39</v>
      </c>
      <c r="AG41" s="23"/>
      <c r="AI41">
        <v>1126402</v>
      </c>
      <c r="AJ41" s="19">
        <f t="shared" si="15"/>
        <v>1126402</v>
      </c>
      <c r="AK41" s="19">
        <f>SUMIF(Table4[Component],AJ41,Table4[Qty of Cutters in these MATs])</f>
        <v>3503</v>
      </c>
      <c r="AL41" s="19">
        <f>SUMIF(Table4[Component],AJ41,Table4[Required For Braze Cutters Check])</f>
        <v>0</v>
      </c>
      <c r="AM41" s="19">
        <f ca="1">IFERROR(INDEX('Cutters Inventory 12-30-2025'!A:W,MATCH($AI41,'Cutters Inventory 12-30-2025'!B:B,0),14),0)</f>
        <v>422</v>
      </c>
      <c r="AN41" s="19">
        <f ca="1">Table5[[#This Row],[INV. QTY]]-Table5[[#This Row],[Required For Braze Cutters Check]]</f>
        <v>422</v>
      </c>
      <c r="AO41" s="19" t="str">
        <f ca="1">IF($AN41&lt;0,Table5[[#This Row],[Component]],"")</f>
        <v/>
      </c>
      <c r="AS41">
        <v>1126400</v>
      </c>
      <c r="AT41">
        <f t="shared" si="8"/>
        <v>1126400</v>
      </c>
      <c r="AV41" s="573">
        <f t="shared" ref="AV41:AV72" si="19">IFERROR(AU41,"")</f>
        <v>0</v>
      </c>
      <c r="AW41">
        <f t="shared" si="16"/>
        <v>0</v>
      </c>
      <c r="AY41">
        <v>1190973</v>
      </c>
      <c r="AZ41" t="str">
        <v>1229187M</v>
      </c>
      <c r="BA41" t="str">
        <f t="shared" si="18"/>
        <v>1229187M</v>
      </c>
      <c r="BC41" s="159">
        <f>IFERROR(VLOOKUP(BA:BA,Table4[],8,FALSE),Table6[[#This Row],[Not Exist BOM''s]])</f>
        <v>0</v>
      </c>
    </row>
    <row r="42" spans="1:55" ht="24.75" customHeight="1" x14ac:dyDescent="0.3">
      <c r="A42" s="109"/>
      <c r="B42" s="608"/>
      <c r="C42" s="109">
        <v>13911474</v>
      </c>
      <c r="D42" s="645" t="s">
        <v>637</v>
      </c>
      <c r="E42" t="s">
        <v>638</v>
      </c>
      <c r="F42" s="109"/>
      <c r="G42"/>
      <c r="H42" s="28">
        <v>1112857</v>
      </c>
      <c r="I42" s="140">
        <v>1142907</v>
      </c>
      <c r="J42" s="26">
        <f>IF(H42&lt;&gt;"",IF(AND(C42&lt;&gt;"",IFERROR(MATCH(C42,Table10[Serial No.],0),0)),0,1),0)</f>
        <v>0</v>
      </c>
      <c r="K42" s="21"/>
      <c r="L42" s="539" t="str">
        <f t="shared" ca="1" si="7"/>
        <v/>
      </c>
      <c r="N42">
        <v>1268728</v>
      </c>
      <c r="O42" s="28">
        <f t="shared" si="0"/>
        <v>1268728</v>
      </c>
      <c r="P42" s="28">
        <f>SUMIF(Table1[LEVEL 5 MAT NO.],N42,Table1[Quantity])</f>
        <v>5</v>
      </c>
      <c r="Q42" s="479" t="str" cm="1">
        <f t="array" aca="1" ref="Q42" ca="1">_xlfn.TEXTJOIN(", ", TRUE, IF(($S$2:$S$485 = O42) * ($AF$2:$AF$485 &lt; 0), $W$2:$W$485&amp;" "&amp;$X$2:$X$485, ""))</f>
        <v/>
      </c>
      <c r="S42" s="281">
        <v>1061407</v>
      </c>
      <c r="T42" s="278" t="s">
        <v>313</v>
      </c>
      <c r="U42" s="278" t="s">
        <v>272</v>
      </c>
      <c r="V42" s="25">
        <v>3</v>
      </c>
      <c r="W42" s="284">
        <v>418525</v>
      </c>
      <c r="X42" s="19" t="str">
        <f>IFERROR(INDEX(Table14[],MATCH($W42,Table14[SAPNo],0),3),"")</f>
        <v>Drop In 1308 CT31   (B)</v>
      </c>
      <c r="Y42" s="284">
        <v>6</v>
      </c>
      <c r="Z42" s="25">
        <f t="shared" si="1"/>
        <v>0</v>
      </c>
      <c r="AA42" s="25">
        <f t="shared" si="2"/>
        <v>0</v>
      </c>
      <c r="AB42" s="23">
        <f ca="1">IFERROR(INDEX('Cutters Inventory 12-30-2025'!A:W,MATCH($W42,'Cutters Inventory 12-30-2025'!B:B,0),14),0)</f>
        <v>933</v>
      </c>
      <c r="AC42" s="23">
        <f>SUMIF(Table1[LEVEL 5 MAT NO.],S42,Table1[Braze Plan])</f>
        <v>0</v>
      </c>
      <c r="AD42" s="23">
        <f>Table4[[#This Row],[Quantity]]*Table4[[#This Row],[Bits Braze Plan]]</f>
        <v>0</v>
      </c>
      <c r="AE42" s="23">
        <f ca="1">Table4[[#This Row],[INV. QTY]]-Table4[[#This Row],[Required For Braze Cutters Check]]</f>
        <v>933</v>
      </c>
      <c r="AF42" s="23">
        <f t="shared" ca="1" si="3"/>
        <v>933</v>
      </c>
      <c r="AG42" s="23"/>
      <c r="AI42">
        <v>1126404</v>
      </c>
      <c r="AJ42" s="19">
        <f t="shared" si="15"/>
        <v>1126404</v>
      </c>
      <c r="AK42" s="19">
        <f>SUMIF(Table4[Component],AJ42,Table4[Qty of Cutters in these MATs])</f>
        <v>390</v>
      </c>
      <c r="AL42" s="19">
        <f>SUMIF(Table4[Component],AJ42,Table4[Required For Braze Cutters Check])</f>
        <v>0</v>
      </c>
      <c r="AM42" s="19">
        <f ca="1">IFERROR(INDEX('Cutters Inventory 12-30-2025'!A:W,MATCH($AI42,'Cutters Inventory 12-30-2025'!B:B,0),14),0)</f>
        <v>0</v>
      </c>
      <c r="AN42" s="19">
        <f ca="1">Table5[[#This Row],[INV. QTY]]-Table5[[#This Row],[Required For Braze Cutters Check]]</f>
        <v>0</v>
      </c>
      <c r="AO42" s="19" t="str">
        <f ca="1">IF($AN42&lt;0,Table5[[#This Row],[Component]],"")</f>
        <v/>
      </c>
      <c r="AS42">
        <v>1126402</v>
      </c>
      <c r="AT42">
        <f t="shared" si="8"/>
        <v>1126402</v>
      </c>
      <c r="AV42" s="573">
        <f t="shared" si="19"/>
        <v>0</v>
      </c>
      <c r="AW42">
        <f t="shared" si="16"/>
        <v>0</v>
      </c>
      <c r="AY42">
        <v>1201053</v>
      </c>
      <c r="AZ42" t="str">
        <v>1234376M</v>
      </c>
      <c r="BA42" t="str">
        <f t="shared" ref="BA42:BA57" si="20">IFERROR(AZ42,"")</f>
        <v>1234376M</v>
      </c>
      <c r="BC42" s="159">
        <f>IFERROR(VLOOKUP(BA:BA,Table4[],8,FALSE),Table6[[#This Row],[Not Exist BOM''s]])</f>
        <v>0</v>
      </c>
    </row>
    <row r="43" spans="1:55" ht="24.75" customHeight="1" x14ac:dyDescent="0.3">
      <c r="A43" s="109"/>
      <c r="B43" s="608"/>
      <c r="C43" s="109">
        <v>13913123</v>
      </c>
      <c r="D43" s="138" t="s">
        <v>637</v>
      </c>
      <c r="E43" s="138" t="s">
        <v>638</v>
      </c>
      <c r="F43" s="109"/>
      <c r="G43" s="138"/>
      <c r="H43" s="143">
        <v>1112857</v>
      </c>
      <c r="I43" s="141">
        <v>1142907</v>
      </c>
      <c r="J43" s="26">
        <f>IF(H43&lt;&gt;"",IF(AND(C43&lt;&gt;"",IFERROR(MATCH(C43,Table10[Serial No.],0),0)),0,1),0)</f>
        <v>0</v>
      </c>
      <c r="K43" s="21"/>
      <c r="L43" s="539" t="str">
        <f t="shared" ca="1" si="7"/>
        <v/>
      </c>
      <c r="N43">
        <v>1269308</v>
      </c>
      <c r="O43" s="28">
        <f t="shared" si="0"/>
        <v>1269308</v>
      </c>
      <c r="P43" s="28">
        <f>SUMIF(Table1[LEVEL 5 MAT NO.],N43,Table1[Quantity])</f>
        <v>1</v>
      </c>
      <c r="Q43" s="479" t="str" cm="1">
        <f t="array" aca="1" ref="Q43" ca="1">_xlfn.TEXTJOIN(", ", TRUE, IF(($S$2:$S$485 = O43) * ($AF$2:$AF$485 &lt; 0), $W$2:$W$485&amp;" "&amp;$X$2:$X$485, ""))</f>
        <v/>
      </c>
      <c r="S43" s="281">
        <v>1080537</v>
      </c>
      <c r="T43" s="278" t="s">
        <v>313</v>
      </c>
      <c r="U43" s="278" t="s">
        <v>314</v>
      </c>
      <c r="V43" s="25">
        <v>1</v>
      </c>
      <c r="W43" s="284">
        <v>1126402</v>
      </c>
      <c r="X43" s="19" t="str">
        <f>IFERROR(INDEX(Table14[],MATCH($W43,Table14[SAPNo],0),3),"")</f>
        <v>1613 CT421 16-60</v>
      </c>
      <c r="Y43" s="284">
        <v>33</v>
      </c>
      <c r="Z43" s="25">
        <f t="shared" si="1"/>
        <v>0</v>
      </c>
      <c r="AA43" s="25">
        <f t="shared" si="2"/>
        <v>0</v>
      </c>
      <c r="AB43" s="23">
        <f ca="1">IFERROR(INDEX('Cutters Inventory 12-30-2025'!A:W,MATCH($W43,'Cutters Inventory 12-30-2025'!B:B,0),14),0)</f>
        <v>422</v>
      </c>
      <c r="AC43" s="23">
        <f>SUMIF(Table1[LEVEL 5 MAT NO.],S43,Table1[Braze Plan])</f>
        <v>0</v>
      </c>
      <c r="AD43" s="23">
        <f>Table4[[#This Row],[Quantity]]*Table4[[#This Row],[Bits Braze Plan]]</f>
        <v>0</v>
      </c>
      <c r="AE43" s="23">
        <f ca="1">Table4[[#This Row],[INV. QTY]]-Table4[[#This Row],[Required For Braze Cutters Check]]</f>
        <v>422</v>
      </c>
      <c r="AF43" s="23">
        <f t="shared" ca="1" si="3"/>
        <v>422</v>
      </c>
      <c r="AG43" s="23"/>
      <c r="AI43">
        <v>1129936</v>
      </c>
      <c r="AJ43" s="19">
        <f t="shared" si="15"/>
        <v>1129936</v>
      </c>
      <c r="AK43" s="19">
        <f>SUMIF(Table4[Component],AJ43,Table4[Qty of Cutters in these MATs])</f>
        <v>0</v>
      </c>
      <c r="AL43" s="19">
        <f>SUMIF(Table4[Component],AJ43,Table4[Required For Braze Cutters Check])</f>
        <v>0</v>
      </c>
      <c r="AM43" s="19">
        <f ca="1">IFERROR(INDEX('Cutters Inventory 12-30-2025'!A:W,MATCH($AI43,'Cutters Inventory 12-30-2025'!B:B,0),14),0)</f>
        <v>0</v>
      </c>
      <c r="AN43" s="19">
        <f ca="1">Table5[[#This Row],[INV. QTY]]-Table5[[#This Row],[Required For Braze Cutters Check]]</f>
        <v>0</v>
      </c>
      <c r="AO43" s="19" t="str">
        <f ca="1">IF($AN43&lt;0,Table5[[#This Row],[Component]],"")</f>
        <v/>
      </c>
      <c r="AS43">
        <v>1126404</v>
      </c>
      <c r="AT43">
        <f t="shared" si="8"/>
        <v>1126404</v>
      </c>
      <c r="AV43" s="573">
        <f t="shared" si="19"/>
        <v>0</v>
      </c>
      <c r="AW43">
        <f t="shared" si="16"/>
        <v>0</v>
      </c>
      <c r="AY43">
        <v>1201087</v>
      </c>
      <c r="AZ43" t="str">
        <v>1245350M4</v>
      </c>
      <c r="BA43" t="str">
        <f t="shared" si="20"/>
        <v>1245350M4</v>
      </c>
      <c r="BC43" s="159">
        <f>IFERROR(VLOOKUP(BA:BA,Table4[],8,FALSE),Table6[[#This Row],[Not Exist BOM''s]])</f>
        <v>0</v>
      </c>
    </row>
    <row r="44" spans="1:55" ht="24.75" customHeight="1" x14ac:dyDescent="0.3">
      <c r="A44" s="109"/>
      <c r="B44" s="608"/>
      <c r="C44" s="109">
        <v>13914967</v>
      </c>
      <c r="D44" s="138" t="s">
        <v>637</v>
      </c>
      <c r="E44" s="138" t="s">
        <v>638</v>
      </c>
      <c r="F44" s="109"/>
      <c r="G44" s="138"/>
      <c r="H44" s="143">
        <v>1112857</v>
      </c>
      <c r="I44" s="140">
        <v>1142907</v>
      </c>
      <c r="J44" s="26">
        <f>IF(H44&lt;&gt;"",IF(AND(C44&lt;&gt;"",IFERROR(MATCH(C44,Table10[Serial No.],0),0)),0,1),0)</f>
        <v>0</v>
      </c>
      <c r="K44" s="21"/>
      <c r="L44" s="539" t="str">
        <f t="shared" ca="1" si="7"/>
        <v/>
      </c>
      <c r="N44">
        <v>1272498</v>
      </c>
      <c r="O44" s="28">
        <f t="shared" si="0"/>
        <v>1272498</v>
      </c>
      <c r="P44" s="28">
        <f>SUMIF(Table1[LEVEL 5 MAT NO.],N44,Table1[Quantity])</f>
        <v>3</v>
      </c>
      <c r="Q44" s="479" t="str" cm="1">
        <f t="array" aca="1" ref="Q44" ca="1">_xlfn.TEXTJOIN(", ", TRUE, IF(($S$2:$S$485 = O44) * ($AF$2:$AF$485 &lt; 0), $W$2:$W$485&amp;" "&amp;$X$2:$X$485, ""))</f>
        <v/>
      </c>
      <c r="S44" s="281">
        <v>1080537</v>
      </c>
      <c r="T44" s="278" t="s">
        <v>313</v>
      </c>
      <c r="U44" s="278" t="s">
        <v>314</v>
      </c>
      <c r="V44" s="25">
        <v>2</v>
      </c>
      <c r="W44" s="284">
        <v>647435</v>
      </c>
      <c r="X44" s="19" t="str">
        <f>IFERROR(INDEX(Table14[],MATCH($W44,Table14[SAPNo],0),3),"")</f>
        <v>Round 1608 CT200  0.018" (B)</v>
      </c>
      <c r="Y44" s="284">
        <v>23</v>
      </c>
      <c r="Z44" s="25">
        <f t="shared" si="1"/>
        <v>0</v>
      </c>
      <c r="AA44" s="25">
        <f t="shared" si="2"/>
        <v>0</v>
      </c>
      <c r="AB44" s="23">
        <f ca="1">IFERROR(INDEX('Cutters Inventory 12-30-2025'!A:W,MATCH($W44,'Cutters Inventory 12-30-2025'!B:B,0),14),0)</f>
        <v>284</v>
      </c>
      <c r="AC44" s="23">
        <f>SUMIF(Table1[LEVEL 5 MAT NO.],S44,Table1[Braze Plan])</f>
        <v>0</v>
      </c>
      <c r="AD44" s="23">
        <f>Table4[[#This Row],[Quantity]]*Table4[[#This Row],[Bits Braze Plan]]</f>
        <v>0</v>
      </c>
      <c r="AE44" s="23">
        <f ca="1">Table4[[#This Row],[INV. QTY]]-Table4[[#This Row],[Required For Braze Cutters Check]]</f>
        <v>284</v>
      </c>
      <c r="AF44" s="23">
        <f t="shared" ca="1" si="3"/>
        <v>284</v>
      </c>
      <c r="AG44" s="23"/>
      <c r="AI44">
        <v>1130193</v>
      </c>
      <c r="AJ44" s="19">
        <f t="shared" si="15"/>
        <v>1130193</v>
      </c>
      <c r="AK44" s="19">
        <f>SUMIF(Table4[Component],AJ44,Table4[Qty of Cutters in these MATs])</f>
        <v>64</v>
      </c>
      <c r="AL44" s="19">
        <f>SUMIF(Table4[Component],AJ44,Table4[Required For Braze Cutters Check])</f>
        <v>0</v>
      </c>
      <c r="AM44" s="19">
        <f ca="1">IFERROR(INDEX('Cutters Inventory 12-30-2025'!A:W,MATCH($AI44,'Cutters Inventory 12-30-2025'!B:B,0),14),0)</f>
        <v>3</v>
      </c>
      <c r="AN44" s="19">
        <f ca="1">Table5[[#This Row],[INV. QTY]]-Table5[[#This Row],[Required For Braze Cutters Check]]</f>
        <v>3</v>
      </c>
      <c r="AO44" s="19" t="str">
        <f ca="1">IF($AN44&lt;0,Table5[[#This Row],[Component]],"")</f>
        <v/>
      </c>
      <c r="AS44">
        <v>1129936</v>
      </c>
      <c r="AT44">
        <f t="shared" si="8"/>
        <v>1129936</v>
      </c>
      <c r="AV44" s="573">
        <f t="shared" si="19"/>
        <v>0</v>
      </c>
      <c r="AW44">
        <f t="shared" si="16"/>
        <v>0</v>
      </c>
      <c r="AY44">
        <v>1207425</v>
      </c>
      <c r="AZ44" t="str">
        <v>1252168M</v>
      </c>
      <c r="BA44" t="str">
        <f t="shared" si="20"/>
        <v>1252168M</v>
      </c>
      <c r="BC44" s="159">
        <f>IFERROR(VLOOKUP(BA:BA,Table4[],8,FALSE),Table6[[#This Row],[Not Exist BOM''s]])</f>
        <v>0</v>
      </c>
    </row>
    <row r="45" spans="1:55" ht="24.75" customHeight="1" x14ac:dyDescent="0.3">
      <c r="A45" s="109"/>
      <c r="B45" s="608"/>
      <c r="C45" s="109">
        <v>13914968</v>
      </c>
      <c r="D45" s="139" t="s">
        <v>637</v>
      </c>
      <c r="E45" s="138" t="s">
        <v>638</v>
      </c>
      <c r="F45" s="109"/>
      <c r="G45" s="138"/>
      <c r="H45" s="143">
        <v>1112857</v>
      </c>
      <c r="I45" s="140">
        <v>1142907</v>
      </c>
      <c r="J45" s="26">
        <f>IF(H45&lt;&gt;"",IF(AND(C45&lt;&gt;"",IFERROR(MATCH(C45,Table10[Serial No.],0),0)),0,1),0)</f>
        <v>0</v>
      </c>
      <c r="K45" s="21"/>
      <c r="L45" s="539" t="str">
        <f t="shared" ca="1" si="7"/>
        <v/>
      </c>
      <c r="N45">
        <v>1276939</v>
      </c>
      <c r="O45" s="28">
        <f t="shared" si="0"/>
        <v>1276939</v>
      </c>
      <c r="P45" s="28">
        <f>SUMIF(Table1[LEVEL 5 MAT NO.],N45,Table1[Quantity])</f>
        <v>9</v>
      </c>
      <c r="Q45" s="479" t="str" cm="1">
        <f t="array" aca="1" ref="Q45" ca="1">_xlfn.TEXTJOIN(", ", TRUE, IF(($S$2:$S$485 = O45) * ($AF$2:$AF$485 &lt; 0), $W$2:$W$485&amp;" "&amp;$X$2:$X$485, ""))</f>
        <v/>
      </c>
      <c r="S45" s="281">
        <v>1080537</v>
      </c>
      <c r="T45" s="278" t="s">
        <v>313</v>
      </c>
      <c r="U45" s="278" t="s">
        <v>314</v>
      </c>
      <c r="V45" s="25">
        <v>3</v>
      </c>
      <c r="W45" s="284">
        <v>418525</v>
      </c>
      <c r="X45" s="19" t="str">
        <f>IFERROR(INDEX(Table14[],MATCH($W45,Table14[SAPNo],0),3),"")</f>
        <v>Drop In 1308 CT31   (B)</v>
      </c>
      <c r="Y45" s="284">
        <v>6</v>
      </c>
      <c r="Z45" s="25">
        <f t="shared" si="1"/>
        <v>0</v>
      </c>
      <c r="AA45" s="25">
        <f t="shared" si="2"/>
        <v>0</v>
      </c>
      <c r="AB45" s="23">
        <f ca="1">IFERROR(INDEX('Cutters Inventory 12-30-2025'!A:W,MATCH($W45,'Cutters Inventory 12-30-2025'!B:B,0),14),0)</f>
        <v>933</v>
      </c>
      <c r="AC45" s="23">
        <f>SUMIF(Table1[LEVEL 5 MAT NO.],S45,Table1[Braze Plan])</f>
        <v>0</v>
      </c>
      <c r="AD45" s="23">
        <f>Table4[[#This Row],[Quantity]]*Table4[[#This Row],[Bits Braze Plan]]</f>
        <v>0</v>
      </c>
      <c r="AE45" s="23">
        <f ca="1">Table4[[#This Row],[INV. QTY]]-Table4[[#This Row],[Required For Braze Cutters Check]]</f>
        <v>933</v>
      </c>
      <c r="AF45" s="23">
        <f t="shared" ca="1" si="3"/>
        <v>933</v>
      </c>
      <c r="AG45" s="23"/>
      <c r="AI45">
        <v>1130196</v>
      </c>
      <c r="AJ45" s="19">
        <f t="shared" si="15"/>
        <v>1130196</v>
      </c>
      <c r="AK45" s="19">
        <f>SUMIF(Table4[Component],AJ45,Table4[Qty of Cutters in these MATs])</f>
        <v>77</v>
      </c>
      <c r="AL45" s="19">
        <f>SUMIF(Table4[Component],AJ45,Table4[Required For Braze Cutters Check])</f>
        <v>0</v>
      </c>
      <c r="AM45" s="19">
        <f ca="1">IFERROR(INDEX('Cutters Inventory 12-30-2025'!A:W,MATCH($AI45,'Cutters Inventory 12-30-2025'!B:B,0),14),0)</f>
        <v>6</v>
      </c>
      <c r="AN45" s="19">
        <f ca="1">Table5[[#This Row],[INV. QTY]]-Table5[[#This Row],[Required For Braze Cutters Check]]</f>
        <v>6</v>
      </c>
      <c r="AO45" s="19" t="str">
        <f ca="1">IF($AN45&lt;0,Table5[[#This Row],[Component]],"")</f>
        <v/>
      </c>
      <c r="AS45">
        <v>1130193</v>
      </c>
      <c r="AT45">
        <f t="shared" si="8"/>
        <v>1130193</v>
      </c>
      <c r="AV45" s="573">
        <f t="shared" si="19"/>
        <v>0</v>
      </c>
      <c r="AW45">
        <f t="shared" si="16"/>
        <v>0</v>
      </c>
      <c r="AY45">
        <v>1207508</v>
      </c>
      <c r="AZ45" t="str">
        <v>1259957M</v>
      </c>
      <c r="BA45" t="str">
        <f t="shared" si="20"/>
        <v>1259957M</v>
      </c>
      <c r="BC45" s="159">
        <f>IFERROR(VLOOKUP(BA:BA,Table4[],8,FALSE),Table6[[#This Row],[Not Exist BOM''s]])</f>
        <v>0</v>
      </c>
    </row>
    <row r="46" spans="1:55" ht="24.75" customHeight="1" x14ac:dyDescent="0.3">
      <c r="A46" s="109"/>
      <c r="B46" s="608"/>
      <c r="C46" s="109">
        <v>13917051</v>
      </c>
      <c r="D46" s="139" t="s">
        <v>637</v>
      </c>
      <c r="E46" s="138" t="s">
        <v>638</v>
      </c>
      <c r="F46" s="109"/>
      <c r="G46" s="109"/>
      <c r="H46" s="143">
        <v>1112857</v>
      </c>
      <c r="I46" s="140">
        <v>1142907</v>
      </c>
      <c r="J46" s="26">
        <f>IF(H46&lt;&gt;"",IF(AND(C46&lt;&gt;"",IFERROR(MATCH(C46,Table10[Serial No.],0),0)),0,1),0)</f>
        <v>0</v>
      </c>
      <c r="K46" s="21"/>
      <c r="L46" s="539" t="str">
        <f t="shared" ca="1" si="7"/>
        <v/>
      </c>
      <c r="N46">
        <v>1283277</v>
      </c>
      <c r="O46" s="28">
        <f t="shared" si="0"/>
        <v>1283277</v>
      </c>
      <c r="P46" s="28">
        <f>SUMIF(Table1[LEVEL 5 MAT NO.],N46,Table1[Quantity])</f>
        <v>2</v>
      </c>
      <c r="Q46" s="479" t="str" cm="1">
        <f t="array" aca="1" ref="Q46" ca="1">_xlfn.TEXTJOIN(", ", TRUE, IF(($S$2:$S$485 = O46) * ($AF$2:$AF$485 &lt; 0), $W$2:$W$485&amp;" "&amp;$X$2:$X$485, ""))</f>
        <v/>
      </c>
      <c r="S46" s="281">
        <v>1083564</v>
      </c>
      <c r="T46" s="278" t="s">
        <v>313</v>
      </c>
      <c r="U46" s="278" t="s">
        <v>272</v>
      </c>
      <c r="V46" s="25">
        <v>1</v>
      </c>
      <c r="W46" s="284">
        <v>1126402</v>
      </c>
      <c r="X46" s="19" t="str">
        <f>IFERROR(INDEX(Table14[],MATCH($W46,Table14[SAPNo],0),3),"")</f>
        <v>1613 CT421 16-60</v>
      </c>
      <c r="Y46" s="284">
        <v>24</v>
      </c>
      <c r="Z46" s="25">
        <f t="shared" si="1"/>
        <v>0</v>
      </c>
      <c r="AA46" s="25">
        <f t="shared" si="2"/>
        <v>0</v>
      </c>
      <c r="AB46" s="23">
        <f ca="1">IFERROR(INDEX('Cutters Inventory 12-30-2025'!A:W,MATCH($W46,'Cutters Inventory 12-30-2025'!B:B,0),14),0)</f>
        <v>422</v>
      </c>
      <c r="AC46" s="23">
        <f>SUMIF(Table1[LEVEL 5 MAT NO.],S46,Table1[Braze Plan])</f>
        <v>0</v>
      </c>
      <c r="AD46" s="23">
        <f>Table4[[#This Row],[Quantity]]*Table4[[#This Row],[Bits Braze Plan]]</f>
        <v>0</v>
      </c>
      <c r="AE46" s="23">
        <f ca="1">Table4[[#This Row],[INV. QTY]]-Table4[[#This Row],[Required For Braze Cutters Check]]</f>
        <v>422</v>
      </c>
      <c r="AF46" s="23">
        <f t="shared" ca="1" si="3"/>
        <v>422</v>
      </c>
      <c r="AG46" s="23"/>
      <c r="AI46">
        <v>1130197</v>
      </c>
      <c r="AJ46" s="19">
        <f t="shared" si="15"/>
        <v>1130197</v>
      </c>
      <c r="AK46" s="19">
        <f>SUMIF(Table4[Component],AJ46,Table4[Qty of Cutters in these MATs])</f>
        <v>80</v>
      </c>
      <c r="AL46" s="19">
        <f>SUMIF(Table4[Component],AJ46,Table4[Required For Braze Cutters Check])</f>
        <v>0</v>
      </c>
      <c r="AM46" s="19">
        <f ca="1">IFERROR(INDEX('Cutters Inventory 12-30-2025'!A:W,MATCH($AI46,'Cutters Inventory 12-30-2025'!B:B,0),14),0)</f>
        <v>39</v>
      </c>
      <c r="AN46" s="19">
        <f ca="1">Table5[[#This Row],[INV. QTY]]-Table5[[#This Row],[Required For Braze Cutters Check]]</f>
        <v>39</v>
      </c>
      <c r="AO46" s="19" t="str">
        <f ca="1">IF($AN46&lt;0,Table5[[#This Row],[Component]],"")</f>
        <v/>
      </c>
      <c r="AS46">
        <v>1130196</v>
      </c>
      <c r="AT46">
        <f t="shared" si="8"/>
        <v>1130196</v>
      </c>
      <c r="AV46" s="573">
        <f t="shared" si="19"/>
        <v>0</v>
      </c>
      <c r="AW46">
        <f t="shared" si="16"/>
        <v>0</v>
      </c>
      <c r="AY46">
        <v>1208059</v>
      </c>
      <c r="AZ46" t="str">
        <v>903299M</v>
      </c>
      <c r="BA46" t="str">
        <f t="shared" si="20"/>
        <v>903299M</v>
      </c>
      <c r="BC46" s="159">
        <f>IFERROR(VLOOKUP(BA:BA,Table4[],8,FALSE),Table6[[#This Row],[Not Exist BOM''s]])</f>
        <v>0</v>
      </c>
    </row>
    <row r="47" spans="1:55" ht="24.75" customHeight="1" x14ac:dyDescent="0.3">
      <c r="A47" s="109"/>
      <c r="B47" s="608"/>
      <c r="C47" s="109">
        <v>13918077</v>
      </c>
      <c r="D47" s="109" t="s">
        <v>316</v>
      </c>
      <c r="E47" s="109" t="s">
        <v>317</v>
      </c>
      <c r="F47" s="109"/>
      <c r="G47" s="109"/>
      <c r="H47" s="140">
        <v>1197910</v>
      </c>
      <c r="I47" s="140">
        <v>1190973</v>
      </c>
      <c r="J47" s="26">
        <f>IF(H47&lt;&gt;"",IF(AND(C47&lt;&gt;"",IFERROR(MATCH(C47,Table10[Serial No.],0),0)),0,1),0)</f>
        <v>1</v>
      </c>
      <c r="K47" s="21"/>
      <c r="L47" s="539" t="str">
        <f t="shared" ca="1" si="7"/>
        <v/>
      </c>
      <c r="N47">
        <v>1283482</v>
      </c>
      <c r="O47" s="28">
        <f t="shared" si="0"/>
        <v>1283482</v>
      </c>
      <c r="P47" s="28">
        <f>SUMIF(Table1[LEVEL 5 MAT NO.],N47,Table1[Quantity])</f>
        <v>4</v>
      </c>
      <c r="Q47" s="479" t="str" cm="1">
        <f t="array" aca="1" ref="Q47" ca="1">_xlfn.TEXTJOIN(", ", TRUE, IF(($S$2:$S$485 = O47) * ($AF$2:$AF$485 &lt; 0), $W$2:$W$485&amp;" "&amp;$X$2:$X$485, ""))</f>
        <v/>
      </c>
      <c r="S47" s="281">
        <v>1083564</v>
      </c>
      <c r="T47" s="278" t="s">
        <v>313</v>
      </c>
      <c r="U47" s="278" t="s">
        <v>272</v>
      </c>
      <c r="V47" s="25">
        <v>2</v>
      </c>
      <c r="W47" s="284">
        <v>1130197</v>
      </c>
      <c r="X47" s="19" t="str">
        <f>IFERROR(INDEX(Table14[],MATCH($W47,Table14[SAPNo],0),3),"")</f>
        <v>Round 1608 CT182  0.018" (S)</v>
      </c>
      <c r="Y47" s="284">
        <v>23</v>
      </c>
      <c r="Z47" s="25">
        <f t="shared" si="1"/>
        <v>0</v>
      </c>
      <c r="AA47" s="25">
        <f t="shared" si="2"/>
        <v>0</v>
      </c>
      <c r="AB47" s="23">
        <f ca="1">IFERROR(INDEX('Cutters Inventory 12-30-2025'!A:W,MATCH($W47,'Cutters Inventory 12-30-2025'!B:B,0),14),0)</f>
        <v>39</v>
      </c>
      <c r="AC47" s="23">
        <f>SUMIF(Table1[LEVEL 5 MAT NO.],S47,Table1[Braze Plan])</f>
        <v>0</v>
      </c>
      <c r="AD47" s="23">
        <f>Table4[[#This Row],[Quantity]]*Table4[[#This Row],[Bits Braze Plan]]</f>
        <v>0</v>
      </c>
      <c r="AE47" s="23">
        <f ca="1">Table4[[#This Row],[INV. QTY]]-Table4[[#This Row],[Required For Braze Cutters Check]]</f>
        <v>39</v>
      </c>
      <c r="AF47" s="23">
        <f t="shared" ca="1" si="3"/>
        <v>39</v>
      </c>
      <c r="AG47" s="23"/>
      <c r="AI47">
        <v>1130217</v>
      </c>
      <c r="AJ47" s="19">
        <f t="shared" si="15"/>
        <v>1130217</v>
      </c>
      <c r="AK47" s="19">
        <f>SUMIF(Table4[Component],AJ47,Table4[Qty of Cutters in these MATs])</f>
        <v>148</v>
      </c>
      <c r="AL47" s="19">
        <f>SUMIF(Table4[Component],AJ47,Table4[Required For Braze Cutters Check])</f>
        <v>0</v>
      </c>
      <c r="AM47" s="19">
        <f ca="1">IFERROR(INDEX('Cutters Inventory 12-30-2025'!A:W,MATCH($AI47,'Cutters Inventory 12-30-2025'!B:B,0),14),0)</f>
        <v>0</v>
      </c>
      <c r="AN47" s="19">
        <f ca="1">Table5[[#This Row],[INV. QTY]]-Table5[[#This Row],[Required For Braze Cutters Check]]</f>
        <v>0</v>
      </c>
      <c r="AO47" s="19" t="str">
        <f ca="1">IF($AN47&lt;0,Table5[[#This Row],[Component]],"")</f>
        <v/>
      </c>
      <c r="AS47">
        <v>1130197</v>
      </c>
      <c r="AT47">
        <f t="shared" si="8"/>
        <v>1130197</v>
      </c>
      <c r="AV47" s="573">
        <f t="shared" si="19"/>
        <v>0</v>
      </c>
      <c r="AW47">
        <f t="shared" si="16"/>
        <v>0</v>
      </c>
      <c r="AY47">
        <v>1212043</v>
      </c>
      <c r="AZ47">
        <v>990050</v>
      </c>
      <c r="BA47">
        <f t="shared" si="20"/>
        <v>990050</v>
      </c>
      <c r="BC47" s="159">
        <f>IFERROR(VLOOKUP(BA:BA,Table4[],8,FALSE),Table6[[#This Row],[Not Exist BOM''s]])</f>
        <v>990050</v>
      </c>
    </row>
    <row r="48" spans="1:55" ht="24.75" customHeight="1" x14ac:dyDescent="0.3">
      <c r="A48" s="109"/>
      <c r="B48" s="608"/>
      <c r="C48" s="109">
        <v>13939972</v>
      </c>
      <c r="D48" s="109" t="s">
        <v>316</v>
      </c>
      <c r="E48" s="109" t="s">
        <v>318</v>
      </c>
      <c r="F48" s="109"/>
      <c r="G48" s="109"/>
      <c r="H48" s="140">
        <v>1145823</v>
      </c>
      <c r="I48" s="140">
        <v>1033011</v>
      </c>
      <c r="J48" s="26">
        <f>IF(H48&lt;&gt;"",IF(AND(C48&lt;&gt;"",IFERROR(MATCH(C48,Table10[Serial No.],0),0)),0,1),0)</f>
        <v>0</v>
      </c>
      <c r="K48" s="21"/>
      <c r="L48" s="539" t="str">
        <f t="shared" ca="1" si="7"/>
        <v/>
      </c>
      <c r="N48">
        <v>1283630</v>
      </c>
      <c r="O48" s="28">
        <f t="shared" si="0"/>
        <v>1283630</v>
      </c>
      <c r="P48" s="28">
        <f>SUMIF(Table1[LEVEL 5 MAT NO.],N48,Table1[Quantity])</f>
        <v>7</v>
      </c>
      <c r="Q48" s="480" t="str" cm="1">
        <f t="array" aca="1" ref="Q48" ca="1">_xlfn.TEXTJOIN(", ", TRUE, IF(($S$2:$S$485 = O48) * ($AF$2:$AF$485 &lt; 0), $W$2:$W$485&amp;" "&amp;$X$2:$X$485, ""))</f>
        <v/>
      </c>
      <c r="S48" s="281">
        <v>1083564</v>
      </c>
      <c r="T48" s="278" t="s">
        <v>313</v>
      </c>
      <c r="U48" s="278" t="s">
        <v>272</v>
      </c>
      <c r="V48" s="25">
        <v>3</v>
      </c>
      <c r="W48" s="284">
        <v>1126402</v>
      </c>
      <c r="X48" s="19" t="str">
        <f>IFERROR(INDEX(Table14[],MATCH($W48,Table14[SAPNo],0),3),"")</f>
        <v>1613 CT421 16-60</v>
      </c>
      <c r="Y48" s="284">
        <v>9</v>
      </c>
      <c r="Z48" s="25">
        <f t="shared" si="1"/>
        <v>0</v>
      </c>
      <c r="AA48" s="25">
        <f t="shared" si="2"/>
        <v>0</v>
      </c>
      <c r="AB48" s="23">
        <f ca="1">IFERROR(INDEX('Cutters Inventory 12-30-2025'!A:W,MATCH($W48,'Cutters Inventory 12-30-2025'!B:B,0),14),0)</f>
        <v>422</v>
      </c>
      <c r="AC48" s="23">
        <f>SUMIF(Table1[LEVEL 5 MAT NO.],S48,Table1[Braze Plan])</f>
        <v>0</v>
      </c>
      <c r="AD48" s="23">
        <f>Table4[[#This Row],[Quantity]]*Table4[[#This Row],[Bits Braze Plan]]</f>
        <v>0</v>
      </c>
      <c r="AE48" s="23">
        <f ca="1">Table4[[#This Row],[INV. QTY]]-Table4[[#This Row],[Required For Braze Cutters Check]]</f>
        <v>422</v>
      </c>
      <c r="AF48" s="23">
        <f t="shared" ca="1" si="3"/>
        <v>422</v>
      </c>
      <c r="AG48" s="23"/>
      <c r="AI48">
        <v>1130219</v>
      </c>
      <c r="AJ48" s="19">
        <f t="shared" si="15"/>
        <v>1130219</v>
      </c>
      <c r="AK48" s="19">
        <f>SUMIF(Table4[Component],AJ48,Table4[Qty of Cutters in these MATs])</f>
        <v>0</v>
      </c>
      <c r="AL48" s="19">
        <f>SUMIF(Table4[Component],AJ48,Table4[Required For Braze Cutters Check])</f>
        <v>0</v>
      </c>
      <c r="AM48" s="19">
        <f ca="1">IFERROR(INDEX('Cutters Inventory 12-30-2025'!A:W,MATCH($AI48,'Cutters Inventory 12-30-2025'!B:B,0),14),0)</f>
        <v>42</v>
      </c>
      <c r="AN48" s="19">
        <f ca="1">Table5[[#This Row],[INV. QTY]]-Table5[[#This Row],[Required For Braze Cutters Check]]</f>
        <v>42</v>
      </c>
      <c r="AO48" s="19" t="str">
        <f ca="1">IF($AN48&lt;0,Table5[[#This Row],[Component]],"")</f>
        <v/>
      </c>
      <c r="AS48">
        <v>1130217</v>
      </c>
      <c r="AT48">
        <f t="shared" si="8"/>
        <v>1130217</v>
      </c>
      <c r="AV48" s="573">
        <f t="shared" si="19"/>
        <v>0</v>
      </c>
      <c r="AW48">
        <f t="shared" si="16"/>
        <v>0</v>
      </c>
      <c r="AY48">
        <v>1216970</v>
      </c>
      <c r="AZ48" t="str">
        <v>1246020M</v>
      </c>
      <c r="BA48" t="str">
        <f t="shared" si="20"/>
        <v>1246020M</v>
      </c>
      <c r="BC48" s="159" t="str">
        <f>IFERROR(VLOOKUP(BA:BA,Table4[],8,FALSE),Table6[[#This Row],[Not Exist BOM''s]])</f>
        <v>1246020M</v>
      </c>
    </row>
    <row r="49" spans="1:55" ht="24.75" customHeight="1" x14ac:dyDescent="0.3">
      <c r="A49" s="109"/>
      <c r="B49" s="608"/>
      <c r="C49" s="109">
        <v>13939973</v>
      </c>
      <c r="D49" s="109" t="s">
        <v>316</v>
      </c>
      <c r="E49" s="109" t="s">
        <v>318</v>
      </c>
      <c r="F49" s="109"/>
      <c r="G49" s="109"/>
      <c r="H49" s="140">
        <v>1145823</v>
      </c>
      <c r="I49" s="140">
        <v>1033011</v>
      </c>
      <c r="J49" s="26">
        <f>IF(H49&lt;&gt;"",IF(AND(C49&lt;&gt;"",IFERROR(MATCH(C49,Table10[Serial No.],0),0)),0,1),0)</f>
        <v>0</v>
      </c>
      <c r="K49" s="21"/>
      <c r="L49" s="539" t="str">
        <f t="shared" ca="1" si="7"/>
        <v/>
      </c>
      <c r="N49">
        <v>1287241</v>
      </c>
      <c r="O49" s="28">
        <f t="shared" si="0"/>
        <v>1287241</v>
      </c>
      <c r="P49" s="28">
        <f>SUMIF(Table1[LEVEL 5 MAT NO.],N49,Table1[Quantity])</f>
        <v>0</v>
      </c>
      <c r="Q49" s="480" t="str" cm="1">
        <f t="array" aca="1" ref="Q49" ca="1">_xlfn.TEXTJOIN(", ", TRUE, IF(($S$2:$S$485 = O49) * ($AF$2:$AF$485 &lt; 0), $W$2:$W$485&amp;" "&amp;$X$2:$X$485, ""))</f>
        <v/>
      </c>
      <c r="S49" s="281">
        <v>1083564</v>
      </c>
      <c r="T49" s="278" t="s">
        <v>313</v>
      </c>
      <c r="U49" s="278" t="s">
        <v>272</v>
      </c>
      <c r="V49" s="25">
        <v>4</v>
      </c>
      <c r="W49" s="284">
        <v>418525</v>
      </c>
      <c r="X49" s="19" t="str">
        <f>IFERROR(INDEX(Table14[],MATCH($W49,Table14[SAPNo],0),3),"")</f>
        <v>Drop In 1308 CT31   (B)</v>
      </c>
      <c r="Y49" s="284">
        <v>6</v>
      </c>
      <c r="Z49" s="25">
        <f t="shared" si="1"/>
        <v>0</v>
      </c>
      <c r="AA49" s="25">
        <f t="shared" si="2"/>
        <v>0</v>
      </c>
      <c r="AB49" s="23">
        <f ca="1">IFERROR(INDEX('Cutters Inventory 12-30-2025'!A:W,MATCH($W49,'Cutters Inventory 12-30-2025'!B:B,0),14),0)</f>
        <v>933</v>
      </c>
      <c r="AC49" s="23">
        <f>SUMIF(Table1[LEVEL 5 MAT NO.],S49,Table1[Braze Plan])</f>
        <v>0</v>
      </c>
      <c r="AD49" s="23">
        <f>Table4[[#This Row],[Quantity]]*Table4[[#This Row],[Bits Braze Plan]]</f>
        <v>0</v>
      </c>
      <c r="AE49" s="23">
        <f ca="1">Table4[[#This Row],[INV. QTY]]-Table4[[#This Row],[Required For Braze Cutters Check]]</f>
        <v>933</v>
      </c>
      <c r="AF49" s="23">
        <f t="shared" ca="1" si="3"/>
        <v>933</v>
      </c>
      <c r="AG49" s="23"/>
      <c r="AI49">
        <v>1134752</v>
      </c>
      <c r="AJ49" s="19">
        <f t="shared" si="15"/>
        <v>1134752</v>
      </c>
      <c r="AK49" s="19">
        <f>SUMIF(Table4[Component],AJ49,Table4[Qty of Cutters in these MATs])</f>
        <v>102</v>
      </c>
      <c r="AL49" s="19">
        <f>SUMIF(Table4[Component],AJ49,Table4[Required For Braze Cutters Check])</f>
        <v>0</v>
      </c>
      <c r="AM49" s="19">
        <f ca="1">IFERROR(INDEX('Cutters Inventory 12-30-2025'!A:W,MATCH($AI49,'Cutters Inventory 12-30-2025'!B:B,0),14),0)</f>
        <v>38</v>
      </c>
      <c r="AN49" s="19">
        <f ca="1">Table5[[#This Row],[INV. QTY]]-Table5[[#This Row],[Required For Braze Cutters Check]]</f>
        <v>38</v>
      </c>
      <c r="AO49" s="19" t="str">
        <f ca="1">IF($AN49&lt;0,Table5[[#This Row],[Component]],"")</f>
        <v/>
      </c>
      <c r="AS49">
        <v>1130219</v>
      </c>
      <c r="AT49">
        <f t="shared" si="8"/>
        <v>1130219</v>
      </c>
      <c r="AV49" s="573">
        <f t="shared" si="19"/>
        <v>0</v>
      </c>
      <c r="AW49">
        <f t="shared" si="16"/>
        <v>0</v>
      </c>
      <c r="AY49">
        <v>1219698</v>
      </c>
      <c r="AZ49" t="str">
        <v>1246680M</v>
      </c>
      <c r="BA49" t="str">
        <f t="shared" si="20"/>
        <v>1246680M</v>
      </c>
      <c r="BC49" s="159" t="str">
        <f>IFERROR(VLOOKUP(BA:BA,Table4[],8,FALSE),Table6[[#This Row],[Not Exist BOM''s]])</f>
        <v>1246680M</v>
      </c>
    </row>
    <row r="50" spans="1:55" ht="24.75" customHeight="1" x14ac:dyDescent="0.3">
      <c r="A50" s="109"/>
      <c r="B50" s="608"/>
      <c r="C50" s="109">
        <v>13955543</v>
      </c>
      <c r="D50" s="109" t="s">
        <v>304</v>
      </c>
      <c r="E50" s="109" t="s">
        <v>636</v>
      </c>
      <c r="F50" s="109"/>
      <c r="G50" s="109"/>
      <c r="H50" s="140">
        <v>1231285</v>
      </c>
      <c r="I50" s="140">
        <v>1096183</v>
      </c>
      <c r="J50" s="26">
        <f>IF(H50&lt;&gt;"",IF(AND(C50&lt;&gt;"",IFERROR(MATCH(C50,Table10[Serial No.],0),0)),0,1),0)</f>
        <v>0</v>
      </c>
      <c r="K50" s="21"/>
      <c r="L50" s="539" t="str">
        <f t="shared" ca="1" si="7"/>
        <v/>
      </c>
      <c r="N50">
        <v>2008912</v>
      </c>
      <c r="O50" s="28">
        <f t="shared" si="0"/>
        <v>2008912</v>
      </c>
      <c r="P50" s="28">
        <f>SUMIF(Table1[LEVEL 5 MAT NO.],N50,Table1[Quantity])</f>
        <v>4</v>
      </c>
      <c r="Q50" s="480" t="str" cm="1">
        <f t="array" aca="1" ref="Q50" ca="1">_xlfn.TEXTJOIN(", ", TRUE, IF(($S$2:$S$485 = O50) * ($AF$2:$AF$485 &lt; 0), $W$2:$W$485&amp;" "&amp;$X$2:$X$485, ""))</f>
        <v/>
      </c>
      <c r="S50" s="281">
        <v>1083599</v>
      </c>
      <c r="T50" s="278" t="s">
        <v>313</v>
      </c>
      <c r="U50" s="278" t="s">
        <v>639</v>
      </c>
      <c r="V50" s="25">
        <v>1</v>
      </c>
      <c r="W50" s="284">
        <v>1039034</v>
      </c>
      <c r="X50" s="19" t="str">
        <f>IFERROR(INDEX(Table14[],MATCH($W50,Table14[SAPNo],0),3),"")</f>
        <v>Round 1308 CT138  0.018" (S)</v>
      </c>
      <c r="Y50" s="284">
        <v>32</v>
      </c>
      <c r="Z50" s="25">
        <f t="shared" si="1"/>
        <v>0</v>
      </c>
      <c r="AA50" s="25">
        <f t="shared" si="2"/>
        <v>0</v>
      </c>
      <c r="AB50" s="23">
        <f ca="1">IFERROR(INDEX('Cutters Inventory 12-30-2025'!A:W,MATCH($W50,'Cutters Inventory 12-30-2025'!B:B,0),14),0)</f>
        <v>22</v>
      </c>
      <c r="AC50" s="23">
        <f>SUMIF(Table1[LEVEL 5 MAT NO.],S50,Table1[Braze Plan])</f>
        <v>0</v>
      </c>
      <c r="AD50" s="23">
        <f>Table4[[#This Row],[Quantity]]*Table4[[#This Row],[Bits Braze Plan]]</f>
        <v>0</v>
      </c>
      <c r="AE50" s="23">
        <f ca="1">Table4[[#This Row],[INV. QTY]]-Table4[[#This Row],[Required For Braze Cutters Check]]</f>
        <v>22</v>
      </c>
      <c r="AF50" s="23">
        <f t="shared" ca="1" si="3"/>
        <v>22</v>
      </c>
      <c r="AG50" s="23"/>
      <c r="AI50">
        <v>1136984</v>
      </c>
      <c r="AJ50" s="19">
        <f t="shared" si="15"/>
        <v>1136984</v>
      </c>
      <c r="AK50" s="19">
        <f>SUMIF(Table4[Component],AJ50,Table4[Qty of Cutters in these MATs])</f>
        <v>78</v>
      </c>
      <c r="AL50" s="19">
        <f>SUMIF(Table4[Component],AJ50,Table4[Required For Braze Cutters Check])</f>
        <v>0</v>
      </c>
      <c r="AM50" s="19">
        <f ca="1">IFERROR(INDEX('Cutters Inventory 12-30-2025'!A:W,MATCH($AI50,'Cutters Inventory 12-30-2025'!B:B,0),14),0)</f>
        <v>92</v>
      </c>
      <c r="AN50" s="19">
        <f ca="1">Table5[[#This Row],[INV. QTY]]-Table5[[#This Row],[Required For Braze Cutters Check]]</f>
        <v>92</v>
      </c>
      <c r="AO50" s="19" t="str">
        <f ca="1">IF($AN50&lt;0,Table5[[#This Row],[Component]],"")</f>
        <v/>
      </c>
      <c r="AS50">
        <v>1134752</v>
      </c>
      <c r="AT50">
        <f t="shared" si="8"/>
        <v>1134752</v>
      </c>
      <c r="AV50" s="573">
        <f t="shared" si="19"/>
        <v>0</v>
      </c>
      <c r="AW50">
        <f t="shared" si="16"/>
        <v>0</v>
      </c>
      <c r="AY50">
        <v>1224750</v>
      </c>
      <c r="AZ50" t="str">
        <v>1251098M</v>
      </c>
      <c r="BA50" t="str">
        <f t="shared" si="20"/>
        <v>1251098M</v>
      </c>
      <c r="BC50" s="21" t="str">
        <f>IFERROR(VLOOKUP(BA:BA,Table4[],8,FALSE),Table6[[#This Row],[Not Exist BOM''s]])</f>
        <v>1251098M</v>
      </c>
    </row>
    <row r="51" spans="1:55" ht="24.75" customHeight="1" x14ac:dyDescent="0.3">
      <c r="A51" s="109"/>
      <c r="B51" s="608"/>
      <c r="C51" s="109">
        <v>13970777</v>
      </c>
      <c r="D51" s="109" t="s">
        <v>304</v>
      </c>
      <c r="E51" s="109" t="s">
        <v>636</v>
      </c>
      <c r="F51" s="109"/>
      <c r="G51" s="109"/>
      <c r="H51" s="140">
        <v>1231285</v>
      </c>
      <c r="I51" s="140">
        <v>1096183</v>
      </c>
      <c r="J51" s="26">
        <f>IF(H51&lt;&gt;"",IF(AND(C51&lt;&gt;"",IFERROR(MATCH(C51,Table10[Serial No.],0),0)),0,1),0)</f>
        <v>0</v>
      </c>
      <c r="K51" s="21"/>
      <c r="L51" s="539" t="str">
        <f t="shared" ca="1" si="7"/>
        <v/>
      </c>
      <c r="N51">
        <v>2009244</v>
      </c>
      <c r="O51" s="28">
        <f t="shared" si="0"/>
        <v>2009244</v>
      </c>
      <c r="P51" s="28">
        <f>SUMIF(Table1[LEVEL 5 MAT NO.],N51,Table1[Quantity])</f>
        <v>0</v>
      </c>
      <c r="Q51" s="480" t="str" cm="1">
        <f t="array" aca="1" ref="Q51" ca="1">_xlfn.TEXTJOIN(", ", TRUE, IF(($S$2:$S$485 = O51) * ($AF$2:$AF$485 &lt; 0), $W$2:$W$485&amp;" "&amp;$X$2:$X$485, ""))</f>
        <v/>
      </c>
      <c r="S51" s="281">
        <v>1083599</v>
      </c>
      <c r="T51" s="278" t="s">
        <v>313</v>
      </c>
      <c r="U51" s="278" t="s">
        <v>639</v>
      </c>
      <c r="V51" s="25">
        <v>2</v>
      </c>
      <c r="W51" s="284">
        <v>1039033</v>
      </c>
      <c r="X51" s="19" t="str">
        <f>IFERROR(INDEX(Table14[],MATCH($W51,Table14[SAPNo],0),3),"")</f>
        <v>Round 1308 CT138  10C (S)</v>
      </c>
      <c r="Y51" s="284">
        <v>28</v>
      </c>
      <c r="Z51" s="25">
        <f t="shared" si="1"/>
        <v>0</v>
      </c>
      <c r="AA51" s="25">
        <f t="shared" si="2"/>
        <v>0</v>
      </c>
      <c r="AB51" s="23">
        <f ca="1">IFERROR(INDEX('Cutters Inventory 12-30-2025'!A:W,MATCH($W51,'Cutters Inventory 12-30-2025'!B:B,0),14),0)</f>
        <v>0</v>
      </c>
      <c r="AC51" s="23">
        <f>SUMIF(Table1[LEVEL 5 MAT NO.],S51,Table1[Braze Plan])</f>
        <v>0</v>
      </c>
      <c r="AD51" s="23">
        <f>Table4[[#This Row],[Quantity]]*Table4[[#This Row],[Bits Braze Plan]]</f>
        <v>0</v>
      </c>
      <c r="AE51" s="23">
        <f ca="1">Table4[[#This Row],[INV. QTY]]-Table4[[#This Row],[Required For Braze Cutters Check]]</f>
        <v>0</v>
      </c>
      <c r="AF51" s="23">
        <f t="shared" ca="1" si="3"/>
        <v>0</v>
      </c>
      <c r="AG51" s="23"/>
      <c r="AI51">
        <v>1142711</v>
      </c>
      <c r="AJ51" s="19">
        <f t="shared" si="15"/>
        <v>1142711</v>
      </c>
      <c r="AK51" s="19">
        <f>SUMIF(Table4[Component],AJ51,Table4[Qty of Cutters in these MATs])</f>
        <v>104</v>
      </c>
      <c r="AL51" s="19">
        <f>SUMIF(Table4[Component],AJ51,Table4[Required For Braze Cutters Check])</f>
        <v>0</v>
      </c>
      <c r="AM51" s="19">
        <f ca="1">IFERROR(INDEX('Cutters Inventory 12-30-2025'!A:W,MATCH($AI51,'Cutters Inventory 12-30-2025'!B:B,0),14),0)</f>
        <v>0</v>
      </c>
      <c r="AN51" s="19">
        <f ca="1">Table5[[#This Row],[INV. QTY]]-Table5[[#This Row],[Required For Braze Cutters Check]]</f>
        <v>0</v>
      </c>
      <c r="AO51" s="19" t="str">
        <f ca="1">IF($AN51&lt;0,Table5[[#This Row],[Component]],"")</f>
        <v/>
      </c>
      <c r="AS51">
        <v>1136984</v>
      </c>
      <c r="AT51">
        <f t="shared" si="8"/>
        <v>1136984</v>
      </c>
      <c r="AV51" s="573">
        <f t="shared" si="19"/>
        <v>0</v>
      </c>
      <c r="AW51">
        <f t="shared" si="16"/>
        <v>0</v>
      </c>
      <c r="AY51">
        <v>1225753</v>
      </c>
      <c r="AZ51" t="str">
        <v>1282368M</v>
      </c>
      <c r="BA51" t="str">
        <f t="shared" si="20"/>
        <v>1282368M</v>
      </c>
      <c r="BC51" s="21" t="str">
        <f>IFERROR(VLOOKUP(BA:BA,Table4[],8,FALSE),Table6[[#This Row],[Not Exist BOM''s]])</f>
        <v>1282368M</v>
      </c>
    </row>
    <row r="52" spans="1:55" ht="24.75" customHeight="1" x14ac:dyDescent="0.3">
      <c r="A52" s="109"/>
      <c r="B52" s="608"/>
      <c r="C52" s="109">
        <v>13994929</v>
      </c>
      <c r="D52" s="109" t="s">
        <v>624</v>
      </c>
      <c r="E52" s="109" t="s">
        <v>640</v>
      </c>
      <c r="F52" s="109"/>
      <c r="G52" s="109"/>
      <c r="H52" s="140">
        <v>1255267</v>
      </c>
      <c r="I52" s="140" t="s">
        <v>641</v>
      </c>
      <c r="J52" s="26">
        <f>IF(H52&lt;&gt;"",IF(AND(C52&lt;&gt;"",IFERROR(MATCH(C52,Table10[Serial No.],0),0)),0,1),0)</f>
        <v>0</v>
      </c>
      <c r="K52" s="21"/>
      <c r="L52" s="539" t="str">
        <f t="shared" si="7"/>
        <v/>
      </c>
      <c r="N52">
        <v>2009246</v>
      </c>
      <c r="O52" s="28">
        <f t="shared" si="0"/>
        <v>2009246</v>
      </c>
      <c r="P52" s="28">
        <f>SUMIF(Table1[LEVEL 5 MAT NO.],N52,Table1[Quantity])</f>
        <v>1</v>
      </c>
      <c r="Q52" s="480" t="str" cm="1">
        <f t="array" aca="1" ref="Q52" ca="1">_xlfn.TEXTJOIN(", ", TRUE, IF(($S$2:$S$485 = O52) * ($AF$2:$AF$485 &lt; 0), $W$2:$W$485&amp;" "&amp;$X$2:$X$485, ""))</f>
        <v/>
      </c>
      <c r="S52" s="281">
        <v>1083599</v>
      </c>
      <c r="T52" s="278" t="s">
        <v>313</v>
      </c>
      <c r="U52" s="278" t="s">
        <v>639</v>
      </c>
      <c r="V52" s="25">
        <v>3</v>
      </c>
      <c r="W52" s="284">
        <v>1039058</v>
      </c>
      <c r="X52" s="19" t="str">
        <f>IFERROR(INDEX(Table14[],MATCH($W52,Table14[SAPNo],0),3),"")</f>
        <v>Round 1608 CT138  0.018" (S)</v>
      </c>
      <c r="Y52" s="284">
        <v>15</v>
      </c>
      <c r="Z52" s="25">
        <f t="shared" si="1"/>
        <v>0</v>
      </c>
      <c r="AA52" s="25">
        <f t="shared" si="2"/>
        <v>0</v>
      </c>
      <c r="AB52" s="23">
        <f ca="1">IFERROR(INDEX('Cutters Inventory 12-30-2025'!A:W,MATCH($W52,'Cutters Inventory 12-30-2025'!B:B,0),14),0)</f>
        <v>15</v>
      </c>
      <c r="AC52" s="23">
        <f>SUMIF(Table1[LEVEL 5 MAT NO.],S52,Table1[Braze Plan])</f>
        <v>0</v>
      </c>
      <c r="AD52" s="23">
        <f>Table4[[#This Row],[Quantity]]*Table4[[#This Row],[Bits Braze Plan]]</f>
        <v>0</v>
      </c>
      <c r="AE52" s="23">
        <f ca="1">Table4[[#This Row],[INV. QTY]]-Table4[[#This Row],[Required For Braze Cutters Check]]</f>
        <v>15</v>
      </c>
      <c r="AF52" s="23">
        <f t="shared" ca="1" si="3"/>
        <v>15</v>
      </c>
      <c r="AG52" s="23"/>
      <c r="AI52">
        <v>1145491</v>
      </c>
      <c r="AJ52" s="19">
        <f t="shared" si="15"/>
        <v>1145491</v>
      </c>
      <c r="AK52" s="19">
        <f>SUMIF(Table4[Component],AJ52,Table4[Qty of Cutters in these MATs])</f>
        <v>10</v>
      </c>
      <c r="AL52" s="19">
        <f>SUMIF(Table4[Component],AJ52,Table4[Required For Braze Cutters Check])</f>
        <v>0</v>
      </c>
      <c r="AM52" s="19">
        <f ca="1">IFERROR(INDEX('Cutters Inventory 12-30-2025'!A:W,MATCH($AI52,'Cutters Inventory 12-30-2025'!B:B,0),14),0)</f>
        <v>5</v>
      </c>
      <c r="AN52" s="19">
        <f ca="1">Table5[[#This Row],[INV. QTY]]-Table5[[#This Row],[Required For Braze Cutters Check]]</f>
        <v>5</v>
      </c>
      <c r="AO52" s="19" t="str">
        <f ca="1">IF($AN52&lt;0,Table5[[#This Row],[Component]],"")</f>
        <v/>
      </c>
      <c r="AS52">
        <v>1142711</v>
      </c>
      <c r="AT52">
        <f t="shared" si="8"/>
        <v>1142711</v>
      </c>
      <c r="AV52" s="573">
        <f t="shared" si="19"/>
        <v>0</v>
      </c>
      <c r="AW52">
        <f t="shared" si="16"/>
        <v>0</v>
      </c>
      <c r="AY52">
        <v>1226841</v>
      </c>
      <c r="AZ52" t="str">
        <v>2013542M</v>
      </c>
      <c r="BA52" t="str">
        <f t="shared" si="20"/>
        <v>2013542M</v>
      </c>
      <c r="BC52" s="159" t="str">
        <f>IFERROR(VLOOKUP(BA:BA,Table4[],8,FALSE),Table6[[#This Row],[Not Exist BOM''s]])</f>
        <v>2013542M</v>
      </c>
    </row>
    <row r="53" spans="1:55" ht="24.75" customHeight="1" x14ac:dyDescent="0.3">
      <c r="A53" s="109"/>
      <c r="B53" s="608"/>
      <c r="C53" s="109">
        <v>14012904</v>
      </c>
      <c r="D53" s="109" t="s">
        <v>304</v>
      </c>
      <c r="E53" s="109" t="s">
        <v>636</v>
      </c>
      <c r="F53" s="109"/>
      <c r="G53" s="109"/>
      <c r="H53" s="140">
        <v>1228690</v>
      </c>
      <c r="I53" s="140">
        <v>960723</v>
      </c>
      <c r="J53" s="26">
        <f>IF(H53&lt;&gt;"",IF(AND(C53&lt;&gt;"",IFERROR(MATCH(C53,Table10[Serial No.],0),0)),0,1),0)</f>
        <v>0</v>
      </c>
      <c r="K53" s="21"/>
      <c r="L53" s="539" t="str">
        <f t="shared" ca="1" si="7"/>
        <v/>
      </c>
      <c r="N53">
        <v>2015327</v>
      </c>
      <c r="O53" s="28">
        <f t="shared" si="0"/>
        <v>2015327</v>
      </c>
      <c r="P53" s="28">
        <f>SUMIF(Table1[LEVEL 5 MAT NO.],N53,Table1[Quantity])</f>
        <v>0</v>
      </c>
      <c r="Q53" s="480" t="str" cm="1">
        <f t="array" aca="1" ref="Q53" ca="1">_xlfn.TEXTJOIN(", ", TRUE, IF(($S$2:$S$485 = O53) * ($AF$2:$AF$485 &lt; 0), $W$2:$W$485&amp;" "&amp;$X$2:$X$485, ""))</f>
        <v/>
      </c>
      <c r="S53" s="281">
        <v>1083599</v>
      </c>
      <c r="T53" s="278" t="s">
        <v>313</v>
      </c>
      <c r="U53" s="278" t="s">
        <v>639</v>
      </c>
      <c r="V53" s="25">
        <v>4</v>
      </c>
      <c r="W53" s="284">
        <v>418525</v>
      </c>
      <c r="X53" s="19" t="str">
        <f>IFERROR(INDEX(Table14[],MATCH($W53,Table14[SAPNo],0),3),"")</f>
        <v>Drop In 1308 CT31   (B)</v>
      </c>
      <c r="Y53" s="284">
        <v>7</v>
      </c>
      <c r="Z53" s="25">
        <f t="shared" si="1"/>
        <v>0</v>
      </c>
      <c r="AA53" s="25">
        <f t="shared" si="2"/>
        <v>0</v>
      </c>
      <c r="AB53" s="23">
        <f ca="1">IFERROR(INDEX('Cutters Inventory 12-30-2025'!A:W,MATCH($W53,'Cutters Inventory 12-30-2025'!B:B,0),14),0)</f>
        <v>933</v>
      </c>
      <c r="AC53" s="23">
        <f>SUMIF(Table1[LEVEL 5 MAT NO.],S53,Table1[Braze Plan])</f>
        <v>0</v>
      </c>
      <c r="AD53" s="23">
        <f>Table4[[#This Row],[Quantity]]*Table4[[#This Row],[Bits Braze Plan]]</f>
        <v>0</v>
      </c>
      <c r="AE53" s="23">
        <f ca="1">Table4[[#This Row],[INV. QTY]]-Table4[[#This Row],[Required For Braze Cutters Check]]</f>
        <v>933</v>
      </c>
      <c r="AF53" s="23">
        <f t="shared" ca="1" si="3"/>
        <v>933</v>
      </c>
      <c r="AG53" s="23"/>
      <c r="AI53">
        <v>1146346</v>
      </c>
      <c r="AJ53" s="19">
        <f t="shared" si="15"/>
        <v>1146346</v>
      </c>
      <c r="AK53" s="19">
        <f>SUMIF(Table4[Component],AJ53,Table4[Qty of Cutters in these MATs])</f>
        <v>348</v>
      </c>
      <c r="AL53" s="19">
        <f>SUMIF(Table4[Component],AJ53,Table4[Required For Braze Cutters Check])</f>
        <v>0</v>
      </c>
      <c r="AM53" s="19">
        <f ca="1">IFERROR(INDEX('Cutters Inventory 12-30-2025'!A:W,MATCH($AI53,'Cutters Inventory 12-30-2025'!B:B,0),14),0)</f>
        <v>558</v>
      </c>
      <c r="AN53" s="19">
        <f ca="1">Table5[[#This Row],[INV. QTY]]-Table5[[#This Row],[Required For Braze Cutters Check]]</f>
        <v>558</v>
      </c>
      <c r="AO53" s="19" t="str">
        <f ca="1">IF($AN53&lt;0,Table5[[#This Row],[Component]],"")</f>
        <v/>
      </c>
      <c r="AS53">
        <v>1145491</v>
      </c>
      <c r="AT53">
        <f t="shared" si="8"/>
        <v>1145491</v>
      </c>
      <c r="AV53" s="573">
        <f t="shared" si="19"/>
        <v>0</v>
      </c>
      <c r="AW53">
        <f t="shared" si="16"/>
        <v>0</v>
      </c>
      <c r="AY53">
        <v>1233276</v>
      </c>
      <c r="AZ53" t="str">
        <v>2017993M</v>
      </c>
      <c r="BA53" t="str">
        <f t="shared" si="20"/>
        <v>2017993M</v>
      </c>
      <c r="BC53" s="159" t="str">
        <f>IFERROR(VLOOKUP(BA:BA,Table4[],8,FALSE),Table6[[#This Row],[Not Exist BOM''s]])</f>
        <v>2017993M</v>
      </c>
    </row>
    <row r="54" spans="1:55" ht="24.75" customHeight="1" x14ac:dyDescent="0.3">
      <c r="A54" s="109"/>
      <c r="B54" s="608"/>
      <c r="C54" s="109">
        <v>14036249</v>
      </c>
      <c r="D54" s="109" t="s">
        <v>304</v>
      </c>
      <c r="E54" s="109" t="s">
        <v>636</v>
      </c>
      <c r="F54" s="109"/>
      <c r="G54" s="109"/>
      <c r="H54" s="140">
        <v>1228848</v>
      </c>
      <c r="I54" s="140">
        <v>1016454</v>
      </c>
      <c r="J54" s="26">
        <f>IF(H54&lt;&gt;"",IF(AND(C54&lt;&gt;"",IFERROR(MATCH(C54,Table10[Serial No.],0),0)),0,1),0)</f>
        <v>0</v>
      </c>
      <c r="K54" s="21"/>
      <c r="L54" s="539" t="str">
        <f t="shared" ca="1" si="7"/>
        <v/>
      </c>
      <c r="N54">
        <v>2015535</v>
      </c>
      <c r="O54" s="28">
        <f t="shared" si="0"/>
        <v>2015535</v>
      </c>
      <c r="P54" s="28">
        <f>SUMIF(Table1[LEVEL 5 MAT NO.],N54,Table1[Quantity])</f>
        <v>1</v>
      </c>
      <c r="Q54" s="480" t="str" cm="1">
        <f t="array" aca="1" ref="Q54" ca="1">_xlfn.TEXTJOIN(", ", TRUE, IF(($S$2:$S$485 = O54) * ($AF$2:$AF$485 &lt; 0), $W$2:$W$485&amp;" "&amp;$X$2:$X$485, ""))</f>
        <v/>
      </c>
      <c r="S54" s="281">
        <v>1084341</v>
      </c>
      <c r="T54" s="278" t="s">
        <v>304</v>
      </c>
      <c r="U54" s="278" t="s">
        <v>636</v>
      </c>
      <c r="V54" s="25">
        <v>1</v>
      </c>
      <c r="W54" s="284">
        <v>1039029</v>
      </c>
      <c r="X54" s="19" t="str">
        <f>IFERROR(INDEX(Table14[],MATCH($W54,Table14[SAPNo],0),3),"")</f>
        <v>Round 1010 CT138  10C (S)</v>
      </c>
      <c r="Y54" s="284">
        <v>19</v>
      </c>
      <c r="Z54" s="25">
        <f t="shared" si="1"/>
        <v>0</v>
      </c>
      <c r="AA54" s="25">
        <f t="shared" si="2"/>
        <v>0</v>
      </c>
      <c r="AB54" s="23">
        <f ca="1">IFERROR(INDEX('Cutters Inventory 12-30-2025'!A:W,MATCH($W54,'Cutters Inventory 12-30-2025'!B:B,0),14),0)</f>
        <v>0</v>
      </c>
      <c r="AC54" s="23">
        <f>SUMIF(Table1[LEVEL 5 MAT NO.],S54,Table1[Braze Plan])</f>
        <v>0</v>
      </c>
      <c r="AD54" s="23">
        <f>Table4[[#This Row],[Quantity]]*Table4[[#This Row],[Bits Braze Plan]]</f>
        <v>0</v>
      </c>
      <c r="AE54" s="23">
        <f ca="1">Table4[[#This Row],[INV. QTY]]-Table4[[#This Row],[Required For Braze Cutters Check]]</f>
        <v>0</v>
      </c>
      <c r="AF54" s="23">
        <f t="shared" ca="1" si="3"/>
        <v>0</v>
      </c>
      <c r="AG54" s="23"/>
      <c r="AI54">
        <v>1146737</v>
      </c>
      <c r="AJ54" s="19">
        <f t="shared" si="15"/>
        <v>1146737</v>
      </c>
      <c r="AK54" s="19">
        <f>SUMIF(Table4[Component],AJ54,Table4[Qty of Cutters in these MATs])</f>
        <v>1198</v>
      </c>
      <c r="AL54" s="19">
        <f>SUMIF(Table4[Component],AJ54,Table4[Required For Braze Cutters Check])</f>
        <v>0</v>
      </c>
      <c r="AM54" s="19">
        <f ca="1">IFERROR(INDEX('Cutters Inventory 12-30-2025'!A:W,MATCH($AI54,'Cutters Inventory 12-30-2025'!B:B,0),14),0)</f>
        <v>1281</v>
      </c>
      <c r="AN54" s="19">
        <f ca="1">Table5[[#This Row],[INV. QTY]]-Table5[[#This Row],[Required For Braze Cutters Check]]</f>
        <v>1281</v>
      </c>
      <c r="AO54" s="19" t="str">
        <f ca="1">IF($AN54&lt;0,Table5[[#This Row],[Component]],"")</f>
        <v/>
      </c>
      <c r="AS54">
        <v>1146346</v>
      </c>
      <c r="AT54">
        <f t="shared" si="8"/>
        <v>1146346</v>
      </c>
      <c r="AV54" s="573">
        <f t="shared" si="19"/>
        <v>0</v>
      </c>
      <c r="AW54">
        <f t="shared" si="16"/>
        <v>0</v>
      </c>
      <c r="AY54">
        <v>1235768</v>
      </c>
      <c r="AZ54" t="str">
        <v>level3</v>
      </c>
      <c r="BA54" t="str">
        <f t="shared" si="20"/>
        <v>level3</v>
      </c>
      <c r="BC54" s="159" t="str">
        <f>IFERROR(VLOOKUP(BA:BA,Table4[],8,FALSE),Table6[[#This Row],[Not Exist BOM''s]])</f>
        <v>level3</v>
      </c>
    </row>
    <row r="55" spans="1:55" ht="24.75" customHeight="1" x14ac:dyDescent="0.3">
      <c r="A55" s="109"/>
      <c r="B55" s="608"/>
      <c r="C55" s="109">
        <v>14036251</v>
      </c>
      <c r="D55" s="109" t="s">
        <v>304</v>
      </c>
      <c r="E55" s="109" t="s">
        <v>636</v>
      </c>
      <c r="F55" s="109"/>
      <c r="G55" s="109"/>
      <c r="H55" s="140">
        <v>1228848</v>
      </c>
      <c r="I55" s="140">
        <v>1016454</v>
      </c>
      <c r="J55" s="26">
        <f>IF(H55&lt;&gt;"",IF(AND(C55&lt;&gt;"",IFERROR(MATCH(C55,Table10[Serial No.],0),0)),0,1),0)</f>
        <v>0</v>
      </c>
      <c r="K55" s="21"/>
      <c r="L55" s="539" t="str">
        <f t="shared" ca="1" si="7"/>
        <v/>
      </c>
      <c r="N55">
        <v>2016764</v>
      </c>
      <c r="O55" s="28">
        <f t="shared" si="0"/>
        <v>2016764</v>
      </c>
      <c r="P55" s="28">
        <f>SUMIF(Table1[LEVEL 5 MAT NO.],N55,Table1[Quantity])</f>
        <v>0</v>
      </c>
      <c r="Q55" s="480" t="str" cm="1">
        <f t="array" aca="1" ref="Q55" ca="1">_xlfn.TEXTJOIN(", ", TRUE, IF(($S$2:$S$485 = O55) * ($AF$2:$AF$485 &lt; 0), $W$2:$W$485&amp;" "&amp;$X$2:$X$485, ""))</f>
        <v/>
      </c>
      <c r="S55" s="281">
        <v>1084341</v>
      </c>
      <c r="T55" s="278" t="s">
        <v>304</v>
      </c>
      <c r="U55" s="278" t="s">
        <v>636</v>
      </c>
      <c r="V55" s="25">
        <v>2</v>
      </c>
      <c r="W55" s="284">
        <v>1050785</v>
      </c>
      <c r="X55" s="19" t="str">
        <f>IFERROR(INDEX(Table14[],MATCH($W55,Table14[SAPNo],0),3),"")</f>
        <v>Round 1005 CT138  10C (S)</v>
      </c>
      <c r="Y55" s="284">
        <v>14</v>
      </c>
      <c r="Z55" s="25">
        <f t="shared" si="1"/>
        <v>0</v>
      </c>
      <c r="AA55" s="25">
        <f t="shared" si="2"/>
        <v>0</v>
      </c>
      <c r="AB55" s="23">
        <f ca="1">IFERROR(INDEX('Cutters Inventory 12-30-2025'!A:W,MATCH($W55,'Cutters Inventory 12-30-2025'!B:B,0),14),0)</f>
        <v>0</v>
      </c>
      <c r="AC55" s="23">
        <f>SUMIF(Table1[LEVEL 5 MAT NO.],S55,Table1[Braze Plan])</f>
        <v>0</v>
      </c>
      <c r="AD55" s="23">
        <f>Table4[[#This Row],[Quantity]]*Table4[[#This Row],[Bits Braze Plan]]</f>
        <v>0</v>
      </c>
      <c r="AE55" s="23">
        <f ca="1">Table4[[#This Row],[INV. QTY]]-Table4[[#This Row],[Required For Braze Cutters Check]]</f>
        <v>0</v>
      </c>
      <c r="AF55" s="23">
        <f t="shared" ca="1" si="3"/>
        <v>0</v>
      </c>
      <c r="AG55" s="23"/>
      <c r="AI55">
        <v>1146738</v>
      </c>
      <c r="AJ55" s="19">
        <f t="shared" si="15"/>
        <v>1146738</v>
      </c>
      <c r="AK55" s="19">
        <f>SUMIF(Table4[Component],AJ55,Table4[Qty of Cutters in these MATs])</f>
        <v>26</v>
      </c>
      <c r="AL55" s="19">
        <f>SUMIF(Table4[Component],AJ55,Table4[Required For Braze Cutters Check])</f>
        <v>0</v>
      </c>
      <c r="AM55" s="19">
        <f ca="1">IFERROR(INDEX('Cutters Inventory 12-30-2025'!A:W,MATCH($AI55,'Cutters Inventory 12-30-2025'!B:B,0),14),0)</f>
        <v>76</v>
      </c>
      <c r="AN55" s="19">
        <f ca="1">Table5[[#This Row],[INV. QTY]]-Table5[[#This Row],[Required For Braze Cutters Check]]</f>
        <v>76</v>
      </c>
      <c r="AO55" s="19" t="str">
        <f ca="1">IF($AN55&lt;0,Table5[[#This Row],[Component]],"")</f>
        <v/>
      </c>
      <c r="AS55">
        <v>1146737</v>
      </c>
      <c r="AT55">
        <f t="shared" si="8"/>
        <v>1146737</v>
      </c>
      <c r="AV55" s="573">
        <f t="shared" si="19"/>
        <v>0</v>
      </c>
      <c r="AW55">
        <f t="shared" si="16"/>
        <v>0</v>
      </c>
      <c r="AY55">
        <v>1241180</v>
      </c>
      <c r="AZ55">
        <v>0</v>
      </c>
      <c r="BA55">
        <f t="shared" si="20"/>
        <v>0</v>
      </c>
      <c r="BC55" s="159">
        <f>IFERROR(VLOOKUP(BA:BA,Table4[],8,FALSE),Table6[[#This Row],[Not Exist BOM''s]])</f>
        <v>0</v>
      </c>
    </row>
    <row r="56" spans="1:55" ht="24.75" customHeight="1" x14ac:dyDescent="0.3">
      <c r="A56" s="109"/>
      <c r="B56" s="608"/>
      <c r="C56" s="109">
        <v>14036252</v>
      </c>
      <c r="D56" s="109" t="s">
        <v>304</v>
      </c>
      <c r="E56" s="109" t="s">
        <v>636</v>
      </c>
      <c r="F56" s="109"/>
      <c r="G56" s="109"/>
      <c r="H56" s="140">
        <v>1228848</v>
      </c>
      <c r="I56" s="140">
        <v>1016454</v>
      </c>
      <c r="J56" s="26">
        <f>IF(H56&lt;&gt;"",IF(AND(C56&lt;&gt;"",IFERROR(MATCH(C56,Table10[Serial No.],0),0)),0,1),0)</f>
        <v>0</v>
      </c>
      <c r="K56" s="21"/>
      <c r="L56" s="539" t="str">
        <f t="shared" ca="1" si="7"/>
        <v/>
      </c>
      <c r="N56">
        <v>2017803</v>
      </c>
      <c r="O56" s="28">
        <f t="shared" si="0"/>
        <v>2017803</v>
      </c>
      <c r="P56" s="28">
        <f>SUMIF(Table1[LEVEL 5 MAT NO.],N56,Table1[Quantity])</f>
        <v>1</v>
      </c>
      <c r="Q56" s="480" t="str" cm="1">
        <f t="array" aca="1" ref="Q56" ca="1">_xlfn.TEXTJOIN(", ", TRUE, IF(($S$2:$S$485 = O56) * ($AF$2:$AF$485 &lt; 0), $W$2:$W$485&amp;" "&amp;$X$2:$X$485, ""))</f>
        <v/>
      </c>
      <c r="S56" s="281">
        <v>1086630</v>
      </c>
      <c r="T56" s="278" t="s">
        <v>624</v>
      </c>
      <c r="U56" s="278" t="s">
        <v>282</v>
      </c>
      <c r="V56" s="25">
        <v>1</v>
      </c>
      <c r="W56" s="284">
        <v>1126402</v>
      </c>
      <c r="X56" s="19" t="str">
        <f>IFERROR(INDEX(Table14[],MATCH($W56,Table14[SAPNo],0),3),"")</f>
        <v>1613 CT421 16-60</v>
      </c>
      <c r="Y56" s="284">
        <v>28</v>
      </c>
      <c r="Z56" s="25">
        <f t="shared" si="1"/>
        <v>0</v>
      </c>
      <c r="AA56" s="25">
        <f t="shared" si="2"/>
        <v>0</v>
      </c>
      <c r="AB56" s="23">
        <f ca="1">IFERROR(INDEX('Cutters Inventory 12-30-2025'!A:W,MATCH($W56,'Cutters Inventory 12-30-2025'!B:B,0),14),0)</f>
        <v>422</v>
      </c>
      <c r="AC56" s="23">
        <f>SUMIF(Table1[LEVEL 5 MAT NO.],S56,Table1[Braze Plan])</f>
        <v>0</v>
      </c>
      <c r="AD56" s="23">
        <f>Table4[[#This Row],[Quantity]]*Table4[[#This Row],[Bits Braze Plan]]</f>
        <v>0</v>
      </c>
      <c r="AE56" s="23">
        <f ca="1">Table4[[#This Row],[INV. QTY]]-Table4[[#This Row],[Required For Braze Cutters Check]]</f>
        <v>422</v>
      </c>
      <c r="AF56" s="23">
        <f t="shared" ca="1" si="3"/>
        <v>422</v>
      </c>
      <c r="AG56" s="23"/>
      <c r="AI56">
        <v>1146742</v>
      </c>
      <c r="AJ56" s="19">
        <f t="shared" si="15"/>
        <v>1146742</v>
      </c>
      <c r="AK56" s="19">
        <f>SUMIF(Table4[Component],AJ56,Table4[Qty of Cutters in these MATs])</f>
        <v>20</v>
      </c>
      <c r="AL56" s="19">
        <f>SUMIF(Table4[Component],AJ56,Table4[Required For Braze Cutters Check])</f>
        <v>0</v>
      </c>
      <c r="AM56" s="19">
        <f ca="1">IFERROR(INDEX('Cutters Inventory 12-30-2025'!A:W,MATCH($AI56,'Cutters Inventory 12-30-2025'!B:B,0),14),0)</f>
        <v>20</v>
      </c>
      <c r="AN56" s="19">
        <f ca="1">Table5[[#This Row],[INV. QTY]]-Table5[[#This Row],[Required For Braze Cutters Check]]</f>
        <v>20</v>
      </c>
      <c r="AO56" s="19" t="str">
        <f ca="1">IF($AN56&lt;0,Table5[[#This Row],[Component]],"")</f>
        <v/>
      </c>
      <c r="AS56">
        <v>1146738</v>
      </c>
      <c r="AT56">
        <f t="shared" si="8"/>
        <v>1146738</v>
      </c>
      <c r="AV56" s="573">
        <f t="shared" si="19"/>
        <v>0</v>
      </c>
      <c r="AW56">
        <f t="shared" si="16"/>
        <v>0</v>
      </c>
      <c r="AY56">
        <v>1249569</v>
      </c>
      <c r="BA56">
        <f t="shared" si="20"/>
        <v>0</v>
      </c>
      <c r="BC56" s="159">
        <f>IFERROR(VLOOKUP(BA:BA,Table4[],8,FALSE),Table6[[#This Row],[Not Exist BOM''s]])</f>
        <v>0</v>
      </c>
    </row>
    <row r="57" spans="1:55" ht="24.75" customHeight="1" x14ac:dyDescent="0.3">
      <c r="A57" s="109"/>
      <c r="B57" s="608"/>
      <c r="C57" s="109">
        <v>14036253</v>
      </c>
      <c r="D57" s="109" t="s">
        <v>304</v>
      </c>
      <c r="E57" s="109" t="s">
        <v>636</v>
      </c>
      <c r="F57" s="109"/>
      <c r="G57" s="109"/>
      <c r="H57" s="140">
        <v>1228690</v>
      </c>
      <c r="I57" s="140">
        <v>960723</v>
      </c>
      <c r="J57" s="26">
        <f>IF(H57&lt;&gt;"",IF(AND(C57&lt;&gt;"",IFERROR(MATCH(C57,Table10[Serial No.],0),0)),0,1),0)</f>
        <v>0</v>
      </c>
      <c r="K57" s="21"/>
      <c r="L57" s="539" t="str">
        <f t="shared" ca="1" si="7"/>
        <v/>
      </c>
      <c r="N57">
        <v>2018723</v>
      </c>
      <c r="O57" s="28">
        <f t="shared" ref="O57:O93" si="21">IFERROR(N57,"")</f>
        <v>2018723</v>
      </c>
      <c r="P57" s="28">
        <f>SUMIF(Table1[LEVEL 5 MAT NO.],N57,Table1[Quantity])</f>
        <v>0</v>
      </c>
      <c r="Q57" s="480" t="str" cm="1">
        <f t="array" aca="1" ref="Q57" ca="1">_xlfn.TEXTJOIN(", ", TRUE, IF(($S$2:$S$485 = O57) * ($AF$2:$AF$485 &lt; 0), $W$2:$W$485&amp;" "&amp;$X$2:$X$485, ""))</f>
        <v/>
      </c>
      <c r="S57" s="281">
        <v>1086630</v>
      </c>
      <c r="T57" s="278" t="s">
        <v>624</v>
      </c>
      <c r="U57" s="278" t="s">
        <v>282</v>
      </c>
      <c r="V57" s="25">
        <v>2</v>
      </c>
      <c r="W57" s="284">
        <v>418525</v>
      </c>
      <c r="X57" s="19" t="str">
        <f>IFERROR(INDEX(Table14[],MATCH($W57,Table14[SAPNo],0),3),"")</f>
        <v>Drop In 1308 CT31   (B)</v>
      </c>
      <c r="Y57" s="284">
        <v>12</v>
      </c>
      <c r="Z57" s="25">
        <f t="shared" si="1"/>
        <v>0</v>
      </c>
      <c r="AA57" s="25">
        <f t="shared" si="2"/>
        <v>0</v>
      </c>
      <c r="AB57" s="23">
        <f ca="1">IFERROR(INDEX('Cutters Inventory 12-30-2025'!A:W,MATCH($W57,'Cutters Inventory 12-30-2025'!B:B,0),14),0)</f>
        <v>933</v>
      </c>
      <c r="AC57" s="23">
        <f>SUMIF(Table1[LEVEL 5 MAT NO.],S57,Table1[Braze Plan])</f>
        <v>0</v>
      </c>
      <c r="AD57" s="23">
        <f>Table4[[#This Row],[Quantity]]*Table4[[#This Row],[Bits Braze Plan]]</f>
        <v>0</v>
      </c>
      <c r="AE57" s="23">
        <f ca="1">Table4[[#This Row],[INV. QTY]]-Table4[[#This Row],[Required For Braze Cutters Check]]</f>
        <v>933</v>
      </c>
      <c r="AF57" s="23">
        <f t="shared" ca="1" si="3"/>
        <v>933</v>
      </c>
      <c r="AG57" s="23"/>
      <c r="AI57">
        <v>1152018</v>
      </c>
      <c r="AJ57" s="19">
        <f t="shared" si="15"/>
        <v>1152018</v>
      </c>
      <c r="AK57" s="19">
        <f>SUMIF(Table4[Component],AJ57,Table4[Qty of Cutters in these MATs])</f>
        <v>0</v>
      </c>
      <c r="AL57" s="19">
        <f>SUMIF(Table4[Component],AJ57,Table4[Required For Braze Cutters Check])</f>
        <v>0</v>
      </c>
      <c r="AM57" s="19">
        <f ca="1">IFERROR(INDEX('Cutters Inventory 12-30-2025'!A:W,MATCH($AI57,'Cutters Inventory 12-30-2025'!B:B,0),14),0)</f>
        <v>45</v>
      </c>
      <c r="AN57" s="19">
        <f ca="1">Table5[[#This Row],[INV. QTY]]-Table5[[#This Row],[Required For Braze Cutters Check]]</f>
        <v>45</v>
      </c>
      <c r="AO57" s="19" t="str">
        <f ca="1">IF($AN57&lt;0,Table5[[#This Row],[Component]],"")</f>
        <v/>
      </c>
      <c r="AS57">
        <v>1146742</v>
      </c>
      <c r="AT57">
        <f t="shared" si="8"/>
        <v>1146742</v>
      </c>
      <c r="AV57" s="573">
        <f t="shared" si="19"/>
        <v>0</v>
      </c>
      <c r="AW57">
        <f t="shared" si="16"/>
        <v>0</v>
      </c>
      <c r="AY57">
        <v>1251098</v>
      </c>
      <c r="BA57">
        <f t="shared" si="20"/>
        <v>0</v>
      </c>
      <c r="BC57" s="159">
        <f>IFERROR(VLOOKUP(BA:BA,Table4[],8,FALSE),Table6[[#This Row],[Not Exist BOM''s]])</f>
        <v>0</v>
      </c>
    </row>
    <row r="58" spans="1:55" ht="24.75" customHeight="1" x14ac:dyDescent="0.3">
      <c r="A58" s="109"/>
      <c r="B58" s="608"/>
      <c r="C58" s="109">
        <v>14036254</v>
      </c>
      <c r="D58" s="109" t="s">
        <v>304</v>
      </c>
      <c r="E58" s="109" t="s">
        <v>636</v>
      </c>
      <c r="F58" s="109"/>
      <c r="G58" s="109"/>
      <c r="H58" s="140">
        <v>1228690</v>
      </c>
      <c r="I58" s="140">
        <v>960723</v>
      </c>
      <c r="J58" s="26">
        <f>IF(H58&lt;&gt;"",IF(AND(C58&lt;&gt;"",IFERROR(MATCH(C58,Table10[Serial No.],0),0)),0,1),0)</f>
        <v>0</v>
      </c>
      <c r="K58" s="21"/>
      <c r="L58" s="539" t="str">
        <f t="shared" ca="1" si="7"/>
        <v/>
      </c>
      <c r="N58">
        <v>2019412</v>
      </c>
      <c r="O58" s="28">
        <f t="shared" si="21"/>
        <v>2019412</v>
      </c>
      <c r="P58" s="28">
        <f>SUMIF(Table1[LEVEL 5 MAT NO.],N58,Table1[Quantity])</f>
        <v>2</v>
      </c>
      <c r="Q58" s="480" t="str" cm="1">
        <f t="array" aca="1" ref="Q58" ca="1">_xlfn.TEXTJOIN(", ", TRUE, IF(($S$2:$S$485 = O58) * ($AF$2:$AF$485 &lt; 0), $W$2:$W$485&amp;" "&amp;$X$2:$X$485, ""))</f>
        <v/>
      </c>
      <c r="S58" s="281">
        <v>1086630</v>
      </c>
      <c r="T58" s="278" t="s">
        <v>624</v>
      </c>
      <c r="U58" s="278" t="s">
        <v>282</v>
      </c>
      <c r="V58" s="25">
        <v>3</v>
      </c>
      <c r="W58" s="284">
        <v>871781</v>
      </c>
      <c r="X58" s="19" t="str">
        <f>IFERROR(INDEX(Table14[],MATCH($W58,Table14[SAPNo],0),3),"")</f>
        <v>Round 1313 CT200  0.018" (B)</v>
      </c>
      <c r="Y58" s="284">
        <v>3</v>
      </c>
      <c r="Z58" s="25">
        <f t="shared" si="1"/>
        <v>0</v>
      </c>
      <c r="AA58" s="25">
        <f t="shared" si="2"/>
        <v>0</v>
      </c>
      <c r="AB58" s="23">
        <f ca="1">IFERROR(INDEX('Cutters Inventory 12-30-2025'!A:W,MATCH($W58,'Cutters Inventory 12-30-2025'!B:B,0),14),0)</f>
        <v>843</v>
      </c>
      <c r="AC58" s="23">
        <f>SUMIF(Table1[LEVEL 5 MAT NO.],S58,Table1[Braze Plan])</f>
        <v>0</v>
      </c>
      <c r="AD58" s="23">
        <f>Table4[[#This Row],[Quantity]]*Table4[[#This Row],[Bits Braze Plan]]</f>
        <v>0</v>
      </c>
      <c r="AE58" s="23">
        <f ca="1">Table4[[#This Row],[INV. QTY]]-Table4[[#This Row],[Required For Braze Cutters Check]]</f>
        <v>843</v>
      </c>
      <c r="AF58" s="23">
        <f t="shared" ca="1" si="3"/>
        <v>843</v>
      </c>
      <c r="AG58" s="23"/>
      <c r="AI58">
        <v>1161587</v>
      </c>
      <c r="AJ58" s="19">
        <f t="shared" si="15"/>
        <v>1161587</v>
      </c>
      <c r="AK58" s="19">
        <f>SUMIF(Table4[Component],AJ58,Table4[Qty of Cutters in these MATs])</f>
        <v>0</v>
      </c>
      <c r="AL58" s="19">
        <f>SUMIF(Table4[Component],AJ58,Table4[Required For Braze Cutters Check])</f>
        <v>0</v>
      </c>
      <c r="AM58" s="19">
        <f ca="1">IFERROR(INDEX('Cutters Inventory 12-30-2025'!A:W,MATCH($AI58,'Cutters Inventory 12-30-2025'!B:B,0),14),0)</f>
        <v>0</v>
      </c>
      <c r="AN58" s="19">
        <f ca="1">Table5[[#This Row],[INV. QTY]]-Table5[[#This Row],[Required For Braze Cutters Check]]</f>
        <v>0</v>
      </c>
      <c r="AO58" s="19" t="str">
        <f ca="1">IF($AN58&lt;0,Table5[[#This Row],[Component]],"")</f>
        <v/>
      </c>
      <c r="AS58">
        <v>1152018</v>
      </c>
      <c r="AT58">
        <f t="shared" si="8"/>
        <v>1152018</v>
      </c>
      <c r="AV58" s="573">
        <f t="shared" si="19"/>
        <v>0</v>
      </c>
      <c r="AW58">
        <f t="shared" si="16"/>
        <v>0</v>
      </c>
      <c r="AY58">
        <v>1251627</v>
      </c>
      <c r="BA58">
        <f t="shared" ref="BA58:BA89" si="22">IFERROR(AZ58,"")</f>
        <v>0</v>
      </c>
      <c r="BC58" s="159">
        <f>IFERROR(VLOOKUP(BA:BA,Table4[],8,FALSE),Table6[[#This Row],[Not Exist BOM''s]])</f>
        <v>0</v>
      </c>
    </row>
    <row r="59" spans="1:55" ht="24.75" customHeight="1" x14ac:dyDescent="0.3">
      <c r="A59" s="109"/>
      <c r="B59" s="608"/>
      <c r="C59" s="109">
        <v>14036255</v>
      </c>
      <c r="D59" s="109" t="s">
        <v>304</v>
      </c>
      <c r="E59" s="109" t="s">
        <v>636</v>
      </c>
      <c r="F59" s="109"/>
      <c r="G59" s="109"/>
      <c r="H59" s="140">
        <v>1228690</v>
      </c>
      <c r="I59" s="140">
        <v>960723</v>
      </c>
      <c r="J59" s="26">
        <f>IF(H59&lt;&gt;"",IF(AND(C59&lt;&gt;"",IFERROR(MATCH(C59,Table10[Serial No.],0),0)),0,1),0)</f>
        <v>0</v>
      </c>
      <c r="K59" s="21"/>
      <c r="L59" s="539" t="str">
        <f t="shared" ca="1" si="7"/>
        <v/>
      </c>
      <c r="N59">
        <v>2020054</v>
      </c>
      <c r="O59" s="28">
        <f t="shared" si="21"/>
        <v>2020054</v>
      </c>
      <c r="P59" s="28">
        <f>SUMIF(Table1[LEVEL 5 MAT NO.],N59,Table1[Quantity])</f>
        <v>4</v>
      </c>
      <c r="Q59" s="480" t="str" cm="1">
        <f t="array" aca="1" ref="Q59" ca="1">_xlfn.TEXTJOIN(", ", TRUE, IF(($S$2:$S$485 = O59) * ($AF$2:$AF$485 &lt; 0), $W$2:$W$485&amp;" "&amp;$X$2:$X$485, ""))</f>
        <v/>
      </c>
      <c r="S59" s="281">
        <v>1086630</v>
      </c>
      <c r="T59" s="278" t="s">
        <v>624</v>
      </c>
      <c r="U59" s="278" t="s">
        <v>282</v>
      </c>
      <c r="V59" s="25">
        <v>4</v>
      </c>
      <c r="W59" s="284">
        <v>1130196</v>
      </c>
      <c r="X59" s="19" t="str">
        <f>IFERROR(INDEX(Table14[],MATCH($W59,Table14[SAPNo],0),3),"")</f>
        <v>Round 1313 CT182  0.018" (S)</v>
      </c>
      <c r="Y59" s="284">
        <v>3</v>
      </c>
      <c r="Z59" s="25">
        <f t="shared" si="1"/>
        <v>0</v>
      </c>
      <c r="AA59" s="25">
        <f t="shared" si="2"/>
        <v>0</v>
      </c>
      <c r="AB59" s="23">
        <f ca="1">IFERROR(INDEX('Cutters Inventory 12-30-2025'!A:W,MATCH($W59,'Cutters Inventory 12-30-2025'!B:B,0),14),0)</f>
        <v>6</v>
      </c>
      <c r="AC59" s="23">
        <f>SUMIF(Table1[LEVEL 5 MAT NO.],S59,Table1[Braze Plan])</f>
        <v>0</v>
      </c>
      <c r="AD59" s="23">
        <f>Table4[[#This Row],[Quantity]]*Table4[[#This Row],[Bits Braze Plan]]</f>
        <v>0</v>
      </c>
      <c r="AE59" s="23">
        <f ca="1">Table4[[#This Row],[INV. QTY]]-Table4[[#This Row],[Required For Braze Cutters Check]]</f>
        <v>6</v>
      </c>
      <c r="AF59" s="23">
        <f t="shared" ca="1" si="3"/>
        <v>6</v>
      </c>
      <c r="AG59" s="23"/>
      <c r="AI59">
        <v>1162511</v>
      </c>
      <c r="AJ59" s="19">
        <f t="shared" si="15"/>
        <v>1162511</v>
      </c>
      <c r="AK59" s="19">
        <f>SUMIF(Table4[Component],AJ59,Table4[Qty of Cutters in these MATs])</f>
        <v>0</v>
      </c>
      <c r="AL59" s="19">
        <f>SUMIF(Table4[Component],AJ59,Table4[Required For Braze Cutters Check])</f>
        <v>0</v>
      </c>
      <c r="AM59" s="19">
        <f>IFERROR(INDEX('Cutters Inventory 12-30-2025'!A:W,MATCH($AI59,'Cutters Inventory 12-30-2025'!B:B,0),14),0)</f>
        <v>0</v>
      </c>
      <c r="AN59" s="19">
        <f>Table5[[#This Row],[INV. QTY]]-Table5[[#This Row],[Required For Braze Cutters Check]]</f>
        <v>0</v>
      </c>
      <c r="AO59" s="19" t="str">
        <f>IF($AN59&lt;0,Table5[[#This Row],[Component]],"")</f>
        <v/>
      </c>
      <c r="AS59">
        <v>1161587</v>
      </c>
      <c r="AT59">
        <f t="shared" si="8"/>
        <v>1161587</v>
      </c>
      <c r="AV59" s="573">
        <f t="shared" si="19"/>
        <v>0</v>
      </c>
      <c r="AW59">
        <f t="shared" si="16"/>
        <v>0</v>
      </c>
      <c r="AY59">
        <v>1276939</v>
      </c>
      <c r="BA59">
        <f t="shared" si="22"/>
        <v>0</v>
      </c>
      <c r="BC59" s="159">
        <f>IFERROR(VLOOKUP(BA:BA,Table4[],8,FALSE),Table6[[#This Row],[Not Exist BOM''s]])</f>
        <v>0</v>
      </c>
    </row>
    <row r="60" spans="1:55" ht="24.75" customHeight="1" x14ac:dyDescent="0.3">
      <c r="A60" s="132"/>
      <c r="B60" s="609"/>
      <c r="C60" s="132">
        <v>14036256</v>
      </c>
      <c r="D60" s="132" t="s">
        <v>304</v>
      </c>
      <c r="E60" s="132" t="s">
        <v>636</v>
      </c>
      <c r="F60" s="132"/>
      <c r="G60" s="132"/>
      <c r="H60" s="141">
        <v>1228690</v>
      </c>
      <c r="I60" s="140">
        <v>960723</v>
      </c>
      <c r="J60" s="26">
        <f>IF(H60&lt;&gt;"",IF(AND(C60&lt;&gt;"",IFERROR(MATCH(C60,Table10[Serial No.],0),0)),0,1),0)</f>
        <v>0</v>
      </c>
      <c r="K60" s="21"/>
      <c r="L60" s="539" t="str">
        <f t="shared" ca="1" si="7"/>
        <v/>
      </c>
      <c r="N60">
        <v>2021073</v>
      </c>
      <c r="O60" s="28">
        <f t="shared" si="21"/>
        <v>2021073</v>
      </c>
      <c r="P60" s="28">
        <f>SUMIF(Table1[LEVEL 5 MAT NO.],N60,Table1[Quantity])</f>
        <v>1</v>
      </c>
      <c r="Q60" s="480" t="str" cm="1">
        <f t="array" aca="1" ref="Q60" ca="1">_xlfn.TEXTJOIN(", ", TRUE, IF(($S$2:$S$485 = O60) * ($AF$2:$AF$485 &lt; 0), $W$2:$W$485&amp;" "&amp;$X$2:$X$485, ""))</f>
        <v/>
      </c>
      <c r="S60" s="282">
        <v>1092722</v>
      </c>
      <c r="T60" s="279" t="s">
        <v>316</v>
      </c>
      <c r="U60" s="279" t="s">
        <v>290</v>
      </c>
      <c r="V60" s="25">
        <v>1</v>
      </c>
      <c r="W60" s="284">
        <v>647435</v>
      </c>
      <c r="X60" s="19" t="str">
        <f>IFERROR(INDEX(Table14[],MATCH($W60,Table14[SAPNo],0),3),"")</f>
        <v>Round 1608 CT200  0.018" (B)</v>
      </c>
      <c r="Y60" s="284">
        <v>16</v>
      </c>
      <c r="Z60" s="25">
        <f t="shared" si="1"/>
        <v>0</v>
      </c>
      <c r="AA60" s="25">
        <f t="shared" si="2"/>
        <v>0</v>
      </c>
      <c r="AB60" s="23">
        <f ca="1">IFERROR(INDEX('Cutters Inventory 12-30-2025'!A:W,MATCH($W60,'Cutters Inventory 12-30-2025'!B:B,0),14),0)</f>
        <v>284</v>
      </c>
      <c r="AC60" s="23">
        <f>SUMIF(Table1[LEVEL 5 MAT NO.],S60,Table1[Braze Plan])</f>
        <v>0</v>
      </c>
      <c r="AD60" s="23">
        <f>Table4[[#This Row],[Quantity]]*Table4[[#This Row],[Bits Braze Plan]]</f>
        <v>0</v>
      </c>
      <c r="AE60" s="23">
        <f ca="1">Table4[[#This Row],[INV. QTY]]-Table4[[#This Row],[Required For Braze Cutters Check]]</f>
        <v>284</v>
      </c>
      <c r="AF60" s="23">
        <f t="shared" ca="1" si="3"/>
        <v>284</v>
      </c>
      <c r="AG60" s="23"/>
      <c r="AI60">
        <v>1165769</v>
      </c>
      <c r="AJ60" s="19">
        <f t="shared" si="15"/>
        <v>1165769</v>
      </c>
      <c r="AK60" s="19">
        <f>SUMIF(Table4[Component],AJ60,Table4[Qty of Cutters in these MATs])</f>
        <v>0</v>
      </c>
      <c r="AL60" s="19">
        <f>SUMIF(Table4[Component],AJ60,Table4[Required For Braze Cutters Check])</f>
        <v>0</v>
      </c>
      <c r="AM60" s="19">
        <f>IFERROR(INDEX('Cutters Inventory 12-30-2025'!A:W,MATCH($AI60,'Cutters Inventory 12-30-2025'!B:B,0),14),0)</f>
        <v>0</v>
      </c>
      <c r="AN60" s="19">
        <f>Table5[[#This Row],[INV. QTY]]-Table5[[#This Row],[Required For Braze Cutters Check]]</f>
        <v>0</v>
      </c>
      <c r="AO60" s="19" t="str">
        <f>IF($AN60&lt;0,Table5[[#This Row],[Component]],"")</f>
        <v/>
      </c>
      <c r="AS60">
        <v>1177229</v>
      </c>
      <c r="AT60">
        <f t="shared" si="8"/>
        <v>1177229</v>
      </c>
      <c r="AV60" s="573">
        <f t="shared" si="19"/>
        <v>0</v>
      </c>
      <c r="AW60">
        <f t="shared" si="16"/>
        <v>0</v>
      </c>
      <c r="AY60">
        <v>1252149</v>
      </c>
      <c r="BA60">
        <f t="shared" si="22"/>
        <v>0</v>
      </c>
      <c r="BC60" s="159">
        <f>IFERROR(VLOOKUP(BA:BA,Table4[],8,FALSE),Table6[[#This Row],[Not Exist BOM''s]])</f>
        <v>0</v>
      </c>
    </row>
    <row r="61" spans="1:55" ht="24.75" customHeight="1" x14ac:dyDescent="0.3">
      <c r="A61" s="109"/>
      <c r="B61" s="708"/>
      <c r="C61" s="109">
        <v>14036258</v>
      </c>
      <c r="D61" s="109" t="s">
        <v>304</v>
      </c>
      <c r="E61" s="109" t="s">
        <v>636</v>
      </c>
      <c r="F61" s="109"/>
      <c r="G61" s="109"/>
      <c r="H61" s="140">
        <v>1228690</v>
      </c>
      <c r="I61" s="140">
        <v>960723</v>
      </c>
      <c r="J61" s="26">
        <f>IF(H61&lt;&gt;"",IF(AND(C61&lt;&gt;"",IFERROR(MATCH(C61,Table10[Serial No.],0),0)),0,1),0)</f>
        <v>0</v>
      </c>
      <c r="K61" s="21"/>
      <c r="L61" s="539" t="str">
        <f t="shared" ca="1" si="7"/>
        <v/>
      </c>
      <c r="N61">
        <v>2021865</v>
      </c>
      <c r="O61" s="28">
        <f t="shared" si="21"/>
        <v>2021865</v>
      </c>
      <c r="P61" s="28">
        <f>SUMIF(Table1[LEVEL 5 MAT NO.],N61,Table1[Quantity])</f>
        <v>8</v>
      </c>
      <c r="Q61" s="480" t="str" cm="1">
        <f t="array" aca="1" ref="Q61" ca="1">_xlfn.TEXTJOIN(", ", TRUE, IF(($S$2:$S$485 = O61) * ($AF$2:$AF$485 &lt; 0), $W$2:$W$485&amp;" "&amp;$X$2:$X$485, ""))</f>
        <v/>
      </c>
      <c r="S61" s="281">
        <v>1092722</v>
      </c>
      <c r="T61" s="278" t="s">
        <v>316</v>
      </c>
      <c r="U61" s="278" t="s">
        <v>290</v>
      </c>
      <c r="V61" s="25">
        <v>2</v>
      </c>
      <c r="W61" s="284">
        <v>647436</v>
      </c>
      <c r="X61" s="19" t="str">
        <f>IFERROR(INDEX(Table14[],MATCH($W61,Table14[SAPNo],0),3),"")</f>
        <v>Round 1613 CT200  0.018" (B)</v>
      </c>
      <c r="Y61" s="284">
        <v>64</v>
      </c>
      <c r="Z61" s="25">
        <f t="shared" si="1"/>
        <v>0</v>
      </c>
      <c r="AA61" s="25">
        <f t="shared" si="2"/>
        <v>0</v>
      </c>
      <c r="AB61" s="23">
        <f ca="1">IFERROR(INDEX('Cutters Inventory 12-30-2025'!A:W,MATCH($W61,'Cutters Inventory 12-30-2025'!B:B,0),14),0)</f>
        <v>412</v>
      </c>
      <c r="AC61" s="23">
        <f>SUMIF(Table1[LEVEL 5 MAT NO.],S61,Table1[Braze Plan])</f>
        <v>0</v>
      </c>
      <c r="AD61" s="23">
        <f>Table4[[#This Row],[Quantity]]*Table4[[#This Row],[Bits Braze Plan]]</f>
        <v>0</v>
      </c>
      <c r="AE61" s="23">
        <f ca="1">Table4[[#This Row],[INV. QTY]]-Table4[[#This Row],[Required For Braze Cutters Check]]</f>
        <v>412</v>
      </c>
      <c r="AF61" s="23">
        <f t="shared" ca="1" si="3"/>
        <v>412</v>
      </c>
      <c r="AG61" s="23"/>
      <c r="AI61">
        <v>1177229</v>
      </c>
      <c r="AJ61" s="19">
        <f t="shared" si="15"/>
        <v>1177229</v>
      </c>
      <c r="AK61" s="19">
        <f>SUMIF(Table4[Component],AJ61,Table4[Qty of Cutters in these MATs])</f>
        <v>0</v>
      </c>
      <c r="AL61" s="19">
        <f>SUMIF(Table4[Component],AJ61,Table4[Required For Braze Cutters Check])</f>
        <v>0</v>
      </c>
      <c r="AM61" s="19">
        <f ca="1">IFERROR(INDEX('Cutters Inventory 12-30-2025'!A:W,MATCH($AI61,'Cutters Inventory 12-30-2025'!B:B,0),14),0)</f>
        <v>0</v>
      </c>
      <c r="AN61" s="19">
        <f ca="1">Table5[[#This Row],[INV. QTY]]-Table5[[#This Row],[Required For Braze Cutters Check]]</f>
        <v>0</v>
      </c>
      <c r="AO61" s="19" t="str">
        <f ca="1">IF($AN61&lt;0,Table5[[#This Row],[Component]],"")</f>
        <v/>
      </c>
      <c r="AS61">
        <v>1180935</v>
      </c>
      <c r="AT61">
        <f t="shared" si="8"/>
        <v>1180935</v>
      </c>
      <c r="AV61" s="573">
        <f t="shared" si="19"/>
        <v>0</v>
      </c>
      <c r="AW61">
        <f t="shared" si="16"/>
        <v>0</v>
      </c>
      <c r="AY61">
        <v>1254482</v>
      </c>
      <c r="BA61">
        <f t="shared" si="22"/>
        <v>0</v>
      </c>
      <c r="BC61" s="159">
        <f>IFERROR(VLOOKUP(BA:BA,Table4[],8,FALSE),Table6[[#This Row],[Not Exist BOM''s]])</f>
        <v>0</v>
      </c>
    </row>
    <row r="62" spans="1:55" ht="24.75" customHeight="1" x14ac:dyDescent="0.3">
      <c r="A62" s="109"/>
      <c r="B62" s="708"/>
      <c r="C62" s="109">
        <v>14036262</v>
      </c>
      <c r="D62" s="109" t="s">
        <v>304</v>
      </c>
      <c r="E62" s="109" t="s">
        <v>636</v>
      </c>
      <c r="F62" s="109"/>
      <c r="G62" s="109"/>
      <c r="H62" s="140">
        <v>1228690</v>
      </c>
      <c r="I62" s="140">
        <v>960723</v>
      </c>
      <c r="J62" s="26">
        <f>IF(H62&lt;&gt;"",IF(AND(C62&lt;&gt;"",IFERROR(MATCH(C62,Table10[Serial No.],0),0)),0,1),0)</f>
        <v>0</v>
      </c>
      <c r="K62" s="21"/>
      <c r="L62" s="539" t="str">
        <f t="shared" ca="1" si="7"/>
        <v/>
      </c>
      <c r="N62" t="str">
        <v>1095217M</v>
      </c>
      <c r="O62" s="28" t="str">
        <f t="shared" si="21"/>
        <v>1095217M</v>
      </c>
      <c r="P62" s="28">
        <f>SUMIF(Table1[LEVEL 5 MAT NO.],N62,Table1[Quantity])</f>
        <v>0</v>
      </c>
      <c r="Q62" s="480" t="str" cm="1">
        <f t="array" aca="1" ref="Q62" ca="1">_xlfn.TEXTJOIN(", ", TRUE, IF(($S$2:$S$485 = O62) * ($AF$2:$AF$485 &lt; 0), $W$2:$W$485&amp;" "&amp;$X$2:$X$485, ""))</f>
        <v/>
      </c>
      <c r="S62" s="281">
        <v>1092722</v>
      </c>
      <c r="T62" s="278" t="s">
        <v>316</v>
      </c>
      <c r="U62" s="278" t="s">
        <v>290</v>
      </c>
      <c r="V62" s="25">
        <v>3</v>
      </c>
      <c r="W62" s="284">
        <v>418525</v>
      </c>
      <c r="X62" s="19" t="str">
        <f>IFERROR(INDEX(Table14[],MATCH($W62,Table14[SAPNo],0),3),"")</f>
        <v>Drop In 1308 CT31   (B)</v>
      </c>
      <c r="Y62" s="284">
        <v>8</v>
      </c>
      <c r="Z62" s="25">
        <f t="shared" si="1"/>
        <v>0</v>
      </c>
      <c r="AA62" s="25">
        <f t="shared" si="2"/>
        <v>0</v>
      </c>
      <c r="AB62" s="23">
        <f ca="1">IFERROR(INDEX('Cutters Inventory 12-30-2025'!A:W,MATCH($W62,'Cutters Inventory 12-30-2025'!B:B,0),14),0)</f>
        <v>933</v>
      </c>
      <c r="AC62" s="23">
        <f>SUMIF(Table1[LEVEL 5 MAT NO.],S62,Table1[Braze Plan])</f>
        <v>0</v>
      </c>
      <c r="AD62" s="23">
        <f>Table4[[#This Row],[Quantity]]*Table4[[#This Row],[Bits Braze Plan]]</f>
        <v>0</v>
      </c>
      <c r="AE62" s="23">
        <f ca="1">Table4[[#This Row],[INV. QTY]]-Table4[[#This Row],[Required For Braze Cutters Check]]</f>
        <v>933</v>
      </c>
      <c r="AF62" s="23">
        <f t="shared" ca="1" si="3"/>
        <v>933</v>
      </c>
      <c r="AG62" s="23"/>
      <c r="AI62">
        <v>1180935</v>
      </c>
      <c r="AJ62" s="19">
        <f t="shared" si="15"/>
        <v>1180935</v>
      </c>
      <c r="AK62" s="19">
        <f>SUMIF(Table4[Component],AJ62,Table4[Qty of Cutters in these MATs])</f>
        <v>9</v>
      </c>
      <c r="AL62" s="19">
        <f>SUMIF(Table4[Component],AJ62,Table4[Required For Braze Cutters Check])</f>
        <v>0</v>
      </c>
      <c r="AM62" s="19">
        <f ca="1">IFERROR(INDEX('Cutters Inventory 12-30-2025'!A:W,MATCH($AI62,'Cutters Inventory 12-30-2025'!B:B,0),14),0)</f>
        <v>0</v>
      </c>
      <c r="AN62" s="19">
        <f ca="1">Table5[[#This Row],[INV. QTY]]-Table5[[#This Row],[Required For Braze Cutters Check]]</f>
        <v>0</v>
      </c>
      <c r="AO62" s="19" t="str">
        <f ca="1">IF($AN62&lt;0,Table5[[#This Row],[Component]],"")</f>
        <v/>
      </c>
      <c r="AS62">
        <v>1181761</v>
      </c>
      <c r="AT62">
        <f t="shared" si="8"/>
        <v>1181761</v>
      </c>
      <c r="AV62" s="573">
        <f t="shared" si="19"/>
        <v>0</v>
      </c>
      <c r="AW62">
        <f t="shared" si="16"/>
        <v>0</v>
      </c>
      <c r="AY62">
        <v>1254762</v>
      </c>
      <c r="BA62">
        <f t="shared" si="22"/>
        <v>0</v>
      </c>
      <c r="BC62" s="159">
        <f>IFERROR(VLOOKUP(BA:BA,Table4[],8,FALSE),Table6[[#This Row],[Not Exist BOM''s]])</f>
        <v>0</v>
      </c>
    </row>
    <row r="63" spans="1:55" ht="24.75" customHeight="1" x14ac:dyDescent="0.3">
      <c r="A63" s="324"/>
      <c r="B63" s="608"/>
      <c r="C63" s="109">
        <v>13992671</v>
      </c>
      <c r="D63" s="109" t="s">
        <v>624</v>
      </c>
      <c r="E63" s="109" t="s">
        <v>640</v>
      </c>
      <c r="F63" s="109"/>
      <c r="G63" s="109"/>
      <c r="H63" s="140">
        <v>1255267</v>
      </c>
      <c r="I63" s="140" t="s">
        <v>641</v>
      </c>
      <c r="J63" s="26">
        <f>IF(H63&lt;&gt;"",IF(AND(C63&lt;&gt;"",IFERROR(MATCH(C63,Table10[Serial No.],0),0)),0,1),0)</f>
        <v>0</v>
      </c>
      <c r="K63" s="21"/>
      <c r="L63" s="539" t="str">
        <f t="shared" si="7"/>
        <v/>
      </c>
      <c r="N63" t="str">
        <v>1160951M1</v>
      </c>
      <c r="O63" s="28" t="str">
        <f t="shared" si="21"/>
        <v>1160951M1</v>
      </c>
      <c r="P63" s="28">
        <f>SUMIF(Table1[LEVEL 5 MAT NO.],N63,Table1[Quantity])</f>
        <v>0</v>
      </c>
      <c r="Q63" s="480" t="str" cm="1">
        <f t="array" aca="1" ref="Q63" ca="1">_xlfn.TEXTJOIN(", ", TRUE, IF(($S$2:$S$485 = O63) * ($AF$2:$AF$485 &lt; 0), $W$2:$W$485&amp;" "&amp;$X$2:$X$485, ""))</f>
        <v/>
      </c>
      <c r="S63" s="281">
        <v>1092722</v>
      </c>
      <c r="T63" s="278" t="s">
        <v>316</v>
      </c>
      <c r="U63" s="278" t="s">
        <v>290</v>
      </c>
      <c r="V63" s="25">
        <v>4</v>
      </c>
      <c r="W63" s="284">
        <v>1126402</v>
      </c>
      <c r="X63" s="19" t="str">
        <f>IFERROR(INDEX(Table14[],MATCH($W63,Table14[SAPNo],0),3),"")</f>
        <v>1613 CT421 16-60</v>
      </c>
      <c r="Y63" s="284">
        <v>92</v>
      </c>
      <c r="Z63" s="25">
        <f t="shared" si="1"/>
        <v>0</v>
      </c>
      <c r="AA63" s="25">
        <f t="shared" si="2"/>
        <v>0</v>
      </c>
      <c r="AB63" s="23">
        <f ca="1">IFERROR(INDEX('Cutters Inventory 12-30-2025'!A:W,MATCH($W63,'Cutters Inventory 12-30-2025'!B:B,0),14),0)</f>
        <v>422</v>
      </c>
      <c r="AC63" s="23">
        <f>SUMIF(Table1[LEVEL 5 MAT NO.],S63,Table1[Braze Plan])</f>
        <v>0</v>
      </c>
      <c r="AD63" s="23">
        <f>Table4[[#This Row],[Quantity]]*Table4[[#This Row],[Bits Braze Plan]]</f>
        <v>0</v>
      </c>
      <c r="AE63" s="23">
        <f ca="1">Table4[[#This Row],[INV. QTY]]-Table4[[#This Row],[Required For Braze Cutters Check]]</f>
        <v>422</v>
      </c>
      <c r="AF63" s="23">
        <f t="shared" ca="1" si="3"/>
        <v>422</v>
      </c>
      <c r="AG63" s="23"/>
      <c r="AI63">
        <v>1181761</v>
      </c>
      <c r="AJ63" s="19">
        <f t="shared" si="15"/>
        <v>1181761</v>
      </c>
      <c r="AK63" s="19">
        <f>SUMIF(Table4[Component],AJ63,Table4[Qty of Cutters in these MATs])</f>
        <v>0</v>
      </c>
      <c r="AL63" s="19">
        <f>SUMIF(Table4[Component],AJ63,Table4[Required For Braze Cutters Check])</f>
        <v>0</v>
      </c>
      <c r="AM63" s="19">
        <f ca="1">IFERROR(INDEX('Cutters Inventory 12-30-2025'!A:W,MATCH($AI63,'Cutters Inventory 12-30-2025'!B:B,0),14),0)</f>
        <v>0</v>
      </c>
      <c r="AN63" s="19">
        <f ca="1">Table5[[#This Row],[INV. QTY]]-Table5[[#This Row],[Required For Braze Cutters Check]]</f>
        <v>0</v>
      </c>
      <c r="AO63" s="19" t="str">
        <f ca="1">IF($AN63&lt;0,Table5[[#This Row],[Component]],"")</f>
        <v/>
      </c>
      <c r="AS63">
        <v>1186963</v>
      </c>
      <c r="AT63">
        <f t="shared" si="8"/>
        <v>1186963</v>
      </c>
      <c r="AV63" s="573">
        <f t="shared" si="19"/>
        <v>0</v>
      </c>
      <c r="AW63">
        <f t="shared" si="16"/>
        <v>0</v>
      </c>
      <c r="AY63" t="str">
        <v>1248668M</v>
      </c>
      <c r="BA63">
        <f t="shared" si="22"/>
        <v>0</v>
      </c>
      <c r="BC63" s="159">
        <f>IFERROR(VLOOKUP(BA:BA,Table4[],8,FALSE),Table6[[#This Row],[Not Exist BOM''s]])</f>
        <v>0</v>
      </c>
    </row>
    <row r="64" spans="1:55" ht="24.75" customHeight="1" x14ac:dyDescent="0.3">
      <c r="A64" s="324"/>
      <c r="B64" s="608"/>
      <c r="C64" s="109">
        <v>13992672</v>
      </c>
      <c r="D64" s="109" t="s">
        <v>624</v>
      </c>
      <c r="E64" s="109" t="s">
        <v>640</v>
      </c>
      <c r="F64" s="109"/>
      <c r="G64" s="109"/>
      <c r="H64" s="140">
        <v>1255267</v>
      </c>
      <c r="I64" s="140" t="s">
        <v>641</v>
      </c>
      <c r="J64" s="26">
        <f>IF(H64&lt;&gt;"",IF(AND(C64&lt;&gt;"",IFERROR(MATCH(C64,Table10[Serial No.],0),0)),0,1),0)</f>
        <v>0</v>
      </c>
      <c r="K64" s="21"/>
      <c r="L64" s="539" t="str">
        <f t="shared" si="7"/>
        <v/>
      </c>
      <c r="N64" t="str">
        <v>1201087M</v>
      </c>
      <c r="O64" s="28" t="str">
        <f t="shared" si="21"/>
        <v>1201087M</v>
      </c>
      <c r="P64" s="28">
        <f>SUMIF(Table1[LEVEL 5 MAT NO.],N64,Table1[Quantity])</f>
        <v>2</v>
      </c>
      <c r="Q64" s="480" t="str" cm="1">
        <f t="array" aca="1" ref="Q64" ca="1">_xlfn.TEXTJOIN(", ", TRUE, IF(($S$2:$S$485 = O64) * ($AF$2:$AF$485 &lt; 0), $W$2:$W$485&amp;" "&amp;$X$2:$X$485, ""))</f>
        <v/>
      </c>
      <c r="S64" s="281">
        <v>1092981</v>
      </c>
      <c r="T64" s="278" t="s">
        <v>313</v>
      </c>
      <c r="U64" s="278" t="s">
        <v>272</v>
      </c>
      <c r="V64" s="25">
        <v>1</v>
      </c>
      <c r="W64" s="284">
        <v>1126402</v>
      </c>
      <c r="X64" s="19" t="str">
        <f>IFERROR(INDEX(Table14[],MATCH($W64,Table14[SAPNo],0),3),"")</f>
        <v>1613 CT421 16-60</v>
      </c>
      <c r="Y64" s="284">
        <v>33</v>
      </c>
      <c r="Z64" s="25">
        <f t="shared" si="1"/>
        <v>1</v>
      </c>
      <c r="AA64" s="25">
        <f t="shared" si="2"/>
        <v>33</v>
      </c>
      <c r="AB64" s="23">
        <f ca="1">IFERROR(INDEX('Cutters Inventory 12-30-2025'!A:W,MATCH($W64,'Cutters Inventory 12-30-2025'!B:B,0),14),0)</f>
        <v>422</v>
      </c>
      <c r="AC64" s="23">
        <f>SUMIF(Table1[LEVEL 5 MAT NO.],S64,Table1[Braze Plan])</f>
        <v>0</v>
      </c>
      <c r="AD64" s="23">
        <f>Table4[[#This Row],[Quantity]]*Table4[[#This Row],[Bits Braze Plan]]</f>
        <v>0</v>
      </c>
      <c r="AE64" s="23">
        <f ca="1">Table4[[#This Row],[INV. QTY]]-Table4[[#This Row],[Required For Braze Cutters Check]]</f>
        <v>422</v>
      </c>
      <c r="AF64" s="23">
        <f t="shared" ca="1" si="3"/>
        <v>422</v>
      </c>
      <c r="AG64" s="23"/>
      <c r="AI64">
        <v>1186963</v>
      </c>
      <c r="AJ64" s="19">
        <f t="shared" si="15"/>
        <v>1186963</v>
      </c>
      <c r="AK64" s="19">
        <f>SUMIF(Table4[Component],AJ64,Table4[Qty of Cutters in these MATs])</f>
        <v>1</v>
      </c>
      <c r="AL64" s="19">
        <f>SUMIF(Table4[Component],AJ64,Table4[Required For Braze Cutters Check])</f>
        <v>0</v>
      </c>
      <c r="AM64" s="19">
        <f ca="1">IFERROR(INDEX('Cutters Inventory 12-30-2025'!A:W,MATCH($AI64,'Cutters Inventory 12-30-2025'!B:B,0),14),0)</f>
        <v>9</v>
      </c>
      <c r="AN64" s="19">
        <f ca="1">Table5[[#This Row],[INV. QTY]]-Table5[[#This Row],[Required For Braze Cutters Check]]</f>
        <v>9</v>
      </c>
      <c r="AO64" s="19" t="str">
        <f ca="1">IF($AN64&lt;0,Table5[[#This Row],[Component]],"")</f>
        <v/>
      </c>
      <c r="AS64">
        <v>1187118</v>
      </c>
      <c r="AT64">
        <f t="shared" si="8"/>
        <v>1187118</v>
      </c>
      <c r="AV64" s="573">
        <f t="shared" si="19"/>
        <v>0</v>
      </c>
      <c r="AW64">
        <f t="shared" si="16"/>
        <v>0</v>
      </c>
      <c r="AY64">
        <v>1257458</v>
      </c>
      <c r="BA64">
        <f t="shared" si="22"/>
        <v>0</v>
      </c>
      <c r="BC64" s="159">
        <f>IFERROR(VLOOKUP(BA:BA,Table4[],8,FALSE),Table6[[#This Row],[Not Exist BOM''s]])</f>
        <v>0</v>
      </c>
    </row>
    <row r="65" spans="1:55" ht="24.75" customHeight="1" x14ac:dyDescent="0.3">
      <c r="A65" s="109"/>
      <c r="B65" s="608"/>
      <c r="C65" s="109">
        <v>13999834</v>
      </c>
      <c r="D65" s="109" t="s">
        <v>316</v>
      </c>
      <c r="E65" s="109" t="s">
        <v>642</v>
      </c>
      <c r="F65" s="109"/>
      <c r="G65" s="109"/>
      <c r="H65" s="140">
        <v>1255451</v>
      </c>
      <c r="I65" s="140">
        <v>1241180</v>
      </c>
      <c r="J65" s="26">
        <f>IF(H65&lt;&gt;"",IF(AND(C65&lt;&gt;"",IFERROR(MATCH(C65,Table10[Serial No.],0),0)),0,1),0)</f>
        <v>0</v>
      </c>
      <c r="K65" s="21"/>
      <c r="L65" s="539" t="str">
        <f t="shared" ca="1" si="7"/>
        <v/>
      </c>
      <c r="N65" t="str">
        <v>1207425M</v>
      </c>
      <c r="O65" s="28" t="str">
        <f t="shared" si="21"/>
        <v>1207425M</v>
      </c>
      <c r="P65" s="28">
        <f>SUMIF(Table1[LEVEL 5 MAT NO.],N65,Table1[Quantity])</f>
        <v>2</v>
      </c>
      <c r="Q65" s="480" t="str" cm="1">
        <f t="array" aca="1" ref="Q65" ca="1">_xlfn.TEXTJOIN(", ", TRUE, IF(($S$2:$S$485 = O65) * ($AF$2:$AF$485 &lt; 0), $W$2:$W$485&amp;" "&amp;$X$2:$X$485, ""))</f>
        <v/>
      </c>
      <c r="S65" s="281">
        <v>1092981</v>
      </c>
      <c r="T65" s="278" t="s">
        <v>313</v>
      </c>
      <c r="U65" s="278" t="s">
        <v>272</v>
      </c>
      <c r="V65" s="25">
        <v>2</v>
      </c>
      <c r="W65" s="284">
        <v>647435</v>
      </c>
      <c r="X65" s="19" t="str">
        <f>IFERROR(INDEX(Table14[],MATCH($W65,Table14[SAPNo],0),3),"")</f>
        <v>Round 1608 CT200  0.018" (B)</v>
      </c>
      <c r="Y65" s="284">
        <v>23</v>
      </c>
      <c r="Z65" s="25">
        <f t="shared" si="1"/>
        <v>1</v>
      </c>
      <c r="AA65" s="25">
        <f t="shared" si="2"/>
        <v>23</v>
      </c>
      <c r="AB65" s="23">
        <f ca="1">IFERROR(INDEX('Cutters Inventory 12-30-2025'!A:W,MATCH($W65,'Cutters Inventory 12-30-2025'!B:B,0),14),0)</f>
        <v>284</v>
      </c>
      <c r="AC65" s="23">
        <f>SUMIF(Table1[LEVEL 5 MAT NO.],S65,Table1[Braze Plan])</f>
        <v>0</v>
      </c>
      <c r="AD65" s="23">
        <f>Table4[[#This Row],[Quantity]]*Table4[[#This Row],[Bits Braze Plan]]</f>
        <v>0</v>
      </c>
      <c r="AE65" s="23">
        <f ca="1">Table4[[#This Row],[INV. QTY]]-Table4[[#This Row],[Required For Braze Cutters Check]]</f>
        <v>284</v>
      </c>
      <c r="AF65" s="23">
        <f t="shared" ca="1" si="3"/>
        <v>284</v>
      </c>
      <c r="AG65" s="23"/>
      <c r="AI65">
        <v>1187118</v>
      </c>
      <c r="AJ65" s="19">
        <f t="shared" si="15"/>
        <v>1187118</v>
      </c>
      <c r="AK65" s="19">
        <f>SUMIF(Table4[Component],AJ65,Table4[Qty of Cutters in these MATs])</f>
        <v>3</v>
      </c>
      <c r="AL65" s="19">
        <f>SUMIF(Table4[Component],AJ65,Table4[Required For Braze Cutters Check])</f>
        <v>0</v>
      </c>
      <c r="AM65" s="19">
        <f ca="1">IFERROR(INDEX('Cutters Inventory 12-30-2025'!A:W,MATCH($AI65,'Cutters Inventory 12-30-2025'!B:B,0),14),0)</f>
        <v>0</v>
      </c>
      <c r="AN65" s="19">
        <f ca="1">Table5[[#This Row],[INV. QTY]]-Table5[[#This Row],[Required For Braze Cutters Check]]</f>
        <v>0</v>
      </c>
      <c r="AO65" s="19" t="str">
        <f ca="1">IF($AN65&lt;0,Table5[[#This Row],[Component]],"")</f>
        <v/>
      </c>
      <c r="AS65">
        <v>1192901</v>
      </c>
      <c r="AT65">
        <f t="shared" si="8"/>
        <v>1192901</v>
      </c>
      <c r="AV65" s="573">
        <f t="shared" si="19"/>
        <v>0</v>
      </c>
      <c r="AW65">
        <f t="shared" si="16"/>
        <v>0</v>
      </c>
      <c r="AY65">
        <v>1258557</v>
      </c>
      <c r="BA65">
        <f t="shared" si="22"/>
        <v>0</v>
      </c>
      <c r="BC65" s="159">
        <f>IFERROR(VLOOKUP(BA:BA,Table4[],8,FALSE),Table6[[#This Row],[Not Exist BOM''s]])</f>
        <v>0</v>
      </c>
    </row>
    <row r="66" spans="1:55" ht="24.75" customHeight="1" x14ac:dyDescent="0.3">
      <c r="A66" s="109"/>
      <c r="B66" s="608"/>
      <c r="C66" s="109">
        <v>13999836</v>
      </c>
      <c r="D66" s="109" t="s">
        <v>316</v>
      </c>
      <c r="E66" s="109" t="s">
        <v>642</v>
      </c>
      <c r="F66" s="109"/>
      <c r="G66" s="109"/>
      <c r="H66" s="140">
        <v>1255451</v>
      </c>
      <c r="I66" s="140">
        <v>1241180</v>
      </c>
      <c r="J66" s="26">
        <f>IF(H66&lt;&gt;"",IF(AND(C66&lt;&gt;"",IFERROR(MATCH(C66,Table10[Serial No.],0),0)),0,1),0)</f>
        <v>0</v>
      </c>
      <c r="K66" s="21"/>
      <c r="L66" s="539" t="str">
        <f t="shared" ca="1" si="7"/>
        <v/>
      </c>
      <c r="N66" t="str">
        <v>1239176M</v>
      </c>
      <c r="O66" s="28" t="str">
        <f t="shared" si="21"/>
        <v>1239176M</v>
      </c>
      <c r="P66" s="28">
        <f>SUMIF(Table1[LEVEL 5 MAT NO.],N66,Table1[Quantity])</f>
        <v>1</v>
      </c>
      <c r="Q66" s="480" t="str" cm="1">
        <f t="array" aca="1" ref="Q66" ca="1">_xlfn.TEXTJOIN(", ", TRUE, IF(($S$2:$S$485 = O66) * ($AF$2:$AF$485 &lt; 0), $W$2:$W$485&amp;" "&amp;$X$2:$X$485, ""))</f>
        <v/>
      </c>
      <c r="S66" s="281">
        <v>1092981</v>
      </c>
      <c r="T66" s="278" t="s">
        <v>313</v>
      </c>
      <c r="U66" s="278" t="s">
        <v>272</v>
      </c>
      <c r="V66" s="25">
        <v>3</v>
      </c>
      <c r="W66" s="284">
        <v>418525</v>
      </c>
      <c r="X66" s="19" t="str">
        <f>IFERROR(INDEX(Table14[],MATCH($W66,Table14[SAPNo],0),3),"")</f>
        <v>Drop In 1308 CT31   (B)</v>
      </c>
      <c r="Y66" s="284">
        <v>6</v>
      </c>
      <c r="Z66" s="25">
        <f t="shared" ref="Z66:Z130" si="23">IFERROR(INDEX($O$2:$P$400,MATCH($S66,$O$2:$O$93,0),2),0)</f>
        <v>1</v>
      </c>
      <c r="AA66" s="25">
        <f t="shared" ref="AA66:AA130" si="24">Y66*Z66</f>
        <v>6</v>
      </c>
      <c r="AB66" s="23">
        <f ca="1">IFERROR(INDEX('Cutters Inventory 12-30-2025'!A:W,MATCH($W66,'Cutters Inventory 12-30-2025'!B:B,0),14),0)</f>
        <v>933</v>
      </c>
      <c r="AC66" s="23">
        <f>SUMIF(Table1[LEVEL 5 MAT NO.],S66,Table1[Braze Plan])</f>
        <v>0</v>
      </c>
      <c r="AD66" s="23">
        <f>Table4[[#This Row],[Quantity]]*Table4[[#This Row],[Bits Braze Plan]]</f>
        <v>0</v>
      </c>
      <c r="AE66" s="23">
        <f ca="1">Table4[[#This Row],[INV. QTY]]-Table4[[#This Row],[Required For Braze Cutters Check]]</f>
        <v>933</v>
      </c>
      <c r="AF66" s="23">
        <f t="shared" ref="AF66:AF129" ca="1" si="25">IFERROR(INDEX($AJ$2:$AO$136,MATCH($W66,$AJ$2:$AJ$136,0),5),0)</f>
        <v>933</v>
      </c>
      <c r="AG66" s="23"/>
      <c r="AI66">
        <v>1192901</v>
      </c>
      <c r="AJ66" s="19">
        <f t="shared" ref="AJ66:AJ74" si="26">IFERROR(AI66,"")</f>
        <v>1192901</v>
      </c>
      <c r="AK66" s="19">
        <f>SUMIF(Table4[Component],AJ66,Table4[Qty of Cutters in these MATs])</f>
        <v>27</v>
      </c>
      <c r="AL66" s="19">
        <f>SUMIF(Table4[Component],AJ66,Table4[Required For Braze Cutters Check])</f>
        <v>0</v>
      </c>
      <c r="AM66" s="19">
        <f ca="1">IFERROR(INDEX('Cutters Inventory 12-30-2025'!A:W,MATCH($AI66,'Cutters Inventory 12-30-2025'!B:B,0),14),0)</f>
        <v>30</v>
      </c>
      <c r="AN66" s="19">
        <f ca="1">Table5[[#This Row],[INV. QTY]]-Table5[[#This Row],[Required For Braze Cutters Check]]</f>
        <v>30</v>
      </c>
      <c r="AO66" s="19" t="str">
        <f ca="1">IF($AN66&lt;0,Table5[[#This Row],[Component]],"")</f>
        <v/>
      </c>
      <c r="AS66">
        <v>1192902</v>
      </c>
      <c r="AT66">
        <f t="shared" si="8"/>
        <v>1192902</v>
      </c>
      <c r="AV66" s="573">
        <f t="shared" si="19"/>
        <v>0</v>
      </c>
      <c r="AW66">
        <f t="shared" ref="AW66:AW97" si="27">IFERROR(INDEX($AJ$2:$AK$387,MATCH($AU66,$AJ$2:$AJ$100,0),2),0)</f>
        <v>0</v>
      </c>
      <c r="AY66">
        <v>1263805</v>
      </c>
      <c r="BA66">
        <f t="shared" si="22"/>
        <v>0</v>
      </c>
      <c r="BC66" s="159">
        <f>IFERROR(VLOOKUP(BA:BA,Table4[],8,FALSE),Table6[[#This Row],[Not Exist BOM''s]])</f>
        <v>0</v>
      </c>
    </row>
    <row r="67" spans="1:55" ht="24.75" customHeight="1" x14ac:dyDescent="0.3">
      <c r="A67" s="109"/>
      <c r="B67" s="608"/>
      <c r="C67" s="109">
        <v>13999837</v>
      </c>
      <c r="D67" s="109" t="s">
        <v>316</v>
      </c>
      <c r="E67" s="109" t="s">
        <v>642</v>
      </c>
      <c r="F67" s="109"/>
      <c r="G67" s="109"/>
      <c r="H67" s="140">
        <v>1255451</v>
      </c>
      <c r="I67" s="140">
        <v>1241180</v>
      </c>
      <c r="J67" s="26">
        <f>IF(H67&lt;&gt;"",IF(AND(C67&lt;&gt;"",IFERROR(MATCH(C67,Table10[Serial No.],0),0)),0,1),0)</f>
        <v>0</v>
      </c>
      <c r="K67" s="21"/>
      <c r="L67" s="539" t="str">
        <f t="shared" ref="L67:L130" ca="1" si="28">IFERROR(INDEX($O$2:$Q$57,MATCH($I67,$O$2:$O$93,0),3),"")</f>
        <v/>
      </c>
      <c r="N67" t="str">
        <v>1239239M</v>
      </c>
      <c r="O67" s="28" t="str">
        <f t="shared" si="21"/>
        <v>1239239M</v>
      </c>
      <c r="P67" s="28">
        <f>SUMIF(Table1[LEVEL 5 MAT NO.],N67,Table1[Quantity])</f>
        <v>0</v>
      </c>
      <c r="Q67" s="480" t="str" cm="1">
        <f t="array" aca="1" ref="Q67" ca="1">_xlfn.TEXTJOIN(", ", TRUE, IF(($S$2:$S$485 = O67) * ($AF$2:$AF$485 &lt; 0), $W$2:$W$485&amp;" "&amp;$X$2:$X$485, ""))</f>
        <v/>
      </c>
      <c r="S67" s="281">
        <v>1095217</v>
      </c>
      <c r="T67" s="278" t="s">
        <v>315</v>
      </c>
      <c r="U67" s="278" t="s">
        <v>643</v>
      </c>
      <c r="V67" s="25">
        <v>1</v>
      </c>
      <c r="W67" s="284">
        <v>1126404</v>
      </c>
      <c r="X67" s="19" t="str">
        <f>IFERROR(INDEX(Table14[],MATCH($W67,Table14[SAPNo],0),3),"")</f>
        <v>1913 CT421 18-60</v>
      </c>
      <c r="Y67" s="284">
        <v>52</v>
      </c>
      <c r="Z67" s="25">
        <f t="shared" si="23"/>
        <v>0</v>
      </c>
      <c r="AA67" s="25">
        <f t="shared" si="24"/>
        <v>0</v>
      </c>
      <c r="AB67" s="23">
        <f ca="1">IFERROR(INDEX('Cutters Inventory 12-30-2025'!A:W,MATCH($W67,'Cutters Inventory 12-30-2025'!B:B,0),14),0)</f>
        <v>0</v>
      </c>
      <c r="AC67" s="23">
        <f>SUMIF(Table1[LEVEL 5 MAT NO.],S67,Table1[Braze Plan])</f>
        <v>0</v>
      </c>
      <c r="AD67" s="23">
        <f>Table4[[#This Row],[Quantity]]*Table4[[#This Row],[Bits Braze Plan]]</f>
        <v>0</v>
      </c>
      <c r="AE67" s="23">
        <f ca="1">Table4[[#This Row],[INV. QTY]]-Table4[[#This Row],[Required For Braze Cutters Check]]</f>
        <v>0</v>
      </c>
      <c r="AF67" s="23">
        <f t="shared" ca="1" si="25"/>
        <v>0</v>
      </c>
      <c r="AG67" s="23"/>
      <c r="AI67">
        <v>1192902</v>
      </c>
      <c r="AJ67" s="19">
        <f t="shared" si="26"/>
        <v>1192902</v>
      </c>
      <c r="AK67" s="19">
        <f>SUMIF(Table4[Component],AJ67,Table4[Qty of Cutters in these MATs])</f>
        <v>15</v>
      </c>
      <c r="AL67" s="19">
        <f>SUMIF(Table4[Component],AJ67,Table4[Required For Braze Cutters Check])</f>
        <v>0</v>
      </c>
      <c r="AM67" s="19">
        <f ca="1">IFERROR(INDEX('Cutters Inventory 12-30-2025'!A:W,MATCH($AI67,'Cutters Inventory 12-30-2025'!B:B,0),14),0)</f>
        <v>63</v>
      </c>
      <c r="AN67" s="19">
        <f ca="1">Table5[[#This Row],[INV. QTY]]-Table5[[#This Row],[Required For Braze Cutters Check]]</f>
        <v>63</v>
      </c>
      <c r="AO67" s="19" t="str">
        <f ca="1">IF($AN67&lt;0,Table5[[#This Row],[Component]],"")</f>
        <v/>
      </c>
      <c r="AS67">
        <v>1199261</v>
      </c>
      <c r="AT67">
        <f t="shared" ref="AT67:AT130" si="29">IFERROR(AS67,"")</f>
        <v>1199261</v>
      </c>
      <c r="AV67" s="573">
        <f t="shared" si="19"/>
        <v>0</v>
      </c>
      <c r="AW67">
        <f t="shared" si="27"/>
        <v>0</v>
      </c>
      <c r="AY67">
        <v>2021073</v>
      </c>
      <c r="BA67">
        <f t="shared" si="22"/>
        <v>0</v>
      </c>
      <c r="BC67" s="159">
        <f>IFERROR(VLOOKUP(BA:BA,Table4[],8,FALSE),Table6[[#This Row],[Not Exist BOM''s]])</f>
        <v>0</v>
      </c>
    </row>
    <row r="68" spans="1:55" ht="24.75" customHeight="1" x14ac:dyDescent="0.3">
      <c r="A68" s="109"/>
      <c r="B68" s="608"/>
      <c r="C68" s="109">
        <v>14026886</v>
      </c>
      <c r="D68" s="109" t="s">
        <v>309</v>
      </c>
      <c r="E68" s="109" t="s">
        <v>311</v>
      </c>
      <c r="F68" s="109"/>
      <c r="G68" s="109"/>
      <c r="H68" s="140">
        <v>1257983</v>
      </c>
      <c r="I68" s="140">
        <v>1137349</v>
      </c>
      <c r="J68" s="26">
        <f>IF(H68&lt;&gt;"",IF(AND(C68&lt;&gt;"",IFERROR(MATCH(C68,Table10[Serial No.],0),0)),0,1),0)</f>
        <v>1</v>
      </c>
      <c r="K68" s="21"/>
      <c r="L68" s="539" t="str">
        <f t="shared" ca="1" si="28"/>
        <v/>
      </c>
      <c r="N68" t="str">
        <v>1239258M</v>
      </c>
      <c r="O68" s="28" t="str">
        <f t="shared" si="21"/>
        <v>1239258M</v>
      </c>
      <c r="P68" s="28">
        <f>SUMIF(Table1[LEVEL 5 MAT NO.],N68,Table1[Quantity])</f>
        <v>0</v>
      </c>
      <c r="Q68" s="480" t="str" cm="1">
        <f t="array" aca="1" ref="Q68" ca="1">_xlfn.TEXTJOIN(", ", TRUE, IF(($S$2:$S$485 = O68) * ($AF$2:$AF$485 &lt; 0), $W$2:$W$485&amp;" "&amp;$X$2:$X$485, ""))</f>
        <v/>
      </c>
      <c r="S68" s="281">
        <v>1095217</v>
      </c>
      <c r="T68" s="278" t="s">
        <v>315</v>
      </c>
      <c r="U68" s="278" t="s">
        <v>643</v>
      </c>
      <c r="V68" s="25">
        <v>2</v>
      </c>
      <c r="W68" s="284">
        <v>708306</v>
      </c>
      <c r="X68" s="19" t="str">
        <f>IFERROR(INDEX(Table14[],MATCH($W68,Table14[SAPNo],0),3),"")</f>
        <v>Round 1913 CT200  0.018" (B)</v>
      </c>
      <c r="Y68" s="284">
        <v>35</v>
      </c>
      <c r="Z68" s="25">
        <f t="shared" si="23"/>
        <v>0</v>
      </c>
      <c r="AA68" s="25">
        <f t="shared" si="24"/>
        <v>0</v>
      </c>
      <c r="AB68" s="23">
        <f ca="1">IFERROR(INDEX('Cutters Inventory 12-30-2025'!A:W,MATCH($W68,'Cutters Inventory 12-30-2025'!B:B,0),14),0)</f>
        <v>82</v>
      </c>
      <c r="AC68" s="23">
        <f>SUMIF(Table1[LEVEL 5 MAT NO.],S68,Table1[Braze Plan])</f>
        <v>0</v>
      </c>
      <c r="AD68" s="23">
        <f>Table4[[#This Row],[Quantity]]*Table4[[#This Row],[Bits Braze Plan]]</f>
        <v>0</v>
      </c>
      <c r="AE68" s="23">
        <f ca="1">Table4[[#This Row],[INV. QTY]]-Table4[[#This Row],[Required For Braze Cutters Check]]</f>
        <v>82</v>
      </c>
      <c r="AF68" s="23">
        <f t="shared" ca="1" si="25"/>
        <v>82</v>
      </c>
      <c r="AG68" s="23"/>
      <c r="AI68">
        <v>1199261</v>
      </c>
      <c r="AJ68" s="19">
        <f t="shared" si="26"/>
        <v>1199261</v>
      </c>
      <c r="AK68" s="19">
        <f>SUMIF(Table4[Component],AJ68,Table4[Qty of Cutters in these MATs])</f>
        <v>208</v>
      </c>
      <c r="AL68" s="19">
        <f>SUMIF(Table4[Component],AJ68,Table4[Required For Braze Cutters Check])</f>
        <v>0</v>
      </c>
      <c r="AM68" s="19">
        <f ca="1">IFERROR(INDEX('Cutters Inventory 12-30-2025'!A:W,MATCH($AI68,'Cutters Inventory 12-30-2025'!B:B,0),14),0)</f>
        <v>206</v>
      </c>
      <c r="AN68" s="19">
        <f ca="1">Table5[[#This Row],[INV. QTY]]-Table5[[#This Row],[Required For Braze Cutters Check]]</f>
        <v>206</v>
      </c>
      <c r="AO68" s="19" t="str">
        <f ca="1">IF($AN68&lt;0,Table5[[#This Row],[Component]],"")</f>
        <v/>
      </c>
      <c r="AS68">
        <v>1200972</v>
      </c>
      <c r="AT68">
        <f t="shared" si="29"/>
        <v>1200972</v>
      </c>
      <c r="AV68" s="573">
        <f t="shared" si="19"/>
        <v>0</v>
      </c>
      <c r="AW68">
        <f t="shared" si="27"/>
        <v>0</v>
      </c>
      <c r="AY68">
        <v>1267829</v>
      </c>
      <c r="BA68">
        <f t="shared" si="22"/>
        <v>0</v>
      </c>
      <c r="BC68" s="159">
        <f>IFERROR(VLOOKUP(BA:BA,Table4[],8,FALSE),Table6[[#This Row],[Not Exist BOM''s]])</f>
        <v>0</v>
      </c>
    </row>
    <row r="69" spans="1:55" ht="24.75" customHeight="1" x14ac:dyDescent="0.3">
      <c r="A69" s="109"/>
      <c r="B69" s="608"/>
      <c r="C69" s="109">
        <v>14026887</v>
      </c>
      <c r="D69" s="109" t="s">
        <v>309</v>
      </c>
      <c r="E69" s="109" t="s">
        <v>311</v>
      </c>
      <c r="F69" s="109"/>
      <c r="G69" s="109"/>
      <c r="H69" s="140">
        <v>1257983</v>
      </c>
      <c r="I69" s="140">
        <v>1137349</v>
      </c>
      <c r="J69" s="26">
        <f>IF(H69&lt;&gt;"",IF(AND(C69&lt;&gt;"",IFERROR(MATCH(C69,Table10[Serial No.],0),0)),0,1),0)</f>
        <v>1</v>
      </c>
      <c r="K69" s="21"/>
      <c r="L69" s="539" t="str">
        <f t="shared" ca="1" si="28"/>
        <v/>
      </c>
      <c r="N69" t="str">
        <v>1245357M</v>
      </c>
      <c r="O69" s="28" t="str">
        <f t="shared" si="21"/>
        <v>1245357M</v>
      </c>
      <c r="P69" s="28">
        <f>SUMIF(Table1[LEVEL 5 MAT NO.],N69,Table1[Quantity])</f>
        <v>0</v>
      </c>
      <c r="Q69" s="480" t="str" cm="1">
        <f t="array" aca="1" ref="Q69" ca="1">_xlfn.TEXTJOIN(", ", TRUE, IF(($S$2:$S$485 = O69) * ($AF$2:$AF$485 &lt; 0), $W$2:$W$485&amp;" "&amp;$X$2:$X$485, ""))</f>
        <v/>
      </c>
      <c r="S69" s="281">
        <v>1095217</v>
      </c>
      <c r="T69" s="278" t="s">
        <v>315</v>
      </c>
      <c r="U69" s="278" t="s">
        <v>643</v>
      </c>
      <c r="V69" s="25">
        <v>3</v>
      </c>
      <c r="W69" s="284">
        <v>871781</v>
      </c>
      <c r="X69" s="19" t="str">
        <f>IFERROR(INDEX(Table14[],MATCH($W69,Table14[SAPNo],0),3),"")</f>
        <v>Round 1313 CT200  0.018" (B)</v>
      </c>
      <c r="Y69" s="284">
        <v>4</v>
      </c>
      <c r="Z69" s="25">
        <f t="shared" si="23"/>
        <v>0</v>
      </c>
      <c r="AA69" s="25">
        <f t="shared" si="24"/>
        <v>0</v>
      </c>
      <c r="AB69" s="23">
        <f ca="1">IFERROR(INDEX('Cutters Inventory 12-30-2025'!A:W,MATCH($W69,'Cutters Inventory 12-30-2025'!B:B,0),14),0)</f>
        <v>843</v>
      </c>
      <c r="AC69" s="23">
        <f>SUMIF(Table1[LEVEL 5 MAT NO.],S69,Table1[Braze Plan])</f>
        <v>0</v>
      </c>
      <c r="AD69" s="23">
        <f>Table4[[#This Row],[Quantity]]*Table4[[#This Row],[Bits Braze Plan]]</f>
        <v>0</v>
      </c>
      <c r="AE69" s="23">
        <f ca="1">Table4[[#This Row],[INV. QTY]]-Table4[[#This Row],[Required For Braze Cutters Check]]</f>
        <v>843</v>
      </c>
      <c r="AF69" s="23">
        <f t="shared" ca="1" si="25"/>
        <v>843</v>
      </c>
      <c r="AG69" s="23"/>
      <c r="AI69">
        <v>1200972</v>
      </c>
      <c r="AJ69" s="19">
        <f t="shared" si="26"/>
        <v>1200972</v>
      </c>
      <c r="AK69" s="19">
        <f>SUMIF(Table4[Component],AJ69,Table4[Qty of Cutters in these MATs])</f>
        <v>10</v>
      </c>
      <c r="AL69" s="19">
        <f>SUMIF(Table4[Component],AJ69,Table4[Required For Braze Cutters Check])</f>
        <v>0</v>
      </c>
      <c r="AM69" s="19">
        <f ca="1">IFERROR(INDEX('Cutters Inventory 12-30-2025'!A:W,MATCH($AI69,'Cutters Inventory 12-30-2025'!B:B,0),14),0)</f>
        <v>6</v>
      </c>
      <c r="AN69" s="19">
        <f ca="1">Table5[[#This Row],[INV. QTY]]-Table5[[#This Row],[Required For Braze Cutters Check]]</f>
        <v>6</v>
      </c>
      <c r="AO69" s="19" t="str">
        <f ca="1">IF($AN69&lt;0,Table5[[#This Row],[Component]],"")</f>
        <v/>
      </c>
      <c r="AS69">
        <v>1201518</v>
      </c>
      <c r="AT69">
        <f t="shared" si="29"/>
        <v>1201518</v>
      </c>
      <c r="AV69" s="573">
        <f t="shared" si="19"/>
        <v>0</v>
      </c>
      <c r="AW69">
        <f t="shared" si="27"/>
        <v>0</v>
      </c>
      <c r="AY69">
        <v>1272498</v>
      </c>
      <c r="BA69">
        <f t="shared" si="22"/>
        <v>0</v>
      </c>
      <c r="BC69" s="159">
        <f>IFERROR(VLOOKUP(BA:BA,Table4[],8,FALSE),Table6[[#This Row],[Not Exist BOM''s]])</f>
        <v>0</v>
      </c>
    </row>
    <row r="70" spans="1:55" ht="24.75" customHeight="1" x14ac:dyDescent="0.3">
      <c r="A70" s="109"/>
      <c r="B70" s="608"/>
      <c r="C70" s="109">
        <v>14026888</v>
      </c>
      <c r="D70" s="109" t="s">
        <v>309</v>
      </c>
      <c r="E70" s="109" t="s">
        <v>311</v>
      </c>
      <c r="F70" s="109"/>
      <c r="G70" s="109"/>
      <c r="H70" s="140">
        <v>1257983</v>
      </c>
      <c r="I70" s="140">
        <v>1137349</v>
      </c>
      <c r="J70" s="26">
        <f>IF(H70&lt;&gt;"",IF(AND(C70&lt;&gt;"",IFERROR(MATCH(C70,Table10[Serial No.],0),0)),0,1),0)</f>
        <v>1</v>
      </c>
      <c r="K70" s="21"/>
      <c r="L70" s="539" t="str">
        <f t="shared" ca="1" si="28"/>
        <v/>
      </c>
      <c r="N70" t="str">
        <v>1246020M</v>
      </c>
      <c r="O70" s="28" t="str">
        <f t="shared" si="21"/>
        <v>1246020M</v>
      </c>
      <c r="P70" s="28">
        <f>SUMIF(Table1[LEVEL 5 MAT NO.],N70,Table1[Quantity])</f>
        <v>0</v>
      </c>
      <c r="Q70" s="480" t="str" cm="1">
        <f t="array" aca="1" ref="Q70" ca="1">_xlfn.TEXTJOIN(", ", TRUE, IF(($S$2:$S$485 = O70) * ($AF$2:$AF$485 &lt; 0), $W$2:$W$485&amp;" "&amp;$X$2:$X$485, ""))</f>
        <v/>
      </c>
      <c r="S70" s="281">
        <v>1095217</v>
      </c>
      <c r="T70" s="278" t="s">
        <v>315</v>
      </c>
      <c r="U70" s="278" t="s">
        <v>643</v>
      </c>
      <c r="V70" s="25">
        <v>4</v>
      </c>
      <c r="W70" s="284">
        <v>418525</v>
      </c>
      <c r="X70" s="19" t="str">
        <f>IFERROR(INDEX(Table14[],MATCH($W70,Table14[SAPNo],0),3),"")</f>
        <v>Drop In 1308 CT31   (B)</v>
      </c>
      <c r="Y70" s="284">
        <v>3</v>
      </c>
      <c r="Z70" s="25">
        <f t="shared" si="23"/>
        <v>0</v>
      </c>
      <c r="AA70" s="25">
        <f t="shared" si="24"/>
        <v>0</v>
      </c>
      <c r="AB70" s="23">
        <f ca="1">IFERROR(INDEX('Cutters Inventory 12-30-2025'!A:W,MATCH($W70,'Cutters Inventory 12-30-2025'!B:B,0),14),0)</f>
        <v>933</v>
      </c>
      <c r="AC70" s="23">
        <f>SUMIF(Table1[LEVEL 5 MAT NO.],S70,Table1[Braze Plan])</f>
        <v>0</v>
      </c>
      <c r="AD70" s="23">
        <f>Table4[[#This Row],[Quantity]]*Table4[[#This Row],[Bits Braze Plan]]</f>
        <v>0</v>
      </c>
      <c r="AE70" s="23">
        <f ca="1">Table4[[#This Row],[INV. QTY]]-Table4[[#This Row],[Required For Braze Cutters Check]]</f>
        <v>933</v>
      </c>
      <c r="AF70" s="23">
        <f t="shared" ca="1" si="25"/>
        <v>933</v>
      </c>
      <c r="AG70" s="23"/>
      <c r="AI70">
        <v>1201518</v>
      </c>
      <c r="AJ70" s="19">
        <f t="shared" si="26"/>
        <v>1201518</v>
      </c>
      <c r="AK70" s="19">
        <f>SUMIF(Table4[Component],AJ70,Table4[Qty of Cutters in these MATs])</f>
        <v>30</v>
      </c>
      <c r="AL70" s="19">
        <f>SUMIF(Table4[Component],AJ70,Table4[Required For Braze Cutters Check])</f>
        <v>0</v>
      </c>
      <c r="AM70" s="19">
        <f ca="1">IFERROR(INDEX('Cutters Inventory 12-30-2025'!A:W,MATCH($AI70,'Cutters Inventory 12-30-2025'!B:B,0),14),0)</f>
        <v>145</v>
      </c>
      <c r="AN70" s="19">
        <f ca="1">Table5[[#This Row],[INV. QTY]]-Table5[[#This Row],[Required For Braze Cutters Check]]</f>
        <v>145</v>
      </c>
      <c r="AO70" s="19" t="str">
        <f ca="1">IF($AN70&lt;0,Table5[[#This Row],[Component]],"")</f>
        <v/>
      </c>
      <c r="AS70">
        <v>1208601</v>
      </c>
      <c r="AT70">
        <f t="shared" si="29"/>
        <v>1208601</v>
      </c>
      <c r="AV70" s="573">
        <f t="shared" si="19"/>
        <v>0</v>
      </c>
      <c r="AW70">
        <f t="shared" si="27"/>
        <v>0</v>
      </c>
      <c r="AY70">
        <v>1269308</v>
      </c>
      <c r="BA70">
        <f t="shared" si="22"/>
        <v>0</v>
      </c>
      <c r="BC70" s="159">
        <f>IFERROR(VLOOKUP(BA:BA,Table4[],8,FALSE),Table6[[#This Row],[Not Exist BOM''s]])</f>
        <v>0</v>
      </c>
    </row>
    <row r="71" spans="1:55" ht="24.75" customHeight="1" x14ac:dyDescent="0.3">
      <c r="A71" s="109"/>
      <c r="B71" s="608"/>
      <c r="C71" s="109">
        <v>14026889</v>
      </c>
      <c r="D71" s="109" t="s">
        <v>309</v>
      </c>
      <c r="E71" s="109" t="s">
        <v>311</v>
      </c>
      <c r="F71" s="109"/>
      <c r="G71" s="109"/>
      <c r="H71" s="140">
        <v>1257983</v>
      </c>
      <c r="I71" s="140">
        <v>1137349</v>
      </c>
      <c r="J71" s="26">
        <f>IF(H71&lt;&gt;"",IF(AND(C71&lt;&gt;"",IFERROR(MATCH(C71,Table10[Serial No.],0),0)),0,1),0)</f>
        <v>1</v>
      </c>
      <c r="K71" s="21"/>
      <c r="L71" s="539" t="str">
        <f t="shared" ca="1" si="28"/>
        <v/>
      </c>
      <c r="N71" t="str">
        <v>1246680M</v>
      </c>
      <c r="O71" s="28" t="str">
        <f t="shared" si="21"/>
        <v>1246680M</v>
      </c>
      <c r="P71" s="28">
        <f>SUMIF(Table1[LEVEL 5 MAT NO.],N71,Table1[Quantity])</f>
        <v>0</v>
      </c>
      <c r="Q71" s="480" t="str" cm="1">
        <f t="array" aca="1" ref="Q71" ca="1">_xlfn.TEXTJOIN(", ", TRUE, IF(($S$2:$S$485 = O71) * ($AF$2:$AF$485 &lt; 0), $W$2:$W$485&amp;" "&amp;$X$2:$X$485, ""))</f>
        <v/>
      </c>
      <c r="S71" s="281">
        <v>1096183</v>
      </c>
      <c r="T71" s="278" t="s">
        <v>304</v>
      </c>
      <c r="U71" s="278" t="s">
        <v>636</v>
      </c>
      <c r="V71" s="25">
        <v>1</v>
      </c>
      <c r="W71" s="284">
        <v>1130217</v>
      </c>
      <c r="X71" s="19" t="str">
        <f>IFERROR(INDEX(Table14[],MATCH($W71,Table14[SAPNo],0),3),"")</f>
        <v>Round 1010 CT182   10C (S)</v>
      </c>
      <c r="Y71" s="284">
        <v>19</v>
      </c>
      <c r="Z71" s="25">
        <f t="shared" si="23"/>
        <v>0</v>
      </c>
      <c r="AA71" s="25">
        <f t="shared" si="24"/>
        <v>0</v>
      </c>
      <c r="AB71" s="23">
        <f ca="1">IFERROR(INDEX('Cutters Inventory 12-30-2025'!A:W,MATCH($W71,'Cutters Inventory 12-30-2025'!B:B,0),14),0)</f>
        <v>0</v>
      </c>
      <c r="AC71" s="23">
        <f>SUMIF(Table1[LEVEL 5 MAT NO.],S71,Table1[Braze Plan])</f>
        <v>0</v>
      </c>
      <c r="AD71" s="23">
        <f>Table4[[#This Row],[Quantity]]*Table4[[#This Row],[Bits Braze Plan]]</f>
        <v>0</v>
      </c>
      <c r="AE71" s="23">
        <f ca="1">Table4[[#This Row],[INV. QTY]]-Table4[[#This Row],[Required For Braze Cutters Check]]</f>
        <v>0</v>
      </c>
      <c r="AF71" s="23">
        <f t="shared" ca="1" si="25"/>
        <v>0</v>
      </c>
      <c r="AG71" s="23"/>
      <c r="AI71">
        <v>1208601</v>
      </c>
      <c r="AJ71" s="19">
        <f t="shared" si="26"/>
        <v>1208601</v>
      </c>
      <c r="AK71" s="19">
        <f>SUMIF(Table4[Component],AJ71,Table4[Qty of Cutters in these MATs])</f>
        <v>270</v>
      </c>
      <c r="AL71" s="19">
        <f>SUMIF(Table4[Component],AJ71,Table4[Required For Braze Cutters Check])</f>
        <v>0</v>
      </c>
      <c r="AM71" s="19">
        <f ca="1">IFERROR(INDEX('Cutters Inventory 12-30-2025'!A:W,MATCH($AI71,'Cutters Inventory 12-30-2025'!B:B,0),14),0)</f>
        <v>230</v>
      </c>
      <c r="AN71" s="19">
        <f ca="1">Table5[[#This Row],[INV. QTY]]-Table5[[#This Row],[Required For Braze Cutters Check]]</f>
        <v>230</v>
      </c>
      <c r="AO71" s="19" t="str">
        <f ca="1">IF($AN71&lt;0,Table5[[#This Row],[Component]],"")</f>
        <v/>
      </c>
      <c r="AS71">
        <v>1209332</v>
      </c>
      <c r="AT71">
        <f t="shared" si="29"/>
        <v>1209332</v>
      </c>
      <c r="AV71" s="573">
        <f t="shared" si="19"/>
        <v>0</v>
      </c>
      <c r="AW71">
        <f t="shared" si="27"/>
        <v>0</v>
      </c>
      <c r="AY71">
        <v>1283277</v>
      </c>
      <c r="BA71">
        <f t="shared" si="22"/>
        <v>0</v>
      </c>
      <c r="BC71" s="159">
        <f>IFERROR(VLOOKUP(BA:BA,Table4[],8,FALSE),Table6[[#This Row],[Not Exist BOM''s]])</f>
        <v>0</v>
      </c>
    </row>
    <row r="72" spans="1:55" ht="24.75" customHeight="1" x14ac:dyDescent="0.3">
      <c r="A72" s="109"/>
      <c r="B72" s="608"/>
      <c r="C72" s="109">
        <v>14026890</v>
      </c>
      <c r="D72" s="115" t="s">
        <v>313</v>
      </c>
      <c r="E72" s="109" t="s">
        <v>272</v>
      </c>
      <c r="F72" s="109"/>
      <c r="G72" s="109"/>
      <c r="H72" s="140">
        <v>1257898</v>
      </c>
      <c r="I72" s="140">
        <v>1092981</v>
      </c>
      <c r="J72" s="26">
        <f>IF(H72&lt;&gt;"",IF(AND(C72&lt;&gt;"",IFERROR(MATCH(C72,Table10[Serial No.],0),0)),0,1),0)</f>
        <v>1</v>
      </c>
      <c r="K72" s="21"/>
      <c r="L72" s="539" t="str">
        <f t="shared" ca="1" si="28"/>
        <v/>
      </c>
      <c r="N72" t="str">
        <v>1248668M</v>
      </c>
      <c r="O72" s="28" t="str">
        <f t="shared" si="21"/>
        <v>1248668M</v>
      </c>
      <c r="P72" s="28">
        <f>SUMIF(Table1[LEVEL 5 MAT NO.],N72,Table1[Quantity])</f>
        <v>2</v>
      </c>
      <c r="Q72" s="480" t="str" cm="1">
        <f t="array" aca="1" ref="Q72" ca="1">_xlfn.TEXTJOIN(", ", TRUE, IF(($S$2:$S$485 = O72) * ($AF$2:$AF$485 &lt; 0), $W$2:$W$485&amp;" "&amp;$X$2:$X$485, ""))</f>
        <v/>
      </c>
      <c r="S72" s="281">
        <v>1096183</v>
      </c>
      <c r="T72" s="278" t="s">
        <v>304</v>
      </c>
      <c r="U72" s="278" t="s">
        <v>636</v>
      </c>
      <c r="V72" s="25">
        <v>2</v>
      </c>
      <c r="W72" s="284">
        <v>1129936</v>
      </c>
      <c r="X72" s="19" t="str">
        <f>IFERROR(INDEX(Table14[],MATCH($W72,Table14[SAPNo],0),3),"")</f>
        <v>Round 1005 CT182  10C (S)</v>
      </c>
      <c r="Y72" s="284">
        <v>14</v>
      </c>
      <c r="Z72" s="25">
        <f t="shared" si="23"/>
        <v>0</v>
      </c>
      <c r="AA72" s="25">
        <f t="shared" si="24"/>
        <v>0</v>
      </c>
      <c r="AB72" s="23">
        <f ca="1">IFERROR(INDEX('Cutters Inventory 12-30-2025'!A:W,MATCH($W72,'Cutters Inventory 12-30-2025'!B:B,0),14),0)</f>
        <v>0</v>
      </c>
      <c r="AC72" s="23">
        <f>SUMIF(Table1[LEVEL 5 MAT NO.],S72,Table1[Braze Plan])</f>
        <v>0</v>
      </c>
      <c r="AD72" s="23">
        <f>Table4[[#This Row],[Quantity]]*Table4[[#This Row],[Bits Braze Plan]]</f>
        <v>0</v>
      </c>
      <c r="AE72" s="23">
        <f ca="1">Table4[[#This Row],[INV. QTY]]-Table4[[#This Row],[Required For Braze Cutters Check]]</f>
        <v>0</v>
      </c>
      <c r="AF72" s="23">
        <f t="shared" ca="1" si="25"/>
        <v>0</v>
      </c>
      <c r="AG72" s="23"/>
      <c r="AI72">
        <v>1209332</v>
      </c>
      <c r="AJ72" s="19">
        <f t="shared" si="26"/>
        <v>1209332</v>
      </c>
      <c r="AK72" s="19">
        <f>SUMIF(Table4[Component],AJ72,Table4[Qty of Cutters in these MATs])</f>
        <v>0</v>
      </c>
      <c r="AL72" s="19">
        <f>SUMIF(Table4[Component],AJ72,Table4[Required For Braze Cutters Check])</f>
        <v>0</v>
      </c>
      <c r="AM72" s="19">
        <f ca="1">IFERROR(INDEX('Cutters Inventory 12-30-2025'!A:W,MATCH($AI72,'Cutters Inventory 12-30-2025'!B:B,0),14),0)</f>
        <v>1</v>
      </c>
      <c r="AN72" s="19">
        <f ca="1">Table5[[#This Row],[INV. QTY]]-Table5[[#This Row],[Required For Braze Cutters Check]]</f>
        <v>1</v>
      </c>
      <c r="AO72" s="19" t="str">
        <f ca="1">IF($AN72&lt;0,Table5[[#This Row],[Component]],"")</f>
        <v/>
      </c>
      <c r="AS72">
        <v>1209333</v>
      </c>
      <c r="AT72">
        <f t="shared" si="29"/>
        <v>1209333</v>
      </c>
      <c r="AV72" s="573">
        <f t="shared" si="19"/>
        <v>0</v>
      </c>
      <c r="AW72">
        <f t="shared" si="27"/>
        <v>0</v>
      </c>
      <c r="AY72">
        <v>1283482</v>
      </c>
      <c r="BA72">
        <f t="shared" si="22"/>
        <v>0</v>
      </c>
      <c r="BC72" s="159">
        <f>IFERROR(VLOOKUP(BA:BA,Table4[],8,FALSE),Table6[[#This Row],[Not Exist BOM''s]])</f>
        <v>0</v>
      </c>
    </row>
    <row r="73" spans="1:55" ht="24.75" customHeight="1" x14ac:dyDescent="0.3">
      <c r="A73" s="109"/>
      <c r="B73" s="608"/>
      <c r="C73" s="109">
        <v>14026891</v>
      </c>
      <c r="D73" s="115" t="s">
        <v>315</v>
      </c>
      <c r="E73" s="109" t="s">
        <v>314</v>
      </c>
      <c r="F73" s="109"/>
      <c r="G73" s="109"/>
      <c r="H73" s="140">
        <v>1257899</v>
      </c>
      <c r="I73" s="140">
        <v>1134806</v>
      </c>
      <c r="J73" s="26">
        <f>IF(H73&lt;&gt;"",IF(AND(C73&lt;&gt;"",IFERROR(MATCH(C73,Table10[Serial No.],0),0)),0,1),0)</f>
        <v>1</v>
      </c>
      <c r="K73" s="21"/>
      <c r="L73" s="539" t="str">
        <f t="shared" ca="1" si="28"/>
        <v/>
      </c>
      <c r="N73" t="str">
        <v>1251098M</v>
      </c>
      <c r="O73" s="28" t="str">
        <f t="shared" si="21"/>
        <v>1251098M</v>
      </c>
      <c r="P73" s="28">
        <f>SUMIF(Table1[LEVEL 5 MAT NO.],N73,Table1[Quantity])</f>
        <v>0</v>
      </c>
      <c r="Q73" s="480" t="str" cm="1">
        <f t="array" aca="1" ref="Q73" ca="1">_xlfn.TEXTJOIN(", ", TRUE, IF(($S$2:$S$485 = O73) * ($AF$2:$AF$485 &lt; 0), $W$2:$W$485&amp;" "&amp;$X$2:$X$485, ""))</f>
        <v/>
      </c>
      <c r="S73" s="281">
        <v>1102426</v>
      </c>
      <c r="T73" s="278" t="s">
        <v>624</v>
      </c>
      <c r="U73" s="278" t="s">
        <v>275</v>
      </c>
      <c r="V73" s="25">
        <v>1</v>
      </c>
      <c r="W73" s="284">
        <v>1126402</v>
      </c>
      <c r="X73" s="19" t="str">
        <f>IFERROR(INDEX(Table14[],MATCH($W73,Table14[SAPNo],0),3),"")</f>
        <v>1613 CT421 16-60</v>
      </c>
      <c r="Y73" s="284">
        <v>31</v>
      </c>
      <c r="Z73" s="25">
        <f t="shared" si="23"/>
        <v>0</v>
      </c>
      <c r="AA73" s="25">
        <f t="shared" si="24"/>
        <v>0</v>
      </c>
      <c r="AB73" s="23">
        <f ca="1">IFERROR(INDEX('Cutters Inventory 12-30-2025'!A:W,MATCH($W73,'Cutters Inventory 12-30-2025'!B:B,0),14),0)</f>
        <v>422</v>
      </c>
      <c r="AC73" s="23">
        <f>SUMIF(Table1[LEVEL 5 MAT NO.],S73,Table1[Braze Plan])</f>
        <v>0</v>
      </c>
      <c r="AD73" s="23">
        <f>Table4[[#This Row],[Quantity]]*Table4[[#This Row],[Bits Braze Plan]]</f>
        <v>0</v>
      </c>
      <c r="AE73" s="23">
        <f ca="1">Table4[[#This Row],[INV. QTY]]-Table4[[#This Row],[Required For Braze Cutters Check]]</f>
        <v>422</v>
      </c>
      <c r="AF73" s="23">
        <f t="shared" ca="1" si="25"/>
        <v>422</v>
      </c>
      <c r="AG73" s="23"/>
      <c r="AI73">
        <v>1209333</v>
      </c>
      <c r="AJ73" s="19">
        <f t="shared" si="26"/>
        <v>1209333</v>
      </c>
      <c r="AK73" s="19">
        <f>SUMIF(Table4[Component],AJ73,Table4[Qty of Cutters in these MATs])</f>
        <v>36</v>
      </c>
      <c r="AL73" s="19">
        <f>SUMIF(Table4[Component],AJ73,Table4[Required For Braze Cutters Check])</f>
        <v>0</v>
      </c>
      <c r="AM73" s="19">
        <f ca="1">IFERROR(INDEX('Cutters Inventory 12-30-2025'!A:W,MATCH($AI73,'Cutters Inventory 12-30-2025'!B:B,0),14),0)</f>
        <v>12</v>
      </c>
      <c r="AN73" s="19">
        <f ca="1">Table5[[#This Row],[INV. QTY]]-Table5[[#This Row],[Required For Braze Cutters Check]]</f>
        <v>12</v>
      </c>
      <c r="AO73" s="19" t="str">
        <f ca="1">IF($AN73&lt;0,Table5[[#This Row],[Component]],"")</f>
        <v/>
      </c>
      <c r="AS73">
        <v>1220554</v>
      </c>
      <c r="AT73">
        <f t="shared" si="29"/>
        <v>1220554</v>
      </c>
      <c r="AV73" s="573">
        <f t="shared" ref="AV73:AV104" si="30">IFERROR(AU73,"")</f>
        <v>0</v>
      </c>
      <c r="AW73">
        <f t="shared" si="27"/>
        <v>0</v>
      </c>
      <c r="AY73">
        <v>1283630</v>
      </c>
      <c r="BA73">
        <f t="shared" si="22"/>
        <v>0</v>
      </c>
      <c r="BC73" s="159">
        <f>IFERROR(VLOOKUP(BA:BA,Table4[],8,FALSE),Table6[[#This Row],[Not Exist BOM''s]])</f>
        <v>0</v>
      </c>
    </row>
    <row r="74" spans="1:55" ht="24.75" customHeight="1" x14ac:dyDescent="0.3">
      <c r="A74" s="324"/>
      <c r="B74" s="608"/>
      <c r="C74" s="109">
        <v>14026892</v>
      </c>
      <c r="D74" s="109" t="s">
        <v>315</v>
      </c>
      <c r="E74" s="109" t="s">
        <v>314</v>
      </c>
      <c r="F74" s="109"/>
      <c r="G74" s="109"/>
      <c r="H74" s="140">
        <v>1257899</v>
      </c>
      <c r="I74" s="140">
        <v>1134806</v>
      </c>
      <c r="J74" s="26">
        <f>IF(H74&lt;&gt;"",IF(AND(C74&lt;&gt;"",IFERROR(MATCH(C74,Table10[Serial No.],0),0)),0,1),0)</f>
        <v>1</v>
      </c>
      <c r="K74" s="21"/>
      <c r="L74" s="539" t="str">
        <f t="shared" ca="1" si="28"/>
        <v/>
      </c>
      <c r="N74" t="str">
        <v>1255267M</v>
      </c>
      <c r="O74" s="28" t="str">
        <f t="shared" si="21"/>
        <v>1255267M</v>
      </c>
      <c r="P74" s="28">
        <f>SUMIF(Table1[LEVEL 5 MAT NO.],N74,Table1[Quantity])</f>
        <v>3</v>
      </c>
      <c r="Q74" s="480" t="str" cm="1">
        <f t="array" aca="1" ref="Q74" ca="1">_xlfn.TEXTJOIN(", ", TRUE, IF(($S$2:$S$485 = O74) * ($AF$2:$AF$485 &lt; 0), $W$2:$W$485&amp;" "&amp;$X$2:$X$485, ""))</f>
        <v/>
      </c>
      <c r="S74" s="281">
        <v>1102426</v>
      </c>
      <c r="T74" s="278" t="s">
        <v>624</v>
      </c>
      <c r="U74" s="278" t="s">
        <v>275</v>
      </c>
      <c r="V74" s="25">
        <v>2</v>
      </c>
      <c r="W74" s="284">
        <v>562195</v>
      </c>
      <c r="X74" s="19" t="str">
        <f>IFERROR(INDEX(Table14[],MATCH($W74,Table14[SAPNo],0),3),"")</f>
        <v>TBO 13MM 0.012R</v>
      </c>
      <c r="Y74" s="284">
        <v>15</v>
      </c>
      <c r="Z74" s="25">
        <f t="shared" si="23"/>
        <v>0</v>
      </c>
      <c r="AA74" s="25">
        <f t="shared" si="24"/>
        <v>0</v>
      </c>
      <c r="AB74" s="23">
        <f ca="1">IFERROR(INDEX('Cutters Inventory 12-30-2025'!A:W,MATCH($W74,'Cutters Inventory 12-30-2025'!B:B,0),14),0)</f>
        <v>0</v>
      </c>
      <c r="AC74" s="23">
        <f>SUMIF(Table1[LEVEL 5 MAT NO.],S74,Table1[Braze Plan])</f>
        <v>0</v>
      </c>
      <c r="AD74" s="23">
        <f>Table4[[#This Row],[Quantity]]*Table4[[#This Row],[Bits Braze Plan]]</f>
        <v>0</v>
      </c>
      <c r="AE74" s="23">
        <f ca="1">Table4[[#This Row],[INV. QTY]]-Table4[[#This Row],[Required For Braze Cutters Check]]</f>
        <v>0</v>
      </c>
      <c r="AF74" s="23">
        <f t="shared" ca="1" si="25"/>
        <v>0</v>
      </c>
      <c r="AG74" s="23"/>
      <c r="AI74">
        <v>1220554</v>
      </c>
      <c r="AJ74" s="19">
        <f t="shared" si="26"/>
        <v>1220554</v>
      </c>
      <c r="AK74" s="19">
        <f>SUMIF(Table4[Component],AJ74,Table4[Qty of Cutters in these MATs])</f>
        <v>258</v>
      </c>
      <c r="AL74" s="19">
        <f>SUMIF(Table4[Component],AJ74,Table4[Required For Braze Cutters Check])</f>
        <v>0</v>
      </c>
      <c r="AM74" s="19">
        <f ca="1">IFERROR(INDEX('Cutters Inventory 12-30-2025'!A:W,MATCH($AI74,'Cutters Inventory 12-30-2025'!B:B,0),14),0)</f>
        <v>392</v>
      </c>
      <c r="AN74" s="19">
        <f ca="1">Table5[[#This Row],[INV. QTY]]-Table5[[#This Row],[Required For Braze Cutters Check]]</f>
        <v>392</v>
      </c>
      <c r="AO74" s="19" t="str">
        <f ca="1">IF($AN74&lt;0,Table5[[#This Row],[Component]],"")</f>
        <v/>
      </c>
      <c r="AS74">
        <v>1220688</v>
      </c>
      <c r="AT74">
        <f t="shared" si="29"/>
        <v>1220688</v>
      </c>
      <c r="AV74" s="573">
        <f t="shared" si="30"/>
        <v>0</v>
      </c>
      <c r="AW74">
        <f t="shared" si="27"/>
        <v>0</v>
      </c>
      <c r="AY74">
        <v>1287241</v>
      </c>
      <c r="BA74">
        <f t="shared" si="22"/>
        <v>0</v>
      </c>
      <c r="BC74" s="159">
        <f>IFERROR(VLOOKUP(BA:BA,Table4[],8,FALSE),Table6[[#This Row],[Not Exist BOM''s]])</f>
        <v>0</v>
      </c>
    </row>
    <row r="75" spans="1:55" ht="24.75" customHeight="1" x14ac:dyDescent="0.3">
      <c r="A75" s="109"/>
      <c r="B75" s="608"/>
      <c r="C75" s="109">
        <v>14056715</v>
      </c>
      <c r="D75" s="109" t="s">
        <v>304</v>
      </c>
      <c r="E75" s="109" t="s">
        <v>636</v>
      </c>
      <c r="F75" s="109"/>
      <c r="G75" s="109"/>
      <c r="H75" s="140">
        <v>1228848</v>
      </c>
      <c r="I75" s="140">
        <v>1016454</v>
      </c>
      <c r="J75" s="26">
        <f>IF(H75&lt;&gt;"",IF(AND(C75&lt;&gt;"",IFERROR(MATCH(C75,Table10[Serial No.],0),0)),0,1),0)</f>
        <v>0</v>
      </c>
      <c r="K75" s="21"/>
      <c r="L75" s="539" t="str">
        <f t="shared" ca="1" si="28"/>
        <v/>
      </c>
      <c r="N75" t="str">
        <v>1257458M</v>
      </c>
      <c r="O75" s="28" t="str">
        <f t="shared" si="21"/>
        <v>1257458M</v>
      </c>
      <c r="P75" s="28">
        <f>SUMIF(Table1[LEVEL 5 MAT NO.],N75,Table1[Quantity])</f>
        <v>0</v>
      </c>
      <c r="Q75" s="480" t="str" cm="1">
        <f t="array" aca="1" ref="Q75" ca="1">_xlfn.TEXTJOIN(", ", TRUE, IF(($S$2:$S$485 = O75) * ($AF$2:$AF$485 &lt; 0), $W$2:$W$485&amp;" "&amp;$X$2:$X$485, ""))</f>
        <v/>
      </c>
      <c r="S75" s="281">
        <v>1102426</v>
      </c>
      <c r="T75" s="278" t="s">
        <v>624</v>
      </c>
      <c r="U75" s="278" t="s">
        <v>275</v>
      </c>
      <c r="V75" s="25">
        <v>3</v>
      </c>
      <c r="W75" s="284">
        <v>418525</v>
      </c>
      <c r="X75" s="19" t="str">
        <f>IFERROR(INDEX(Table14[],MATCH($W75,Table14[SAPNo],0),3),"")</f>
        <v>Drop In 1308 CT31   (B)</v>
      </c>
      <c r="Y75" s="284">
        <v>6</v>
      </c>
      <c r="Z75" s="25">
        <f t="shared" si="23"/>
        <v>0</v>
      </c>
      <c r="AA75" s="25">
        <f t="shared" si="24"/>
        <v>0</v>
      </c>
      <c r="AB75" s="23">
        <f ca="1">IFERROR(INDEX('Cutters Inventory 12-30-2025'!A:W,MATCH($W75,'Cutters Inventory 12-30-2025'!B:B,0),14),0)</f>
        <v>933</v>
      </c>
      <c r="AC75" s="23">
        <f>SUMIF(Table1[LEVEL 5 MAT NO.],S75,Table1[Braze Plan])</f>
        <v>0</v>
      </c>
      <c r="AD75" s="23">
        <f>Table4[[#This Row],[Quantity]]*Table4[[#This Row],[Bits Braze Plan]]</f>
        <v>0</v>
      </c>
      <c r="AE75" s="23">
        <f ca="1">Table4[[#This Row],[INV. QTY]]-Table4[[#This Row],[Required For Braze Cutters Check]]</f>
        <v>933</v>
      </c>
      <c r="AF75" s="23">
        <f t="shared" ca="1" si="25"/>
        <v>933</v>
      </c>
      <c r="AG75" s="23"/>
      <c r="AI75">
        <v>1220688</v>
      </c>
      <c r="AJ75" s="19">
        <f t="shared" ref="AJ75:AJ83" si="31">IFERROR(AI75,"")</f>
        <v>1220688</v>
      </c>
      <c r="AK75" s="19">
        <f>SUMIF(Table4[Component],AJ75,Table4[Qty of Cutters in these MATs])</f>
        <v>494</v>
      </c>
      <c r="AL75" s="19">
        <f>SUMIF(Table4[Component],AJ75,Table4[Required For Braze Cutters Check])</f>
        <v>0</v>
      </c>
      <c r="AM75" s="19">
        <f ca="1">IFERROR(INDEX('Cutters Inventory 12-30-2025'!A:W,MATCH($AI75,'Cutters Inventory 12-30-2025'!B:B,0),14),0)</f>
        <v>76</v>
      </c>
      <c r="AN75" s="19">
        <f ca="1">Table5[[#This Row],[INV. QTY]]-Table5[[#This Row],[Required For Braze Cutters Check]]</f>
        <v>76</v>
      </c>
      <c r="AO75" s="19" t="str">
        <f ca="1">IF($AN75&lt;0,Table5[[#This Row],[Component]],"")</f>
        <v/>
      </c>
      <c r="AS75">
        <v>1228501</v>
      </c>
      <c r="AT75">
        <f t="shared" si="29"/>
        <v>1228501</v>
      </c>
      <c r="AV75" s="573">
        <f t="shared" si="30"/>
        <v>0</v>
      </c>
      <c r="AW75">
        <f t="shared" si="27"/>
        <v>0</v>
      </c>
      <c r="AY75">
        <v>2008912</v>
      </c>
      <c r="BA75">
        <f t="shared" si="22"/>
        <v>0</v>
      </c>
      <c r="BC75" s="159">
        <f>IFERROR(VLOOKUP(BA:BA,Table4[],8,FALSE),Table6[[#This Row],[Not Exist BOM''s]])</f>
        <v>0</v>
      </c>
    </row>
    <row r="76" spans="1:55" ht="24.75" customHeight="1" x14ac:dyDescent="0.3">
      <c r="A76" s="109"/>
      <c r="B76" s="608"/>
      <c r="C76" s="109">
        <v>14056716</v>
      </c>
      <c r="D76" s="109" t="s">
        <v>304</v>
      </c>
      <c r="E76" s="109" t="s">
        <v>636</v>
      </c>
      <c r="F76" s="109"/>
      <c r="G76" s="109"/>
      <c r="H76" s="140">
        <v>1228848</v>
      </c>
      <c r="I76" s="140">
        <v>1016454</v>
      </c>
      <c r="J76" s="26">
        <f>IF(H76&lt;&gt;"",IF(AND(C76&lt;&gt;"",IFERROR(MATCH(C76,Table10[Serial No.],0),0)),0,1),0)</f>
        <v>0</v>
      </c>
      <c r="K76" s="21"/>
      <c r="L76" s="539" t="str">
        <f t="shared" ca="1" si="28"/>
        <v/>
      </c>
      <c r="N76" t="str">
        <v>1270865M</v>
      </c>
      <c r="O76" s="28" t="str">
        <f t="shared" si="21"/>
        <v>1270865M</v>
      </c>
      <c r="P76" s="28">
        <f>SUMIF(Table1[LEVEL 5 MAT NO.],N76,Table1[Quantity])</f>
        <v>1</v>
      </c>
      <c r="Q76" s="480" t="str" cm="1">
        <f t="array" aca="1" ref="Q76" ca="1">_xlfn.TEXTJOIN(", ", TRUE, IF(($S$2:$S$485 = O76) * ($AF$2:$AF$485 &lt; 0), $W$2:$W$485&amp;" "&amp;$X$2:$X$485, ""))</f>
        <v/>
      </c>
      <c r="S76" s="281">
        <v>1121983</v>
      </c>
      <c r="T76" s="278" t="s">
        <v>315</v>
      </c>
      <c r="U76" s="278" t="s">
        <v>286</v>
      </c>
      <c r="V76" s="25">
        <v>1</v>
      </c>
      <c r="W76" s="284">
        <v>1126402</v>
      </c>
      <c r="X76" s="19" t="str">
        <f>IFERROR(INDEX(Table14[],MATCH($W76,Table14[SAPNo],0),3),"")</f>
        <v>1613 CT421 16-60</v>
      </c>
      <c r="Y76" s="284">
        <v>40</v>
      </c>
      <c r="Z76" s="25">
        <f t="shared" si="23"/>
        <v>0</v>
      </c>
      <c r="AA76" s="25">
        <f t="shared" si="24"/>
        <v>0</v>
      </c>
      <c r="AB76" s="23">
        <f ca="1">IFERROR(INDEX('Cutters Inventory 12-30-2025'!A:W,MATCH($W76,'Cutters Inventory 12-30-2025'!B:B,0),14),0)</f>
        <v>422</v>
      </c>
      <c r="AC76" s="23">
        <f>SUMIF(Table1[LEVEL 5 MAT NO.],S76,Table1[Braze Plan])</f>
        <v>0</v>
      </c>
      <c r="AD76" s="23">
        <f>Table4[[#This Row],[Quantity]]*Table4[[#This Row],[Bits Braze Plan]]</f>
        <v>0</v>
      </c>
      <c r="AE76" s="23">
        <f ca="1">Table4[[#This Row],[INV. QTY]]-Table4[[#This Row],[Required For Braze Cutters Check]]</f>
        <v>422</v>
      </c>
      <c r="AF76" s="23">
        <f t="shared" ca="1" si="25"/>
        <v>422</v>
      </c>
      <c r="AG76" s="23"/>
      <c r="AI76">
        <v>1228501</v>
      </c>
      <c r="AJ76" s="19">
        <f t="shared" si="31"/>
        <v>1228501</v>
      </c>
      <c r="AK76" s="19">
        <f>SUMIF(Table4[Component],AJ76,Table4[Qty of Cutters in these MATs])</f>
        <v>258</v>
      </c>
      <c r="AL76" s="19">
        <f>SUMIF(Table4[Component],AJ76,Table4[Required For Braze Cutters Check])</f>
        <v>0</v>
      </c>
      <c r="AM76" s="19">
        <f ca="1">IFERROR(INDEX('Cutters Inventory 12-30-2025'!A:W,MATCH($AI76,'Cutters Inventory 12-30-2025'!B:B,0),14),0)</f>
        <v>659</v>
      </c>
      <c r="AN76" s="19">
        <f ca="1">Table5[[#This Row],[INV. QTY]]-Table5[[#This Row],[Required For Braze Cutters Check]]</f>
        <v>659</v>
      </c>
      <c r="AO76" s="19" t="str">
        <f ca="1">IF($AN76&lt;0,Table5[[#This Row],[Component]],"")</f>
        <v/>
      </c>
      <c r="AS76">
        <v>1228502</v>
      </c>
      <c r="AT76">
        <f t="shared" si="29"/>
        <v>1228502</v>
      </c>
      <c r="AV76" s="573">
        <f t="shared" si="30"/>
        <v>0</v>
      </c>
      <c r="AW76">
        <f t="shared" si="27"/>
        <v>0</v>
      </c>
      <c r="AY76">
        <v>2009244</v>
      </c>
      <c r="BA76">
        <f t="shared" si="22"/>
        <v>0</v>
      </c>
      <c r="BC76" s="159">
        <f>IFERROR(VLOOKUP(BA:BA,Table4[],8,FALSE),Table6[[#This Row],[Not Exist BOM''s]])</f>
        <v>0</v>
      </c>
    </row>
    <row r="77" spans="1:55" ht="24.75" customHeight="1" x14ac:dyDescent="0.3">
      <c r="A77" s="109"/>
      <c r="B77" s="608"/>
      <c r="C77" s="109">
        <v>14056717</v>
      </c>
      <c r="D77" s="109" t="s">
        <v>304</v>
      </c>
      <c r="E77" s="109" t="s">
        <v>636</v>
      </c>
      <c r="F77" s="109"/>
      <c r="G77" s="109"/>
      <c r="H77" s="140">
        <v>1228848</v>
      </c>
      <c r="I77" s="140">
        <v>1016454</v>
      </c>
      <c r="J77" s="26">
        <f>IF(H77&lt;&gt;"",IF(AND(C77&lt;&gt;"",IFERROR(MATCH(C77,Table10[Serial No.],0),0)),0,1),0)</f>
        <v>0</v>
      </c>
      <c r="K77" s="21"/>
      <c r="L77" s="539" t="str">
        <f t="shared" ca="1" si="28"/>
        <v/>
      </c>
      <c r="N77" t="str">
        <v>1282368M</v>
      </c>
      <c r="O77" s="28" t="str">
        <f t="shared" si="21"/>
        <v>1282368M</v>
      </c>
      <c r="P77" s="28">
        <f>SUMIF(Table1[LEVEL 5 MAT NO.],N77,Table1[Quantity])</f>
        <v>0</v>
      </c>
      <c r="Q77" s="480" t="str" cm="1">
        <f t="array" aca="1" ref="Q77" ca="1">_xlfn.TEXTJOIN(", ", TRUE, IF(($S$2:$S$485 = O77) * ($AF$2:$AF$485 &lt; 0), $W$2:$W$485&amp;" "&amp;$X$2:$X$485, ""))</f>
        <v/>
      </c>
      <c r="S77" s="281">
        <v>1121983</v>
      </c>
      <c r="T77" s="278" t="s">
        <v>315</v>
      </c>
      <c r="U77" s="278" t="s">
        <v>286</v>
      </c>
      <c r="V77" s="25">
        <v>2</v>
      </c>
      <c r="W77" s="284">
        <v>1130196</v>
      </c>
      <c r="X77" s="19" t="str">
        <f>IFERROR(INDEX(Table14[],MATCH($W77,Table14[SAPNo],0),3),"")</f>
        <v>Round 1313 CT182  0.018" (S)</v>
      </c>
      <c r="Y77" s="284">
        <v>18</v>
      </c>
      <c r="Z77" s="25">
        <f t="shared" si="23"/>
        <v>0</v>
      </c>
      <c r="AA77" s="25">
        <f t="shared" si="24"/>
        <v>0</v>
      </c>
      <c r="AB77" s="23">
        <f ca="1">IFERROR(INDEX('Cutters Inventory 12-30-2025'!A:W,MATCH($W77,'Cutters Inventory 12-30-2025'!B:B,0),14),0)</f>
        <v>6</v>
      </c>
      <c r="AC77" s="23">
        <f>SUMIF(Table1[LEVEL 5 MAT NO.],S77,Table1[Braze Plan])</f>
        <v>0</v>
      </c>
      <c r="AD77" s="23">
        <f>Table4[[#This Row],[Quantity]]*Table4[[#This Row],[Bits Braze Plan]]</f>
        <v>0</v>
      </c>
      <c r="AE77" s="23">
        <f ca="1">Table4[[#This Row],[INV. QTY]]-Table4[[#This Row],[Required For Braze Cutters Check]]</f>
        <v>6</v>
      </c>
      <c r="AF77" s="23">
        <f t="shared" ca="1" si="25"/>
        <v>6</v>
      </c>
      <c r="AG77" s="23"/>
      <c r="AI77">
        <v>1228502</v>
      </c>
      <c r="AJ77" s="19">
        <f t="shared" si="31"/>
        <v>1228502</v>
      </c>
      <c r="AK77" s="19">
        <f>SUMIF(Table4[Component],AJ77,Table4[Qty of Cutters in these MATs])</f>
        <v>258</v>
      </c>
      <c r="AL77" s="19">
        <f>SUMIF(Table4[Component],AJ77,Table4[Required For Braze Cutters Check])</f>
        <v>0</v>
      </c>
      <c r="AM77" s="19">
        <f ca="1">IFERROR(INDEX('Cutters Inventory 12-30-2025'!A:W,MATCH($AI77,'Cutters Inventory 12-30-2025'!B:B,0),14),0)</f>
        <v>655</v>
      </c>
      <c r="AN77" s="19">
        <f ca="1">Table5[[#This Row],[INV. QTY]]-Table5[[#This Row],[Required For Braze Cutters Check]]</f>
        <v>655</v>
      </c>
      <c r="AO77" s="19" t="str">
        <f ca="1">IF($AN77&lt;0,Table5[[#This Row],[Component]],"")</f>
        <v/>
      </c>
      <c r="AS77">
        <v>1228503</v>
      </c>
      <c r="AT77">
        <f t="shared" si="29"/>
        <v>1228503</v>
      </c>
      <c r="AV77" s="573">
        <f t="shared" si="30"/>
        <v>0</v>
      </c>
      <c r="AW77">
        <f t="shared" si="27"/>
        <v>0</v>
      </c>
      <c r="AY77">
        <v>2009246</v>
      </c>
      <c r="BA77">
        <f t="shared" si="22"/>
        <v>0</v>
      </c>
      <c r="BC77" s="159">
        <f>IFERROR(VLOOKUP(BA:BA,Table4[],8,FALSE),Table6[[#This Row],[Not Exist BOM''s]])</f>
        <v>0</v>
      </c>
    </row>
    <row r="78" spans="1:55" ht="24.75" customHeight="1" x14ac:dyDescent="0.3">
      <c r="A78" s="109"/>
      <c r="B78" s="608"/>
      <c r="C78" s="109">
        <v>14056718</v>
      </c>
      <c r="D78" s="109" t="s">
        <v>304</v>
      </c>
      <c r="E78" s="109" t="s">
        <v>636</v>
      </c>
      <c r="F78" s="109"/>
      <c r="G78" s="109"/>
      <c r="H78" s="140">
        <v>1228848</v>
      </c>
      <c r="I78" s="140">
        <v>1016454</v>
      </c>
      <c r="J78" s="26">
        <f>IF(H78&lt;&gt;"",IF(AND(C78&lt;&gt;"",IFERROR(MATCH(C78,Table10[Serial No.],0),0)),0,1),0)</f>
        <v>0</v>
      </c>
      <c r="K78" s="21"/>
      <c r="L78" s="539" t="str">
        <f t="shared" ca="1" si="28"/>
        <v/>
      </c>
      <c r="N78" t="str">
        <v>1283567M</v>
      </c>
      <c r="O78" s="28" t="str">
        <f t="shared" si="21"/>
        <v>1283567M</v>
      </c>
      <c r="P78" s="28">
        <f>SUMIF(Table1[LEVEL 5 MAT NO.],N78,Table1[Quantity])</f>
        <v>0</v>
      </c>
      <c r="Q78" s="480" t="str" cm="1">
        <f t="array" aca="1" ref="Q78" ca="1">_xlfn.TEXTJOIN(", ", TRUE, IF(($S$2:$S$485 = O78) * ($AF$2:$AF$485 &lt; 0), $W$2:$W$485&amp;" "&amp;$X$2:$X$485, ""))</f>
        <v/>
      </c>
      <c r="S78" s="281">
        <v>1121983</v>
      </c>
      <c r="T78" s="278" t="s">
        <v>315</v>
      </c>
      <c r="U78" s="278" t="s">
        <v>286</v>
      </c>
      <c r="V78" s="25">
        <v>3</v>
      </c>
      <c r="W78" s="284">
        <v>1022971</v>
      </c>
      <c r="X78" s="19" t="str">
        <f>IFERROR(INDEX(Table14[],MATCH($W78,Table14[SAPNo],0),3),"")</f>
        <v xml:space="preserve"> 1613 CT182M  0.01 (S)</v>
      </c>
      <c r="Y78" s="284">
        <v>10</v>
      </c>
      <c r="Z78" s="25">
        <f t="shared" si="23"/>
        <v>0</v>
      </c>
      <c r="AA78" s="25">
        <f t="shared" si="24"/>
        <v>0</v>
      </c>
      <c r="AB78" s="23">
        <f ca="1">IFERROR(INDEX('Cutters Inventory 12-30-2025'!A:W,MATCH($W78,'Cutters Inventory 12-30-2025'!B:B,0),14),0)</f>
        <v>0</v>
      </c>
      <c r="AC78" s="23">
        <f>SUMIF(Table1[LEVEL 5 MAT NO.],S78,Table1[Braze Plan])</f>
        <v>0</v>
      </c>
      <c r="AD78" s="23">
        <f>Table4[[#This Row],[Quantity]]*Table4[[#This Row],[Bits Braze Plan]]</f>
        <v>0</v>
      </c>
      <c r="AE78" s="23">
        <f ca="1">Table4[[#This Row],[INV. QTY]]-Table4[[#This Row],[Required For Braze Cutters Check]]</f>
        <v>0</v>
      </c>
      <c r="AF78" s="23">
        <f t="shared" ca="1" si="25"/>
        <v>0</v>
      </c>
      <c r="AG78" s="23"/>
      <c r="AI78">
        <v>1228503</v>
      </c>
      <c r="AJ78" s="19">
        <f t="shared" si="31"/>
        <v>1228503</v>
      </c>
      <c r="AK78" s="19">
        <f>SUMIF(Table4[Component],AJ78,Table4[Qty of Cutters in these MATs])</f>
        <v>258</v>
      </c>
      <c r="AL78" s="19">
        <f>SUMIF(Table4[Component],AJ78,Table4[Required For Braze Cutters Check])</f>
        <v>0</v>
      </c>
      <c r="AM78" s="19">
        <f ca="1">IFERROR(INDEX('Cutters Inventory 12-30-2025'!A:W,MATCH($AI78,'Cutters Inventory 12-30-2025'!B:B,0),14),0)</f>
        <v>397</v>
      </c>
      <c r="AN78" s="19">
        <f ca="1">Table5[[#This Row],[INV. QTY]]-Table5[[#This Row],[Required For Braze Cutters Check]]</f>
        <v>397</v>
      </c>
      <c r="AO78" s="19" t="str">
        <f ca="1">IF($AN78&lt;0,Table5[[#This Row],[Component]],"")</f>
        <v/>
      </c>
      <c r="AS78">
        <v>1234189</v>
      </c>
      <c r="AT78">
        <f t="shared" si="29"/>
        <v>1234189</v>
      </c>
      <c r="AV78" s="573">
        <f t="shared" si="30"/>
        <v>0</v>
      </c>
      <c r="AW78">
        <f t="shared" si="27"/>
        <v>0</v>
      </c>
      <c r="AY78">
        <v>2015327</v>
      </c>
      <c r="BA78">
        <f t="shared" si="22"/>
        <v>0</v>
      </c>
      <c r="BC78" s="159">
        <f>IFERROR(VLOOKUP(BA:BA,Table4[],8,FALSE),Table6[[#This Row],[Not Exist BOM''s]])</f>
        <v>0</v>
      </c>
    </row>
    <row r="79" spans="1:55" ht="24.75" customHeight="1" x14ac:dyDescent="0.3">
      <c r="A79" s="109">
        <v>20230235</v>
      </c>
      <c r="B79" s="709"/>
      <c r="C79" s="109">
        <v>14109682</v>
      </c>
      <c r="D79" s="109" t="s">
        <v>316</v>
      </c>
      <c r="E79" s="109" t="s">
        <v>290</v>
      </c>
      <c r="F79" s="109"/>
      <c r="G79" s="109" t="s">
        <v>644</v>
      </c>
      <c r="H79" s="140">
        <v>1229187</v>
      </c>
      <c r="I79" s="140">
        <v>1268728</v>
      </c>
      <c r="J79" s="26">
        <f>IF(H79&lt;&gt;"",IF(AND(C79&lt;&gt;"",IFERROR(MATCH(C79,Table10[Serial No.],0),0)),0,1),0)</f>
        <v>0</v>
      </c>
      <c r="K79" s="21"/>
      <c r="L79" s="539" t="str">
        <f t="shared" ca="1" si="28"/>
        <v/>
      </c>
      <c r="N79" t="str">
        <v>1290130M</v>
      </c>
      <c r="O79" s="28" t="str">
        <f t="shared" si="21"/>
        <v>1290130M</v>
      </c>
      <c r="P79" s="28">
        <f>SUMIF(Table1[LEVEL 5 MAT NO.],N79,Table1[Quantity])</f>
        <v>1</v>
      </c>
      <c r="Q79" s="480" t="str" cm="1">
        <f t="array" aca="1" ref="Q79" ca="1">_xlfn.TEXTJOIN(", ", TRUE, IF(($S$2:$S$485 = O79) * ($AF$2:$AF$485 &lt; 0), $W$2:$W$485&amp;" "&amp;$X$2:$X$485, ""))</f>
        <v/>
      </c>
      <c r="S79" s="281">
        <v>1121983</v>
      </c>
      <c r="T79" s="278" t="s">
        <v>315</v>
      </c>
      <c r="U79" s="278" t="s">
        <v>286</v>
      </c>
      <c r="V79" s="25">
        <v>4</v>
      </c>
      <c r="W79" s="284">
        <v>871781</v>
      </c>
      <c r="X79" s="19" t="str">
        <f>IFERROR(INDEX(Table14[],MATCH($W79,Table14[SAPNo],0),3),"")</f>
        <v>Round 1313 CT200  0.018" (B)</v>
      </c>
      <c r="Y79" s="284">
        <v>3</v>
      </c>
      <c r="Z79" s="25">
        <f t="shared" si="23"/>
        <v>0</v>
      </c>
      <c r="AA79" s="25">
        <f t="shared" si="24"/>
        <v>0</v>
      </c>
      <c r="AB79" s="23">
        <f ca="1">IFERROR(INDEX('Cutters Inventory 12-30-2025'!A:W,MATCH($W79,'Cutters Inventory 12-30-2025'!B:B,0),14),0)</f>
        <v>843</v>
      </c>
      <c r="AC79" s="23">
        <f>SUMIF(Table1[LEVEL 5 MAT NO.],S79,Table1[Braze Plan])</f>
        <v>0</v>
      </c>
      <c r="AD79" s="23">
        <f>Table4[[#This Row],[Quantity]]*Table4[[#This Row],[Bits Braze Plan]]</f>
        <v>0</v>
      </c>
      <c r="AE79" s="23">
        <f ca="1">Table4[[#This Row],[INV. QTY]]-Table4[[#This Row],[Required For Braze Cutters Check]]</f>
        <v>843</v>
      </c>
      <c r="AF79" s="23">
        <f t="shared" ca="1" si="25"/>
        <v>843</v>
      </c>
      <c r="AG79" s="23"/>
      <c r="AI79">
        <v>1234189</v>
      </c>
      <c r="AJ79" s="19">
        <f t="shared" si="31"/>
        <v>1234189</v>
      </c>
      <c r="AK79" s="19">
        <f>SUMIF(Table4[Component],AJ79,Table4[Qty of Cutters in these MATs])</f>
        <v>6</v>
      </c>
      <c r="AL79" s="19">
        <f>SUMIF(Table4[Component],AJ79,Table4[Required For Braze Cutters Check])</f>
        <v>0</v>
      </c>
      <c r="AM79" s="19">
        <f ca="1">IFERROR(INDEX('Cutters Inventory 12-30-2025'!A:W,MATCH($AI79,'Cutters Inventory 12-30-2025'!B:B,0),14),0)</f>
        <v>0</v>
      </c>
      <c r="AN79" s="19">
        <f ca="1">Table5[[#This Row],[INV. QTY]]-Table5[[#This Row],[Required For Braze Cutters Check]]</f>
        <v>0</v>
      </c>
      <c r="AO79" s="19" t="str">
        <f ca="1">IF($AN79&lt;0,Table5[[#This Row],[Component]],"")</f>
        <v/>
      </c>
      <c r="AS79">
        <v>1238831</v>
      </c>
      <c r="AT79">
        <f t="shared" si="29"/>
        <v>1238831</v>
      </c>
      <c r="AV79" s="573">
        <f t="shared" si="30"/>
        <v>0</v>
      </c>
      <c r="AW79">
        <f t="shared" si="27"/>
        <v>0</v>
      </c>
      <c r="AY79" t="str">
        <v>1270865M</v>
      </c>
      <c r="BA79">
        <f t="shared" si="22"/>
        <v>0</v>
      </c>
      <c r="BC79" s="159">
        <f>IFERROR(VLOOKUP(BA:BA,Table4[],8,FALSE),Table6[[#This Row],[Not Exist BOM''s]])</f>
        <v>0</v>
      </c>
    </row>
    <row r="80" spans="1:55" ht="24.75" customHeight="1" x14ac:dyDescent="0.3">
      <c r="A80" s="109"/>
      <c r="B80" s="608"/>
      <c r="C80" s="109">
        <v>14056714</v>
      </c>
      <c r="D80" s="109" t="s">
        <v>304</v>
      </c>
      <c r="E80" s="109" t="s">
        <v>636</v>
      </c>
      <c r="F80" s="109"/>
      <c r="G80" s="109" t="s">
        <v>644</v>
      </c>
      <c r="H80" s="140">
        <v>1228848</v>
      </c>
      <c r="I80" s="140">
        <v>1016454</v>
      </c>
      <c r="J80" s="26">
        <f>IF(H80&lt;&gt;"",IF(AND(C80&lt;&gt;"",IFERROR(MATCH(C80,Table10[Serial No.],0),0)),0,1),0)</f>
        <v>0</v>
      </c>
      <c r="K80" s="21"/>
      <c r="L80" s="539" t="str">
        <f t="shared" ca="1" si="28"/>
        <v/>
      </c>
      <c r="N80" t="str">
        <v>2009096M</v>
      </c>
      <c r="O80" s="28" t="str">
        <f t="shared" si="21"/>
        <v>2009096M</v>
      </c>
      <c r="P80" s="28">
        <f>SUMIF(Table1[LEVEL 5 MAT NO.],N80,Table1[Quantity])</f>
        <v>0</v>
      </c>
      <c r="Q80" s="480" t="str" cm="1">
        <f t="array" aca="1" ref="Q80" ca="1">_xlfn.TEXTJOIN(", ", TRUE, IF(($S$2:$S$485 = O80) * ($AF$2:$AF$485 &lt; 0), $W$2:$W$485&amp;" "&amp;$X$2:$X$485, ""))</f>
        <v/>
      </c>
      <c r="S80" s="281">
        <v>1121983</v>
      </c>
      <c r="T80" s="278" t="s">
        <v>315</v>
      </c>
      <c r="U80" s="278" t="s">
        <v>286</v>
      </c>
      <c r="V80" s="25">
        <v>5</v>
      </c>
      <c r="W80" s="284">
        <v>418525</v>
      </c>
      <c r="X80" s="19" t="str">
        <f>IFERROR(INDEX(Table14[],MATCH($W80,Table14[SAPNo],0),3),"")</f>
        <v>Drop In 1308 CT31   (B)</v>
      </c>
      <c r="Y80" s="284">
        <v>2</v>
      </c>
      <c r="Z80" s="25">
        <f t="shared" si="23"/>
        <v>0</v>
      </c>
      <c r="AA80" s="25">
        <f t="shared" si="24"/>
        <v>0</v>
      </c>
      <c r="AB80" s="23">
        <f ca="1">IFERROR(INDEX('Cutters Inventory 12-30-2025'!A:W,MATCH($W80,'Cutters Inventory 12-30-2025'!B:B,0),14),0)</f>
        <v>933</v>
      </c>
      <c r="AC80" s="23">
        <f>SUMIF(Table1[LEVEL 5 MAT NO.],S80,Table1[Braze Plan])</f>
        <v>0</v>
      </c>
      <c r="AD80" s="23">
        <f>Table4[[#This Row],[Quantity]]*Table4[[#This Row],[Bits Braze Plan]]</f>
        <v>0</v>
      </c>
      <c r="AE80" s="23">
        <f ca="1">Table4[[#This Row],[INV. QTY]]-Table4[[#This Row],[Required For Braze Cutters Check]]</f>
        <v>933</v>
      </c>
      <c r="AF80" s="23">
        <f t="shared" ca="1" si="25"/>
        <v>933</v>
      </c>
      <c r="AG80" s="23"/>
      <c r="AI80">
        <v>1238831</v>
      </c>
      <c r="AJ80" s="19">
        <f t="shared" si="31"/>
        <v>1238831</v>
      </c>
      <c r="AK80" s="19">
        <f>SUMIF(Table4[Component],AJ80,Table4[Qty of Cutters in these MATs])</f>
        <v>0</v>
      </c>
      <c r="AL80" s="19">
        <f>SUMIF(Table4[Component],AJ80,Table4[Required For Braze Cutters Check])</f>
        <v>0</v>
      </c>
      <c r="AM80" s="19">
        <f ca="1">IFERROR(INDEX('Cutters Inventory 12-30-2025'!A:W,MATCH($AI80,'Cutters Inventory 12-30-2025'!B:B,0),14),0)</f>
        <v>0</v>
      </c>
      <c r="AN80" s="19">
        <f ca="1">Table5[[#This Row],[INV. QTY]]-Table5[[#This Row],[Required For Braze Cutters Check]]</f>
        <v>0</v>
      </c>
      <c r="AO80" s="19" t="str">
        <f ca="1">IF($AN80&lt;0,Table5[[#This Row],[Component]],"")</f>
        <v/>
      </c>
      <c r="AS80">
        <v>1244299</v>
      </c>
      <c r="AT80">
        <f t="shared" si="29"/>
        <v>1244299</v>
      </c>
      <c r="AV80" s="573">
        <f t="shared" si="30"/>
        <v>0</v>
      </c>
      <c r="AW80">
        <f t="shared" si="27"/>
        <v>0</v>
      </c>
      <c r="AY80">
        <v>2015535</v>
      </c>
      <c r="BA80">
        <f t="shared" si="22"/>
        <v>0</v>
      </c>
      <c r="BC80" s="159">
        <f>IFERROR(VLOOKUP(BA:BA,Table4[],8,FALSE),Table6[[#This Row],[Not Exist BOM''s]])</f>
        <v>0</v>
      </c>
    </row>
    <row r="81" spans="1:55" ht="24.75" customHeight="1" x14ac:dyDescent="0.3">
      <c r="A81" s="109">
        <v>20230271</v>
      </c>
      <c r="B81" s="709"/>
      <c r="C81" s="109">
        <v>14073988</v>
      </c>
      <c r="D81" s="109" t="s">
        <v>631</v>
      </c>
      <c r="E81" s="109" t="s">
        <v>645</v>
      </c>
      <c r="F81" s="109"/>
      <c r="G81" s="109" t="s">
        <v>646</v>
      </c>
      <c r="H81" s="140">
        <v>1262047</v>
      </c>
      <c r="I81" s="140">
        <v>1235768</v>
      </c>
      <c r="J81" s="26">
        <f>IF(H81&lt;&gt;"",IF(AND(C81&lt;&gt;"",IFERROR(MATCH(C81,Table10[Serial No.],0),0)),0,1),0)</f>
        <v>0</v>
      </c>
      <c r="K81" s="21"/>
      <c r="L81" s="539" t="str">
        <f t="shared" ca="1" si="28"/>
        <v/>
      </c>
      <c r="N81" t="str">
        <v>2013542M</v>
      </c>
      <c r="O81" s="28" t="str">
        <f t="shared" si="21"/>
        <v>2013542M</v>
      </c>
      <c r="P81" s="28">
        <f>SUMIF(Table1[LEVEL 5 MAT NO.],N81,Table1[Quantity])</f>
        <v>0</v>
      </c>
      <c r="Q81" s="480" t="str" cm="1">
        <f t="array" aca="1" ref="Q81" ca="1">_xlfn.TEXTJOIN(", ", TRUE, IF(($S$2:$S$485 = O81) * ($AF$2:$AF$485 &lt; 0), $W$2:$W$485&amp;" "&amp;$X$2:$X$485, ""))</f>
        <v/>
      </c>
      <c r="S81" s="281">
        <v>1134806</v>
      </c>
      <c r="T81" s="278" t="s">
        <v>315</v>
      </c>
      <c r="U81" s="278" t="s">
        <v>647</v>
      </c>
      <c r="V81" s="25">
        <v>1</v>
      </c>
      <c r="W81" s="284">
        <v>1126402</v>
      </c>
      <c r="X81" s="19" t="str">
        <f>IFERROR(INDEX(Table14[],MATCH($W81,Table14[SAPNo],0),3),"")</f>
        <v>1613 CT421 16-60</v>
      </c>
      <c r="Y81" s="284">
        <v>50</v>
      </c>
      <c r="Z81" s="25">
        <f t="shared" si="23"/>
        <v>2</v>
      </c>
      <c r="AA81" s="25">
        <f t="shared" si="24"/>
        <v>100</v>
      </c>
      <c r="AB81" s="23">
        <f ca="1">IFERROR(INDEX('Cutters Inventory 12-30-2025'!A:W,MATCH($W81,'Cutters Inventory 12-30-2025'!B:B,0),14),0)</f>
        <v>422</v>
      </c>
      <c r="AC81" s="23">
        <f>SUMIF(Table1[LEVEL 5 MAT NO.],S81,Table1[Braze Plan])</f>
        <v>0</v>
      </c>
      <c r="AD81" s="23">
        <f>Table4[[#This Row],[Quantity]]*Table4[[#This Row],[Bits Braze Plan]]</f>
        <v>0</v>
      </c>
      <c r="AE81" s="23">
        <f ca="1">Table4[[#This Row],[INV. QTY]]-Table4[[#This Row],[Required For Braze Cutters Check]]</f>
        <v>422</v>
      </c>
      <c r="AF81" s="23">
        <f t="shared" ca="1" si="25"/>
        <v>422</v>
      </c>
      <c r="AG81" s="23"/>
      <c r="AI81">
        <v>1244299</v>
      </c>
      <c r="AJ81" s="19">
        <f t="shared" si="31"/>
        <v>1244299</v>
      </c>
      <c r="AK81" s="142">
        <f>SUMIF(Table4[Component],AJ81,Table4[Qty of Cutters in these MATs])</f>
        <v>0</v>
      </c>
      <c r="AL81" s="19">
        <f>SUMIF(Table4[Component],AJ81,Table4[Required For Braze Cutters Check])</f>
        <v>0</v>
      </c>
      <c r="AM81" s="19">
        <f ca="1">IFERROR(INDEX('Cutters Inventory 12-30-2025'!A:W,MATCH($AI81,'Cutters Inventory 12-30-2025'!B:B,0),14),0)</f>
        <v>15</v>
      </c>
      <c r="AN81" s="19">
        <f ca="1">Table5[[#This Row],[INV. QTY]]-Table5[[#This Row],[Required For Braze Cutters Check]]</f>
        <v>15</v>
      </c>
      <c r="AO81" s="19" t="str">
        <f ca="1">IF($AN81&lt;0,Table5[[#This Row],[Component]],"")</f>
        <v/>
      </c>
      <c r="AS81">
        <v>1244957</v>
      </c>
      <c r="AT81">
        <f t="shared" si="29"/>
        <v>1244957</v>
      </c>
      <c r="AV81" s="573">
        <f t="shared" si="30"/>
        <v>0</v>
      </c>
      <c r="AW81">
        <f t="shared" si="27"/>
        <v>0</v>
      </c>
      <c r="AY81" t="str">
        <v>2021071M</v>
      </c>
      <c r="BA81">
        <f t="shared" si="22"/>
        <v>0</v>
      </c>
      <c r="BC81" s="159">
        <f>IFERROR(VLOOKUP(BA:BA,Table4[],8,FALSE),Table6[[#This Row],[Not Exist BOM''s]])</f>
        <v>0</v>
      </c>
    </row>
    <row r="82" spans="1:55" ht="24.75" customHeight="1" x14ac:dyDescent="0.3">
      <c r="A82" s="109">
        <v>20230271</v>
      </c>
      <c r="B82" s="709"/>
      <c r="C82" s="109">
        <v>14073987</v>
      </c>
      <c r="D82" s="109" t="s">
        <v>631</v>
      </c>
      <c r="E82" s="109" t="s">
        <v>645</v>
      </c>
      <c r="F82" s="109"/>
      <c r="G82" s="109" t="s">
        <v>646</v>
      </c>
      <c r="H82" s="140">
        <v>1262047</v>
      </c>
      <c r="I82" s="140">
        <v>1235768</v>
      </c>
      <c r="J82" s="26">
        <f>IF(H82&lt;&gt;"",IF(AND(C82&lt;&gt;"",IFERROR(MATCH(C82,Table10[Serial No.],0),0)),0,1),0)</f>
        <v>0</v>
      </c>
      <c r="K82" s="21"/>
      <c r="L82" s="539" t="str">
        <f t="shared" ca="1" si="28"/>
        <v/>
      </c>
      <c r="N82" t="str">
        <v>2016137M</v>
      </c>
      <c r="O82" s="28" t="str">
        <f t="shared" si="21"/>
        <v>2016137M</v>
      </c>
      <c r="P82" s="28">
        <f>SUMIF(Table1[LEVEL 5 MAT NO.],N82,Table1[Quantity])</f>
        <v>2</v>
      </c>
      <c r="Q82" s="480" t="str" cm="1">
        <f t="array" aca="1" ref="Q82" ca="1">_xlfn.TEXTJOIN(", ", TRUE, IF(($S$2:$S$485 = O82) * ($AF$2:$AF$485 &lt; 0), $W$2:$W$485&amp;" "&amp;$X$2:$X$485, ""))</f>
        <v/>
      </c>
      <c r="S82" s="281">
        <v>1134806</v>
      </c>
      <c r="T82" s="278" t="s">
        <v>315</v>
      </c>
      <c r="U82" s="278" t="s">
        <v>647</v>
      </c>
      <c r="V82" s="25">
        <v>2</v>
      </c>
      <c r="W82" s="284">
        <v>647436</v>
      </c>
      <c r="X82" s="19" t="str">
        <f>IFERROR(INDEX(Table14[],MATCH($W82,Table14[SAPNo],0),3),"")</f>
        <v>Round 1613 CT200  0.018" (B)</v>
      </c>
      <c r="Y82" s="284">
        <v>31</v>
      </c>
      <c r="Z82" s="25">
        <f t="shared" si="23"/>
        <v>2</v>
      </c>
      <c r="AA82" s="25">
        <f t="shared" si="24"/>
        <v>62</v>
      </c>
      <c r="AB82" s="23">
        <f ca="1">IFERROR(INDEX('Cutters Inventory 12-30-2025'!A:W,MATCH($W82,'Cutters Inventory 12-30-2025'!B:B,0),14),0)</f>
        <v>412</v>
      </c>
      <c r="AC82" s="23">
        <f>SUMIF(Table1[LEVEL 5 MAT NO.],S82,Table1[Braze Plan])</f>
        <v>0</v>
      </c>
      <c r="AD82" s="23">
        <f>Table4[[#This Row],[Quantity]]*Table4[[#This Row],[Bits Braze Plan]]</f>
        <v>0</v>
      </c>
      <c r="AE82" s="23">
        <f ca="1">Table4[[#This Row],[INV. QTY]]-Table4[[#This Row],[Required For Braze Cutters Check]]</f>
        <v>412</v>
      </c>
      <c r="AF82" s="23">
        <f t="shared" ca="1" si="25"/>
        <v>412</v>
      </c>
      <c r="AG82" s="23"/>
      <c r="AI82">
        <v>1244957</v>
      </c>
      <c r="AJ82" s="19">
        <f t="shared" si="31"/>
        <v>1244957</v>
      </c>
      <c r="AK82" s="477">
        <f>SUMIF(Table4[Component],AJ82,Table4[Qty of Cutters in these MATs])</f>
        <v>24</v>
      </c>
      <c r="AL82" s="19">
        <f>SUMIF(Table4[Component],AJ82,Table4[Required For Braze Cutters Check])</f>
        <v>0</v>
      </c>
      <c r="AM82" s="19">
        <f ca="1">IFERROR(INDEX('Cutters Inventory 12-30-2025'!A:W,MATCH($AI82,'Cutters Inventory 12-30-2025'!B:B,0),14),0)</f>
        <v>0</v>
      </c>
      <c r="AN82" s="19">
        <f ca="1">Table5[[#This Row],[INV. QTY]]-Table5[[#This Row],[Required For Braze Cutters Check]]</f>
        <v>0</v>
      </c>
      <c r="AO82" s="19" t="str">
        <f ca="1">IF($AN82&lt;0,Table5[[#This Row],[Component]],"")</f>
        <v/>
      </c>
      <c r="AS82">
        <v>1282369</v>
      </c>
      <c r="AT82">
        <f t="shared" si="29"/>
        <v>1282369</v>
      </c>
      <c r="AV82" s="573">
        <f t="shared" si="30"/>
        <v>0</v>
      </c>
      <c r="AW82">
        <f t="shared" si="27"/>
        <v>0</v>
      </c>
      <c r="AY82">
        <v>2016764</v>
      </c>
      <c r="BA82">
        <f t="shared" si="22"/>
        <v>0</v>
      </c>
      <c r="BC82" s="159">
        <f>IFERROR(VLOOKUP(BA:BA,Table4[],8,FALSE),Table6[[#This Row],[Not Exist BOM''s]])</f>
        <v>0</v>
      </c>
    </row>
    <row r="83" spans="1:55" ht="24.75" customHeight="1" x14ac:dyDescent="0.3">
      <c r="A83" s="109">
        <v>20230271</v>
      </c>
      <c r="B83" s="709"/>
      <c r="C83" s="109">
        <v>14073989</v>
      </c>
      <c r="D83" s="109" t="s">
        <v>631</v>
      </c>
      <c r="E83" s="109" t="s">
        <v>645</v>
      </c>
      <c r="F83" s="109"/>
      <c r="G83" s="109" t="s">
        <v>646</v>
      </c>
      <c r="H83" s="140">
        <v>1262047</v>
      </c>
      <c r="I83" s="140">
        <v>1235768</v>
      </c>
      <c r="J83" s="26">
        <f>IF(H83&lt;&gt;"",IF(AND(C83&lt;&gt;"",IFERROR(MATCH(C83,Table10[Serial No.],0),0)),0,1),0)</f>
        <v>0</v>
      </c>
      <c r="K83" s="21"/>
      <c r="L83" s="539" t="str">
        <f t="shared" ca="1" si="28"/>
        <v/>
      </c>
      <c r="N83" t="str">
        <v>2017993M</v>
      </c>
      <c r="O83" s="28" t="str">
        <f t="shared" si="21"/>
        <v>2017993M</v>
      </c>
      <c r="P83" s="28">
        <f>SUMIF(Table1[LEVEL 5 MAT NO.],N83,Table1[Quantity])</f>
        <v>0</v>
      </c>
      <c r="Q83" s="480" t="str" cm="1">
        <f t="array" aca="1" ref="Q83" ca="1">_xlfn.TEXTJOIN(", ", TRUE, IF(($S$2:$S$485 = O83) * ($AF$2:$AF$485 &lt; 0), $W$2:$W$485&amp;" "&amp;$X$2:$X$485, ""))</f>
        <v/>
      </c>
      <c r="S83" s="281">
        <v>1134806</v>
      </c>
      <c r="T83" s="278" t="s">
        <v>315</v>
      </c>
      <c r="U83" s="278" t="s">
        <v>647</v>
      </c>
      <c r="V83" s="25">
        <v>3</v>
      </c>
      <c r="W83" s="284">
        <v>418525</v>
      </c>
      <c r="X83" s="19" t="str">
        <f>IFERROR(INDEX(Table14[],MATCH($W83,Table14[SAPNo],0),3),"")</f>
        <v>Drop In 1308 CT31   (B)</v>
      </c>
      <c r="Y83" s="284">
        <v>8</v>
      </c>
      <c r="Z83" s="25">
        <f t="shared" si="23"/>
        <v>2</v>
      </c>
      <c r="AA83" s="25">
        <f t="shared" si="24"/>
        <v>16</v>
      </c>
      <c r="AB83" s="23">
        <f ca="1">IFERROR(INDEX('Cutters Inventory 12-30-2025'!A:W,MATCH($W83,'Cutters Inventory 12-30-2025'!B:B,0),14),0)</f>
        <v>933</v>
      </c>
      <c r="AC83" s="23">
        <f>SUMIF(Table1[LEVEL 5 MAT NO.],S83,Table1[Braze Plan])</f>
        <v>0</v>
      </c>
      <c r="AD83" s="23">
        <f>Table4[[#This Row],[Quantity]]*Table4[[#This Row],[Bits Braze Plan]]</f>
        <v>0</v>
      </c>
      <c r="AE83" s="23">
        <f ca="1">Table4[[#This Row],[INV. QTY]]-Table4[[#This Row],[Required For Braze Cutters Check]]</f>
        <v>933</v>
      </c>
      <c r="AF83" s="23">
        <f t="shared" ca="1" si="25"/>
        <v>933</v>
      </c>
      <c r="AG83" s="23"/>
      <c r="AI83">
        <v>1282369</v>
      </c>
      <c r="AJ83" s="19">
        <f t="shared" si="31"/>
        <v>1282369</v>
      </c>
      <c r="AK83" s="19">
        <f>SUMIF(Table4[Component],AJ83,Table4[Qty of Cutters in these MATs])</f>
        <v>13</v>
      </c>
      <c r="AL83" s="19">
        <f>SUMIF(Table4[Component],AJ83,Table4[Required For Braze Cutters Check])</f>
        <v>0</v>
      </c>
      <c r="AM83" s="19">
        <f ca="1">IFERROR(INDEX('Cutters Inventory 12-30-2025'!A:W,MATCH($AI83,'Cutters Inventory 12-30-2025'!B:B,0),14),0)</f>
        <v>120</v>
      </c>
      <c r="AN83" s="19">
        <f ca="1">Table5[[#This Row],[INV. QTY]]-Table5[[#This Row],[Required For Braze Cutters Check]]</f>
        <v>120</v>
      </c>
      <c r="AO83" s="19" t="str">
        <f ca="1">IF($AN83&lt;0,Table5[[#This Row],[Component]],"")</f>
        <v/>
      </c>
      <c r="AS83">
        <v>1282370</v>
      </c>
      <c r="AT83">
        <f t="shared" si="29"/>
        <v>1282370</v>
      </c>
      <c r="AV83" s="573">
        <f t="shared" si="30"/>
        <v>0</v>
      </c>
      <c r="AW83">
        <f t="shared" si="27"/>
        <v>0</v>
      </c>
      <c r="AY83">
        <v>1266749</v>
      </c>
      <c r="BA83">
        <f t="shared" si="22"/>
        <v>0</v>
      </c>
      <c r="BC83" s="159">
        <f>IFERROR(VLOOKUP(BA:BA,Table4[],8,FALSE),Table6[[#This Row],[Not Exist BOM''s]])</f>
        <v>0</v>
      </c>
    </row>
    <row r="84" spans="1:55" ht="24.75" customHeight="1" x14ac:dyDescent="0.3">
      <c r="A84" s="109">
        <v>20230271</v>
      </c>
      <c r="B84" s="709"/>
      <c r="C84" s="109">
        <v>14073996</v>
      </c>
      <c r="D84" s="109" t="s">
        <v>315</v>
      </c>
      <c r="E84" s="109" t="s">
        <v>284</v>
      </c>
      <c r="F84" s="109"/>
      <c r="G84" s="109" t="s">
        <v>648</v>
      </c>
      <c r="H84" s="140">
        <v>1234376</v>
      </c>
      <c r="I84" s="140">
        <v>1249569</v>
      </c>
      <c r="J84" s="26">
        <f>IF(H84&lt;&gt;"",IF(AND(C84&lt;&gt;"",IFERROR(MATCH(C84,Table10[Serial No.],0),0)),0,1),0)</f>
        <v>0</v>
      </c>
      <c r="K84" s="21"/>
      <c r="L84" s="539" t="str">
        <f t="shared" ca="1" si="28"/>
        <v/>
      </c>
      <c r="N84" t="str">
        <v>2019414M</v>
      </c>
      <c r="O84" s="28" t="str">
        <f t="shared" si="21"/>
        <v>2019414M</v>
      </c>
      <c r="P84" s="28">
        <f>SUMIF(Table1[LEVEL 5 MAT NO.],N84,Table1[Quantity])</f>
        <v>4</v>
      </c>
      <c r="Q84" s="480" t="str" cm="1">
        <f t="array" aca="1" ref="Q84" ca="1">_xlfn.TEXTJOIN(", ", TRUE, IF(($S$2:$S$485 = O84) * ($AF$2:$AF$485 &lt; 0), $W$2:$W$485&amp;" "&amp;$X$2:$X$485, ""))</f>
        <v/>
      </c>
      <c r="S84" s="281">
        <v>1134878</v>
      </c>
      <c r="T84" s="278" t="s">
        <v>313</v>
      </c>
      <c r="U84" s="278" t="s">
        <v>649</v>
      </c>
      <c r="V84" s="25">
        <v>1</v>
      </c>
      <c r="W84" s="284">
        <v>1126402</v>
      </c>
      <c r="X84" s="19" t="str">
        <f>IFERROR(INDEX(Table14[],MATCH($W84,Table14[SAPNo],0),3),"")</f>
        <v>1613 CT421 16-60</v>
      </c>
      <c r="Y84" s="284">
        <v>27</v>
      </c>
      <c r="Z84" s="25">
        <f t="shared" si="23"/>
        <v>3</v>
      </c>
      <c r="AA84" s="25">
        <f t="shared" si="24"/>
        <v>81</v>
      </c>
      <c r="AB84" s="23">
        <f ca="1">IFERROR(INDEX('Cutters Inventory 12-30-2025'!A:W,MATCH($W84,'Cutters Inventory 12-30-2025'!B:B,0),14),0)</f>
        <v>422</v>
      </c>
      <c r="AC84" s="23">
        <f>SUMIF(Table1[LEVEL 5 MAT NO.],S84,Table1[Braze Plan])</f>
        <v>0</v>
      </c>
      <c r="AD84" s="23">
        <f>Table4[[#This Row],[Quantity]]*Table4[[#This Row],[Bits Braze Plan]]</f>
        <v>0</v>
      </c>
      <c r="AE84" s="23">
        <f ca="1">Table4[[#This Row],[INV. QTY]]-Table4[[#This Row],[Required For Braze Cutters Check]]</f>
        <v>422</v>
      </c>
      <c r="AF84" s="23">
        <f t="shared" ca="1" si="25"/>
        <v>422</v>
      </c>
      <c r="AG84" s="23"/>
      <c r="AI84">
        <v>1282370</v>
      </c>
      <c r="AJ84" s="19">
        <f t="shared" ref="AJ84:AJ90" si="32">IFERROR(AI84,"")</f>
        <v>1282370</v>
      </c>
      <c r="AK84" s="19">
        <f>SUMIF(Table4[Component],AJ84,Table4[Qty of Cutters in these MATs])</f>
        <v>243</v>
      </c>
      <c r="AL84" s="19">
        <f>SUMIF(Table4[Component],AJ84,Table4[Required For Braze Cutters Check])</f>
        <v>0</v>
      </c>
      <c r="AM84" s="19">
        <f ca="1">IFERROR(INDEX('Cutters Inventory 12-30-2025'!A:W,MATCH($AI84,'Cutters Inventory 12-30-2025'!B:B,0),14),0)</f>
        <v>193</v>
      </c>
      <c r="AN84" s="19">
        <f ca="1">Table5[[#This Row],[INV. QTY]]-Table5[[#This Row],[Required For Braze Cutters Check]]</f>
        <v>193</v>
      </c>
      <c r="AO84" s="19" t="str">
        <f ca="1">IF($AN84&lt;0,Table5[[#This Row],[Component]],"")</f>
        <v/>
      </c>
      <c r="AS84">
        <v>1288783</v>
      </c>
      <c r="AT84">
        <f t="shared" si="29"/>
        <v>1288783</v>
      </c>
      <c r="AV84" s="573">
        <f t="shared" si="30"/>
        <v>0</v>
      </c>
      <c r="AW84">
        <f t="shared" si="27"/>
        <v>0</v>
      </c>
      <c r="AY84">
        <v>2017803</v>
      </c>
      <c r="BA84">
        <f t="shared" si="22"/>
        <v>0</v>
      </c>
      <c r="BC84" s="159">
        <f>IFERROR(VLOOKUP(BA:BA,Table4[],8,FALSE),Table6[[#This Row],[Not Exist BOM''s]])</f>
        <v>0</v>
      </c>
    </row>
    <row r="85" spans="1:55" ht="24.75" customHeight="1" x14ac:dyDescent="0.3">
      <c r="A85" s="109">
        <v>20230278</v>
      </c>
      <c r="B85" s="608"/>
      <c r="C85" s="109">
        <v>14073965</v>
      </c>
      <c r="D85" s="109" t="s">
        <v>316</v>
      </c>
      <c r="E85" s="109" t="s">
        <v>292</v>
      </c>
      <c r="F85" s="109"/>
      <c r="G85" s="109" t="s">
        <v>646</v>
      </c>
      <c r="H85" s="140">
        <v>1258119</v>
      </c>
      <c r="I85" s="140">
        <v>1254482</v>
      </c>
      <c r="J85" s="26">
        <f>IF(H85&lt;&gt;"",IF(AND(C85&lt;&gt;"",IFERROR(MATCH(C85,Table10[Serial No.],0),0)),0,1),0)</f>
        <v>0</v>
      </c>
      <c r="K85" s="21"/>
      <c r="L85" s="539" t="str">
        <f t="shared" ca="1" si="28"/>
        <v/>
      </c>
      <c r="N85" t="str">
        <v>2021067M</v>
      </c>
      <c r="O85" s="28" t="str">
        <f t="shared" si="21"/>
        <v>2021067M</v>
      </c>
      <c r="P85" s="28">
        <f>SUMIF(Table1[LEVEL 5 MAT NO.],N85,Table1[Quantity])</f>
        <v>1</v>
      </c>
      <c r="Q85" s="480" t="str" cm="1">
        <f t="array" aca="1" ref="Q85" ca="1">_xlfn.TEXTJOIN(", ", TRUE, IF(($S$2:$S$485 = O85) * ($AF$2:$AF$485 &lt; 0), $W$2:$W$485&amp;" "&amp;$X$2:$X$485, ""))</f>
        <v/>
      </c>
      <c r="S85" s="281">
        <v>1134878</v>
      </c>
      <c r="T85" s="278" t="s">
        <v>313</v>
      </c>
      <c r="U85" s="278" t="s">
        <v>649</v>
      </c>
      <c r="V85" s="25">
        <v>2</v>
      </c>
      <c r="W85" s="284">
        <v>717751</v>
      </c>
      <c r="X85" s="19" t="str">
        <f>IFERROR(INDEX(Table14[],MATCH($W85,Table14[SAPNo],0),3),"")</f>
        <v>Round 1308 CT200  0.018" (B)</v>
      </c>
      <c r="Y85" s="284">
        <v>13</v>
      </c>
      <c r="Z85" s="25">
        <f t="shared" si="23"/>
        <v>3</v>
      </c>
      <c r="AA85" s="25">
        <f t="shared" si="24"/>
        <v>39</v>
      </c>
      <c r="AB85" s="23">
        <f ca="1">IFERROR(INDEX('Cutters Inventory 12-30-2025'!A:W,MATCH($W85,'Cutters Inventory 12-30-2025'!B:B,0),14),0)</f>
        <v>28</v>
      </c>
      <c r="AC85" s="23">
        <f>SUMIF(Table1[LEVEL 5 MAT NO.],S85,Table1[Braze Plan])</f>
        <v>0</v>
      </c>
      <c r="AD85" s="23">
        <f>Table4[[#This Row],[Quantity]]*Table4[[#This Row],[Bits Braze Plan]]</f>
        <v>0</v>
      </c>
      <c r="AE85" s="23">
        <f ca="1">Table4[[#This Row],[INV. QTY]]-Table4[[#This Row],[Required For Braze Cutters Check]]</f>
        <v>28</v>
      </c>
      <c r="AF85" s="23">
        <f t="shared" ca="1" si="25"/>
        <v>28</v>
      </c>
      <c r="AG85" s="23"/>
      <c r="AI85">
        <v>1288783</v>
      </c>
      <c r="AJ85" s="19">
        <f t="shared" si="32"/>
        <v>1288783</v>
      </c>
      <c r="AK85" s="19">
        <f>SUMIF(Table4[Component],AJ85,Table4[Qty of Cutters in these MATs])</f>
        <v>1235</v>
      </c>
      <c r="AL85" s="19">
        <f>SUMIF(Table4[Component],AJ85,Table4[Required For Braze Cutters Check])</f>
        <v>0</v>
      </c>
      <c r="AM85" s="19">
        <f ca="1">IFERROR(INDEX('Cutters Inventory 12-30-2025'!A:W,MATCH($AI85,'Cutters Inventory 12-30-2025'!B:B,0),14),0)</f>
        <v>813</v>
      </c>
      <c r="AN85" s="19">
        <f ca="1">Table5[[#This Row],[INV. QTY]]-Table5[[#This Row],[Required For Braze Cutters Check]]</f>
        <v>813</v>
      </c>
      <c r="AO85" s="19" t="str">
        <f ca="1">IF($AN85&lt;0,Table5[[#This Row],[Component]],"")</f>
        <v/>
      </c>
      <c r="AS85">
        <v>1291852</v>
      </c>
      <c r="AT85">
        <f t="shared" si="29"/>
        <v>1291852</v>
      </c>
      <c r="AV85" s="573">
        <f t="shared" si="30"/>
        <v>0</v>
      </c>
      <c r="AW85">
        <f t="shared" si="27"/>
        <v>0</v>
      </c>
      <c r="AY85">
        <v>2018723</v>
      </c>
      <c r="BA85">
        <f t="shared" si="22"/>
        <v>0</v>
      </c>
      <c r="BC85" s="159">
        <f>IFERROR(VLOOKUP(BA:BA,Table4[],8,FALSE),Table6[[#This Row],[Not Exist BOM''s]])</f>
        <v>0</v>
      </c>
    </row>
    <row r="86" spans="1:55" ht="24.75" customHeight="1" x14ac:dyDescent="0.3">
      <c r="A86" s="109">
        <v>20230278</v>
      </c>
      <c r="B86" s="608"/>
      <c r="C86" s="109">
        <v>14073968</v>
      </c>
      <c r="D86" s="109" t="s">
        <v>316</v>
      </c>
      <c r="E86" s="109" t="s">
        <v>292</v>
      </c>
      <c r="F86" s="109"/>
      <c r="G86" s="109" t="s">
        <v>646</v>
      </c>
      <c r="H86" s="140">
        <v>1258119</v>
      </c>
      <c r="I86" s="140">
        <v>1254482</v>
      </c>
      <c r="J86" s="26">
        <f>IF(H86&lt;&gt;"",IF(AND(C86&lt;&gt;"",IFERROR(MATCH(C86,Table10[Serial No.],0),0)),0,1),0)</f>
        <v>0</v>
      </c>
      <c r="K86" s="21"/>
      <c r="L86" s="539" t="str">
        <f t="shared" ca="1" si="28"/>
        <v/>
      </c>
      <c r="N86" t="str">
        <v>2021071M</v>
      </c>
      <c r="O86" s="28" t="str">
        <f t="shared" si="21"/>
        <v>2021071M</v>
      </c>
      <c r="P86" s="28">
        <f>SUMIF(Table1[LEVEL 5 MAT NO.],N86,Table1[Quantity])</f>
        <v>1</v>
      </c>
      <c r="Q86" s="480" t="str" cm="1">
        <f t="array" aca="1" ref="Q86" ca="1">_xlfn.TEXTJOIN(", ", TRUE, IF(($S$2:$S$485 = O86) * ($AF$2:$AF$485 &lt; 0), $W$2:$W$485&amp;" "&amp;$X$2:$X$485, ""))</f>
        <v/>
      </c>
      <c r="S86" s="281">
        <v>1134878</v>
      </c>
      <c r="T86" s="278" t="s">
        <v>313</v>
      </c>
      <c r="U86" s="278" t="s">
        <v>649</v>
      </c>
      <c r="V86" s="25">
        <v>3</v>
      </c>
      <c r="W86" s="284">
        <v>418525</v>
      </c>
      <c r="X86" s="19" t="str">
        <f>IFERROR(INDEX(Table14[],MATCH($W86,Table14[SAPNo],0),3),"")</f>
        <v>Drop In 1308 CT31   (B)</v>
      </c>
      <c r="Y86" s="284">
        <v>5</v>
      </c>
      <c r="Z86" s="25">
        <f t="shared" si="23"/>
        <v>3</v>
      </c>
      <c r="AA86" s="25">
        <f t="shared" si="24"/>
        <v>15</v>
      </c>
      <c r="AB86" s="23">
        <f ca="1">IFERROR(INDEX('Cutters Inventory 12-30-2025'!A:W,MATCH($W86,'Cutters Inventory 12-30-2025'!B:B,0),14),0)</f>
        <v>933</v>
      </c>
      <c r="AC86" s="23">
        <f>SUMIF(Table1[LEVEL 5 MAT NO.],S86,Table1[Braze Plan])</f>
        <v>0</v>
      </c>
      <c r="AD86" s="23">
        <f>Table4[[#This Row],[Quantity]]*Table4[[#This Row],[Bits Braze Plan]]</f>
        <v>0</v>
      </c>
      <c r="AE86" s="23">
        <f ca="1">Table4[[#This Row],[INV. QTY]]-Table4[[#This Row],[Required For Braze Cutters Check]]</f>
        <v>933</v>
      </c>
      <c r="AF86" s="23">
        <f t="shared" ca="1" si="25"/>
        <v>933</v>
      </c>
      <c r="AG86" s="23"/>
      <c r="AI86">
        <v>1291852</v>
      </c>
      <c r="AJ86" s="19">
        <f t="shared" si="32"/>
        <v>1291852</v>
      </c>
      <c r="AK86" s="19">
        <f>SUMIF(Table4[Component],AJ86,Table4[Qty of Cutters in these MATs])</f>
        <v>210</v>
      </c>
      <c r="AL86" s="19">
        <f>SUMIF(Table4[Component],AJ86,Table4[Required For Braze Cutters Check])</f>
        <v>0</v>
      </c>
      <c r="AM86" s="19">
        <f ca="1">IFERROR(INDEX('Cutters Inventory 12-30-2025'!A:W,MATCH($AI86,'Cutters Inventory 12-30-2025'!B:B,0),14),0)</f>
        <v>62</v>
      </c>
      <c r="AN86" s="19">
        <f ca="1">Table5[[#This Row],[INV. QTY]]-Table5[[#This Row],[Required For Braze Cutters Check]]</f>
        <v>62</v>
      </c>
      <c r="AO86" s="19" t="str">
        <f ca="1">IF($AN86&lt;0,Table5[[#This Row],[Component]],"")</f>
        <v/>
      </c>
      <c r="AS86">
        <v>1291870</v>
      </c>
      <c r="AT86">
        <f t="shared" si="29"/>
        <v>1291870</v>
      </c>
      <c r="AV86" s="573">
        <f t="shared" si="30"/>
        <v>0</v>
      </c>
      <c r="AW86">
        <f t="shared" si="27"/>
        <v>0</v>
      </c>
      <c r="AY86" t="str">
        <v>1095217M</v>
      </c>
      <c r="BA86">
        <f t="shared" si="22"/>
        <v>0</v>
      </c>
      <c r="BC86" s="159">
        <f>IFERROR(VLOOKUP(BA:BA,Table4[],8,FALSE),Table6[[#This Row],[Not Exist BOM''s]])</f>
        <v>0</v>
      </c>
    </row>
    <row r="87" spans="1:55" ht="24.75" customHeight="1" x14ac:dyDescent="0.3">
      <c r="A87" s="109">
        <v>20230278</v>
      </c>
      <c r="B87" s="608"/>
      <c r="C87" s="109">
        <v>14073969</v>
      </c>
      <c r="D87" s="109" t="s">
        <v>316</v>
      </c>
      <c r="E87" s="109" t="s">
        <v>292</v>
      </c>
      <c r="F87" s="109"/>
      <c r="G87" s="109" t="s">
        <v>646</v>
      </c>
      <c r="H87" s="140">
        <v>1258119</v>
      </c>
      <c r="I87" s="140">
        <v>1254482</v>
      </c>
      <c r="J87" s="26">
        <f>IF(H87&lt;&gt;"",IF(AND(C87&lt;&gt;"",IFERROR(MATCH(C87,Table10[Serial No.],0),0)),0,1),0)</f>
        <v>0</v>
      </c>
      <c r="K87" s="21"/>
      <c r="L87" s="539" t="str">
        <f t="shared" ca="1" si="28"/>
        <v/>
      </c>
      <c r="N87" t="str">
        <v>2022829M</v>
      </c>
      <c r="O87" s="28" t="str">
        <f t="shared" si="21"/>
        <v>2022829M</v>
      </c>
      <c r="P87" s="28">
        <f>SUMIF(Table1[LEVEL 5 MAT NO.],N87,Table1[Quantity])</f>
        <v>1</v>
      </c>
      <c r="Q87" s="480" t="str" cm="1">
        <f t="array" aca="1" ref="Q87" ca="1">_xlfn.TEXTJOIN(", ", TRUE, IF(($S$2:$S$485 = O87) * ($AF$2:$AF$485 &lt; 0), $W$2:$W$485&amp;" "&amp;$X$2:$X$485, ""))</f>
        <v/>
      </c>
      <c r="S87" s="281">
        <v>1134878</v>
      </c>
      <c r="T87" s="278" t="s">
        <v>313</v>
      </c>
      <c r="U87" s="278" t="s">
        <v>649</v>
      </c>
      <c r="V87" s="25">
        <v>4</v>
      </c>
      <c r="W87" s="284">
        <v>1180935</v>
      </c>
      <c r="X87" s="19" t="str">
        <f>IFERROR(INDEX(Table14[],MATCH($W87,Table14[SAPNo],0),3),"")</f>
        <v>1313 RDOC NA</v>
      </c>
      <c r="Y87" s="284">
        <v>3</v>
      </c>
      <c r="Z87" s="25">
        <f t="shared" si="23"/>
        <v>3</v>
      </c>
      <c r="AA87" s="25">
        <f t="shared" si="24"/>
        <v>9</v>
      </c>
      <c r="AB87" s="23">
        <f ca="1">IFERROR(INDEX('Cutters Inventory 12-30-2025'!A:W,MATCH($W87,'Cutters Inventory 12-30-2025'!B:B,0),14),0)</f>
        <v>0</v>
      </c>
      <c r="AC87" s="23">
        <f>SUMIF(Table1[LEVEL 5 MAT NO.],S87,Table1[Braze Plan])</f>
        <v>0</v>
      </c>
      <c r="AD87" s="23">
        <f>Table4[[#This Row],[Quantity]]*Table4[[#This Row],[Bits Braze Plan]]</f>
        <v>0</v>
      </c>
      <c r="AE87" s="23">
        <f ca="1">Table4[[#This Row],[INV. QTY]]-Table4[[#This Row],[Required For Braze Cutters Check]]</f>
        <v>0</v>
      </c>
      <c r="AF87" s="23">
        <f t="shared" ca="1" si="25"/>
        <v>0</v>
      </c>
      <c r="AG87" s="23"/>
      <c r="AI87">
        <v>1291870</v>
      </c>
      <c r="AJ87" s="19">
        <f t="shared" si="32"/>
        <v>1291870</v>
      </c>
      <c r="AK87" s="19">
        <f>SUMIF(Table4[Component],AJ87,Table4[Qty of Cutters in these MATs])</f>
        <v>107</v>
      </c>
      <c r="AL87" s="19">
        <f>SUMIF(Table4[Component],AJ87,Table4[Required For Braze Cutters Check])</f>
        <v>0</v>
      </c>
      <c r="AM87" s="19">
        <f ca="1">IFERROR(INDEX('Cutters Inventory 12-30-2025'!A:W,MATCH($AI87,'Cutters Inventory 12-30-2025'!B:B,0),14),0)</f>
        <v>56</v>
      </c>
      <c r="AN87" s="19">
        <f ca="1">Table5[[#This Row],[INV. QTY]]-Table5[[#This Row],[Required For Braze Cutters Check]]</f>
        <v>56</v>
      </c>
      <c r="AO87" s="19" t="str">
        <f ca="1">IF($AN87&lt;0,Table5[[#This Row],[Component]],"")</f>
        <v/>
      </c>
      <c r="AS87">
        <v>1292498</v>
      </c>
      <c r="AT87">
        <f t="shared" si="29"/>
        <v>1292498</v>
      </c>
      <c r="AV87" s="573">
        <f t="shared" si="30"/>
        <v>0</v>
      </c>
      <c r="AW87">
        <f t="shared" si="27"/>
        <v>0</v>
      </c>
      <c r="AY87" t="str">
        <v>1158011M2</v>
      </c>
      <c r="BA87">
        <f t="shared" si="22"/>
        <v>0</v>
      </c>
      <c r="BC87" s="159">
        <f>IFERROR(VLOOKUP(BA:BA,Table4[],8,FALSE),Table6[[#This Row],[Not Exist BOM''s]])</f>
        <v>0</v>
      </c>
    </row>
    <row r="88" spans="1:55" ht="24.75" customHeight="1" x14ac:dyDescent="0.3">
      <c r="A88" s="109">
        <v>20230278</v>
      </c>
      <c r="B88" s="608"/>
      <c r="C88" s="109">
        <v>14073966</v>
      </c>
      <c r="D88" s="109" t="s">
        <v>316</v>
      </c>
      <c r="E88" s="109" t="s">
        <v>292</v>
      </c>
      <c r="F88" s="109"/>
      <c r="G88" s="109" t="s">
        <v>646</v>
      </c>
      <c r="H88" s="140">
        <v>1258119</v>
      </c>
      <c r="I88" s="140">
        <v>1254482</v>
      </c>
      <c r="J88" s="26">
        <f>IF(H88&lt;&gt;"",IF(AND(C88&lt;&gt;"",IFERROR(MATCH(C88,Table10[Serial No.],0),0)),0,1),0)</f>
        <v>0</v>
      </c>
      <c r="K88" s="21"/>
      <c r="L88" s="539" t="str">
        <f t="shared" ca="1" si="28"/>
        <v/>
      </c>
      <c r="N88" t="str">
        <v>2027359M</v>
      </c>
      <c r="O88" s="28" t="str">
        <f t="shared" si="21"/>
        <v>2027359M</v>
      </c>
      <c r="P88" s="28">
        <f>SUMIF(Table1[LEVEL 5 MAT NO.],N88,Table1[Quantity])</f>
        <v>0</v>
      </c>
      <c r="Q88" s="480" t="str" cm="1">
        <f t="array" aca="1" ref="Q88" ca="1">_xlfn.TEXTJOIN(", ", TRUE, IF(($S$2:$S$485 = O88) * ($AF$2:$AF$485 &lt; 0), $W$2:$W$485&amp;" "&amp;$X$2:$X$485, ""))</f>
        <v/>
      </c>
      <c r="S88" s="281">
        <v>1134878</v>
      </c>
      <c r="T88" s="278" t="s">
        <v>313</v>
      </c>
      <c r="U88" s="278" t="s">
        <v>649</v>
      </c>
      <c r="V88" s="25">
        <v>5</v>
      </c>
      <c r="W88" s="284">
        <v>871781</v>
      </c>
      <c r="X88" s="19" t="str">
        <f>IFERROR(INDEX(Table14[],MATCH($W88,Table14[SAPNo],0),3),"")</f>
        <v>Round 1313 CT200  0.018" (B)</v>
      </c>
      <c r="Y88" s="284">
        <v>2</v>
      </c>
      <c r="Z88" s="25">
        <f t="shared" si="23"/>
        <v>3</v>
      </c>
      <c r="AA88" s="25">
        <f t="shared" si="24"/>
        <v>6</v>
      </c>
      <c r="AB88" s="23">
        <f ca="1">IFERROR(INDEX('Cutters Inventory 12-30-2025'!A:W,MATCH($W88,'Cutters Inventory 12-30-2025'!B:B,0),14),0)</f>
        <v>843</v>
      </c>
      <c r="AC88" s="23">
        <f>SUMIF(Table1[LEVEL 5 MAT NO.],S88,Table1[Braze Plan])</f>
        <v>0</v>
      </c>
      <c r="AD88" s="23">
        <f>Table4[[#This Row],[Quantity]]*Table4[[#This Row],[Bits Braze Plan]]</f>
        <v>0</v>
      </c>
      <c r="AE88" s="23">
        <f ca="1">Table4[[#This Row],[INV. QTY]]-Table4[[#This Row],[Required For Braze Cutters Check]]</f>
        <v>843</v>
      </c>
      <c r="AF88" s="23">
        <f t="shared" ca="1" si="25"/>
        <v>843</v>
      </c>
      <c r="AG88" s="23"/>
      <c r="AI88">
        <v>1292498</v>
      </c>
      <c r="AJ88" s="19">
        <f t="shared" si="32"/>
        <v>1292498</v>
      </c>
      <c r="AK88" s="19">
        <f>SUMIF(Table4[Component],AJ88,Table4[Qty of Cutters in these MATs])</f>
        <v>21</v>
      </c>
      <c r="AL88" s="19">
        <f>SUMIF(Table4[Component],AJ88,Table4[Required For Braze Cutters Check])</f>
        <v>0</v>
      </c>
      <c r="AM88" s="19">
        <f ca="1">IFERROR(INDEX('Cutters Inventory 12-30-2025'!A:W,MATCH($AI88,'Cutters Inventory 12-30-2025'!B:B,0),14),0)</f>
        <v>5</v>
      </c>
      <c r="AN88" s="19">
        <f ca="1">Table5[[#This Row],[INV. QTY]]-Table5[[#This Row],[Required For Braze Cutters Check]]</f>
        <v>5</v>
      </c>
      <c r="AO88" s="19" t="str">
        <f ca="1">IF($AN88&lt;0,Table5[[#This Row],[Component]],"")</f>
        <v/>
      </c>
      <c r="AS88">
        <v>1293118</v>
      </c>
      <c r="AT88">
        <f t="shared" si="29"/>
        <v>1293118</v>
      </c>
      <c r="AV88" s="573">
        <f t="shared" si="30"/>
        <v>0</v>
      </c>
      <c r="AW88">
        <f t="shared" si="27"/>
        <v>0</v>
      </c>
      <c r="AY88" t="str">
        <v>1198387M</v>
      </c>
      <c r="BA88">
        <f t="shared" si="22"/>
        <v>0</v>
      </c>
      <c r="BC88" s="159">
        <f>IFERROR(VLOOKUP(BA:BA,Table4[],8,FALSE),Table6[[#This Row],[Not Exist BOM''s]])</f>
        <v>0</v>
      </c>
    </row>
    <row r="89" spans="1:55" ht="24.75" customHeight="1" x14ac:dyDescent="0.3">
      <c r="A89" s="109">
        <v>20230278</v>
      </c>
      <c r="B89" s="608"/>
      <c r="C89" s="109">
        <v>14073967</v>
      </c>
      <c r="D89" s="109" t="s">
        <v>316</v>
      </c>
      <c r="E89" s="109" t="s">
        <v>292</v>
      </c>
      <c r="F89" s="109"/>
      <c r="G89" s="109" t="s">
        <v>646</v>
      </c>
      <c r="H89" s="140">
        <v>1258119</v>
      </c>
      <c r="I89" s="140">
        <v>1254482</v>
      </c>
      <c r="J89" s="26">
        <f>IF(H89&lt;&gt;"",IF(AND(C89&lt;&gt;"",IFERROR(MATCH(C89,Table10[Serial No.],0),0)),0,1),0)</f>
        <v>0</v>
      </c>
      <c r="K89" s="21"/>
      <c r="L89" s="539" t="str">
        <f t="shared" ca="1" si="28"/>
        <v/>
      </c>
      <c r="N89" t="str">
        <v>2028159M</v>
      </c>
      <c r="O89" s="28" t="str">
        <f t="shared" si="21"/>
        <v>2028159M</v>
      </c>
      <c r="P89" s="28">
        <f>SUMIF(Table1[LEVEL 5 MAT NO.],N89,Table1[Quantity])</f>
        <v>0</v>
      </c>
      <c r="Q89" s="480" t="str" cm="1">
        <f t="array" aca="1" ref="Q89" ca="1">_xlfn.TEXTJOIN(", ", TRUE, IF(($S$2:$S$485 = O89) * ($AF$2:$AF$485 &lt; 0), $W$2:$W$485&amp;" "&amp;$X$2:$X$485, ""))</f>
        <v/>
      </c>
      <c r="S89" s="281">
        <v>1134878</v>
      </c>
      <c r="T89" s="278" t="s">
        <v>313</v>
      </c>
      <c r="U89" s="278" t="s">
        <v>649</v>
      </c>
      <c r="V89" s="25">
        <v>6</v>
      </c>
      <c r="W89" s="284">
        <v>1187118</v>
      </c>
      <c r="X89" s="19" t="str">
        <f>IFERROR(INDEX(Table14[],MATCH($W89,Table14[SAPNo],0),3),"")</f>
        <v>1613 18C CT182H</v>
      </c>
      <c r="Y89" s="284">
        <v>1</v>
      </c>
      <c r="Z89" s="25">
        <f t="shared" si="23"/>
        <v>3</v>
      </c>
      <c r="AA89" s="25">
        <f t="shared" si="24"/>
        <v>3</v>
      </c>
      <c r="AB89" s="23">
        <f ca="1">IFERROR(INDEX('Cutters Inventory 12-30-2025'!A:W,MATCH($W89,'Cutters Inventory 12-30-2025'!B:B,0),14),0)</f>
        <v>0</v>
      </c>
      <c r="AC89" s="23">
        <f>SUMIF(Table1[LEVEL 5 MAT NO.],S89,Table1[Braze Plan])</f>
        <v>0</v>
      </c>
      <c r="AD89" s="23">
        <f>Table4[[#This Row],[Quantity]]*Table4[[#This Row],[Bits Braze Plan]]</f>
        <v>0</v>
      </c>
      <c r="AE89" s="23">
        <f ca="1">Table4[[#This Row],[INV. QTY]]-Table4[[#This Row],[Required For Braze Cutters Check]]</f>
        <v>0</v>
      </c>
      <c r="AF89" s="23">
        <f t="shared" ca="1" si="25"/>
        <v>0</v>
      </c>
      <c r="AG89" s="23"/>
      <c r="AI89">
        <v>1293118</v>
      </c>
      <c r="AJ89" s="19">
        <f t="shared" si="32"/>
        <v>1293118</v>
      </c>
      <c r="AK89" s="19">
        <f>SUMIF(Table4[Component],AJ89,Table4[Qty of Cutters in these MATs])</f>
        <v>180</v>
      </c>
      <c r="AL89" s="19">
        <f>SUMIF(Table4[Component],AJ89,Table4[Required For Braze Cutters Check])</f>
        <v>0</v>
      </c>
      <c r="AM89" s="19">
        <f ca="1">IFERROR(INDEX('Cutters Inventory 12-30-2025'!A:W,MATCH($AI89,'Cutters Inventory 12-30-2025'!B:B,0),14),0)</f>
        <v>130</v>
      </c>
      <c r="AN89" s="19">
        <f ca="1">Table5[[#This Row],[INV. QTY]]-Table5[[#This Row],[Required For Braze Cutters Check]]</f>
        <v>130</v>
      </c>
      <c r="AO89" s="19" t="str">
        <f ca="1">IF($AN89&lt;0,Table5[[#This Row],[Component]],"")</f>
        <v/>
      </c>
      <c r="AS89">
        <v>1296685</v>
      </c>
      <c r="AT89">
        <f t="shared" si="29"/>
        <v>1296685</v>
      </c>
      <c r="AV89" s="573">
        <f t="shared" si="30"/>
        <v>0</v>
      </c>
      <c r="AW89">
        <f t="shared" si="27"/>
        <v>0</v>
      </c>
      <c r="AY89" t="str">
        <v>1201087M</v>
      </c>
      <c r="BA89">
        <f t="shared" si="22"/>
        <v>0</v>
      </c>
      <c r="BC89" s="159">
        <f>IFERROR(VLOOKUP(BA:BA,Table4[],8,FALSE),Table6[[#This Row],[Not Exist BOM''s]])</f>
        <v>0</v>
      </c>
    </row>
    <row r="90" spans="1:55" ht="24.75" customHeight="1" x14ac:dyDescent="0.3">
      <c r="A90" s="109">
        <v>20230271</v>
      </c>
      <c r="B90" s="709"/>
      <c r="C90" s="109">
        <v>14074749</v>
      </c>
      <c r="D90" s="109" t="s">
        <v>316</v>
      </c>
      <c r="E90" s="109" t="s">
        <v>291</v>
      </c>
      <c r="F90" s="109"/>
      <c r="G90" s="109" t="s">
        <v>648</v>
      </c>
      <c r="H90" s="140">
        <v>1228782</v>
      </c>
      <c r="I90" s="140">
        <v>1058252</v>
      </c>
      <c r="J90" s="26">
        <f>IF(H90&lt;&gt;"",IF(AND(C90&lt;&gt;"",IFERROR(MATCH(C90,Table10[Serial No.],0),0)),0,1),0)</f>
        <v>0</v>
      </c>
      <c r="K90" s="21"/>
      <c r="L90" s="539" t="str">
        <f t="shared" ca="1" si="28"/>
        <v/>
      </c>
      <c r="N90" t="str">
        <v>2030214M</v>
      </c>
      <c r="O90" s="28" t="str">
        <f t="shared" si="21"/>
        <v>2030214M</v>
      </c>
      <c r="P90" s="28">
        <f>SUMIF(Table1[LEVEL 5 MAT NO.],N90,Table1[Quantity])</f>
        <v>1</v>
      </c>
      <c r="Q90" s="480" t="str" cm="1">
        <f t="array" aca="1" ref="Q90" ca="1">_xlfn.TEXTJOIN(", ", TRUE, IF(($S$2:$S$485 = O90) * ($AF$2:$AF$485 &lt; 0), $W$2:$W$485&amp;" "&amp;$X$2:$X$485, ""))</f>
        <v/>
      </c>
      <c r="S90" s="281">
        <v>1135558</v>
      </c>
      <c r="T90" s="278" t="s">
        <v>624</v>
      </c>
      <c r="U90" s="278" t="s">
        <v>650</v>
      </c>
      <c r="V90" s="25">
        <v>1</v>
      </c>
      <c r="W90" s="284">
        <v>1126402</v>
      </c>
      <c r="X90" s="19" t="str">
        <f>IFERROR(INDEX(Table14[],MATCH($W90,Table14[SAPNo],0),3),"")</f>
        <v>1613 CT421 16-60</v>
      </c>
      <c r="Y90" s="284">
        <v>28</v>
      </c>
      <c r="Z90" s="25">
        <f t="shared" si="23"/>
        <v>3</v>
      </c>
      <c r="AA90" s="25">
        <f t="shared" si="24"/>
        <v>84</v>
      </c>
      <c r="AB90" s="23">
        <f ca="1">IFERROR(INDEX('Cutters Inventory 12-30-2025'!A:W,MATCH($W90,'Cutters Inventory 12-30-2025'!B:B,0),14),0)</f>
        <v>422</v>
      </c>
      <c r="AC90" s="23">
        <f>SUMIF(Table1[LEVEL 5 MAT NO.],S90,Table1[Braze Plan])</f>
        <v>0</v>
      </c>
      <c r="AD90" s="23">
        <f>Table4[[#This Row],[Quantity]]*Table4[[#This Row],[Bits Braze Plan]]</f>
        <v>0</v>
      </c>
      <c r="AE90" s="23">
        <f ca="1">Table4[[#This Row],[INV. QTY]]-Table4[[#This Row],[Required For Braze Cutters Check]]</f>
        <v>422</v>
      </c>
      <c r="AF90" s="23">
        <f t="shared" ca="1" si="25"/>
        <v>422</v>
      </c>
      <c r="AG90" s="23"/>
      <c r="AI90">
        <v>1296685</v>
      </c>
      <c r="AJ90" s="19">
        <f t="shared" si="32"/>
        <v>1296685</v>
      </c>
      <c r="AK90" s="19">
        <f>SUMIF(Table4[Component],AJ90,Table4[Qty of Cutters in these MATs])</f>
        <v>623</v>
      </c>
      <c r="AL90" s="19">
        <f>SUMIF(Table4[Component],AJ90,Table4[Required For Braze Cutters Check])</f>
        <v>0</v>
      </c>
      <c r="AM90" s="19">
        <f ca="1">IFERROR(INDEX('Cutters Inventory 12-30-2025'!A:W,MATCH($AI90,'Cutters Inventory 12-30-2025'!B:B,0),14),0)</f>
        <v>196</v>
      </c>
      <c r="AN90" s="19">
        <f ca="1">Table5[[#This Row],[INV. QTY]]-Table5[[#This Row],[Required For Braze Cutters Check]]</f>
        <v>196</v>
      </c>
      <c r="AO90" s="19" t="str">
        <f ca="1">IF($AN90&lt;0,Table5[[#This Row],[Component]],"")</f>
        <v/>
      </c>
      <c r="AS90">
        <v>2000450</v>
      </c>
      <c r="AT90">
        <f t="shared" si="29"/>
        <v>2000450</v>
      </c>
      <c r="AV90" s="573">
        <f t="shared" si="30"/>
        <v>0</v>
      </c>
      <c r="AW90">
        <f t="shared" si="27"/>
        <v>0</v>
      </c>
      <c r="AY90" t="str">
        <v>1212043M</v>
      </c>
      <c r="BA90">
        <f t="shared" ref="BA90:BA121" si="33">IFERROR(AZ90,"")</f>
        <v>0</v>
      </c>
      <c r="BC90" s="159">
        <f>IFERROR(VLOOKUP(BA:BA,Table4[],8,FALSE),Table6[[#This Row],[Not Exist BOM''s]])</f>
        <v>0</v>
      </c>
    </row>
    <row r="91" spans="1:55" ht="24.75" customHeight="1" x14ac:dyDescent="0.3">
      <c r="A91" s="109">
        <v>20230271</v>
      </c>
      <c r="B91" s="709"/>
      <c r="C91" s="109">
        <v>14074750</v>
      </c>
      <c r="D91" s="109" t="s">
        <v>316</v>
      </c>
      <c r="E91" s="109" t="s">
        <v>291</v>
      </c>
      <c r="F91" s="109"/>
      <c r="G91" s="109" t="s">
        <v>648</v>
      </c>
      <c r="H91" s="140">
        <v>1228782</v>
      </c>
      <c r="I91" s="140">
        <v>1058252</v>
      </c>
      <c r="J91" s="26">
        <f>IF(H91&lt;&gt;"",IF(AND(C91&lt;&gt;"",IFERROR(MATCH(C91,Table10[Serial No.],0),0)),0,1),0)</f>
        <v>0</v>
      </c>
      <c r="K91" s="21"/>
      <c r="L91" s="539" t="str">
        <f t="shared" ca="1" si="28"/>
        <v/>
      </c>
      <c r="N91" t="str">
        <v>level3</v>
      </c>
      <c r="O91" s="28" t="str">
        <f t="shared" si="21"/>
        <v>level3</v>
      </c>
      <c r="P91" s="28">
        <f>SUMIF(Table1[LEVEL 5 MAT NO.],N91,Table1[Quantity])</f>
        <v>2</v>
      </c>
      <c r="Q91" s="480" t="str" cm="1">
        <f t="array" aca="1" ref="Q91" ca="1">_xlfn.TEXTJOIN(", ", TRUE, IF(($S$2:$S$485 = O91) * ($AF$2:$AF$485 &lt; 0), $W$2:$W$485&amp;" "&amp;$X$2:$X$485, ""))</f>
        <v/>
      </c>
      <c r="S91" s="281">
        <v>1135558</v>
      </c>
      <c r="T91" s="278" t="s">
        <v>624</v>
      </c>
      <c r="U91" s="278" t="s">
        <v>650</v>
      </c>
      <c r="V91" s="25">
        <v>2</v>
      </c>
      <c r="W91" s="284">
        <v>1130196</v>
      </c>
      <c r="X91" s="19" t="str">
        <f>IFERROR(INDEX(Table14[],MATCH($W91,Table14[SAPNo],0),3),"")</f>
        <v>Round 1313 CT182  0.018" (S)</v>
      </c>
      <c r="Y91" s="284">
        <v>3</v>
      </c>
      <c r="Z91" s="25">
        <f t="shared" si="23"/>
        <v>3</v>
      </c>
      <c r="AA91" s="25">
        <f t="shared" si="24"/>
        <v>9</v>
      </c>
      <c r="AB91" s="23">
        <f ca="1">IFERROR(INDEX('Cutters Inventory 12-30-2025'!A:W,MATCH($W91,'Cutters Inventory 12-30-2025'!B:B,0),14),0)</f>
        <v>6</v>
      </c>
      <c r="AC91" s="23">
        <f>SUMIF(Table1[LEVEL 5 MAT NO.],S91,Table1[Braze Plan])</f>
        <v>0</v>
      </c>
      <c r="AD91" s="23">
        <f>Table4[[#This Row],[Quantity]]*Table4[[#This Row],[Bits Braze Plan]]</f>
        <v>0</v>
      </c>
      <c r="AE91" s="23">
        <f ca="1">Table4[[#This Row],[INV. QTY]]-Table4[[#This Row],[Required For Braze Cutters Check]]</f>
        <v>6</v>
      </c>
      <c r="AF91" s="23">
        <f t="shared" ca="1" si="25"/>
        <v>6</v>
      </c>
      <c r="AG91" s="23"/>
      <c r="AI91">
        <v>2000450</v>
      </c>
      <c r="AJ91" s="19">
        <f t="shared" ref="AJ91:AJ128" si="34">IFERROR(AI91,"")</f>
        <v>2000450</v>
      </c>
      <c r="AK91" s="19">
        <f>SUMIF(Table4[Component],AJ91,Table4[Qty of Cutters in these MATs])</f>
        <v>10</v>
      </c>
      <c r="AL91" s="19">
        <f>SUMIF(Table4[Component],AJ91,Table4[Required For Braze Cutters Check])</f>
        <v>0</v>
      </c>
      <c r="AM91" s="19">
        <f ca="1">IFERROR(INDEX('Cutters Inventory 12-30-2025'!A:W,MATCH($AI91,'Cutters Inventory 12-30-2025'!B:B,0),14),0)</f>
        <v>0</v>
      </c>
      <c r="AN91" s="19">
        <f ca="1">Table5[[#This Row],[INV. QTY]]-Table5[[#This Row],[Required For Braze Cutters Check]]</f>
        <v>0</v>
      </c>
      <c r="AO91" s="19" t="str">
        <f ca="1">IF($AN91&lt;0,Table5[[#This Row],[Component]],"")</f>
        <v/>
      </c>
      <c r="AS91">
        <v>2001060</v>
      </c>
      <c r="AT91">
        <f t="shared" si="29"/>
        <v>2001060</v>
      </c>
      <c r="AV91" s="573">
        <f t="shared" si="30"/>
        <v>0</v>
      </c>
      <c r="AW91">
        <f t="shared" si="27"/>
        <v>0</v>
      </c>
      <c r="AY91" t="str">
        <v>1212207M</v>
      </c>
      <c r="BA91">
        <f t="shared" si="33"/>
        <v>0</v>
      </c>
      <c r="BC91" s="159">
        <f>IFERROR(VLOOKUP(BA:BA,Table4[],8,FALSE),Table6[[#This Row],[Not Exist BOM''s]])</f>
        <v>0</v>
      </c>
    </row>
    <row r="92" spans="1:55" ht="24.75" customHeight="1" x14ac:dyDescent="0.3">
      <c r="A92" s="109">
        <v>20230271</v>
      </c>
      <c r="B92" s="709"/>
      <c r="C92" s="109">
        <v>14074751</v>
      </c>
      <c r="D92" s="109" t="s">
        <v>316</v>
      </c>
      <c r="E92" s="109" t="s">
        <v>291</v>
      </c>
      <c r="F92" s="109"/>
      <c r="G92" s="109" t="s">
        <v>648</v>
      </c>
      <c r="H92" s="140">
        <v>1228782</v>
      </c>
      <c r="I92" s="140">
        <v>1058252</v>
      </c>
      <c r="J92" s="26">
        <f>IF(H92&lt;&gt;"",IF(AND(C92&lt;&gt;"",IFERROR(MATCH(C92,Table10[Serial No.],0),0)),0,1),0)</f>
        <v>0</v>
      </c>
      <c r="K92" s="21"/>
      <c r="L92" s="539" t="str">
        <f t="shared" ca="1" si="28"/>
        <v/>
      </c>
      <c r="O92" s="28">
        <f t="shared" si="21"/>
        <v>0</v>
      </c>
      <c r="P92" s="28">
        <f>SUMIF(Table1[LEVEL 5 MAT NO.],N92,Table1[Quantity])</f>
        <v>0</v>
      </c>
      <c r="Q92" s="480" t="str" cm="1">
        <f t="array" aca="1" ref="Q92" ca="1">_xlfn.TEXTJOIN(", ", TRUE, IF(($S$2:$S$485 = O92) * ($AF$2:$AF$485 &lt; 0), $W$2:$W$485&amp;" "&amp;$X$2:$X$485, ""))</f>
        <v/>
      </c>
      <c r="S92" s="281">
        <v>1135558</v>
      </c>
      <c r="T92" s="278" t="s">
        <v>624</v>
      </c>
      <c r="U92" s="278" t="s">
        <v>650</v>
      </c>
      <c r="V92" s="25">
        <v>3</v>
      </c>
      <c r="W92" s="284">
        <v>871781</v>
      </c>
      <c r="X92" s="19" t="str">
        <f>IFERROR(INDEX(Table14[],MATCH($W92,Table14[SAPNo],0),3),"")</f>
        <v>Round 1313 CT200  0.018" (B)</v>
      </c>
      <c r="Y92" s="284">
        <v>3</v>
      </c>
      <c r="Z92" s="25">
        <f t="shared" si="23"/>
        <v>3</v>
      </c>
      <c r="AA92" s="25">
        <f t="shared" si="24"/>
        <v>9</v>
      </c>
      <c r="AB92" s="23">
        <f ca="1">IFERROR(INDEX('Cutters Inventory 12-30-2025'!A:W,MATCH($W92,'Cutters Inventory 12-30-2025'!B:B,0),14),0)</f>
        <v>843</v>
      </c>
      <c r="AC92" s="23">
        <f>SUMIF(Table1[LEVEL 5 MAT NO.],S92,Table1[Braze Plan])</f>
        <v>0</v>
      </c>
      <c r="AD92" s="23">
        <f>Table4[[#This Row],[Quantity]]*Table4[[#This Row],[Bits Braze Plan]]</f>
        <v>0</v>
      </c>
      <c r="AE92" s="23">
        <f ca="1">Table4[[#This Row],[INV. QTY]]-Table4[[#This Row],[Required For Braze Cutters Check]]</f>
        <v>843</v>
      </c>
      <c r="AF92" s="23">
        <f t="shared" ca="1" si="25"/>
        <v>843</v>
      </c>
      <c r="AG92" s="23"/>
      <c r="AI92">
        <v>2001060</v>
      </c>
      <c r="AJ92" s="19">
        <f t="shared" si="34"/>
        <v>2001060</v>
      </c>
      <c r="AK92" s="19">
        <f>SUMIF(Table4[Component],AJ92,Table4[Qty of Cutters in these MATs])</f>
        <v>24</v>
      </c>
      <c r="AL92" s="19">
        <f>SUMIF(Table4[Component],AJ92,Table4[Required For Braze Cutters Check])</f>
        <v>0</v>
      </c>
      <c r="AM92" s="19">
        <f ca="1">IFERROR(INDEX('Cutters Inventory 12-30-2025'!A:W,MATCH($AI92,'Cutters Inventory 12-30-2025'!B:B,0),14),0)</f>
        <v>27</v>
      </c>
      <c r="AN92" s="19">
        <f ca="1">Table5[[#This Row],[INV. QTY]]-Table5[[#This Row],[Required For Braze Cutters Check]]</f>
        <v>27</v>
      </c>
      <c r="AO92" s="19" t="str">
        <f ca="1">IF($AN92&lt;0,Table5[[#This Row],[Component]],"")</f>
        <v/>
      </c>
      <c r="AS92">
        <v>2001155</v>
      </c>
      <c r="AT92">
        <f t="shared" si="29"/>
        <v>2001155</v>
      </c>
      <c r="AV92" s="573">
        <f t="shared" si="30"/>
        <v>0</v>
      </c>
      <c r="AW92">
        <f t="shared" si="27"/>
        <v>0</v>
      </c>
      <c r="AY92" t="str">
        <v>1212881M</v>
      </c>
      <c r="BA92">
        <f t="shared" si="33"/>
        <v>0</v>
      </c>
      <c r="BC92" s="159">
        <f>IFERROR(VLOOKUP(BA:BA,Table4[],8,FALSE),Table6[[#This Row],[Not Exist BOM''s]])</f>
        <v>0</v>
      </c>
    </row>
    <row r="93" spans="1:55" ht="24.75" customHeight="1" x14ac:dyDescent="0.3">
      <c r="A93" s="109">
        <v>20230271</v>
      </c>
      <c r="B93" s="709"/>
      <c r="C93" s="109">
        <v>14074755</v>
      </c>
      <c r="D93" s="109" t="s">
        <v>316</v>
      </c>
      <c r="E93" s="109" t="s">
        <v>290</v>
      </c>
      <c r="F93" s="109"/>
      <c r="G93" s="109" t="s">
        <v>648</v>
      </c>
      <c r="H93" s="140">
        <v>1229187</v>
      </c>
      <c r="I93" s="140">
        <v>1268728</v>
      </c>
      <c r="J93" s="26">
        <f>IF(H93&lt;&gt;"",IF(AND(C93&lt;&gt;"",IFERROR(MATCH(C93,Table10[Serial No.],0),0)),0,1),0)</f>
        <v>0</v>
      </c>
      <c r="K93" s="21"/>
      <c r="L93" s="539" t="str">
        <f t="shared" ca="1" si="28"/>
        <v/>
      </c>
      <c r="O93" s="28">
        <f t="shared" si="21"/>
        <v>0</v>
      </c>
      <c r="P93" s="28">
        <f>SUMIF(Table1[LEVEL 5 MAT NO.],N93,Table1[Quantity])</f>
        <v>0</v>
      </c>
      <c r="Q93" s="480" t="str" cm="1">
        <f t="array" aca="1" ref="Q93" ca="1">_xlfn.TEXTJOIN(", ", TRUE, IF(($S$2:$S$485 = O93) * ($AF$2:$AF$485 &lt; 0), $W$2:$W$485&amp;" "&amp;$X$2:$X$485, ""))</f>
        <v/>
      </c>
      <c r="S93" s="281">
        <v>1135558</v>
      </c>
      <c r="T93" s="278" t="s">
        <v>624</v>
      </c>
      <c r="U93" s="278" t="s">
        <v>650</v>
      </c>
      <c r="V93" s="25">
        <v>4</v>
      </c>
      <c r="W93" s="284">
        <v>418525</v>
      </c>
      <c r="X93" s="19" t="str">
        <f>IFERROR(INDEX(Table14[],MATCH($W93,Table14[SAPNo],0),3),"")</f>
        <v>Drop In 1308 CT31   (B)</v>
      </c>
      <c r="Y93" s="284">
        <v>6</v>
      </c>
      <c r="Z93" s="25">
        <f t="shared" si="23"/>
        <v>3</v>
      </c>
      <c r="AA93" s="25">
        <f t="shared" si="24"/>
        <v>18</v>
      </c>
      <c r="AB93" s="23">
        <f ca="1">IFERROR(INDEX('Cutters Inventory 12-30-2025'!A:W,MATCH($W93,'Cutters Inventory 12-30-2025'!B:B,0),14),0)</f>
        <v>933</v>
      </c>
      <c r="AC93" s="23">
        <f>SUMIF(Table1[LEVEL 5 MAT NO.],S93,Table1[Braze Plan])</f>
        <v>0</v>
      </c>
      <c r="AD93" s="23">
        <f>Table4[[#This Row],[Quantity]]*Table4[[#This Row],[Bits Braze Plan]]</f>
        <v>0</v>
      </c>
      <c r="AE93" s="23">
        <f ca="1">Table4[[#This Row],[INV. QTY]]-Table4[[#This Row],[Required For Braze Cutters Check]]</f>
        <v>933</v>
      </c>
      <c r="AF93" s="23">
        <f t="shared" ca="1" si="25"/>
        <v>933</v>
      </c>
      <c r="AG93" s="23"/>
      <c r="AI93">
        <v>2001155</v>
      </c>
      <c r="AJ93" s="19">
        <f t="shared" si="34"/>
        <v>2001155</v>
      </c>
      <c r="AK93" s="19">
        <f>SUMIF(Table4[Component],AJ93,Table4[Qty of Cutters in these MATs])</f>
        <v>70</v>
      </c>
      <c r="AL93" s="19">
        <f>SUMIF(Table4[Component],AJ93,Table4[Required For Braze Cutters Check])</f>
        <v>0</v>
      </c>
      <c r="AM93" s="19">
        <f ca="1">IFERROR(INDEX('Cutters Inventory 12-30-2025'!A:W,MATCH($AI93,'Cutters Inventory 12-30-2025'!B:B,0),14),0)</f>
        <v>45</v>
      </c>
      <c r="AN93" s="19">
        <f ca="1">Table5[[#This Row],[INV. QTY]]-Table5[[#This Row],[Required For Braze Cutters Check]]</f>
        <v>45</v>
      </c>
      <c r="AO93" s="19" t="str">
        <f ca="1">IF($AN93&lt;0,Table5[[#This Row],[Component]],"")</f>
        <v/>
      </c>
      <c r="AS93">
        <v>2002186</v>
      </c>
      <c r="AT93">
        <f t="shared" si="29"/>
        <v>2002186</v>
      </c>
      <c r="AV93" s="573">
        <f t="shared" si="30"/>
        <v>0</v>
      </c>
      <c r="AW93">
        <f t="shared" si="27"/>
        <v>0</v>
      </c>
      <c r="AY93" t="str">
        <v>1214858M</v>
      </c>
      <c r="BA93">
        <f t="shared" si="33"/>
        <v>0</v>
      </c>
      <c r="BC93" s="159">
        <f>IFERROR(VLOOKUP(BA:BA,Table4[],8,FALSE),Table6[[#This Row],[Not Exist BOM''s]])</f>
        <v>0</v>
      </c>
    </row>
    <row r="94" spans="1:55" ht="24.75" customHeight="1" x14ac:dyDescent="0.3">
      <c r="A94" s="109">
        <v>20230271</v>
      </c>
      <c r="B94" s="709"/>
      <c r="C94" s="109">
        <v>14074754</v>
      </c>
      <c r="D94" s="109" t="s">
        <v>316</v>
      </c>
      <c r="E94" s="109" t="s">
        <v>290</v>
      </c>
      <c r="F94" s="109"/>
      <c r="G94" s="109" t="s">
        <v>648</v>
      </c>
      <c r="H94" s="140">
        <v>1229187</v>
      </c>
      <c r="I94" s="140">
        <v>1268728</v>
      </c>
      <c r="J94" s="26">
        <f>IF(H94&lt;&gt;"",IF(AND(C94&lt;&gt;"",IFERROR(MATCH(C94,Table10[Serial No.],0),0)),0,1),0)</f>
        <v>0</v>
      </c>
      <c r="K94" s="21"/>
      <c r="L94" s="539" t="str">
        <f t="shared" ca="1" si="28"/>
        <v/>
      </c>
      <c r="S94" s="281">
        <v>1137348</v>
      </c>
      <c r="T94" s="278" t="s">
        <v>309</v>
      </c>
      <c r="U94" s="278" t="s">
        <v>651</v>
      </c>
      <c r="V94" s="25">
        <v>1</v>
      </c>
      <c r="W94" s="284">
        <v>1100696</v>
      </c>
      <c r="X94" s="19" t="str">
        <f>IFERROR(INDEX(Table14[],MATCH($W94,Table14[SAPNo],0),3),"")</f>
        <v>Round 1313 CT418  10C (S)</v>
      </c>
      <c r="Y94" s="284">
        <v>22</v>
      </c>
      <c r="Z94" s="25">
        <f t="shared" si="23"/>
        <v>0</v>
      </c>
      <c r="AA94" s="25">
        <f t="shared" si="24"/>
        <v>0</v>
      </c>
      <c r="AB94" s="23">
        <f ca="1">IFERROR(INDEX('Cutters Inventory 12-30-2025'!A:W,MATCH($W94,'Cutters Inventory 12-30-2025'!B:B,0),14),0)</f>
        <v>19</v>
      </c>
      <c r="AC94" s="23">
        <f>SUMIF(Table1[LEVEL 5 MAT NO.],S94,Table1[Braze Plan])</f>
        <v>0</v>
      </c>
      <c r="AD94" s="23">
        <f>Table4[[#This Row],[Quantity]]*Table4[[#This Row],[Bits Braze Plan]]</f>
        <v>0</v>
      </c>
      <c r="AE94" s="23">
        <f ca="1">Table4[[#This Row],[INV. QTY]]-Table4[[#This Row],[Required For Braze Cutters Check]]</f>
        <v>19</v>
      </c>
      <c r="AF94" s="23">
        <f t="shared" ca="1" si="25"/>
        <v>19</v>
      </c>
      <c r="AG94" s="23"/>
      <c r="AI94">
        <v>2002186</v>
      </c>
      <c r="AJ94" s="19">
        <f t="shared" si="34"/>
        <v>2002186</v>
      </c>
      <c r="AK94" s="19">
        <f>SUMIF(Table4[Component],AJ94,Table4[Qty of Cutters in these MATs])</f>
        <v>136</v>
      </c>
      <c r="AL94" s="19">
        <f>SUMIF(Table4[Component],AJ94,Table4[Required For Braze Cutters Check])</f>
        <v>0</v>
      </c>
      <c r="AM94" s="19">
        <f ca="1">IFERROR(INDEX('Cutters Inventory 12-30-2025'!A:W,MATCH($AI94,'Cutters Inventory 12-30-2025'!B:B,0),14),0)</f>
        <v>330</v>
      </c>
      <c r="AN94" s="19">
        <f ca="1">Table5[[#This Row],[INV. QTY]]-Table5[[#This Row],[Required For Braze Cutters Check]]</f>
        <v>330</v>
      </c>
      <c r="AO94" s="19" t="str">
        <f ca="1">IF($AN94&lt;0,Table5[[#This Row],[Component]],"")</f>
        <v/>
      </c>
      <c r="AS94">
        <v>2002299</v>
      </c>
      <c r="AT94">
        <f t="shared" si="29"/>
        <v>2002299</v>
      </c>
      <c r="AV94" s="573">
        <f t="shared" si="30"/>
        <v>0</v>
      </c>
      <c r="AW94">
        <f t="shared" si="27"/>
        <v>0</v>
      </c>
      <c r="AY94" t="str">
        <v>1217589M</v>
      </c>
      <c r="BA94">
        <f t="shared" si="33"/>
        <v>0</v>
      </c>
      <c r="BC94" s="159">
        <f>IFERROR(VLOOKUP(BA:BA,Table4[],8,FALSE),Table6[[#This Row],[Not Exist BOM''s]])</f>
        <v>0</v>
      </c>
    </row>
    <row r="95" spans="1:55" ht="24.75" customHeight="1" x14ac:dyDescent="0.3">
      <c r="A95" s="109">
        <v>20230271</v>
      </c>
      <c r="B95" s="709"/>
      <c r="C95" s="109">
        <v>14074753</v>
      </c>
      <c r="D95" s="109" t="s">
        <v>316</v>
      </c>
      <c r="E95" s="109" t="s">
        <v>290</v>
      </c>
      <c r="F95" s="109"/>
      <c r="G95" s="109" t="s">
        <v>648</v>
      </c>
      <c r="H95" s="140">
        <v>1229187</v>
      </c>
      <c r="I95" s="140">
        <v>1268728</v>
      </c>
      <c r="J95" s="26">
        <f>IF(H95&lt;&gt;"",IF(AND(C95&lt;&gt;"",IFERROR(MATCH(C95,Table10[Serial No.],0),0)),0,1),0)</f>
        <v>0</v>
      </c>
      <c r="K95" s="21"/>
      <c r="L95" s="539" t="str">
        <f t="shared" ca="1" si="28"/>
        <v/>
      </c>
      <c r="S95" s="281">
        <v>1137348</v>
      </c>
      <c r="T95" s="278" t="s">
        <v>309</v>
      </c>
      <c r="U95" s="278" t="s">
        <v>651</v>
      </c>
      <c r="V95" s="25">
        <v>2</v>
      </c>
      <c r="W95" s="284">
        <v>871781</v>
      </c>
      <c r="X95" s="19" t="str">
        <f>IFERROR(INDEX(Table14[],MATCH($W95,Table14[SAPNo],0),3),"")</f>
        <v>Round 1313 CT200  0.018" (B)</v>
      </c>
      <c r="Y95" s="284">
        <v>6</v>
      </c>
      <c r="Z95" s="25">
        <f t="shared" si="23"/>
        <v>0</v>
      </c>
      <c r="AA95" s="25">
        <f t="shared" si="24"/>
        <v>0</v>
      </c>
      <c r="AB95" s="23">
        <f ca="1">IFERROR(INDEX('Cutters Inventory 12-30-2025'!A:W,MATCH($W95,'Cutters Inventory 12-30-2025'!B:B,0),14),0)</f>
        <v>843</v>
      </c>
      <c r="AC95" s="23">
        <f>SUMIF(Table1[LEVEL 5 MAT NO.],S95,Table1[Braze Plan])</f>
        <v>0</v>
      </c>
      <c r="AD95" s="23">
        <f>Table4[[#This Row],[Quantity]]*Table4[[#This Row],[Bits Braze Plan]]</f>
        <v>0</v>
      </c>
      <c r="AE95" s="23">
        <f ca="1">Table4[[#This Row],[INV. QTY]]-Table4[[#This Row],[Required For Braze Cutters Check]]</f>
        <v>843</v>
      </c>
      <c r="AF95" s="23">
        <f t="shared" ca="1" si="25"/>
        <v>843</v>
      </c>
      <c r="AG95" s="23"/>
      <c r="AI95">
        <v>2002299</v>
      </c>
      <c r="AJ95" s="19">
        <f t="shared" si="34"/>
        <v>2002299</v>
      </c>
      <c r="AK95" s="19">
        <f>SUMIF(Table4[Component],AJ95,Table4[Qty of Cutters in these MATs])</f>
        <v>246</v>
      </c>
      <c r="AL95" s="19">
        <f>SUMIF(Table4[Component],AJ95,Table4[Required For Braze Cutters Check])</f>
        <v>0</v>
      </c>
      <c r="AM95" s="19">
        <f ca="1">IFERROR(INDEX('Cutters Inventory 12-30-2025'!A:W,MATCH($AI95,'Cutters Inventory 12-30-2025'!B:B,0),14),0)</f>
        <v>557</v>
      </c>
      <c r="AN95" s="19">
        <f ca="1">Table5[[#This Row],[INV. QTY]]-Table5[[#This Row],[Required For Braze Cutters Check]]</f>
        <v>557</v>
      </c>
      <c r="AO95" s="19" t="str">
        <f ca="1">IF($AN95&lt;0,Table5[[#This Row],[Component]],"")</f>
        <v/>
      </c>
      <c r="AS95">
        <v>2004484</v>
      </c>
      <c r="AT95">
        <f t="shared" si="29"/>
        <v>2004484</v>
      </c>
      <c r="AV95" s="573">
        <f t="shared" si="30"/>
        <v>0</v>
      </c>
      <c r="AW95">
        <f t="shared" si="27"/>
        <v>0</v>
      </c>
      <c r="AY95" t="str">
        <v>1220553M</v>
      </c>
      <c r="BA95">
        <f t="shared" si="33"/>
        <v>0</v>
      </c>
      <c r="BC95" s="159">
        <f>IFERROR(VLOOKUP(BA:BA,Table4[],8,FALSE),Table6[[#This Row],[Not Exist BOM''s]])</f>
        <v>0</v>
      </c>
    </row>
    <row r="96" spans="1:55" ht="24.75" customHeight="1" x14ac:dyDescent="0.3">
      <c r="A96" s="109">
        <v>20230271</v>
      </c>
      <c r="B96" s="709"/>
      <c r="C96" s="109">
        <v>14074752</v>
      </c>
      <c r="D96" s="109" t="s">
        <v>316</v>
      </c>
      <c r="E96" s="109" t="s">
        <v>290</v>
      </c>
      <c r="F96" s="109"/>
      <c r="G96" s="109" t="s">
        <v>648</v>
      </c>
      <c r="H96" s="140">
        <v>1229187</v>
      </c>
      <c r="I96" s="140">
        <v>1268728</v>
      </c>
      <c r="J96" s="26">
        <f>IF(H96&lt;&gt;"",IF(AND(C96&lt;&gt;"",IFERROR(MATCH(C96,Table10[Serial No.],0),0)),0,1),0)</f>
        <v>0</v>
      </c>
      <c r="K96" s="21"/>
      <c r="L96" s="539" t="str">
        <f t="shared" ca="1" si="28"/>
        <v/>
      </c>
      <c r="S96" s="281">
        <v>1137348</v>
      </c>
      <c r="T96" s="278" t="s">
        <v>309</v>
      </c>
      <c r="U96" s="278" t="s">
        <v>651</v>
      </c>
      <c r="V96" s="25">
        <v>3</v>
      </c>
      <c r="W96" s="284">
        <v>703670</v>
      </c>
      <c r="X96" s="19" t="str">
        <f>IFERROR(INDEX(Table14[],MATCH($W96,Table14[SAPNo],0),3),"")</f>
        <v>Round 1313 CT200  10C (B)</v>
      </c>
      <c r="Y96" s="284">
        <v>3</v>
      </c>
      <c r="Z96" s="25">
        <f t="shared" si="23"/>
        <v>0</v>
      </c>
      <c r="AA96" s="25">
        <f t="shared" si="24"/>
        <v>0</v>
      </c>
      <c r="AB96" s="23">
        <f ca="1">IFERROR(INDEX('Cutters Inventory 12-30-2025'!A:W,MATCH($W96,'Cutters Inventory 12-30-2025'!B:B,0),14),0)</f>
        <v>49</v>
      </c>
      <c r="AC96" s="23">
        <f>SUMIF(Table1[LEVEL 5 MAT NO.],S96,Table1[Braze Plan])</f>
        <v>0</v>
      </c>
      <c r="AD96" s="23">
        <f>Table4[[#This Row],[Quantity]]*Table4[[#This Row],[Bits Braze Plan]]</f>
        <v>0</v>
      </c>
      <c r="AE96" s="23">
        <f ca="1">Table4[[#This Row],[INV. QTY]]-Table4[[#This Row],[Required For Braze Cutters Check]]</f>
        <v>49</v>
      </c>
      <c r="AF96" s="23">
        <f t="shared" ca="1" si="25"/>
        <v>49</v>
      </c>
      <c r="AG96" s="23"/>
      <c r="AI96">
        <v>2004484</v>
      </c>
      <c r="AJ96" s="19">
        <f t="shared" si="34"/>
        <v>2004484</v>
      </c>
      <c r="AK96" s="19">
        <f>SUMIF(Table4[Component],AJ96,Table4[Qty of Cutters in these MATs])</f>
        <v>373</v>
      </c>
      <c r="AL96" s="19">
        <f>SUMIF(Table4[Component],AJ96,Table4[Required For Braze Cutters Check])</f>
        <v>0</v>
      </c>
      <c r="AM96" s="19">
        <f ca="1">IFERROR(INDEX('Cutters Inventory 12-30-2025'!A:W,MATCH($AI96,'Cutters Inventory 12-30-2025'!B:B,0),14),0)</f>
        <v>428</v>
      </c>
      <c r="AN96" s="19">
        <f ca="1">Table5[[#This Row],[INV. QTY]]-Table5[[#This Row],[Required For Braze Cutters Check]]</f>
        <v>428</v>
      </c>
      <c r="AO96" s="19" t="str">
        <f ca="1">IF($AN96&lt;0,Table5[[#This Row],[Component]],"")</f>
        <v/>
      </c>
      <c r="AS96">
        <v>2013427</v>
      </c>
      <c r="AT96">
        <f t="shared" si="29"/>
        <v>2013427</v>
      </c>
      <c r="AV96" s="573">
        <f t="shared" si="30"/>
        <v>0</v>
      </c>
      <c r="AW96">
        <f t="shared" si="27"/>
        <v>0</v>
      </c>
      <c r="AY96" t="str">
        <v>1221158M</v>
      </c>
      <c r="BA96">
        <f t="shared" si="33"/>
        <v>0</v>
      </c>
      <c r="BC96" s="159">
        <f>IFERROR(VLOOKUP(BA:BA,Table4[],8,FALSE),Table6[[#This Row],[Not Exist BOM''s]])</f>
        <v>0</v>
      </c>
    </row>
    <row r="97" spans="1:55" ht="24.75" customHeight="1" x14ac:dyDescent="0.3">
      <c r="A97" s="109">
        <v>20230290</v>
      </c>
      <c r="B97" s="709"/>
      <c r="C97" s="109">
        <v>14081145</v>
      </c>
      <c r="D97" s="109" t="s">
        <v>316</v>
      </c>
      <c r="E97" s="109" t="s">
        <v>288</v>
      </c>
      <c r="F97" s="109"/>
      <c r="G97" s="109" t="s">
        <v>646</v>
      </c>
      <c r="H97" s="140">
        <v>1238258</v>
      </c>
      <c r="I97" s="140" t="s">
        <v>652</v>
      </c>
      <c r="J97" s="26">
        <f>IF(H97&lt;&gt;"",IF(AND(C97&lt;&gt;"",IFERROR(MATCH(C97,Table10[Serial No.],0),0)),0,1),0)</f>
        <v>0</v>
      </c>
      <c r="K97" s="21"/>
      <c r="L97" s="539" t="str">
        <f t="shared" si="28"/>
        <v/>
      </c>
      <c r="S97" s="281">
        <v>1137349</v>
      </c>
      <c r="T97" s="278" t="s">
        <v>309</v>
      </c>
      <c r="U97" s="278" t="s">
        <v>653</v>
      </c>
      <c r="V97" s="25">
        <v>1</v>
      </c>
      <c r="W97" s="284">
        <v>1100696</v>
      </c>
      <c r="X97" s="19" t="str">
        <f>IFERROR(INDEX(Table14[],MATCH($W97,Table14[SAPNo],0),3),"")</f>
        <v>Round 1313 CT418  10C (S)</v>
      </c>
      <c r="Y97" s="284">
        <v>17</v>
      </c>
      <c r="Z97" s="25">
        <f t="shared" si="23"/>
        <v>8</v>
      </c>
      <c r="AA97" s="25">
        <f t="shared" si="24"/>
        <v>136</v>
      </c>
      <c r="AB97" s="23">
        <f ca="1">IFERROR(INDEX('Cutters Inventory 12-30-2025'!A:W,MATCH($W97,'Cutters Inventory 12-30-2025'!B:B,0),14),0)</f>
        <v>19</v>
      </c>
      <c r="AC97" s="23">
        <f>SUMIF(Table1[LEVEL 5 MAT NO.],S97,Table1[Braze Plan])</f>
        <v>0</v>
      </c>
      <c r="AD97" s="23">
        <f>Table4[[#This Row],[Quantity]]*Table4[[#This Row],[Bits Braze Plan]]</f>
        <v>0</v>
      </c>
      <c r="AE97" s="23">
        <f ca="1">Table4[[#This Row],[INV. QTY]]-Table4[[#This Row],[Required For Braze Cutters Check]]</f>
        <v>19</v>
      </c>
      <c r="AF97" s="23">
        <f t="shared" ca="1" si="25"/>
        <v>19</v>
      </c>
      <c r="AG97" s="23"/>
      <c r="AI97">
        <v>2013427</v>
      </c>
      <c r="AJ97" s="19">
        <f t="shared" si="34"/>
        <v>2013427</v>
      </c>
      <c r="AK97" s="19">
        <f>SUMIF(Table4[Component],AJ97,Table4[Qty of Cutters in these MATs])</f>
        <v>0</v>
      </c>
      <c r="AL97" s="19">
        <f>SUMIF(Table4[Component],AJ97,Table4[Required For Braze Cutters Check])</f>
        <v>0</v>
      </c>
      <c r="AM97" s="19">
        <f ca="1">IFERROR(INDEX('Cutters Inventory 12-30-2025'!A:W,MATCH($AI97,'Cutters Inventory 12-30-2025'!B:B,0),14),0)</f>
        <v>6</v>
      </c>
      <c r="AN97" s="19">
        <f ca="1">Table5[[#This Row],[INV. QTY]]-Table5[[#This Row],[Required For Braze Cutters Check]]</f>
        <v>6</v>
      </c>
      <c r="AO97" s="19" t="str">
        <f ca="1">IF($AN97&lt;0,Table5[[#This Row],[Component]],"")</f>
        <v/>
      </c>
      <c r="AS97">
        <v>2024642</v>
      </c>
      <c r="AT97">
        <f t="shared" si="29"/>
        <v>2024642</v>
      </c>
      <c r="AV97" s="573">
        <f t="shared" si="30"/>
        <v>0</v>
      </c>
      <c r="AW97">
        <f t="shared" si="27"/>
        <v>0</v>
      </c>
      <c r="AY97" t="str">
        <v>1223749M</v>
      </c>
      <c r="BA97">
        <f t="shared" si="33"/>
        <v>0</v>
      </c>
      <c r="BC97" s="159">
        <f>IFERROR(VLOOKUP(BA:BA,Table4[],8,FALSE),Table6[[#This Row],[Not Exist BOM''s]])</f>
        <v>0</v>
      </c>
    </row>
    <row r="98" spans="1:55" ht="24.75" customHeight="1" x14ac:dyDescent="0.3">
      <c r="A98" s="109">
        <v>20230290</v>
      </c>
      <c r="B98" s="709"/>
      <c r="C98" s="109">
        <v>14081144</v>
      </c>
      <c r="D98" s="109" t="s">
        <v>315</v>
      </c>
      <c r="E98" s="109" t="s">
        <v>654</v>
      </c>
      <c r="F98" s="109"/>
      <c r="G98" s="109" t="s">
        <v>646</v>
      </c>
      <c r="H98" s="140">
        <v>1239239</v>
      </c>
      <c r="I98" s="140" t="s">
        <v>655</v>
      </c>
      <c r="J98" s="26">
        <f>IF(H98&lt;&gt;"",IF(AND(C98&lt;&gt;"",IFERROR(MATCH(C98,Table10[Serial No.],0),0)),0,1),0)</f>
        <v>0</v>
      </c>
      <c r="K98" s="21"/>
      <c r="L98" s="539" t="str">
        <f t="shared" si="28"/>
        <v/>
      </c>
      <c r="S98" s="281">
        <v>1137349</v>
      </c>
      <c r="T98" s="278" t="s">
        <v>309</v>
      </c>
      <c r="U98" s="278" t="s">
        <v>653</v>
      </c>
      <c r="V98" s="25">
        <v>2</v>
      </c>
      <c r="W98" s="284">
        <v>418525</v>
      </c>
      <c r="X98" s="19" t="str">
        <f>IFERROR(INDEX(Table14[],MATCH($W98,Table14[SAPNo],0),3),"")</f>
        <v>Drop In 1308 CT31   (B)</v>
      </c>
      <c r="Y98" s="284">
        <v>10</v>
      </c>
      <c r="Z98" s="25">
        <f t="shared" si="23"/>
        <v>8</v>
      </c>
      <c r="AA98" s="25">
        <f t="shared" si="24"/>
        <v>80</v>
      </c>
      <c r="AB98" s="23">
        <f ca="1">IFERROR(INDEX('Cutters Inventory 12-30-2025'!A:W,MATCH($W98,'Cutters Inventory 12-30-2025'!B:B,0),14),0)</f>
        <v>933</v>
      </c>
      <c r="AC98" s="23">
        <f>SUMIF(Table1[LEVEL 5 MAT NO.],S98,Table1[Braze Plan])</f>
        <v>0</v>
      </c>
      <c r="AD98" s="23">
        <f>Table4[[#This Row],[Quantity]]*Table4[[#This Row],[Bits Braze Plan]]</f>
        <v>0</v>
      </c>
      <c r="AE98" s="23">
        <f ca="1">Table4[[#This Row],[INV. QTY]]-Table4[[#This Row],[Required For Braze Cutters Check]]</f>
        <v>933</v>
      </c>
      <c r="AF98" s="23">
        <f t="shared" ca="1" si="25"/>
        <v>933</v>
      </c>
      <c r="AG98" s="23"/>
      <c r="AI98">
        <v>2024642</v>
      </c>
      <c r="AJ98" s="19">
        <f t="shared" si="34"/>
        <v>2024642</v>
      </c>
      <c r="AK98" s="19">
        <f>SUMIF(Table4[Component],AJ98,Table4[Qty of Cutters in these MATs])</f>
        <v>38</v>
      </c>
      <c r="AL98" s="19">
        <f>SUMIF(Table4[Component],AJ98,Table4[Required For Braze Cutters Check])</f>
        <v>0</v>
      </c>
      <c r="AM98" s="19">
        <f ca="1">IFERROR(INDEX('Cutters Inventory 12-30-2025'!A:W,MATCH($AI98,'Cutters Inventory 12-30-2025'!B:B,0),14),0)</f>
        <v>86</v>
      </c>
      <c r="AN98" s="19">
        <f ca="1">Table5[[#This Row],[INV. QTY]]-Table5[[#This Row],[Required For Braze Cutters Check]]</f>
        <v>86</v>
      </c>
      <c r="AO98" s="19" t="str">
        <f ca="1">IF($AN98&lt;0,Table5[[#This Row],[Component]],"")</f>
        <v/>
      </c>
      <c r="AS98">
        <v>0</v>
      </c>
      <c r="AT98">
        <f t="shared" si="29"/>
        <v>0</v>
      </c>
      <c r="AV98" s="573">
        <f t="shared" si="30"/>
        <v>0</v>
      </c>
      <c r="AW98">
        <f t="shared" ref="AW98:AW128" si="35">IFERROR(INDEX($AJ$2:$AK$387,MATCH($AU98,$AJ$2:$AJ$100,0),2),0)</f>
        <v>0</v>
      </c>
      <c r="AY98" t="str">
        <v>1224225M</v>
      </c>
      <c r="BA98">
        <f t="shared" si="33"/>
        <v>0</v>
      </c>
      <c r="BC98" s="159">
        <f>IFERROR(VLOOKUP(BA:BA,Table4[],8,FALSE),Table6[[#This Row],[Not Exist BOM''s]])</f>
        <v>0</v>
      </c>
    </row>
    <row r="99" spans="1:55" ht="24.75" customHeight="1" x14ac:dyDescent="0.3">
      <c r="A99" s="109">
        <v>20230290</v>
      </c>
      <c r="B99" s="709"/>
      <c r="C99" s="109">
        <v>14081143</v>
      </c>
      <c r="D99" s="109" t="s">
        <v>313</v>
      </c>
      <c r="E99" s="109" t="s">
        <v>271</v>
      </c>
      <c r="F99" s="109"/>
      <c r="G99" s="109" t="s">
        <v>646</v>
      </c>
      <c r="H99" s="140">
        <v>1239176</v>
      </c>
      <c r="I99" s="140" t="s">
        <v>269</v>
      </c>
      <c r="J99" s="26">
        <f>IF(H99&lt;&gt;"",IF(AND(C99&lt;&gt;"",IFERROR(MATCH(C99,Table10[Serial No.],0),0)),0,1),0)</f>
        <v>0</v>
      </c>
      <c r="K99" s="21"/>
      <c r="L99" s="539" t="str">
        <f t="shared" si="28"/>
        <v/>
      </c>
      <c r="S99" s="281">
        <v>1137349</v>
      </c>
      <c r="T99" s="278" t="s">
        <v>309</v>
      </c>
      <c r="U99" s="278" t="s">
        <v>653</v>
      </c>
      <c r="V99" s="25">
        <v>3</v>
      </c>
      <c r="W99" s="284">
        <v>1146346</v>
      </c>
      <c r="X99" s="19" t="str">
        <f>IFERROR(INDEX(Table14[],MATCH($W99,Table14[SAPNo],0),3),"")</f>
        <v>1313 CT418 18-60</v>
      </c>
      <c r="Y99" s="284">
        <v>6</v>
      </c>
      <c r="Z99" s="25">
        <f t="shared" si="23"/>
        <v>8</v>
      </c>
      <c r="AA99" s="25">
        <f t="shared" si="24"/>
        <v>48</v>
      </c>
      <c r="AB99" s="23">
        <f ca="1">IFERROR(INDEX('Cutters Inventory 12-30-2025'!A:W,MATCH($W99,'Cutters Inventory 12-30-2025'!B:B,0),14),0)</f>
        <v>558</v>
      </c>
      <c r="AC99" s="23">
        <f>SUMIF(Table1[LEVEL 5 MAT NO.],S99,Table1[Braze Plan])</f>
        <v>0</v>
      </c>
      <c r="AD99" s="23">
        <f>Table4[[#This Row],[Quantity]]*Table4[[#This Row],[Bits Braze Plan]]</f>
        <v>0</v>
      </c>
      <c r="AE99" s="23">
        <f ca="1">Table4[[#This Row],[INV. QTY]]-Table4[[#This Row],[Required For Braze Cutters Check]]</f>
        <v>558</v>
      </c>
      <c r="AF99" s="23">
        <f t="shared" ca="1" si="25"/>
        <v>558</v>
      </c>
      <c r="AG99" s="23"/>
      <c r="AJ99" s="19">
        <f t="shared" si="34"/>
        <v>0</v>
      </c>
      <c r="AK99" s="19">
        <f>SUMIF(Table4[Component],AJ99,Table4[Qty of Cutters in these MATs])</f>
        <v>0</v>
      </c>
      <c r="AL99" s="19">
        <f>SUMIF(Table4[Component],AJ99,Table4[Required For Braze Cutters Check])</f>
        <v>0</v>
      </c>
      <c r="AM99" s="19">
        <f>IFERROR(INDEX('Cutters Inventory 12-30-2025'!A:W,MATCH($AI99,'Cutters Inventory 12-30-2025'!B:B,0),14),0)</f>
        <v>0</v>
      </c>
      <c r="AN99" s="19">
        <f>Table5[[#This Row],[INV. QTY]]-Table5[[#This Row],[Required For Braze Cutters Check]]</f>
        <v>0</v>
      </c>
      <c r="AO99" s="19" t="str">
        <f>IF($AN99&lt;0,Table5[[#This Row],[Component]],"")</f>
        <v/>
      </c>
      <c r="AT99">
        <f t="shared" si="29"/>
        <v>0</v>
      </c>
      <c r="AV99" s="573">
        <f t="shared" si="30"/>
        <v>0</v>
      </c>
      <c r="AW99">
        <f t="shared" si="35"/>
        <v>0</v>
      </c>
      <c r="AY99" t="str">
        <v>1224750M</v>
      </c>
      <c r="BA99">
        <f t="shared" si="33"/>
        <v>0</v>
      </c>
      <c r="BC99" s="159">
        <f>IFERROR(VLOOKUP(BA:BA,Table4[],8,FALSE),Table6[[#This Row],[Not Exist BOM''s]])</f>
        <v>0</v>
      </c>
    </row>
    <row r="100" spans="1:55" ht="24.75" customHeight="1" x14ac:dyDescent="0.3">
      <c r="A100" s="109">
        <v>20230290</v>
      </c>
      <c r="B100" s="709"/>
      <c r="C100" s="109">
        <v>14081907</v>
      </c>
      <c r="D100" s="109" t="s">
        <v>624</v>
      </c>
      <c r="E100" s="109" t="s">
        <v>275</v>
      </c>
      <c r="F100" s="109"/>
      <c r="G100" s="109" t="s">
        <v>646</v>
      </c>
      <c r="H100" s="140">
        <v>1158011</v>
      </c>
      <c r="I100" s="140">
        <v>1267829</v>
      </c>
      <c r="J100" s="26">
        <f>IF(H100&lt;&gt;"",IF(AND(C100&lt;&gt;"",IFERROR(MATCH(C100,Table10[Serial No.],0),0)),0,1),0)</f>
        <v>0</v>
      </c>
      <c r="K100" s="21"/>
      <c r="L100" s="539" t="str">
        <f t="shared" ca="1" si="28"/>
        <v/>
      </c>
      <c r="S100" s="281">
        <v>1138896</v>
      </c>
      <c r="T100" s="278" t="s">
        <v>637</v>
      </c>
      <c r="U100" s="278" t="s">
        <v>656</v>
      </c>
      <c r="V100" s="25">
        <v>1</v>
      </c>
      <c r="W100" s="284">
        <v>1126404</v>
      </c>
      <c r="X100" s="19" t="str">
        <f>IFERROR(INDEX(Table14[],MATCH($W100,Table14[SAPNo],0),3),"")</f>
        <v>1913 CT421 18-60</v>
      </c>
      <c r="Y100" s="284">
        <v>33</v>
      </c>
      <c r="Z100" s="25">
        <f t="shared" si="23"/>
        <v>0</v>
      </c>
      <c r="AA100" s="25">
        <f t="shared" si="24"/>
        <v>0</v>
      </c>
      <c r="AB100" s="23">
        <f ca="1">IFERROR(INDEX('Cutters Inventory 12-30-2025'!A:W,MATCH($W100,'Cutters Inventory 12-30-2025'!B:B,0),14),0)</f>
        <v>0</v>
      </c>
      <c r="AC100" s="23">
        <f>SUMIF(Table1[LEVEL 5 MAT NO.],S100,Table1[Braze Plan])</f>
        <v>0</v>
      </c>
      <c r="AD100" s="23">
        <f>Table4[[#This Row],[Quantity]]*Table4[[#This Row],[Bits Braze Plan]]</f>
        <v>0</v>
      </c>
      <c r="AE100" s="23">
        <f ca="1">Table4[[#This Row],[INV. QTY]]-Table4[[#This Row],[Required For Braze Cutters Check]]</f>
        <v>0</v>
      </c>
      <c r="AF100" s="23">
        <f t="shared" ca="1" si="25"/>
        <v>0</v>
      </c>
      <c r="AG100" s="23"/>
      <c r="AJ100" s="19">
        <f t="shared" si="34"/>
        <v>0</v>
      </c>
      <c r="AK100" s="19">
        <f>SUMIF(Table4[Component],AJ100,Table4[Qty of Cutters in these MATs])</f>
        <v>0</v>
      </c>
      <c r="AL100" s="19">
        <f>SUMIF(Table4[Component],AJ100,Table4[Required For Braze Cutters Check])</f>
        <v>0</v>
      </c>
      <c r="AM100" s="19">
        <f>IFERROR(INDEX('Cutters Inventory 12-30-2025'!A:W,MATCH($AI100,'Cutters Inventory 12-30-2025'!B:B,0),14),0)</f>
        <v>0</v>
      </c>
      <c r="AN100" s="19">
        <f>Table5[[#This Row],[INV. QTY]]-Table5[[#This Row],[Required For Braze Cutters Check]]</f>
        <v>0</v>
      </c>
      <c r="AO100" s="19" t="str">
        <f>IF($AN100&lt;0,Table5[[#This Row],[Component]],"")</f>
        <v/>
      </c>
      <c r="AT100">
        <f t="shared" si="29"/>
        <v>0</v>
      </c>
      <c r="AV100" s="573">
        <f t="shared" si="30"/>
        <v>0</v>
      </c>
      <c r="AW100">
        <f t="shared" si="35"/>
        <v>0</v>
      </c>
      <c r="AY100" t="str">
        <v>1226735M</v>
      </c>
      <c r="BA100">
        <f t="shared" si="33"/>
        <v>0</v>
      </c>
      <c r="BC100" s="159">
        <f>IFERROR(VLOOKUP(BA:BA,Table4[],8,FALSE),Table6[[#This Row],[Not Exist BOM''s]])</f>
        <v>0</v>
      </c>
    </row>
    <row r="101" spans="1:55" ht="24.75" customHeight="1" x14ac:dyDescent="0.3">
      <c r="A101" s="109">
        <v>20230290</v>
      </c>
      <c r="B101" s="709"/>
      <c r="C101" s="109">
        <v>14081909</v>
      </c>
      <c r="D101" s="109" t="s">
        <v>624</v>
      </c>
      <c r="E101" s="109" t="s">
        <v>275</v>
      </c>
      <c r="F101" s="109"/>
      <c r="G101" s="109" t="s">
        <v>646</v>
      </c>
      <c r="H101" s="140">
        <v>1158011</v>
      </c>
      <c r="I101" s="140">
        <v>1267829</v>
      </c>
      <c r="J101" s="26">
        <f>IF(H101&lt;&gt;"",IF(AND(C101&lt;&gt;"",IFERROR(MATCH(C101,Table10[Serial No.],0),0)),0,1),0)</f>
        <v>0</v>
      </c>
      <c r="K101" s="21"/>
      <c r="L101" s="539" t="str">
        <f t="shared" ca="1" si="28"/>
        <v/>
      </c>
      <c r="S101" s="281">
        <v>1138896</v>
      </c>
      <c r="T101" s="278" t="s">
        <v>637</v>
      </c>
      <c r="U101" s="278" t="s">
        <v>656</v>
      </c>
      <c r="V101" s="25">
        <v>2</v>
      </c>
      <c r="W101" s="284">
        <v>1126402</v>
      </c>
      <c r="X101" s="19" t="str">
        <f>IFERROR(INDEX(Table14[],MATCH($W101,Table14[SAPNo],0),3),"")</f>
        <v>1613 CT421 16-60</v>
      </c>
      <c r="Y101" s="284">
        <v>20</v>
      </c>
      <c r="Z101" s="25">
        <f t="shared" si="23"/>
        <v>0</v>
      </c>
      <c r="AA101" s="25">
        <f t="shared" si="24"/>
        <v>0</v>
      </c>
      <c r="AB101" s="23">
        <f ca="1">IFERROR(INDEX('Cutters Inventory 12-30-2025'!A:W,MATCH($W101,'Cutters Inventory 12-30-2025'!B:B,0),14),0)</f>
        <v>422</v>
      </c>
      <c r="AC101" s="23">
        <f>SUMIF(Table1[LEVEL 5 MAT NO.],S101,Table1[Braze Plan])</f>
        <v>0</v>
      </c>
      <c r="AD101" s="23">
        <f>Table4[[#This Row],[Quantity]]*Table4[[#This Row],[Bits Braze Plan]]</f>
        <v>0</v>
      </c>
      <c r="AE101" s="23">
        <f ca="1">Table4[[#This Row],[INV. QTY]]-Table4[[#This Row],[Required For Braze Cutters Check]]</f>
        <v>422</v>
      </c>
      <c r="AF101" s="23">
        <f t="shared" ca="1" si="25"/>
        <v>422</v>
      </c>
      <c r="AG101" s="23"/>
      <c r="AJ101" s="19">
        <f t="shared" si="34"/>
        <v>0</v>
      </c>
      <c r="AK101" s="19">
        <f>SUMIF(Table4[Component],AJ101,Table4[Qty of Cutters in these MATs])</f>
        <v>0</v>
      </c>
      <c r="AL101" s="19">
        <f>SUMIF(Table4[Component],AJ101,Table4[Required For Braze Cutters Check])</f>
        <v>0</v>
      </c>
      <c r="AM101" s="19">
        <f>IFERROR(INDEX('Cutters Inventory 12-30-2025'!A:W,MATCH($AI101,'Cutters Inventory 12-30-2025'!B:B,0),14),0)</f>
        <v>0</v>
      </c>
      <c r="AN101" s="19">
        <f>Table5[[#This Row],[INV. QTY]]-Table5[[#This Row],[Required For Braze Cutters Check]]</f>
        <v>0</v>
      </c>
      <c r="AO101" s="19" t="str">
        <f>IF($AN101&lt;0,Table5[[#This Row],[Component]],"")</f>
        <v/>
      </c>
      <c r="AT101">
        <f t="shared" si="29"/>
        <v>0</v>
      </c>
      <c r="AV101" s="573">
        <f t="shared" si="30"/>
        <v>0</v>
      </c>
      <c r="AW101">
        <f t="shared" si="35"/>
        <v>0</v>
      </c>
      <c r="AY101" t="str">
        <v>1228739M</v>
      </c>
      <c r="BA101">
        <f t="shared" si="33"/>
        <v>0</v>
      </c>
      <c r="BC101" s="159">
        <f>IFERROR(VLOOKUP(BA:BA,Table4[],8,FALSE),Table6[[#This Row],[Not Exist BOM''s]])</f>
        <v>0</v>
      </c>
    </row>
    <row r="102" spans="1:55" ht="24.75" customHeight="1" x14ac:dyDescent="0.3">
      <c r="A102" s="109">
        <v>20230290</v>
      </c>
      <c r="B102" s="709"/>
      <c r="C102" s="109">
        <v>14081146</v>
      </c>
      <c r="D102" s="109" t="s">
        <v>624</v>
      </c>
      <c r="E102" s="109" t="s">
        <v>275</v>
      </c>
      <c r="F102" s="109"/>
      <c r="G102" s="109" t="s">
        <v>646</v>
      </c>
      <c r="H102" s="140">
        <v>1158011</v>
      </c>
      <c r="I102" s="140">
        <v>1267829</v>
      </c>
      <c r="J102" s="26">
        <f>IF(H102&lt;&gt;"",IF(AND(C102&lt;&gt;"",IFERROR(MATCH(C102,Table10[Serial No.],0),0)),0,1),0)</f>
        <v>0</v>
      </c>
      <c r="K102" s="21"/>
      <c r="L102" s="539" t="str">
        <f t="shared" ca="1" si="28"/>
        <v/>
      </c>
      <c r="S102" s="281">
        <v>1138896</v>
      </c>
      <c r="T102" s="278" t="s">
        <v>637</v>
      </c>
      <c r="U102" s="278" t="s">
        <v>656</v>
      </c>
      <c r="V102" s="25">
        <v>3</v>
      </c>
      <c r="W102" s="284">
        <v>871781</v>
      </c>
      <c r="X102" s="19" t="str">
        <f>IFERROR(INDEX(Table14[],MATCH($W102,Table14[SAPNo],0),3),"")</f>
        <v>Round 1313 CT200  0.018" (B)</v>
      </c>
      <c r="Y102" s="284">
        <v>7</v>
      </c>
      <c r="Z102" s="25">
        <f t="shared" si="23"/>
        <v>0</v>
      </c>
      <c r="AA102" s="25">
        <f t="shared" si="24"/>
        <v>0</v>
      </c>
      <c r="AB102" s="23">
        <f ca="1">IFERROR(INDEX('Cutters Inventory 12-30-2025'!A:W,MATCH($W102,'Cutters Inventory 12-30-2025'!B:B,0),14),0)</f>
        <v>843</v>
      </c>
      <c r="AC102" s="23">
        <f>SUMIF(Table1[LEVEL 5 MAT NO.],S102,Table1[Braze Plan])</f>
        <v>0</v>
      </c>
      <c r="AD102" s="23">
        <f>Table4[[#This Row],[Quantity]]*Table4[[#This Row],[Bits Braze Plan]]</f>
        <v>0</v>
      </c>
      <c r="AE102" s="23">
        <f ca="1">Table4[[#This Row],[INV. QTY]]-Table4[[#This Row],[Required For Braze Cutters Check]]</f>
        <v>843</v>
      </c>
      <c r="AF102" s="23">
        <f t="shared" ca="1" si="25"/>
        <v>843</v>
      </c>
      <c r="AG102" s="23"/>
      <c r="AJ102" s="19">
        <f t="shared" si="34"/>
        <v>0</v>
      </c>
      <c r="AK102" s="19">
        <f>SUMIF(Table4[Component],AJ102,Table4[Qty of Cutters in these MATs])</f>
        <v>0</v>
      </c>
      <c r="AL102" s="19">
        <f>SUMIF(Table4[Component],AJ102,Table4[Required For Braze Cutters Check])</f>
        <v>0</v>
      </c>
      <c r="AM102" s="19">
        <f>IFERROR(INDEX('Cutters Inventory 12-30-2025'!A:W,MATCH($AI102,'Cutters Inventory 12-30-2025'!B:B,0),14),0)</f>
        <v>0</v>
      </c>
      <c r="AN102" s="19">
        <f>Table5[[#This Row],[INV. QTY]]-Table5[[#This Row],[Required For Braze Cutters Check]]</f>
        <v>0</v>
      </c>
      <c r="AO102" s="19" t="str">
        <f>IF($AN102&lt;0,Table5[[#This Row],[Component]],"")</f>
        <v/>
      </c>
      <c r="AT102">
        <f t="shared" si="29"/>
        <v>0</v>
      </c>
      <c r="AV102" s="573">
        <f t="shared" si="30"/>
        <v>0</v>
      </c>
      <c r="AW102">
        <f t="shared" si="35"/>
        <v>0</v>
      </c>
      <c r="AY102" t="str">
        <v>1229187M</v>
      </c>
      <c r="BA102">
        <f t="shared" si="33"/>
        <v>0</v>
      </c>
      <c r="BC102" s="159">
        <f>IFERROR(VLOOKUP(BA:BA,Table4[],8,FALSE),Table6[[#This Row],[Not Exist BOM''s]])</f>
        <v>0</v>
      </c>
    </row>
    <row r="103" spans="1:55" ht="24.75" customHeight="1" x14ac:dyDescent="0.3">
      <c r="A103" s="109">
        <v>20230301</v>
      </c>
      <c r="B103" s="709"/>
      <c r="C103" s="109">
        <v>14081900</v>
      </c>
      <c r="D103" s="109" t="s">
        <v>624</v>
      </c>
      <c r="E103" s="109" t="s">
        <v>281</v>
      </c>
      <c r="F103" s="109"/>
      <c r="G103" s="109" t="s">
        <v>646</v>
      </c>
      <c r="H103" s="140">
        <v>1267809</v>
      </c>
      <c r="I103" s="140">
        <v>1263805</v>
      </c>
      <c r="J103" s="26">
        <f>IF(H103&lt;&gt;"",IF(AND(C103&lt;&gt;"",IFERROR(MATCH(C103,Table10[Serial No.],0),0)),0,1),0)</f>
        <v>0</v>
      </c>
      <c r="K103" s="21"/>
      <c r="L103" s="539" t="str">
        <f t="shared" ca="1" si="28"/>
        <v/>
      </c>
      <c r="S103" s="281">
        <v>1138943</v>
      </c>
      <c r="T103" s="278" t="s">
        <v>631</v>
      </c>
      <c r="U103" s="278" t="s">
        <v>632</v>
      </c>
      <c r="V103" s="25">
        <v>1</v>
      </c>
      <c r="W103" s="284">
        <v>1130217</v>
      </c>
      <c r="X103" s="19" t="str">
        <f>IFERROR(INDEX(Table14[],MATCH($W103,Table14[SAPNo],0),3),"")</f>
        <v>Round 1010 CT182   10C (S)</v>
      </c>
      <c r="Y103" s="284">
        <v>37</v>
      </c>
      <c r="Z103" s="25">
        <f t="shared" si="23"/>
        <v>4</v>
      </c>
      <c r="AA103" s="25">
        <f t="shared" si="24"/>
        <v>148</v>
      </c>
      <c r="AB103" s="23">
        <f ca="1">IFERROR(INDEX('Cutters Inventory 12-30-2025'!A:W,MATCH($W103,'Cutters Inventory 12-30-2025'!B:B,0),14),0)</f>
        <v>0</v>
      </c>
      <c r="AC103" s="23">
        <f>SUMIF(Table1[LEVEL 5 MAT NO.],S103,Table1[Braze Plan])</f>
        <v>0</v>
      </c>
      <c r="AD103" s="23">
        <f>Table4[[#This Row],[Quantity]]*Table4[[#This Row],[Bits Braze Plan]]</f>
        <v>0</v>
      </c>
      <c r="AE103" s="23">
        <f ca="1">Table4[[#This Row],[INV. QTY]]-Table4[[#This Row],[Required For Braze Cutters Check]]</f>
        <v>0</v>
      </c>
      <c r="AF103" s="23">
        <f t="shared" ca="1" si="25"/>
        <v>0</v>
      </c>
      <c r="AG103" s="23"/>
      <c r="AJ103" s="19">
        <f t="shared" si="34"/>
        <v>0</v>
      </c>
      <c r="AK103" s="19">
        <f>SUMIF(Table4[Component],AJ103,Table4[Qty of Cutters in these MATs])</f>
        <v>0</v>
      </c>
      <c r="AL103" s="19">
        <f>SUMIF(Table4[Component],AJ103,Table4[Required For Braze Cutters Check])</f>
        <v>0</v>
      </c>
      <c r="AM103" s="19">
        <f>IFERROR(INDEX('Cutters Inventory 12-30-2025'!A:W,MATCH($AI103,'Cutters Inventory 12-30-2025'!B:B,0),14),0)</f>
        <v>0</v>
      </c>
      <c r="AN103" s="19">
        <f>Table5[[#This Row],[INV. QTY]]-Table5[[#This Row],[Required For Braze Cutters Check]]</f>
        <v>0</v>
      </c>
      <c r="AO103" s="19" t="str">
        <f>IF($AN103&lt;0,Table5[[#This Row],[Component]],"")</f>
        <v/>
      </c>
      <c r="AT103">
        <f t="shared" si="29"/>
        <v>0</v>
      </c>
      <c r="AV103" s="573">
        <f t="shared" si="30"/>
        <v>0</v>
      </c>
      <c r="AW103">
        <f t="shared" si="35"/>
        <v>0</v>
      </c>
      <c r="AY103" t="str">
        <v>1234376M</v>
      </c>
      <c r="BA103">
        <f t="shared" si="33"/>
        <v>0</v>
      </c>
      <c r="BC103" s="159">
        <f>IFERROR(VLOOKUP(BA:BA,Table4[],8,FALSE),Table6[[#This Row],[Not Exist BOM''s]])</f>
        <v>0</v>
      </c>
    </row>
    <row r="104" spans="1:55" ht="24.75" customHeight="1" x14ac:dyDescent="0.3">
      <c r="A104" s="109">
        <v>20230301</v>
      </c>
      <c r="B104" s="709"/>
      <c r="C104" s="109">
        <v>14081899</v>
      </c>
      <c r="D104" s="109" t="s">
        <v>624</v>
      </c>
      <c r="E104" s="109" t="s">
        <v>281</v>
      </c>
      <c r="F104" s="109"/>
      <c r="G104" s="109" t="s">
        <v>646</v>
      </c>
      <c r="H104" s="140">
        <v>1267809</v>
      </c>
      <c r="I104" s="140">
        <v>1263805</v>
      </c>
      <c r="J104" s="26">
        <f>IF(H104&lt;&gt;"",IF(AND(C104&lt;&gt;"",IFERROR(MATCH(C104,Table10[Serial No.],0),0)),0,1),0)</f>
        <v>0</v>
      </c>
      <c r="K104" s="21"/>
      <c r="L104" s="539" t="str">
        <f t="shared" ca="1" si="28"/>
        <v/>
      </c>
      <c r="S104" s="281">
        <v>1138943</v>
      </c>
      <c r="T104" s="278" t="s">
        <v>631</v>
      </c>
      <c r="U104" s="278" t="s">
        <v>632</v>
      </c>
      <c r="V104" s="25">
        <v>2</v>
      </c>
      <c r="W104" s="284">
        <v>773383</v>
      </c>
      <c r="X104" s="19" t="str">
        <f>IFERROR(INDEX(Table14[],MATCH($W104,Table14[SAPNo],0),3),"")</f>
        <v>Round 1005 CT200  10C (B)</v>
      </c>
      <c r="Y104" s="284">
        <v>14</v>
      </c>
      <c r="Z104" s="25">
        <f t="shared" si="23"/>
        <v>4</v>
      </c>
      <c r="AA104" s="25">
        <f t="shared" si="24"/>
        <v>56</v>
      </c>
      <c r="AB104" s="23">
        <f ca="1">IFERROR(INDEX('Cutters Inventory 12-30-2025'!A:W,MATCH($W104,'Cutters Inventory 12-30-2025'!B:B,0),14),0)</f>
        <v>0</v>
      </c>
      <c r="AC104" s="23">
        <f>SUMIF(Table1[LEVEL 5 MAT NO.],S104,Table1[Braze Plan])</f>
        <v>0</v>
      </c>
      <c r="AD104" s="23">
        <f>Table4[[#This Row],[Quantity]]*Table4[[#This Row],[Bits Braze Plan]]</f>
        <v>0</v>
      </c>
      <c r="AE104" s="23">
        <f ca="1">Table4[[#This Row],[INV. QTY]]-Table4[[#This Row],[Required For Braze Cutters Check]]</f>
        <v>0</v>
      </c>
      <c r="AF104" s="23">
        <f t="shared" ca="1" si="25"/>
        <v>0</v>
      </c>
      <c r="AG104" s="23"/>
      <c r="AJ104" s="19">
        <f t="shared" si="34"/>
        <v>0</v>
      </c>
      <c r="AK104" s="19">
        <f>SUMIF(Table4[Component],AJ104,Table4[Qty of Cutters in these MATs])</f>
        <v>0</v>
      </c>
      <c r="AL104" s="19">
        <f>SUMIF(Table4[Component],AJ104,Table4[Required For Braze Cutters Check])</f>
        <v>0</v>
      </c>
      <c r="AM104" s="19">
        <f>IFERROR(INDEX('Cutters Inventory 12-30-2025'!A:W,MATCH($AI104,'Cutters Inventory 12-30-2025'!B:B,0),14),0)</f>
        <v>0</v>
      </c>
      <c r="AN104" s="19">
        <f>Table5[[#This Row],[INV. QTY]]-Table5[[#This Row],[Required For Braze Cutters Check]]</f>
        <v>0</v>
      </c>
      <c r="AO104" s="19" t="str">
        <f>IF($AN104&lt;0,Table5[[#This Row],[Component]],"")</f>
        <v/>
      </c>
      <c r="AT104">
        <f t="shared" si="29"/>
        <v>0</v>
      </c>
      <c r="AV104" s="573">
        <f t="shared" si="30"/>
        <v>0</v>
      </c>
      <c r="AW104">
        <f t="shared" si="35"/>
        <v>0</v>
      </c>
      <c r="AY104" t="str">
        <v>1239176M</v>
      </c>
      <c r="BA104">
        <f t="shared" si="33"/>
        <v>0</v>
      </c>
      <c r="BC104" s="159">
        <f>IFERROR(VLOOKUP(BA:BA,Table4[],8,FALSE),Table6[[#This Row],[Not Exist BOM''s]])</f>
        <v>0</v>
      </c>
    </row>
    <row r="105" spans="1:55" ht="24.75" customHeight="1" x14ac:dyDescent="0.3">
      <c r="A105" s="109">
        <v>20230301</v>
      </c>
      <c r="B105" s="709"/>
      <c r="C105" s="109">
        <v>14081901</v>
      </c>
      <c r="D105" s="109" t="s">
        <v>624</v>
      </c>
      <c r="E105" s="109" t="s">
        <v>281</v>
      </c>
      <c r="F105" s="109"/>
      <c r="G105" s="109" t="s">
        <v>646</v>
      </c>
      <c r="H105" s="140">
        <v>1267809</v>
      </c>
      <c r="I105" s="140">
        <v>1263805</v>
      </c>
      <c r="J105" s="26">
        <f>IF(H105&lt;&gt;"",IF(AND(C105&lt;&gt;"",IFERROR(MATCH(C105,Table10[Serial No.],0),0)),0,1),0)</f>
        <v>0</v>
      </c>
      <c r="K105" s="21"/>
      <c r="L105" s="539" t="str">
        <f t="shared" ca="1" si="28"/>
        <v/>
      </c>
      <c r="S105" s="281">
        <v>1138943</v>
      </c>
      <c r="T105" s="278" t="s">
        <v>631</v>
      </c>
      <c r="U105" s="278" t="s">
        <v>632</v>
      </c>
      <c r="V105" s="25">
        <v>3</v>
      </c>
      <c r="W105" s="284">
        <v>418525</v>
      </c>
      <c r="X105" s="19" t="str">
        <f>IFERROR(INDEX(Table14[],MATCH($W105,Table14[SAPNo],0),3),"")</f>
        <v>Drop In 1308 CT31   (B)</v>
      </c>
      <c r="Y105" s="284">
        <v>7</v>
      </c>
      <c r="Z105" s="25">
        <f t="shared" si="23"/>
        <v>4</v>
      </c>
      <c r="AA105" s="25">
        <f t="shared" si="24"/>
        <v>28</v>
      </c>
      <c r="AB105" s="23">
        <f ca="1">IFERROR(INDEX('Cutters Inventory 12-30-2025'!A:W,MATCH($W105,'Cutters Inventory 12-30-2025'!B:B,0),14),0)</f>
        <v>933</v>
      </c>
      <c r="AC105" s="23">
        <f>SUMIF(Table1[LEVEL 5 MAT NO.],S105,Table1[Braze Plan])</f>
        <v>0</v>
      </c>
      <c r="AD105" s="23">
        <f>Table4[[#This Row],[Quantity]]*Table4[[#This Row],[Bits Braze Plan]]</f>
        <v>0</v>
      </c>
      <c r="AE105" s="23">
        <f ca="1">Table4[[#This Row],[INV. QTY]]-Table4[[#This Row],[Required For Braze Cutters Check]]</f>
        <v>933</v>
      </c>
      <c r="AF105" s="23">
        <f t="shared" ca="1" si="25"/>
        <v>933</v>
      </c>
      <c r="AG105" s="23"/>
      <c r="AJ105" s="19">
        <f t="shared" si="34"/>
        <v>0</v>
      </c>
      <c r="AK105" s="19">
        <f>SUMIF(Table4[Component],AJ105,Table4[Qty of Cutters in these MATs])</f>
        <v>0</v>
      </c>
      <c r="AL105" s="19">
        <f>SUMIF(Table4[Component],AJ105,Table4[Required For Braze Cutters Check])</f>
        <v>0</v>
      </c>
      <c r="AM105" s="19">
        <f>IFERROR(INDEX('Cutters Inventory 12-30-2025'!A:W,MATCH($AI105,'Cutters Inventory 12-30-2025'!B:B,0),14),0)</f>
        <v>0</v>
      </c>
      <c r="AN105" s="19">
        <f>Table5[[#This Row],[INV. QTY]]-Table5[[#This Row],[Required For Braze Cutters Check]]</f>
        <v>0</v>
      </c>
      <c r="AO105" s="19" t="str">
        <f>IF($AN105&lt;0,Table5[[#This Row],[Component]],"")</f>
        <v/>
      </c>
      <c r="AT105">
        <f t="shared" si="29"/>
        <v>0</v>
      </c>
      <c r="AV105" s="573">
        <f t="shared" ref="AV105:AV128" si="36">IFERROR(AU105,"")</f>
        <v>0</v>
      </c>
      <c r="AW105">
        <f t="shared" si="35"/>
        <v>0</v>
      </c>
      <c r="AY105" t="str">
        <v>1239239M</v>
      </c>
      <c r="BA105">
        <f t="shared" si="33"/>
        <v>0</v>
      </c>
      <c r="BC105" s="159">
        <f>IFERROR(VLOOKUP(BA:BA,Table4[],8,FALSE),Table6[[#This Row],[Not Exist BOM''s]])</f>
        <v>0</v>
      </c>
    </row>
    <row r="106" spans="1:55" ht="24.75" customHeight="1" x14ac:dyDescent="0.3">
      <c r="A106" s="109">
        <v>20230301</v>
      </c>
      <c r="B106" s="709"/>
      <c r="C106" s="109">
        <v>14081903</v>
      </c>
      <c r="D106" s="109" t="s">
        <v>315</v>
      </c>
      <c r="E106" s="109" t="s">
        <v>286</v>
      </c>
      <c r="F106" s="109"/>
      <c r="G106" s="109" t="s">
        <v>648</v>
      </c>
      <c r="H106" s="140">
        <v>1245350</v>
      </c>
      <c r="I106" s="140">
        <v>1269308</v>
      </c>
      <c r="J106" s="26">
        <f>IF(H106&lt;&gt;"",IF(AND(C106&lt;&gt;"",IFERROR(MATCH(C106,Table10[Serial No.],0),0)),0,1),0)</f>
        <v>0</v>
      </c>
      <c r="K106" s="21"/>
      <c r="L106" s="539" t="str">
        <f t="shared" ca="1" si="28"/>
        <v/>
      </c>
      <c r="S106" s="281">
        <v>1138943</v>
      </c>
      <c r="T106" s="278" t="s">
        <v>631</v>
      </c>
      <c r="U106" s="278" t="s">
        <v>632</v>
      </c>
      <c r="V106" s="25">
        <v>4</v>
      </c>
      <c r="W106" s="284">
        <v>1101509</v>
      </c>
      <c r="X106" s="19" t="str">
        <f>IFERROR(INDEX(Table14[],MATCH($W106,Table14[SAPNo],0),3),"")</f>
        <v>Short IA 8    (C)</v>
      </c>
      <c r="Y106" s="284">
        <v>7</v>
      </c>
      <c r="Z106" s="25">
        <f t="shared" si="23"/>
        <v>4</v>
      </c>
      <c r="AA106" s="25">
        <f t="shared" si="24"/>
        <v>28</v>
      </c>
      <c r="AB106" s="23">
        <f ca="1">IFERROR(INDEX('Cutters Inventory 12-30-2025'!A:W,MATCH($W106,'Cutters Inventory 12-30-2025'!B:B,0),14),0)</f>
        <v>66</v>
      </c>
      <c r="AC106" s="23">
        <f>SUMIF(Table1[LEVEL 5 MAT NO.],S106,Table1[Braze Plan])</f>
        <v>0</v>
      </c>
      <c r="AD106" s="23">
        <f>Table4[[#This Row],[Quantity]]*Table4[[#This Row],[Bits Braze Plan]]</f>
        <v>0</v>
      </c>
      <c r="AE106" s="23">
        <f ca="1">Table4[[#This Row],[INV. QTY]]-Table4[[#This Row],[Required For Braze Cutters Check]]</f>
        <v>66</v>
      </c>
      <c r="AF106" s="23">
        <f t="shared" ca="1" si="25"/>
        <v>66</v>
      </c>
      <c r="AG106" s="23"/>
      <c r="AJ106" s="19">
        <f t="shared" si="34"/>
        <v>0</v>
      </c>
      <c r="AK106" s="19">
        <f>SUMIF(Table4[Component],AJ106,Table4[Qty of Cutters in these MATs])</f>
        <v>0</v>
      </c>
      <c r="AL106" s="19">
        <f>SUMIF(Table4[Component],AJ106,Table4[Required For Braze Cutters Check])</f>
        <v>0</v>
      </c>
      <c r="AM106" s="19">
        <f>IFERROR(INDEX('Cutters Inventory 12-30-2025'!A:W,MATCH($AI106,'Cutters Inventory 12-30-2025'!B:B,0),14),0)</f>
        <v>0</v>
      </c>
      <c r="AN106" s="19">
        <f>Table5[[#This Row],[INV. QTY]]-Table5[[#This Row],[Required For Braze Cutters Check]]</f>
        <v>0</v>
      </c>
      <c r="AO106" s="19" t="str">
        <f>IF($AN106&lt;0,Table5[[#This Row],[Component]],"")</f>
        <v/>
      </c>
      <c r="AT106">
        <f t="shared" si="29"/>
        <v>0</v>
      </c>
      <c r="AV106" s="573">
        <f t="shared" si="36"/>
        <v>0</v>
      </c>
      <c r="AW106">
        <f t="shared" si="35"/>
        <v>0</v>
      </c>
      <c r="AY106" t="str">
        <v>1239258M</v>
      </c>
      <c r="BA106">
        <f t="shared" si="33"/>
        <v>0</v>
      </c>
      <c r="BC106" s="159">
        <f>IFERROR(VLOOKUP(BA:BA,Table4[],8,FALSE),Table6[[#This Row],[Not Exist BOM''s]])</f>
        <v>0</v>
      </c>
    </row>
    <row r="107" spans="1:55" ht="24.75" customHeight="1" x14ac:dyDescent="0.3">
      <c r="A107" s="109">
        <v>20230301</v>
      </c>
      <c r="B107" s="709"/>
      <c r="C107" s="109">
        <v>14081905</v>
      </c>
      <c r="D107" s="109" t="s">
        <v>637</v>
      </c>
      <c r="E107" s="109" t="s">
        <v>287</v>
      </c>
      <c r="F107" s="109"/>
      <c r="G107" s="109" t="s">
        <v>646</v>
      </c>
      <c r="H107" s="140">
        <v>1267122</v>
      </c>
      <c r="I107" s="140">
        <v>1257458</v>
      </c>
      <c r="J107" s="26">
        <f>IF(H107&lt;&gt;"",IF(AND(C107&lt;&gt;"",IFERROR(MATCH(C107,Table10[Serial No.],0),0)),0,1),0)</f>
        <v>0</v>
      </c>
      <c r="K107" s="21"/>
      <c r="L107" s="539" t="str">
        <f t="shared" ca="1" si="28"/>
        <v/>
      </c>
      <c r="S107" s="281">
        <v>1142907</v>
      </c>
      <c r="T107" s="278" t="s">
        <v>637</v>
      </c>
      <c r="U107" s="278" t="s">
        <v>638</v>
      </c>
      <c r="V107" s="25">
        <v>1</v>
      </c>
      <c r="W107" s="284">
        <v>1126404</v>
      </c>
      <c r="X107" s="19" t="str">
        <f>IFERROR(INDEX(Table14[],MATCH($W107,Table14[SAPNo],0),3),"")</f>
        <v>1913 CT421 18-60</v>
      </c>
      <c r="Y107" s="284">
        <v>32</v>
      </c>
      <c r="Z107" s="25">
        <f t="shared" si="23"/>
        <v>0</v>
      </c>
      <c r="AA107" s="25">
        <f t="shared" si="24"/>
        <v>0</v>
      </c>
      <c r="AB107" s="23">
        <f ca="1">IFERROR(INDEX('Cutters Inventory 12-30-2025'!A:W,MATCH($W107,'Cutters Inventory 12-30-2025'!B:B,0),14),0)</f>
        <v>0</v>
      </c>
      <c r="AC107" s="23">
        <f>SUMIF(Table1[LEVEL 5 MAT NO.],S107,Table1[Braze Plan])</f>
        <v>0</v>
      </c>
      <c r="AD107" s="23">
        <f>Table4[[#This Row],[Quantity]]*Table4[[#This Row],[Bits Braze Plan]]</f>
        <v>0</v>
      </c>
      <c r="AE107" s="23">
        <f ca="1">Table4[[#This Row],[INV. QTY]]-Table4[[#This Row],[Required For Braze Cutters Check]]</f>
        <v>0</v>
      </c>
      <c r="AF107" s="23">
        <f t="shared" ca="1" si="25"/>
        <v>0</v>
      </c>
      <c r="AG107" s="23"/>
      <c r="AJ107" s="19">
        <f t="shared" si="34"/>
        <v>0</v>
      </c>
      <c r="AK107" s="19">
        <f>SUMIF(Table4[Component],AJ107,Table4[Qty of Cutters in these MATs])</f>
        <v>0</v>
      </c>
      <c r="AL107" s="19">
        <f>SUMIF(Table4[Component],AJ107,Table4[Required For Braze Cutters Check])</f>
        <v>0</v>
      </c>
      <c r="AM107" s="19">
        <f>IFERROR(INDEX('Cutters Inventory 12-30-2025'!A:W,MATCH($AI107,'Cutters Inventory 12-30-2025'!B:B,0),14),0)</f>
        <v>0</v>
      </c>
      <c r="AN107" s="19">
        <f>Table5[[#This Row],[INV. QTY]]-Table5[[#This Row],[Required For Braze Cutters Check]]</f>
        <v>0</v>
      </c>
      <c r="AO107" s="19" t="str">
        <f>IF($AN107&lt;0,Table5[[#This Row],[Component]],"")</f>
        <v/>
      </c>
      <c r="AT107">
        <f t="shared" si="29"/>
        <v>0</v>
      </c>
      <c r="AV107" s="573">
        <f t="shared" si="36"/>
        <v>0</v>
      </c>
      <c r="AW107">
        <f t="shared" si="35"/>
        <v>0</v>
      </c>
      <c r="AY107" t="str">
        <v>1245350M4</v>
      </c>
      <c r="BA107">
        <f t="shared" si="33"/>
        <v>0</v>
      </c>
      <c r="BC107" s="159">
        <f>IFERROR(VLOOKUP(BA:BA,Table4[],8,FALSE),Table6[[#This Row],[Not Exist BOM''s]])</f>
        <v>0</v>
      </c>
    </row>
    <row r="108" spans="1:55" ht="24.75" customHeight="1" x14ac:dyDescent="0.3">
      <c r="A108" s="109">
        <v>20230301</v>
      </c>
      <c r="B108" s="709"/>
      <c r="C108" s="109">
        <v>14081906</v>
      </c>
      <c r="D108" s="109" t="s">
        <v>637</v>
      </c>
      <c r="E108" s="109" t="s">
        <v>287</v>
      </c>
      <c r="F108" s="109"/>
      <c r="G108" s="109" t="s">
        <v>646</v>
      </c>
      <c r="H108" s="140">
        <v>1267122</v>
      </c>
      <c r="I108" s="140">
        <v>1257458</v>
      </c>
      <c r="J108" s="26">
        <f>IF(H108&lt;&gt;"",IF(AND(C108&lt;&gt;"",IFERROR(MATCH(C108,Table10[Serial No.],0),0)),0,1),0)</f>
        <v>0</v>
      </c>
      <c r="K108" s="21"/>
      <c r="L108" s="539" t="str">
        <f t="shared" ca="1" si="28"/>
        <v/>
      </c>
      <c r="S108" s="281">
        <v>1142907</v>
      </c>
      <c r="T108" s="278" t="s">
        <v>637</v>
      </c>
      <c r="U108" s="278" t="s">
        <v>638</v>
      </c>
      <c r="V108" s="25">
        <v>2</v>
      </c>
      <c r="W108" s="284">
        <v>1126402</v>
      </c>
      <c r="X108" s="19" t="str">
        <f>IFERROR(INDEX(Table14[],MATCH($W108,Table14[SAPNo],0),3),"")</f>
        <v>1613 CT421 16-60</v>
      </c>
      <c r="Y108" s="284">
        <v>9</v>
      </c>
      <c r="Z108" s="25">
        <f t="shared" si="23"/>
        <v>0</v>
      </c>
      <c r="AA108" s="25">
        <f t="shared" si="24"/>
        <v>0</v>
      </c>
      <c r="AB108" s="23">
        <f ca="1">IFERROR(INDEX('Cutters Inventory 12-30-2025'!A:W,MATCH($W108,'Cutters Inventory 12-30-2025'!B:B,0),14),0)</f>
        <v>422</v>
      </c>
      <c r="AC108" s="23">
        <f>SUMIF(Table1[LEVEL 5 MAT NO.],S108,Table1[Braze Plan])</f>
        <v>0</v>
      </c>
      <c r="AD108" s="23">
        <f>Table4[[#This Row],[Quantity]]*Table4[[#This Row],[Bits Braze Plan]]</f>
        <v>0</v>
      </c>
      <c r="AE108" s="23">
        <f ca="1">Table4[[#This Row],[INV. QTY]]-Table4[[#This Row],[Required For Braze Cutters Check]]</f>
        <v>422</v>
      </c>
      <c r="AF108" s="23">
        <f t="shared" ca="1" si="25"/>
        <v>422</v>
      </c>
      <c r="AG108" s="23"/>
      <c r="AJ108" s="19">
        <f t="shared" si="34"/>
        <v>0</v>
      </c>
      <c r="AK108" s="19">
        <f>SUMIF(Table4[Component],AJ108,Table4[Qty of Cutters in these MATs])</f>
        <v>0</v>
      </c>
      <c r="AL108" s="19">
        <f>SUMIF(Table4[Component],AJ108,Table4[Required For Braze Cutters Check])</f>
        <v>0</v>
      </c>
      <c r="AM108" s="19">
        <f>IFERROR(INDEX('Cutters Inventory 12-30-2025'!A:W,MATCH($AI108,'Cutters Inventory 12-30-2025'!B:B,0),14),0)</f>
        <v>0</v>
      </c>
      <c r="AN108" s="19">
        <f>Table5[[#This Row],[INV. QTY]]-Table5[[#This Row],[Required For Braze Cutters Check]]</f>
        <v>0</v>
      </c>
      <c r="AO108" s="19" t="str">
        <f>IF($AN108&lt;0,Table5[[#This Row],[Component]],"")</f>
        <v/>
      </c>
      <c r="AT108">
        <f t="shared" si="29"/>
        <v>0</v>
      </c>
      <c r="AV108" s="573">
        <f t="shared" si="36"/>
        <v>0</v>
      </c>
      <c r="AW108">
        <f t="shared" si="35"/>
        <v>0</v>
      </c>
      <c r="AY108" t="str">
        <v>1245357M</v>
      </c>
      <c r="BA108">
        <f t="shared" si="33"/>
        <v>0</v>
      </c>
      <c r="BC108" s="159">
        <f>IFERROR(VLOOKUP(BA:BA,Table4[],8,FALSE),Table6[[#This Row],[Not Exist BOM''s]])</f>
        <v>0</v>
      </c>
    </row>
    <row r="109" spans="1:55" ht="24.75" customHeight="1" x14ac:dyDescent="0.3">
      <c r="A109" s="109">
        <v>20230301</v>
      </c>
      <c r="B109" s="709"/>
      <c r="C109" s="109">
        <v>14081904</v>
      </c>
      <c r="D109" s="109" t="s">
        <v>637</v>
      </c>
      <c r="E109" s="109" t="s">
        <v>287</v>
      </c>
      <c r="F109" s="109"/>
      <c r="G109" s="109" t="s">
        <v>646</v>
      </c>
      <c r="H109" s="140">
        <v>1267122</v>
      </c>
      <c r="I109" s="140">
        <v>1257458</v>
      </c>
      <c r="J109" s="26">
        <f>IF(H109&lt;&gt;"",IF(AND(C109&lt;&gt;"",IFERROR(MATCH(C109,Table10[Serial No.],0),0)),0,1),0)</f>
        <v>0</v>
      </c>
      <c r="K109" s="21"/>
      <c r="L109" s="539" t="str">
        <f t="shared" ca="1" si="28"/>
        <v/>
      </c>
      <c r="S109" s="281">
        <v>1142907</v>
      </c>
      <c r="T109" s="278" t="s">
        <v>637</v>
      </c>
      <c r="U109" s="278" t="s">
        <v>638</v>
      </c>
      <c r="V109" s="25">
        <v>3</v>
      </c>
      <c r="W109" s="284">
        <v>1130196</v>
      </c>
      <c r="X109" s="19" t="str">
        <f>IFERROR(INDEX(Table14[],MATCH($W109,Table14[SAPNo],0),3),"")</f>
        <v>Round 1313 CT182  0.018" (S)</v>
      </c>
      <c r="Y109" s="284">
        <v>12</v>
      </c>
      <c r="Z109" s="25">
        <f t="shared" si="23"/>
        <v>0</v>
      </c>
      <c r="AA109" s="25">
        <f t="shared" si="24"/>
        <v>0</v>
      </c>
      <c r="AB109" s="23">
        <f ca="1">IFERROR(INDEX('Cutters Inventory 12-30-2025'!A:W,MATCH($W109,'Cutters Inventory 12-30-2025'!B:B,0),14),0)</f>
        <v>6</v>
      </c>
      <c r="AC109" s="23">
        <f>SUMIF(Table1[LEVEL 5 MAT NO.],S109,Table1[Braze Plan])</f>
        <v>0</v>
      </c>
      <c r="AD109" s="23">
        <f>Table4[[#This Row],[Quantity]]*Table4[[#This Row],[Bits Braze Plan]]</f>
        <v>0</v>
      </c>
      <c r="AE109" s="23">
        <f ca="1">Table4[[#This Row],[INV. QTY]]-Table4[[#This Row],[Required For Braze Cutters Check]]</f>
        <v>6</v>
      </c>
      <c r="AF109" s="23">
        <f t="shared" ca="1" si="25"/>
        <v>6</v>
      </c>
      <c r="AG109" s="23"/>
      <c r="AJ109" s="19">
        <f t="shared" si="34"/>
        <v>0</v>
      </c>
      <c r="AK109" s="19">
        <f>SUMIF(Table4[Component],AJ109,Table4[Qty of Cutters in these MATs])</f>
        <v>0</v>
      </c>
      <c r="AL109" s="19">
        <f>SUMIF(Table4[Component],AJ109,Table4[Required For Braze Cutters Check])</f>
        <v>0</v>
      </c>
      <c r="AM109" s="19">
        <f>IFERROR(INDEX('Cutters Inventory 12-30-2025'!A:W,MATCH($AI109,'Cutters Inventory 12-30-2025'!B:B,0),14),0)</f>
        <v>0</v>
      </c>
      <c r="AN109" s="19">
        <f>Table5[[#This Row],[INV. QTY]]-Table5[[#This Row],[Required For Braze Cutters Check]]</f>
        <v>0</v>
      </c>
      <c r="AO109" s="19" t="str">
        <f>IF($AN109&lt;0,Table5[[#This Row],[Component]],"")</f>
        <v/>
      </c>
      <c r="AT109">
        <f t="shared" si="29"/>
        <v>0</v>
      </c>
      <c r="AV109" s="573">
        <f t="shared" si="36"/>
        <v>0</v>
      </c>
      <c r="AW109">
        <f t="shared" si="35"/>
        <v>0</v>
      </c>
      <c r="AY109" t="str">
        <v>1252168M</v>
      </c>
      <c r="BA109">
        <f t="shared" si="33"/>
        <v>0</v>
      </c>
      <c r="BC109" s="159">
        <f>IFERROR(VLOOKUP(BA:BA,Table4[],8,FALSE),Table6[[#This Row],[Not Exist BOM''s]])</f>
        <v>0</v>
      </c>
    </row>
    <row r="110" spans="1:55" ht="24.75" customHeight="1" x14ac:dyDescent="0.3">
      <c r="A110" s="109">
        <v>20230342</v>
      </c>
      <c r="B110" s="709"/>
      <c r="C110" s="109">
        <v>14093059</v>
      </c>
      <c r="D110" s="109" t="s">
        <v>631</v>
      </c>
      <c r="E110" s="109" t="s">
        <v>645</v>
      </c>
      <c r="F110" s="109"/>
      <c r="G110" s="109"/>
      <c r="H110" s="140">
        <v>1262047</v>
      </c>
      <c r="I110" s="140">
        <v>1235768</v>
      </c>
      <c r="J110" s="26">
        <f>IF(H110&lt;&gt;"",IF(AND(C110&lt;&gt;"",IFERROR(MATCH(C110,Table10[Serial No.],0),0)),0,1),0)</f>
        <v>0</v>
      </c>
      <c r="K110" s="21"/>
      <c r="L110" s="539" t="str">
        <f t="shared" ca="1" si="28"/>
        <v/>
      </c>
      <c r="S110" s="281">
        <v>1142907</v>
      </c>
      <c r="T110" s="278" t="s">
        <v>637</v>
      </c>
      <c r="U110" s="278" t="s">
        <v>638</v>
      </c>
      <c r="V110" s="25">
        <v>4</v>
      </c>
      <c r="W110" s="284">
        <v>871781</v>
      </c>
      <c r="X110" s="19" t="str">
        <f>IFERROR(INDEX(Table14[],MATCH($W110,Table14[SAPNo],0),3),"")</f>
        <v>Round 1313 CT200  0.018" (B)</v>
      </c>
      <c r="Y110" s="284">
        <v>4</v>
      </c>
      <c r="Z110" s="25">
        <f t="shared" si="23"/>
        <v>0</v>
      </c>
      <c r="AA110" s="25">
        <f t="shared" si="24"/>
        <v>0</v>
      </c>
      <c r="AB110" s="23">
        <f ca="1">IFERROR(INDEX('Cutters Inventory 12-30-2025'!A:W,MATCH($W110,'Cutters Inventory 12-30-2025'!B:B,0),14),0)</f>
        <v>843</v>
      </c>
      <c r="AC110" s="23">
        <f>SUMIF(Table1[LEVEL 5 MAT NO.],S110,Table1[Braze Plan])</f>
        <v>0</v>
      </c>
      <c r="AD110" s="23">
        <f>Table4[[#This Row],[Quantity]]*Table4[[#This Row],[Bits Braze Plan]]</f>
        <v>0</v>
      </c>
      <c r="AE110" s="23">
        <f ca="1">Table4[[#This Row],[INV. QTY]]-Table4[[#This Row],[Required For Braze Cutters Check]]</f>
        <v>843</v>
      </c>
      <c r="AF110" s="23">
        <f t="shared" ca="1" si="25"/>
        <v>843</v>
      </c>
      <c r="AG110" s="23"/>
      <c r="AJ110" s="19">
        <f t="shared" si="34"/>
        <v>0</v>
      </c>
      <c r="AK110" s="19">
        <f>SUMIF(Table4[Component],AJ110,Table4[Qty of Cutters in these MATs])</f>
        <v>0</v>
      </c>
      <c r="AL110" s="19">
        <f>SUMIF(Table4[Component],AJ110,Table4[Required For Braze Cutters Check])</f>
        <v>0</v>
      </c>
      <c r="AM110" s="19">
        <f>IFERROR(INDEX('Cutters Inventory 12-30-2025'!A:W,MATCH($AI110,'Cutters Inventory 12-30-2025'!B:B,0),14),0)</f>
        <v>0</v>
      </c>
      <c r="AN110" s="19">
        <f>Table5[[#This Row],[INV. QTY]]-Table5[[#This Row],[Required For Braze Cutters Check]]</f>
        <v>0</v>
      </c>
      <c r="AO110" s="19" t="str">
        <f>IF($AN110&lt;0,Table5[[#This Row],[Component]],"")</f>
        <v/>
      </c>
      <c r="AT110">
        <f t="shared" si="29"/>
        <v>0</v>
      </c>
      <c r="AV110" s="573">
        <f t="shared" si="36"/>
        <v>0</v>
      </c>
      <c r="AW110">
        <f t="shared" si="35"/>
        <v>0</v>
      </c>
      <c r="AY110" t="str">
        <v>1255267M</v>
      </c>
      <c r="BA110">
        <f t="shared" si="33"/>
        <v>0</v>
      </c>
      <c r="BC110" s="159">
        <f>IFERROR(VLOOKUP(BA:BA,Table4[],8,FALSE),Table6[[#This Row],[Not Exist BOM''s]])</f>
        <v>0</v>
      </c>
    </row>
    <row r="111" spans="1:55" ht="24.75" customHeight="1" x14ac:dyDescent="0.3">
      <c r="A111" s="109">
        <v>20230342</v>
      </c>
      <c r="B111" s="709"/>
      <c r="C111" s="109">
        <v>14093061</v>
      </c>
      <c r="D111" s="109" t="s">
        <v>631</v>
      </c>
      <c r="E111" s="109" t="s">
        <v>645</v>
      </c>
      <c r="F111" s="109"/>
      <c r="G111" s="109"/>
      <c r="H111" s="140">
        <v>1262047</v>
      </c>
      <c r="I111" s="140">
        <v>1235768</v>
      </c>
      <c r="J111" s="26">
        <f>IF(H111&lt;&gt;"",IF(AND(C111&lt;&gt;"",IFERROR(MATCH(C111,Table10[Serial No.],0),0)),0,1),0)</f>
        <v>0</v>
      </c>
      <c r="K111" s="21"/>
      <c r="L111" s="539" t="str">
        <f t="shared" ca="1" si="28"/>
        <v/>
      </c>
      <c r="S111" s="281">
        <v>1142907</v>
      </c>
      <c r="T111" s="278" t="s">
        <v>637</v>
      </c>
      <c r="U111" s="278" t="s">
        <v>638</v>
      </c>
      <c r="V111" s="25">
        <v>5</v>
      </c>
      <c r="W111" s="284">
        <v>418525</v>
      </c>
      <c r="X111" s="19" t="str">
        <f>IFERROR(INDEX(Table14[],MATCH($W111,Table14[SAPNo],0),3),"")</f>
        <v>Drop In 1308 CT31   (B)</v>
      </c>
      <c r="Y111" s="284">
        <v>3</v>
      </c>
      <c r="Z111" s="25">
        <f t="shared" si="23"/>
        <v>0</v>
      </c>
      <c r="AA111" s="25">
        <f t="shared" si="24"/>
        <v>0</v>
      </c>
      <c r="AB111" s="23">
        <f ca="1">IFERROR(INDEX('Cutters Inventory 12-30-2025'!A:W,MATCH($W111,'Cutters Inventory 12-30-2025'!B:B,0),14),0)</f>
        <v>933</v>
      </c>
      <c r="AC111" s="23">
        <f>SUMIF(Table1[LEVEL 5 MAT NO.],S111,Table1[Braze Plan])</f>
        <v>0</v>
      </c>
      <c r="AD111" s="23">
        <f>Table4[[#This Row],[Quantity]]*Table4[[#This Row],[Bits Braze Plan]]</f>
        <v>0</v>
      </c>
      <c r="AE111" s="23">
        <f ca="1">Table4[[#This Row],[INV. QTY]]-Table4[[#This Row],[Required For Braze Cutters Check]]</f>
        <v>933</v>
      </c>
      <c r="AF111" s="23">
        <f t="shared" ca="1" si="25"/>
        <v>933</v>
      </c>
      <c r="AG111" s="23"/>
      <c r="AJ111" s="19">
        <f t="shared" si="34"/>
        <v>0</v>
      </c>
      <c r="AK111" s="19">
        <f>SUMIF(Table4[Component],AJ111,Table4[Qty of Cutters in these MATs])</f>
        <v>0</v>
      </c>
      <c r="AL111" s="19">
        <f>SUMIF(Table4[Component],AJ111,Table4[Required For Braze Cutters Check])</f>
        <v>0</v>
      </c>
      <c r="AM111" s="19">
        <f>IFERROR(INDEX('Cutters Inventory 12-30-2025'!A:W,MATCH($AI111,'Cutters Inventory 12-30-2025'!B:B,0),14),0)</f>
        <v>0</v>
      </c>
      <c r="AN111" s="19">
        <f>Table5[[#This Row],[INV. QTY]]-Table5[[#This Row],[Required For Braze Cutters Check]]</f>
        <v>0</v>
      </c>
      <c r="AO111" s="19" t="str">
        <f>IF($AN111&lt;0,Table5[[#This Row],[Component]],"")</f>
        <v/>
      </c>
      <c r="AT111">
        <f t="shared" si="29"/>
        <v>0</v>
      </c>
      <c r="AV111" s="573">
        <f t="shared" si="36"/>
        <v>0</v>
      </c>
      <c r="AW111">
        <f t="shared" si="35"/>
        <v>0</v>
      </c>
      <c r="AY111" t="str">
        <v>1257458M</v>
      </c>
      <c r="BA111">
        <f t="shared" si="33"/>
        <v>0</v>
      </c>
      <c r="BC111" s="159">
        <f>IFERROR(VLOOKUP(BA:BA,Table4[],8,FALSE),Table6[[#This Row],[Not Exist BOM''s]])</f>
        <v>0</v>
      </c>
    </row>
    <row r="112" spans="1:55" ht="24.75" customHeight="1" x14ac:dyDescent="0.3">
      <c r="A112" s="109">
        <v>20230342</v>
      </c>
      <c r="B112" s="709"/>
      <c r="C112" s="109">
        <v>14093060</v>
      </c>
      <c r="D112" s="109" t="s">
        <v>631</v>
      </c>
      <c r="E112" s="109" t="s">
        <v>645</v>
      </c>
      <c r="F112" s="109"/>
      <c r="G112" s="109"/>
      <c r="H112" s="140">
        <v>1262047</v>
      </c>
      <c r="I112" s="140">
        <v>1235768</v>
      </c>
      <c r="J112" s="26">
        <f>IF(H112&lt;&gt;"",IF(AND(C112&lt;&gt;"",IFERROR(MATCH(C112,Table10[Serial No.],0),0)),0,1),0)</f>
        <v>0</v>
      </c>
      <c r="K112" s="21"/>
      <c r="L112" s="539" t="str">
        <f t="shared" ca="1" si="28"/>
        <v/>
      </c>
      <c r="S112" s="617">
        <v>1157663</v>
      </c>
      <c r="T112" s="278" t="s">
        <v>315</v>
      </c>
      <c r="U112" s="278" t="s">
        <v>272</v>
      </c>
      <c r="V112" s="25">
        <v>1</v>
      </c>
      <c r="W112" s="284">
        <v>1126402</v>
      </c>
      <c r="X112" s="19" t="str">
        <f>IFERROR(INDEX(Table14[],MATCH($W112,Table14[SAPNo],0),3),"")</f>
        <v>1613 CT421 16-60</v>
      </c>
      <c r="Y112" s="284">
        <v>50</v>
      </c>
      <c r="Z112" s="25">
        <f t="shared" si="23"/>
        <v>1</v>
      </c>
      <c r="AA112" s="25">
        <f t="shared" si="24"/>
        <v>50</v>
      </c>
      <c r="AB112" s="23">
        <f ca="1">IFERROR(INDEX('Cutters Inventory 12-30-2025'!A:W,MATCH($W112,'Cutters Inventory 12-30-2025'!B:B,0),14),0)</f>
        <v>422</v>
      </c>
      <c r="AC112" s="23">
        <f>SUMIF(Table1[LEVEL 5 MAT NO.],S112,Table1[Braze Plan])</f>
        <v>0</v>
      </c>
      <c r="AD112" s="23">
        <f>Table4[[#This Row],[Quantity]]*Table4[[#This Row],[Bits Braze Plan]]</f>
        <v>0</v>
      </c>
      <c r="AE112" s="23">
        <f ca="1">Table4[[#This Row],[INV. QTY]]-Table4[[#This Row],[Required For Braze Cutters Check]]</f>
        <v>422</v>
      </c>
      <c r="AF112" s="23">
        <f t="shared" ca="1" si="25"/>
        <v>422</v>
      </c>
      <c r="AG112" s="23"/>
      <c r="AJ112" s="19">
        <f t="shared" si="34"/>
        <v>0</v>
      </c>
      <c r="AK112" s="19">
        <f>SUMIF(Table4[Component],AJ112,Table4[Qty of Cutters in these MATs])</f>
        <v>0</v>
      </c>
      <c r="AL112" s="19">
        <f>SUMIF(Table4[Component],AJ112,Table4[Required For Braze Cutters Check])</f>
        <v>0</v>
      </c>
      <c r="AM112" s="19">
        <f>IFERROR(INDEX('Cutters Inventory 12-30-2025'!A:W,MATCH($AI112,'Cutters Inventory 12-30-2025'!B:B,0),14),0)</f>
        <v>0</v>
      </c>
      <c r="AN112" s="19">
        <f>Table5[[#This Row],[INV. QTY]]-Table5[[#This Row],[Required For Braze Cutters Check]]</f>
        <v>0</v>
      </c>
      <c r="AO112" s="19" t="str">
        <f>IF($AN112&lt;0,Table5[[#This Row],[Component]],"")</f>
        <v/>
      </c>
      <c r="AT112">
        <f t="shared" si="29"/>
        <v>0</v>
      </c>
      <c r="AV112" s="573">
        <f t="shared" si="36"/>
        <v>0</v>
      </c>
      <c r="AW112">
        <f t="shared" si="35"/>
        <v>0</v>
      </c>
      <c r="AY112" t="str">
        <v>1259957M</v>
      </c>
      <c r="BA112">
        <f t="shared" si="33"/>
        <v>0</v>
      </c>
      <c r="BC112" s="159">
        <f>IFERROR(VLOOKUP(BA:BA,Table4[],8,FALSE),Table6[[#This Row],[Not Exist BOM''s]])</f>
        <v>0</v>
      </c>
    </row>
    <row r="113" spans="1:55" ht="24.75" customHeight="1" x14ac:dyDescent="0.3">
      <c r="A113" s="109">
        <v>20230342</v>
      </c>
      <c r="B113" s="709"/>
      <c r="C113" s="109">
        <v>14093057</v>
      </c>
      <c r="D113" s="109" t="s">
        <v>631</v>
      </c>
      <c r="E113" s="109" t="s">
        <v>645</v>
      </c>
      <c r="F113" s="109"/>
      <c r="G113" s="109"/>
      <c r="H113" s="140">
        <v>1262047</v>
      </c>
      <c r="I113" s="140">
        <v>1235768</v>
      </c>
      <c r="J113" s="26">
        <f>IF(H113&lt;&gt;"",IF(AND(C113&lt;&gt;"",IFERROR(MATCH(C113,Table10[Serial No.],0),0)),0,1),0)</f>
        <v>0</v>
      </c>
      <c r="K113" s="21"/>
      <c r="L113" s="539" t="str">
        <f t="shared" ca="1" si="28"/>
        <v/>
      </c>
      <c r="S113" s="617">
        <v>1157663</v>
      </c>
      <c r="T113" s="278" t="s">
        <v>315</v>
      </c>
      <c r="U113" s="278" t="s">
        <v>272</v>
      </c>
      <c r="V113" s="25">
        <v>2</v>
      </c>
      <c r="W113" s="284">
        <v>647436</v>
      </c>
      <c r="X113" s="19" t="str">
        <f>IFERROR(INDEX(Table14[],MATCH($W113,Table14[SAPNo],0),3),"")</f>
        <v>Round 1613 CT200  0.018" (B)</v>
      </c>
      <c r="Y113" s="284">
        <v>31</v>
      </c>
      <c r="Z113" s="25">
        <f t="shared" si="23"/>
        <v>1</v>
      </c>
      <c r="AA113" s="25">
        <f t="shared" si="24"/>
        <v>31</v>
      </c>
      <c r="AB113" s="23">
        <f ca="1">IFERROR(INDEX('Cutters Inventory 12-30-2025'!A:W,MATCH($W113,'Cutters Inventory 12-30-2025'!B:B,0),14),0)</f>
        <v>412</v>
      </c>
      <c r="AC113" s="23">
        <f>SUMIF(Table1[LEVEL 5 MAT NO.],S113,Table1[Braze Plan])</f>
        <v>0</v>
      </c>
      <c r="AD113" s="23">
        <f>Table4[[#This Row],[Quantity]]*Table4[[#This Row],[Bits Braze Plan]]</f>
        <v>0</v>
      </c>
      <c r="AE113" s="23">
        <f ca="1">Table4[[#This Row],[INV. QTY]]-Table4[[#This Row],[Required For Braze Cutters Check]]</f>
        <v>412</v>
      </c>
      <c r="AF113" s="23">
        <f t="shared" ca="1" si="25"/>
        <v>412</v>
      </c>
      <c r="AG113" s="23"/>
      <c r="AJ113" s="19">
        <f t="shared" si="34"/>
        <v>0</v>
      </c>
      <c r="AK113" s="19">
        <f>SUMIF(Table4[Component],AJ113,Table4[Qty of Cutters in these MATs])</f>
        <v>0</v>
      </c>
      <c r="AL113" s="19">
        <f>SUMIF(Table4[Component],AJ113,Table4[Required For Braze Cutters Check])</f>
        <v>0</v>
      </c>
      <c r="AM113" s="19">
        <f>IFERROR(INDEX('Cutters Inventory 12-30-2025'!A:W,MATCH($AI113,'Cutters Inventory 12-30-2025'!B:B,0),14),0)</f>
        <v>0</v>
      </c>
      <c r="AN113" s="19">
        <f>Table5[[#This Row],[INV. QTY]]-Table5[[#This Row],[Required For Braze Cutters Check]]</f>
        <v>0</v>
      </c>
      <c r="AO113" s="19" t="str">
        <f>IF($AN113&lt;0,Table5[[#This Row],[Component]],"")</f>
        <v/>
      </c>
      <c r="AT113">
        <f t="shared" si="29"/>
        <v>0</v>
      </c>
      <c r="AV113" s="573">
        <f t="shared" si="36"/>
        <v>0</v>
      </c>
      <c r="AW113">
        <f t="shared" si="35"/>
        <v>0</v>
      </c>
      <c r="AY113" t="str">
        <v>1283567M</v>
      </c>
      <c r="BA113">
        <f t="shared" si="33"/>
        <v>0</v>
      </c>
      <c r="BC113" s="159">
        <f>IFERROR(VLOOKUP(BA:BA,Table4[],8,FALSE),Table6[[#This Row],[Not Exist BOM''s]])</f>
        <v>0</v>
      </c>
    </row>
    <row r="114" spans="1:55" ht="24.75" customHeight="1" x14ac:dyDescent="0.3">
      <c r="A114" s="109">
        <v>20230342</v>
      </c>
      <c r="B114" s="709"/>
      <c r="C114" s="109">
        <v>14093058</v>
      </c>
      <c r="D114" s="109" t="s">
        <v>631</v>
      </c>
      <c r="E114" s="109" t="s">
        <v>645</v>
      </c>
      <c r="F114" s="109"/>
      <c r="G114" s="109"/>
      <c r="H114" s="140">
        <v>1262047</v>
      </c>
      <c r="I114" s="140">
        <v>1235768</v>
      </c>
      <c r="J114" s="26">
        <f>IF(H114&lt;&gt;"",IF(AND(C114&lt;&gt;"",IFERROR(MATCH(C114,Table10[Serial No.],0),0)),0,1),0)</f>
        <v>0</v>
      </c>
      <c r="K114" s="21"/>
      <c r="L114" s="539" t="str">
        <f t="shared" ca="1" si="28"/>
        <v/>
      </c>
      <c r="S114" s="617">
        <v>1157663</v>
      </c>
      <c r="T114" s="278" t="s">
        <v>315</v>
      </c>
      <c r="U114" s="278" t="s">
        <v>272</v>
      </c>
      <c r="V114" s="25">
        <v>3</v>
      </c>
      <c r="W114" s="284">
        <v>418525</v>
      </c>
      <c r="X114" s="19" t="str">
        <f>IFERROR(INDEX(Table14[],MATCH($W114,Table14[SAPNo],0),3),"")</f>
        <v>Drop In 1308 CT31   (B)</v>
      </c>
      <c r="Y114" s="284">
        <v>3</v>
      </c>
      <c r="Z114" s="25">
        <f t="shared" si="23"/>
        <v>1</v>
      </c>
      <c r="AA114" s="25">
        <f t="shared" si="24"/>
        <v>3</v>
      </c>
      <c r="AB114" s="23">
        <f ca="1">IFERROR(INDEX('Cutters Inventory 12-30-2025'!A:W,MATCH($W114,'Cutters Inventory 12-30-2025'!B:B,0),14),0)</f>
        <v>933</v>
      </c>
      <c r="AC114" s="23">
        <f>SUMIF(Table1[LEVEL 5 MAT NO.],S114,Table1[Braze Plan])</f>
        <v>0</v>
      </c>
      <c r="AD114" s="23">
        <f>Table4[[#This Row],[Quantity]]*Table4[[#This Row],[Bits Braze Plan]]</f>
        <v>0</v>
      </c>
      <c r="AE114" s="23">
        <f ca="1">Table4[[#This Row],[INV. QTY]]-Table4[[#This Row],[Required For Braze Cutters Check]]</f>
        <v>933</v>
      </c>
      <c r="AF114" s="23">
        <f t="shared" ca="1" si="25"/>
        <v>933</v>
      </c>
      <c r="AG114" s="23"/>
      <c r="AJ114" s="19">
        <f t="shared" si="34"/>
        <v>0</v>
      </c>
      <c r="AK114" s="19">
        <f>SUMIF(Table4[Component],AJ114,Table4[Qty of Cutters in these MATs])</f>
        <v>0</v>
      </c>
      <c r="AL114" s="19">
        <f>SUMIF(Table4[Component],AJ114,Table4[Required For Braze Cutters Check])</f>
        <v>0</v>
      </c>
      <c r="AM114" s="19">
        <f>IFERROR(INDEX('Cutters Inventory 12-30-2025'!A:W,MATCH($AI114,'Cutters Inventory 12-30-2025'!B:B,0),14),0)</f>
        <v>0</v>
      </c>
      <c r="AN114" s="19">
        <f>Table5[[#This Row],[INV. QTY]]-Table5[[#This Row],[Required For Braze Cutters Check]]</f>
        <v>0</v>
      </c>
      <c r="AO114" s="19" t="str">
        <f>IF($AN114&lt;0,Table5[[#This Row],[Component]],"")</f>
        <v/>
      </c>
      <c r="AT114">
        <f t="shared" si="29"/>
        <v>0</v>
      </c>
      <c r="AV114" s="573">
        <f t="shared" si="36"/>
        <v>0</v>
      </c>
      <c r="AW114">
        <f t="shared" si="35"/>
        <v>0</v>
      </c>
      <c r="AY114" t="str">
        <v>1290130M</v>
      </c>
      <c r="BA114">
        <f t="shared" si="33"/>
        <v>0</v>
      </c>
      <c r="BC114" s="159">
        <f>IFERROR(VLOOKUP(BA:BA,Table4[],8,FALSE),Table6[[#This Row],[Not Exist BOM''s]])</f>
        <v>0</v>
      </c>
    </row>
    <row r="115" spans="1:55" ht="24.75" customHeight="1" x14ac:dyDescent="0.3">
      <c r="A115" s="109">
        <v>20230342</v>
      </c>
      <c r="B115" s="709"/>
      <c r="C115" s="109">
        <v>14093066</v>
      </c>
      <c r="D115" s="109" t="s">
        <v>309</v>
      </c>
      <c r="E115" s="109" t="s">
        <v>256</v>
      </c>
      <c r="F115" s="109"/>
      <c r="G115" s="109"/>
      <c r="H115" s="140">
        <v>1198387</v>
      </c>
      <c r="I115" s="140">
        <v>1160951</v>
      </c>
      <c r="J115" s="26">
        <f>IF(H115&lt;&gt;"",IF(AND(C115&lt;&gt;"",IFERROR(MATCH(C115,Table10[Serial No.],0),0)),0,1),0)</f>
        <v>0</v>
      </c>
      <c r="K115" s="21"/>
      <c r="L115" s="539" t="str">
        <f t="shared" ca="1" si="28"/>
        <v/>
      </c>
      <c r="S115" s="617">
        <v>1157663</v>
      </c>
      <c r="T115" s="278" t="s">
        <v>315</v>
      </c>
      <c r="U115" s="278" t="s">
        <v>272</v>
      </c>
      <c r="V115" s="25">
        <v>4</v>
      </c>
      <c r="W115" s="284">
        <v>871781</v>
      </c>
      <c r="X115" s="19" t="str">
        <f>IFERROR(INDEX(Table14[],MATCH($W115,Table14[SAPNo],0),3),"")</f>
        <v>Round 1313 CT200  0.018" (B)</v>
      </c>
      <c r="Y115" s="284">
        <v>3</v>
      </c>
      <c r="Z115" s="25">
        <f t="shared" si="23"/>
        <v>1</v>
      </c>
      <c r="AA115" s="25">
        <f t="shared" si="24"/>
        <v>3</v>
      </c>
      <c r="AB115" s="23">
        <f ca="1">IFERROR(INDEX('Cutters Inventory 12-30-2025'!A:W,MATCH($W115,'Cutters Inventory 12-30-2025'!B:B,0),14),0)</f>
        <v>843</v>
      </c>
      <c r="AC115" s="23">
        <f>SUMIF(Table1[LEVEL 5 MAT NO.],S115,Table1[Braze Plan])</f>
        <v>0</v>
      </c>
      <c r="AD115" s="23">
        <f>Table4[[#This Row],[Quantity]]*Table4[[#This Row],[Bits Braze Plan]]</f>
        <v>0</v>
      </c>
      <c r="AE115" s="23">
        <f ca="1">Table4[[#This Row],[INV. QTY]]-Table4[[#This Row],[Required For Braze Cutters Check]]</f>
        <v>843</v>
      </c>
      <c r="AF115" s="23">
        <f t="shared" ca="1" si="25"/>
        <v>843</v>
      </c>
      <c r="AG115" s="23"/>
      <c r="AJ115" s="19">
        <f t="shared" si="34"/>
        <v>0</v>
      </c>
      <c r="AK115" s="19">
        <f>SUMIF(Table4[Component],AJ115,Table4[Qty of Cutters in these MATs])</f>
        <v>0</v>
      </c>
      <c r="AL115" s="19">
        <f>SUMIF(Table4[Component],AJ115,Table4[Required For Braze Cutters Check])</f>
        <v>0</v>
      </c>
      <c r="AM115" s="19">
        <f>IFERROR(INDEX('Cutters Inventory 12-30-2025'!A:W,MATCH($AI115,'Cutters Inventory 12-30-2025'!B:B,0),14),0)</f>
        <v>0</v>
      </c>
      <c r="AN115" s="19">
        <f>Table5[[#This Row],[INV. QTY]]-Table5[[#This Row],[Required For Braze Cutters Check]]</f>
        <v>0</v>
      </c>
      <c r="AO115" s="19" t="str">
        <f>IF($AN115&lt;0,Table5[[#This Row],[Component]],"")</f>
        <v/>
      </c>
      <c r="AT115">
        <f t="shared" si="29"/>
        <v>0</v>
      </c>
      <c r="AV115" s="573">
        <f t="shared" si="36"/>
        <v>0</v>
      </c>
      <c r="AW115">
        <f t="shared" si="35"/>
        <v>0</v>
      </c>
      <c r="AY115" t="str">
        <v>2009096M</v>
      </c>
      <c r="BA115">
        <f t="shared" si="33"/>
        <v>0</v>
      </c>
      <c r="BC115" s="159">
        <f>IFERROR(VLOOKUP(BA:BA,Table4[],8,FALSE),Table6[[#This Row],[Not Exist BOM''s]])</f>
        <v>0</v>
      </c>
    </row>
    <row r="116" spans="1:55" ht="24.75" customHeight="1" x14ac:dyDescent="0.3">
      <c r="A116" s="109">
        <v>20230342</v>
      </c>
      <c r="B116" s="709"/>
      <c r="C116" s="109">
        <v>14093065</v>
      </c>
      <c r="D116" s="109" t="s">
        <v>309</v>
      </c>
      <c r="E116" s="109" t="s">
        <v>256</v>
      </c>
      <c r="F116" s="109"/>
      <c r="G116" s="109"/>
      <c r="H116" s="140">
        <v>1198387</v>
      </c>
      <c r="I116" s="140">
        <v>1160951</v>
      </c>
      <c r="J116" s="26">
        <f>IF(H116&lt;&gt;"",IF(AND(C116&lt;&gt;"",IFERROR(MATCH(C116,Table10[Serial No.],0),0)),0,1),0)</f>
        <v>0</v>
      </c>
      <c r="K116" s="21"/>
      <c r="L116" s="539" t="str">
        <f t="shared" ca="1" si="28"/>
        <v/>
      </c>
      <c r="S116" s="281">
        <v>1159702</v>
      </c>
      <c r="T116" s="278" t="s">
        <v>624</v>
      </c>
      <c r="U116" s="278" t="s">
        <v>657</v>
      </c>
      <c r="V116" s="25">
        <v>1</v>
      </c>
      <c r="W116" s="284">
        <v>1126402</v>
      </c>
      <c r="X116" s="19" t="str">
        <f>IFERROR(INDEX(Table14[],MATCH($W116,Table14[SAPNo],0),3),"")</f>
        <v>1613 CT421 16-60</v>
      </c>
      <c r="Y116" s="284">
        <v>15</v>
      </c>
      <c r="Z116" s="25">
        <f t="shared" si="23"/>
        <v>0</v>
      </c>
      <c r="AA116" s="25">
        <f t="shared" si="24"/>
        <v>0</v>
      </c>
      <c r="AB116" s="23">
        <f ca="1">IFERROR(INDEX('Cutters Inventory 12-30-2025'!A:W,MATCH($W116,'Cutters Inventory 12-30-2025'!B:B,0),14),0)</f>
        <v>422</v>
      </c>
      <c r="AC116" s="23">
        <f>SUMIF(Table1[LEVEL 5 MAT NO.],S116,Table1[Braze Plan])</f>
        <v>0</v>
      </c>
      <c r="AD116" s="23">
        <f>Table4[[#This Row],[Quantity]]*Table4[[#This Row],[Bits Braze Plan]]</f>
        <v>0</v>
      </c>
      <c r="AE116" s="23">
        <f ca="1">Table4[[#This Row],[INV. QTY]]-Table4[[#This Row],[Required For Braze Cutters Check]]</f>
        <v>422</v>
      </c>
      <c r="AF116" s="23">
        <f t="shared" ca="1" si="25"/>
        <v>422</v>
      </c>
      <c r="AG116" s="23"/>
      <c r="AJ116" s="19">
        <f t="shared" si="34"/>
        <v>0</v>
      </c>
      <c r="AK116" s="19">
        <f>SUMIF(Table4[Component],AJ116,Table4[Qty of Cutters in these MATs])</f>
        <v>0</v>
      </c>
      <c r="AL116" s="19">
        <f>SUMIF(Table4[Component],AJ116,Table4[Required For Braze Cutters Check])</f>
        <v>0</v>
      </c>
      <c r="AM116" s="19">
        <f>IFERROR(INDEX('Cutters Inventory 12-30-2025'!A:W,MATCH($AI116,'Cutters Inventory 12-30-2025'!B:B,0),14),0)</f>
        <v>0</v>
      </c>
      <c r="AN116" s="19">
        <f>Table5[[#This Row],[INV. QTY]]-Table5[[#This Row],[Required For Braze Cutters Check]]</f>
        <v>0</v>
      </c>
      <c r="AO116" s="19" t="str">
        <f>IF($AN116&lt;0,Table5[[#This Row],[Component]],"")</f>
        <v/>
      </c>
      <c r="AT116">
        <f t="shared" si="29"/>
        <v>0</v>
      </c>
      <c r="AV116" s="573">
        <f t="shared" si="36"/>
        <v>0</v>
      </c>
      <c r="AW116">
        <f t="shared" si="35"/>
        <v>0</v>
      </c>
      <c r="AY116" t="str">
        <v>903299M</v>
      </c>
      <c r="BA116">
        <f t="shared" si="33"/>
        <v>0</v>
      </c>
      <c r="BC116" s="159">
        <f>IFERROR(VLOOKUP(BA:BA,Table4[],8,FALSE),Table6[[#This Row],[Not Exist BOM''s]])</f>
        <v>0</v>
      </c>
    </row>
    <row r="117" spans="1:55" ht="24.75" customHeight="1" x14ac:dyDescent="0.3">
      <c r="A117" s="109">
        <v>20230342</v>
      </c>
      <c r="B117" s="709"/>
      <c r="C117" s="109">
        <v>14093062</v>
      </c>
      <c r="D117" s="109" t="s">
        <v>309</v>
      </c>
      <c r="E117" s="109" t="s">
        <v>256</v>
      </c>
      <c r="F117" s="109"/>
      <c r="G117" s="109"/>
      <c r="H117" s="140">
        <v>1198387</v>
      </c>
      <c r="I117" s="140">
        <v>1160951</v>
      </c>
      <c r="J117" s="26">
        <f>IF(H117&lt;&gt;"",IF(AND(C117&lt;&gt;"",IFERROR(MATCH(C117,Table10[Serial No.],0),0)),0,1),0)</f>
        <v>0</v>
      </c>
      <c r="K117" s="21"/>
      <c r="L117" s="539" t="str">
        <f t="shared" ca="1" si="28"/>
        <v/>
      </c>
      <c r="S117" s="281">
        <v>1159702</v>
      </c>
      <c r="T117" s="278" t="s">
        <v>624</v>
      </c>
      <c r="U117" s="278" t="s">
        <v>657</v>
      </c>
      <c r="V117" s="25">
        <v>2</v>
      </c>
      <c r="W117" s="284">
        <v>1130196</v>
      </c>
      <c r="X117" s="19" t="str">
        <f>IFERROR(INDEX(Table14[],MATCH($W117,Table14[SAPNo],0),3),"")</f>
        <v>Round 1313 CT182  0.018" (S)</v>
      </c>
      <c r="Y117" s="284">
        <v>11</v>
      </c>
      <c r="Z117" s="25">
        <f t="shared" si="23"/>
        <v>0</v>
      </c>
      <c r="AA117" s="25">
        <f t="shared" si="24"/>
        <v>0</v>
      </c>
      <c r="AB117" s="23">
        <f ca="1">IFERROR(INDEX('Cutters Inventory 12-30-2025'!A:W,MATCH($W117,'Cutters Inventory 12-30-2025'!B:B,0),14),0)</f>
        <v>6</v>
      </c>
      <c r="AC117" s="23">
        <f>SUMIF(Table1[LEVEL 5 MAT NO.],S117,Table1[Braze Plan])</f>
        <v>0</v>
      </c>
      <c r="AD117" s="23">
        <f>Table4[[#This Row],[Quantity]]*Table4[[#This Row],[Bits Braze Plan]]</f>
        <v>0</v>
      </c>
      <c r="AE117" s="23">
        <f ca="1">Table4[[#This Row],[INV. QTY]]-Table4[[#This Row],[Required For Braze Cutters Check]]</f>
        <v>6</v>
      </c>
      <c r="AF117" s="23">
        <f t="shared" ca="1" si="25"/>
        <v>6</v>
      </c>
      <c r="AG117" s="23"/>
      <c r="AJ117" s="19">
        <f t="shared" si="34"/>
        <v>0</v>
      </c>
      <c r="AK117" s="19">
        <f>SUMIF(Table4[Component],AJ117,Table4[Qty of Cutters in these MATs])</f>
        <v>0</v>
      </c>
      <c r="AL117" s="19">
        <f>SUMIF(Table4[Component],AJ117,Table4[Required For Braze Cutters Check])</f>
        <v>0</v>
      </c>
      <c r="AM117" s="19">
        <f>IFERROR(INDEX('Cutters Inventory 12-30-2025'!A:W,MATCH($AI117,'Cutters Inventory 12-30-2025'!B:B,0),14),0)</f>
        <v>0</v>
      </c>
      <c r="AN117" s="19">
        <f>Table5[[#This Row],[INV. QTY]]-Table5[[#This Row],[Required For Braze Cutters Check]]</f>
        <v>0</v>
      </c>
      <c r="AO117" s="19" t="str">
        <f>IF($AN117&lt;0,Table5[[#This Row],[Component]],"")</f>
        <v/>
      </c>
      <c r="AT117">
        <f t="shared" si="29"/>
        <v>0</v>
      </c>
      <c r="AV117" s="573">
        <f t="shared" si="36"/>
        <v>0</v>
      </c>
      <c r="AW117">
        <f t="shared" si="35"/>
        <v>0</v>
      </c>
      <c r="AY117">
        <v>2021865</v>
      </c>
      <c r="BA117">
        <f t="shared" si="33"/>
        <v>0</v>
      </c>
      <c r="BC117" s="159">
        <f>IFERROR(VLOOKUP(BA:BA,Table4[],8,FALSE),Table6[[#This Row],[Not Exist BOM''s]])</f>
        <v>0</v>
      </c>
    </row>
    <row r="118" spans="1:55" ht="24.75" customHeight="1" x14ac:dyDescent="0.3">
      <c r="A118" s="109">
        <v>20230342</v>
      </c>
      <c r="B118" s="709"/>
      <c r="C118" s="109">
        <v>14093063</v>
      </c>
      <c r="D118" s="109" t="s">
        <v>309</v>
      </c>
      <c r="E118" s="109" t="s">
        <v>256</v>
      </c>
      <c r="F118" s="109"/>
      <c r="G118" s="109"/>
      <c r="H118" s="140">
        <v>1198387</v>
      </c>
      <c r="I118" s="140">
        <v>1160951</v>
      </c>
      <c r="J118" s="26">
        <f>IF(H118&lt;&gt;"",IF(AND(C118&lt;&gt;"",IFERROR(MATCH(C118,Table10[Serial No.],0),0)),0,1),0)</f>
        <v>0</v>
      </c>
      <c r="K118" s="21"/>
      <c r="L118" s="539" t="str">
        <f t="shared" ca="1" si="28"/>
        <v/>
      </c>
      <c r="S118" s="281">
        <v>1159702</v>
      </c>
      <c r="T118" s="278" t="s">
        <v>624</v>
      </c>
      <c r="U118" s="278" t="s">
        <v>657</v>
      </c>
      <c r="V118" s="25">
        <v>3</v>
      </c>
      <c r="W118" s="284">
        <v>717751</v>
      </c>
      <c r="X118" s="19" t="str">
        <f>IFERROR(INDEX(Table14[],MATCH($W118,Table14[SAPNo],0),3),"")</f>
        <v>Round 1308 CT200  0.018" (B)</v>
      </c>
      <c r="Y118" s="284">
        <v>5</v>
      </c>
      <c r="Z118" s="25">
        <f t="shared" si="23"/>
        <v>0</v>
      </c>
      <c r="AA118" s="25">
        <f t="shared" si="24"/>
        <v>0</v>
      </c>
      <c r="AB118" s="23">
        <f ca="1">IFERROR(INDEX('Cutters Inventory 12-30-2025'!A:W,MATCH($W118,'Cutters Inventory 12-30-2025'!B:B,0),14),0)</f>
        <v>28</v>
      </c>
      <c r="AC118" s="23">
        <f>SUMIF(Table1[LEVEL 5 MAT NO.],S118,Table1[Braze Plan])</f>
        <v>0</v>
      </c>
      <c r="AD118" s="23">
        <f>Table4[[#This Row],[Quantity]]*Table4[[#This Row],[Bits Braze Plan]]</f>
        <v>0</v>
      </c>
      <c r="AE118" s="23">
        <f ca="1">Table4[[#This Row],[INV. QTY]]-Table4[[#This Row],[Required For Braze Cutters Check]]</f>
        <v>28</v>
      </c>
      <c r="AF118" s="23">
        <f t="shared" ca="1" si="25"/>
        <v>28</v>
      </c>
      <c r="AG118" s="23"/>
      <c r="AJ118" s="19">
        <f t="shared" si="34"/>
        <v>0</v>
      </c>
      <c r="AK118" s="19">
        <f>SUMIF(Table4[Component],AJ118,Table4[Qty of Cutters in these MATs])</f>
        <v>0</v>
      </c>
      <c r="AL118" s="19">
        <f>SUMIF(Table4[Component],AJ118,Table4[Required For Braze Cutters Check])</f>
        <v>0</v>
      </c>
      <c r="AM118" s="19">
        <f>IFERROR(INDEX('Cutters Inventory 12-30-2025'!A:W,MATCH($AI118,'Cutters Inventory 12-30-2025'!B:B,0),14),0)</f>
        <v>0</v>
      </c>
      <c r="AN118" s="19">
        <f>Table5[[#This Row],[INV. QTY]]-Table5[[#This Row],[Required For Braze Cutters Check]]</f>
        <v>0</v>
      </c>
      <c r="AO118" s="19" t="str">
        <f>IF($AN118&lt;0,Table5[[#This Row],[Component]],"")</f>
        <v/>
      </c>
      <c r="AT118">
        <f t="shared" si="29"/>
        <v>0</v>
      </c>
      <c r="AV118" s="573">
        <f t="shared" si="36"/>
        <v>0</v>
      </c>
      <c r="AW118">
        <f t="shared" si="35"/>
        <v>0</v>
      </c>
      <c r="AY118" t="str">
        <v>2016137M</v>
      </c>
      <c r="BA118">
        <f t="shared" si="33"/>
        <v>0</v>
      </c>
      <c r="BC118" s="159">
        <f>IFERROR(VLOOKUP(BA:BA,Table4[],8,FALSE),Table6[[#This Row],[Not Exist BOM''s]])</f>
        <v>0</v>
      </c>
    </row>
    <row r="119" spans="1:55" ht="24.75" customHeight="1" x14ac:dyDescent="0.3">
      <c r="A119" s="109">
        <v>20230342</v>
      </c>
      <c r="B119" s="709"/>
      <c r="C119" s="109">
        <v>14093064</v>
      </c>
      <c r="D119" s="109" t="s">
        <v>309</v>
      </c>
      <c r="E119" s="109" t="s">
        <v>256</v>
      </c>
      <c r="F119" s="109"/>
      <c r="G119" s="109"/>
      <c r="H119" s="140">
        <v>1198387</v>
      </c>
      <c r="I119" s="140">
        <v>1160951</v>
      </c>
      <c r="J119" s="26">
        <f>IF(H119&lt;&gt;"",IF(AND(C119&lt;&gt;"",IFERROR(MATCH(C119,Table10[Serial No.],0),0)),0,1),0)</f>
        <v>0</v>
      </c>
      <c r="K119" s="21"/>
      <c r="L119" s="539" t="str">
        <f t="shared" ca="1" si="28"/>
        <v/>
      </c>
      <c r="S119" s="281">
        <v>1159702</v>
      </c>
      <c r="T119" s="278" t="s">
        <v>624</v>
      </c>
      <c r="U119" s="278" t="s">
        <v>657</v>
      </c>
      <c r="V119" s="25">
        <v>4</v>
      </c>
      <c r="W119" s="284">
        <v>1078371</v>
      </c>
      <c r="X119" s="19" t="str">
        <f>IFERROR(INDEX(Table14[],MATCH($W119,Table14[SAPNo],0),3),"")</f>
        <v xml:space="preserve"> 13 CT143   ()</v>
      </c>
      <c r="Y119" s="284">
        <v>5</v>
      </c>
      <c r="Z119" s="25">
        <f t="shared" si="23"/>
        <v>0</v>
      </c>
      <c r="AA119" s="25">
        <f t="shared" si="24"/>
        <v>0</v>
      </c>
      <c r="AB119" s="23">
        <f ca="1">IFERROR(INDEX('Cutters Inventory 12-30-2025'!A:W,MATCH($W119,'Cutters Inventory 12-30-2025'!B:B,0),14),0)</f>
        <v>0</v>
      </c>
      <c r="AC119" s="23">
        <f>SUMIF(Table1[LEVEL 5 MAT NO.],S119,Table1[Braze Plan])</f>
        <v>0</v>
      </c>
      <c r="AD119" s="23">
        <f>Table4[[#This Row],[Quantity]]*Table4[[#This Row],[Bits Braze Plan]]</f>
        <v>0</v>
      </c>
      <c r="AE119" s="23">
        <f ca="1">Table4[[#This Row],[INV. QTY]]-Table4[[#This Row],[Required For Braze Cutters Check]]</f>
        <v>0</v>
      </c>
      <c r="AF119" s="23">
        <f t="shared" ca="1" si="25"/>
        <v>0</v>
      </c>
      <c r="AG119" s="23"/>
      <c r="AJ119" s="19">
        <f t="shared" si="34"/>
        <v>0</v>
      </c>
      <c r="AK119" s="19">
        <f>SUMIF(Table4[Component],AJ119,Table4[Qty of Cutters in these MATs])</f>
        <v>0</v>
      </c>
      <c r="AL119" s="19">
        <f>SUMIF(Table4[Component],AJ119,Table4[Required For Braze Cutters Check])</f>
        <v>0</v>
      </c>
      <c r="AM119" s="19">
        <f>IFERROR(INDEX('Cutters Inventory 12-30-2025'!A:W,MATCH($AI119,'Cutters Inventory 12-30-2025'!B:B,0),14),0)</f>
        <v>0</v>
      </c>
      <c r="AN119" s="19">
        <f>Table5[[#This Row],[INV. QTY]]-Table5[[#This Row],[Required For Braze Cutters Check]]</f>
        <v>0</v>
      </c>
      <c r="AO119" s="19" t="str">
        <f>IF($AN119&lt;0,Table5[[#This Row],[Component]],"")</f>
        <v/>
      </c>
      <c r="AT119">
        <f t="shared" si="29"/>
        <v>0</v>
      </c>
      <c r="AV119" s="573">
        <f t="shared" si="36"/>
        <v>0</v>
      </c>
      <c r="AW119">
        <f t="shared" si="35"/>
        <v>0</v>
      </c>
      <c r="AY119" t="str">
        <v>1207425M</v>
      </c>
      <c r="BA119">
        <f t="shared" si="33"/>
        <v>0</v>
      </c>
      <c r="BC119" s="159">
        <f>IFERROR(VLOOKUP(BA:BA,Table4[],8,FALSE),Table6[[#This Row],[Not Exist BOM''s]])</f>
        <v>0</v>
      </c>
    </row>
    <row r="120" spans="1:55" ht="24.75" customHeight="1" x14ac:dyDescent="0.3">
      <c r="A120" s="109">
        <v>20230342</v>
      </c>
      <c r="B120" s="709"/>
      <c r="C120" s="109">
        <v>14093068</v>
      </c>
      <c r="D120" s="109" t="s">
        <v>309</v>
      </c>
      <c r="E120" s="109" t="s">
        <v>256</v>
      </c>
      <c r="F120" s="109"/>
      <c r="G120" s="109"/>
      <c r="H120" s="140">
        <v>1198387</v>
      </c>
      <c r="I120" s="140">
        <v>1160951</v>
      </c>
      <c r="J120" s="26">
        <f>IF(H120&lt;&gt;"",IF(AND(C120&lt;&gt;"",IFERROR(MATCH(C120,Table10[Serial No.],0),0)),0,1),0)</f>
        <v>0</v>
      </c>
      <c r="K120" s="21"/>
      <c r="L120" s="539" t="str">
        <f t="shared" ca="1" si="28"/>
        <v/>
      </c>
      <c r="S120" s="617">
        <v>1160951</v>
      </c>
      <c r="T120" s="278">
        <v>6.125</v>
      </c>
      <c r="U120" s="278" t="s">
        <v>256</v>
      </c>
      <c r="V120" s="25">
        <v>1</v>
      </c>
      <c r="W120" s="284">
        <v>1136984</v>
      </c>
      <c r="X120" s="19" t="str">
        <f>IFERROR(INDEX(Table14[],MATCH($W120,Table14[SAPNo],0),3),"")</f>
        <v>DBLMCHT 1313 CT182DM  10C (S)</v>
      </c>
      <c r="Y120" s="284">
        <v>13</v>
      </c>
      <c r="Z120" s="25">
        <f t="shared" si="23"/>
        <v>6</v>
      </c>
      <c r="AA120" s="25">
        <f t="shared" si="24"/>
        <v>78</v>
      </c>
      <c r="AB120" s="23">
        <f ca="1">IFERROR(INDEX('Cutters Inventory 12-30-2025'!A:W,MATCH($W120,'Cutters Inventory 12-30-2025'!B:B,0),14),0)</f>
        <v>92</v>
      </c>
      <c r="AC120" s="23">
        <f>SUMIF(Table1[LEVEL 5 MAT NO.],S120,Table1[Braze Plan])</f>
        <v>0</v>
      </c>
      <c r="AD120" s="23">
        <f>Table4[[#This Row],[Quantity]]*Table4[[#This Row],[Bits Braze Plan]]</f>
        <v>0</v>
      </c>
      <c r="AE120" s="23">
        <f ca="1">Table4[[#This Row],[INV. QTY]]-Table4[[#This Row],[Required For Braze Cutters Check]]</f>
        <v>92</v>
      </c>
      <c r="AF120" s="23">
        <f t="shared" ca="1" si="25"/>
        <v>92</v>
      </c>
      <c r="AG120" s="23"/>
      <c r="AJ120" s="19">
        <f t="shared" si="34"/>
        <v>0</v>
      </c>
      <c r="AK120" s="19">
        <f>SUMIF(Table4[Component],AJ120,Table4[Qty of Cutters in these MATs])</f>
        <v>0</v>
      </c>
      <c r="AL120" s="19">
        <f>SUMIF(Table4[Component],AJ120,Table4[Required For Braze Cutters Check])</f>
        <v>0</v>
      </c>
      <c r="AM120" s="19">
        <f>IFERROR(INDEX('Cutters Inventory 12-30-2025'!A:W,MATCH($AI120,'Cutters Inventory 12-30-2025'!B:B,0),14),0)</f>
        <v>0</v>
      </c>
      <c r="AN120" s="19">
        <f>Table5[[#This Row],[INV. QTY]]-Table5[[#This Row],[Required For Braze Cutters Check]]</f>
        <v>0</v>
      </c>
      <c r="AO120" s="19" t="str">
        <f>IF($AN120&lt;0,Table5[[#This Row],[Component]],"")</f>
        <v/>
      </c>
      <c r="AT120">
        <f t="shared" si="29"/>
        <v>0</v>
      </c>
      <c r="AV120" s="573">
        <f t="shared" si="36"/>
        <v>0</v>
      </c>
      <c r="AW120">
        <f t="shared" si="35"/>
        <v>0</v>
      </c>
      <c r="AY120">
        <v>2019412</v>
      </c>
      <c r="BA120">
        <f t="shared" si="33"/>
        <v>0</v>
      </c>
      <c r="BC120" s="159">
        <f>IFERROR(VLOOKUP(BA:BA,Table4[],8,FALSE),Table6[[#This Row],[Not Exist BOM''s]])</f>
        <v>0</v>
      </c>
    </row>
    <row r="121" spans="1:55" ht="24.75" customHeight="1" x14ac:dyDescent="0.3">
      <c r="A121" s="109">
        <v>20230342</v>
      </c>
      <c r="B121" s="608"/>
      <c r="C121" s="109">
        <v>14093067</v>
      </c>
      <c r="D121" s="109" t="s">
        <v>309</v>
      </c>
      <c r="E121" s="109" t="s">
        <v>256</v>
      </c>
      <c r="F121" s="109"/>
      <c r="G121" s="109"/>
      <c r="H121" s="140">
        <v>1198387</v>
      </c>
      <c r="I121" s="140">
        <v>1160951</v>
      </c>
      <c r="J121" s="26">
        <f>IF(H121&lt;&gt;"",IF(AND(C121&lt;&gt;"",IFERROR(MATCH(C121,Table10[Serial No.],0),0)),0,1),0)</f>
        <v>0</v>
      </c>
      <c r="K121" s="21"/>
      <c r="L121" s="539" t="str">
        <f t="shared" ca="1" si="28"/>
        <v/>
      </c>
      <c r="S121" s="617">
        <v>1160951</v>
      </c>
      <c r="T121" s="278">
        <v>6.125</v>
      </c>
      <c r="U121" s="278" t="s">
        <v>256</v>
      </c>
      <c r="V121" s="25">
        <v>2</v>
      </c>
      <c r="W121" s="284">
        <v>1146346</v>
      </c>
      <c r="X121" s="19" t="str">
        <f>IFERROR(INDEX(Table14[],MATCH($W121,Table14[SAPNo],0),3),"")</f>
        <v>1313 CT418 18-60</v>
      </c>
      <c r="Y121" s="284">
        <v>12</v>
      </c>
      <c r="Z121" s="25">
        <f>IFERROR(INDEX($O$2:$P$400,MATCH($S121,$O$2:$O$93,0),2),0)</f>
        <v>6</v>
      </c>
      <c r="AA121" s="25">
        <f>Y121*Z121</f>
        <v>72</v>
      </c>
      <c r="AB121" s="23">
        <f ca="1">IFERROR(INDEX('Cutters Inventory 12-30-2025'!A:W,MATCH($W121,'Cutters Inventory 12-30-2025'!B:B,0),14),0)</f>
        <v>558</v>
      </c>
      <c r="AC121" s="23">
        <f>SUMIF(Table1[LEVEL 5 MAT NO.],S121,Table1[Braze Plan])</f>
        <v>0</v>
      </c>
      <c r="AD121" s="23">
        <f>Table4[[#This Row],[Quantity]]*Table4[[#This Row],[Bits Braze Plan]]</f>
        <v>0</v>
      </c>
      <c r="AE121" s="23">
        <f ca="1">Table4[[#This Row],[INV. QTY]]-Table4[[#This Row],[Required For Braze Cutters Check]]</f>
        <v>558</v>
      </c>
      <c r="AF121" s="23">
        <f t="shared" ca="1" si="25"/>
        <v>558</v>
      </c>
      <c r="AG121" s="23"/>
      <c r="AJ121" s="19">
        <f t="shared" si="34"/>
        <v>0</v>
      </c>
      <c r="AK121" s="19">
        <f>SUMIF(Table4[Component],AJ121,Table4[Qty of Cutters in these MATs])</f>
        <v>0</v>
      </c>
      <c r="AL121" s="19">
        <f>SUMIF(Table4[Component],AJ121,Table4[Required For Braze Cutters Check])</f>
        <v>0</v>
      </c>
      <c r="AM121" s="19">
        <f>IFERROR(INDEX('Cutters Inventory 12-30-2025'!A:W,MATCH($AI121,'Cutters Inventory 12-30-2025'!B:B,0),14),0)</f>
        <v>0</v>
      </c>
      <c r="AN121" s="19">
        <f>Table5[[#This Row],[INV. QTY]]-Table5[[#This Row],[Required For Braze Cutters Check]]</f>
        <v>0</v>
      </c>
      <c r="AO121" s="19" t="str">
        <f>IF($AN121&lt;0,Table5[[#This Row],[Component]],"")</f>
        <v/>
      </c>
      <c r="AT121">
        <f t="shared" si="29"/>
        <v>0</v>
      </c>
      <c r="AV121" s="573">
        <f t="shared" si="36"/>
        <v>0</v>
      </c>
      <c r="AW121">
        <f t="shared" si="35"/>
        <v>0</v>
      </c>
      <c r="AY121" t="str">
        <v>2027359M</v>
      </c>
      <c r="BA121">
        <f t="shared" si="33"/>
        <v>0</v>
      </c>
      <c r="BC121" s="159">
        <f>IFERROR(VLOOKUP(BA:BA,Table4[],8,FALSE),Table6[[#This Row],[Not Exist BOM''s]])</f>
        <v>0</v>
      </c>
    </row>
    <row r="122" spans="1:55" ht="24.75" customHeight="1" x14ac:dyDescent="0.3">
      <c r="A122" s="109">
        <v>20230342</v>
      </c>
      <c r="B122" s="709"/>
      <c r="C122" s="109">
        <v>14093069</v>
      </c>
      <c r="D122" s="109" t="s">
        <v>624</v>
      </c>
      <c r="E122" s="109" t="s">
        <v>275</v>
      </c>
      <c r="F122" s="109"/>
      <c r="G122" s="109"/>
      <c r="H122" s="140">
        <v>1158011</v>
      </c>
      <c r="I122" s="140">
        <v>1267829</v>
      </c>
      <c r="J122" s="26">
        <f>IF(H122&lt;&gt;"",IF(AND(C122&lt;&gt;"",IFERROR(MATCH(C122,Table10[Serial No.],0),0)),0,1),0)</f>
        <v>0</v>
      </c>
      <c r="K122" s="21"/>
      <c r="L122" s="539" t="str">
        <f t="shared" ca="1" si="28"/>
        <v/>
      </c>
      <c r="S122" s="617">
        <v>1160951</v>
      </c>
      <c r="T122" s="278">
        <v>6.125</v>
      </c>
      <c r="U122" s="278" t="s">
        <v>256</v>
      </c>
      <c r="V122" s="25">
        <v>3</v>
      </c>
      <c r="W122" s="284">
        <v>418525</v>
      </c>
      <c r="X122" s="19" t="str">
        <f>IFERROR(INDEX(Table14[],MATCH($W122,Table14[SAPNo],0),3),"")</f>
        <v>Drop In 1308 CT31   (B)</v>
      </c>
      <c r="Y122" s="284">
        <v>6</v>
      </c>
      <c r="Z122" s="25">
        <f t="shared" si="23"/>
        <v>6</v>
      </c>
      <c r="AA122" s="25">
        <f t="shared" si="24"/>
        <v>36</v>
      </c>
      <c r="AB122" s="23">
        <f ca="1">IFERROR(INDEX('Cutters Inventory 12-30-2025'!A:W,MATCH($W122,'Cutters Inventory 12-30-2025'!B:B,0),14),0)</f>
        <v>933</v>
      </c>
      <c r="AC122" s="23">
        <f>SUMIF(Table1[LEVEL 5 MAT NO.],S122,Table1[Braze Plan])</f>
        <v>0</v>
      </c>
      <c r="AD122" s="23">
        <f>Table4[[#This Row],[Quantity]]*Table4[[#This Row],[Bits Braze Plan]]</f>
        <v>0</v>
      </c>
      <c r="AE122" s="23">
        <f ca="1">Table4[[#This Row],[INV. QTY]]-Table4[[#This Row],[Required For Braze Cutters Check]]</f>
        <v>933</v>
      </c>
      <c r="AF122" s="23">
        <f t="shared" ca="1" si="25"/>
        <v>933</v>
      </c>
      <c r="AG122" s="23"/>
      <c r="AJ122" s="19">
        <f t="shared" si="34"/>
        <v>0</v>
      </c>
      <c r="AK122" s="19">
        <f>SUMIF(Table4[Component],AJ122,Table4[Qty of Cutters in these MATs])</f>
        <v>0</v>
      </c>
      <c r="AL122" s="19">
        <f>SUMIF(Table4[Component],AJ122,Table4[Required For Braze Cutters Check])</f>
        <v>0</v>
      </c>
      <c r="AM122" s="19">
        <f>IFERROR(INDEX('Cutters Inventory 12-30-2025'!A:W,MATCH($AI122,'Cutters Inventory 12-30-2025'!B:B,0),14),0)</f>
        <v>0</v>
      </c>
      <c r="AN122" s="19">
        <f>Table5[[#This Row],[INV. QTY]]-Table5[[#This Row],[Required For Braze Cutters Check]]</f>
        <v>0</v>
      </c>
      <c r="AO122" s="19" t="str">
        <f>IF($AN122&lt;0,Table5[[#This Row],[Component]],"")</f>
        <v/>
      </c>
      <c r="AT122">
        <f t="shared" si="29"/>
        <v>0</v>
      </c>
      <c r="AV122" s="573">
        <f t="shared" si="36"/>
        <v>0</v>
      </c>
      <c r="AW122">
        <f t="shared" si="35"/>
        <v>0</v>
      </c>
      <c r="AY122" t="str">
        <v>1160951M1</v>
      </c>
      <c r="BA122">
        <f t="shared" ref="BA122:BA153" si="37">IFERROR(AZ122,"")</f>
        <v>0</v>
      </c>
      <c r="BC122" s="159">
        <f>IFERROR(VLOOKUP(BA:BA,Table4[],8,FALSE),Table6[[#This Row],[Not Exist BOM''s]])</f>
        <v>0</v>
      </c>
    </row>
    <row r="123" spans="1:55" ht="24.75" customHeight="1" x14ac:dyDescent="0.3">
      <c r="A123" s="109">
        <v>20230342</v>
      </c>
      <c r="B123" s="709"/>
      <c r="C123" s="109">
        <v>14093070</v>
      </c>
      <c r="D123" s="109" t="s">
        <v>624</v>
      </c>
      <c r="E123" s="109" t="s">
        <v>275</v>
      </c>
      <c r="F123" s="109"/>
      <c r="G123" s="109"/>
      <c r="H123" s="140">
        <v>1158011</v>
      </c>
      <c r="I123" s="140">
        <v>1267829</v>
      </c>
      <c r="J123" s="26">
        <f>IF(H123&lt;&gt;"",IF(AND(C123&lt;&gt;"",IFERROR(MATCH(C123,Table10[Serial No.],0),0)),0,1),0)</f>
        <v>0</v>
      </c>
      <c r="K123" s="21"/>
      <c r="L123" s="539" t="str">
        <f t="shared" ca="1" si="28"/>
        <v/>
      </c>
      <c r="S123" s="617">
        <v>1160951</v>
      </c>
      <c r="T123" s="278">
        <v>6.125</v>
      </c>
      <c r="U123" s="278" t="s">
        <v>256</v>
      </c>
      <c r="V123" s="25">
        <v>4</v>
      </c>
      <c r="W123" s="284">
        <v>1101509</v>
      </c>
      <c r="X123" s="19" t="str">
        <f>IFERROR(INDEX(Table14[],MATCH($W123,Table14[SAPNo],0),3),"")</f>
        <v>Short IA 8    (C)</v>
      </c>
      <c r="Y123" s="284">
        <v>5</v>
      </c>
      <c r="Z123" s="25">
        <f t="shared" si="23"/>
        <v>6</v>
      </c>
      <c r="AA123" s="25">
        <f t="shared" si="24"/>
        <v>30</v>
      </c>
      <c r="AB123" s="23">
        <f ca="1">IFERROR(INDEX('Cutters Inventory 12-30-2025'!A:W,MATCH($W123,'Cutters Inventory 12-30-2025'!B:B,0),14),0)</f>
        <v>66</v>
      </c>
      <c r="AC123" s="23">
        <f>SUMIF(Table1[LEVEL 5 MAT NO.],S123,Table1[Braze Plan])</f>
        <v>0</v>
      </c>
      <c r="AD123" s="23">
        <f>Table4[[#This Row],[Quantity]]*Table4[[#This Row],[Bits Braze Plan]]</f>
        <v>0</v>
      </c>
      <c r="AE123" s="23">
        <f ca="1">Table4[[#This Row],[INV. QTY]]-Table4[[#This Row],[Required For Braze Cutters Check]]</f>
        <v>66</v>
      </c>
      <c r="AF123" s="23">
        <f t="shared" ca="1" si="25"/>
        <v>66</v>
      </c>
      <c r="AG123" s="23"/>
      <c r="AJ123" s="19">
        <f t="shared" si="34"/>
        <v>0</v>
      </c>
      <c r="AK123" s="19">
        <f>SUMIF(Table4[Component],AJ123,Table4[Qty of Cutters in these MATs])</f>
        <v>0</v>
      </c>
      <c r="AL123" s="19">
        <f>SUMIF(Table4[Component],AJ123,Table4[Required For Braze Cutters Check])</f>
        <v>0</v>
      </c>
      <c r="AM123" s="19">
        <f>IFERROR(INDEX('Cutters Inventory 12-30-2025'!A:W,MATCH($AI123,'Cutters Inventory 12-30-2025'!B:B,0),14),0)</f>
        <v>0</v>
      </c>
      <c r="AN123" s="19">
        <f>Table5[[#This Row],[INV. QTY]]-Table5[[#This Row],[Required For Braze Cutters Check]]</f>
        <v>0</v>
      </c>
      <c r="AO123" s="19" t="str">
        <f>IF($AN123&lt;0,Table5[[#This Row],[Component]],"")</f>
        <v/>
      </c>
      <c r="AT123">
        <f t="shared" si="29"/>
        <v>0</v>
      </c>
      <c r="AV123" s="573">
        <f t="shared" si="36"/>
        <v>0</v>
      </c>
      <c r="AW123">
        <f t="shared" si="35"/>
        <v>0</v>
      </c>
      <c r="AY123">
        <v>2020054</v>
      </c>
      <c r="BA123">
        <f t="shared" si="37"/>
        <v>0</v>
      </c>
      <c r="BC123" s="159">
        <f>IFERROR(VLOOKUP(BA:BA,Table4[],8,FALSE),Table6[[#This Row],[Not Exist BOM''s]])</f>
        <v>0</v>
      </c>
    </row>
    <row r="124" spans="1:55" ht="24.75" customHeight="1" x14ac:dyDescent="0.3">
      <c r="A124" s="109">
        <v>20230342</v>
      </c>
      <c r="B124" s="709"/>
      <c r="C124" s="109">
        <v>14093073</v>
      </c>
      <c r="D124" s="109" t="s">
        <v>624</v>
      </c>
      <c r="E124" s="109" t="s">
        <v>275</v>
      </c>
      <c r="F124" s="109"/>
      <c r="G124" s="109"/>
      <c r="H124" s="140">
        <v>1158011</v>
      </c>
      <c r="I124" s="140">
        <v>1267829</v>
      </c>
      <c r="J124" s="26">
        <f>IF(H124&lt;&gt;"",IF(AND(C124&lt;&gt;"",IFERROR(MATCH(C124,Table10[Serial No.],0),0)),0,1),0)</f>
        <v>0</v>
      </c>
      <c r="K124" s="21"/>
      <c r="L124" s="539" t="str">
        <f t="shared" ca="1" si="28"/>
        <v/>
      </c>
      <c r="S124" s="617">
        <v>1160951</v>
      </c>
      <c r="T124" s="278">
        <v>6.125</v>
      </c>
      <c r="U124" s="278" t="s">
        <v>256</v>
      </c>
      <c r="V124" s="25">
        <v>5</v>
      </c>
      <c r="W124" s="284">
        <v>1104083</v>
      </c>
      <c r="X124" s="19" t="str">
        <f>IFERROR(INDEX(Table14[],MATCH($W124,Table14[SAPNo],0),3),"")</f>
        <v>1313 CT144H  10C (S)</v>
      </c>
      <c r="Y124" s="284">
        <v>1</v>
      </c>
      <c r="Z124" s="25">
        <f t="shared" si="23"/>
        <v>6</v>
      </c>
      <c r="AA124" s="25">
        <f t="shared" si="24"/>
        <v>6</v>
      </c>
      <c r="AB124" s="23">
        <f ca="1">IFERROR(INDEX('Cutters Inventory 12-30-2025'!A:W,MATCH($W124,'Cutters Inventory 12-30-2025'!B:B,0),14),0)</f>
        <v>2</v>
      </c>
      <c r="AC124" s="23">
        <f>SUMIF(Table1[LEVEL 5 MAT NO.],S124,Table1[Braze Plan])</f>
        <v>0</v>
      </c>
      <c r="AD124" s="23">
        <f>Table4[[#This Row],[Quantity]]*Table4[[#This Row],[Bits Braze Plan]]</f>
        <v>0</v>
      </c>
      <c r="AE124" s="23">
        <f ca="1">Table4[[#This Row],[INV. QTY]]-Table4[[#This Row],[Required For Braze Cutters Check]]</f>
        <v>2</v>
      </c>
      <c r="AF124" s="23">
        <f t="shared" ca="1" si="25"/>
        <v>2</v>
      </c>
      <c r="AG124" s="23"/>
      <c r="AJ124" s="19">
        <f t="shared" si="34"/>
        <v>0</v>
      </c>
      <c r="AK124" s="19">
        <f>SUMIF(Table4[Component],AJ124,Table4[Qty of Cutters in these MATs])</f>
        <v>0</v>
      </c>
      <c r="AL124" s="19">
        <f>SUMIF(Table4[Component],AJ124,Table4[Required For Braze Cutters Check])</f>
        <v>0</v>
      </c>
      <c r="AM124" s="19">
        <f>IFERROR(INDEX('Cutters Inventory 12-30-2025'!A:W,MATCH($AI124,'Cutters Inventory 12-30-2025'!B:B,0),14),0)</f>
        <v>0</v>
      </c>
      <c r="AN124" s="19">
        <f>Table5[[#This Row],[INV. QTY]]-Table5[[#This Row],[Required For Braze Cutters Check]]</f>
        <v>0</v>
      </c>
      <c r="AO124" s="19" t="str">
        <f>IF($AN124&lt;0,Table5[[#This Row],[Component]],"")</f>
        <v/>
      </c>
      <c r="AT124">
        <f t="shared" si="29"/>
        <v>0</v>
      </c>
      <c r="AV124" s="573">
        <f t="shared" si="36"/>
        <v>0</v>
      </c>
      <c r="AW124">
        <f t="shared" si="35"/>
        <v>0</v>
      </c>
      <c r="AY124" t="str">
        <v>2019414M</v>
      </c>
      <c r="BA124">
        <f t="shared" si="37"/>
        <v>0</v>
      </c>
      <c r="BC124" s="159">
        <f>IFERROR(VLOOKUP(BA:BA,Table4[],8,FALSE),Table6[[#This Row],[Not Exist BOM''s]])</f>
        <v>0</v>
      </c>
    </row>
    <row r="125" spans="1:55" ht="24.75" customHeight="1" x14ac:dyDescent="0.3">
      <c r="A125" s="109">
        <v>20230342</v>
      </c>
      <c r="B125" s="709"/>
      <c r="C125" s="109">
        <v>14093072</v>
      </c>
      <c r="D125" s="109" t="s">
        <v>624</v>
      </c>
      <c r="E125" s="109" t="s">
        <v>275</v>
      </c>
      <c r="F125" s="109"/>
      <c r="G125" s="109"/>
      <c r="H125" s="140">
        <v>1158011</v>
      </c>
      <c r="I125" s="140">
        <v>1267829</v>
      </c>
      <c r="J125" s="26">
        <f>IF(H125&lt;&gt;"",IF(AND(C125&lt;&gt;"",IFERROR(MATCH(C125,Table10[Serial No.],0),0)),0,1),0)</f>
        <v>0</v>
      </c>
      <c r="K125" s="21"/>
      <c r="L125" s="539" t="str">
        <f t="shared" ca="1" si="28"/>
        <v/>
      </c>
      <c r="S125" s="281">
        <v>1174282</v>
      </c>
      <c r="T125" s="278" t="s">
        <v>309</v>
      </c>
      <c r="U125" s="278" t="s">
        <v>653</v>
      </c>
      <c r="V125" s="25">
        <v>1</v>
      </c>
      <c r="W125" s="284">
        <v>1146346</v>
      </c>
      <c r="X125" s="618" t="str">
        <f>IFERROR(INDEX(Table14[],MATCH($W125,Table14[SAPNo],0),3),"")</f>
        <v>1313 CT418 18-60</v>
      </c>
      <c r="Y125" s="284">
        <v>23</v>
      </c>
      <c r="Z125" s="25">
        <f t="shared" si="23"/>
        <v>0</v>
      </c>
      <c r="AA125" s="25">
        <f t="shared" si="24"/>
        <v>0</v>
      </c>
      <c r="AB125" s="23">
        <f ca="1">IFERROR(INDEX('Cutters Inventory 12-30-2025'!A:W,MATCH($W125,'Cutters Inventory 12-30-2025'!B:B,0),14),0)</f>
        <v>558</v>
      </c>
      <c r="AC125" s="23">
        <f>SUMIF(Table1[LEVEL 5 MAT NO.],S125,Table1[Braze Plan])</f>
        <v>0</v>
      </c>
      <c r="AD125" s="23">
        <f>Table4[[#This Row],[Quantity]]*Table4[[#This Row],[Bits Braze Plan]]</f>
        <v>0</v>
      </c>
      <c r="AE125" s="23">
        <f ca="1">Table4[[#This Row],[INV. QTY]]-Table4[[#This Row],[Required For Braze Cutters Check]]</f>
        <v>558</v>
      </c>
      <c r="AF125" s="23">
        <f t="shared" ca="1" si="25"/>
        <v>558</v>
      </c>
      <c r="AG125" s="625" t="s">
        <v>658</v>
      </c>
      <c r="AJ125" s="19">
        <f t="shared" si="34"/>
        <v>0</v>
      </c>
      <c r="AK125" s="19">
        <f>SUMIF(Table4[Component],AJ125,Table4[Qty of Cutters in these MATs])</f>
        <v>0</v>
      </c>
      <c r="AL125" s="19">
        <f>SUMIF(Table4[Component],AJ125,Table4[Required For Braze Cutters Check])</f>
        <v>0</v>
      </c>
      <c r="AM125" s="19">
        <f>IFERROR(INDEX('Cutters Inventory 12-30-2025'!A:W,MATCH($AI125,'Cutters Inventory 12-30-2025'!B:B,0),14),0)</f>
        <v>0</v>
      </c>
      <c r="AN125" s="19">
        <f>Table5[[#This Row],[INV. QTY]]-Table5[[#This Row],[Required For Braze Cutters Check]]</f>
        <v>0</v>
      </c>
      <c r="AO125" s="19" t="str">
        <f>IF($AN125&lt;0,Table5[[#This Row],[Component]],"")</f>
        <v/>
      </c>
      <c r="AT125">
        <f t="shared" si="29"/>
        <v>0</v>
      </c>
      <c r="AV125" s="573">
        <f t="shared" si="36"/>
        <v>0</v>
      </c>
      <c r="AW125">
        <f t="shared" si="35"/>
        <v>0</v>
      </c>
      <c r="AY125" t="str">
        <v>2028159M</v>
      </c>
      <c r="BA125">
        <f t="shared" si="37"/>
        <v>0</v>
      </c>
      <c r="BC125" s="159">
        <f>IFERROR(VLOOKUP(BA:BA,Table4[],8,FALSE),Table6[[#This Row],[Not Exist BOM''s]])</f>
        <v>0</v>
      </c>
    </row>
    <row r="126" spans="1:55" ht="24.75" customHeight="1" x14ac:dyDescent="0.3">
      <c r="A126" s="109">
        <v>20230342</v>
      </c>
      <c r="B126" s="709"/>
      <c r="C126" s="109">
        <v>14093071</v>
      </c>
      <c r="D126" s="109" t="s">
        <v>624</v>
      </c>
      <c r="E126" s="109" t="s">
        <v>275</v>
      </c>
      <c r="F126" s="109"/>
      <c r="G126" s="109"/>
      <c r="H126" s="140">
        <v>1158011</v>
      </c>
      <c r="I126" s="140">
        <v>1267829</v>
      </c>
      <c r="J126" s="26">
        <f>IF(H126&lt;&gt;"",IF(AND(C126&lt;&gt;"",IFERROR(MATCH(C126,Table10[Serial No.],0),0)),0,1),0)</f>
        <v>0</v>
      </c>
      <c r="K126" s="21"/>
      <c r="L126" s="539" t="str">
        <f t="shared" ca="1" si="28"/>
        <v/>
      </c>
      <c r="S126" s="281">
        <v>1174282</v>
      </c>
      <c r="T126" s="278" t="s">
        <v>309</v>
      </c>
      <c r="U126" s="278" t="s">
        <v>653</v>
      </c>
      <c r="V126" s="25">
        <v>2</v>
      </c>
      <c r="W126" s="284">
        <v>418525</v>
      </c>
      <c r="X126" s="19" t="str">
        <f>IFERROR(INDEX(Table14[],MATCH($W126,Table14[SAPNo],0),3),"")</f>
        <v>Drop In 1308 CT31   (B)</v>
      </c>
      <c r="Y126" s="284">
        <v>10</v>
      </c>
      <c r="Z126" s="25">
        <f t="shared" si="23"/>
        <v>0</v>
      </c>
      <c r="AA126" s="25">
        <f t="shared" si="24"/>
        <v>0</v>
      </c>
      <c r="AB126" s="23">
        <f ca="1">IFERROR(INDEX('Cutters Inventory 12-30-2025'!A:W,MATCH($W126,'Cutters Inventory 12-30-2025'!B:B,0),14),0)</f>
        <v>933</v>
      </c>
      <c r="AC126" s="23">
        <f>SUMIF(Table1[LEVEL 5 MAT NO.],S126,Table1[Braze Plan])</f>
        <v>0</v>
      </c>
      <c r="AD126" s="23">
        <f>Table4[[#This Row],[Quantity]]*Table4[[#This Row],[Bits Braze Plan]]</f>
        <v>0</v>
      </c>
      <c r="AE126" s="23">
        <f ca="1">Table4[[#This Row],[INV. QTY]]-Table4[[#This Row],[Required For Braze Cutters Check]]</f>
        <v>933</v>
      </c>
      <c r="AF126" s="23">
        <f t="shared" ca="1" si="25"/>
        <v>933</v>
      </c>
      <c r="AG126" s="23"/>
      <c r="AJ126" s="19">
        <f t="shared" si="34"/>
        <v>0</v>
      </c>
      <c r="AK126" s="19">
        <f>SUMIF(Table4[Component],AJ126,Table4[Qty of Cutters in these MATs])</f>
        <v>0</v>
      </c>
      <c r="AL126" s="19">
        <f>SUMIF(Table4[Component],AJ126,Table4[Required For Braze Cutters Check])</f>
        <v>0</v>
      </c>
      <c r="AM126" s="19">
        <f>IFERROR(INDEX('Cutters Inventory 12-30-2025'!A:W,MATCH($AI126,'Cutters Inventory 12-30-2025'!B:B,0),14),0)</f>
        <v>0</v>
      </c>
      <c r="AN126" s="19">
        <f>Table5[[#This Row],[INV. QTY]]-Table5[[#This Row],[Required For Braze Cutters Check]]</f>
        <v>0</v>
      </c>
      <c r="AO126" s="19" t="str">
        <f>IF($AN126&lt;0,Table5[[#This Row],[Component]],"")</f>
        <v/>
      </c>
      <c r="AT126">
        <f t="shared" si="29"/>
        <v>0</v>
      </c>
      <c r="AV126" s="573">
        <f t="shared" si="36"/>
        <v>0</v>
      </c>
      <c r="AW126">
        <f t="shared" si="35"/>
        <v>0</v>
      </c>
      <c r="AY126" t="str">
        <v>2021067M</v>
      </c>
      <c r="BA126">
        <f t="shared" si="37"/>
        <v>0</v>
      </c>
      <c r="BC126" s="159">
        <f>IFERROR(VLOOKUP(BA:BA,Table4[],8,FALSE),Table6[[#This Row],[Not Exist BOM''s]])</f>
        <v>0</v>
      </c>
    </row>
    <row r="127" spans="1:55" ht="24.75" customHeight="1" x14ac:dyDescent="0.3">
      <c r="A127" s="109">
        <v>20230342</v>
      </c>
      <c r="B127" s="709"/>
      <c r="C127" s="109">
        <v>14093074</v>
      </c>
      <c r="D127" s="109" t="s">
        <v>315</v>
      </c>
      <c r="E127" s="109" t="s">
        <v>286</v>
      </c>
      <c r="F127" s="109"/>
      <c r="G127" s="109" t="s">
        <v>659</v>
      </c>
      <c r="H127" s="140">
        <v>1245350</v>
      </c>
      <c r="I127" s="140">
        <v>1269308</v>
      </c>
      <c r="J127" s="26">
        <f>IF(H127&lt;&gt;"",IF(AND(C127&lt;&gt;"",IFERROR(MATCH(C127,Table10[Serial No.],0),0)),0,1),0)</f>
        <v>0</v>
      </c>
      <c r="K127" s="21"/>
      <c r="L127" s="539" t="str">
        <f t="shared" ca="1" si="28"/>
        <v/>
      </c>
      <c r="S127" s="281">
        <v>1176003</v>
      </c>
      <c r="T127" s="278" t="s">
        <v>315</v>
      </c>
      <c r="U127" s="278" t="s">
        <v>660</v>
      </c>
      <c r="V127" s="25">
        <v>1</v>
      </c>
      <c r="W127" s="619">
        <v>1288783</v>
      </c>
      <c r="X127" s="618" t="str">
        <f>IFERROR(INDEX(Table14[],MATCH($W127,Table14[SAPNo],0),3),"")</f>
        <v>1613 CT179 18-60</v>
      </c>
      <c r="Y127" s="284">
        <v>32</v>
      </c>
      <c r="Z127" s="25">
        <f t="shared" si="23"/>
        <v>2</v>
      </c>
      <c r="AA127" s="25">
        <f t="shared" si="24"/>
        <v>64</v>
      </c>
      <c r="AB127" s="23">
        <f ca="1">IFERROR(INDEX('Cutters Inventory 12-30-2025'!A:W,MATCH($W127,'Cutters Inventory 12-30-2025'!B:B,0),14),0)</f>
        <v>813</v>
      </c>
      <c r="AC127" s="23">
        <f>SUMIF(Table1[LEVEL 5 MAT NO.],S127,Table1[Braze Plan])</f>
        <v>0</v>
      </c>
      <c r="AD127" s="23">
        <f>Table4[[#This Row],[Quantity]]*Table4[[#This Row],[Bits Braze Plan]]</f>
        <v>0</v>
      </c>
      <c r="AE127" s="23">
        <f ca="1">Table4[[#This Row],[INV. QTY]]-Table4[[#This Row],[Required For Braze Cutters Check]]</f>
        <v>813</v>
      </c>
      <c r="AF127" s="23">
        <f t="shared" ca="1" si="25"/>
        <v>813</v>
      </c>
      <c r="AG127" s="625" t="s">
        <v>661</v>
      </c>
      <c r="AJ127" s="19">
        <f t="shared" si="34"/>
        <v>0</v>
      </c>
      <c r="AK127" s="19">
        <f>SUMIF(Table4[Component],AJ127,Table4[Qty of Cutters in these MATs])</f>
        <v>0</v>
      </c>
      <c r="AL127" s="19">
        <f>SUMIF(Table4[Component],AJ127,Table4[Required For Braze Cutters Check])</f>
        <v>0</v>
      </c>
      <c r="AM127" s="19">
        <f>IFERROR(INDEX('Cutters Inventory 12-30-2025'!A:W,MATCH($AI127,'Cutters Inventory 12-30-2025'!B:B,0),14),0)</f>
        <v>0</v>
      </c>
      <c r="AN127" s="19">
        <f>Table5[[#This Row],[INV. QTY]]-Table5[[#This Row],[Required For Braze Cutters Check]]</f>
        <v>0</v>
      </c>
      <c r="AO127" s="19" t="str">
        <f>IF($AN127&lt;0,Table5[[#This Row],[Component]],"")</f>
        <v/>
      </c>
      <c r="AT127">
        <f t="shared" si="29"/>
        <v>0</v>
      </c>
      <c r="AV127" s="573">
        <f t="shared" si="36"/>
        <v>0</v>
      </c>
      <c r="AW127">
        <f t="shared" si="35"/>
        <v>0</v>
      </c>
      <c r="AY127" t="str">
        <v>2030214M</v>
      </c>
      <c r="BA127">
        <f t="shared" si="37"/>
        <v>0</v>
      </c>
      <c r="BC127" s="159">
        <f>IFERROR(VLOOKUP(BA:BA,Table4[],8,FALSE),Table6[[#This Row],[Not Exist BOM''s]])</f>
        <v>0</v>
      </c>
    </row>
    <row r="128" spans="1:55" ht="24.75" customHeight="1" x14ac:dyDescent="0.3">
      <c r="A128" s="109">
        <v>20230342</v>
      </c>
      <c r="B128" s="709"/>
      <c r="C128" s="109">
        <v>14093075</v>
      </c>
      <c r="D128" s="109" t="s">
        <v>315</v>
      </c>
      <c r="E128" s="109" t="s">
        <v>286</v>
      </c>
      <c r="F128" s="109"/>
      <c r="G128" s="109" t="s">
        <v>659</v>
      </c>
      <c r="H128" s="140">
        <v>1245350</v>
      </c>
      <c r="I128" s="140">
        <v>1269308</v>
      </c>
      <c r="J128" s="26">
        <f>IF(H128&lt;&gt;"",IF(AND(C128&lt;&gt;"",IFERROR(MATCH(C128,Table10[Serial No.],0),0)),0,1),0)</f>
        <v>0</v>
      </c>
      <c r="K128" s="21"/>
      <c r="L128" s="539" t="str">
        <f t="shared" ca="1" si="28"/>
        <v/>
      </c>
      <c r="S128" s="281">
        <v>1176003</v>
      </c>
      <c r="T128" s="278" t="s">
        <v>315</v>
      </c>
      <c r="U128" s="278" t="s">
        <v>660</v>
      </c>
      <c r="V128" s="25">
        <v>2</v>
      </c>
      <c r="W128" s="284">
        <v>1126402</v>
      </c>
      <c r="X128" s="19" t="str">
        <f>IFERROR(INDEX(Table14[],MATCH($W128,Table14[SAPNo],0),3),"")</f>
        <v>1613 CT421 16-60</v>
      </c>
      <c r="Y128" s="284">
        <v>22</v>
      </c>
      <c r="Z128" s="25">
        <f t="shared" si="23"/>
        <v>2</v>
      </c>
      <c r="AA128" s="25">
        <f t="shared" si="24"/>
        <v>44</v>
      </c>
      <c r="AB128" s="23">
        <f ca="1">IFERROR(INDEX('Cutters Inventory 12-30-2025'!A:W,MATCH($W128,'Cutters Inventory 12-30-2025'!B:B,0),14),0)</f>
        <v>422</v>
      </c>
      <c r="AC128" s="23">
        <f>SUMIF(Table1[LEVEL 5 MAT NO.],S128,Table1[Braze Plan])</f>
        <v>0</v>
      </c>
      <c r="AD128" s="23">
        <f>Table4[[#This Row],[Quantity]]*Table4[[#This Row],[Bits Braze Plan]]</f>
        <v>0</v>
      </c>
      <c r="AE128" s="23">
        <f ca="1">Table4[[#This Row],[INV. QTY]]-Table4[[#This Row],[Required For Braze Cutters Check]]</f>
        <v>422</v>
      </c>
      <c r="AF128" s="23">
        <f t="shared" ca="1" si="25"/>
        <v>422</v>
      </c>
      <c r="AG128" s="23"/>
      <c r="AJ128" s="19">
        <f t="shared" si="34"/>
        <v>0</v>
      </c>
      <c r="AK128" s="19">
        <f>SUMIF(Table4[Component],AJ128,Table4[Qty of Cutters in these MATs])</f>
        <v>0</v>
      </c>
      <c r="AL128" s="19">
        <f>SUMIF(Table4[Component],AJ128,Table4[Required For Braze Cutters Check])</f>
        <v>0</v>
      </c>
      <c r="AM128" s="19">
        <f>IFERROR(INDEX('Cutters Inventory 12-30-2025'!A:W,MATCH($AI128,'Cutters Inventory 12-30-2025'!B:B,0),14),0)</f>
        <v>0</v>
      </c>
      <c r="AN128" s="19">
        <f>Table5[[#This Row],[INV. QTY]]-Table5[[#This Row],[Required For Braze Cutters Check]]</f>
        <v>0</v>
      </c>
      <c r="AO128" s="19" t="str">
        <f>IF($AN128&lt;0,Table5[[#This Row],[Component]],"")</f>
        <v/>
      </c>
      <c r="AT128">
        <f t="shared" si="29"/>
        <v>0</v>
      </c>
      <c r="AV128" s="573">
        <f t="shared" si="36"/>
        <v>0</v>
      </c>
      <c r="AW128">
        <f t="shared" si="35"/>
        <v>0</v>
      </c>
      <c r="AY128" t="str">
        <v>2022829M</v>
      </c>
      <c r="BA128">
        <f t="shared" si="37"/>
        <v>0</v>
      </c>
      <c r="BC128" s="159">
        <f>IFERROR(VLOOKUP(BA:BA,Table4[],8,FALSE),Table6[[#This Row],[Not Exist BOM''s]])</f>
        <v>0</v>
      </c>
    </row>
    <row r="129" spans="1:55" ht="24.75" customHeight="1" x14ac:dyDescent="0.25">
      <c r="A129" s="109">
        <v>20230342</v>
      </c>
      <c r="B129" s="709"/>
      <c r="C129" s="109">
        <v>14093076</v>
      </c>
      <c r="D129" s="109" t="s">
        <v>315</v>
      </c>
      <c r="E129" s="109" t="s">
        <v>286</v>
      </c>
      <c r="F129" s="109"/>
      <c r="G129" s="109" t="s">
        <v>659</v>
      </c>
      <c r="H129" s="140">
        <v>1245350</v>
      </c>
      <c r="I129" s="140">
        <v>1269308</v>
      </c>
      <c r="J129" s="26">
        <f>IF(H129&lt;&gt;"",IF(AND(C129&lt;&gt;"",IFERROR(MATCH(C129,Table10[Serial No.],0),0)),0,1),0)</f>
        <v>0</v>
      </c>
      <c r="K129" s="21"/>
      <c r="L129" s="539" t="str">
        <f t="shared" ca="1" si="28"/>
        <v/>
      </c>
      <c r="S129" s="281">
        <v>1176003</v>
      </c>
      <c r="T129" s="278" t="s">
        <v>315</v>
      </c>
      <c r="U129" s="278" t="s">
        <v>660</v>
      </c>
      <c r="V129" s="25">
        <v>3</v>
      </c>
      <c r="W129" s="284">
        <v>871781</v>
      </c>
      <c r="X129" s="19" t="str">
        <f>IFERROR(INDEX(Table14[],MATCH($W129,Table14[SAPNo],0),3),"")</f>
        <v>Round 1313 CT200  0.018" (B)</v>
      </c>
      <c r="Y129" s="284">
        <v>7</v>
      </c>
      <c r="Z129" s="25">
        <f t="shared" si="23"/>
        <v>2</v>
      </c>
      <c r="AA129" s="25">
        <f t="shared" si="24"/>
        <v>14</v>
      </c>
      <c r="AB129" s="23">
        <f ca="1">IFERROR(INDEX('Cutters Inventory 12-30-2025'!A:W,MATCH($W129,'Cutters Inventory 12-30-2025'!B:B,0),14),0)</f>
        <v>843</v>
      </c>
      <c r="AC129" s="23">
        <f>SUMIF(Table1[LEVEL 5 MAT NO.],S129,Table1[Braze Plan])</f>
        <v>0</v>
      </c>
      <c r="AD129" s="23">
        <f>Table4[[#This Row],[Quantity]]*Table4[[#This Row],[Bits Braze Plan]]</f>
        <v>0</v>
      </c>
      <c r="AE129" s="23">
        <f ca="1">Table4[[#This Row],[INV. QTY]]-Table4[[#This Row],[Required For Braze Cutters Check]]</f>
        <v>843</v>
      </c>
      <c r="AF129" s="23">
        <f t="shared" ca="1" si="25"/>
        <v>843</v>
      </c>
      <c r="AG129" s="23"/>
      <c r="AJ129" s="19">
        <f t="shared" ref="AJ129:AJ145" si="38">IFERROR(AI129,"")</f>
        <v>0</v>
      </c>
      <c r="AK129" s="19">
        <f>SUMIF(Table4[Component],AJ129,Table4[Qty of Cutters in these MATs])</f>
        <v>0</v>
      </c>
      <c r="AL129" s="19">
        <f>SUMIF(Table4[Component],AJ129,Table4[Required For Braze Cutters Check])</f>
        <v>0</v>
      </c>
      <c r="AM129" s="19">
        <f>IFERROR(INDEX('Cutters Inventory 12-30-2025'!A:W,MATCH($AI129,'Cutters Inventory 12-30-2025'!B:B,0),14),0)</f>
        <v>0</v>
      </c>
      <c r="AN129" s="19">
        <f>Table5[[#This Row],[INV. QTY]]-Table5[[#This Row],[Required For Braze Cutters Check]]</f>
        <v>0</v>
      </c>
      <c r="AO129" s="19" t="str">
        <f>IF($AN129&lt;0,Table5[[#This Row],[Component]],"")</f>
        <v/>
      </c>
      <c r="AT129">
        <f t="shared" si="29"/>
        <v>0</v>
      </c>
      <c r="BA129">
        <f t="shared" si="37"/>
        <v>0</v>
      </c>
      <c r="BC129" s="159">
        <f>IFERROR(VLOOKUP(BA:BA,Table4[],8,FALSE),Table6[[#This Row],[Not Exist BOM''s]])</f>
        <v>0</v>
      </c>
    </row>
    <row r="130" spans="1:55" ht="24.75" customHeight="1" x14ac:dyDescent="0.25">
      <c r="A130" s="109">
        <v>20230342</v>
      </c>
      <c r="B130" s="709"/>
      <c r="C130" s="109">
        <v>14093081</v>
      </c>
      <c r="D130" s="109" t="s">
        <v>315</v>
      </c>
      <c r="E130" s="109" t="s">
        <v>284</v>
      </c>
      <c r="F130" s="109"/>
      <c r="G130" s="109" t="s">
        <v>659</v>
      </c>
      <c r="H130" s="140">
        <v>1234376</v>
      </c>
      <c r="I130" s="140">
        <v>1249569</v>
      </c>
      <c r="J130" s="26">
        <f>IF(H130&lt;&gt;"",IF(AND(C130&lt;&gt;"",IFERROR(MATCH(C130,Table10[Serial No.],0),0)),0,1),0)</f>
        <v>0</v>
      </c>
      <c r="K130" s="21"/>
      <c r="L130" s="539" t="str">
        <f t="shared" ca="1" si="28"/>
        <v/>
      </c>
      <c r="S130" s="281">
        <v>1176003</v>
      </c>
      <c r="T130" s="278" t="s">
        <v>315</v>
      </c>
      <c r="U130" s="278" t="s">
        <v>660</v>
      </c>
      <c r="V130" s="25">
        <v>4</v>
      </c>
      <c r="W130" s="284">
        <v>1100753</v>
      </c>
      <c r="X130" s="19" t="str">
        <f>IFERROR(INDEX(Table14[],MATCH($W130,Table14[SAPNo],0),3),"")</f>
        <v>1608 18C CT421</v>
      </c>
      <c r="Y130" s="284">
        <v>6</v>
      </c>
      <c r="Z130" s="25">
        <f t="shared" si="23"/>
        <v>2</v>
      </c>
      <c r="AA130" s="25">
        <f t="shared" si="24"/>
        <v>12</v>
      </c>
      <c r="AB130" s="23">
        <f ca="1">IFERROR(INDEX('Cutters Inventory 12-30-2025'!A:W,MATCH($W130,'Cutters Inventory 12-30-2025'!B:B,0),14),0)</f>
        <v>29</v>
      </c>
      <c r="AC130" s="23">
        <f>SUMIF(Table1[LEVEL 5 MAT NO.],S130,Table1[Braze Plan])</f>
        <v>0</v>
      </c>
      <c r="AD130" s="23">
        <f>Table4[[#This Row],[Quantity]]*Table4[[#This Row],[Bits Braze Plan]]</f>
        <v>0</v>
      </c>
      <c r="AE130" s="23">
        <f ca="1">Table4[[#This Row],[INV. QTY]]-Table4[[#This Row],[Required For Braze Cutters Check]]</f>
        <v>29</v>
      </c>
      <c r="AF130" s="23">
        <f t="shared" ref="AF130:AF193" ca="1" si="39">IFERROR(INDEX($AJ$2:$AO$136,MATCH($W130,$AJ$2:$AJ$136,0),5),0)</f>
        <v>29</v>
      </c>
      <c r="AG130" s="23"/>
      <c r="AJ130" s="19">
        <f t="shared" si="38"/>
        <v>0</v>
      </c>
      <c r="AK130" s="19">
        <f>SUMIF(Table4[Component],AJ130,Table4[Qty of Cutters in these MATs])</f>
        <v>0</v>
      </c>
      <c r="AL130" s="19">
        <f>SUMIF(Table4[Component],AJ130,Table4[Required For Braze Cutters Check])</f>
        <v>0</v>
      </c>
      <c r="AM130" s="19">
        <f>IFERROR(INDEX('Cutters Inventory 12-30-2025'!A:W,MATCH($AI130,'Cutters Inventory 12-30-2025'!B:B,0),14),0)</f>
        <v>0</v>
      </c>
      <c r="AN130" s="19">
        <f>Table5[[#This Row],[INV. QTY]]-Table5[[#This Row],[Required For Braze Cutters Check]]</f>
        <v>0</v>
      </c>
      <c r="AO130" s="19" t="str">
        <f>IF($AN130&lt;0,Table5[[#This Row],[Component]],"")</f>
        <v/>
      </c>
      <c r="AT130">
        <f t="shared" si="29"/>
        <v>0</v>
      </c>
      <c r="BA130">
        <f t="shared" si="37"/>
        <v>0</v>
      </c>
      <c r="BC130" s="159">
        <f>IFERROR(VLOOKUP(BA:BA,Table4[],8,FALSE),Table6[[#This Row],[Not Exist BOM''s]])</f>
        <v>0</v>
      </c>
    </row>
    <row r="131" spans="1:55" ht="24.75" customHeight="1" x14ac:dyDescent="0.25">
      <c r="A131" s="109">
        <v>20230342</v>
      </c>
      <c r="B131" s="709"/>
      <c r="C131" s="109">
        <v>14093080</v>
      </c>
      <c r="D131" s="109" t="s">
        <v>315</v>
      </c>
      <c r="E131" s="109" t="s">
        <v>284</v>
      </c>
      <c r="F131" s="109"/>
      <c r="G131" s="109" t="s">
        <v>659</v>
      </c>
      <c r="H131" s="140">
        <v>1234376</v>
      </c>
      <c r="I131" s="140">
        <v>1249569</v>
      </c>
      <c r="J131" s="26">
        <f>IF(H131&lt;&gt;"",IF(AND(C131&lt;&gt;"",IFERROR(MATCH(C131,Table10[Serial No.],0),0)),0,1),0)</f>
        <v>0</v>
      </c>
      <c r="K131" s="21"/>
      <c r="L131" s="539" t="str">
        <f t="shared" ref="L131:L194" ca="1" si="40">IFERROR(INDEX($O$2:$Q$57,MATCH($I131,$O$2:$O$93,0),3),"")</f>
        <v/>
      </c>
      <c r="S131" s="281">
        <v>1268728</v>
      </c>
      <c r="T131" s="278" t="s">
        <v>316</v>
      </c>
      <c r="U131" s="278" t="s">
        <v>290</v>
      </c>
      <c r="V131" s="25">
        <v>3</v>
      </c>
      <c r="W131" s="284">
        <v>1146737</v>
      </c>
      <c r="X131" s="19" t="str">
        <f>IFERROR(INDEX(Table14[],MATCH($W131,Table14[SAPNo],0),3),"")</f>
        <v>1613 CT418 18-60</v>
      </c>
      <c r="Y131" s="284">
        <v>39</v>
      </c>
      <c r="Z131" s="25">
        <f t="shared" ref="Z131:Z162" si="41">IFERROR(INDEX($O$2:$P$400,MATCH($S131,$O$2:$O$93,0),2),0)</f>
        <v>5</v>
      </c>
      <c r="AA131" s="25">
        <f t="shared" ref="AA131:AA194" si="42">Y131*Z131</f>
        <v>195</v>
      </c>
      <c r="AB131" s="23">
        <f ca="1">IFERROR(INDEX('Cutters Inventory 12-30-2025'!A:W,MATCH($W131,'Cutters Inventory 12-30-2025'!B:B,0),14),0)</f>
        <v>1281</v>
      </c>
      <c r="AC131" s="23">
        <f>SUMIF(Table1[LEVEL 5 MAT NO.],S131,Table1[Braze Plan])</f>
        <v>0</v>
      </c>
      <c r="AD131" s="23">
        <f>Table4[[#This Row],[Quantity]]*Table4[[#This Row],[Bits Braze Plan]]</f>
        <v>0</v>
      </c>
      <c r="AE131" s="23">
        <f ca="1">Table4[[#This Row],[INV. QTY]]-Table4[[#This Row],[Required For Braze Cutters Check]]</f>
        <v>1281</v>
      </c>
      <c r="AF131" s="23">
        <f t="shared" ca="1" si="39"/>
        <v>1281</v>
      </c>
      <c r="AG131" s="23"/>
      <c r="AJ131" s="19">
        <f t="shared" si="38"/>
        <v>0</v>
      </c>
      <c r="AK131" s="19">
        <f>SUMIF(Table4[Component],AJ131,Table4[Qty of Cutters in these MATs])</f>
        <v>0</v>
      </c>
      <c r="AL131" s="19">
        <f>SUMIF(Table4[Component],AJ131,Table4[Required For Braze Cutters Check])</f>
        <v>0</v>
      </c>
      <c r="AM131" s="19">
        <f>IFERROR(INDEX('Cutters Inventory 12-30-2025'!A:W,MATCH($AI131,'Cutters Inventory 12-30-2025'!B:B,0),14),0)</f>
        <v>0</v>
      </c>
      <c r="AN131" s="19">
        <f>Table5[[#This Row],[INV. QTY]]-Table5[[#This Row],[Required For Braze Cutters Check]]</f>
        <v>0</v>
      </c>
      <c r="AO131" s="19" t="str">
        <f>IF($AN131&lt;0,Table5[[#This Row],[Component]],"")</f>
        <v/>
      </c>
      <c r="AT131">
        <f t="shared" ref="AT131:AT149" si="43">IFERROR(AS131,"")</f>
        <v>0</v>
      </c>
      <c r="BA131">
        <f t="shared" si="37"/>
        <v>0</v>
      </c>
      <c r="BC131" s="159">
        <f>IFERROR(VLOOKUP(BA:BA,Table4[],8,FALSE),Table6[[#This Row],[Not Exist BOM''s]])</f>
        <v>0</v>
      </c>
    </row>
    <row r="132" spans="1:55" ht="24.75" customHeight="1" x14ac:dyDescent="0.25">
      <c r="A132" s="109">
        <v>20230342</v>
      </c>
      <c r="B132" s="709"/>
      <c r="C132" s="109">
        <v>14093077</v>
      </c>
      <c r="D132" s="109" t="s">
        <v>315</v>
      </c>
      <c r="E132" s="109" t="s">
        <v>284</v>
      </c>
      <c r="F132" s="109"/>
      <c r="G132" s="109" t="s">
        <v>659</v>
      </c>
      <c r="H132" s="140">
        <v>1234376</v>
      </c>
      <c r="I132" s="140">
        <v>1249569</v>
      </c>
      <c r="J132" s="26">
        <f>IF(H132&lt;&gt;"",IF(AND(C132&lt;&gt;"",IFERROR(MATCH(C132,Table10[Serial No.],0),0)),0,1),0)</f>
        <v>0</v>
      </c>
      <c r="K132" s="21"/>
      <c r="L132" s="539" t="str">
        <f t="shared" ca="1" si="40"/>
        <v/>
      </c>
      <c r="S132" s="281">
        <v>1176003</v>
      </c>
      <c r="T132" s="278" t="s">
        <v>315</v>
      </c>
      <c r="U132" s="278" t="s">
        <v>660</v>
      </c>
      <c r="V132" s="25">
        <v>6</v>
      </c>
      <c r="W132" s="284">
        <v>1104086</v>
      </c>
      <c r="X132" s="287" t="str">
        <f>IFERROR(INDEX(Table14[],MATCH($W132,Table14[SAPNo],0),3),"")</f>
        <v xml:space="preserve"> 1613 CT144H  0.018 ()</v>
      </c>
      <c r="Y132" s="284">
        <v>1</v>
      </c>
      <c r="Z132" s="25">
        <f t="shared" si="41"/>
        <v>2</v>
      </c>
      <c r="AA132" s="25">
        <f t="shared" si="42"/>
        <v>2</v>
      </c>
      <c r="AB132" s="23">
        <f ca="1">IFERROR(INDEX('Cutters Inventory 12-30-2025'!A:W,MATCH($W132,'Cutters Inventory 12-30-2025'!B:B,0),14),0)</f>
        <v>1</v>
      </c>
      <c r="AC132" s="23">
        <f>SUMIF(Table1[LEVEL 5 MAT NO.],S132,Table1[Braze Plan])</f>
        <v>0</v>
      </c>
      <c r="AD132" s="23">
        <f>Table4[[#This Row],[Quantity]]*Table4[[#This Row],[Bits Braze Plan]]</f>
        <v>0</v>
      </c>
      <c r="AE132" s="23">
        <f ca="1">Table4[[#This Row],[INV. QTY]]-Table4[[#This Row],[Required For Braze Cutters Check]]</f>
        <v>1</v>
      </c>
      <c r="AF132" s="23">
        <f t="shared" ca="1" si="39"/>
        <v>1</v>
      </c>
      <c r="AG132" s="23"/>
      <c r="AJ132" s="19">
        <f t="shared" si="38"/>
        <v>0</v>
      </c>
      <c r="AK132" s="19">
        <f>SUMIF(Table4[Component],AJ132,Table4[Qty of Cutters in these MATs])</f>
        <v>0</v>
      </c>
      <c r="AL132" s="19">
        <f>SUMIF(Table4[Component],AJ132,Table4[Required For Braze Cutters Check])</f>
        <v>0</v>
      </c>
      <c r="AM132" s="19">
        <f>IFERROR(INDEX('Cutters Inventory 12-30-2025'!A:W,MATCH($AI132,'Cutters Inventory 12-30-2025'!B:B,0),14),0)</f>
        <v>0</v>
      </c>
      <c r="AN132" s="19">
        <f>Table5[[#This Row],[INV. QTY]]-Table5[[#This Row],[Required For Braze Cutters Check]]</f>
        <v>0</v>
      </c>
      <c r="AO132" s="19" t="str">
        <f>IF($AN132&lt;0,Table5[[#This Row],[Component]],"")</f>
        <v/>
      </c>
      <c r="AT132">
        <f t="shared" si="43"/>
        <v>0</v>
      </c>
      <c r="BA132">
        <f t="shared" si="37"/>
        <v>0</v>
      </c>
      <c r="BC132" s="159">
        <f>IFERROR(VLOOKUP(BA:BA,Table4[],8,FALSE),Table6[[#This Row],[Not Exist BOM''s]])</f>
        <v>0</v>
      </c>
    </row>
    <row r="133" spans="1:55" ht="24.75" customHeight="1" x14ac:dyDescent="0.25">
      <c r="A133" s="109">
        <v>20230342</v>
      </c>
      <c r="B133" s="709"/>
      <c r="C133" s="109">
        <v>14093078</v>
      </c>
      <c r="D133" s="109" t="s">
        <v>315</v>
      </c>
      <c r="E133" s="109" t="s">
        <v>284</v>
      </c>
      <c r="F133" s="109"/>
      <c r="G133" s="109" t="s">
        <v>659</v>
      </c>
      <c r="H133" s="140">
        <v>1234376</v>
      </c>
      <c r="I133" s="140">
        <v>1249569</v>
      </c>
      <c r="J133" s="26">
        <f>IF(H133&lt;&gt;"",IF(AND(C133&lt;&gt;"",IFERROR(MATCH(C133,Table10[Serial No.],0),0)),0,1),0)</f>
        <v>0</v>
      </c>
      <c r="K133" s="21"/>
      <c r="L133" s="539" t="str">
        <f t="shared" ca="1" si="40"/>
        <v/>
      </c>
      <c r="S133" s="546">
        <v>1176919</v>
      </c>
      <c r="T133" s="278" t="s">
        <v>313</v>
      </c>
      <c r="U133" s="278" t="s">
        <v>314</v>
      </c>
      <c r="V133" s="25">
        <v>1</v>
      </c>
      <c r="W133" s="284">
        <v>1126402</v>
      </c>
      <c r="X133" s="19" t="str">
        <f>IFERROR(INDEX(Table14[],MATCH($W133,Table14[SAPNo],0),3),"")</f>
        <v>1613 CT421 16-60</v>
      </c>
      <c r="Y133" s="284">
        <v>33</v>
      </c>
      <c r="Z133" s="25">
        <f t="shared" si="41"/>
        <v>0</v>
      </c>
      <c r="AA133" s="25">
        <f t="shared" si="42"/>
        <v>0</v>
      </c>
      <c r="AB133" s="23">
        <f ca="1">IFERROR(INDEX('Cutters Inventory 12-30-2025'!A:W,MATCH($W133,'Cutters Inventory 12-30-2025'!B:B,0),14),0)</f>
        <v>422</v>
      </c>
      <c r="AC133" s="23">
        <f>SUMIF(Table1[LEVEL 5 MAT NO.],S133,Table1[Braze Plan])</f>
        <v>0</v>
      </c>
      <c r="AD133" s="23">
        <f>Table4[[#This Row],[Quantity]]*Table4[[#This Row],[Bits Braze Plan]]</f>
        <v>0</v>
      </c>
      <c r="AE133" s="23">
        <f ca="1">Table4[[#This Row],[INV. QTY]]-Table4[[#This Row],[Required For Braze Cutters Check]]</f>
        <v>422</v>
      </c>
      <c r="AF133" s="23">
        <f t="shared" ca="1" si="39"/>
        <v>422</v>
      </c>
      <c r="AG133" s="23"/>
      <c r="AJ133" s="19">
        <f t="shared" si="38"/>
        <v>0</v>
      </c>
      <c r="AK133" s="19">
        <f>SUMIF(Table4[Component],AJ133,Table4[Qty of Cutters in these MATs])</f>
        <v>0</v>
      </c>
      <c r="AL133" s="19">
        <f>SUMIF(Table4[Component],AJ133,Table4[Required For Braze Cutters Check])</f>
        <v>0</v>
      </c>
      <c r="AM133" s="19">
        <f>IFERROR(INDEX('Cutters Inventory 12-30-2025'!A:W,MATCH($AI133,'Cutters Inventory 12-30-2025'!B:B,0),14),0)</f>
        <v>0</v>
      </c>
      <c r="AN133" s="19">
        <f>Table5[[#This Row],[INV. QTY]]-Table5[[#This Row],[Required For Braze Cutters Check]]</f>
        <v>0</v>
      </c>
      <c r="AO133" s="19" t="str">
        <f>IF($AN133&lt;0,Table5[[#This Row],[Component]],"")</f>
        <v/>
      </c>
      <c r="AT133">
        <f t="shared" si="43"/>
        <v>0</v>
      </c>
      <c r="BA133">
        <f t="shared" si="37"/>
        <v>0</v>
      </c>
      <c r="BC133" s="159">
        <f>IFERROR(VLOOKUP(BA:BA,Table4[],8,FALSE),Table6[[#This Row],[Not Exist BOM''s]])</f>
        <v>0</v>
      </c>
    </row>
    <row r="134" spans="1:55" ht="24.75" customHeight="1" x14ac:dyDescent="0.25">
      <c r="A134" s="109">
        <v>20230342</v>
      </c>
      <c r="B134" s="709"/>
      <c r="C134" s="109">
        <v>14093079</v>
      </c>
      <c r="D134" s="109" t="s">
        <v>315</v>
      </c>
      <c r="E134" s="109" t="s">
        <v>284</v>
      </c>
      <c r="F134" s="109"/>
      <c r="G134" s="109" t="s">
        <v>659</v>
      </c>
      <c r="H134" s="140">
        <v>1234376</v>
      </c>
      <c r="I134" s="140">
        <v>1249569</v>
      </c>
      <c r="J134" s="26">
        <f>IF(H134&lt;&gt;"",IF(AND(C134&lt;&gt;"",IFERROR(MATCH(C134,Table10[Serial No.],0),0)),0,1),0)</f>
        <v>0</v>
      </c>
      <c r="K134" s="21"/>
      <c r="L134" s="539" t="str">
        <f t="shared" ca="1" si="40"/>
        <v/>
      </c>
      <c r="P134"/>
      <c r="Q134"/>
      <c r="S134" s="546">
        <v>1176919</v>
      </c>
      <c r="T134" s="278" t="s">
        <v>313</v>
      </c>
      <c r="U134" s="278" t="s">
        <v>314</v>
      </c>
      <c r="V134" s="25">
        <v>2</v>
      </c>
      <c r="W134" s="284">
        <v>1130197</v>
      </c>
      <c r="X134" s="19" t="str">
        <f>IFERROR(INDEX(Table14[],MATCH($W134,Table14[SAPNo],0),3),"")</f>
        <v>Round 1608 CT182  0.018" (S)</v>
      </c>
      <c r="Y134" s="284">
        <v>23</v>
      </c>
      <c r="Z134" s="25">
        <f t="shared" si="41"/>
        <v>0</v>
      </c>
      <c r="AA134" s="25">
        <f t="shared" si="42"/>
        <v>0</v>
      </c>
      <c r="AB134" s="23">
        <f ca="1">IFERROR(INDEX('Cutters Inventory 12-30-2025'!A:W,MATCH($W134,'Cutters Inventory 12-30-2025'!B:B,0),14),0)</f>
        <v>39</v>
      </c>
      <c r="AC134" s="23">
        <f>SUMIF(Table1[LEVEL 5 MAT NO.],S134,Table1[Braze Plan])</f>
        <v>0</v>
      </c>
      <c r="AD134" s="23">
        <f>Table4[[#This Row],[Quantity]]*Table4[[#This Row],[Bits Braze Plan]]</f>
        <v>0</v>
      </c>
      <c r="AE134" s="23">
        <f ca="1">Table4[[#This Row],[INV. QTY]]-Table4[[#This Row],[Required For Braze Cutters Check]]</f>
        <v>39</v>
      </c>
      <c r="AF134" s="23">
        <f t="shared" ca="1" si="39"/>
        <v>39</v>
      </c>
      <c r="AG134" s="23"/>
      <c r="AJ134" s="19">
        <f t="shared" si="38"/>
        <v>0</v>
      </c>
      <c r="AK134" s="19">
        <f>SUMIF(Table4[Component],AJ134,Table4[Qty of Cutters in these MATs])</f>
        <v>0</v>
      </c>
      <c r="AL134" s="19">
        <f>SUMIF(Table4[Component],AJ134,Table4[Required For Braze Cutters Check])</f>
        <v>0</v>
      </c>
      <c r="AM134" s="19">
        <f>IFERROR(INDEX('Cutters Inventory 12-30-2025'!A:W,MATCH($AI134,'Cutters Inventory 12-30-2025'!B:B,0),14),0)</f>
        <v>0</v>
      </c>
      <c r="AN134" s="19">
        <f>Table5[[#This Row],[INV. QTY]]-Table5[[#This Row],[Required For Braze Cutters Check]]</f>
        <v>0</v>
      </c>
      <c r="AO134" s="19" t="str">
        <f>IF($AN134&lt;0,Table5[[#This Row],[Component]],"")</f>
        <v/>
      </c>
      <c r="AT134">
        <f t="shared" si="43"/>
        <v>0</v>
      </c>
      <c r="BA134">
        <f t="shared" si="37"/>
        <v>0</v>
      </c>
      <c r="BC134" s="159">
        <f>IFERROR(VLOOKUP(BA:BA,Table4[],8,FALSE),Table6[[#This Row],[Not Exist BOM''s]])</f>
        <v>0</v>
      </c>
    </row>
    <row r="135" spans="1:55" ht="24.75" customHeight="1" x14ac:dyDescent="0.25">
      <c r="A135" s="109">
        <v>20230342</v>
      </c>
      <c r="B135" s="709"/>
      <c r="C135" s="109">
        <v>14093083</v>
      </c>
      <c r="D135" s="109" t="s">
        <v>316</v>
      </c>
      <c r="E135" s="109" t="s">
        <v>291</v>
      </c>
      <c r="F135" s="109"/>
      <c r="G135" s="109" t="s">
        <v>662</v>
      </c>
      <c r="H135" s="140">
        <v>1228782</v>
      </c>
      <c r="I135" s="140">
        <v>1058252</v>
      </c>
      <c r="J135" s="26">
        <f>IF(H135&lt;&gt;"",IF(AND(C135&lt;&gt;"",IFERROR(MATCH(C135,Table10[Serial No.],0),0)),0,1),0)</f>
        <v>0</v>
      </c>
      <c r="K135" s="21"/>
      <c r="L135" s="539" t="str">
        <f t="shared" ca="1" si="40"/>
        <v/>
      </c>
      <c r="P135"/>
      <c r="Q135"/>
      <c r="S135" s="546">
        <v>1176919</v>
      </c>
      <c r="T135" s="278" t="s">
        <v>313</v>
      </c>
      <c r="U135" s="278" t="s">
        <v>314</v>
      </c>
      <c r="V135" s="25">
        <v>3</v>
      </c>
      <c r="W135" s="284">
        <v>418525</v>
      </c>
      <c r="X135" s="19" t="str">
        <f>IFERROR(INDEX(Table14[],MATCH($W135,Table14[SAPNo],0),3),"")</f>
        <v>Drop In 1308 CT31   (B)</v>
      </c>
      <c r="Y135" s="284">
        <v>6</v>
      </c>
      <c r="Z135" s="25">
        <f t="shared" si="41"/>
        <v>0</v>
      </c>
      <c r="AA135" s="25">
        <f t="shared" si="42"/>
        <v>0</v>
      </c>
      <c r="AB135" s="23">
        <f ca="1">IFERROR(INDEX('Cutters Inventory 12-30-2025'!A:W,MATCH($W135,'Cutters Inventory 12-30-2025'!B:B,0),14),0)</f>
        <v>933</v>
      </c>
      <c r="AC135" s="23">
        <f>SUMIF(Table1[LEVEL 5 MAT NO.],S135,Table1[Braze Plan])</f>
        <v>0</v>
      </c>
      <c r="AD135" s="23">
        <f>Table4[[#This Row],[Quantity]]*Table4[[#This Row],[Bits Braze Plan]]</f>
        <v>0</v>
      </c>
      <c r="AE135" s="23">
        <f ca="1">Table4[[#This Row],[INV. QTY]]-Table4[[#This Row],[Required For Braze Cutters Check]]</f>
        <v>933</v>
      </c>
      <c r="AF135" s="23">
        <f t="shared" ca="1" si="39"/>
        <v>933</v>
      </c>
      <c r="AG135" s="23"/>
      <c r="AJ135" s="19">
        <f t="shared" si="38"/>
        <v>0</v>
      </c>
      <c r="AK135" s="19">
        <f>SUMIF(Table4[Component],AJ135,Table4[Qty of Cutters in these MATs])</f>
        <v>0</v>
      </c>
      <c r="AL135" s="19">
        <f>SUMIF(Table4[Component],AJ135,Table4[Required For Braze Cutters Check])</f>
        <v>0</v>
      </c>
      <c r="AM135" s="19">
        <f>IFERROR(INDEX('Cutters Inventory 12-30-2025'!A:W,MATCH($AI135,'Cutters Inventory 12-30-2025'!B:B,0),14),0)</f>
        <v>0</v>
      </c>
      <c r="AN135" s="19">
        <f>Table5[[#This Row],[INV. QTY]]-Table5[[#This Row],[Required For Braze Cutters Check]]</f>
        <v>0</v>
      </c>
      <c r="AO135" s="19" t="str">
        <f>IF($AN135&lt;0,Table5[[#This Row],[Component]],"")</f>
        <v/>
      </c>
      <c r="AT135">
        <f t="shared" si="43"/>
        <v>0</v>
      </c>
      <c r="BA135">
        <f t="shared" si="37"/>
        <v>0</v>
      </c>
      <c r="BC135" s="159">
        <f>IFERROR(VLOOKUP(BA:BA,Table4[],8,FALSE),Table6[[#This Row],[Not Exist BOM''s]])</f>
        <v>0</v>
      </c>
    </row>
    <row r="136" spans="1:55" ht="24.75" customHeight="1" x14ac:dyDescent="0.25">
      <c r="A136" s="109">
        <v>20230342</v>
      </c>
      <c r="B136" s="709"/>
      <c r="C136" s="109">
        <v>14093082</v>
      </c>
      <c r="D136" s="109" t="s">
        <v>316</v>
      </c>
      <c r="E136" s="109" t="s">
        <v>291</v>
      </c>
      <c r="F136" s="109"/>
      <c r="G136" s="109" t="s">
        <v>662</v>
      </c>
      <c r="H136" s="140">
        <v>1228782</v>
      </c>
      <c r="I136" s="140">
        <v>1058252</v>
      </c>
      <c r="J136" s="26">
        <f>IF(H136&lt;&gt;"",IF(AND(C136&lt;&gt;"",IFERROR(MATCH(C136,Table10[Serial No.],0),0)),0,1),0)</f>
        <v>0</v>
      </c>
      <c r="K136" s="21"/>
      <c r="L136" s="539" t="str">
        <f t="shared" ca="1" si="40"/>
        <v/>
      </c>
      <c r="P136"/>
      <c r="Q136"/>
      <c r="S136" s="281">
        <v>1186699</v>
      </c>
      <c r="T136" s="278" t="s">
        <v>309</v>
      </c>
      <c r="U136" s="278" t="s">
        <v>310</v>
      </c>
      <c r="V136" s="25">
        <v>1</v>
      </c>
      <c r="W136" s="284">
        <v>1146346</v>
      </c>
      <c r="X136" s="618" t="str">
        <f>IFERROR(INDEX(Table14[],MATCH($W136,Table14[SAPNo],0),3),"")</f>
        <v>1313 CT418 18-60</v>
      </c>
      <c r="Y136" s="284">
        <v>25</v>
      </c>
      <c r="Z136" s="25">
        <f t="shared" si="41"/>
        <v>0</v>
      </c>
      <c r="AA136" s="25">
        <f t="shared" si="42"/>
        <v>0</v>
      </c>
      <c r="AB136" s="23">
        <f ca="1">IFERROR(INDEX('Cutters Inventory 12-30-2025'!A:W,MATCH($W136,'Cutters Inventory 12-30-2025'!B:B,0),14),0)</f>
        <v>558</v>
      </c>
      <c r="AC136" s="23">
        <f>SUMIF(Table1[LEVEL 5 MAT NO.],S136,Table1[Braze Plan])</f>
        <v>0</v>
      </c>
      <c r="AD136" s="23">
        <f>Table4[[#This Row],[Quantity]]*Table4[[#This Row],[Bits Braze Plan]]</f>
        <v>0</v>
      </c>
      <c r="AE136" s="23">
        <f ca="1">Table4[[#This Row],[INV. QTY]]-Table4[[#This Row],[Required For Braze Cutters Check]]</f>
        <v>558</v>
      </c>
      <c r="AF136" s="23">
        <f t="shared" ca="1" si="39"/>
        <v>558</v>
      </c>
      <c r="AG136" s="625" t="s">
        <v>658</v>
      </c>
      <c r="AJ136" s="19">
        <f t="shared" si="38"/>
        <v>0</v>
      </c>
      <c r="AK136" s="19">
        <f>SUMIF(Table4[Component],AJ136,Table4[Qty of Cutters in these MATs])</f>
        <v>0</v>
      </c>
      <c r="AL136" s="19">
        <f>SUMIF(Table4[Component],AJ136,Table4[Required For Braze Cutters Check])</f>
        <v>0</v>
      </c>
      <c r="AM136" s="19">
        <f>IFERROR(INDEX('Cutters Inventory 12-30-2025'!A:W,MATCH($AI136,'Cutters Inventory 12-30-2025'!B:B,0),14),0)</f>
        <v>0</v>
      </c>
      <c r="AN136" s="19">
        <f>Table5[[#This Row],[INV. QTY]]-Table5[[#This Row],[Required For Braze Cutters Check]]</f>
        <v>0</v>
      </c>
      <c r="AO136" s="19" t="str">
        <f>IF($AN136&lt;0,Table5[[#This Row],[Component]],"")</f>
        <v/>
      </c>
      <c r="AT136">
        <f t="shared" si="43"/>
        <v>0</v>
      </c>
      <c r="BA136">
        <f t="shared" si="37"/>
        <v>0</v>
      </c>
      <c r="BC136" s="159">
        <f>IFERROR(VLOOKUP(BA:BA,Table4[],8,FALSE),Table6[[#This Row],[Not Exist BOM''s]])</f>
        <v>0</v>
      </c>
    </row>
    <row r="137" spans="1:55" ht="24.75" customHeight="1" x14ac:dyDescent="0.25">
      <c r="A137" s="109">
        <v>20230342</v>
      </c>
      <c r="B137" s="709"/>
      <c r="C137" s="109">
        <v>14093084</v>
      </c>
      <c r="D137" s="109" t="s">
        <v>316</v>
      </c>
      <c r="E137" s="109" t="s">
        <v>291</v>
      </c>
      <c r="F137" s="109"/>
      <c r="G137" s="109" t="s">
        <v>662</v>
      </c>
      <c r="H137" s="140">
        <v>1228782</v>
      </c>
      <c r="I137" s="140">
        <v>1058252</v>
      </c>
      <c r="J137" s="26">
        <f>IF(H137&lt;&gt;"",IF(AND(C137&lt;&gt;"",IFERROR(MATCH(C137,Table10[Serial No.],0),0)),0,1),0)</f>
        <v>0</v>
      </c>
      <c r="K137" s="21"/>
      <c r="L137" s="539" t="str">
        <f t="shared" ca="1" si="40"/>
        <v/>
      </c>
      <c r="P137"/>
      <c r="Q137"/>
      <c r="S137" s="281">
        <v>1186699</v>
      </c>
      <c r="T137" s="278" t="s">
        <v>309</v>
      </c>
      <c r="U137" s="278" t="s">
        <v>310</v>
      </c>
      <c r="V137" s="25">
        <v>2</v>
      </c>
      <c r="W137" s="284">
        <v>871781</v>
      </c>
      <c r="X137" s="19" t="str">
        <f>IFERROR(INDEX(Table14[],MATCH($W137,Table14[SAPNo],0),3),"")</f>
        <v>Round 1313 CT200  0.018" (B)</v>
      </c>
      <c r="Y137" s="284">
        <v>6</v>
      </c>
      <c r="Z137" s="25">
        <f t="shared" si="41"/>
        <v>0</v>
      </c>
      <c r="AA137" s="25">
        <f t="shared" si="42"/>
        <v>0</v>
      </c>
      <c r="AB137" s="23">
        <f ca="1">IFERROR(INDEX('Cutters Inventory 12-30-2025'!A:W,MATCH($W137,'Cutters Inventory 12-30-2025'!B:B,0),14),0)</f>
        <v>843</v>
      </c>
      <c r="AC137" s="23">
        <f>SUMIF(Table1[LEVEL 5 MAT NO.],S137,Table1[Braze Plan])</f>
        <v>0</v>
      </c>
      <c r="AD137" s="23">
        <f>Table4[[#This Row],[Quantity]]*Table4[[#This Row],[Bits Braze Plan]]</f>
        <v>0</v>
      </c>
      <c r="AE137" s="23">
        <f ca="1">Table4[[#This Row],[INV. QTY]]-Table4[[#This Row],[Required For Braze Cutters Check]]</f>
        <v>843</v>
      </c>
      <c r="AF137" s="23">
        <f t="shared" ca="1" si="39"/>
        <v>843</v>
      </c>
      <c r="AG137" s="23"/>
      <c r="AJ137" s="19">
        <f t="shared" si="38"/>
        <v>0</v>
      </c>
      <c r="AK137" s="19">
        <f>SUMIF(Table4[Component],AJ137,Table4[Qty of Cutters in these MATs])</f>
        <v>0</v>
      </c>
      <c r="AL137" s="19">
        <f>SUMIF(Table4[Component],AJ137,Table4[Required For Braze Cutters Check])</f>
        <v>0</v>
      </c>
      <c r="AM137" s="19">
        <f>IFERROR(INDEX('Cutters Inventory 12-30-2025'!A:W,MATCH($AI137,'Cutters Inventory 12-30-2025'!B:B,0),14),0)</f>
        <v>0</v>
      </c>
      <c r="AN137" s="19">
        <f>Table5[[#This Row],[INV. QTY]]-Table5[[#This Row],[Required For Braze Cutters Check]]</f>
        <v>0</v>
      </c>
      <c r="AO137" s="19" t="str">
        <f>IF($AN137&lt;0,Table5[[#This Row],[Component]],"")</f>
        <v/>
      </c>
      <c r="AT137">
        <f t="shared" si="43"/>
        <v>0</v>
      </c>
      <c r="BA137">
        <f t="shared" si="37"/>
        <v>0</v>
      </c>
      <c r="BC137" s="159">
        <f>IFERROR(VLOOKUP(BA:BA,Table4[],8,FALSE),Table6[[#This Row],[Not Exist BOM''s]])</f>
        <v>0</v>
      </c>
    </row>
    <row r="138" spans="1:55" ht="24.75" customHeight="1" x14ac:dyDescent="0.25">
      <c r="A138" s="109">
        <v>20230354</v>
      </c>
      <c r="B138" s="709"/>
      <c r="C138" s="109">
        <v>14093393</v>
      </c>
      <c r="D138" s="109" t="s">
        <v>624</v>
      </c>
      <c r="E138" s="109" t="s">
        <v>663</v>
      </c>
      <c r="F138" s="109"/>
      <c r="G138" s="109"/>
      <c r="H138" s="140">
        <v>1269498</v>
      </c>
      <c r="I138" s="140">
        <v>1276939</v>
      </c>
      <c r="J138" s="26">
        <f>IF(H138&lt;&gt;"",IF(AND(C138&lt;&gt;"",IFERROR(MATCH(C138,Table10[Serial No.],0),0)),0,1),0)</f>
        <v>0</v>
      </c>
      <c r="K138" s="21"/>
      <c r="L138" s="539" t="str">
        <f t="shared" ca="1" si="40"/>
        <v/>
      </c>
      <c r="P138"/>
      <c r="Q138"/>
      <c r="S138" s="281">
        <v>1190973</v>
      </c>
      <c r="T138" s="278" t="s">
        <v>316</v>
      </c>
      <c r="U138" s="278" t="s">
        <v>317</v>
      </c>
      <c r="V138" s="25">
        <v>1</v>
      </c>
      <c r="W138" s="284">
        <v>1126402</v>
      </c>
      <c r="X138" s="19" t="str">
        <f>IFERROR(INDEX(Table14[],MATCH($W138,Table14[SAPNo],0),3),"")</f>
        <v>1613 CT421 16-60</v>
      </c>
      <c r="Y138" s="284">
        <v>152</v>
      </c>
      <c r="Z138" s="25">
        <f t="shared" si="41"/>
        <v>10</v>
      </c>
      <c r="AA138" s="25">
        <f t="shared" si="42"/>
        <v>1520</v>
      </c>
      <c r="AB138" s="23">
        <f ca="1">IFERROR(INDEX('Cutters Inventory 12-30-2025'!A:W,MATCH($W138,'Cutters Inventory 12-30-2025'!B:B,0),14),0)</f>
        <v>422</v>
      </c>
      <c r="AC138" s="23">
        <f>SUMIF(Table1[LEVEL 5 MAT NO.],S138,Table1[Braze Plan])</f>
        <v>0</v>
      </c>
      <c r="AD138" s="23">
        <f>Table4[[#This Row],[Quantity]]*Table4[[#This Row],[Bits Braze Plan]]</f>
        <v>0</v>
      </c>
      <c r="AE138" s="23">
        <f ca="1">Table4[[#This Row],[INV. QTY]]-Table4[[#This Row],[Required For Braze Cutters Check]]</f>
        <v>422</v>
      </c>
      <c r="AF138" s="23">
        <f t="shared" ca="1" si="39"/>
        <v>422</v>
      </c>
      <c r="AG138" s="23"/>
      <c r="AJ138" s="19">
        <f t="shared" si="38"/>
        <v>0</v>
      </c>
      <c r="AK138" s="19">
        <f>SUMIF(Table4[Component],AJ138,Table4[Qty of Cutters in these MATs])</f>
        <v>0</v>
      </c>
      <c r="AL138" s="19">
        <f>SUMIF(Table4[Component],AJ138,Table4[Required For Braze Cutters Check])</f>
        <v>0</v>
      </c>
      <c r="AM138" s="19">
        <f>IFERROR(INDEX('Cutters Inventory 12-30-2025'!A:W,MATCH($AI138,'Cutters Inventory 12-30-2025'!B:B,0),14),0)</f>
        <v>0</v>
      </c>
      <c r="AN138" s="19">
        <f>Table5[[#This Row],[INV. QTY]]-Table5[[#This Row],[Required For Braze Cutters Check]]</f>
        <v>0</v>
      </c>
      <c r="AO138" s="19" t="str">
        <f>IF($AN138&lt;0,Table5[[#This Row],[Component]],"")</f>
        <v/>
      </c>
      <c r="AT138">
        <f t="shared" si="43"/>
        <v>0</v>
      </c>
      <c r="BA138">
        <f t="shared" si="37"/>
        <v>0</v>
      </c>
      <c r="BC138" s="159">
        <f>IFERROR(VLOOKUP(BA:BA,Table4[],8,FALSE),Table6[[#This Row],[Not Exist BOM''s]])</f>
        <v>0</v>
      </c>
    </row>
    <row r="139" spans="1:55" ht="24.75" customHeight="1" x14ac:dyDescent="0.25">
      <c r="A139" s="109">
        <v>20230364</v>
      </c>
      <c r="B139" s="709"/>
      <c r="C139" s="109">
        <v>14104601</v>
      </c>
      <c r="D139" s="109" t="s">
        <v>631</v>
      </c>
      <c r="E139" s="109" t="s">
        <v>645</v>
      </c>
      <c r="F139" s="109"/>
      <c r="G139" s="109"/>
      <c r="H139" s="140">
        <v>1262047</v>
      </c>
      <c r="I139" s="140">
        <v>1235768</v>
      </c>
      <c r="J139" s="26">
        <f>IF(H139&lt;&gt;"",IF(AND(C139&lt;&gt;"",IFERROR(MATCH(C139,Table10[Serial No.],0),0)),0,1),0)</f>
        <v>0</v>
      </c>
      <c r="K139" s="21"/>
      <c r="L139" s="539" t="str">
        <f t="shared" ca="1" si="40"/>
        <v/>
      </c>
      <c r="S139" s="281">
        <v>1190973</v>
      </c>
      <c r="T139" s="278" t="s">
        <v>316</v>
      </c>
      <c r="U139" s="278" t="s">
        <v>317</v>
      </c>
      <c r="V139" s="25">
        <v>2</v>
      </c>
      <c r="W139" s="284">
        <v>625854</v>
      </c>
      <c r="X139" s="19" t="str">
        <f>IFERROR(INDEX(Table14[],MATCH($W139,Table14[SAPNo],0),3),"")</f>
        <v>Carbide IA 1318    (C)</v>
      </c>
      <c r="Y139" s="284">
        <v>9</v>
      </c>
      <c r="Z139" s="25">
        <f t="shared" si="41"/>
        <v>10</v>
      </c>
      <c r="AA139" s="25">
        <f t="shared" si="42"/>
        <v>90</v>
      </c>
      <c r="AB139" s="23">
        <f ca="1">IFERROR(INDEX('Cutters Inventory 12-30-2025'!A:W,MATCH($W139,'Cutters Inventory 12-30-2025'!B:B,0),14),0)</f>
        <v>74</v>
      </c>
      <c r="AC139" s="23">
        <f>SUMIF(Table1[LEVEL 5 MAT NO.],S139,Table1[Braze Plan])</f>
        <v>0</v>
      </c>
      <c r="AD139" s="23">
        <f>Table4[[#This Row],[Quantity]]*Table4[[#This Row],[Bits Braze Plan]]</f>
        <v>0</v>
      </c>
      <c r="AE139" s="23">
        <f ca="1">Table4[[#This Row],[INV. QTY]]-Table4[[#This Row],[Required For Braze Cutters Check]]</f>
        <v>74</v>
      </c>
      <c r="AF139" s="23">
        <f t="shared" ca="1" si="39"/>
        <v>74</v>
      </c>
      <c r="AG139" s="23"/>
      <c r="AJ139" s="19">
        <f t="shared" si="38"/>
        <v>0</v>
      </c>
      <c r="AK139" s="19">
        <f>SUMIF(Table4[Component],AJ139,Table4[Qty of Cutters in these MATs])</f>
        <v>0</v>
      </c>
      <c r="AL139" s="19">
        <f>SUMIF(Table4[Component],AJ139,Table4[Required For Braze Cutters Check])</f>
        <v>0</v>
      </c>
      <c r="AM139" s="19">
        <f>IFERROR(INDEX('Cutters Inventory 12-30-2025'!A:W,MATCH($AI139,'Cutters Inventory 12-30-2025'!B:B,0),14),0)</f>
        <v>0</v>
      </c>
      <c r="AN139" s="19">
        <f>Table5[[#This Row],[INV. QTY]]-Table5[[#This Row],[Required For Braze Cutters Check]]</f>
        <v>0</v>
      </c>
      <c r="AO139" s="19" t="str">
        <f>IF($AN139&lt;0,Table5[[#This Row],[Component]],"")</f>
        <v/>
      </c>
      <c r="AT139">
        <f t="shared" si="43"/>
        <v>0</v>
      </c>
      <c r="BA139">
        <f t="shared" si="37"/>
        <v>0</v>
      </c>
      <c r="BC139" s="159">
        <f>IFERROR(VLOOKUP(BA:BA,Table4[],8,FALSE),Table6[[#This Row],[Not Exist BOM''s]])</f>
        <v>0</v>
      </c>
    </row>
    <row r="140" spans="1:55" ht="24.75" customHeight="1" x14ac:dyDescent="0.25">
      <c r="A140" s="109">
        <v>20230364</v>
      </c>
      <c r="B140" s="709"/>
      <c r="C140" s="109">
        <v>14104599</v>
      </c>
      <c r="D140" s="109" t="s">
        <v>631</v>
      </c>
      <c r="E140" s="109" t="s">
        <v>645</v>
      </c>
      <c r="F140" s="109"/>
      <c r="G140" s="109"/>
      <c r="H140" s="140">
        <v>1262047</v>
      </c>
      <c r="I140" s="140">
        <v>1235768</v>
      </c>
      <c r="J140" s="26">
        <f>IF(H140&lt;&gt;"",IF(AND(C140&lt;&gt;"",IFERROR(MATCH(C140,Table10[Serial No.],0),0)),0,1),0)</f>
        <v>0</v>
      </c>
      <c r="K140" s="21"/>
      <c r="L140" s="539" t="str">
        <f t="shared" ca="1" si="40"/>
        <v/>
      </c>
      <c r="S140" s="281">
        <v>1190973</v>
      </c>
      <c r="T140" s="278" t="s">
        <v>316</v>
      </c>
      <c r="U140" s="278" t="s">
        <v>317</v>
      </c>
      <c r="V140" s="25">
        <v>3</v>
      </c>
      <c r="W140" s="284">
        <v>418525</v>
      </c>
      <c r="X140" s="19" t="str">
        <f>IFERROR(INDEX(Table14[],MATCH($W140,Table14[SAPNo],0),3),"")</f>
        <v>Drop In 1308 CT31   (B)</v>
      </c>
      <c r="Y140" s="284">
        <v>7</v>
      </c>
      <c r="Z140" s="25">
        <f t="shared" si="41"/>
        <v>10</v>
      </c>
      <c r="AA140" s="25">
        <f t="shared" si="42"/>
        <v>70</v>
      </c>
      <c r="AB140" s="23">
        <f ca="1">IFERROR(INDEX('Cutters Inventory 12-30-2025'!A:W,MATCH($W140,'Cutters Inventory 12-30-2025'!B:B,0),14),0)</f>
        <v>933</v>
      </c>
      <c r="AC140" s="23">
        <f>SUMIF(Table1[LEVEL 5 MAT NO.],S140,Table1[Braze Plan])</f>
        <v>0</v>
      </c>
      <c r="AD140" s="23">
        <f>Table4[[#This Row],[Quantity]]*Table4[[#This Row],[Bits Braze Plan]]</f>
        <v>0</v>
      </c>
      <c r="AE140" s="23">
        <f ca="1">Table4[[#This Row],[INV. QTY]]-Table4[[#This Row],[Required For Braze Cutters Check]]</f>
        <v>933</v>
      </c>
      <c r="AF140" s="23">
        <f t="shared" ca="1" si="39"/>
        <v>933</v>
      </c>
      <c r="AG140" s="23"/>
      <c r="AJ140" s="19">
        <f t="shared" si="38"/>
        <v>0</v>
      </c>
      <c r="AK140" s="19">
        <f>SUMIF(Table4[Component],AJ140,Table4[Qty of Cutters in these MATs])</f>
        <v>0</v>
      </c>
      <c r="AL140" s="19">
        <f>SUMIF(Table4[Component],AJ140,Table4[Required For Braze Cutters Check])</f>
        <v>0</v>
      </c>
      <c r="AM140" s="19">
        <f>IFERROR(INDEX('Cutters Inventory 12-30-2025'!A:W,MATCH($AI140,'Cutters Inventory 12-30-2025'!B:B,0),14),0)</f>
        <v>0</v>
      </c>
      <c r="AN140" s="19">
        <f>Table5[[#This Row],[INV. QTY]]-Table5[[#This Row],[Required For Braze Cutters Check]]</f>
        <v>0</v>
      </c>
      <c r="AO140" s="19" t="str">
        <f>IF($AN140&lt;0,Table5[[#This Row],[Component]],"")</f>
        <v/>
      </c>
      <c r="AT140">
        <f t="shared" si="43"/>
        <v>0</v>
      </c>
      <c r="BA140">
        <f t="shared" si="37"/>
        <v>0</v>
      </c>
      <c r="BC140" s="159">
        <f>IFERROR(VLOOKUP(BA:BA,Table4[],8,FALSE),Table6[[#This Row],[Not Exist BOM''s]])</f>
        <v>0</v>
      </c>
    </row>
    <row r="141" spans="1:55" ht="24.75" customHeight="1" x14ac:dyDescent="0.25">
      <c r="A141" s="109">
        <v>20230364</v>
      </c>
      <c r="B141" s="709"/>
      <c r="C141" s="109">
        <v>14104600</v>
      </c>
      <c r="D141" s="109" t="s">
        <v>631</v>
      </c>
      <c r="E141" s="109" t="s">
        <v>645</v>
      </c>
      <c r="F141" s="109"/>
      <c r="G141" s="109"/>
      <c r="H141" s="140">
        <v>1262047</v>
      </c>
      <c r="I141" s="140">
        <v>1235768</v>
      </c>
      <c r="J141" s="26">
        <f>IF(H141&lt;&gt;"",IF(AND(C141&lt;&gt;"",IFERROR(MATCH(C141,Table10[Serial No.],0),0)),0,1),0)</f>
        <v>0</v>
      </c>
      <c r="K141" s="21"/>
      <c r="L141" s="539" t="str">
        <f t="shared" ca="1" si="40"/>
        <v/>
      </c>
      <c r="S141" s="281">
        <v>1201053</v>
      </c>
      <c r="T141" s="278" t="s">
        <v>624</v>
      </c>
      <c r="U141" s="278" t="s">
        <v>275</v>
      </c>
      <c r="V141" s="25">
        <v>1</v>
      </c>
      <c r="W141" s="284">
        <v>1126402</v>
      </c>
      <c r="X141" s="19" t="str">
        <f>IFERROR(INDEX(Table14[],MATCH($W141,Table14[SAPNo],0),3),"")</f>
        <v>1613 CT421 16-60</v>
      </c>
      <c r="Y141" s="284">
        <v>31</v>
      </c>
      <c r="Z141" s="25">
        <f t="shared" si="41"/>
        <v>0</v>
      </c>
      <c r="AA141" s="25">
        <f t="shared" si="42"/>
        <v>0</v>
      </c>
      <c r="AB141" s="23">
        <f ca="1">IFERROR(INDEX('Cutters Inventory 12-30-2025'!A:W,MATCH($W141,'Cutters Inventory 12-30-2025'!B:B,0),14),0)</f>
        <v>422</v>
      </c>
      <c r="AC141" s="23">
        <f>SUMIF(Table1[LEVEL 5 MAT NO.],S141,Table1[Braze Plan])</f>
        <v>0</v>
      </c>
      <c r="AD141" s="23">
        <f>Table4[[#This Row],[Quantity]]*Table4[[#This Row],[Bits Braze Plan]]</f>
        <v>0</v>
      </c>
      <c r="AE141" s="23">
        <f ca="1">Table4[[#This Row],[INV. QTY]]-Table4[[#This Row],[Required For Braze Cutters Check]]</f>
        <v>422</v>
      </c>
      <c r="AF141" s="23">
        <f t="shared" ca="1" si="39"/>
        <v>422</v>
      </c>
      <c r="AG141" s="23"/>
      <c r="AJ141" s="19">
        <f t="shared" si="38"/>
        <v>0</v>
      </c>
      <c r="AK141" s="19">
        <f>SUMIF(Table4[Component],AJ141,Table4[Qty of Cutters in these MATs])</f>
        <v>0</v>
      </c>
      <c r="AL141" s="19">
        <f>SUMIF(Table4[Component],AJ141,Table4[Required For Braze Cutters Check])</f>
        <v>0</v>
      </c>
      <c r="AM141" s="19">
        <f>IFERROR(INDEX('Cutters Inventory 12-30-2025'!A:W,MATCH($AI141,'Cutters Inventory 12-30-2025'!B:B,0),14),0)</f>
        <v>0</v>
      </c>
      <c r="AN141" s="19">
        <f>Table5[[#This Row],[INV. QTY]]-Table5[[#This Row],[Required For Braze Cutters Check]]</f>
        <v>0</v>
      </c>
      <c r="AO141" s="19" t="str">
        <f>IF($AN141&lt;0,Table5[[#This Row],[Component]],"")</f>
        <v/>
      </c>
      <c r="AT141">
        <f t="shared" si="43"/>
        <v>0</v>
      </c>
      <c r="BA141">
        <f t="shared" si="37"/>
        <v>0</v>
      </c>
      <c r="BC141" s="159">
        <f>IFERROR(VLOOKUP(BA:BA,Table4[],8,FALSE),Table6[[#This Row],[Not Exist BOM''s]])</f>
        <v>0</v>
      </c>
    </row>
    <row r="142" spans="1:55" ht="24.75" customHeight="1" x14ac:dyDescent="0.25">
      <c r="A142" s="109">
        <v>20230364</v>
      </c>
      <c r="B142" s="709"/>
      <c r="C142" s="109">
        <v>14104603</v>
      </c>
      <c r="D142" s="109" t="s">
        <v>631</v>
      </c>
      <c r="E142" s="109" t="s">
        <v>645</v>
      </c>
      <c r="F142" s="109"/>
      <c r="G142" s="109"/>
      <c r="H142" s="140">
        <v>1262047</v>
      </c>
      <c r="I142" s="140">
        <v>1235768</v>
      </c>
      <c r="J142" s="26">
        <f>IF(H142&lt;&gt;"",IF(AND(C142&lt;&gt;"",IFERROR(MATCH(C142,Table10[Serial No.],0),0)),0,1),0)</f>
        <v>0</v>
      </c>
      <c r="K142" s="21"/>
      <c r="L142" s="539" t="str">
        <f t="shared" ca="1" si="40"/>
        <v/>
      </c>
      <c r="S142" s="281">
        <v>1201053</v>
      </c>
      <c r="T142" s="278" t="s">
        <v>624</v>
      </c>
      <c r="U142" s="278" t="s">
        <v>275</v>
      </c>
      <c r="V142" s="25">
        <v>2</v>
      </c>
      <c r="W142" s="284">
        <v>1161587</v>
      </c>
      <c r="X142" s="19" t="str">
        <f>IFERROR(INDEX(Table14[],MATCH($W142,Table14[SAPNo],0),3),"")</f>
        <v>13MM CT228</v>
      </c>
      <c r="Y142" s="284">
        <v>15</v>
      </c>
      <c r="Z142" s="25">
        <f t="shared" si="41"/>
        <v>0</v>
      </c>
      <c r="AA142" s="25">
        <f t="shared" si="42"/>
        <v>0</v>
      </c>
      <c r="AB142" s="23">
        <f ca="1">IFERROR(INDEX('Cutters Inventory 12-30-2025'!A:W,MATCH($W142,'Cutters Inventory 12-30-2025'!B:B,0),14),0)</f>
        <v>0</v>
      </c>
      <c r="AC142" s="23">
        <f>SUMIF(Table1[LEVEL 5 MAT NO.],S142,Table1[Braze Plan])</f>
        <v>0</v>
      </c>
      <c r="AD142" s="23">
        <f>Table4[[#This Row],[Quantity]]*Table4[[#This Row],[Bits Braze Plan]]</f>
        <v>0</v>
      </c>
      <c r="AE142" s="23">
        <f ca="1">Table4[[#This Row],[INV. QTY]]-Table4[[#This Row],[Required For Braze Cutters Check]]</f>
        <v>0</v>
      </c>
      <c r="AF142" s="23">
        <f t="shared" ca="1" si="39"/>
        <v>0</v>
      </c>
      <c r="AG142" s="23"/>
      <c r="AJ142" s="19">
        <f t="shared" si="38"/>
        <v>0</v>
      </c>
      <c r="AK142" s="19">
        <f>SUMIF(Table4[Component],AJ142,Table4[Qty of Cutters in these MATs])</f>
        <v>0</v>
      </c>
      <c r="AL142" s="19">
        <f>SUMIF(Table4[Component],AJ142,Table4[Required For Braze Cutters Check])</f>
        <v>0</v>
      </c>
      <c r="AM142" s="19">
        <f>IFERROR(INDEX('Cutters Inventory 12-30-2025'!A:W,MATCH($AI142,'Cutters Inventory 12-30-2025'!B:B,0),14),0)</f>
        <v>0</v>
      </c>
      <c r="AN142" s="19">
        <f>Table5[[#This Row],[INV. QTY]]-Table5[[#This Row],[Required For Braze Cutters Check]]</f>
        <v>0</v>
      </c>
      <c r="AO142" s="19" t="str">
        <f>IF($AN142&lt;0,Table5[[#This Row],[Component]],"")</f>
        <v/>
      </c>
      <c r="AT142">
        <f t="shared" si="43"/>
        <v>0</v>
      </c>
      <c r="BA142">
        <f t="shared" si="37"/>
        <v>0</v>
      </c>
      <c r="BC142" s="159">
        <f>IFERROR(VLOOKUP(BA:BA,Table4[],8,FALSE),Table6[[#This Row],[Not Exist BOM''s]])</f>
        <v>0</v>
      </c>
    </row>
    <row r="143" spans="1:55" ht="24.75" customHeight="1" x14ac:dyDescent="0.25">
      <c r="A143" s="109">
        <v>20230364</v>
      </c>
      <c r="B143" s="709"/>
      <c r="C143" s="109">
        <v>14104606</v>
      </c>
      <c r="D143" s="109" t="s">
        <v>631</v>
      </c>
      <c r="E143" s="109" t="s">
        <v>645</v>
      </c>
      <c r="F143" s="109"/>
      <c r="G143" s="109"/>
      <c r="H143" s="140">
        <v>1262047</v>
      </c>
      <c r="I143" s="140">
        <v>1235768</v>
      </c>
      <c r="J143" s="26">
        <f>IF(H143&lt;&gt;"",IF(AND(C143&lt;&gt;"",IFERROR(MATCH(C143,Table10[Serial No.],0),0)),0,1),0)</f>
        <v>0</v>
      </c>
      <c r="K143" s="21"/>
      <c r="L143" s="539" t="str">
        <f t="shared" ca="1" si="40"/>
        <v/>
      </c>
      <c r="S143" s="281">
        <v>1201053</v>
      </c>
      <c r="T143" s="278" t="s">
        <v>624</v>
      </c>
      <c r="U143" s="278" t="s">
        <v>275</v>
      </c>
      <c r="V143" s="25">
        <v>3</v>
      </c>
      <c r="W143" s="284">
        <v>418525</v>
      </c>
      <c r="X143" s="19" t="str">
        <f>IFERROR(INDEX(Table14[],MATCH($W143,Table14[SAPNo],0),3),"")</f>
        <v>Drop In 1308 CT31   (B)</v>
      </c>
      <c r="Y143" s="284">
        <v>6</v>
      </c>
      <c r="Z143" s="25">
        <f t="shared" si="41"/>
        <v>0</v>
      </c>
      <c r="AA143" s="25">
        <f t="shared" si="42"/>
        <v>0</v>
      </c>
      <c r="AB143" s="23">
        <f ca="1">IFERROR(INDEX('Cutters Inventory 12-30-2025'!A:W,MATCH($W143,'Cutters Inventory 12-30-2025'!B:B,0),14),0)</f>
        <v>933</v>
      </c>
      <c r="AC143" s="23">
        <f>SUMIF(Table1[LEVEL 5 MAT NO.],S143,Table1[Braze Plan])</f>
        <v>0</v>
      </c>
      <c r="AD143" s="23">
        <f>Table4[[#This Row],[Quantity]]*Table4[[#This Row],[Bits Braze Plan]]</f>
        <v>0</v>
      </c>
      <c r="AE143" s="23">
        <f ca="1">Table4[[#This Row],[INV. QTY]]-Table4[[#This Row],[Required For Braze Cutters Check]]</f>
        <v>933</v>
      </c>
      <c r="AF143" s="23">
        <f t="shared" ca="1" si="39"/>
        <v>933</v>
      </c>
      <c r="AG143" s="23"/>
      <c r="AJ143" s="19">
        <f t="shared" si="38"/>
        <v>0</v>
      </c>
      <c r="AK143" s="19">
        <f>SUMIF(Table4[Component],AJ143,Table4[Qty of Cutters in these MATs])</f>
        <v>0</v>
      </c>
      <c r="AL143" s="19">
        <f>SUMIF(Table4[Component],AJ143,Table4[Required For Braze Cutters Check])</f>
        <v>0</v>
      </c>
      <c r="AM143" s="19">
        <f>IFERROR(INDEX('Cutters Inventory 12-30-2025'!A:W,MATCH($AI143,'Cutters Inventory 12-30-2025'!B:B,0),14),0)</f>
        <v>0</v>
      </c>
      <c r="AN143" s="19">
        <f>Table5[[#This Row],[INV. QTY]]-Table5[[#This Row],[Required For Braze Cutters Check]]</f>
        <v>0</v>
      </c>
      <c r="AO143" s="19" t="str">
        <f>IF($AN143&lt;0,Table5[[#This Row],[Component]],"")</f>
        <v/>
      </c>
      <c r="AT143">
        <f t="shared" si="43"/>
        <v>0</v>
      </c>
      <c r="BA143">
        <f t="shared" si="37"/>
        <v>0</v>
      </c>
      <c r="BC143" s="159">
        <f>IFERROR(VLOOKUP(BA:BA,Table4[],8,FALSE),Table6[[#This Row],[Not Exist BOM''s]])</f>
        <v>0</v>
      </c>
    </row>
    <row r="144" spans="1:55" ht="24.75" customHeight="1" x14ac:dyDescent="0.35">
      <c r="A144" s="109">
        <v>20230364</v>
      </c>
      <c r="B144" s="709"/>
      <c r="C144" s="109">
        <v>14104608</v>
      </c>
      <c r="D144" s="109" t="s">
        <v>631</v>
      </c>
      <c r="E144" s="109" t="s">
        <v>645</v>
      </c>
      <c r="F144" s="109"/>
      <c r="G144" s="109"/>
      <c r="H144" s="140">
        <v>1262047</v>
      </c>
      <c r="I144" s="140">
        <v>1235768</v>
      </c>
      <c r="J144" s="26">
        <f>IF(H144&lt;&gt;"",IF(AND(C144&lt;&gt;"",IFERROR(MATCH(C144,Table10[Serial No.],0),0)),0,1),0)</f>
        <v>0</v>
      </c>
      <c r="K144" s="21"/>
      <c r="L144" s="539" t="str">
        <f t="shared" ca="1" si="40"/>
        <v/>
      </c>
      <c r="P144"/>
      <c r="Q144"/>
      <c r="S144" s="281">
        <v>1201087</v>
      </c>
      <c r="T144" s="278" t="s">
        <v>309</v>
      </c>
      <c r="U144" s="278" t="s">
        <v>633</v>
      </c>
      <c r="V144" s="25">
        <v>1</v>
      </c>
      <c r="W144" s="284">
        <v>1146346</v>
      </c>
      <c r="X144" s="618" t="str">
        <f>IFERROR(INDEX(Table14[],MATCH($W144,Table14[SAPNo],0),3),"")</f>
        <v>1313 CT418 18-60</v>
      </c>
      <c r="Y144" s="284">
        <v>16</v>
      </c>
      <c r="Z144" s="25">
        <f t="shared" si="41"/>
        <v>0</v>
      </c>
      <c r="AA144" s="25">
        <f t="shared" si="42"/>
        <v>0</v>
      </c>
      <c r="AB144" s="23">
        <f ca="1">IFERROR(INDEX('Cutters Inventory 12-30-2025'!A:W,MATCH($W144,'Cutters Inventory 12-30-2025'!B:B,0),14),0)</f>
        <v>558</v>
      </c>
      <c r="AC144" s="23">
        <f>SUMIF(Table1[LEVEL 5 MAT NO.],S144,Table1[Braze Plan])</f>
        <v>0</v>
      </c>
      <c r="AD144" s="23">
        <f>Table4[[#This Row],[Quantity]]*Table4[[#This Row],[Bits Braze Plan]]</f>
        <v>0</v>
      </c>
      <c r="AE144" s="23">
        <f ca="1">Table4[[#This Row],[INV. QTY]]-Table4[[#This Row],[Required For Braze Cutters Check]]</f>
        <v>558</v>
      </c>
      <c r="AF144" s="23">
        <f t="shared" ca="1" si="39"/>
        <v>558</v>
      </c>
      <c r="AG144" s="628" t="s">
        <v>664</v>
      </c>
      <c r="AJ144" s="19">
        <f t="shared" si="38"/>
        <v>0</v>
      </c>
      <c r="AK144" s="19">
        <f>SUMIF(Table4[Component],AJ144,Table4[Qty of Cutters in these MATs])</f>
        <v>0</v>
      </c>
      <c r="AL144" s="19">
        <f>SUMIF(Table4[Component],AJ144,Table4[Required For Braze Cutters Check])</f>
        <v>0</v>
      </c>
      <c r="AM144" s="19">
        <f>IFERROR(INDEX('Cutters Inventory 12-30-2025'!A:W,MATCH($AI144,'Cutters Inventory 12-30-2025'!B:B,0),14),0)</f>
        <v>0</v>
      </c>
      <c r="AN144" s="19">
        <f>Table5[[#This Row],[INV. QTY]]-Table5[[#This Row],[Required For Braze Cutters Check]]</f>
        <v>0</v>
      </c>
      <c r="AO144" s="19" t="str">
        <f>IF($AN144&lt;0,Table5[[#This Row],[Component]],"")</f>
        <v/>
      </c>
      <c r="AT144">
        <f t="shared" si="43"/>
        <v>0</v>
      </c>
      <c r="BA144">
        <f t="shared" si="37"/>
        <v>0</v>
      </c>
      <c r="BC144" s="159">
        <f>IFERROR(VLOOKUP(BA:BA,Table4[],8,FALSE),Table6[[#This Row],[Not Exist BOM''s]])</f>
        <v>0</v>
      </c>
    </row>
    <row r="145" spans="1:55" ht="24.75" customHeight="1" x14ac:dyDescent="0.25">
      <c r="A145" s="109">
        <v>20230364</v>
      </c>
      <c r="B145" s="709"/>
      <c r="C145" s="109">
        <v>14104604</v>
      </c>
      <c r="D145" s="109" t="s">
        <v>631</v>
      </c>
      <c r="E145" s="109" t="s">
        <v>645</v>
      </c>
      <c r="F145" s="109"/>
      <c r="G145" s="109"/>
      <c r="H145" s="140">
        <v>1262047</v>
      </c>
      <c r="I145" s="140">
        <v>1235768</v>
      </c>
      <c r="J145" s="26">
        <f>IF(H145&lt;&gt;"",IF(AND(C145&lt;&gt;"",IFERROR(MATCH(C145,Table10[Serial No.],0),0)),0,1),0)</f>
        <v>0</v>
      </c>
      <c r="K145" s="21"/>
      <c r="L145" s="539" t="str">
        <f t="shared" ca="1" si="40"/>
        <v/>
      </c>
      <c r="P145"/>
      <c r="Q145"/>
      <c r="S145" s="281">
        <v>1201087</v>
      </c>
      <c r="T145" s="278" t="s">
        <v>309</v>
      </c>
      <c r="U145" s="278" t="s">
        <v>633</v>
      </c>
      <c r="V145" s="25">
        <v>2</v>
      </c>
      <c r="W145" s="284">
        <v>1165769</v>
      </c>
      <c r="X145" s="19" t="str">
        <f>IFERROR(INDEX(Table14[],MATCH($W145,Table14[SAPNo],0),3),"")</f>
        <v/>
      </c>
      <c r="Y145" s="284">
        <v>8</v>
      </c>
      <c r="Z145" s="25">
        <f t="shared" si="41"/>
        <v>0</v>
      </c>
      <c r="AA145" s="25">
        <f t="shared" si="42"/>
        <v>0</v>
      </c>
      <c r="AB145" s="23">
        <f>IFERROR(INDEX('Cutters Inventory 12-30-2025'!A:W,MATCH($W145,'Cutters Inventory 12-30-2025'!B:B,0),14),0)</f>
        <v>0</v>
      </c>
      <c r="AC145" s="23">
        <f>SUMIF(Table1[LEVEL 5 MAT NO.],S145,Table1[Braze Plan])</f>
        <v>0</v>
      </c>
      <c r="AD145" s="23">
        <f>Table4[[#This Row],[Quantity]]*Table4[[#This Row],[Bits Braze Plan]]</f>
        <v>0</v>
      </c>
      <c r="AE145" s="23">
        <f>Table4[[#This Row],[INV. QTY]]-Table4[[#This Row],[Required For Braze Cutters Check]]</f>
        <v>0</v>
      </c>
      <c r="AF145" s="23">
        <f t="shared" si="39"/>
        <v>0</v>
      </c>
      <c r="AG145" s="23"/>
      <c r="AJ145" s="19">
        <f t="shared" si="38"/>
        <v>0</v>
      </c>
      <c r="AK145" s="19">
        <f>SUMIF(Table4[Component],AJ145,Table4[Qty of Cutters in these MATs])</f>
        <v>0</v>
      </c>
      <c r="AL145" s="19">
        <f>SUMIF(Table4[Component],AJ145,Table4[Required For Braze Cutters Check])</f>
        <v>0</v>
      </c>
      <c r="AM145" s="19">
        <f>IFERROR(INDEX('Cutters Inventory 12-30-2025'!A:W,MATCH($AI145,'Cutters Inventory 12-30-2025'!B:B,0),14),0)</f>
        <v>0</v>
      </c>
      <c r="AN145" s="19">
        <f>Table5[[#This Row],[INV. QTY]]-Table5[[#This Row],[Required For Braze Cutters Check]]</f>
        <v>0</v>
      </c>
      <c r="AO145" s="19" t="str">
        <f>IF($AN145&lt;0,Table5[[#This Row],[Component]],"")</f>
        <v/>
      </c>
      <c r="AT145">
        <f t="shared" si="43"/>
        <v>0</v>
      </c>
      <c r="BA145">
        <f t="shared" si="37"/>
        <v>0</v>
      </c>
      <c r="BC145" s="159">
        <f>IFERROR(VLOOKUP(BA:BA,Table4[],8,FALSE),Table6[[#This Row],[Not Exist BOM''s]])</f>
        <v>0</v>
      </c>
    </row>
    <row r="146" spans="1:55" ht="24.75" customHeight="1" x14ac:dyDescent="0.25">
      <c r="A146" s="109">
        <v>20230364</v>
      </c>
      <c r="B146" s="709"/>
      <c r="C146" s="109">
        <v>14104602</v>
      </c>
      <c r="D146" s="109" t="s">
        <v>631</v>
      </c>
      <c r="E146" s="109" t="s">
        <v>645</v>
      </c>
      <c r="F146" s="109"/>
      <c r="G146" s="109"/>
      <c r="H146" s="140">
        <v>1262047</v>
      </c>
      <c r="I146" s="140">
        <v>1235768</v>
      </c>
      <c r="J146" s="26">
        <f>IF(H146&lt;&gt;"",IF(AND(C146&lt;&gt;"",IFERROR(MATCH(C146,Table10[Serial No.],0),0)),0,1),0)</f>
        <v>0</v>
      </c>
      <c r="K146" s="21"/>
      <c r="L146" s="539" t="str">
        <f t="shared" ca="1" si="40"/>
        <v/>
      </c>
      <c r="P146"/>
      <c r="Q146"/>
      <c r="S146" s="281">
        <v>1201087</v>
      </c>
      <c r="T146" s="278" t="s">
        <v>309</v>
      </c>
      <c r="U146" s="278" t="s">
        <v>633</v>
      </c>
      <c r="V146" s="25">
        <v>3</v>
      </c>
      <c r="W146" s="284">
        <v>871781</v>
      </c>
      <c r="X146" s="19" t="str">
        <f>IFERROR(INDEX(Table14[],MATCH($W146,Table14[SAPNo],0),3),"")</f>
        <v>Round 1313 CT200  0.018" (B)</v>
      </c>
      <c r="Y146" s="284">
        <v>5</v>
      </c>
      <c r="Z146" s="25">
        <f t="shared" si="41"/>
        <v>0</v>
      </c>
      <c r="AA146" s="25">
        <f t="shared" si="42"/>
        <v>0</v>
      </c>
      <c r="AB146" s="23">
        <f ca="1">IFERROR(INDEX('Cutters Inventory 12-30-2025'!A:W,MATCH($W146,'Cutters Inventory 12-30-2025'!B:B,0),14),0)</f>
        <v>843</v>
      </c>
      <c r="AC146" s="23">
        <f>SUMIF(Table1[LEVEL 5 MAT NO.],S146,Table1[Braze Plan])</f>
        <v>0</v>
      </c>
      <c r="AD146" s="23">
        <f>Table4[[#This Row],[Quantity]]*Table4[[#This Row],[Bits Braze Plan]]</f>
        <v>0</v>
      </c>
      <c r="AE146" s="23">
        <f ca="1">Table4[[#This Row],[INV. QTY]]-Table4[[#This Row],[Required For Braze Cutters Check]]</f>
        <v>843</v>
      </c>
      <c r="AF146" s="23">
        <f t="shared" ca="1" si="39"/>
        <v>843</v>
      </c>
      <c r="AG146" s="23"/>
      <c r="AJ146"/>
      <c r="AK146"/>
      <c r="AT146">
        <f t="shared" si="43"/>
        <v>0</v>
      </c>
      <c r="BA146">
        <f t="shared" si="37"/>
        <v>0</v>
      </c>
      <c r="BC146" s="159">
        <f>IFERROR(VLOOKUP(BA:BA,Table4[],8,FALSE),Table6[[#This Row],[Not Exist BOM''s]])</f>
        <v>0</v>
      </c>
    </row>
    <row r="147" spans="1:55" ht="24.75" customHeight="1" x14ac:dyDescent="0.25">
      <c r="A147" s="109">
        <v>20230364</v>
      </c>
      <c r="B147" s="709"/>
      <c r="C147" s="109">
        <v>14104605</v>
      </c>
      <c r="D147" s="109" t="s">
        <v>631</v>
      </c>
      <c r="E147" s="109" t="s">
        <v>645</v>
      </c>
      <c r="F147" s="109"/>
      <c r="G147" s="109"/>
      <c r="H147" s="140">
        <v>1262047</v>
      </c>
      <c r="I147" s="140">
        <v>1235768</v>
      </c>
      <c r="J147" s="26">
        <f>IF(H147&lt;&gt;"",IF(AND(C147&lt;&gt;"",IFERROR(MATCH(C147,Table10[Serial No.],0),0)),0,1),0)</f>
        <v>0</v>
      </c>
      <c r="K147" s="21"/>
      <c r="L147" s="539" t="str">
        <f t="shared" ca="1" si="40"/>
        <v/>
      </c>
      <c r="P147"/>
      <c r="Q147"/>
      <c r="S147" s="546">
        <v>1207425</v>
      </c>
      <c r="T147" s="278" t="s">
        <v>319</v>
      </c>
      <c r="U147" s="278" t="s">
        <v>665</v>
      </c>
      <c r="V147" s="25">
        <v>1</v>
      </c>
      <c r="W147" s="284">
        <v>1282370</v>
      </c>
      <c r="X147" s="19" t="str">
        <f>IFERROR(INDEX(Table14[],MATCH($W147,Table14[SAPNo],0),3),"")</f>
        <v>1613 CT436Mv3 U-60</v>
      </c>
      <c r="Y147" s="284">
        <v>46</v>
      </c>
      <c r="Z147" s="25">
        <f t="shared" si="41"/>
        <v>1</v>
      </c>
      <c r="AA147" s="25">
        <f t="shared" si="42"/>
        <v>46</v>
      </c>
      <c r="AB147" s="23">
        <f ca="1">IFERROR(INDEX('Cutters Inventory 12-30-2025'!A:W,MATCH($W147,'Cutters Inventory 12-30-2025'!B:B,0),14),0)</f>
        <v>193</v>
      </c>
      <c r="AC147" s="23">
        <f>SUMIF(Table1[LEVEL 5 MAT NO.],S147,Table1[Braze Plan])</f>
        <v>0</v>
      </c>
      <c r="AD147" s="23">
        <f>Table4[[#This Row],[Quantity]]*Table4[[#This Row],[Bits Braze Plan]]</f>
        <v>0</v>
      </c>
      <c r="AE147" s="23">
        <f ca="1">Table4[[#This Row],[INV. QTY]]-Table4[[#This Row],[Required For Braze Cutters Check]]</f>
        <v>193</v>
      </c>
      <c r="AF147" s="23">
        <f t="shared" ca="1" si="39"/>
        <v>193</v>
      </c>
      <c r="AG147" s="23"/>
      <c r="AJ147"/>
      <c r="AK147"/>
      <c r="AT147">
        <f t="shared" si="43"/>
        <v>0</v>
      </c>
      <c r="BA147">
        <f t="shared" si="37"/>
        <v>0</v>
      </c>
      <c r="BC147" s="159">
        <f>IFERROR(VLOOKUP(BA:BA,Table4[],8,FALSE),Table6[[#This Row],[Not Exist BOM''s]])</f>
        <v>0</v>
      </c>
    </row>
    <row r="148" spans="1:55" ht="24.75" customHeight="1" x14ac:dyDescent="0.25">
      <c r="A148" s="109">
        <v>20230364</v>
      </c>
      <c r="B148" s="709"/>
      <c r="C148" s="109">
        <v>14104607</v>
      </c>
      <c r="D148" s="109" t="s">
        <v>631</v>
      </c>
      <c r="E148" s="109" t="s">
        <v>645</v>
      </c>
      <c r="F148" s="109"/>
      <c r="G148" s="109"/>
      <c r="H148" s="140">
        <v>1262047</v>
      </c>
      <c r="I148" s="140">
        <v>1235768</v>
      </c>
      <c r="J148" s="26">
        <f>IF(H148&lt;&gt;"",IF(AND(C148&lt;&gt;"",IFERROR(MATCH(C148,Table10[Serial No.],0),0)),0,1),0)</f>
        <v>0</v>
      </c>
      <c r="K148" s="21"/>
      <c r="L148" s="539" t="str">
        <f t="shared" ca="1" si="40"/>
        <v/>
      </c>
      <c r="P148"/>
      <c r="Q148"/>
      <c r="S148" s="546">
        <v>1207425</v>
      </c>
      <c r="T148" s="278" t="s">
        <v>319</v>
      </c>
      <c r="U148" s="278" t="s">
        <v>665</v>
      </c>
      <c r="V148" s="25">
        <v>2</v>
      </c>
      <c r="W148" s="284">
        <v>1146737</v>
      </c>
      <c r="X148" s="19" t="str">
        <f>IFERROR(INDEX(Table14[],MATCH($W148,Table14[SAPNo],0),3),"")</f>
        <v>1613 CT418 18-60</v>
      </c>
      <c r="Y148" s="284">
        <v>31</v>
      </c>
      <c r="Z148" s="25">
        <f t="shared" si="41"/>
        <v>1</v>
      </c>
      <c r="AA148" s="25">
        <f t="shared" si="42"/>
        <v>31</v>
      </c>
      <c r="AB148" s="23">
        <f ca="1">IFERROR(INDEX('Cutters Inventory 12-30-2025'!A:W,MATCH($W148,'Cutters Inventory 12-30-2025'!B:B,0),14),0)</f>
        <v>1281</v>
      </c>
      <c r="AC148" s="23">
        <f>SUMIF(Table1[LEVEL 5 MAT NO.],S148,Table1[Braze Plan])</f>
        <v>0</v>
      </c>
      <c r="AD148" s="23">
        <f>Table4[[#This Row],[Quantity]]*Table4[[#This Row],[Bits Braze Plan]]</f>
        <v>0</v>
      </c>
      <c r="AE148" s="23">
        <f ca="1">Table4[[#This Row],[INV. QTY]]-Table4[[#This Row],[Required For Braze Cutters Check]]</f>
        <v>1281</v>
      </c>
      <c r="AF148" s="23">
        <f t="shared" ca="1" si="39"/>
        <v>1281</v>
      </c>
      <c r="AG148" s="23"/>
      <c r="AJ148"/>
      <c r="AK148"/>
      <c r="AT148">
        <f t="shared" si="43"/>
        <v>0</v>
      </c>
      <c r="BA148">
        <f t="shared" si="37"/>
        <v>0</v>
      </c>
      <c r="BC148" s="159">
        <f>IFERROR(VLOOKUP(BA:BA,Table4[],8,FALSE),Table6[[#This Row],[Not Exist BOM''s]])</f>
        <v>0</v>
      </c>
    </row>
    <row r="149" spans="1:55" ht="24.75" customHeight="1" x14ac:dyDescent="0.25">
      <c r="A149" s="109">
        <v>20230401</v>
      </c>
      <c r="B149" s="709"/>
      <c r="C149" s="109">
        <v>14136221</v>
      </c>
      <c r="D149" s="109" t="s">
        <v>304</v>
      </c>
      <c r="E149" s="109" t="s">
        <v>666</v>
      </c>
      <c r="F149" s="109" t="s">
        <v>103</v>
      </c>
      <c r="G149" s="109">
        <v>4</v>
      </c>
      <c r="H149" s="140">
        <v>1270617</v>
      </c>
      <c r="I149" s="140">
        <v>1216970</v>
      </c>
      <c r="J149" s="26">
        <f>IF(H149&lt;&gt;"",IF(AND(C149&lt;&gt;"",IFERROR(MATCH(C149,Table10[Serial No.],0),0)),0,1),0)</f>
        <v>1</v>
      </c>
      <c r="K149" s="21"/>
      <c r="L149" s="539" t="str">
        <f t="shared" ca="1" si="40"/>
        <v/>
      </c>
      <c r="P149"/>
      <c r="Q149"/>
      <c r="S149" s="546">
        <v>1207425</v>
      </c>
      <c r="T149" s="278" t="s">
        <v>319</v>
      </c>
      <c r="U149" s="278" t="s">
        <v>665</v>
      </c>
      <c r="V149" s="25">
        <v>3</v>
      </c>
      <c r="W149" s="284">
        <v>1126402</v>
      </c>
      <c r="X149" s="19" t="str">
        <f>IFERROR(INDEX(Table14[],MATCH($W149,Table14[SAPNo],0),3),"")</f>
        <v>1613 CT421 16-60</v>
      </c>
      <c r="Y149" s="284">
        <v>30</v>
      </c>
      <c r="Z149" s="25">
        <f t="shared" si="41"/>
        <v>1</v>
      </c>
      <c r="AA149" s="25">
        <f t="shared" si="42"/>
        <v>30</v>
      </c>
      <c r="AB149" s="23">
        <f ca="1">IFERROR(INDEX('Cutters Inventory 12-30-2025'!A:W,MATCH($W149,'Cutters Inventory 12-30-2025'!B:B,0),14),0)</f>
        <v>422</v>
      </c>
      <c r="AC149" s="23">
        <f>SUMIF(Table1[LEVEL 5 MAT NO.],S149,Table1[Braze Plan])</f>
        <v>0</v>
      </c>
      <c r="AD149" s="23">
        <f>Table4[[#This Row],[Quantity]]*Table4[[#This Row],[Bits Braze Plan]]</f>
        <v>0</v>
      </c>
      <c r="AE149" s="23">
        <f ca="1">Table4[[#This Row],[INV. QTY]]-Table4[[#This Row],[Required For Braze Cutters Check]]</f>
        <v>422</v>
      </c>
      <c r="AF149" s="23">
        <f t="shared" ca="1" si="39"/>
        <v>422</v>
      </c>
      <c r="AG149" s="23"/>
      <c r="AJ149"/>
      <c r="AK149"/>
      <c r="AT149">
        <f t="shared" si="43"/>
        <v>0</v>
      </c>
      <c r="BA149">
        <f t="shared" si="37"/>
        <v>0</v>
      </c>
      <c r="BC149" s="159">
        <f>IFERROR(VLOOKUP(BA:BA,Table4[],8,FALSE),Table6[[#This Row],[Not Exist BOM''s]])</f>
        <v>0</v>
      </c>
    </row>
    <row r="150" spans="1:55" ht="24.75" customHeight="1" x14ac:dyDescent="0.25">
      <c r="A150" s="109">
        <v>20230401</v>
      </c>
      <c r="B150" s="709"/>
      <c r="C150" s="109">
        <v>14136223</v>
      </c>
      <c r="D150" s="109" t="s">
        <v>304</v>
      </c>
      <c r="E150" s="109" t="s">
        <v>666</v>
      </c>
      <c r="F150" s="109" t="s">
        <v>103</v>
      </c>
      <c r="G150" s="109">
        <v>4</v>
      </c>
      <c r="H150" s="140">
        <v>1270617</v>
      </c>
      <c r="I150" s="140">
        <v>1216970</v>
      </c>
      <c r="J150" s="26">
        <f>IF(H150&lt;&gt;"",IF(AND(C150&lt;&gt;"",IFERROR(MATCH(C150,Table10[Serial No.],0),0)),0,1),0)</f>
        <v>1</v>
      </c>
      <c r="K150" s="21"/>
      <c r="L150" s="539" t="str">
        <f t="shared" ca="1" si="40"/>
        <v/>
      </c>
      <c r="P150"/>
      <c r="Q150"/>
      <c r="S150" s="546">
        <v>1207425</v>
      </c>
      <c r="T150" s="278" t="s">
        <v>319</v>
      </c>
      <c r="U150" s="278" t="s">
        <v>665</v>
      </c>
      <c r="V150" s="25">
        <v>4</v>
      </c>
      <c r="W150" s="284">
        <v>625854</v>
      </c>
      <c r="X150" s="19" t="str">
        <f>IFERROR(INDEX(Table14[],MATCH($W150,Table14[SAPNo],0),3),"")</f>
        <v>Carbide IA 1318    (C)</v>
      </c>
      <c r="Y150" s="284">
        <v>17</v>
      </c>
      <c r="Z150" s="25">
        <f t="shared" si="41"/>
        <v>1</v>
      </c>
      <c r="AA150" s="25">
        <f t="shared" si="42"/>
        <v>17</v>
      </c>
      <c r="AB150" s="23">
        <f ca="1">IFERROR(INDEX('Cutters Inventory 12-30-2025'!A:W,MATCH($W150,'Cutters Inventory 12-30-2025'!B:B,0),14),0)</f>
        <v>74</v>
      </c>
      <c r="AC150" s="23">
        <f>SUMIF(Table1[LEVEL 5 MAT NO.],S150,Table1[Braze Plan])</f>
        <v>0</v>
      </c>
      <c r="AD150" s="23">
        <f>Table4[[#This Row],[Quantity]]*Table4[[#This Row],[Bits Braze Plan]]</f>
        <v>0</v>
      </c>
      <c r="AE150" s="23">
        <f ca="1">Table4[[#This Row],[INV. QTY]]-Table4[[#This Row],[Required For Braze Cutters Check]]</f>
        <v>74</v>
      </c>
      <c r="AF150" s="23">
        <f t="shared" ca="1" si="39"/>
        <v>74</v>
      </c>
      <c r="AG150" s="23"/>
      <c r="AJ150"/>
      <c r="AK150"/>
      <c r="BA150">
        <f t="shared" si="37"/>
        <v>0</v>
      </c>
      <c r="BC150" s="159">
        <f>IFERROR(VLOOKUP(BA:BA,Table4[],8,FALSE),Table6[[#This Row],[Not Exist BOM''s]])</f>
        <v>0</v>
      </c>
    </row>
    <row r="151" spans="1:55" ht="24.75" customHeight="1" x14ac:dyDescent="0.25">
      <c r="A151" s="109">
        <v>20230401</v>
      </c>
      <c r="B151" s="709"/>
      <c r="C151" s="109">
        <v>14136220</v>
      </c>
      <c r="D151" s="109" t="s">
        <v>304</v>
      </c>
      <c r="E151" s="109" t="s">
        <v>666</v>
      </c>
      <c r="F151" s="109" t="s">
        <v>103</v>
      </c>
      <c r="G151" s="109">
        <v>4</v>
      </c>
      <c r="H151" s="140">
        <v>1270617</v>
      </c>
      <c r="I151" s="140">
        <v>1216970</v>
      </c>
      <c r="J151" s="26">
        <f>IF(H151&lt;&gt;"",IF(AND(C151&lt;&gt;"",IFERROR(MATCH(C151,Table10[Serial No.],0),0)),0,1),0)</f>
        <v>1</v>
      </c>
      <c r="K151" s="21"/>
      <c r="L151" s="539" t="str">
        <f t="shared" ca="1" si="40"/>
        <v/>
      </c>
      <c r="P151"/>
      <c r="Q151"/>
      <c r="S151" s="546">
        <v>1207425</v>
      </c>
      <c r="T151" s="278" t="s">
        <v>319</v>
      </c>
      <c r="U151" s="278" t="s">
        <v>665</v>
      </c>
      <c r="V151" s="25">
        <v>5</v>
      </c>
      <c r="W151" s="284">
        <v>418525</v>
      </c>
      <c r="X151" s="19" t="str">
        <f>IFERROR(INDEX(Table14[],MATCH($W151,Table14[SAPNo],0),3),"")</f>
        <v>Drop In 1308 CT31   (B)</v>
      </c>
      <c r="Y151" s="284">
        <v>6</v>
      </c>
      <c r="Z151" s="25">
        <f t="shared" si="41"/>
        <v>1</v>
      </c>
      <c r="AA151" s="25">
        <f t="shared" si="42"/>
        <v>6</v>
      </c>
      <c r="AB151" s="23">
        <f ca="1">IFERROR(INDEX('Cutters Inventory 12-30-2025'!A:W,MATCH($W151,'Cutters Inventory 12-30-2025'!B:B,0),14),0)</f>
        <v>933</v>
      </c>
      <c r="AC151" s="23">
        <f>SUMIF(Table1[LEVEL 5 MAT NO.],S151,Table1[Braze Plan])</f>
        <v>0</v>
      </c>
      <c r="AD151" s="23">
        <f>Table4[[#This Row],[Quantity]]*Table4[[#This Row],[Bits Braze Plan]]</f>
        <v>0</v>
      </c>
      <c r="AE151" s="23">
        <f ca="1">Table4[[#This Row],[INV. QTY]]-Table4[[#This Row],[Required For Braze Cutters Check]]</f>
        <v>933</v>
      </c>
      <c r="AF151" s="23">
        <f t="shared" ca="1" si="39"/>
        <v>933</v>
      </c>
      <c r="AG151" s="23"/>
      <c r="AJ151"/>
      <c r="AK151"/>
      <c r="BA151">
        <f t="shared" si="37"/>
        <v>0</v>
      </c>
      <c r="BC151" s="159">
        <f>IFERROR(VLOOKUP(BA:BA,Table4[],8,FALSE),Table6[[#This Row],[Not Exist BOM''s]])</f>
        <v>0</v>
      </c>
    </row>
    <row r="152" spans="1:55" ht="24.75" customHeight="1" x14ac:dyDescent="0.25">
      <c r="A152" s="109">
        <v>20230401</v>
      </c>
      <c r="B152" s="709"/>
      <c r="C152" s="109">
        <v>14136224</v>
      </c>
      <c r="D152" s="109" t="s">
        <v>304</v>
      </c>
      <c r="E152" s="109" t="s">
        <v>666</v>
      </c>
      <c r="F152" s="109" t="s">
        <v>103</v>
      </c>
      <c r="G152" s="109">
        <v>4</v>
      </c>
      <c r="H152" s="140">
        <v>1270617</v>
      </c>
      <c r="I152" s="140">
        <v>1216970</v>
      </c>
      <c r="J152" s="26">
        <f>IF(H152&lt;&gt;"",IF(AND(C152&lt;&gt;"",IFERROR(MATCH(C152,Table10[Serial No.],0),0)),0,1),0)</f>
        <v>1</v>
      </c>
      <c r="K152" s="21"/>
      <c r="L152" s="539" t="str">
        <f t="shared" ca="1" si="40"/>
        <v/>
      </c>
      <c r="P152"/>
      <c r="Q152"/>
      <c r="S152" s="281">
        <v>1207508</v>
      </c>
      <c r="T152" s="278" t="s">
        <v>631</v>
      </c>
      <c r="U152" s="278" t="s">
        <v>667</v>
      </c>
      <c r="V152" s="25">
        <v>1</v>
      </c>
      <c r="W152" s="284">
        <v>1039033</v>
      </c>
      <c r="X152" s="19" t="str">
        <f>IFERROR(INDEX(Table14[],MATCH($W152,Table14[SAPNo],0),3),"")</f>
        <v>Round 1308 CT138  10C (S)</v>
      </c>
      <c r="Y152" s="284">
        <v>21</v>
      </c>
      <c r="Z152" s="25">
        <f t="shared" si="41"/>
        <v>0</v>
      </c>
      <c r="AA152" s="25">
        <f t="shared" si="42"/>
        <v>0</v>
      </c>
      <c r="AB152" s="23">
        <f ca="1">IFERROR(INDEX('Cutters Inventory 12-30-2025'!A:W,MATCH($W152,'Cutters Inventory 12-30-2025'!B:B,0),14),0)</f>
        <v>0</v>
      </c>
      <c r="AC152" s="23">
        <f>SUMIF(Table1[LEVEL 5 MAT NO.],S152,Table1[Braze Plan])</f>
        <v>0</v>
      </c>
      <c r="AD152" s="23">
        <f>Table4[[#This Row],[Quantity]]*Table4[[#This Row],[Bits Braze Plan]]</f>
        <v>0</v>
      </c>
      <c r="AE152" s="23">
        <f ca="1">Table4[[#This Row],[INV. QTY]]-Table4[[#This Row],[Required For Braze Cutters Check]]</f>
        <v>0</v>
      </c>
      <c r="AF152" s="23">
        <f t="shared" ca="1" si="39"/>
        <v>0</v>
      </c>
      <c r="AG152" s="23"/>
      <c r="AJ152"/>
      <c r="AK152"/>
      <c r="BA152">
        <f t="shared" si="37"/>
        <v>0</v>
      </c>
      <c r="BC152" s="159">
        <f>IFERROR(VLOOKUP(BA:BA,Table4[],8,FALSE),Table6[[#This Row],[Not Exist BOM''s]])</f>
        <v>0</v>
      </c>
    </row>
    <row r="153" spans="1:55" ht="24.75" customHeight="1" x14ac:dyDescent="0.25">
      <c r="A153" s="109">
        <v>20230401</v>
      </c>
      <c r="B153" s="709"/>
      <c r="C153" s="109">
        <v>14136222</v>
      </c>
      <c r="D153" s="109" t="s">
        <v>304</v>
      </c>
      <c r="E153" s="109" t="s">
        <v>666</v>
      </c>
      <c r="F153" s="109" t="s">
        <v>103</v>
      </c>
      <c r="G153" s="109">
        <v>4</v>
      </c>
      <c r="H153" s="140">
        <v>1270617</v>
      </c>
      <c r="I153" s="140">
        <v>1216970</v>
      </c>
      <c r="J153" s="26">
        <f>IF(H153&lt;&gt;"",IF(AND(C153&lt;&gt;"",IFERROR(MATCH(C153,Table10[Serial No.],0),0)),0,1),0)</f>
        <v>1</v>
      </c>
      <c r="K153" s="21"/>
      <c r="L153" s="539" t="str">
        <f t="shared" ca="1" si="40"/>
        <v/>
      </c>
      <c r="P153"/>
      <c r="Q153"/>
      <c r="S153" s="281">
        <v>1207508</v>
      </c>
      <c r="T153" s="278" t="s">
        <v>631</v>
      </c>
      <c r="U153" s="278" t="s">
        <v>667</v>
      </c>
      <c r="V153" s="25">
        <v>2</v>
      </c>
      <c r="W153" s="284">
        <v>1039036</v>
      </c>
      <c r="X153" s="19" t="str">
        <f>IFERROR(INDEX(Table14[],MATCH($W153,Table14[SAPNo],0),3),"")</f>
        <v>Round 1313 CT138  0.018" (S)</v>
      </c>
      <c r="Y153" s="284">
        <v>12</v>
      </c>
      <c r="Z153" s="25">
        <f t="shared" si="41"/>
        <v>0</v>
      </c>
      <c r="AA153" s="25">
        <f t="shared" si="42"/>
        <v>0</v>
      </c>
      <c r="AB153" s="23">
        <f ca="1">IFERROR(INDEX('Cutters Inventory 12-30-2025'!A:W,MATCH($W153,'Cutters Inventory 12-30-2025'!B:B,0),14),0)</f>
        <v>2</v>
      </c>
      <c r="AC153" s="23">
        <f>SUMIF(Table1[LEVEL 5 MAT NO.],S153,Table1[Braze Plan])</f>
        <v>0</v>
      </c>
      <c r="AD153" s="23">
        <f>Table4[[#This Row],[Quantity]]*Table4[[#This Row],[Bits Braze Plan]]</f>
        <v>0</v>
      </c>
      <c r="AE153" s="23">
        <f ca="1">Table4[[#This Row],[INV. QTY]]-Table4[[#This Row],[Required For Braze Cutters Check]]</f>
        <v>2</v>
      </c>
      <c r="AF153" s="23">
        <f t="shared" ca="1" si="39"/>
        <v>2</v>
      </c>
      <c r="AG153" s="23"/>
      <c r="AJ153"/>
      <c r="AK153"/>
      <c r="BA153">
        <f t="shared" si="37"/>
        <v>0</v>
      </c>
      <c r="BC153" s="159">
        <f>IFERROR(VLOOKUP(BA:BA,Table4[],8,FALSE),Table6[[#This Row],[Not Exist BOM''s]])</f>
        <v>0</v>
      </c>
    </row>
    <row r="154" spans="1:55" ht="24.75" customHeight="1" x14ac:dyDescent="0.25">
      <c r="A154" s="109">
        <v>20230401</v>
      </c>
      <c r="B154" s="709"/>
      <c r="C154" s="109">
        <v>14109674</v>
      </c>
      <c r="D154" s="109" t="s">
        <v>631</v>
      </c>
      <c r="E154" s="109" t="s">
        <v>645</v>
      </c>
      <c r="F154" s="109" t="s">
        <v>103</v>
      </c>
      <c r="G154" s="109">
        <v>4</v>
      </c>
      <c r="H154" s="140">
        <v>1262047</v>
      </c>
      <c r="I154" s="140">
        <v>1235768</v>
      </c>
      <c r="J154" s="26">
        <f>IF(H154&lt;&gt;"",IF(AND(C154&lt;&gt;"",IFERROR(MATCH(C154,Table10[Serial No.],0),0)),0,1),0)</f>
        <v>0</v>
      </c>
      <c r="K154" s="21"/>
      <c r="L154" s="539" t="str">
        <f t="shared" ca="1" si="40"/>
        <v/>
      </c>
      <c r="P154"/>
      <c r="Q154"/>
      <c r="S154" s="281">
        <v>1207508</v>
      </c>
      <c r="T154" s="278" t="s">
        <v>631</v>
      </c>
      <c r="U154" s="278" t="s">
        <v>667</v>
      </c>
      <c r="V154" s="25">
        <v>3</v>
      </c>
      <c r="W154" s="284">
        <v>1039034</v>
      </c>
      <c r="X154" s="19" t="str">
        <f>IFERROR(INDEX(Table14[],MATCH($W154,Table14[SAPNo],0),3),"")</f>
        <v>Round 1308 CT138  0.018" (S)</v>
      </c>
      <c r="Y154" s="284">
        <v>10</v>
      </c>
      <c r="Z154" s="25">
        <f t="shared" si="41"/>
        <v>0</v>
      </c>
      <c r="AA154" s="25">
        <f t="shared" si="42"/>
        <v>0</v>
      </c>
      <c r="AB154" s="23">
        <f ca="1">IFERROR(INDEX('Cutters Inventory 12-30-2025'!A:W,MATCH($W154,'Cutters Inventory 12-30-2025'!B:B,0),14),0)</f>
        <v>22</v>
      </c>
      <c r="AC154" s="23">
        <f>SUMIF(Table1[LEVEL 5 MAT NO.],S154,Table1[Braze Plan])</f>
        <v>0</v>
      </c>
      <c r="AD154" s="23">
        <f>Table4[[#This Row],[Quantity]]*Table4[[#This Row],[Bits Braze Plan]]</f>
        <v>0</v>
      </c>
      <c r="AE154" s="23">
        <f ca="1">Table4[[#This Row],[INV. QTY]]-Table4[[#This Row],[Required For Braze Cutters Check]]</f>
        <v>22</v>
      </c>
      <c r="AF154" s="23">
        <f t="shared" ca="1" si="39"/>
        <v>22</v>
      </c>
      <c r="AG154" s="23"/>
      <c r="AJ154"/>
      <c r="AK154"/>
      <c r="BA154">
        <f t="shared" ref="BA154:BA177" si="44">IFERROR(AZ154,"")</f>
        <v>0</v>
      </c>
      <c r="BC154" s="159">
        <f>IFERROR(VLOOKUP(BA:BA,Table4[],8,FALSE),Table6[[#This Row],[Not Exist BOM''s]])</f>
        <v>0</v>
      </c>
    </row>
    <row r="155" spans="1:55" ht="24.75" customHeight="1" x14ac:dyDescent="0.25">
      <c r="A155" s="109">
        <v>20230401</v>
      </c>
      <c r="B155" s="709"/>
      <c r="C155" s="109">
        <v>14109675</v>
      </c>
      <c r="D155" s="109" t="s">
        <v>631</v>
      </c>
      <c r="E155" s="109" t="s">
        <v>645</v>
      </c>
      <c r="F155" s="109" t="s">
        <v>103</v>
      </c>
      <c r="G155" s="109">
        <v>4</v>
      </c>
      <c r="H155" s="140">
        <v>1262047</v>
      </c>
      <c r="I155" s="140">
        <v>1235768</v>
      </c>
      <c r="J155" s="26">
        <f>IF(H155&lt;&gt;"",IF(AND(C155&lt;&gt;"",IFERROR(MATCH(C155,Table10[Serial No.],0),0)),0,1),0)</f>
        <v>0</v>
      </c>
      <c r="K155" s="21"/>
      <c r="L155" s="539" t="str">
        <f t="shared" ca="1" si="40"/>
        <v/>
      </c>
      <c r="S155" s="281">
        <v>1207508</v>
      </c>
      <c r="T155" s="278" t="s">
        <v>631</v>
      </c>
      <c r="U155" s="278" t="s">
        <v>667</v>
      </c>
      <c r="V155" s="25">
        <v>4</v>
      </c>
      <c r="W155" s="284">
        <v>1039058</v>
      </c>
      <c r="X155" s="19" t="str">
        <f>IFERROR(INDEX(Table14[],MATCH($W155,Table14[SAPNo],0),3),"")</f>
        <v>Round 1608 CT138  0.018" (S)</v>
      </c>
      <c r="Y155" s="284">
        <v>8</v>
      </c>
      <c r="Z155" s="25">
        <f t="shared" si="41"/>
        <v>0</v>
      </c>
      <c r="AA155" s="25">
        <f t="shared" si="42"/>
        <v>0</v>
      </c>
      <c r="AB155" s="23">
        <f ca="1">IFERROR(INDEX('Cutters Inventory 12-30-2025'!A:W,MATCH($W155,'Cutters Inventory 12-30-2025'!B:B,0),14),0)</f>
        <v>15</v>
      </c>
      <c r="AC155" s="23">
        <f>SUMIF(Table1[LEVEL 5 MAT NO.],S155,Table1[Braze Plan])</f>
        <v>0</v>
      </c>
      <c r="AD155" s="23">
        <f>Table4[[#This Row],[Quantity]]*Table4[[#This Row],[Bits Braze Plan]]</f>
        <v>0</v>
      </c>
      <c r="AE155" s="23">
        <f ca="1">Table4[[#This Row],[INV. QTY]]-Table4[[#This Row],[Required For Braze Cutters Check]]</f>
        <v>15</v>
      </c>
      <c r="AF155" s="23">
        <f t="shared" ca="1" si="39"/>
        <v>15</v>
      </c>
      <c r="AG155" s="23"/>
      <c r="AJ155"/>
      <c r="AK155"/>
      <c r="BA155">
        <f t="shared" si="44"/>
        <v>0</v>
      </c>
      <c r="BC155" s="159">
        <f>IFERROR(VLOOKUP(BA:BA,Table4[],8,FALSE),Table6[[#This Row],[Not Exist BOM''s]])</f>
        <v>0</v>
      </c>
    </row>
    <row r="156" spans="1:55" ht="24.75" customHeight="1" x14ac:dyDescent="0.25">
      <c r="A156" s="109">
        <v>20230401</v>
      </c>
      <c r="B156" s="709"/>
      <c r="C156" s="109">
        <v>14109676</v>
      </c>
      <c r="D156" s="109" t="s">
        <v>631</v>
      </c>
      <c r="E156" s="109" t="s">
        <v>645</v>
      </c>
      <c r="F156" s="109" t="s">
        <v>103</v>
      </c>
      <c r="G156" s="109">
        <v>4</v>
      </c>
      <c r="H156" s="140">
        <v>1262047</v>
      </c>
      <c r="I156" s="140">
        <v>1235768</v>
      </c>
      <c r="J156" s="26">
        <f>IF(H156&lt;&gt;"",IF(AND(C156&lt;&gt;"",IFERROR(MATCH(C156,Table10[Serial No.],0),0)),0,1),0)</f>
        <v>0</v>
      </c>
      <c r="K156" s="21"/>
      <c r="L156" s="539" t="str">
        <f t="shared" ca="1" si="40"/>
        <v/>
      </c>
      <c r="S156" s="281">
        <v>1207508</v>
      </c>
      <c r="T156" s="278" t="s">
        <v>631</v>
      </c>
      <c r="U156" s="278" t="s">
        <v>667</v>
      </c>
      <c r="V156" s="25">
        <v>5</v>
      </c>
      <c r="W156" s="284">
        <v>418525</v>
      </c>
      <c r="X156" s="19" t="str">
        <f>IFERROR(INDEX(Table14[],MATCH($W156,Table14[SAPNo],0),3),"")</f>
        <v>Drop In 1308 CT31   (B)</v>
      </c>
      <c r="Y156" s="284">
        <v>7</v>
      </c>
      <c r="Z156" s="25">
        <f t="shared" si="41"/>
        <v>0</v>
      </c>
      <c r="AA156" s="25">
        <f t="shared" si="42"/>
        <v>0</v>
      </c>
      <c r="AB156" s="23">
        <f ca="1">IFERROR(INDEX('Cutters Inventory 12-30-2025'!A:W,MATCH($W156,'Cutters Inventory 12-30-2025'!B:B,0),14),0)</f>
        <v>933</v>
      </c>
      <c r="AC156" s="23">
        <f>SUMIF(Table1[LEVEL 5 MAT NO.],S156,Table1[Braze Plan])</f>
        <v>0</v>
      </c>
      <c r="AD156" s="23">
        <f>Table4[[#This Row],[Quantity]]*Table4[[#This Row],[Bits Braze Plan]]</f>
        <v>0</v>
      </c>
      <c r="AE156" s="23">
        <f ca="1">Table4[[#This Row],[INV. QTY]]-Table4[[#This Row],[Required For Braze Cutters Check]]</f>
        <v>933</v>
      </c>
      <c r="AF156" s="23">
        <f t="shared" ca="1" si="39"/>
        <v>933</v>
      </c>
      <c r="AG156" s="23"/>
      <c r="AJ156"/>
      <c r="AK156"/>
      <c r="BA156">
        <f t="shared" si="44"/>
        <v>0</v>
      </c>
      <c r="BC156" s="159">
        <f>IFERROR(VLOOKUP(BA:BA,Table4[],8,FALSE),Table6[[#This Row],[Not Exist BOM''s]])</f>
        <v>0</v>
      </c>
    </row>
    <row r="157" spans="1:55" ht="24.75" customHeight="1" x14ac:dyDescent="0.25">
      <c r="A157" s="109">
        <v>20230401</v>
      </c>
      <c r="B157" s="709"/>
      <c r="C157" s="109">
        <v>14109678</v>
      </c>
      <c r="D157" s="109" t="s">
        <v>631</v>
      </c>
      <c r="E157" s="109" t="s">
        <v>645</v>
      </c>
      <c r="F157" s="109" t="s">
        <v>103</v>
      </c>
      <c r="G157" s="109">
        <v>4</v>
      </c>
      <c r="H157" s="140">
        <v>1262047</v>
      </c>
      <c r="I157" s="140">
        <v>1235768</v>
      </c>
      <c r="J157" s="26">
        <f>IF(H157&lt;&gt;"",IF(AND(C157&lt;&gt;"",IFERROR(MATCH(C157,Table10[Serial No.],0),0)),0,1),0)</f>
        <v>0</v>
      </c>
      <c r="K157" s="21"/>
      <c r="L157" s="539" t="str">
        <f t="shared" ca="1" si="40"/>
        <v/>
      </c>
      <c r="S157" s="281">
        <v>1207508</v>
      </c>
      <c r="T157" s="278" t="s">
        <v>631</v>
      </c>
      <c r="U157" s="278" t="s">
        <v>667</v>
      </c>
      <c r="V157" s="25">
        <v>6</v>
      </c>
      <c r="W157" s="284">
        <v>1126402</v>
      </c>
      <c r="X157" s="19" t="str">
        <f>IFERROR(INDEX(Table14[],MATCH($W157,Table14[SAPNo],0),3),"")</f>
        <v>1613 CT421 16-60</v>
      </c>
      <c r="Y157" s="284">
        <v>6</v>
      </c>
      <c r="Z157" s="25">
        <f t="shared" si="41"/>
        <v>0</v>
      </c>
      <c r="AA157" s="25">
        <f t="shared" si="42"/>
        <v>0</v>
      </c>
      <c r="AB157" s="23">
        <f ca="1">IFERROR(INDEX('Cutters Inventory 12-30-2025'!A:W,MATCH($W157,'Cutters Inventory 12-30-2025'!B:B,0),14),0)</f>
        <v>422</v>
      </c>
      <c r="AC157" s="23">
        <f>SUMIF(Table1[LEVEL 5 MAT NO.],S157,Table1[Braze Plan])</f>
        <v>0</v>
      </c>
      <c r="AD157" s="23">
        <f>Table4[[#This Row],[Quantity]]*Table4[[#This Row],[Bits Braze Plan]]</f>
        <v>0</v>
      </c>
      <c r="AE157" s="23">
        <f ca="1">Table4[[#This Row],[INV. QTY]]-Table4[[#This Row],[Required For Braze Cutters Check]]</f>
        <v>422</v>
      </c>
      <c r="AF157" s="23">
        <f t="shared" ca="1" si="39"/>
        <v>422</v>
      </c>
      <c r="AG157" s="23"/>
      <c r="AJ157"/>
      <c r="AK157"/>
      <c r="BA157">
        <f t="shared" si="44"/>
        <v>0</v>
      </c>
      <c r="BC157" s="159">
        <f>IFERROR(VLOOKUP(BA:BA,Table4[],8,FALSE),Table6[[#This Row],[Not Exist BOM''s]])</f>
        <v>0</v>
      </c>
    </row>
    <row r="158" spans="1:55" ht="24.75" customHeight="1" x14ac:dyDescent="0.25">
      <c r="A158" s="109">
        <v>20230401</v>
      </c>
      <c r="B158" s="709"/>
      <c r="C158" s="109">
        <v>14109677</v>
      </c>
      <c r="D158" s="109" t="s">
        <v>631</v>
      </c>
      <c r="E158" s="109" t="s">
        <v>645</v>
      </c>
      <c r="F158" s="109" t="s">
        <v>103</v>
      </c>
      <c r="G158" s="109">
        <v>4</v>
      </c>
      <c r="H158" s="140">
        <v>1262047</v>
      </c>
      <c r="I158" s="140">
        <v>1235768</v>
      </c>
      <c r="J158" s="26">
        <f>IF(H158&lt;&gt;"",IF(AND(C158&lt;&gt;"",IFERROR(MATCH(C158,Table10[Serial No.],0),0)),0,1),0)</f>
        <v>0</v>
      </c>
      <c r="K158" s="21"/>
      <c r="L158" s="539" t="str">
        <f t="shared" ca="1" si="40"/>
        <v/>
      </c>
      <c r="S158" s="281">
        <v>1208059</v>
      </c>
      <c r="T158" s="278" t="s">
        <v>309</v>
      </c>
      <c r="U158" s="278" t="s">
        <v>256</v>
      </c>
      <c r="V158" s="25">
        <v>1</v>
      </c>
      <c r="W158" s="284">
        <v>1136984</v>
      </c>
      <c r="X158" s="19" t="str">
        <f>IFERROR(INDEX(Table14[],MATCH($W158,Table14[SAPNo],0),3),"")</f>
        <v>DBLMCHT 1313 CT182DM  10C (S)</v>
      </c>
      <c r="Y158" s="284">
        <v>13</v>
      </c>
      <c r="Z158" s="25">
        <f t="shared" si="41"/>
        <v>0</v>
      </c>
      <c r="AA158" s="25">
        <f t="shared" si="42"/>
        <v>0</v>
      </c>
      <c r="AB158" s="23">
        <f ca="1">IFERROR(INDEX('Cutters Inventory 12-30-2025'!A:W,MATCH($W158,'Cutters Inventory 12-30-2025'!B:B,0),14),0)</f>
        <v>92</v>
      </c>
      <c r="AC158" s="23">
        <f>SUMIF(Table1[LEVEL 5 MAT NO.],S158,Table1[Braze Plan])</f>
        <v>0</v>
      </c>
      <c r="AD158" s="23">
        <f>Table4[[#This Row],[Quantity]]*Table4[[#This Row],[Bits Braze Plan]]</f>
        <v>0</v>
      </c>
      <c r="AE158" s="23">
        <f ca="1">Table4[[#This Row],[INV. QTY]]-Table4[[#This Row],[Required For Braze Cutters Check]]</f>
        <v>92</v>
      </c>
      <c r="AF158" s="23">
        <f t="shared" ca="1" si="39"/>
        <v>92</v>
      </c>
      <c r="AG158" s="309"/>
      <c r="AJ158"/>
      <c r="AK158"/>
      <c r="BA158">
        <f t="shared" si="44"/>
        <v>0</v>
      </c>
      <c r="BC158" s="159">
        <f>IFERROR(VLOOKUP(BA:BA,Table4[],8,FALSE),Table6[[#This Row],[Not Exist BOM''s]])</f>
        <v>0</v>
      </c>
    </row>
    <row r="159" spans="1:55" ht="24.75" customHeight="1" x14ac:dyDescent="0.25">
      <c r="A159" s="109">
        <v>20230401</v>
      </c>
      <c r="B159" s="709"/>
      <c r="C159" s="109">
        <v>14109690</v>
      </c>
      <c r="D159" s="109" t="s">
        <v>624</v>
      </c>
      <c r="E159" s="109" t="s">
        <v>275</v>
      </c>
      <c r="F159" s="109" t="s">
        <v>103</v>
      </c>
      <c r="G159" s="109">
        <v>4</v>
      </c>
      <c r="H159" s="140">
        <v>1158011</v>
      </c>
      <c r="I159" s="140">
        <v>1267829</v>
      </c>
      <c r="J159" s="26">
        <f>IF(H159&lt;&gt;"",IF(AND(C159&lt;&gt;"",IFERROR(MATCH(C159,Table10[Serial No.],0),0)),0,1),0)</f>
        <v>0</v>
      </c>
      <c r="K159" s="21"/>
      <c r="L159" s="539" t="str">
        <f t="shared" ca="1" si="40"/>
        <v/>
      </c>
      <c r="S159" s="281">
        <v>1208059</v>
      </c>
      <c r="T159" s="278" t="s">
        <v>309</v>
      </c>
      <c r="U159" s="278" t="s">
        <v>256</v>
      </c>
      <c r="V159" s="25">
        <v>2</v>
      </c>
      <c r="W159" s="284">
        <v>1146346</v>
      </c>
      <c r="X159" s="618" t="str">
        <f>IFERROR(INDEX(Table14[],MATCH($W159,Table14[SAPNo],0),3),"")</f>
        <v>1313 CT418 18-60</v>
      </c>
      <c r="Y159" s="284">
        <v>12</v>
      </c>
      <c r="Z159" s="25">
        <f t="shared" si="41"/>
        <v>0</v>
      </c>
      <c r="AA159" s="25">
        <f t="shared" si="42"/>
        <v>0</v>
      </c>
      <c r="AB159" s="23">
        <f ca="1">IFERROR(INDEX('Cutters Inventory 12-30-2025'!A:W,MATCH($W159,'Cutters Inventory 12-30-2025'!B:B,0),14),0)</f>
        <v>558</v>
      </c>
      <c r="AC159" s="23">
        <f>SUMIF(Table1[LEVEL 5 MAT NO.],S159,Table1[Braze Plan])</f>
        <v>0</v>
      </c>
      <c r="AD159" s="23">
        <f>Table4[[#This Row],[Quantity]]*Table4[[#This Row],[Bits Braze Plan]]</f>
        <v>0</v>
      </c>
      <c r="AE159" s="23">
        <f ca="1">Table4[[#This Row],[INV. QTY]]-Table4[[#This Row],[Required For Braze Cutters Check]]</f>
        <v>558</v>
      </c>
      <c r="AF159" s="23">
        <f t="shared" ca="1" si="39"/>
        <v>558</v>
      </c>
      <c r="AG159" s="625" t="s">
        <v>658</v>
      </c>
      <c r="AJ159"/>
      <c r="AK159"/>
      <c r="BA159">
        <f t="shared" si="44"/>
        <v>0</v>
      </c>
      <c r="BC159" s="159">
        <f>IFERROR(VLOOKUP(BA:BA,Table4[],8,FALSE),Table6[[#This Row],[Not Exist BOM''s]])</f>
        <v>0</v>
      </c>
    </row>
    <row r="160" spans="1:55" ht="24.75" customHeight="1" x14ac:dyDescent="0.25">
      <c r="A160" s="109">
        <v>20230401</v>
      </c>
      <c r="B160" s="709"/>
      <c r="C160" s="109">
        <v>14109687</v>
      </c>
      <c r="D160" s="109" t="s">
        <v>624</v>
      </c>
      <c r="E160" s="109" t="s">
        <v>275</v>
      </c>
      <c r="F160" s="109" t="s">
        <v>103</v>
      </c>
      <c r="G160" s="109">
        <v>4</v>
      </c>
      <c r="H160" s="140">
        <v>1158011</v>
      </c>
      <c r="I160" s="140">
        <v>1267829</v>
      </c>
      <c r="J160" s="26">
        <f>IF(H160&lt;&gt;"",IF(AND(C160&lt;&gt;"",IFERROR(MATCH(C160,Table10[Serial No.],0),0)),0,1),0)</f>
        <v>0</v>
      </c>
      <c r="K160" s="21"/>
      <c r="L160" s="539" t="str">
        <f t="shared" ca="1" si="40"/>
        <v/>
      </c>
      <c r="P160"/>
      <c r="Q160"/>
      <c r="S160" s="281">
        <v>1208059</v>
      </c>
      <c r="T160" s="278" t="s">
        <v>309</v>
      </c>
      <c r="U160" s="278" t="s">
        <v>256</v>
      </c>
      <c r="V160" s="25">
        <v>3</v>
      </c>
      <c r="W160" s="284">
        <v>418525</v>
      </c>
      <c r="X160" s="19" t="str">
        <f>IFERROR(INDEX(Table14[],MATCH($W160,Table14[SAPNo],0),3),"")</f>
        <v>Drop In 1308 CT31   (B)</v>
      </c>
      <c r="Y160" s="284">
        <v>6</v>
      </c>
      <c r="Z160" s="25">
        <f t="shared" si="41"/>
        <v>0</v>
      </c>
      <c r="AA160" s="25">
        <f t="shared" si="42"/>
        <v>0</v>
      </c>
      <c r="AB160" s="23">
        <f ca="1">IFERROR(INDEX('Cutters Inventory 12-30-2025'!A:W,MATCH($W160,'Cutters Inventory 12-30-2025'!B:B,0),14),0)</f>
        <v>933</v>
      </c>
      <c r="AC160" s="23">
        <f>SUMIF(Table1[LEVEL 5 MAT NO.],S160,Table1[Braze Plan])</f>
        <v>0</v>
      </c>
      <c r="AD160" s="23">
        <f>Table4[[#This Row],[Quantity]]*Table4[[#This Row],[Bits Braze Plan]]</f>
        <v>0</v>
      </c>
      <c r="AE160" s="23">
        <f ca="1">Table4[[#This Row],[INV. QTY]]-Table4[[#This Row],[Required For Braze Cutters Check]]</f>
        <v>933</v>
      </c>
      <c r="AF160" s="23">
        <f t="shared" ca="1" si="39"/>
        <v>933</v>
      </c>
      <c r="AG160" s="23"/>
      <c r="AJ160"/>
      <c r="AK160"/>
      <c r="BA160">
        <f t="shared" si="44"/>
        <v>0</v>
      </c>
      <c r="BC160" s="159">
        <f>IFERROR(VLOOKUP(BA:BA,Table4[],8,FALSE),Table6[[#This Row],[Not Exist BOM''s]])</f>
        <v>0</v>
      </c>
    </row>
    <row r="161" spans="1:55" ht="24.75" customHeight="1" x14ac:dyDescent="0.25">
      <c r="A161" s="109">
        <v>20230401</v>
      </c>
      <c r="B161" s="709"/>
      <c r="C161" s="109">
        <v>14109688</v>
      </c>
      <c r="D161" s="109" t="s">
        <v>624</v>
      </c>
      <c r="E161" s="109" t="s">
        <v>275</v>
      </c>
      <c r="F161" s="109" t="s">
        <v>103</v>
      </c>
      <c r="G161" s="109">
        <v>4</v>
      </c>
      <c r="H161" s="140">
        <v>1158011</v>
      </c>
      <c r="I161" s="140">
        <v>1267829</v>
      </c>
      <c r="J161" s="26">
        <f>IF(H161&lt;&gt;"",IF(AND(C161&lt;&gt;"",IFERROR(MATCH(C161,Table10[Serial No.],0),0)),0,1),0)</f>
        <v>0</v>
      </c>
      <c r="K161" s="21"/>
      <c r="L161" s="539" t="str">
        <f t="shared" ca="1" si="40"/>
        <v/>
      </c>
      <c r="P161"/>
      <c r="Q161"/>
      <c r="S161" s="281">
        <v>1208059</v>
      </c>
      <c r="T161" s="278" t="s">
        <v>309</v>
      </c>
      <c r="U161" s="278" t="s">
        <v>256</v>
      </c>
      <c r="V161" s="25">
        <v>4</v>
      </c>
      <c r="W161" s="284">
        <v>1101509</v>
      </c>
      <c r="X161" s="19" t="str">
        <f>IFERROR(INDEX(Table14[],MATCH($W161,Table14[SAPNo],0),3),"")</f>
        <v>Short IA 8    (C)</v>
      </c>
      <c r="Y161" s="284">
        <v>5</v>
      </c>
      <c r="Z161" s="25">
        <f t="shared" si="41"/>
        <v>0</v>
      </c>
      <c r="AA161" s="25">
        <f t="shared" si="42"/>
        <v>0</v>
      </c>
      <c r="AB161" s="23">
        <f ca="1">IFERROR(INDEX('Cutters Inventory 12-30-2025'!A:W,MATCH($W161,'Cutters Inventory 12-30-2025'!B:B,0),14),0)</f>
        <v>66</v>
      </c>
      <c r="AC161" s="23">
        <f>SUMIF(Table1[LEVEL 5 MAT NO.],S161,Table1[Braze Plan])</f>
        <v>0</v>
      </c>
      <c r="AD161" s="23">
        <f>Table4[[#This Row],[Quantity]]*Table4[[#This Row],[Bits Braze Plan]]</f>
        <v>0</v>
      </c>
      <c r="AE161" s="23">
        <f ca="1">Table4[[#This Row],[INV. QTY]]-Table4[[#This Row],[Required For Braze Cutters Check]]</f>
        <v>66</v>
      </c>
      <c r="AF161" s="23">
        <f t="shared" ca="1" si="39"/>
        <v>66</v>
      </c>
      <c r="AG161" s="23"/>
      <c r="AJ161"/>
      <c r="AK161"/>
      <c r="BA161">
        <f t="shared" si="44"/>
        <v>0</v>
      </c>
      <c r="BC161" s="159">
        <f>IFERROR(VLOOKUP(BA:BA,Table4[],8,FALSE),Table6[[#This Row],[Not Exist BOM''s]])</f>
        <v>0</v>
      </c>
    </row>
    <row r="162" spans="1:55" ht="24.75" customHeight="1" x14ac:dyDescent="0.25">
      <c r="A162" s="109">
        <v>20230401</v>
      </c>
      <c r="B162" s="709"/>
      <c r="C162" s="109">
        <v>14109691</v>
      </c>
      <c r="D162" s="109" t="s">
        <v>624</v>
      </c>
      <c r="E162" s="109" t="s">
        <v>275</v>
      </c>
      <c r="F162" s="109" t="s">
        <v>103</v>
      </c>
      <c r="G162" s="109">
        <v>4</v>
      </c>
      <c r="H162" s="140">
        <v>1158011</v>
      </c>
      <c r="I162" s="140">
        <v>1267829</v>
      </c>
      <c r="J162" s="26">
        <f>IF(H162&lt;&gt;"",IF(AND(C162&lt;&gt;"",IFERROR(MATCH(C162,Table10[Serial No.],0),0)),0,1),0)</f>
        <v>0</v>
      </c>
      <c r="K162" s="21"/>
      <c r="L162" s="539" t="str">
        <f t="shared" ca="1" si="40"/>
        <v/>
      </c>
      <c r="P162"/>
      <c r="Q162"/>
      <c r="S162" s="281">
        <v>1208059</v>
      </c>
      <c r="T162" s="278" t="s">
        <v>309</v>
      </c>
      <c r="U162" s="278" t="s">
        <v>256</v>
      </c>
      <c r="V162" s="25">
        <v>5</v>
      </c>
      <c r="W162" s="284">
        <v>1104083</v>
      </c>
      <c r="X162" s="19" t="str">
        <f>IFERROR(INDEX(Table14[],MATCH($W162,Table14[SAPNo],0),3),"")</f>
        <v>1313 CT144H  10C (S)</v>
      </c>
      <c r="Y162" s="284">
        <v>1</v>
      </c>
      <c r="Z162" s="25">
        <f t="shared" si="41"/>
        <v>0</v>
      </c>
      <c r="AA162" s="25">
        <f t="shared" si="42"/>
        <v>0</v>
      </c>
      <c r="AB162" s="23">
        <f ca="1">IFERROR(INDEX('Cutters Inventory 12-30-2025'!A:W,MATCH($W162,'Cutters Inventory 12-30-2025'!B:B,0),14),0)</f>
        <v>2</v>
      </c>
      <c r="AC162" s="23">
        <f>SUMIF(Table1[LEVEL 5 MAT NO.],S162,Table1[Braze Plan])</f>
        <v>0</v>
      </c>
      <c r="AD162" s="23">
        <f>Table4[[#This Row],[Quantity]]*Table4[[#This Row],[Bits Braze Plan]]</f>
        <v>0</v>
      </c>
      <c r="AE162" s="23">
        <f ca="1">Table4[[#This Row],[INV. QTY]]-Table4[[#This Row],[Required For Braze Cutters Check]]</f>
        <v>2</v>
      </c>
      <c r="AF162" s="23">
        <f t="shared" ca="1" si="39"/>
        <v>2</v>
      </c>
      <c r="AG162" s="23"/>
      <c r="AJ162"/>
      <c r="AK162"/>
      <c r="BA162">
        <f t="shared" si="44"/>
        <v>0</v>
      </c>
      <c r="BC162" s="159">
        <f>IFERROR(VLOOKUP(BA:BA,Table4[],8,FALSE),Table6[[#This Row],[Not Exist BOM''s]])</f>
        <v>0</v>
      </c>
    </row>
    <row r="163" spans="1:55" ht="24.75" customHeight="1" x14ac:dyDescent="0.25">
      <c r="A163" s="109">
        <v>20230401</v>
      </c>
      <c r="B163" s="709"/>
      <c r="C163" s="109">
        <v>14109689</v>
      </c>
      <c r="D163" s="109" t="s">
        <v>624</v>
      </c>
      <c r="E163" s="109" t="s">
        <v>275</v>
      </c>
      <c r="F163" s="109" t="s">
        <v>103</v>
      </c>
      <c r="G163" s="109">
        <v>4</v>
      </c>
      <c r="H163" s="140">
        <v>1158011</v>
      </c>
      <c r="I163" s="140">
        <v>1267829</v>
      </c>
      <c r="J163" s="26">
        <f>IF(H163&lt;&gt;"",IF(AND(C163&lt;&gt;"",IFERROR(MATCH(C163,Table10[Serial No.],0),0)),0,1),0)</f>
        <v>0</v>
      </c>
      <c r="K163" s="21"/>
      <c r="L163" s="539" t="str">
        <f t="shared" ca="1" si="40"/>
        <v/>
      </c>
      <c r="S163" s="281">
        <v>1212043</v>
      </c>
      <c r="T163" s="278" t="s">
        <v>631</v>
      </c>
      <c r="U163" s="278" t="s">
        <v>667</v>
      </c>
      <c r="V163" s="25">
        <v>1</v>
      </c>
      <c r="W163" s="284">
        <v>1181761</v>
      </c>
      <c r="X163" s="19" t="str">
        <f>IFERROR(INDEX(Table14[],MATCH($W163,Table14[SAPNo],0),3),"")</f>
        <v>Round 1608 CT 155  0.018 (T)</v>
      </c>
      <c r="Y163" s="284">
        <v>21</v>
      </c>
      <c r="Z163" s="25">
        <f t="shared" ref="Z163:Z191" si="45">IFERROR(INDEX($O$2:$P$400,MATCH($S163,$O$2:$O$93,0),2),0)</f>
        <v>0</v>
      </c>
      <c r="AA163" s="25">
        <f t="shared" si="42"/>
        <v>0</v>
      </c>
      <c r="AB163" s="23">
        <f ca="1">IFERROR(INDEX('Cutters Inventory 12-30-2025'!A:W,MATCH($W163,'Cutters Inventory 12-30-2025'!B:B,0),14),0)</f>
        <v>0</v>
      </c>
      <c r="AC163" s="23">
        <f>SUMIF(Table1[LEVEL 5 MAT NO.],S163,Table1[Braze Plan])</f>
        <v>0</v>
      </c>
      <c r="AD163" s="23">
        <f>Table4[[#This Row],[Quantity]]*Table4[[#This Row],[Bits Braze Plan]]</f>
        <v>0</v>
      </c>
      <c r="AE163" s="23">
        <f ca="1">Table4[[#This Row],[INV. QTY]]-Table4[[#This Row],[Required For Braze Cutters Check]]</f>
        <v>0</v>
      </c>
      <c r="AF163" s="23">
        <f t="shared" ca="1" si="39"/>
        <v>0</v>
      </c>
      <c r="AG163" s="23"/>
      <c r="AJ163"/>
      <c r="AK163"/>
      <c r="BA163">
        <f t="shared" si="44"/>
        <v>0</v>
      </c>
      <c r="BC163" s="159">
        <f>IFERROR(VLOOKUP(BA:BA,Table4[],8,FALSE),Table6[[#This Row],[Not Exist BOM''s]])</f>
        <v>0</v>
      </c>
    </row>
    <row r="164" spans="1:55" ht="24.75" customHeight="1" x14ac:dyDescent="0.25">
      <c r="A164" s="109">
        <v>20230401</v>
      </c>
      <c r="B164" s="709"/>
      <c r="C164" s="109">
        <v>14109679</v>
      </c>
      <c r="D164" s="109" t="s">
        <v>315</v>
      </c>
      <c r="E164" s="109" t="s">
        <v>284</v>
      </c>
      <c r="F164" s="109">
        <v>179838</v>
      </c>
      <c r="G164" s="109">
        <v>3</v>
      </c>
      <c r="H164" s="140">
        <v>1234376</v>
      </c>
      <c r="I164" s="140">
        <v>1249569</v>
      </c>
      <c r="J164" s="26">
        <f>IF(H164&lt;&gt;"",IF(AND(C164&lt;&gt;"",IFERROR(MATCH(C164,Table10[Serial No.],0),0)),0,1),0)</f>
        <v>0</v>
      </c>
      <c r="K164" s="21"/>
      <c r="L164" s="539" t="str">
        <f t="shared" ca="1" si="40"/>
        <v/>
      </c>
      <c r="S164" s="281">
        <v>1212043</v>
      </c>
      <c r="T164" s="278" t="s">
        <v>631</v>
      </c>
      <c r="U164" s="278" t="s">
        <v>667</v>
      </c>
      <c r="V164" s="25">
        <v>2</v>
      </c>
      <c r="W164" s="284">
        <v>1039057</v>
      </c>
      <c r="X164" s="19" t="str">
        <f>IFERROR(INDEX(Table14[],MATCH($W164,Table14[SAPNo],0),3),"")</f>
        <v>Round 1608 CT 138  10C (S)</v>
      </c>
      <c r="Y164" s="284">
        <v>12</v>
      </c>
      <c r="Z164" s="25">
        <f t="shared" si="45"/>
        <v>0</v>
      </c>
      <c r="AA164" s="25">
        <f t="shared" si="42"/>
        <v>0</v>
      </c>
      <c r="AB164" s="23">
        <f ca="1">IFERROR(INDEX('Cutters Inventory 12-30-2025'!A:W,MATCH($W164,'Cutters Inventory 12-30-2025'!B:B,0),14),0)</f>
        <v>6</v>
      </c>
      <c r="AC164" s="23">
        <f>SUMIF(Table1[LEVEL 5 MAT NO.],S164,Table1[Braze Plan])</f>
        <v>0</v>
      </c>
      <c r="AD164" s="23">
        <f>Table4[[#This Row],[Quantity]]*Table4[[#This Row],[Bits Braze Plan]]</f>
        <v>0</v>
      </c>
      <c r="AE164" s="23">
        <f ca="1">Table4[[#This Row],[INV. QTY]]-Table4[[#This Row],[Required For Braze Cutters Check]]</f>
        <v>6</v>
      </c>
      <c r="AF164" s="23">
        <f t="shared" ca="1" si="39"/>
        <v>6</v>
      </c>
      <c r="AG164" s="23"/>
      <c r="AJ164"/>
      <c r="AK164"/>
      <c r="BA164">
        <f t="shared" si="44"/>
        <v>0</v>
      </c>
      <c r="BC164" s="159">
        <f>IFERROR(VLOOKUP(BA:BA,Table4[],8,FALSE),Table6[[#This Row],[Not Exist BOM''s]])</f>
        <v>0</v>
      </c>
    </row>
    <row r="165" spans="1:55" ht="24.75" customHeight="1" x14ac:dyDescent="0.25">
      <c r="A165" s="109">
        <v>20230401</v>
      </c>
      <c r="B165" s="709"/>
      <c r="C165" s="109">
        <v>14109680</v>
      </c>
      <c r="D165" s="109" t="s">
        <v>315</v>
      </c>
      <c r="E165" s="109" t="s">
        <v>284</v>
      </c>
      <c r="F165" s="109">
        <v>179838</v>
      </c>
      <c r="G165" s="109">
        <v>3</v>
      </c>
      <c r="H165" s="140">
        <v>1234376</v>
      </c>
      <c r="I165" s="140">
        <v>1249569</v>
      </c>
      <c r="J165" s="26">
        <f>IF(H165&lt;&gt;"",IF(AND(C165&lt;&gt;"",IFERROR(MATCH(C165,Table10[Serial No.],0),0)),0,1),0)</f>
        <v>0</v>
      </c>
      <c r="K165" s="21"/>
      <c r="L165" s="539" t="str">
        <f t="shared" ca="1" si="40"/>
        <v/>
      </c>
      <c r="S165" s="281">
        <v>1212043</v>
      </c>
      <c r="T165" s="278" t="s">
        <v>631</v>
      </c>
      <c r="U165" s="278" t="s">
        <v>667</v>
      </c>
      <c r="V165" s="25">
        <v>3</v>
      </c>
      <c r="W165" s="284">
        <v>1039036</v>
      </c>
      <c r="X165" s="19" t="str">
        <f>IFERROR(INDEX(Table14[],MATCH($W165,Table14[SAPNo],0),3),"")</f>
        <v>Round 1313 CT138  0.018" (S)</v>
      </c>
      <c r="Y165" s="284">
        <v>7</v>
      </c>
      <c r="Z165" s="25">
        <f t="shared" si="45"/>
        <v>0</v>
      </c>
      <c r="AA165" s="25">
        <f t="shared" si="42"/>
        <v>0</v>
      </c>
      <c r="AB165" s="23">
        <f ca="1">IFERROR(INDEX('Cutters Inventory 12-30-2025'!A:W,MATCH($W165,'Cutters Inventory 12-30-2025'!B:B,0),14),0)</f>
        <v>2</v>
      </c>
      <c r="AC165" s="23">
        <f>SUMIF(Table1[LEVEL 5 MAT NO.],S165,Table1[Braze Plan])</f>
        <v>0</v>
      </c>
      <c r="AD165" s="23">
        <f>Table4[[#This Row],[Quantity]]*Table4[[#This Row],[Bits Braze Plan]]</f>
        <v>0</v>
      </c>
      <c r="AE165" s="23">
        <f ca="1">Table4[[#This Row],[INV. QTY]]-Table4[[#This Row],[Required For Braze Cutters Check]]</f>
        <v>2</v>
      </c>
      <c r="AF165" s="23">
        <f t="shared" ca="1" si="39"/>
        <v>2</v>
      </c>
      <c r="AG165" s="23"/>
      <c r="AJ165"/>
      <c r="AK165"/>
      <c r="BA165">
        <f t="shared" si="44"/>
        <v>0</v>
      </c>
      <c r="BC165" s="159">
        <f>IFERROR(VLOOKUP(BA:BA,Table4[],8,FALSE),Table6[[#This Row],[Not Exist BOM''s]])</f>
        <v>0</v>
      </c>
    </row>
    <row r="166" spans="1:55" ht="24.75" customHeight="1" x14ac:dyDescent="0.25">
      <c r="A166" s="109">
        <v>20230401</v>
      </c>
      <c r="B166" s="709"/>
      <c r="C166" s="109">
        <v>14109693</v>
      </c>
      <c r="D166" s="109" t="s">
        <v>316</v>
      </c>
      <c r="E166" s="109" t="s">
        <v>320</v>
      </c>
      <c r="F166" s="109">
        <v>179850</v>
      </c>
      <c r="G166" s="109">
        <v>3</v>
      </c>
      <c r="H166" s="140">
        <v>1221158</v>
      </c>
      <c r="I166" s="140">
        <v>1272498</v>
      </c>
      <c r="J166" s="26">
        <f>IF(H166&lt;&gt;"",IF(AND(C166&lt;&gt;"",IFERROR(MATCH(C166,Table10[Serial No.],0),0)),0,1),0)</f>
        <v>0</v>
      </c>
      <c r="K166" s="21"/>
      <c r="L166" s="539" t="str">
        <f t="shared" ca="1" si="40"/>
        <v/>
      </c>
      <c r="S166" s="281">
        <v>1212043</v>
      </c>
      <c r="T166" s="278" t="s">
        <v>631</v>
      </c>
      <c r="U166" s="278" t="s">
        <v>667</v>
      </c>
      <c r="V166" s="25">
        <v>4</v>
      </c>
      <c r="W166" s="284">
        <v>2004484</v>
      </c>
      <c r="X166" s="19" t="str">
        <f>IFERROR(INDEX(Table14[],MATCH($W166,Table14[SAPNo],0),3),"")</f>
        <v>1308 CT187 U-60</v>
      </c>
      <c r="Y166" s="284">
        <v>5</v>
      </c>
      <c r="Z166" s="25">
        <f t="shared" si="45"/>
        <v>0</v>
      </c>
      <c r="AA166" s="25">
        <f t="shared" si="42"/>
        <v>0</v>
      </c>
      <c r="AB166" s="23">
        <f ca="1">IFERROR(INDEX('Cutters Inventory 12-30-2025'!A:W,MATCH($W166,'Cutters Inventory 12-30-2025'!B:B,0),14),0)</f>
        <v>428</v>
      </c>
      <c r="AC166" s="23">
        <f>SUMIF(Table1[LEVEL 5 MAT NO.],S166,Table1[Braze Plan])</f>
        <v>0</v>
      </c>
      <c r="AD166" s="23">
        <f>Table4[[#This Row],[Quantity]]*Table4[[#This Row],[Bits Braze Plan]]</f>
        <v>0</v>
      </c>
      <c r="AE166" s="23">
        <f ca="1">Table4[[#This Row],[INV. QTY]]-Table4[[#This Row],[Required For Braze Cutters Check]]</f>
        <v>428</v>
      </c>
      <c r="AF166" s="23">
        <f t="shared" ca="1" si="39"/>
        <v>428</v>
      </c>
      <c r="AG166" s="626" t="s">
        <v>668</v>
      </c>
      <c r="AJ166"/>
      <c r="AK166"/>
      <c r="BA166">
        <f t="shared" si="44"/>
        <v>0</v>
      </c>
      <c r="BC166" s="159">
        <f>IFERROR(VLOOKUP(BA:BA,Table4[],8,FALSE),Table6[[#This Row],[Not Exist BOM''s]])</f>
        <v>0</v>
      </c>
    </row>
    <row r="167" spans="1:55" ht="24.75" customHeight="1" x14ac:dyDescent="0.25">
      <c r="A167" s="109">
        <v>20230401</v>
      </c>
      <c r="B167" s="709"/>
      <c r="C167" s="109">
        <v>14119203</v>
      </c>
      <c r="D167" s="109" t="s">
        <v>316</v>
      </c>
      <c r="E167" s="109" t="s">
        <v>320</v>
      </c>
      <c r="F167" s="109">
        <v>179850</v>
      </c>
      <c r="G167" s="109">
        <v>3</v>
      </c>
      <c r="H167" s="140">
        <v>1221158</v>
      </c>
      <c r="I167" s="140">
        <v>1272498</v>
      </c>
      <c r="J167" s="26">
        <f>IF(H167&lt;&gt;"",IF(AND(C167&lt;&gt;"",IFERROR(MATCH(C167,Table10[Serial No.],0),0)),0,1),0)</f>
        <v>0</v>
      </c>
      <c r="K167" s="21"/>
      <c r="L167" s="539" t="str">
        <f t="shared" ca="1" si="40"/>
        <v/>
      </c>
      <c r="P167"/>
      <c r="Q167"/>
      <c r="S167" s="281">
        <v>1212043</v>
      </c>
      <c r="T167" s="278" t="s">
        <v>631</v>
      </c>
      <c r="U167" s="278" t="s">
        <v>667</v>
      </c>
      <c r="V167" s="25">
        <v>5</v>
      </c>
      <c r="W167" s="284">
        <v>2002299</v>
      </c>
      <c r="X167" s="19" t="str">
        <f>IFERROR(INDEX(Table14[],MATCH($W167,Table14[SAPNo],0),3),"")</f>
        <v>1613 CT187 U-60</v>
      </c>
      <c r="Y167" s="284">
        <v>5</v>
      </c>
      <c r="Z167" s="25">
        <f t="shared" si="45"/>
        <v>0</v>
      </c>
      <c r="AA167" s="25">
        <f t="shared" si="42"/>
        <v>0</v>
      </c>
      <c r="AB167" s="23">
        <f ca="1">IFERROR(INDEX('Cutters Inventory 12-30-2025'!A:W,MATCH($W167,'Cutters Inventory 12-30-2025'!B:B,0),14),0)</f>
        <v>557</v>
      </c>
      <c r="AC167" s="23">
        <f>SUMIF(Table1[LEVEL 5 MAT NO.],S167,Table1[Braze Plan])</f>
        <v>0</v>
      </c>
      <c r="AD167" s="23">
        <f>Table4[[#This Row],[Quantity]]*Table4[[#This Row],[Bits Braze Plan]]</f>
        <v>0</v>
      </c>
      <c r="AE167" s="23">
        <f ca="1">Table4[[#This Row],[INV. QTY]]-Table4[[#This Row],[Required For Braze Cutters Check]]</f>
        <v>557</v>
      </c>
      <c r="AF167" s="23">
        <f t="shared" ca="1" si="39"/>
        <v>557</v>
      </c>
      <c r="AG167" s="23"/>
      <c r="AJ167"/>
      <c r="AK167"/>
      <c r="BA167">
        <f t="shared" si="44"/>
        <v>0</v>
      </c>
      <c r="BC167" s="159">
        <f>IFERROR(VLOOKUP(BA:BA,Table4[],8,FALSE),Table6[[#This Row],[Not Exist BOM''s]])</f>
        <v>0</v>
      </c>
    </row>
    <row r="168" spans="1:55" ht="24.75" customHeight="1" x14ac:dyDescent="0.25">
      <c r="A168" s="109">
        <v>20230401</v>
      </c>
      <c r="B168" s="709"/>
      <c r="C168" s="109">
        <v>14109681</v>
      </c>
      <c r="D168" s="109" t="s">
        <v>316</v>
      </c>
      <c r="E168" s="109" t="s">
        <v>291</v>
      </c>
      <c r="F168" s="109">
        <v>179849</v>
      </c>
      <c r="G168" s="109">
        <v>3</v>
      </c>
      <c r="H168" s="140">
        <v>1228782</v>
      </c>
      <c r="I168" s="140">
        <v>1058252</v>
      </c>
      <c r="J168" s="26">
        <f>IF(H168&lt;&gt;"",IF(AND(C168&lt;&gt;"",IFERROR(MATCH(C168,Table10[Serial No.],0),0)),0,1),0)</f>
        <v>0</v>
      </c>
      <c r="K168" s="21"/>
      <c r="L168" s="539" t="str">
        <f t="shared" ca="1" si="40"/>
        <v/>
      </c>
      <c r="P168"/>
      <c r="Q168"/>
      <c r="S168" s="281">
        <v>1212043</v>
      </c>
      <c r="T168" s="278" t="s">
        <v>631</v>
      </c>
      <c r="U168" s="278" t="s">
        <v>667</v>
      </c>
      <c r="V168" s="25">
        <v>6</v>
      </c>
      <c r="W168" s="284">
        <v>418525</v>
      </c>
      <c r="X168" s="19" t="str">
        <f>IFERROR(INDEX(Table14[],MATCH($W168,Table14[SAPNo],0),3),"")</f>
        <v>Drop In 1308 CT31   (B)</v>
      </c>
      <c r="Y168" s="284">
        <v>4</v>
      </c>
      <c r="Z168" s="25">
        <f t="shared" si="45"/>
        <v>0</v>
      </c>
      <c r="AA168" s="25">
        <f t="shared" si="42"/>
        <v>0</v>
      </c>
      <c r="AB168" s="23">
        <f ca="1">IFERROR(INDEX('Cutters Inventory 12-30-2025'!A:W,MATCH($W168,'Cutters Inventory 12-30-2025'!B:B,0),14),0)</f>
        <v>933</v>
      </c>
      <c r="AC168" s="23">
        <f>SUMIF(Table1[LEVEL 5 MAT NO.],S168,Table1[Braze Plan])</f>
        <v>0</v>
      </c>
      <c r="AD168" s="23">
        <f>Table4[[#This Row],[Quantity]]*Table4[[#This Row],[Bits Braze Plan]]</f>
        <v>0</v>
      </c>
      <c r="AE168" s="23">
        <f ca="1">Table4[[#This Row],[INV. QTY]]-Table4[[#This Row],[Required For Braze Cutters Check]]</f>
        <v>933</v>
      </c>
      <c r="AF168" s="23">
        <f t="shared" ca="1" si="39"/>
        <v>933</v>
      </c>
      <c r="AG168" s="23"/>
      <c r="AJ168"/>
      <c r="AK168"/>
      <c r="BA168">
        <f t="shared" si="44"/>
        <v>0</v>
      </c>
      <c r="BC168" s="159">
        <f>IFERROR(VLOOKUP(BA:BA,Table4[],8,FALSE),Table6[[#This Row],[Not Exist BOM''s]])</f>
        <v>0</v>
      </c>
    </row>
    <row r="169" spans="1:55" ht="24.75" customHeight="1" x14ac:dyDescent="0.25">
      <c r="A169" s="109">
        <v>20230401</v>
      </c>
      <c r="B169" s="709"/>
      <c r="C169" s="109">
        <v>14056712</v>
      </c>
      <c r="D169" s="109" t="s">
        <v>316</v>
      </c>
      <c r="E169" s="109" t="s">
        <v>290</v>
      </c>
      <c r="F169" s="109">
        <v>179849</v>
      </c>
      <c r="G169" s="109">
        <v>3</v>
      </c>
      <c r="H169" s="140">
        <v>1229187</v>
      </c>
      <c r="I169" s="140">
        <v>1268728</v>
      </c>
      <c r="J169" s="26">
        <f>IF(H169&lt;&gt;"",IF(AND(C169&lt;&gt;"",IFERROR(MATCH(C169,Table10[Serial No.],0),0)),0,1),0)</f>
        <v>0</v>
      </c>
      <c r="K169" s="21"/>
      <c r="L169" s="539" t="str">
        <f t="shared" ca="1" si="40"/>
        <v/>
      </c>
      <c r="P169"/>
      <c r="Q169"/>
      <c r="S169" s="281">
        <v>1212043</v>
      </c>
      <c r="T169" s="278" t="s">
        <v>631</v>
      </c>
      <c r="U169" s="278" t="s">
        <v>667</v>
      </c>
      <c r="V169" s="25">
        <v>7</v>
      </c>
      <c r="W169" s="284">
        <v>871781</v>
      </c>
      <c r="X169" s="19" t="str">
        <f>IFERROR(INDEX(Table14[],MATCH($W169,Table14[SAPNo],0),3),"")</f>
        <v>Round 1313 CT200  0.018" (B)</v>
      </c>
      <c r="Y169" s="284">
        <v>3</v>
      </c>
      <c r="Z169" s="25">
        <f t="shared" si="45"/>
        <v>0</v>
      </c>
      <c r="AA169" s="25">
        <f t="shared" si="42"/>
        <v>0</v>
      </c>
      <c r="AB169" s="23">
        <f ca="1">IFERROR(INDEX('Cutters Inventory 12-30-2025'!A:W,MATCH($W169,'Cutters Inventory 12-30-2025'!B:B,0),14),0)</f>
        <v>843</v>
      </c>
      <c r="AC169" s="23">
        <f>SUMIF(Table1[LEVEL 5 MAT NO.],S169,Table1[Braze Plan])</f>
        <v>0</v>
      </c>
      <c r="AD169" s="23">
        <f>Table4[[#This Row],[Quantity]]*Table4[[#This Row],[Bits Braze Plan]]</f>
        <v>0</v>
      </c>
      <c r="AE169" s="23">
        <f ca="1">Table4[[#This Row],[INV. QTY]]-Table4[[#This Row],[Required For Braze Cutters Check]]</f>
        <v>843</v>
      </c>
      <c r="AF169" s="23">
        <f t="shared" ca="1" si="39"/>
        <v>843</v>
      </c>
      <c r="AG169" s="23"/>
      <c r="AJ169"/>
      <c r="AK169"/>
      <c r="BA169">
        <f t="shared" si="44"/>
        <v>0</v>
      </c>
      <c r="BC169" s="159">
        <f>IFERROR(VLOOKUP(BA:BA,Table4[],8,FALSE),Table6[[#This Row],[Not Exist BOM''s]])</f>
        <v>0</v>
      </c>
    </row>
    <row r="170" spans="1:55" ht="24.75" customHeight="1" x14ac:dyDescent="0.25">
      <c r="A170" s="109">
        <v>20230401</v>
      </c>
      <c r="B170" s="709"/>
      <c r="C170" s="109">
        <v>14109683</v>
      </c>
      <c r="D170" s="109" t="s">
        <v>316</v>
      </c>
      <c r="E170" s="109" t="s">
        <v>290</v>
      </c>
      <c r="F170" s="109">
        <v>179849</v>
      </c>
      <c r="G170" s="109">
        <v>3</v>
      </c>
      <c r="H170" s="140">
        <v>1229187</v>
      </c>
      <c r="I170" s="140">
        <v>1268728</v>
      </c>
      <c r="J170" s="26">
        <f>IF(H170&lt;&gt;"",IF(AND(C170&lt;&gt;"",IFERROR(MATCH(C170,Table10[Serial No.],0),0)),0,1),0)</f>
        <v>0</v>
      </c>
      <c r="K170" s="21"/>
      <c r="L170" s="539" t="str">
        <f t="shared" ca="1" si="40"/>
        <v/>
      </c>
      <c r="P170"/>
      <c r="Q170"/>
      <c r="S170" s="281">
        <v>1212043</v>
      </c>
      <c r="T170" s="278" t="s">
        <v>631</v>
      </c>
      <c r="U170" s="278" t="s">
        <v>667</v>
      </c>
      <c r="V170" s="25">
        <v>8</v>
      </c>
      <c r="W170" s="284">
        <v>1126402</v>
      </c>
      <c r="X170" s="19" t="str">
        <f>IFERROR(INDEX(Table14[],MATCH($W170,Table14[SAPNo],0),3),"")</f>
        <v>1613 CT421 16-60</v>
      </c>
      <c r="Y170" s="284">
        <v>1</v>
      </c>
      <c r="Z170" s="25">
        <f t="shared" si="45"/>
        <v>0</v>
      </c>
      <c r="AA170" s="25">
        <f t="shared" si="42"/>
        <v>0</v>
      </c>
      <c r="AB170" s="23">
        <f ca="1">IFERROR(INDEX('Cutters Inventory 12-30-2025'!A:W,MATCH($W170,'Cutters Inventory 12-30-2025'!B:B,0),14),0)</f>
        <v>422</v>
      </c>
      <c r="AC170" s="23">
        <f>SUMIF(Table1[LEVEL 5 MAT NO.],S170,Table1[Braze Plan])</f>
        <v>0</v>
      </c>
      <c r="AD170" s="23">
        <f>Table4[[#This Row],[Quantity]]*Table4[[#This Row],[Bits Braze Plan]]</f>
        <v>0</v>
      </c>
      <c r="AE170" s="23">
        <f ca="1">Table4[[#This Row],[INV. QTY]]-Table4[[#This Row],[Required For Braze Cutters Check]]</f>
        <v>422</v>
      </c>
      <c r="AF170" s="23">
        <f t="shared" ca="1" si="39"/>
        <v>422</v>
      </c>
      <c r="AG170" s="23"/>
      <c r="AJ170"/>
      <c r="AK170"/>
      <c r="BA170">
        <f t="shared" si="44"/>
        <v>0</v>
      </c>
      <c r="BC170" s="159">
        <f>IFERROR(VLOOKUP(BA:BA,Table4[],8,FALSE),Table6[[#This Row],[Not Exist BOM''s]])</f>
        <v>0</v>
      </c>
    </row>
    <row r="171" spans="1:55" ht="24.75" customHeight="1" x14ac:dyDescent="0.25">
      <c r="A171" s="109">
        <v>20230401</v>
      </c>
      <c r="B171" s="709"/>
      <c r="C171" s="109">
        <v>14109684</v>
      </c>
      <c r="D171" s="109" t="s">
        <v>316</v>
      </c>
      <c r="E171" s="109" t="s">
        <v>290</v>
      </c>
      <c r="F171" s="109">
        <v>179849</v>
      </c>
      <c r="G171" s="109">
        <v>3</v>
      </c>
      <c r="H171" s="140">
        <v>1229187</v>
      </c>
      <c r="I171" s="140">
        <v>1268728</v>
      </c>
      <c r="J171" s="26">
        <f>IF(H171&lt;&gt;"",IF(AND(C171&lt;&gt;"",IFERROR(MATCH(C171,Table10[Serial No.],0),0)),0,1),0)</f>
        <v>0</v>
      </c>
      <c r="K171" s="21"/>
      <c r="L171" s="539" t="str">
        <f t="shared" ca="1" si="40"/>
        <v/>
      </c>
      <c r="S171" s="281">
        <v>1216970</v>
      </c>
      <c r="T171" s="278" t="s">
        <v>304</v>
      </c>
      <c r="U171" s="278" t="s">
        <v>666</v>
      </c>
      <c r="V171" s="25">
        <v>1</v>
      </c>
      <c r="W171" s="284">
        <v>1220688</v>
      </c>
      <c r="X171" s="19" t="str">
        <f>IFERROR(INDEX(Table14[],MATCH($W171,Table14[SAPNo],0),3),"")</f>
        <v>1005 CT155 U-60</v>
      </c>
      <c r="Y171" s="284">
        <v>38</v>
      </c>
      <c r="Z171" s="25">
        <f t="shared" si="45"/>
        <v>13</v>
      </c>
      <c r="AA171" s="25">
        <f t="shared" si="42"/>
        <v>494</v>
      </c>
      <c r="AB171" s="23">
        <f ca="1">IFERROR(INDEX('Cutters Inventory 12-30-2025'!A:W,MATCH($W171,'Cutters Inventory 12-30-2025'!B:B,0),14),0)</f>
        <v>76</v>
      </c>
      <c r="AC171" s="23">
        <f>SUMIF(Table1[LEVEL 5 MAT NO.],S171,Table1[Braze Plan])</f>
        <v>0</v>
      </c>
      <c r="AD171" s="23">
        <f>Table4[[#This Row],[Quantity]]*Table4[[#This Row],[Bits Braze Plan]]</f>
        <v>0</v>
      </c>
      <c r="AE171" s="23">
        <f ca="1">Table4[[#This Row],[INV. QTY]]-Table4[[#This Row],[Required For Braze Cutters Check]]</f>
        <v>76</v>
      </c>
      <c r="AF171" s="23">
        <f t="shared" ca="1" si="39"/>
        <v>76</v>
      </c>
      <c r="AG171" s="23"/>
      <c r="AJ171"/>
      <c r="AK171"/>
      <c r="BA171">
        <f t="shared" si="44"/>
        <v>0</v>
      </c>
      <c r="BC171" s="159">
        <f>IFERROR(VLOOKUP(BA:BA,Table4[],8,FALSE),Table6[[#This Row],[Not Exist BOM''s]])</f>
        <v>0</v>
      </c>
    </row>
    <row r="172" spans="1:55" ht="24.75" customHeight="1" x14ac:dyDescent="0.25">
      <c r="A172" s="109">
        <v>20230401</v>
      </c>
      <c r="B172" s="709"/>
      <c r="C172" s="109">
        <v>14109686</v>
      </c>
      <c r="D172" s="109" t="s">
        <v>316</v>
      </c>
      <c r="E172" s="109" t="s">
        <v>290</v>
      </c>
      <c r="F172" s="109">
        <v>179849</v>
      </c>
      <c r="G172" s="109">
        <v>3</v>
      </c>
      <c r="H172" s="140">
        <v>1229187</v>
      </c>
      <c r="I172" s="140">
        <v>1268728</v>
      </c>
      <c r="J172" s="26">
        <f>IF(H172&lt;&gt;"",IF(AND(C172&lt;&gt;"",IFERROR(MATCH(C172,Table10[Serial No.],0),0)),0,1),0)</f>
        <v>0</v>
      </c>
      <c r="K172" s="21"/>
      <c r="L172" s="539" t="str">
        <f t="shared" ca="1" si="40"/>
        <v/>
      </c>
      <c r="S172" s="281">
        <v>1219698</v>
      </c>
      <c r="T172" s="278" t="s">
        <v>309</v>
      </c>
      <c r="U172" s="278" t="s">
        <v>669</v>
      </c>
      <c r="V172" s="25">
        <v>1</v>
      </c>
      <c r="W172" s="284">
        <v>1146346</v>
      </c>
      <c r="X172" s="618" t="str">
        <f>IFERROR(INDEX(Table14[],MATCH($W172,Table14[SAPNo],0),3),"")</f>
        <v>1313 CT418 18-60</v>
      </c>
      <c r="Y172" s="284">
        <v>23</v>
      </c>
      <c r="Z172" s="25">
        <f t="shared" si="45"/>
        <v>0</v>
      </c>
      <c r="AA172" s="25">
        <f t="shared" si="42"/>
        <v>0</v>
      </c>
      <c r="AB172" s="23">
        <f ca="1">IFERROR(INDEX('Cutters Inventory 12-30-2025'!A:W,MATCH($W172,'Cutters Inventory 12-30-2025'!B:B,0),14),0)</f>
        <v>558</v>
      </c>
      <c r="AC172" s="23">
        <f>SUMIF(Table1[LEVEL 5 MAT NO.],S172,Table1[Braze Plan])</f>
        <v>0</v>
      </c>
      <c r="AD172" s="23">
        <f>Table4[[#This Row],[Quantity]]*Table4[[#This Row],[Bits Braze Plan]]</f>
        <v>0</v>
      </c>
      <c r="AE172" s="23">
        <f ca="1">Table4[[#This Row],[INV. QTY]]-Table4[[#This Row],[Required For Braze Cutters Check]]</f>
        <v>558</v>
      </c>
      <c r="AF172" s="23">
        <f t="shared" ca="1" si="39"/>
        <v>558</v>
      </c>
      <c r="AG172" s="625" t="s">
        <v>658</v>
      </c>
      <c r="AJ172"/>
      <c r="AK172"/>
      <c r="BA172">
        <f t="shared" si="44"/>
        <v>0</v>
      </c>
      <c r="BC172" s="159">
        <f>IFERROR(VLOOKUP(BA:BA,Table4[],8,FALSE),Table6[[#This Row],[Not Exist BOM''s]])</f>
        <v>0</v>
      </c>
    </row>
    <row r="173" spans="1:55" ht="24.75" customHeight="1" x14ac:dyDescent="0.25">
      <c r="A173" s="109">
        <v>20230401</v>
      </c>
      <c r="B173" s="709"/>
      <c r="C173" s="109">
        <v>14109685</v>
      </c>
      <c r="D173" s="109" t="s">
        <v>316</v>
      </c>
      <c r="E173" s="109" t="s">
        <v>290</v>
      </c>
      <c r="F173" s="109">
        <v>179849</v>
      </c>
      <c r="G173" s="109">
        <v>3</v>
      </c>
      <c r="H173" s="140">
        <v>1229187</v>
      </c>
      <c r="I173" s="140">
        <v>1268728</v>
      </c>
      <c r="J173" s="26">
        <f>IF(H173&lt;&gt;"",IF(AND(C173&lt;&gt;"",IFERROR(MATCH(C173,Table10[Serial No.],0),0)),0,1),0)</f>
        <v>0</v>
      </c>
      <c r="K173" s="21"/>
      <c r="L173" s="539" t="str">
        <f t="shared" ca="1" si="40"/>
        <v/>
      </c>
      <c r="S173" s="281">
        <v>1219698</v>
      </c>
      <c r="T173" s="278" t="s">
        <v>309</v>
      </c>
      <c r="U173" s="278" t="s">
        <v>669</v>
      </c>
      <c r="V173" s="25">
        <v>2</v>
      </c>
      <c r="W173" s="284">
        <v>418525</v>
      </c>
      <c r="X173" s="19" t="str">
        <f>IFERROR(INDEX(Table14[],MATCH($W173,Table14[SAPNo],0),3),"")</f>
        <v>Drop In 1308 CT31   (B)</v>
      </c>
      <c r="Y173" s="284">
        <v>10</v>
      </c>
      <c r="Z173" s="25">
        <f t="shared" si="45"/>
        <v>0</v>
      </c>
      <c r="AA173" s="25">
        <f t="shared" si="42"/>
        <v>0</v>
      </c>
      <c r="AB173" s="23">
        <f ca="1">IFERROR(INDEX('Cutters Inventory 12-30-2025'!A:W,MATCH($W173,'Cutters Inventory 12-30-2025'!B:B,0),14),0)</f>
        <v>933</v>
      </c>
      <c r="AC173" s="23">
        <f>SUMIF(Table1[LEVEL 5 MAT NO.],S173,Table1[Braze Plan])</f>
        <v>0</v>
      </c>
      <c r="AD173" s="23">
        <f>Table4[[#This Row],[Quantity]]*Table4[[#This Row],[Bits Braze Plan]]</f>
        <v>0</v>
      </c>
      <c r="AE173" s="23">
        <f ca="1">Table4[[#This Row],[INV. QTY]]-Table4[[#This Row],[Required For Braze Cutters Check]]</f>
        <v>933</v>
      </c>
      <c r="AF173" s="23">
        <f t="shared" ca="1" si="39"/>
        <v>933</v>
      </c>
      <c r="AG173" s="23"/>
      <c r="AJ173"/>
      <c r="AK173"/>
      <c r="BA173">
        <f t="shared" si="44"/>
        <v>0</v>
      </c>
      <c r="BC173" s="159">
        <f>IFERROR(VLOOKUP(BA:BA,Table4[],8,FALSE),Table6[[#This Row],[Not Exist BOM''s]])</f>
        <v>0</v>
      </c>
    </row>
    <row r="174" spans="1:55" ht="24.75" customHeight="1" x14ac:dyDescent="0.25">
      <c r="A174" s="109">
        <v>20230409</v>
      </c>
      <c r="B174" s="709"/>
      <c r="C174" s="109">
        <v>14110979</v>
      </c>
      <c r="D174" s="109" t="s">
        <v>316</v>
      </c>
      <c r="E174" s="109" t="s">
        <v>290</v>
      </c>
      <c r="F174" s="109">
        <v>179849</v>
      </c>
      <c r="G174" s="109">
        <v>3</v>
      </c>
      <c r="H174" s="140">
        <v>1229187</v>
      </c>
      <c r="I174" s="140">
        <v>1268728</v>
      </c>
      <c r="J174" s="26">
        <f>IF(H174&lt;&gt;"",IF(AND(C174&lt;&gt;"",IFERROR(MATCH(C174,Table10[Serial No.],0),0)),0,1),0)</f>
        <v>0</v>
      </c>
      <c r="K174" s="21"/>
      <c r="L174" s="539" t="str">
        <f t="shared" ca="1" si="40"/>
        <v/>
      </c>
      <c r="S174" s="282">
        <v>1224750</v>
      </c>
      <c r="T174" s="279" t="s">
        <v>627</v>
      </c>
      <c r="U174" s="279" t="s">
        <v>670</v>
      </c>
      <c r="V174" s="25">
        <v>1</v>
      </c>
      <c r="W174" s="285">
        <v>780654</v>
      </c>
      <c r="X174" s="19" t="str">
        <f>IFERROR(INDEX(Table14[],MATCH($W174,Table14[SAPNo],0),3),"")</f>
        <v>Round 1010 CT80  10C (B)</v>
      </c>
      <c r="Y174" s="284">
        <v>19</v>
      </c>
      <c r="Z174" s="25">
        <f t="shared" si="45"/>
        <v>0</v>
      </c>
      <c r="AA174" s="25">
        <f t="shared" si="42"/>
        <v>0</v>
      </c>
      <c r="AB174" s="23">
        <f ca="1">IFERROR(INDEX('Cutters Inventory 12-30-2025'!A:W,MATCH($W174,'Cutters Inventory 12-30-2025'!B:B,0),14),0)</f>
        <v>0</v>
      </c>
      <c r="AC174" s="23">
        <f>SUMIF(Table1[LEVEL 5 MAT NO.],S174,Table1[Braze Plan])</f>
        <v>0</v>
      </c>
      <c r="AD174" s="23">
        <f>Table4[[#This Row],[Quantity]]*Table4[[#This Row],[Bits Braze Plan]]</f>
        <v>0</v>
      </c>
      <c r="AE174" s="23">
        <f ca="1">Table4[[#This Row],[INV. QTY]]-Table4[[#This Row],[Required For Braze Cutters Check]]</f>
        <v>0</v>
      </c>
      <c r="AF174" s="23">
        <f t="shared" ca="1" si="39"/>
        <v>0</v>
      </c>
      <c r="AG174" s="23"/>
      <c r="AJ174"/>
      <c r="AK174"/>
      <c r="BA174">
        <f t="shared" si="44"/>
        <v>0</v>
      </c>
      <c r="BC174" s="159">
        <f>IFERROR(VLOOKUP(BA:BA,Table4[],8,FALSE),Table6[[#This Row],[Not Exist BOM''s]])</f>
        <v>0</v>
      </c>
    </row>
    <row r="175" spans="1:55" ht="24.75" customHeight="1" x14ac:dyDescent="0.25">
      <c r="A175" s="109">
        <v>20230409</v>
      </c>
      <c r="B175" s="709"/>
      <c r="C175" s="109">
        <v>14110980</v>
      </c>
      <c r="D175" s="109" t="s">
        <v>316</v>
      </c>
      <c r="E175" s="109" t="s">
        <v>290</v>
      </c>
      <c r="F175" s="109">
        <v>179849</v>
      </c>
      <c r="G175" s="109">
        <v>3</v>
      </c>
      <c r="H175" s="140">
        <v>1229187</v>
      </c>
      <c r="I175" s="140">
        <v>1268728</v>
      </c>
      <c r="J175" s="26">
        <f>IF(H175&lt;&gt;"",IF(AND(C175&lt;&gt;"",IFERROR(MATCH(C175,Table10[Serial No.],0),0)),0,1),0)</f>
        <v>0</v>
      </c>
      <c r="K175" s="21"/>
      <c r="L175" s="539" t="str">
        <f t="shared" ca="1" si="40"/>
        <v/>
      </c>
      <c r="P175"/>
      <c r="Q175"/>
      <c r="S175" s="282">
        <v>1225753</v>
      </c>
      <c r="T175" s="279" t="s">
        <v>309</v>
      </c>
      <c r="U175" s="279" t="s">
        <v>671</v>
      </c>
      <c r="V175" s="246">
        <v>1</v>
      </c>
      <c r="W175" s="621">
        <v>1136984</v>
      </c>
      <c r="X175" s="622" t="str">
        <f>IFERROR(INDEX(Table14[],MATCH($W175,Table14[SAPNo],0),3),"")</f>
        <v>DBLMCHT 1313 CT182DM  10C (S)</v>
      </c>
      <c r="Y175" s="284">
        <v>13</v>
      </c>
      <c r="Z175" s="25">
        <f t="shared" si="45"/>
        <v>0</v>
      </c>
      <c r="AA175" s="25">
        <f t="shared" si="42"/>
        <v>0</v>
      </c>
      <c r="AB175" s="23">
        <f ca="1">IFERROR(INDEX('Cutters Inventory 12-30-2025'!A:W,MATCH($W175,'Cutters Inventory 12-30-2025'!B:B,0),14),0)</f>
        <v>92</v>
      </c>
      <c r="AC175" s="23">
        <f>SUMIF(Table1[LEVEL 5 MAT NO.],S175,Table1[Braze Plan])</f>
        <v>0</v>
      </c>
      <c r="AD175" s="23">
        <f>Table4[[#This Row],[Quantity]]*Table4[[#This Row],[Bits Braze Plan]]</f>
        <v>0</v>
      </c>
      <c r="AE175" s="23">
        <f ca="1">Table4[[#This Row],[INV. QTY]]-Table4[[#This Row],[Required For Braze Cutters Check]]</f>
        <v>92</v>
      </c>
      <c r="AF175" s="23">
        <f t="shared" ca="1" si="39"/>
        <v>92</v>
      </c>
      <c r="AG175" s="625" t="s">
        <v>672</v>
      </c>
      <c r="AJ175"/>
      <c r="AK175"/>
      <c r="BA175">
        <f t="shared" si="44"/>
        <v>0</v>
      </c>
      <c r="BC175" s="159">
        <f>IFERROR(VLOOKUP(BA:BA,Table4[],8,FALSE),Table6[[#This Row],[Not Exist BOM''s]])</f>
        <v>0</v>
      </c>
    </row>
    <row r="176" spans="1:55" ht="24.75" customHeight="1" x14ac:dyDescent="0.25">
      <c r="A176" s="109">
        <v>20230409</v>
      </c>
      <c r="B176" s="709"/>
      <c r="C176" s="109">
        <v>14110981</v>
      </c>
      <c r="D176" s="109" t="s">
        <v>316</v>
      </c>
      <c r="E176" s="109" t="s">
        <v>290</v>
      </c>
      <c r="F176" s="109">
        <v>179849</v>
      </c>
      <c r="G176" s="109">
        <v>3</v>
      </c>
      <c r="H176" s="140">
        <v>1229187</v>
      </c>
      <c r="I176" s="140">
        <v>1268728</v>
      </c>
      <c r="J176" s="26">
        <f>IF(H176&lt;&gt;"",IF(AND(C176&lt;&gt;"",IFERROR(MATCH(C176,Table10[Serial No.],0),0)),0,1),0)</f>
        <v>0</v>
      </c>
      <c r="K176" s="21"/>
      <c r="L176" s="539" t="str">
        <f t="shared" ca="1" si="40"/>
        <v/>
      </c>
      <c r="P176"/>
      <c r="Q176"/>
      <c r="S176" s="281">
        <v>1225753</v>
      </c>
      <c r="T176" s="278" t="s">
        <v>309</v>
      </c>
      <c r="U176" s="278" t="s">
        <v>671</v>
      </c>
      <c r="V176" s="25">
        <v>2</v>
      </c>
      <c r="W176" s="284">
        <v>1146346</v>
      </c>
      <c r="X176" s="618" t="str">
        <f>IFERROR(INDEX(Table14[],MATCH($W176,Table14[SAPNo],0),3),"")</f>
        <v>1313 CT418 18-60</v>
      </c>
      <c r="Y176" s="284">
        <v>12</v>
      </c>
      <c r="Z176" s="25">
        <f t="shared" si="45"/>
        <v>0</v>
      </c>
      <c r="AA176" s="25">
        <f t="shared" si="42"/>
        <v>0</v>
      </c>
      <c r="AB176" s="23">
        <f ca="1">IFERROR(INDEX('Cutters Inventory 12-30-2025'!A:W,MATCH($W176,'Cutters Inventory 12-30-2025'!B:B,0),14),0)</f>
        <v>558</v>
      </c>
      <c r="AC176" s="23">
        <f>SUMIF(Table1[LEVEL 5 MAT NO.],S176,Table1[Braze Plan])</f>
        <v>0</v>
      </c>
      <c r="AD176" s="23">
        <f>Table4[[#This Row],[Quantity]]*Table4[[#This Row],[Bits Braze Plan]]</f>
        <v>0</v>
      </c>
      <c r="AE176" s="23">
        <f ca="1">Table4[[#This Row],[INV. QTY]]-Table4[[#This Row],[Required For Braze Cutters Check]]</f>
        <v>558</v>
      </c>
      <c r="AF176" s="23">
        <f t="shared" ca="1" si="39"/>
        <v>558</v>
      </c>
      <c r="AG176" s="625" t="s">
        <v>658</v>
      </c>
      <c r="AJ176"/>
      <c r="AK176"/>
      <c r="BA176">
        <f t="shared" si="44"/>
        <v>0</v>
      </c>
      <c r="BC176" s="159">
        <f>IFERROR(VLOOKUP(BA:BA,Table4[],8,FALSE),Table6[[#This Row],[Not Exist BOM''s]])</f>
        <v>0</v>
      </c>
    </row>
    <row r="177" spans="1:55" ht="24.75" customHeight="1" x14ac:dyDescent="0.25">
      <c r="A177" s="109">
        <v>20230409</v>
      </c>
      <c r="B177" s="709"/>
      <c r="C177" s="109">
        <v>14110982</v>
      </c>
      <c r="D177" s="109" t="s">
        <v>316</v>
      </c>
      <c r="E177" s="109" t="s">
        <v>290</v>
      </c>
      <c r="F177" s="109">
        <v>179849</v>
      </c>
      <c r="G177" s="109">
        <v>3</v>
      </c>
      <c r="H177" s="140">
        <v>1229187</v>
      </c>
      <c r="I177" s="140">
        <v>1268728</v>
      </c>
      <c r="J177" s="26">
        <f>IF(H177&lt;&gt;"",IF(AND(C177&lt;&gt;"",IFERROR(MATCH(C177,Table10[Serial No.],0),0)),0,1),0)</f>
        <v>0</v>
      </c>
      <c r="K177" s="21"/>
      <c r="L177" s="539" t="str">
        <f t="shared" ca="1" si="40"/>
        <v/>
      </c>
      <c r="P177"/>
      <c r="Q177"/>
      <c r="S177" s="281">
        <v>1225753</v>
      </c>
      <c r="T177" s="278" t="s">
        <v>309</v>
      </c>
      <c r="U177" s="278" t="s">
        <v>671</v>
      </c>
      <c r="V177" s="25">
        <v>3</v>
      </c>
      <c r="W177" s="284">
        <v>418525</v>
      </c>
      <c r="X177" s="19" t="str">
        <f>IFERROR(INDEX(Table14[],MATCH($W177,Table14[SAPNo],0),3),"")</f>
        <v>Drop In 1308 CT31   (B)</v>
      </c>
      <c r="Y177" s="284">
        <v>6</v>
      </c>
      <c r="Z177" s="25">
        <f t="shared" si="45"/>
        <v>0</v>
      </c>
      <c r="AA177" s="25">
        <f t="shared" si="42"/>
        <v>0</v>
      </c>
      <c r="AB177" s="23">
        <f ca="1">IFERROR(INDEX('Cutters Inventory 12-30-2025'!A:W,MATCH($W177,'Cutters Inventory 12-30-2025'!B:B,0),14),0)</f>
        <v>933</v>
      </c>
      <c r="AC177" s="23">
        <f>SUMIF(Table1[LEVEL 5 MAT NO.],S177,Table1[Braze Plan])</f>
        <v>0</v>
      </c>
      <c r="AD177" s="23">
        <f>Table4[[#This Row],[Quantity]]*Table4[[#This Row],[Bits Braze Plan]]</f>
        <v>0</v>
      </c>
      <c r="AE177" s="23">
        <f ca="1">Table4[[#This Row],[INV. QTY]]-Table4[[#This Row],[Required For Braze Cutters Check]]</f>
        <v>933</v>
      </c>
      <c r="AF177" s="23">
        <f t="shared" ca="1" si="39"/>
        <v>933</v>
      </c>
      <c r="AG177" s="23"/>
      <c r="AK177"/>
      <c r="BA177">
        <f t="shared" si="44"/>
        <v>0</v>
      </c>
      <c r="BC177" s="159">
        <f>IFERROR(VLOOKUP(BA:BA,Table4[],8,FALSE),Table6[[#This Row],[Not Exist BOM''s]])</f>
        <v>0</v>
      </c>
    </row>
    <row r="178" spans="1:55" ht="24.75" customHeight="1" x14ac:dyDescent="0.25">
      <c r="A178" s="109">
        <v>20230409</v>
      </c>
      <c r="B178" s="709"/>
      <c r="C178" s="109">
        <v>14110978</v>
      </c>
      <c r="D178" s="109" t="s">
        <v>316</v>
      </c>
      <c r="E178" s="109" t="s">
        <v>290</v>
      </c>
      <c r="F178" s="109">
        <v>179849</v>
      </c>
      <c r="G178" s="109">
        <v>3</v>
      </c>
      <c r="H178" s="140">
        <v>1229187</v>
      </c>
      <c r="I178" s="140">
        <v>1268728</v>
      </c>
      <c r="J178" s="26">
        <f>IF(H178&lt;&gt;"",IF(AND(C178&lt;&gt;"",IFERROR(MATCH(C178,Table10[Serial No.],0),0)),0,1),0)</f>
        <v>0</v>
      </c>
      <c r="K178" s="21"/>
      <c r="L178" s="539" t="str">
        <f t="shared" ca="1" si="40"/>
        <v/>
      </c>
      <c r="P178"/>
      <c r="Q178"/>
      <c r="S178" s="281">
        <v>1225753</v>
      </c>
      <c r="T178" s="278" t="s">
        <v>309</v>
      </c>
      <c r="U178" s="278" t="s">
        <v>671</v>
      </c>
      <c r="V178" s="25">
        <v>4</v>
      </c>
      <c r="W178" s="284">
        <v>1101509</v>
      </c>
      <c r="X178" s="19" t="str">
        <f>IFERROR(INDEX(Table14[],MATCH($W178,Table14[SAPNo],0),3),"")</f>
        <v>Short IA 8    (C)</v>
      </c>
      <c r="Y178" s="284">
        <v>5</v>
      </c>
      <c r="Z178" s="25">
        <f t="shared" si="45"/>
        <v>0</v>
      </c>
      <c r="AA178" s="25">
        <f t="shared" si="42"/>
        <v>0</v>
      </c>
      <c r="AB178" s="23">
        <f ca="1">IFERROR(INDEX('Cutters Inventory 12-30-2025'!A:W,MATCH($W178,'Cutters Inventory 12-30-2025'!B:B,0),14),0)</f>
        <v>66</v>
      </c>
      <c r="AC178" s="23">
        <f>SUMIF(Table1[LEVEL 5 MAT NO.],S178,Table1[Braze Plan])</f>
        <v>0</v>
      </c>
      <c r="AD178" s="23">
        <f>Table4[[#This Row],[Quantity]]*Table4[[#This Row],[Bits Braze Plan]]</f>
        <v>0</v>
      </c>
      <c r="AE178" s="23">
        <f ca="1">Table4[[#This Row],[INV. QTY]]-Table4[[#This Row],[Required For Braze Cutters Check]]</f>
        <v>66</v>
      </c>
      <c r="AF178" s="23">
        <f t="shared" ca="1" si="39"/>
        <v>66</v>
      </c>
      <c r="AG178" s="23"/>
      <c r="AK178"/>
    </row>
    <row r="179" spans="1:55" ht="24.75" customHeight="1" x14ac:dyDescent="0.25">
      <c r="A179" s="109">
        <v>20230400</v>
      </c>
      <c r="B179" s="709"/>
      <c r="C179" s="109">
        <v>14109694</v>
      </c>
      <c r="D179" s="109" t="s">
        <v>637</v>
      </c>
      <c r="E179" s="109" t="s">
        <v>673</v>
      </c>
      <c r="F179" s="109"/>
      <c r="G179" s="109">
        <v>4</v>
      </c>
      <c r="H179" s="140">
        <v>1270865</v>
      </c>
      <c r="I179" s="140" t="s">
        <v>674</v>
      </c>
      <c r="J179" s="26">
        <f>IF(H179&lt;&gt;"",IF(AND(C179&lt;&gt;"",IFERROR(MATCH(C179,Table10[Serial No.],0),0)),0,1),0)</f>
        <v>0</v>
      </c>
      <c r="K179" s="21"/>
      <c r="L179" s="539" t="str">
        <f t="shared" si="40"/>
        <v/>
      </c>
      <c r="P179"/>
      <c r="Q179"/>
      <c r="S179" s="281">
        <v>1225753</v>
      </c>
      <c r="T179" s="278" t="s">
        <v>309</v>
      </c>
      <c r="U179" s="278" t="s">
        <v>671</v>
      </c>
      <c r="V179" s="25">
        <v>5</v>
      </c>
      <c r="W179" s="284">
        <v>1104083</v>
      </c>
      <c r="X179" s="19" t="str">
        <f>IFERROR(INDEX(Table14[],MATCH($W179,Table14[SAPNo],0),3),"")</f>
        <v>1313 CT144H  10C (S)</v>
      </c>
      <c r="Y179" s="284">
        <v>1</v>
      </c>
      <c r="Z179" s="25">
        <f t="shared" si="45"/>
        <v>0</v>
      </c>
      <c r="AA179" s="25">
        <f t="shared" si="42"/>
        <v>0</v>
      </c>
      <c r="AB179" s="23">
        <f ca="1">IFERROR(INDEX('Cutters Inventory 12-30-2025'!A:W,MATCH($W179,'Cutters Inventory 12-30-2025'!B:B,0),14),0)</f>
        <v>2</v>
      </c>
      <c r="AC179" s="23">
        <f>SUMIF(Table1[LEVEL 5 MAT NO.],S179,Table1[Braze Plan])</f>
        <v>0</v>
      </c>
      <c r="AD179" s="23">
        <f>Table4[[#This Row],[Quantity]]*Table4[[#This Row],[Bits Braze Plan]]</f>
        <v>0</v>
      </c>
      <c r="AE179" s="23">
        <f ca="1">Table4[[#This Row],[INV. QTY]]-Table4[[#This Row],[Required For Braze Cutters Check]]</f>
        <v>2</v>
      </c>
      <c r="AF179" s="23">
        <f t="shared" ca="1" si="39"/>
        <v>2</v>
      </c>
      <c r="AG179" s="23"/>
      <c r="AK179"/>
    </row>
    <row r="180" spans="1:55" ht="24.75" customHeight="1" x14ac:dyDescent="0.25">
      <c r="A180" s="109">
        <v>20230439</v>
      </c>
      <c r="B180" s="709"/>
      <c r="C180" s="109">
        <v>14109692</v>
      </c>
      <c r="D180" s="109" t="s">
        <v>316</v>
      </c>
      <c r="E180" s="109" t="s">
        <v>320</v>
      </c>
      <c r="F180" s="109" t="s">
        <v>675</v>
      </c>
      <c r="G180" s="109" t="s">
        <v>676</v>
      </c>
      <c r="H180" s="140">
        <v>1221158</v>
      </c>
      <c r="I180" s="140">
        <v>1272498</v>
      </c>
      <c r="J180" s="26">
        <f>IF(H180&lt;&gt;"",IF(AND(C180&lt;&gt;"",IFERROR(MATCH(C180,Table10[Serial No.],0),0)),0,1),0)</f>
        <v>0</v>
      </c>
      <c r="K180" s="21"/>
      <c r="L180" s="539" t="str">
        <f t="shared" ca="1" si="40"/>
        <v/>
      </c>
      <c r="P180"/>
      <c r="Q180"/>
      <c r="S180" s="281">
        <v>1226841</v>
      </c>
      <c r="T180" s="278" t="s">
        <v>309</v>
      </c>
      <c r="U180" s="278" t="s">
        <v>677</v>
      </c>
      <c r="V180" s="25">
        <v>1</v>
      </c>
      <c r="W180" s="284">
        <v>1146346</v>
      </c>
      <c r="X180" s="618" t="str">
        <f>IFERROR(INDEX(Table14[],MATCH($W180,Table14[SAPNo],0),3),"")</f>
        <v>1313 CT418 18-60</v>
      </c>
      <c r="Y180" s="284">
        <v>16</v>
      </c>
      <c r="Z180" s="25">
        <f t="shared" si="45"/>
        <v>0</v>
      </c>
      <c r="AA180" s="25">
        <f t="shared" si="42"/>
        <v>0</v>
      </c>
      <c r="AB180" s="23">
        <f ca="1">IFERROR(INDEX('Cutters Inventory 12-30-2025'!A:W,MATCH($W180,'Cutters Inventory 12-30-2025'!B:B,0),14),0)</f>
        <v>558</v>
      </c>
      <c r="AC180" s="23">
        <f>SUMIF(Table1[LEVEL 5 MAT NO.],S180,Table1[Braze Plan])</f>
        <v>0</v>
      </c>
      <c r="AD180" s="23">
        <f>Table4[[#This Row],[Quantity]]*Table4[[#This Row],[Bits Braze Plan]]</f>
        <v>0</v>
      </c>
      <c r="AE180" s="23">
        <f ca="1">Table4[[#This Row],[INV. QTY]]-Table4[[#This Row],[Required For Braze Cutters Check]]</f>
        <v>558</v>
      </c>
      <c r="AF180" s="23">
        <f t="shared" ca="1" si="39"/>
        <v>558</v>
      </c>
      <c r="AG180" s="625" t="s">
        <v>658</v>
      </c>
      <c r="AK180"/>
    </row>
    <row r="181" spans="1:55" ht="24.75" customHeight="1" x14ac:dyDescent="0.25">
      <c r="A181" s="109">
        <v>20230439</v>
      </c>
      <c r="B181" s="709"/>
      <c r="C181" s="109">
        <v>14119204</v>
      </c>
      <c r="D181" s="109" t="s">
        <v>316</v>
      </c>
      <c r="E181" s="109" t="s">
        <v>320</v>
      </c>
      <c r="F181" s="109" t="s">
        <v>675</v>
      </c>
      <c r="G181" s="109" t="s">
        <v>676</v>
      </c>
      <c r="H181" s="140">
        <v>1221158</v>
      </c>
      <c r="I181" s="140">
        <v>1272498</v>
      </c>
      <c r="J181" s="26">
        <f>IF(H181&lt;&gt;"",IF(AND(C181&lt;&gt;"",IFERROR(MATCH(C181,Table10[Serial No.],0),0)),0,1),0)</f>
        <v>0</v>
      </c>
      <c r="K181" s="21"/>
      <c r="L181" s="539" t="str">
        <f t="shared" ca="1" si="40"/>
        <v/>
      </c>
      <c r="P181"/>
      <c r="Q181"/>
      <c r="S181" s="281">
        <v>1226841</v>
      </c>
      <c r="T181" s="278" t="s">
        <v>309</v>
      </c>
      <c r="U181" s="278" t="s">
        <v>677</v>
      </c>
      <c r="V181" s="25">
        <v>2</v>
      </c>
      <c r="W181" s="284">
        <v>418525</v>
      </c>
      <c r="X181" s="19" t="str">
        <f>IFERROR(INDEX(Table14[],MATCH($W181,Table14[SAPNo],0),3),"")</f>
        <v>Drop In 1308 CT31   (B)</v>
      </c>
      <c r="Y181" s="284">
        <v>10</v>
      </c>
      <c r="Z181" s="25">
        <f t="shared" si="45"/>
        <v>0</v>
      </c>
      <c r="AA181" s="25">
        <f t="shared" si="42"/>
        <v>0</v>
      </c>
      <c r="AB181" s="23">
        <f ca="1">IFERROR(INDEX('Cutters Inventory 12-30-2025'!A:W,MATCH($W181,'Cutters Inventory 12-30-2025'!B:B,0),14),0)</f>
        <v>933</v>
      </c>
      <c r="AC181" s="23">
        <f>SUMIF(Table1[LEVEL 5 MAT NO.],S181,Table1[Braze Plan])</f>
        <v>0</v>
      </c>
      <c r="AD181" s="23">
        <f>Table4[[#This Row],[Quantity]]*Table4[[#This Row],[Bits Braze Plan]]</f>
        <v>0</v>
      </c>
      <c r="AE181" s="23">
        <f ca="1">Table4[[#This Row],[INV. QTY]]-Table4[[#This Row],[Required For Braze Cutters Check]]</f>
        <v>933</v>
      </c>
      <c r="AF181" s="23">
        <f t="shared" ca="1" si="39"/>
        <v>933</v>
      </c>
      <c r="AG181" s="23"/>
      <c r="AK181"/>
    </row>
    <row r="182" spans="1:55" ht="24.75" customHeight="1" x14ac:dyDescent="0.25">
      <c r="A182" s="109">
        <v>20230439</v>
      </c>
      <c r="B182" s="709"/>
      <c r="C182" s="109">
        <v>14119202</v>
      </c>
      <c r="D182" s="109" t="s">
        <v>316</v>
      </c>
      <c r="E182" s="109" t="s">
        <v>320</v>
      </c>
      <c r="F182" s="109" t="s">
        <v>675</v>
      </c>
      <c r="G182" s="109" t="s">
        <v>676</v>
      </c>
      <c r="H182" s="140">
        <v>1221158</v>
      </c>
      <c r="I182" s="140">
        <v>1272498</v>
      </c>
      <c r="J182" s="26">
        <f>IF(H182&lt;&gt;"",IF(AND(C182&lt;&gt;"",IFERROR(MATCH(C182,Table10[Serial No.],0),0)),0,1),0)</f>
        <v>0</v>
      </c>
      <c r="K182" s="21"/>
      <c r="L182" s="539" t="str">
        <f t="shared" ca="1" si="40"/>
        <v/>
      </c>
      <c r="P182"/>
      <c r="Q182"/>
      <c r="S182" s="281">
        <v>1226841</v>
      </c>
      <c r="T182" s="278" t="s">
        <v>309</v>
      </c>
      <c r="U182" s="278" t="s">
        <v>677</v>
      </c>
      <c r="V182" s="25">
        <v>3</v>
      </c>
      <c r="W182" s="284">
        <v>1209332</v>
      </c>
      <c r="X182" s="19" t="str">
        <f>IFERROR(INDEX(Table14[],MATCH($W182,Table14[SAPNo],0),3),"")</f>
        <v>1313 CT147G U</v>
      </c>
      <c r="Y182" s="284">
        <v>7</v>
      </c>
      <c r="Z182" s="25">
        <f t="shared" si="45"/>
        <v>0</v>
      </c>
      <c r="AA182" s="25">
        <f t="shared" si="42"/>
        <v>0</v>
      </c>
      <c r="AB182" s="23">
        <f ca="1">IFERROR(INDEX('Cutters Inventory 12-30-2025'!A:W,MATCH($W182,'Cutters Inventory 12-30-2025'!B:B,0),14),0)</f>
        <v>1</v>
      </c>
      <c r="AC182" s="23">
        <f>SUMIF(Table1[LEVEL 5 MAT NO.],S182,Table1[Braze Plan])</f>
        <v>0</v>
      </c>
      <c r="AD182" s="23">
        <f>Table4[[#This Row],[Quantity]]*Table4[[#This Row],[Bits Braze Plan]]</f>
        <v>0</v>
      </c>
      <c r="AE182" s="23">
        <f ca="1">Table4[[#This Row],[INV. QTY]]-Table4[[#This Row],[Required For Braze Cutters Check]]</f>
        <v>1</v>
      </c>
      <c r="AF182" s="23">
        <f t="shared" ca="1" si="39"/>
        <v>1</v>
      </c>
      <c r="AG182" s="23"/>
      <c r="AK182"/>
    </row>
    <row r="183" spans="1:55" ht="24.75" customHeight="1" x14ac:dyDescent="0.25">
      <c r="A183" s="109">
        <v>20230439</v>
      </c>
      <c r="B183" s="709"/>
      <c r="C183" s="109">
        <v>14119206</v>
      </c>
      <c r="D183" s="109" t="s">
        <v>315</v>
      </c>
      <c r="E183" s="109" t="s">
        <v>286</v>
      </c>
      <c r="F183" s="109" t="s">
        <v>678</v>
      </c>
      <c r="G183" s="109" t="s">
        <v>676</v>
      </c>
      <c r="H183" s="140">
        <v>1245350</v>
      </c>
      <c r="I183" s="140">
        <v>1269308</v>
      </c>
      <c r="J183" s="26">
        <f>IF(H183&lt;&gt;"",IF(AND(C183&lt;&gt;"",IFERROR(MATCH(C183,Table10[Serial No.],0),0)),0,1),0)</f>
        <v>0</v>
      </c>
      <c r="K183" s="21"/>
      <c r="L183" s="539" t="str">
        <f t="shared" ca="1" si="40"/>
        <v/>
      </c>
      <c r="P183"/>
      <c r="Q183"/>
      <c r="S183" s="281">
        <v>1233276</v>
      </c>
      <c r="T183" s="278" t="s">
        <v>309</v>
      </c>
      <c r="U183" s="278" t="s">
        <v>679</v>
      </c>
      <c r="V183" s="25">
        <v>1</v>
      </c>
      <c r="W183" s="284">
        <v>1146346</v>
      </c>
      <c r="X183" s="618" t="str">
        <f>IFERROR(INDEX(Table14[],MATCH($W183,Table14[SAPNo],0),3),"")</f>
        <v>1313 CT418 18-60</v>
      </c>
      <c r="Y183" s="284">
        <v>16</v>
      </c>
      <c r="Z183" s="25">
        <f t="shared" si="45"/>
        <v>0</v>
      </c>
      <c r="AA183" s="25">
        <f t="shared" si="42"/>
        <v>0</v>
      </c>
      <c r="AB183" s="23">
        <f ca="1">IFERROR(INDEX('Cutters Inventory 12-30-2025'!A:W,MATCH($W183,'Cutters Inventory 12-30-2025'!B:B,0),14),0)</f>
        <v>558</v>
      </c>
      <c r="AC183" s="23">
        <f>SUMIF(Table1[LEVEL 5 MAT NO.],S183,Table1[Braze Plan])</f>
        <v>0</v>
      </c>
      <c r="AD183" s="23">
        <f>Table4[[#This Row],[Quantity]]*Table4[[#This Row],[Bits Braze Plan]]</f>
        <v>0</v>
      </c>
      <c r="AE183" s="23">
        <f ca="1">Table4[[#This Row],[INV. QTY]]-Table4[[#This Row],[Required For Braze Cutters Check]]</f>
        <v>558</v>
      </c>
      <c r="AF183" s="23">
        <f t="shared" ca="1" si="39"/>
        <v>558</v>
      </c>
      <c r="AG183" s="23"/>
      <c r="AK183"/>
    </row>
    <row r="184" spans="1:55" ht="24.75" customHeight="1" x14ac:dyDescent="0.25">
      <c r="A184" s="109">
        <v>20230439</v>
      </c>
      <c r="B184" s="709"/>
      <c r="C184" s="109">
        <v>14119207</v>
      </c>
      <c r="D184" s="109" t="s">
        <v>315</v>
      </c>
      <c r="E184" s="109" t="s">
        <v>286</v>
      </c>
      <c r="F184" s="109" t="s">
        <v>678</v>
      </c>
      <c r="G184" s="109" t="s">
        <v>676</v>
      </c>
      <c r="H184" s="140">
        <v>1245350</v>
      </c>
      <c r="I184" s="140">
        <v>1269308</v>
      </c>
      <c r="J184" s="26">
        <f>IF(H184&lt;&gt;"",IF(AND(C184&lt;&gt;"",IFERROR(MATCH(C184,Table10[Serial No.],0),0)),0,1),0)</f>
        <v>0</v>
      </c>
      <c r="K184" s="21"/>
      <c r="L184" s="539" t="str">
        <f t="shared" ca="1" si="40"/>
        <v/>
      </c>
      <c r="P184"/>
      <c r="Q184"/>
      <c r="S184" s="281">
        <v>1233276</v>
      </c>
      <c r="T184" s="278" t="s">
        <v>309</v>
      </c>
      <c r="U184" s="278" t="s">
        <v>679</v>
      </c>
      <c r="V184" s="25">
        <v>2</v>
      </c>
      <c r="W184" s="284">
        <v>418525</v>
      </c>
      <c r="X184" s="19" t="str">
        <f>IFERROR(INDEX(Table14[],MATCH($W184,Table14[SAPNo],0),3),"")</f>
        <v>Drop In 1308 CT31   (B)</v>
      </c>
      <c r="Y184" s="284">
        <v>10</v>
      </c>
      <c r="Z184" s="25">
        <f t="shared" si="45"/>
        <v>0</v>
      </c>
      <c r="AA184" s="25">
        <f t="shared" si="42"/>
        <v>0</v>
      </c>
      <c r="AB184" s="23">
        <f ca="1">IFERROR(INDEX('Cutters Inventory 12-30-2025'!A:W,MATCH($W184,'Cutters Inventory 12-30-2025'!B:B,0),14),0)</f>
        <v>933</v>
      </c>
      <c r="AC184" s="23">
        <f>SUMIF(Table1[LEVEL 5 MAT NO.],S184,Table1[Braze Plan])</f>
        <v>0</v>
      </c>
      <c r="AD184" s="23">
        <f>Table4[[#This Row],[Quantity]]*Table4[[#This Row],[Bits Braze Plan]]</f>
        <v>0</v>
      </c>
      <c r="AE184" s="23">
        <f ca="1">Table4[[#This Row],[INV. QTY]]-Table4[[#This Row],[Required For Braze Cutters Check]]</f>
        <v>933</v>
      </c>
      <c r="AF184" s="23">
        <f t="shared" ca="1" si="39"/>
        <v>933</v>
      </c>
      <c r="AG184" s="23"/>
      <c r="AK184"/>
    </row>
    <row r="185" spans="1:55" ht="24.75" customHeight="1" x14ac:dyDescent="0.25">
      <c r="A185" s="109">
        <v>20230439</v>
      </c>
      <c r="B185" s="709"/>
      <c r="C185" s="109">
        <v>14119208</v>
      </c>
      <c r="D185" s="109" t="s">
        <v>315</v>
      </c>
      <c r="E185" s="109" t="s">
        <v>286</v>
      </c>
      <c r="F185" s="109" t="s">
        <v>678</v>
      </c>
      <c r="G185" s="109" t="s">
        <v>676</v>
      </c>
      <c r="H185" s="140">
        <v>1245350</v>
      </c>
      <c r="I185" s="140">
        <v>1269308</v>
      </c>
      <c r="J185" s="26">
        <f>IF(H185&lt;&gt;"",IF(AND(C185&lt;&gt;"",IFERROR(MATCH(C185,Table10[Serial No.],0),0)),0,1),0)</f>
        <v>0</v>
      </c>
      <c r="K185" s="21"/>
      <c r="L185" s="539" t="str">
        <f t="shared" ca="1" si="40"/>
        <v/>
      </c>
      <c r="R185" s="247"/>
      <c r="S185" s="281">
        <v>1233276</v>
      </c>
      <c r="T185" s="278" t="s">
        <v>309</v>
      </c>
      <c r="U185" s="278" t="s">
        <v>679</v>
      </c>
      <c r="V185" s="25">
        <v>3</v>
      </c>
      <c r="W185" s="284">
        <v>1209332</v>
      </c>
      <c r="X185" s="19" t="str">
        <f>IFERROR(INDEX(Table14[],MATCH($W185,Table14[SAPNo],0),3),"")</f>
        <v>1313 CT147G U</v>
      </c>
      <c r="Y185" s="284">
        <v>7</v>
      </c>
      <c r="Z185" s="25">
        <f t="shared" si="45"/>
        <v>0</v>
      </c>
      <c r="AA185" s="25">
        <f t="shared" si="42"/>
        <v>0</v>
      </c>
      <c r="AB185" s="23">
        <f ca="1">IFERROR(INDEX('Cutters Inventory 12-30-2025'!A:W,MATCH($W185,'Cutters Inventory 12-30-2025'!B:B,0),14),0)</f>
        <v>1</v>
      </c>
      <c r="AC185" s="23">
        <f>SUMIF(Table1[LEVEL 5 MAT NO.],S185,Table1[Braze Plan])</f>
        <v>0</v>
      </c>
      <c r="AD185" s="23">
        <f>Table4[[#This Row],[Quantity]]*Table4[[#This Row],[Bits Braze Plan]]</f>
        <v>0</v>
      </c>
      <c r="AE185" s="23">
        <f ca="1">Table4[[#This Row],[INV. QTY]]-Table4[[#This Row],[Required For Braze Cutters Check]]</f>
        <v>1</v>
      </c>
      <c r="AF185" s="23">
        <f t="shared" ca="1" si="39"/>
        <v>1</v>
      </c>
      <c r="AG185" s="23"/>
      <c r="AJ185" s="19">
        <f t="shared" ref="AJ185:AJ190" si="46">IFERROR(AS1,"")</f>
        <v>0</v>
      </c>
      <c r="AK185"/>
    </row>
    <row r="186" spans="1:55" ht="24.75" customHeight="1" x14ac:dyDescent="0.25">
      <c r="A186" s="109">
        <v>20230439</v>
      </c>
      <c r="B186" s="709"/>
      <c r="C186" s="109">
        <v>14119205</v>
      </c>
      <c r="D186" s="109" t="s">
        <v>315</v>
      </c>
      <c r="E186" s="109" t="s">
        <v>286</v>
      </c>
      <c r="F186" s="109" t="s">
        <v>678</v>
      </c>
      <c r="G186" s="109" t="s">
        <v>676</v>
      </c>
      <c r="H186" s="140">
        <v>1245350</v>
      </c>
      <c r="I186" s="140">
        <v>1269308</v>
      </c>
      <c r="J186" s="26">
        <f>IF(H186&lt;&gt;"",IF(AND(C186&lt;&gt;"",IFERROR(MATCH(C186,Table10[Serial No.],0),0)),0,1),0)</f>
        <v>0</v>
      </c>
      <c r="K186" s="21"/>
      <c r="L186" s="539" t="str">
        <f t="shared" ca="1" si="40"/>
        <v/>
      </c>
      <c r="S186" s="546">
        <v>1235768</v>
      </c>
      <c r="T186" s="278" t="s">
        <v>631</v>
      </c>
      <c r="U186" s="278" t="s">
        <v>645</v>
      </c>
      <c r="V186" s="25">
        <v>1</v>
      </c>
      <c r="W186" s="284">
        <v>2004484</v>
      </c>
      <c r="X186" s="19" t="str">
        <f>IFERROR(INDEX(Table14[],MATCH($W186,Table14[SAPNo],0),3),"")</f>
        <v>1308 CT187 U-60</v>
      </c>
      <c r="Y186" s="284">
        <v>24</v>
      </c>
      <c r="Z186" s="25">
        <f t="shared" si="45"/>
        <v>0</v>
      </c>
      <c r="AA186" s="25">
        <f t="shared" si="42"/>
        <v>0</v>
      </c>
      <c r="AB186" s="23">
        <f ca="1">IFERROR(INDEX('Cutters Inventory 12-30-2025'!A:W,MATCH($W186,'Cutters Inventory 12-30-2025'!B:B,0),14),0)</f>
        <v>428</v>
      </c>
      <c r="AC186" s="23">
        <f>SUMIF(Table1[LEVEL 5 MAT NO.],S186,Table1[Braze Plan])</f>
        <v>0</v>
      </c>
      <c r="AD186" s="23">
        <f>Table4[[#This Row],[Quantity]]*Table4[[#This Row],[Bits Braze Plan]]</f>
        <v>0</v>
      </c>
      <c r="AE186" s="23">
        <f ca="1">Table4[[#This Row],[INV. QTY]]-Table4[[#This Row],[Required For Braze Cutters Check]]</f>
        <v>428</v>
      </c>
      <c r="AF186" s="23">
        <f t="shared" ca="1" si="39"/>
        <v>428</v>
      </c>
      <c r="AG186" s="23"/>
      <c r="AJ186" s="19">
        <f t="shared" si="46"/>
        <v>0</v>
      </c>
      <c r="AK186"/>
    </row>
    <row r="187" spans="1:55" ht="24.75" customHeight="1" x14ac:dyDescent="0.25">
      <c r="A187" s="109">
        <v>20230439</v>
      </c>
      <c r="B187" s="709"/>
      <c r="C187" s="109">
        <v>14119209</v>
      </c>
      <c r="D187" s="109" t="s">
        <v>315</v>
      </c>
      <c r="E187" s="109" t="s">
        <v>286</v>
      </c>
      <c r="F187" s="109" t="s">
        <v>678</v>
      </c>
      <c r="G187" s="109" t="s">
        <v>676</v>
      </c>
      <c r="H187" s="140">
        <v>1245350</v>
      </c>
      <c r="I187" s="140">
        <v>1269308</v>
      </c>
      <c r="J187" s="26">
        <f>IF(H187&lt;&gt;"",IF(AND(C187&lt;&gt;"",IFERROR(MATCH(C187,Table10[Serial No.],0),0)),0,1),0)</f>
        <v>0</v>
      </c>
      <c r="K187" s="21"/>
      <c r="L187" s="539" t="str">
        <f t="shared" ca="1" si="40"/>
        <v/>
      </c>
      <c r="S187" s="546">
        <v>1235768</v>
      </c>
      <c r="T187" s="278" t="s">
        <v>631</v>
      </c>
      <c r="U187" s="278" t="s">
        <v>645</v>
      </c>
      <c r="V187" s="25">
        <v>2</v>
      </c>
      <c r="W187" s="284">
        <v>1228502</v>
      </c>
      <c r="X187" s="19" t="str">
        <f>IFERROR(INDEX(Table14[],MATCH($W187,Table14[SAPNo],0),3),"")</f>
        <v>1618 CT182 U-60 Rotor</v>
      </c>
      <c r="Y187" s="284">
        <v>10</v>
      </c>
      <c r="Z187" s="25">
        <f t="shared" si="45"/>
        <v>0</v>
      </c>
      <c r="AA187" s="25">
        <f t="shared" si="42"/>
        <v>0</v>
      </c>
      <c r="AB187" s="23">
        <f ca="1">IFERROR(INDEX('Cutters Inventory 12-30-2025'!A:W,MATCH($W187,'Cutters Inventory 12-30-2025'!B:B,0),14),0)</f>
        <v>655</v>
      </c>
      <c r="AC187" s="23">
        <f>SUMIF(Table1[LEVEL 5 MAT NO.],S187,Table1[Braze Plan])</f>
        <v>0</v>
      </c>
      <c r="AD187" s="23">
        <f>Table4[[#This Row],[Quantity]]*Table4[[#This Row],[Bits Braze Plan]]</f>
        <v>0</v>
      </c>
      <c r="AE187" s="23">
        <f ca="1">Table4[[#This Row],[INV. QTY]]-Table4[[#This Row],[Required For Braze Cutters Check]]</f>
        <v>655</v>
      </c>
      <c r="AF187" s="23">
        <f t="shared" ca="1" si="39"/>
        <v>655</v>
      </c>
      <c r="AG187" s="23"/>
      <c r="AJ187" s="19">
        <f t="shared" si="46"/>
        <v>179733</v>
      </c>
      <c r="AK187"/>
    </row>
    <row r="188" spans="1:55" ht="24.75" customHeight="1" x14ac:dyDescent="0.25">
      <c r="A188" s="109">
        <v>20230439</v>
      </c>
      <c r="B188" s="709"/>
      <c r="C188" s="109">
        <v>14119214</v>
      </c>
      <c r="D188" s="109" t="s">
        <v>624</v>
      </c>
      <c r="E188" s="109" t="s">
        <v>663</v>
      </c>
      <c r="F188" s="109" t="s">
        <v>680</v>
      </c>
      <c r="G188" s="109" t="s">
        <v>681</v>
      </c>
      <c r="H188" s="140">
        <v>1269498</v>
      </c>
      <c r="I188" s="140">
        <v>1276939</v>
      </c>
      <c r="J188" s="26">
        <f>IF(H188&lt;&gt;"",IF(AND(C188&lt;&gt;"",IFERROR(MATCH(C188,Table10[Serial No.],0),0)),0,1),0)</f>
        <v>0</v>
      </c>
      <c r="K188" s="21"/>
      <c r="L188" s="539" t="str">
        <f t="shared" ca="1" si="40"/>
        <v/>
      </c>
      <c r="S188" s="546">
        <v>1235768</v>
      </c>
      <c r="T188" s="278" t="s">
        <v>631</v>
      </c>
      <c r="U188" s="278" t="s">
        <v>645</v>
      </c>
      <c r="V188" s="25">
        <v>3</v>
      </c>
      <c r="W188" s="284">
        <v>871781</v>
      </c>
      <c r="X188" s="19" t="str">
        <f>IFERROR(INDEX(Table14[],MATCH($W188,Table14[SAPNo],0),3),"")</f>
        <v>Round 1313 CT200  0.018" (B)</v>
      </c>
      <c r="Y188" s="284">
        <v>6</v>
      </c>
      <c r="Z188" s="25">
        <f t="shared" si="45"/>
        <v>0</v>
      </c>
      <c r="AA188" s="25">
        <f t="shared" si="42"/>
        <v>0</v>
      </c>
      <c r="AB188" s="23">
        <f ca="1">IFERROR(INDEX('Cutters Inventory 12-30-2025'!A:W,MATCH($W188,'Cutters Inventory 12-30-2025'!B:B,0),14),0)</f>
        <v>843</v>
      </c>
      <c r="AC188" s="23">
        <f>SUMIF(Table1[LEVEL 5 MAT NO.],S188,Table1[Braze Plan])</f>
        <v>0</v>
      </c>
      <c r="AD188" s="23">
        <f>Table4[[#This Row],[Quantity]]*Table4[[#This Row],[Bits Braze Plan]]</f>
        <v>0</v>
      </c>
      <c r="AE188" s="23">
        <f ca="1">Table4[[#This Row],[INV. QTY]]-Table4[[#This Row],[Required For Braze Cutters Check]]</f>
        <v>843</v>
      </c>
      <c r="AF188" s="23">
        <f t="shared" ca="1" si="39"/>
        <v>843</v>
      </c>
      <c r="AG188" s="23"/>
      <c r="AJ188" s="19">
        <f t="shared" si="46"/>
        <v>179734</v>
      </c>
      <c r="AK188"/>
    </row>
    <row r="189" spans="1:55" ht="24.75" customHeight="1" x14ac:dyDescent="0.25">
      <c r="A189" s="109">
        <v>20230439</v>
      </c>
      <c r="B189" s="709"/>
      <c r="C189" s="109">
        <v>14119212</v>
      </c>
      <c r="D189" s="109" t="s">
        <v>315</v>
      </c>
      <c r="E189" s="109" t="s">
        <v>682</v>
      </c>
      <c r="F189" s="109" t="s">
        <v>678</v>
      </c>
      <c r="G189" s="109" t="s">
        <v>676</v>
      </c>
      <c r="H189" s="140">
        <v>1270578</v>
      </c>
      <c r="I189" s="140">
        <v>1251627</v>
      </c>
      <c r="J189" s="26">
        <f>IF(H189&lt;&gt;"",IF(AND(C189&lt;&gt;"",IFERROR(MATCH(C189,Table10[Serial No.],0),0)),0,1),0)</f>
        <v>0</v>
      </c>
      <c r="K189" s="21"/>
      <c r="L189" s="539" t="str">
        <f t="shared" ca="1" si="40"/>
        <v/>
      </c>
      <c r="P189"/>
      <c r="Q189"/>
      <c r="S189" s="546">
        <v>1235768</v>
      </c>
      <c r="T189" s="278" t="s">
        <v>631</v>
      </c>
      <c r="U189" s="278" t="s">
        <v>645</v>
      </c>
      <c r="V189" s="25">
        <v>4</v>
      </c>
      <c r="W189" s="284">
        <v>2002186</v>
      </c>
      <c r="X189" s="19" t="str">
        <f>IFERROR(INDEX(Table14[],MATCH($W189,Table14[SAPNo],0),3),"")</f>
        <v>1313 CT187 U-60</v>
      </c>
      <c r="Y189" s="284">
        <v>6</v>
      </c>
      <c r="Z189" s="25">
        <f t="shared" si="45"/>
        <v>0</v>
      </c>
      <c r="AA189" s="25">
        <f t="shared" si="42"/>
        <v>0</v>
      </c>
      <c r="AB189" s="23">
        <f ca="1">IFERROR(INDEX('Cutters Inventory 12-30-2025'!A:W,MATCH($W189,'Cutters Inventory 12-30-2025'!B:B,0),14),0)</f>
        <v>330</v>
      </c>
      <c r="AC189" s="23">
        <f>SUMIF(Table1[LEVEL 5 MAT NO.],S189,Table1[Braze Plan])</f>
        <v>0</v>
      </c>
      <c r="AD189" s="23">
        <f>Table4[[#This Row],[Quantity]]*Table4[[#This Row],[Bits Braze Plan]]</f>
        <v>0</v>
      </c>
      <c r="AE189" s="23">
        <f ca="1">Table4[[#This Row],[INV. QTY]]-Table4[[#This Row],[Required For Braze Cutters Check]]</f>
        <v>330</v>
      </c>
      <c r="AF189" s="23">
        <f t="shared" ca="1" si="39"/>
        <v>330</v>
      </c>
      <c r="AG189" s="23"/>
      <c r="AJ189" s="19">
        <f t="shared" si="46"/>
        <v>375538</v>
      </c>
      <c r="AK189"/>
    </row>
    <row r="190" spans="1:55" ht="24.75" customHeight="1" x14ac:dyDescent="0.25">
      <c r="A190" s="109">
        <v>20230439</v>
      </c>
      <c r="B190" s="709"/>
      <c r="C190" s="109">
        <v>14119210</v>
      </c>
      <c r="D190" s="109" t="s">
        <v>315</v>
      </c>
      <c r="E190" s="109" t="s">
        <v>682</v>
      </c>
      <c r="F190" s="109" t="s">
        <v>678</v>
      </c>
      <c r="G190" s="109" t="s">
        <v>676</v>
      </c>
      <c r="H190" s="140">
        <v>1270578</v>
      </c>
      <c r="I190" s="140">
        <v>1251627</v>
      </c>
      <c r="J190" s="26">
        <f>IF(H190&lt;&gt;"",IF(AND(C190&lt;&gt;"",IFERROR(MATCH(C190,Table10[Serial No.],0),0)),0,1),0)</f>
        <v>0</v>
      </c>
      <c r="K190" s="21"/>
      <c r="L190" s="539" t="str">
        <f t="shared" ca="1" si="40"/>
        <v/>
      </c>
      <c r="P190"/>
      <c r="Q190"/>
      <c r="S190" s="546">
        <v>1235768</v>
      </c>
      <c r="T190" s="278" t="s">
        <v>631</v>
      </c>
      <c r="U190" s="278" t="s">
        <v>645</v>
      </c>
      <c r="V190" s="25">
        <v>5</v>
      </c>
      <c r="W190" s="284">
        <v>2002299</v>
      </c>
      <c r="X190" s="19" t="str">
        <f>IFERROR(INDEX(Table14[],MATCH($W190,Table14[SAPNo],0),3),"")</f>
        <v>1613 CT187 U-60</v>
      </c>
      <c r="Y190" s="284">
        <v>4</v>
      </c>
      <c r="Z190" s="25">
        <f t="shared" si="45"/>
        <v>0</v>
      </c>
      <c r="AA190" s="25">
        <f t="shared" si="42"/>
        <v>0</v>
      </c>
      <c r="AB190" s="23">
        <f ca="1">IFERROR(INDEX('Cutters Inventory 12-30-2025'!A:W,MATCH($W190,'Cutters Inventory 12-30-2025'!B:B,0),14),0)</f>
        <v>557</v>
      </c>
      <c r="AC190" s="23">
        <f>SUMIF(Table1[LEVEL 5 MAT NO.],S190,Table1[Braze Plan])</f>
        <v>0</v>
      </c>
      <c r="AD190" s="23">
        <f>Table4[[#This Row],[Quantity]]*Table4[[#This Row],[Bits Braze Plan]]</f>
        <v>0</v>
      </c>
      <c r="AE190" s="23">
        <f ca="1">Table4[[#This Row],[INV. QTY]]-Table4[[#This Row],[Required For Braze Cutters Check]]</f>
        <v>557</v>
      </c>
      <c r="AF190" s="23">
        <f t="shared" ca="1" si="39"/>
        <v>557</v>
      </c>
      <c r="AG190" s="23"/>
      <c r="AJ190" s="19">
        <f t="shared" si="46"/>
        <v>410851</v>
      </c>
      <c r="AK190"/>
    </row>
    <row r="191" spans="1:55" ht="24.75" customHeight="1" x14ac:dyDescent="0.25">
      <c r="A191" s="109">
        <v>20230439</v>
      </c>
      <c r="B191" s="709"/>
      <c r="C191" s="109">
        <v>14119211</v>
      </c>
      <c r="D191" s="109" t="s">
        <v>315</v>
      </c>
      <c r="E191" s="109" t="s">
        <v>682</v>
      </c>
      <c r="F191" s="109" t="s">
        <v>678</v>
      </c>
      <c r="G191" s="109" t="s">
        <v>676</v>
      </c>
      <c r="H191" s="140">
        <v>1270578</v>
      </c>
      <c r="I191" s="140">
        <v>1251627</v>
      </c>
      <c r="J191" s="26">
        <f>IF(H191&lt;&gt;"",IF(AND(C191&lt;&gt;"",IFERROR(MATCH(C191,Table10[Serial No.],0),0)),0,1),0)</f>
        <v>0</v>
      </c>
      <c r="K191" s="21"/>
      <c r="L191" s="539" t="str">
        <f t="shared" ca="1" si="40"/>
        <v/>
      </c>
      <c r="P191"/>
      <c r="Q191"/>
      <c r="S191" s="546">
        <v>1235768</v>
      </c>
      <c r="T191" s="278" t="s">
        <v>631</v>
      </c>
      <c r="U191" s="278" t="s">
        <v>645</v>
      </c>
      <c r="V191" s="25">
        <v>6</v>
      </c>
      <c r="W191" s="284">
        <v>1228501</v>
      </c>
      <c r="X191" s="19" t="str">
        <f>IFERROR(INDEX(Table14[],MATCH($W191,Table14[SAPNo],0),3),"")</f>
        <v>1618 CT182 U-60 stator</v>
      </c>
      <c r="Y191" s="284">
        <v>10</v>
      </c>
      <c r="Z191" s="25">
        <f t="shared" si="45"/>
        <v>0</v>
      </c>
      <c r="AA191" s="25">
        <f t="shared" si="42"/>
        <v>0</v>
      </c>
      <c r="AB191" s="23">
        <f ca="1">IFERROR(INDEX('Cutters Inventory 12-30-2025'!A:W,MATCH($W191,'Cutters Inventory 12-30-2025'!B:B,0),14),0)</f>
        <v>659</v>
      </c>
      <c r="AC191" s="23">
        <f>SUMIF(Table1[LEVEL 5 MAT NO.],S191,Table1[Braze Plan])</f>
        <v>0</v>
      </c>
      <c r="AD191" s="23">
        <f>Table4[[#This Row],[Quantity]]*Table4[[#This Row],[Bits Braze Plan]]</f>
        <v>0</v>
      </c>
      <c r="AE191" s="23">
        <f ca="1">Table4[[#This Row],[INV. QTY]]-Table4[[#This Row],[Required For Braze Cutters Check]]</f>
        <v>659</v>
      </c>
      <c r="AF191" s="23">
        <f t="shared" ca="1" si="39"/>
        <v>659</v>
      </c>
      <c r="AG191" s="23"/>
      <c r="AJ191" s="19">
        <f t="shared" ref="AJ191:AJ194" si="47">IFERROR(AS7,"")</f>
        <v>418525</v>
      </c>
      <c r="AK191"/>
    </row>
    <row r="192" spans="1:55" ht="24.75" customHeight="1" x14ac:dyDescent="0.25">
      <c r="A192" s="109">
        <v>20230439</v>
      </c>
      <c r="B192" s="709"/>
      <c r="C192" s="109">
        <v>14119213</v>
      </c>
      <c r="D192" s="109" t="s">
        <v>315</v>
      </c>
      <c r="E192" s="109" t="s">
        <v>682</v>
      </c>
      <c r="F192" s="109" t="s">
        <v>678</v>
      </c>
      <c r="G192" s="109" t="s">
        <v>676</v>
      </c>
      <c r="H192" s="140">
        <v>1270578</v>
      </c>
      <c r="I192" s="140">
        <v>1251627</v>
      </c>
      <c r="J192" s="26">
        <f>IF(H192&lt;&gt;"",IF(AND(C192&lt;&gt;"",IFERROR(MATCH(C192,Table10[Serial No.],0),0)),0,1),0)</f>
        <v>0</v>
      </c>
      <c r="K192" s="21"/>
      <c r="L192" s="539" t="str">
        <f t="shared" ca="1" si="40"/>
        <v/>
      </c>
      <c r="P192"/>
      <c r="Q192"/>
      <c r="S192" s="546">
        <v>1235768</v>
      </c>
      <c r="T192" s="278" t="s">
        <v>631</v>
      </c>
      <c r="U192" s="278" t="s">
        <v>645</v>
      </c>
      <c r="V192" s="25">
        <v>7</v>
      </c>
      <c r="W192" s="284">
        <v>1228503</v>
      </c>
      <c r="X192" s="19" t="str">
        <f>IFERROR(INDEX(Table14[],MATCH($W192,Table14[SAPNo],0),3),"")</f>
        <v>1618 CT182 U-60 Ring</v>
      </c>
      <c r="Y192" s="284">
        <v>10</v>
      </c>
      <c r="Z192" s="25">
        <v>0</v>
      </c>
      <c r="AA192" s="25">
        <f t="shared" si="42"/>
        <v>0</v>
      </c>
      <c r="AB192" s="23">
        <f ca="1">IFERROR(INDEX('Cutters Inventory 12-30-2025'!A:W,MATCH($W192,'Cutters Inventory 12-30-2025'!B:B,0),14),0)</f>
        <v>397</v>
      </c>
      <c r="AC192" s="23">
        <f>SUMIF(Table1[LEVEL 5 MAT NO.],S192,Table1[Braze Plan])</f>
        <v>0</v>
      </c>
      <c r="AD192" s="23">
        <f>Table4[[#This Row],[Quantity]]*Table4[[#This Row],[Bits Braze Plan]]</f>
        <v>0</v>
      </c>
      <c r="AE192" s="23">
        <f ca="1">Table4[[#This Row],[INV. QTY]]-Table4[[#This Row],[Required For Braze Cutters Check]]</f>
        <v>397</v>
      </c>
      <c r="AF192" s="23">
        <f t="shared" ca="1" si="39"/>
        <v>397</v>
      </c>
      <c r="AG192" s="23"/>
      <c r="AJ192" s="19">
        <f t="shared" si="47"/>
        <v>562195</v>
      </c>
      <c r="AK192"/>
    </row>
    <row r="193" spans="1:51" ht="24.75" customHeight="1" x14ac:dyDescent="0.25">
      <c r="A193" s="109">
        <v>20230452</v>
      </c>
      <c r="B193" s="709"/>
      <c r="C193" s="109">
        <v>14127141</v>
      </c>
      <c r="D193" s="109" t="s">
        <v>304</v>
      </c>
      <c r="E193" s="109" t="s">
        <v>630</v>
      </c>
      <c r="F193" s="109"/>
      <c r="G193" s="109" t="s">
        <v>676</v>
      </c>
      <c r="H193" s="140">
        <v>1228690</v>
      </c>
      <c r="I193" s="140">
        <v>960723</v>
      </c>
      <c r="J193" s="26">
        <f>IF(H193&lt;&gt;"",IF(AND(C193&lt;&gt;"",IFERROR(MATCH(C193,Table10[Serial No.],0),0)),0,1),0)</f>
        <v>0</v>
      </c>
      <c r="K193" s="21"/>
      <c r="L193" s="539" t="str">
        <f t="shared" ca="1" si="40"/>
        <v/>
      </c>
      <c r="P193"/>
      <c r="Q193"/>
      <c r="S193" s="546">
        <v>1235768</v>
      </c>
      <c r="T193" s="278" t="s">
        <v>631</v>
      </c>
      <c r="U193" s="278" t="s">
        <v>645</v>
      </c>
      <c r="V193" s="25">
        <v>8</v>
      </c>
      <c r="W193" s="284">
        <v>1220554</v>
      </c>
      <c r="X193" s="19" t="str">
        <f>IFERROR(INDEX(Table14[],MATCH($W193,Table14[SAPNo],0),3),"")</f>
        <v xml:space="preserve">1618 CT182 U-60 Carbide </v>
      </c>
      <c r="Y193" s="284">
        <v>10</v>
      </c>
      <c r="Z193" s="25">
        <v>0</v>
      </c>
      <c r="AA193" s="25">
        <f t="shared" si="42"/>
        <v>0</v>
      </c>
      <c r="AB193" s="23">
        <f ca="1">IFERROR(INDEX('Cutters Inventory 12-30-2025'!A:W,MATCH($W193,'Cutters Inventory 12-30-2025'!B:B,0),14),0)</f>
        <v>392</v>
      </c>
      <c r="AC193" s="23">
        <f>SUMIF(Table1[LEVEL 5 MAT NO.],S193,Table1[Braze Plan])</f>
        <v>0</v>
      </c>
      <c r="AD193" s="23">
        <f>Table4[[#This Row],[Quantity]]*Table4[[#This Row],[Bits Braze Plan]]</f>
        <v>0</v>
      </c>
      <c r="AE193" s="23">
        <f ca="1">Table4[[#This Row],[INV. QTY]]-Table4[[#This Row],[Required For Braze Cutters Check]]</f>
        <v>392</v>
      </c>
      <c r="AF193" s="23">
        <f t="shared" ca="1" si="39"/>
        <v>392</v>
      </c>
      <c r="AG193" s="23"/>
      <c r="AJ193" s="19">
        <f t="shared" si="47"/>
        <v>625854</v>
      </c>
      <c r="AK193"/>
    </row>
    <row r="194" spans="1:51" ht="24.75" customHeight="1" x14ac:dyDescent="0.25">
      <c r="A194" s="109">
        <v>20230452</v>
      </c>
      <c r="B194" s="709"/>
      <c r="C194" s="109">
        <v>14127140</v>
      </c>
      <c r="D194" s="109" t="s">
        <v>304</v>
      </c>
      <c r="E194" s="109" t="s">
        <v>630</v>
      </c>
      <c r="F194" s="109"/>
      <c r="G194" s="109" t="s">
        <v>676</v>
      </c>
      <c r="H194" s="140">
        <v>1228690</v>
      </c>
      <c r="I194" s="140">
        <v>960723</v>
      </c>
      <c r="J194" s="26">
        <f>IF(H194&lt;&gt;"",IF(AND(C194&lt;&gt;"",IFERROR(MATCH(C194,Table10[Serial No.],0),0)),0,1),0)</f>
        <v>0</v>
      </c>
      <c r="K194" s="21"/>
      <c r="L194" s="539" t="str">
        <f t="shared" ca="1" si="40"/>
        <v/>
      </c>
      <c r="P194"/>
      <c r="Q194"/>
      <c r="S194" s="281">
        <v>1241180</v>
      </c>
      <c r="T194" s="278" t="s">
        <v>316</v>
      </c>
      <c r="U194" s="278" t="s">
        <v>642</v>
      </c>
      <c r="V194" s="25">
        <v>1</v>
      </c>
      <c r="W194" s="284">
        <v>1146737</v>
      </c>
      <c r="X194" s="19" t="str">
        <f>IFERROR(INDEX(Table14[],MATCH($W194,Table14[SAPNo],0),3),"")</f>
        <v>1613 CT418 18-60</v>
      </c>
      <c r="Y194" s="284">
        <v>48</v>
      </c>
      <c r="Z194" s="25">
        <f t="shared" ref="Z194:Z257" si="48">IFERROR(INDEX($O$2:$P$400,MATCH($S194,$O$2:$O$93,0),2),0)</f>
        <v>1</v>
      </c>
      <c r="AA194" s="25">
        <f t="shared" si="42"/>
        <v>48</v>
      </c>
      <c r="AB194" s="23">
        <f ca="1">IFERROR(INDEX('Cutters Inventory 12-30-2025'!A:W,MATCH($W194,'Cutters Inventory 12-30-2025'!B:B,0),14),0)</f>
        <v>1281</v>
      </c>
      <c r="AC194" s="23">
        <f>SUMIF(Table1[LEVEL 5 MAT NO.],S194,Table1[Braze Plan])</f>
        <v>0</v>
      </c>
      <c r="AD194" s="23">
        <f>Table4[[#This Row],[Quantity]]*Table4[[#This Row],[Bits Braze Plan]]</f>
        <v>0</v>
      </c>
      <c r="AE194" s="23">
        <f ca="1">Table4[[#This Row],[INV. QTY]]-Table4[[#This Row],[Required For Braze Cutters Check]]</f>
        <v>1281</v>
      </c>
      <c r="AF194" s="23">
        <f t="shared" ref="AF194:AF257" ca="1" si="49">IFERROR(INDEX($AJ$2:$AO$136,MATCH($W194,$AJ$2:$AJ$136,0),5),0)</f>
        <v>1281</v>
      </c>
      <c r="AG194" s="23"/>
      <c r="AJ194" s="19">
        <f t="shared" si="47"/>
        <v>647435</v>
      </c>
      <c r="AK194"/>
    </row>
    <row r="195" spans="1:51" ht="24.75" customHeight="1" x14ac:dyDescent="0.25">
      <c r="A195" s="109">
        <v>20230452</v>
      </c>
      <c r="B195" s="709"/>
      <c r="C195" s="109">
        <v>14127142</v>
      </c>
      <c r="D195" s="109" t="s">
        <v>304</v>
      </c>
      <c r="E195" s="109" t="s">
        <v>630</v>
      </c>
      <c r="F195" s="109"/>
      <c r="G195" s="109" t="s">
        <v>676</v>
      </c>
      <c r="H195" s="140">
        <v>1228690</v>
      </c>
      <c r="I195" s="140">
        <v>960723</v>
      </c>
      <c r="J195" s="26">
        <f>IF(H195&lt;&gt;"",IF(AND(C195&lt;&gt;"",IFERROR(MATCH(C195,Table10[Serial No.],0),0)),0,1),0)</f>
        <v>0</v>
      </c>
      <c r="K195" s="21"/>
      <c r="L195" s="539" t="str">
        <f t="shared" ref="L195:L258" ca="1" si="50">IFERROR(INDEX($O$2:$Q$57,MATCH($I195,$O$2:$O$93,0),3),"")</f>
        <v/>
      </c>
      <c r="P195"/>
      <c r="Q195"/>
      <c r="S195" s="281">
        <v>1241180</v>
      </c>
      <c r="T195" s="278" t="s">
        <v>316</v>
      </c>
      <c r="U195" s="278" t="s">
        <v>642</v>
      </c>
      <c r="V195" s="25">
        <v>2</v>
      </c>
      <c r="W195" s="613">
        <v>1296685</v>
      </c>
      <c r="X195" s="614" t="str">
        <f>IFERROR(INDEX(Table14[],MATCH($W195,Table14[SAPNo],0),3),"")</f>
        <v>1613 CT179R U</v>
      </c>
      <c r="Y195" s="284">
        <v>41</v>
      </c>
      <c r="Z195" s="25">
        <f t="shared" si="48"/>
        <v>1</v>
      </c>
      <c r="AA195" s="25">
        <f t="shared" ref="AA195:AA258" si="51">Y195*Z195</f>
        <v>41</v>
      </c>
      <c r="AB195" s="23">
        <f ca="1">IFERROR(INDEX('Cutters Inventory 12-30-2025'!A:W,MATCH($W195,'Cutters Inventory 12-30-2025'!B:B,0),14),0)</f>
        <v>196</v>
      </c>
      <c r="AC195" s="23">
        <f>SUMIF(Table1[LEVEL 5 MAT NO.],S195,Table1[Braze Plan])</f>
        <v>0</v>
      </c>
      <c r="AD195" s="23">
        <f>Table4[[#This Row],[Quantity]]*Table4[[#This Row],[Bits Braze Plan]]</f>
        <v>0</v>
      </c>
      <c r="AE195" s="23">
        <f ca="1">Table4[[#This Row],[INV. QTY]]-Table4[[#This Row],[Required For Braze Cutters Check]]</f>
        <v>196</v>
      </c>
      <c r="AF195" s="23">
        <f t="shared" ca="1" si="49"/>
        <v>196</v>
      </c>
      <c r="AG195" s="625" t="s">
        <v>683</v>
      </c>
      <c r="AJ195" s="19">
        <f t="shared" ref="AJ195:AJ198" si="52">IFERROR(AS11,"")</f>
        <v>647436</v>
      </c>
      <c r="AK195"/>
    </row>
    <row r="196" spans="1:51" ht="24.75" customHeight="1" x14ac:dyDescent="0.25">
      <c r="A196" s="109">
        <v>20230452</v>
      </c>
      <c r="B196" s="709"/>
      <c r="C196" s="109">
        <v>14127143</v>
      </c>
      <c r="D196" s="109" t="s">
        <v>304</v>
      </c>
      <c r="E196" s="109" t="s">
        <v>630</v>
      </c>
      <c r="F196" s="109"/>
      <c r="G196" s="109" t="s">
        <v>676</v>
      </c>
      <c r="H196" s="140">
        <v>1228690</v>
      </c>
      <c r="I196" s="140">
        <v>960723</v>
      </c>
      <c r="J196" s="26">
        <f>IF(H196&lt;&gt;"",IF(AND(C196&lt;&gt;"",IFERROR(MATCH(C196,Table10[Serial No.],0),0)),0,1),0)</f>
        <v>0</v>
      </c>
      <c r="K196" s="21"/>
      <c r="L196" s="539" t="str">
        <f t="shared" ca="1" si="50"/>
        <v/>
      </c>
      <c r="P196"/>
      <c r="Q196"/>
      <c r="S196" s="281">
        <v>1241180</v>
      </c>
      <c r="T196" s="278" t="s">
        <v>316</v>
      </c>
      <c r="U196" s="278" t="s">
        <v>642</v>
      </c>
      <c r="V196" s="25">
        <v>3</v>
      </c>
      <c r="W196" s="284">
        <v>179733</v>
      </c>
      <c r="X196" s="19" t="str">
        <f>IFERROR(INDEX(Table14[],MATCH($W196,Table14[SAPNo],0),3),"")</f>
        <v>Short IA 13    (C)</v>
      </c>
      <c r="Y196" s="284">
        <v>20</v>
      </c>
      <c r="Z196" s="25">
        <f t="shared" si="48"/>
        <v>1</v>
      </c>
      <c r="AA196" s="25">
        <f t="shared" si="51"/>
        <v>20</v>
      </c>
      <c r="AB196" s="23">
        <f ca="1">IFERROR(INDEX('Cutters Inventory 12-30-2025'!A:W,MATCH($W196,'Cutters Inventory 12-30-2025'!B:B,0),14),0)</f>
        <v>68</v>
      </c>
      <c r="AC196" s="23">
        <f>SUMIF(Table1[LEVEL 5 MAT NO.],S196,Table1[Braze Plan])</f>
        <v>0</v>
      </c>
      <c r="AD196" s="23">
        <f>Table4[[#This Row],[Quantity]]*Table4[[#This Row],[Bits Braze Plan]]</f>
        <v>0</v>
      </c>
      <c r="AE196" s="23">
        <f ca="1">Table4[[#This Row],[INV. QTY]]-Table4[[#This Row],[Required For Braze Cutters Check]]</f>
        <v>68</v>
      </c>
      <c r="AF196" s="23">
        <f t="shared" ca="1" si="49"/>
        <v>68</v>
      </c>
      <c r="AG196" s="23"/>
      <c r="AJ196" s="19">
        <f t="shared" si="52"/>
        <v>649901</v>
      </c>
      <c r="AK196"/>
    </row>
    <row r="197" spans="1:51" ht="24.75" customHeight="1" x14ac:dyDescent="0.25">
      <c r="A197" s="109">
        <v>20230452</v>
      </c>
      <c r="B197" s="709"/>
      <c r="C197" s="109">
        <v>14127144</v>
      </c>
      <c r="D197" s="109" t="s">
        <v>304</v>
      </c>
      <c r="E197" s="109" t="s">
        <v>666</v>
      </c>
      <c r="F197" s="109"/>
      <c r="G197" s="109" t="s">
        <v>681</v>
      </c>
      <c r="H197" s="140">
        <v>1270617</v>
      </c>
      <c r="I197" s="140">
        <v>1216970</v>
      </c>
      <c r="J197" s="26">
        <f>IF(H197&lt;&gt;"",IF(AND(C197&lt;&gt;"",IFERROR(MATCH(C197,Table10[Serial No.],0),0)),0,1),0)</f>
        <v>0</v>
      </c>
      <c r="K197" s="21"/>
      <c r="L197" s="539" t="str">
        <f t="shared" ca="1" si="50"/>
        <v/>
      </c>
      <c r="P197"/>
      <c r="Q197"/>
      <c r="S197" s="281">
        <v>1241180</v>
      </c>
      <c r="T197" s="278" t="s">
        <v>316</v>
      </c>
      <c r="U197" s="278" t="s">
        <v>642</v>
      </c>
      <c r="V197" s="25">
        <v>4</v>
      </c>
      <c r="W197" s="284">
        <v>1146742</v>
      </c>
      <c r="X197" s="19" t="str">
        <f>IFERROR(INDEX(Table14[],MATCH($W197,Table14[SAPNo],0),3),"")</f>
        <v>1913 CT418 U-60</v>
      </c>
      <c r="Y197" s="284">
        <v>20</v>
      </c>
      <c r="Z197" s="25">
        <f t="shared" si="48"/>
        <v>1</v>
      </c>
      <c r="AA197" s="25">
        <f t="shared" si="51"/>
        <v>20</v>
      </c>
      <c r="AB197" s="23">
        <f ca="1">IFERROR(INDEX('Cutters Inventory 12-30-2025'!A:W,MATCH($W197,'Cutters Inventory 12-30-2025'!B:B,0),14),0)</f>
        <v>20</v>
      </c>
      <c r="AC197" s="23">
        <f>SUMIF(Table1[LEVEL 5 MAT NO.],S197,Table1[Braze Plan])</f>
        <v>0</v>
      </c>
      <c r="AD197" s="23">
        <f>Table4[[#This Row],[Quantity]]*Table4[[#This Row],[Bits Braze Plan]]</f>
        <v>0</v>
      </c>
      <c r="AE197" s="23">
        <f ca="1">Table4[[#This Row],[INV. QTY]]-Table4[[#This Row],[Required For Braze Cutters Check]]</f>
        <v>20</v>
      </c>
      <c r="AF197" s="23">
        <f t="shared" ca="1" si="49"/>
        <v>20</v>
      </c>
      <c r="AG197" s="23"/>
      <c r="AJ197" s="19">
        <f t="shared" si="52"/>
        <v>653400</v>
      </c>
      <c r="AK197"/>
    </row>
    <row r="198" spans="1:51" ht="24.75" customHeight="1" x14ac:dyDescent="0.25">
      <c r="A198" s="109">
        <v>20230452</v>
      </c>
      <c r="B198" s="709"/>
      <c r="C198" s="109">
        <v>14127145</v>
      </c>
      <c r="D198" s="109" t="s">
        <v>304</v>
      </c>
      <c r="E198" s="109" t="s">
        <v>666</v>
      </c>
      <c r="F198" s="109"/>
      <c r="G198" s="109" t="s">
        <v>681</v>
      </c>
      <c r="H198" s="140">
        <v>1270617</v>
      </c>
      <c r="I198" s="140">
        <v>1216970</v>
      </c>
      <c r="J198" s="26">
        <f>IF(H198&lt;&gt;"",IF(AND(C198&lt;&gt;"",IFERROR(MATCH(C198,Table10[Serial No.],0),0)),0,1),0)</f>
        <v>0</v>
      </c>
      <c r="K198" s="21"/>
      <c r="L198" s="539" t="str">
        <f t="shared" ca="1" si="50"/>
        <v/>
      </c>
      <c r="P198"/>
      <c r="Q198"/>
      <c r="S198" s="281">
        <v>1241180</v>
      </c>
      <c r="T198" s="278" t="s">
        <v>316</v>
      </c>
      <c r="U198" s="278" t="s">
        <v>642</v>
      </c>
      <c r="V198" s="25">
        <v>5</v>
      </c>
      <c r="W198" s="284">
        <v>418525</v>
      </c>
      <c r="X198" s="19" t="str">
        <f>IFERROR(INDEX(Table14[],MATCH($W198,Table14[SAPNo],0),3),"")</f>
        <v>Drop In 1308 CT31   (B)</v>
      </c>
      <c r="Y198" s="284">
        <v>7</v>
      </c>
      <c r="Z198" s="25">
        <f t="shared" si="48"/>
        <v>1</v>
      </c>
      <c r="AA198" s="25">
        <f t="shared" si="51"/>
        <v>7</v>
      </c>
      <c r="AB198" s="23">
        <f ca="1">IFERROR(INDEX('Cutters Inventory 12-30-2025'!A:W,MATCH($W198,'Cutters Inventory 12-30-2025'!B:B,0),14),0)</f>
        <v>933</v>
      </c>
      <c r="AC198" s="23">
        <f>SUMIF(Table1[LEVEL 5 MAT NO.],S198,Table1[Braze Plan])</f>
        <v>0</v>
      </c>
      <c r="AD198" s="23">
        <f>Table4[[#This Row],[Quantity]]*Table4[[#This Row],[Bits Braze Plan]]</f>
        <v>0</v>
      </c>
      <c r="AE198" s="23">
        <f ca="1">Table4[[#This Row],[INV. QTY]]-Table4[[#This Row],[Required For Braze Cutters Check]]</f>
        <v>933</v>
      </c>
      <c r="AF198" s="23">
        <f t="shared" ca="1" si="49"/>
        <v>933</v>
      </c>
      <c r="AG198" s="23"/>
      <c r="AJ198" s="19">
        <f t="shared" si="52"/>
        <v>703670</v>
      </c>
      <c r="AK198"/>
    </row>
    <row r="199" spans="1:51" ht="24.75" customHeight="1" x14ac:dyDescent="0.25">
      <c r="A199" s="109">
        <v>20230452</v>
      </c>
      <c r="B199" s="709"/>
      <c r="C199" s="109">
        <v>14127147</v>
      </c>
      <c r="D199" s="109" t="s">
        <v>304</v>
      </c>
      <c r="E199" s="109" t="s">
        <v>666</v>
      </c>
      <c r="F199" s="109"/>
      <c r="G199" s="109" t="s">
        <v>681</v>
      </c>
      <c r="H199" s="140">
        <v>1270617</v>
      </c>
      <c r="I199" s="140">
        <v>1216970</v>
      </c>
      <c r="J199" s="26">
        <f>IF(H199&lt;&gt;"",IF(AND(C199&lt;&gt;"",IFERROR(MATCH(C199,Table10[Serial No.],0),0)),0,1),0)</f>
        <v>0</v>
      </c>
      <c r="K199" s="21"/>
      <c r="L199" s="539" t="str">
        <f t="shared" ca="1" si="50"/>
        <v/>
      </c>
      <c r="P199"/>
      <c r="Q199"/>
      <c r="S199" s="546">
        <v>1249569</v>
      </c>
      <c r="T199" s="278" t="s">
        <v>315</v>
      </c>
      <c r="U199" s="278" t="s">
        <v>284</v>
      </c>
      <c r="V199" s="25">
        <v>1</v>
      </c>
      <c r="W199" s="284">
        <v>1126404</v>
      </c>
      <c r="X199" s="19" t="str">
        <f>IFERROR(INDEX(Table14[],MATCH($W199,Table14[SAPNo],0),3),"")</f>
        <v>1913 CT421 18-60</v>
      </c>
      <c r="Y199" s="284">
        <v>48</v>
      </c>
      <c r="Z199" s="25">
        <f t="shared" si="48"/>
        <v>5</v>
      </c>
      <c r="AA199" s="25">
        <f t="shared" si="51"/>
        <v>240</v>
      </c>
      <c r="AB199" s="23">
        <f ca="1">IFERROR(INDEX('Cutters Inventory 12-30-2025'!A:W,MATCH($W199,'Cutters Inventory 12-30-2025'!B:B,0),14),0)</f>
        <v>0</v>
      </c>
      <c r="AC199" s="23">
        <f>SUMIF(Table1[LEVEL 5 MAT NO.],S199,Table1[Braze Plan])</f>
        <v>0</v>
      </c>
      <c r="AD199" s="23">
        <f>Table4[[#This Row],[Quantity]]*Table4[[#This Row],[Bits Braze Plan]]</f>
        <v>0</v>
      </c>
      <c r="AE199" s="23">
        <f ca="1">Table4[[#This Row],[INV. QTY]]-Table4[[#This Row],[Required For Braze Cutters Check]]</f>
        <v>0</v>
      </c>
      <c r="AF199" s="23">
        <f t="shared" ca="1" si="49"/>
        <v>0</v>
      </c>
      <c r="AG199" s="23"/>
      <c r="AJ199" s="19">
        <f t="shared" ref="AJ199:AJ231" si="53">IFERROR(AS15,"")</f>
        <v>708306</v>
      </c>
      <c r="AK199"/>
    </row>
    <row r="200" spans="1:51" ht="24.75" customHeight="1" x14ac:dyDescent="0.25">
      <c r="A200" s="109">
        <v>20230452</v>
      </c>
      <c r="B200" s="709"/>
      <c r="C200" s="109">
        <v>14127146</v>
      </c>
      <c r="D200" s="109" t="s">
        <v>304</v>
      </c>
      <c r="E200" s="109" t="s">
        <v>666</v>
      </c>
      <c r="F200" s="109"/>
      <c r="G200" s="109" t="s">
        <v>681</v>
      </c>
      <c r="H200" s="140">
        <v>1270617</v>
      </c>
      <c r="I200" s="140">
        <v>1216970</v>
      </c>
      <c r="J200" s="26">
        <f>IF(H200&lt;&gt;"",IF(AND(C200&lt;&gt;"",IFERROR(MATCH(C200,Table10[Serial No.],0),0)),0,1),0)</f>
        <v>0</v>
      </c>
      <c r="K200" s="21"/>
      <c r="L200" s="539" t="str">
        <f t="shared" ca="1" si="50"/>
        <v/>
      </c>
      <c r="P200"/>
      <c r="Q200"/>
      <c r="S200" s="546">
        <v>1249569</v>
      </c>
      <c r="T200" s="278" t="s">
        <v>315</v>
      </c>
      <c r="U200" s="278" t="s">
        <v>284</v>
      </c>
      <c r="V200" s="25">
        <v>2</v>
      </c>
      <c r="W200" s="284">
        <v>708306</v>
      </c>
      <c r="X200" s="19" t="str">
        <f>IFERROR(INDEX(Table14[],MATCH($W200,Table14[SAPNo],0),3),"")</f>
        <v>Round 1913 CT200  0.018" (B)</v>
      </c>
      <c r="Y200" s="284">
        <v>34</v>
      </c>
      <c r="Z200" s="25">
        <f t="shared" si="48"/>
        <v>5</v>
      </c>
      <c r="AA200" s="25">
        <f t="shared" si="51"/>
        <v>170</v>
      </c>
      <c r="AB200" s="23">
        <f ca="1">IFERROR(INDEX('Cutters Inventory 12-30-2025'!A:W,MATCH($W200,'Cutters Inventory 12-30-2025'!B:B,0),14),0)</f>
        <v>82</v>
      </c>
      <c r="AC200" s="23">
        <f>SUMIF(Table1[LEVEL 5 MAT NO.],S200,Table1[Braze Plan])</f>
        <v>0</v>
      </c>
      <c r="AD200" s="23">
        <f>Table4[[#This Row],[Quantity]]*Table4[[#This Row],[Bits Braze Plan]]</f>
        <v>0</v>
      </c>
      <c r="AE200" s="23">
        <f ca="1">Table4[[#This Row],[INV. QTY]]-Table4[[#This Row],[Required For Braze Cutters Check]]</f>
        <v>82</v>
      </c>
      <c r="AF200" s="23">
        <f t="shared" ca="1" si="49"/>
        <v>82</v>
      </c>
      <c r="AG200" s="23"/>
      <c r="AJ200" s="19">
        <f t="shared" si="53"/>
        <v>717748</v>
      </c>
    </row>
    <row r="201" spans="1:51" ht="24.75" customHeight="1" x14ac:dyDescent="0.25">
      <c r="A201" s="109">
        <v>20230452</v>
      </c>
      <c r="B201" s="709"/>
      <c r="C201" s="109">
        <v>14127550</v>
      </c>
      <c r="D201" s="109" t="s">
        <v>304</v>
      </c>
      <c r="E201" s="109" t="s">
        <v>666</v>
      </c>
      <c r="F201" s="109"/>
      <c r="G201" s="109" t="s">
        <v>681</v>
      </c>
      <c r="H201" s="140">
        <v>1270617</v>
      </c>
      <c r="I201" s="140">
        <v>1216970</v>
      </c>
      <c r="J201" s="26">
        <f>IF(H201&lt;&gt;"",IF(AND(C201&lt;&gt;"",IFERROR(MATCH(C201,Table10[Serial No.],0),0)),0,1),0)</f>
        <v>0</v>
      </c>
      <c r="K201" s="21"/>
      <c r="L201" s="539" t="str">
        <f t="shared" ca="1" si="50"/>
        <v/>
      </c>
      <c r="P201"/>
      <c r="Q201"/>
      <c r="S201" s="546">
        <v>1249569</v>
      </c>
      <c r="T201" s="278" t="s">
        <v>315</v>
      </c>
      <c r="U201" s="278" t="s">
        <v>284</v>
      </c>
      <c r="V201" s="25">
        <v>3</v>
      </c>
      <c r="W201" s="284">
        <v>1126402</v>
      </c>
      <c r="X201" s="19" t="str">
        <f>IFERROR(INDEX(Table14[],MATCH($W201,Table14[SAPNo],0),3),"")</f>
        <v>1613 CT421 16-60</v>
      </c>
      <c r="Y201" s="284">
        <v>9</v>
      </c>
      <c r="Z201" s="25">
        <f t="shared" si="48"/>
        <v>5</v>
      </c>
      <c r="AA201" s="25">
        <f t="shared" si="51"/>
        <v>45</v>
      </c>
      <c r="AB201" s="23">
        <f ca="1">IFERROR(INDEX('Cutters Inventory 12-30-2025'!A:W,MATCH($W201,'Cutters Inventory 12-30-2025'!B:B,0),14),0)</f>
        <v>422</v>
      </c>
      <c r="AC201" s="23">
        <f>SUMIF(Table1[LEVEL 5 MAT NO.],S201,Table1[Braze Plan])</f>
        <v>0</v>
      </c>
      <c r="AD201" s="23">
        <f>Table4[[#This Row],[Quantity]]*Table4[[#This Row],[Bits Braze Plan]]</f>
        <v>0</v>
      </c>
      <c r="AE201" s="23">
        <f ca="1">Table4[[#This Row],[INV. QTY]]-Table4[[#This Row],[Required For Braze Cutters Check]]</f>
        <v>422</v>
      </c>
      <c r="AF201" s="23">
        <f t="shared" ca="1" si="49"/>
        <v>422</v>
      </c>
      <c r="AG201" s="23"/>
      <c r="AJ201" s="19">
        <f t="shared" si="53"/>
        <v>717751</v>
      </c>
    </row>
    <row r="202" spans="1:51" ht="24.75" customHeight="1" x14ac:dyDescent="0.25">
      <c r="A202" s="109">
        <v>20230452</v>
      </c>
      <c r="B202" s="608"/>
      <c r="C202" s="109">
        <v>14144613</v>
      </c>
      <c r="D202" s="109" t="s">
        <v>304</v>
      </c>
      <c r="E202" s="109" t="s">
        <v>666</v>
      </c>
      <c r="F202" s="109"/>
      <c r="G202" s="109" t="s">
        <v>681</v>
      </c>
      <c r="H202" s="140">
        <v>1270617</v>
      </c>
      <c r="I202" s="140">
        <v>1216970</v>
      </c>
      <c r="J202" s="26">
        <f>IF(H202&lt;&gt;"",IF(AND(C202&lt;&gt;"",IFERROR(MATCH(C202,Table10[Serial No.],0),0)),0,1),0)</f>
        <v>0</v>
      </c>
      <c r="K202" s="21"/>
      <c r="L202" s="539" t="str">
        <f t="shared" ca="1" si="50"/>
        <v/>
      </c>
      <c r="P202"/>
      <c r="Q202"/>
      <c r="S202" s="546">
        <v>1249569</v>
      </c>
      <c r="T202" s="278" t="s">
        <v>315</v>
      </c>
      <c r="U202" s="278" t="s">
        <v>284</v>
      </c>
      <c r="V202" s="25">
        <v>4</v>
      </c>
      <c r="W202" s="284">
        <v>871781</v>
      </c>
      <c r="X202" s="19" t="str">
        <f>IFERROR(INDEX(Table14[],MATCH($W202,Table14[SAPNo],0),3),"")</f>
        <v>Round 1313 CT200  0.018" (B)</v>
      </c>
      <c r="Y202" s="284">
        <v>8</v>
      </c>
      <c r="Z202" s="25">
        <f t="shared" si="48"/>
        <v>5</v>
      </c>
      <c r="AA202" s="25">
        <f t="shared" si="51"/>
        <v>40</v>
      </c>
      <c r="AB202" s="23">
        <f ca="1">IFERROR(INDEX('Cutters Inventory 12-30-2025'!A:W,MATCH($W202,'Cutters Inventory 12-30-2025'!B:B,0),14),0)</f>
        <v>843</v>
      </c>
      <c r="AC202" s="23">
        <f>SUMIF(Table1[LEVEL 5 MAT NO.],S202,Table1[Braze Plan])</f>
        <v>0</v>
      </c>
      <c r="AD202" s="23">
        <f>Table4[[#This Row],[Quantity]]*Table4[[#This Row],[Bits Braze Plan]]</f>
        <v>0</v>
      </c>
      <c r="AE202" s="23">
        <f ca="1">Table4[[#This Row],[INV. QTY]]-Table4[[#This Row],[Required For Braze Cutters Check]]</f>
        <v>843</v>
      </c>
      <c r="AF202" s="23">
        <f t="shared" ca="1" si="49"/>
        <v>843</v>
      </c>
      <c r="AG202" s="23"/>
      <c r="AJ202" s="19">
        <f t="shared" si="53"/>
        <v>773383</v>
      </c>
      <c r="AY202" cm="1">
        <f t="array" ref="AY202:AY292">_xlfn.UNIQUE(Table3[LEVEL 5 MAT NO.])</f>
        <v>771779</v>
      </c>
    </row>
    <row r="203" spans="1:51" ht="24.75" customHeight="1" x14ac:dyDescent="0.25">
      <c r="A203" s="109">
        <v>20230452</v>
      </c>
      <c r="B203" s="608"/>
      <c r="C203" s="109">
        <v>14144612</v>
      </c>
      <c r="D203" s="109" t="s">
        <v>304</v>
      </c>
      <c r="E203" s="109" t="s">
        <v>666</v>
      </c>
      <c r="F203" s="109"/>
      <c r="G203" s="109" t="s">
        <v>681</v>
      </c>
      <c r="H203" s="140">
        <v>1270617</v>
      </c>
      <c r="I203" s="140">
        <v>1216970</v>
      </c>
      <c r="J203" s="26">
        <f>IF(H203&lt;&gt;"",IF(AND(C203&lt;&gt;"",IFERROR(MATCH(C203,Table10[Serial No.],0),0)),0,1),0)</f>
        <v>1</v>
      </c>
      <c r="K203" s="21"/>
      <c r="L203" s="539" t="str">
        <f t="shared" ca="1" si="50"/>
        <v/>
      </c>
      <c r="P203"/>
      <c r="Q203"/>
      <c r="S203" s="620">
        <v>1251098</v>
      </c>
      <c r="T203" s="278" t="s">
        <v>315</v>
      </c>
      <c r="U203" s="278" t="s">
        <v>684</v>
      </c>
      <c r="V203" s="25">
        <v>1</v>
      </c>
      <c r="W203" s="284">
        <v>1126402</v>
      </c>
      <c r="X203" s="19" t="str">
        <f>IFERROR(INDEX(Table14[],MATCH($W203,Table14[SAPNo],0),3),"")</f>
        <v>1613 CT421 16-60</v>
      </c>
      <c r="Y203" s="284">
        <v>69</v>
      </c>
      <c r="Z203" s="25">
        <f t="shared" si="48"/>
        <v>4</v>
      </c>
      <c r="AA203" s="25">
        <f t="shared" si="51"/>
        <v>276</v>
      </c>
      <c r="AB203" s="23">
        <f ca="1">IFERROR(INDEX('Cutters Inventory 12-30-2025'!A:W,MATCH($W203,'Cutters Inventory 12-30-2025'!B:B,0),14),0)</f>
        <v>422</v>
      </c>
      <c r="AC203" s="23">
        <f>SUMIF(Table1[LEVEL 5 MAT NO.],S203,Table1[Braze Plan])</f>
        <v>0</v>
      </c>
      <c r="AD203" s="23">
        <f>Table4[[#This Row],[Quantity]]*Table4[[#This Row],[Bits Braze Plan]]</f>
        <v>0</v>
      </c>
      <c r="AE203" s="23">
        <f ca="1">Table4[[#This Row],[INV. QTY]]-Table4[[#This Row],[Required For Braze Cutters Check]]</f>
        <v>422</v>
      </c>
      <c r="AF203" s="23">
        <f t="shared" ca="1" si="49"/>
        <v>422</v>
      </c>
      <c r="AG203" s="625" t="s">
        <v>685</v>
      </c>
      <c r="AJ203" s="19">
        <f t="shared" si="53"/>
        <v>773384</v>
      </c>
      <c r="AY203">
        <v>959209</v>
      </c>
    </row>
    <row r="204" spans="1:51" ht="24.75" customHeight="1" x14ac:dyDescent="0.25">
      <c r="A204" s="109">
        <v>20230452</v>
      </c>
      <c r="B204" s="709"/>
      <c r="C204" s="109">
        <v>14127555</v>
      </c>
      <c r="D204" s="109" t="s">
        <v>631</v>
      </c>
      <c r="E204" s="109" t="s">
        <v>645</v>
      </c>
      <c r="F204" s="109"/>
      <c r="G204" s="109" t="s">
        <v>681</v>
      </c>
      <c r="H204" s="140">
        <v>1262047</v>
      </c>
      <c r="I204" s="140">
        <v>1235768</v>
      </c>
      <c r="J204" s="26">
        <f>IF(H204&lt;&gt;"",IF(AND(C204&lt;&gt;"",IFERROR(MATCH(C204,Table10[Serial No.],0),0)),0,1),0)</f>
        <v>0</v>
      </c>
      <c r="K204" s="21"/>
      <c r="L204" s="539" t="str">
        <f t="shared" ca="1" si="50"/>
        <v/>
      </c>
      <c r="P204"/>
      <c r="Q204"/>
      <c r="S204" s="620">
        <v>1251098</v>
      </c>
      <c r="T204" s="278" t="s">
        <v>315</v>
      </c>
      <c r="U204" s="278" t="s">
        <v>684</v>
      </c>
      <c r="V204" s="25">
        <v>2</v>
      </c>
      <c r="W204" s="284">
        <v>1126404</v>
      </c>
      <c r="X204" s="19" t="str">
        <f>IFERROR(INDEX(Table14[],MATCH($W204,Table14[SAPNo],0),3),"")</f>
        <v>1913 CT421 18-60</v>
      </c>
      <c r="Y204" s="284">
        <v>24</v>
      </c>
      <c r="Z204" s="25">
        <f t="shared" si="48"/>
        <v>4</v>
      </c>
      <c r="AA204" s="25">
        <f t="shared" si="51"/>
        <v>96</v>
      </c>
      <c r="AB204" s="23">
        <f ca="1">IFERROR(INDEX('Cutters Inventory 12-30-2025'!A:W,MATCH($W204,'Cutters Inventory 12-30-2025'!B:B,0),14),0)</f>
        <v>0</v>
      </c>
      <c r="AC204" s="23">
        <f>SUMIF(Table1[LEVEL 5 MAT NO.],S204,Table1[Braze Plan])</f>
        <v>0</v>
      </c>
      <c r="AD204" s="23">
        <f>Table4[[#This Row],[Quantity]]*Table4[[#This Row],[Bits Braze Plan]]</f>
        <v>0</v>
      </c>
      <c r="AE204" s="23">
        <f ca="1">Table4[[#This Row],[INV. QTY]]-Table4[[#This Row],[Required For Braze Cutters Check]]</f>
        <v>0</v>
      </c>
      <c r="AF204" s="23">
        <f t="shared" ca="1" si="49"/>
        <v>0</v>
      </c>
      <c r="AG204" s="23"/>
      <c r="AJ204" s="19">
        <f t="shared" si="53"/>
        <v>780654</v>
      </c>
      <c r="AY204">
        <v>960723</v>
      </c>
    </row>
    <row r="205" spans="1:51" ht="24.75" customHeight="1" x14ac:dyDescent="0.25">
      <c r="A205" s="109">
        <v>20230452</v>
      </c>
      <c r="B205" s="709"/>
      <c r="C205" s="109">
        <v>14127551</v>
      </c>
      <c r="D205" s="109" t="s">
        <v>631</v>
      </c>
      <c r="E205" s="109" t="s">
        <v>645</v>
      </c>
      <c r="F205" s="109"/>
      <c r="G205" s="109" t="s">
        <v>681</v>
      </c>
      <c r="H205" s="140">
        <v>1262047</v>
      </c>
      <c r="I205" s="140">
        <v>1235768</v>
      </c>
      <c r="J205" s="26">
        <f>IF(H205&lt;&gt;"",IF(AND(C205&lt;&gt;"",IFERROR(MATCH(C205,Table10[Serial No.],0),0)),0,1),0)</f>
        <v>0</v>
      </c>
      <c r="K205" s="21"/>
      <c r="L205" s="539" t="str">
        <f t="shared" ca="1" si="50"/>
        <v/>
      </c>
      <c r="P205"/>
      <c r="Q205"/>
      <c r="S205" s="620">
        <v>1251098</v>
      </c>
      <c r="T205" s="278" t="s">
        <v>315</v>
      </c>
      <c r="U205" s="278" t="s">
        <v>684</v>
      </c>
      <c r="V205" s="25">
        <v>3</v>
      </c>
      <c r="W205" s="284">
        <v>1146737</v>
      </c>
      <c r="X205" s="19" t="str">
        <f>IFERROR(INDEX(Table14[],MATCH($W205,Table14[SAPNo],0),3),"")</f>
        <v>1613 CT418 18-60</v>
      </c>
      <c r="Y205" s="284">
        <v>9</v>
      </c>
      <c r="Z205" s="25">
        <f t="shared" si="48"/>
        <v>4</v>
      </c>
      <c r="AA205" s="25">
        <f t="shared" si="51"/>
        <v>36</v>
      </c>
      <c r="AB205" s="23">
        <f ca="1">IFERROR(INDEX('Cutters Inventory 12-30-2025'!A:W,MATCH($W205,'Cutters Inventory 12-30-2025'!B:B,0),14),0)</f>
        <v>1281</v>
      </c>
      <c r="AC205" s="23">
        <f>SUMIF(Table1[LEVEL 5 MAT NO.],S205,Table1[Braze Plan])</f>
        <v>0</v>
      </c>
      <c r="AD205" s="23">
        <f>Table4[[#This Row],[Quantity]]*Table4[[#This Row],[Bits Braze Plan]]</f>
        <v>0</v>
      </c>
      <c r="AE205" s="23">
        <f ca="1">Table4[[#This Row],[INV. QTY]]-Table4[[#This Row],[Required For Braze Cutters Check]]</f>
        <v>1281</v>
      </c>
      <c r="AF205" s="23">
        <f t="shared" ca="1" si="49"/>
        <v>1281</v>
      </c>
      <c r="AG205" s="23"/>
      <c r="AJ205" s="19">
        <f t="shared" si="53"/>
        <v>871781</v>
      </c>
      <c r="AY205">
        <v>965522</v>
      </c>
    </row>
    <row r="206" spans="1:51" ht="24.75" customHeight="1" x14ac:dyDescent="0.25">
      <c r="A206" s="109">
        <v>20230452</v>
      </c>
      <c r="B206" s="709"/>
      <c r="C206" s="109">
        <v>14127552</v>
      </c>
      <c r="D206" s="109" t="s">
        <v>631</v>
      </c>
      <c r="E206" s="109" t="s">
        <v>645</v>
      </c>
      <c r="F206" s="109"/>
      <c r="G206" s="109" t="s">
        <v>681</v>
      </c>
      <c r="H206" s="140">
        <v>1262047</v>
      </c>
      <c r="I206" s="140">
        <v>1235768</v>
      </c>
      <c r="J206" s="26">
        <f>IF(H206&lt;&gt;"",IF(AND(C206&lt;&gt;"",IFERROR(MATCH(C206,Table10[Serial No.],0),0)),0,1),0)</f>
        <v>0</v>
      </c>
      <c r="K206" s="21"/>
      <c r="L206" s="539" t="str">
        <f t="shared" ca="1" si="50"/>
        <v/>
      </c>
      <c r="P206"/>
      <c r="Q206"/>
      <c r="S206" s="620">
        <v>1251098</v>
      </c>
      <c r="T206" s="278" t="s">
        <v>315</v>
      </c>
      <c r="U206" s="278" t="s">
        <v>684</v>
      </c>
      <c r="V206" s="25">
        <v>4</v>
      </c>
      <c r="W206" s="284">
        <v>871781</v>
      </c>
      <c r="X206" s="19" t="str">
        <f>IFERROR(INDEX(Table14[],MATCH($W206,Table14[SAPNo],0),3),"")</f>
        <v>Round 1313 CT200  0.018" (B)</v>
      </c>
      <c r="Y206" s="284">
        <v>8</v>
      </c>
      <c r="Z206" s="25">
        <f t="shared" si="48"/>
        <v>4</v>
      </c>
      <c r="AA206" s="25">
        <f t="shared" si="51"/>
        <v>32</v>
      </c>
      <c r="AB206" s="23">
        <f ca="1">IFERROR(INDEX('Cutters Inventory 12-30-2025'!A:W,MATCH($W206,'Cutters Inventory 12-30-2025'!B:B,0),14),0)</f>
        <v>843</v>
      </c>
      <c r="AC206" s="23">
        <f>SUMIF(Table1[LEVEL 5 MAT NO.],S206,Table1[Braze Plan])</f>
        <v>0</v>
      </c>
      <c r="AD206" s="23">
        <f>Table4[[#This Row],[Quantity]]*Table4[[#This Row],[Bits Braze Plan]]</f>
        <v>0</v>
      </c>
      <c r="AE206" s="23">
        <f ca="1">Table4[[#This Row],[INV. QTY]]-Table4[[#This Row],[Required For Braze Cutters Check]]</f>
        <v>843</v>
      </c>
      <c r="AF206" s="23">
        <f t="shared" ca="1" si="49"/>
        <v>843</v>
      </c>
      <c r="AG206" s="23"/>
      <c r="AJ206" s="19">
        <f t="shared" si="53"/>
        <v>971055</v>
      </c>
      <c r="AY206">
        <v>990050</v>
      </c>
    </row>
    <row r="207" spans="1:51" ht="24.75" customHeight="1" x14ac:dyDescent="0.25">
      <c r="A207" s="109">
        <v>20230452</v>
      </c>
      <c r="B207" s="709"/>
      <c r="C207" s="109">
        <v>14127553</v>
      </c>
      <c r="D207" s="109" t="s">
        <v>631</v>
      </c>
      <c r="E207" s="109" t="s">
        <v>645</v>
      </c>
      <c r="F207" s="109"/>
      <c r="G207" s="109" t="s">
        <v>681</v>
      </c>
      <c r="H207" s="140">
        <v>1262047</v>
      </c>
      <c r="I207" s="140">
        <v>1235768</v>
      </c>
      <c r="J207" s="26">
        <f>IF(H207&lt;&gt;"",IF(AND(C207&lt;&gt;"",IFERROR(MATCH(C207,Table10[Serial No.],0),0)),0,1),0)</f>
        <v>0</v>
      </c>
      <c r="K207" s="21"/>
      <c r="L207" s="539" t="str">
        <f t="shared" ca="1" si="50"/>
        <v/>
      </c>
      <c r="P207"/>
      <c r="Q207"/>
      <c r="S207" s="620">
        <v>1251098</v>
      </c>
      <c r="T207" s="278" t="s">
        <v>315</v>
      </c>
      <c r="U207" s="278" t="s">
        <v>684</v>
      </c>
      <c r="V207" s="25">
        <v>5</v>
      </c>
      <c r="W207" s="284">
        <v>1130197</v>
      </c>
      <c r="X207" s="19" t="str">
        <f>IFERROR(INDEX(Table14[],MATCH($W207,Table14[SAPNo],0),3),"")</f>
        <v>Round 1608 CT182  0.018" (S)</v>
      </c>
      <c r="Y207" s="284">
        <v>8</v>
      </c>
      <c r="Z207" s="25">
        <f t="shared" si="48"/>
        <v>4</v>
      </c>
      <c r="AA207" s="25">
        <f t="shared" si="51"/>
        <v>32</v>
      </c>
      <c r="AB207" s="23">
        <f ca="1">IFERROR(INDEX('Cutters Inventory 12-30-2025'!A:W,MATCH($W207,'Cutters Inventory 12-30-2025'!B:B,0),14),0)</f>
        <v>39</v>
      </c>
      <c r="AC207" s="23">
        <f>SUMIF(Table1[LEVEL 5 MAT NO.],S207,Table1[Braze Plan])</f>
        <v>0</v>
      </c>
      <c r="AD207" s="23">
        <f>Table4[[#This Row],[Quantity]]*Table4[[#This Row],[Bits Braze Plan]]</f>
        <v>0</v>
      </c>
      <c r="AE207" s="23">
        <f ca="1">Table4[[#This Row],[INV. QTY]]-Table4[[#This Row],[Required For Braze Cutters Check]]</f>
        <v>39</v>
      </c>
      <c r="AF207" s="23">
        <f t="shared" ca="1" si="49"/>
        <v>39</v>
      </c>
      <c r="AG207" s="23"/>
      <c r="AJ207" s="19">
        <f t="shared" si="53"/>
        <v>1022971</v>
      </c>
      <c r="AY207">
        <v>1016454</v>
      </c>
    </row>
    <row r="208" spans="1:51" ht="24.75" customHeight="1" x14ac:dyDescent="0.25">
      <c r="A208" s="109">
        <v>20230452</v>
      </c>
      <c r="B208" s="709"/>
      <c r="C208" s="109">
        <v>14127557</v>
      </c>
      <c r="D208" s="109" t="s">
        <v>631</v>
      </c>
      <c r="E208" s="109" t="s">
        <v>645</v>
      </c>
      <c r="F208" s="109"/>
      <c r="G208" s="109" t="s">
        <v>681</v>
      </c>
      <c r="H208" s="140">
        <v>1262047</v>
      </c>
      <c r="I208" s="140">
        <v>1235768</v>
      </c>
      <c r="J208" s="26">
        <f>IF(H208&lt;&gt;"",IF(AND(C208&lt;&gt;"",IFERROR(MATCH(C208,Table10[Serial No.],0),0)),0,1),0)</f>
        <v>0</v>
      </c>
      <c r="K208" s="21"/>
      <c r="L208" s="539" t="str">
        <f t="shared" ca="1" si="50"/>
        <v/>
      </c>
      <c r="P208"/>
      <c r="Q208"/>
      <c r="S208" s="281">
        <v>1251627</v>
      </c>
      <c r="T208" s="278" t="s">
        <v>315</v>
      </c>
      <c r="U208" s="278" t="s">
        <v>682</v>
      </c>
      <c r="V208" s="25">
        <v>1</v>
      </c>
      <c r="W208" s="284">
        <v>708306</v>
      </c>
      <c r="X208" s="19" t="str">
        <f>IFERROR(INDEX(Table14[],MATCH($W208,Table14[SAPNo],0),3),"")</f>
        <v>Round 1913 CT200  0.018" (B)</v>
      </c>
      <c r="Y208" s="284">
        <v>34</v>
      </c>
      <c r="Z208" s="25">
        <f t="shared" si="48"/>
        <v>3</v>
      </c>
      <c r="AA208" s="25">
        <f t="shared" si="51"/>
        <v>102</v>
      </c>
      <c r="AB208" s="23">
        <f ca="1">IFERROR(INDEX('Cutters Inventory 12-30-2025'!A:W,MATCH($W208,'Cutters Inventory 12-30-2025'!B:B,0),14),0)</f>
        <v>82</v>
      </c>
      <c r="AC208" s="23">
        <f>SUMIF(Table1[LEVEL 5 MAT NO.],S208,Table1[Braze Plan])</f>
        <v>0</v>
      </c>
      <c r="AD208" s="23">
        <f>Table4[[#This Row],[Quantity]]*Table4[[#This Row],[Bits Braze Plan]]</f>
        <v>0</v>
      </c>
      <c r="AE208" s="23">
        <f ca="1">Table4[[#This Row],[INV. QTY]]-Table4[[#This Row],[Required For Braze Cutters Check]]</f>
        <v>82</v>
      </c>
      <c r="AF208" s="23">
        <f t="shared" ca="1" si="49"/>
        <v>82</v>
      </c>
      <c r="AG208" s="23"/>
      <c r="AJ208" s="19">
        <f t="shared" si="53"/>
        <v>1039029</v>
      </c>
      <c r="AY208">
        <v>1033011</v>
      </c>
    </row>
    <row r="209" spans="1:51" ht="24.75" customHeight="1" x14ac:dyDescent="0.25">
      <c r="A209" s="109">
        <v>20230452</v>
      </c>
      <c r="B209" s="709"/>
      <c r="C209" s="109">
        <v>14127556</v>
      </c>
      <c r="D209" s="109" t="s">
        <v>631</v>
      </c>
      <c r="E209" s="109" t="s">
        <v>645</v>
      </c>
      <c r="F209" s="109"/>
      <c r="G209" s="109" t="s">
        <v>681</v>
      </c>
      <c r="H209" s="140">
        <v>1262047</v>
      </c>
      <c r="I209" s="140">
        <v>1235768</v>
      </c>
      <c r="J209" s="26">
        <f>IF(H209&lt;&gt;"",IF(AND(C209&lt;&gt;"",IFERROR(MATCH(C209,Table10[Serial No.],0),0)),0,1),0)</f>
        <v>0</v>
      </c>
      <c r="K209" s="21"/>
      <c r="L209" s="539" t="str">
        <f t="shared" ca="1" si="50"/>
        <v/>
      </c>
      <c r="S209" s="281">
        <v>1251627</v>
      </c>
      <c r="T209" s="278" t="s">
        <v>315</v>
      </c>
      <c r="U209" s="278" t="s">
        <v>682</v>
      </c>
      <c r="V209" s="25">
        <v>2</v>
      </c>
      <c r="W209" s="284">
        <v>1291852</v>
      </c>
      <c r="X209" s="19" t="str">
        <f>IFERROR(INDEX(Table14[],MATCH($W209,Table14[SAPNo],0),3),"")</f>
        <v>1613 U CT186R U</v>
      </c>
      <c r="Y209" s="284">
        <v>30</v>
      </c>
      <c r="Z209" s="25">
        <f t="shared" si="48"/>
        <v>3</v>
      </c>
      <c r="AA209" s="25">
        <f t="shared" si="51"/>
        <v>90</v>
      </c>
      <c r="AB209" s="23">
        <f ca="1">IFERROR(INDEX('Cutters Inventory 12-30-2025'!A:W,MATCH($W209,'Cutters Inventory 12-30-2025'!B:B,0),14),0)</f>
        <v>62</v>
      </c>
      <c r="AC209" s="23">
        <f>SUMIF(Table1[LEVEL 5 MAT NO.],S209,Table1[Braze Plan])</f>
        <v>0</v>
      </c>
      <c r="AD209" s="23">
        <f>Table4[[#This Row],[Quantity]]*Table4[[#This Row],[Bits Braze Plan]]</f>
        <v>0</v>
      </c>
      <c r="AE209" s="23">
        <f ca="1">Table4[[#This Row],[INV. QTY]]-Table4[[#This Row],[Required For Braze Cutters Check]]</f>
        <v>62</v>
      </c>
      <c r="AF209" s="23">
        <f t="shared" ca="1" si="49"/>
        <v>62</v>
      </c>
      <c r="AG209" s="23"/>
      <c r="AJ209" s="19">
        <f t="shared" si="53"/>
        <v>1039033</v>
      </c>
      <c r="AY209">
        <v>1058252</v>
      </c>
    </row>
    <row r="210" spans="1:51" ht="24.75" customHeight="1" x14ac:dyDescent="0.25">
      <c r="A210" s="109">
        <v>20230452</v>
      </c>
      <c r="B210" s="709"/>
      <c r="C210" s="109">
        <v>14127554</v>
      </c>
      <c r="D210" s="109" t="s">
        <v>631</v>
      </c>
      <c r="E210" s="109" t="s">
        <v>645</v>
      </c>
      <c r="F210" s="109"/>
      <c r="G210" s="109" t="s">
        <v>681</v>
      </c>
      <c r="H210" s="140">
        <v>1262047</v>
      </c>
      <c r="I210" s="140">
        <v>1235768</v>
      </c>
      <c r="J210" s="26">
        <f>IF(H210&lt;&gt;"",IF(AND(C210&lt;&gt;"",IFERROR(MATCH(C210,Table10[Serial No.],0),0)),0,1),0)</f>
        <v>0</v>
      </c>
      <c r="K210" s="21"/>
      <c r="L210" s="539" t="str">
        <f t="shared" ca="1" si="50"/>
        <v/>
      </c>
      <c r="S210" s="281">
        <v>1251627</v>
      </c>
      <c r="T210" s="278" t="s">
        <v>315</v>
      </c>
      <c r="U210" s="278" t="s">
        <v>682</v>
      </c>
      <c r="V210" s="25">
        <v>3</v>
      </c>
      <c r="W210" s="284">
        <v>1126404</v>
      </c>
      <c r="X210" s="19" t="str">
        <f>IFERROR(INDEX(Table14[],MATCH($W210,Table14[SAPNo],0),3),"")</f>
        <v>1913 CT421 18-60</v>
      </c>
      <c r="Y210" s="284">
        <v>18</v>
      </c>
      <c r="Z210" s="25">
        <f t="shared" si="48"/>
        <v>3</v>
      </c>
      <c r="AA210" s="25">
        <f t="shared" si="51"/>
        <v>54</v>
      </c>
      <c r="AB210" s="23">
        <f ca="1">IFERROR(INDEX('Cutters Inventory 12-30-2025'!A:W,MATCH($W210,'Cutters Inventory 12-30-2025'!B:B,0),14),0)</f>
        <v>0</v>
      </c>
      <c r="AC210" s="23">
        <f>SUMIF(Table1[LEVEL 5 MAT NO.],S210,Table1[Braze Plan])</f>
        <v>0</v>
      </c>
      <c r="AD210" s="23">
        <f>Table4[[#This Row],[Quantity]]*Table4[[#This Row],[Bits Braze Plan]]</f>
        <v>0</v>
      </c>
      <c r="AE210" s="23">
        <f ca="1">Table4[[#This Row],[INV. QTY]]-Table4[[#This Row],[Required For Braze Cutters Check]]</f>
        <v>0</v>
      </c>
      <c r="AF210" s="23">
        <f t="shared" ca="1" si="49"/>
        <v>0</v>
      </c>
      <c r="AG210" s="23"/>
      <c r="AJ210" s="19">
        <f t="shared" si="53"/>
        <v>1039034</v>
      </c>
      <c r="AY210">
        <v>1061407</v>
      </c>
    </row>
    <row r="211" spans="1:51" ht="24.75" customHeight="1" x14ac:dyDescent="0.25">
      <c r="A211" s="109">
        <v>20230452</v>
      </c>
      <c r="B211" s="709"/>
      <c r="C211" s="109">
        <v>14127558</v>
      </c>
      <c r="D211" s="109" t="s">
        <v>309</v>
      </c>
      <c r="E211" s="109" t="s">
        <v>256</v>
      </c>
      <c r="F211" s="109"/>
      <c r="G211" s="109" t="s">
        <v>681</v>
      </c>
      <c r="H211" s="140">
        <v>1198387</v>
      </c>
      <c r="I211" s="140">
        <v>1160951</v>
      </c>
      <c r="J211" s="26">
        <f>IF(H211&lt;&gt;"",IF(AND(C211&lt;&gt;"",IFERROR(MATCH(C211,Table10[Serial No.],0),0)),0,1),0)</f>
        <v>0</v>
      </c>
      <c r="K211" s="21"/>
      <c r="L211" s="539" t="str">
        <f t="shared" ca="1" si="50"/>
        <v/>
      </c>
      <c r="S211" s="281">
        <v>1276939</v>
      </c>
      <c r="T211" s="278" t="s">
        <v>624</v>
      </c>
      <c r="U211" s="278" t="s">
        <v>663</v>
      </c>
      <c r="V211" s="25">
        <v>5</v>
      </c>
      <c r="W211" s="284">
        <v>1146737</v>
      </c>
      <c r="X211" s="19" t="str">
        <f>IFERROR(INDEX(Table14[],MATCH($W211,Table14[SAPNo],0),3),"")</f>
        <v>1613 CT418 18-60</v>
      </c>
      <c r="Y211" s="284">
        <v>6</v>
      </c>
      <c r="Z211" s="25">
        <f t="shared" si="48"/>
        <v>9</v>
      </c>
      <c r="AA211" s="25">
        <f t="shared" si="51"/>
        <v>54</v>
      </c>
      <c r="AB211" s="23">
        <f ca="1">IFERROR(INDEX('Cutters Inventory 12-30-2025'!A:W,MATCH($W211,'Cutters Inventory 12-30-2025'!B:B,0),14),0)</f>
        <v>1281</v>
      </c>
      <c r="AC211" s="23">
        <f>SUMIF(Table1[LEVEL 5 MAT NO.],S211,Table1[Braze Plan])</f>
        <v>0</v>
      </c>
      <c r="AD211" s="23">
        <f>Table4[[#This Row],[Quantity]]*Table4[[#This Row],[Bits Braze Plan]]</f>
        <v>0</v>
      </c>
      <c r="AE211" s="23">
        <f ca="1">Table4[[#This Row],[INV. QTY]]-Table4[[#This Row],[Required For Braze Cutters Check]]</f>
        <v>1281</v>
      </c>
      <c r="AF211" s="23">
        <f t="shared" ca="1" si="49"/>
        <v>1281</v>
      </c>
      <c r="AG211" s="23"/>
      <c r="AJ211" s="19">
        <f t="shared" si="53"/>
        <v>1039036</v>
      </c>
      <c r="AY211">
        <v>1083599</v>
      </c>
    </row>
    <row r="212" spans="1:51" ht="24.75" customHeight="1" x14ac:dyDescent="0.25">
      <c r="A212" s="109">
        <v>20230452</v>
      </c>
      <c r="B212" s="709"/>
      <c r="C212" s="109">
        <v>14127559</v>
      </c>
      <c r="D212" s="109" t="s">
        <v>309</v>
      </c>
      <c r="E212" s="109" t="s">
        <v>256</v>
      </c>
      <c r="F212" s="109"/>
      <c r="G212" s="109" t="s">
        <v>681</v>
      </c>
      <c r="H212" s="140">
        <v>1198387</v>
      </c>
      <c r="I212" s="140">
        <v>1160951</v>
      </c>
      <c r="J212" s="26">
        <f>IF(H212&lt;&gt;"",IF(AND(C212&lt;&gt;"",IFERROR(MATCH(C212,Table10[Serial No.],0),0)),0,1),0)</f>
        <v>0</v>
      </c>
      <c r="K212" s="21"/>
      <c r="L212" s="539" t="str">
        <f t="shared" ca="1" si="50"/>
        <v/>
      </c>
      <c r="S212" s="281">
        <v>1251627</v>
      </c>
      <c r="T212" s="278" t="s">
        <v>315</v>
      </c>
      <c r="U212" s="278" t="s">
        <v>682</v>
      </c>
      <c r="V212" s="25">
        <v>5</v>
      </c>
      <c r="W212" s="284">
        <v>871781</v>
      </c>
      <c r="X212" s="19" t="str">
        <f>IFERROR(INDEX(Table14[],MATCH($W212,Table14[SAPNo],0),3),"")</f>
        <v>Round 1313 CT200  0.018" (B)</v>
      </c>
      <c r="Y212" s="284">
        <v>8</v>
      </c>
      <c r="Z212" s="25">
        <f t="shared" si="48"/>
        <v>3</v>
      </c>
      <c r="AA212" s="25">
        <f t="shared" si="51"/>
        <v>24</v>
      </c>
      <c r="AB212" s="23">
        <f ca="1">IFERROR(INDEX('Cutters Inventory 12-30-2025'!A:W,MATCH($W212,'Cutters Inventory 12-30-2025'!B:B,0),14),0)</f>
        <v>843</v>
      </c>
      <c r="AC212" s="23">
        <f>SUMIF(Table1[LEVEL 5 MAT NO.],S212,Table1[Braze Plan])</f>
        <v>0</v>
      </c>
      <c r="AD212" s="23">
        <f>Table4[[#This Row],[Quantity]]*Table4[[#This Row],[Bits Braze Plan]]</f>
        <v>0</v>
      </c>
      <c r="AE212" s="23">
        <f ca="1">Table4[[#This Row],[INV. QTY]]-Table4[[#This Row],[Required For Braze Cutters Check]]</f>
        <v>843</v>
      </c>
      <c r="AF212" s="23">
        <f t="shared" ca="1" si="49"/>
        <v>843</v>
      </c>
      <c r="AG212" s="23"/>
      <c r="AJ212" s="19">
        <f t="shared" si="53"/>
        <v>1039057</v>
      </c>
      <c r="AY212">
        <v>1086630</v>
      </c>
    </row>
    <row r="213" spans="1:51" ht="24.75" customHeight="1" x14ac:dyDescent="0.25">
      <c r="A213" s="109">
        <v>20230452</v>
      </c>
      <c r="B213" s="709"/>
      <c r="C213" s="109">
        <v>14127560</v>
      </c>
      <c r="D213" s="109" t="s">
        <v>309</v>
      </c>
      <c r="E213" s="109" t="s">
        <v>256</v>
      </c>
      <c r="F213" s="109"/>
      <c r="G213" s="109" t="s">
        <v>681</v>
      </c>
      <c r="H213" s="140">
        <v>1198387</v>
      </c>
      <c r="I213" s="140">
        <v>1160951</v>
      </c>
      <c r="J213" s="26">
        <f>IF(H213&lt;&gt;"",IF(AND(C213&lt;&gt;"",IFERROR(MATCH(C213,Table10[Serial No.],0),0)),0,1),0)</f>
        <v>0</v>
      </c>
      <c r="K213" s="21"/>
      <c r="L213" s="539" t="str">
        <f t="shared" ca="1" si="50"/>
        <v/>
      </c>
      <c r="S213" s="282">
        <v>1252149</v>
      </c>
      <c r="T213" s="279" t="s">
        <v>307</v>
      </c>
      <c r="U213" s="279" t="s">
        <v>308</v>
      </c>
      <c r="V213" s="246">
        <v>1</v>
      </c>
      <c r="W213" s="286">
        <v>717748</v>
      </c>
      <c r="X213" s="142" t="str">
        <f>IFERROR(INDEX(Table14[],MATCH($W213,Table14[SAPNo],0),3),"")</f>
        <v>Round 1010 CT200  0.018" (B)</v>
      </c>
      <c r="Y213" s="286">
        <v>19</v>
      </c>
      <c r="Z213" s="25">
        <f t="shared" si="48"/>
        <v>8</v>
      </c>
      <c r="AA213" s="25">
        <f t="shared" si="51"/>
        <v>152</v>
      </c>
      <c r="AB213" s="23">
        <f ca="1">IFERROR(INDEX('Cutters Inventory 12-30-2025'!A:W,MATCH($W213,'Cutters Inventory 12-30-2025'!B:B,0),14),0)</f>
        <v>295</v>
      </c>
      <c r="AC213" s="23">
        <f>SUMIF(Table1[LEVEL 5 MAT NO.],S213,Table1[Braze Plan])</f>
        <v>0</v>
      </c>
      <c r="AD213" s="23">
        <f>Table4[[#This Row],[Quantity]]*Table4[[#This Row],[Bits Braze Plan]]</f>
        <v>0</v>
      </c>
      <c r="AE213" s="23">
        <f ca="1">Table4[[#This Row],[INV. QTY]]-Table4[[#This Row],[Required For Braze Cutters Check]]</f>
        <v>295</v>
      </c>
      <c r="AF213" s="23">
        <f t="shared" ca="1" si="49"/>
        <v>295</v>
      </c>
      <c r="AG213" s="23"/>
      <c r="AJ213" s="19">
        <f t="shared" si="53"/>
        <v>1039058</v>
      </c>
      <c r="AY213">
        <v>1092981</v>
      </c>
    </row>
    <row r="214" spans="1:51" ht="24.75" customHeight="1" x14ac:dyDescent="0.25">
      <c r="A214" s="109">
        <v>20230452</v>
      </c>
      <c r="B214" s="709"/>
      <c r="C214" s="109">
        <v>14137154</v>
      </c>
      <c r="D214" s="109" t="s">
        <v>624</v>
      </c>
      <c r="E214" s="109" t="s">
        <v>275</v>
      </c>
      <c r="F214" s="109"/>
      <c r="G214" s="109" t="s">
        <v>681</v>
      </c>
      <c r="H214" s="140">
        <v>1158011</v>
      </c>
      <c r="I214" s="140">
        <v>1267829</v>
      </c>
      <c r="J214" s="26">
        <f>IF(H214&lt;&gt;"",IF(AND(C214&lt;&gt;"",IFERROR(MATCH(C214,Table10[Serial No.],0),0)),0,1),0)</f>
        <v>0</v>
      </c>
      <c r="K214" s="21"/>
      <c r="L214" s="539" t="str">
        <f t="shared" ca="1" si="50"/>
        <v/>
      </c>
      <c r="S214" s="281">
        <v>1254482</v>
      </c>
      <c r="T214" s="278" t="s">
        <v>316</v>
      </c>
      <c r="U214" s="278" t="s">
        <v>292</v>
      </c>
      <c r="V214" s="25">
        <v>1</v>
      </c>
      <c r="W214" s="284">
        <v>871781</v>
      </c>
      <c r="X214" s="19" t="str">
        <f>IFERROR(INDEX(Table14[],MATCH($W214,Table14[SAPNo],0),3),"")</f>
        <v>Round 1313 CT200  0.018" (B)</v>
      </c>
      <c r="Y214" s="284">
        <v>42</v>
      </c>
      <c r="Z214" s="25">
        <f t="shared" si="48"/>
        <v>6</v>
      </c>
      <c r="AA214" s="25">
        <f t="shared" si="51"/>
        <v>252</v>
      </c>
      <c r="AB214" s="23">
        <f ca="1">IFERROR(INDEX('Cutters Inventory 12-30-2025'!A:W,MATCH($W214,'Cutters Inventory 12-30-2025'!B:B,0),14),0)</f>
        <v>843</v>
      </c>
      <c r="AC214" s="23">
        <f>SUMIF(Table1[LEVEL 5 MAT NO.],S214,Table1[Braze Plan])</f>
        <v>0</v>
      </c>
      <c r="AD214" s="23">
        <f>Table4[[#This Row],[Quantity]]*Table4[[#This Row],[Bits Braze Plan]]</f>
        <v>0</v>
      </c>
      <c r="AE214" s="23">
        <f ca="1">Table4[[#This Row],[INV. QTY]]-Table4[[#This Row],[Required For Braze Cutters Check]]</f>
        <v>843</v>
      </c>
      <c r="AF214" s="23">
        <f t="shared" ca="1" si="49"/>
        <v>843</v>
      </c>
      <c r="AG214" s="23"/>
      <c r="AJ214" s="19">
        <f t="shared" si="53"/>
        <v>1050785</v>
      </c>
      <c r="AY214">
        <v>1095217</v>
      </c>
    </row>
    <row r="215" spans="1:51" ht="24.75" customHeight="1" x14ac:dyDescent="0.25">
      <c r="A215" s="109">
        <v>20230452</v>
      </c>
      <c r="B215" s="709"/>
      <c r="C215" s="109">
        <v>14127561</v>
      </c>
      <c r="D215" s="109" t="s">
        <v>624</v>
      </c>
      <c r="E215" s="109" t="s">
        <v>275</v>
      </c>
      <c r="F215" s="109"/>
      <c r="G215" s="109" t="s">
        <v>681</v>
      </c>
      <c r="H215" s="140">
        <v>1158011</v>
      </c>
      <c r="I215" s="140">
        <v>1267829</v>
      </c>
      <c r="J215" s="26">
        <f>IF(H215&lt;&gt;"",IF(AND(C215&lt;&gt;"",IFERROR(MATCH(C215,Table10[Serial No.],0),0)),0,1),0)</f>
        <v>0</v>
      </c>
      <c r="K215" s="21"/>
      <c r="L215" s="539" t="str">
        <f t="shared" ca="1" si="50"/>
        <v/>
      </c>
      <c r="S215" s="281">
        <v>1254482</v>
      </c>
      <c r="T215" s="278" t="s">
        <v>316</v>
      </c>
      <c r="U215" s="278" t="s">
        <v>292</v>
      </c>
      <c r="V215" s="25">
        <v>2</v>
      </c>
      <c r="W215" s="613">
        <v>1296685</v>
      </c>
      <c r="X215" s="614" t="str">
        <f>IFERROR(INDEX(Table14[],MATCH($W215,Table14[SAPNo],0),3),"")</f>
        <v>1613 CT179R U</v>
      </c>
      <c r="Y215" s="284">
        <v>42</v>
      </c>
      <c r="Z215" s="25">
        <f t="shared" si="48"/>
        <v>6</v>
      </c>
      <c r="AA215" s="25">
        <f t="shared" si="51"/>
        <v>252</v>
      </c>
      <c r="AB215" s="23">
        <f ca="1">IFERROR(INDEX('Cutters Inventory 12-30-2025'!A:W,MATCH($W215,'Cutters Inventory 12-30-2025'!B:B,0),14),0)</f>
        <v>196</v>
      </c>
      <c r="AC215" s="23">
        <f>SUMIF(Table1[LEVEL 5 MAT NO.],S215,Table1[Braze Plan])</f>
        <v>0</v>
      </c>
      <c r="AD215" s="23">
        <f>Table4[[#This Row],[Quantity]]*Table4[[#This Row],[Bits Braze Plan]]</f>
        <v>0</v>
      </c>
      <c r="AE215" s="23">
        <f ca="1">Table4[[#This Row],[INV. QTY]]-Table4[[#This Row],[Required For Braze Cutters Check]]</f>
        <v>196</v>
      </c>
      <c r="AF215" s="23">
        <f t="shared" ca="1" si="49"/>
        <v>196</v>
      </c>
      <c r="AG215" s="625" t="s">
        <v>683</v>
      </c>
      <c r="AJ215" s="19">
        <f t="shared" si="53"/>
        <v>1078371</v>
      </c>
      <c r="AY215">
        <v>1096183</v>
      </c>
    </row>
    <row r="216" spans="1:51" ht="24.75" customHeight="1" x14ac:dyDescent="0.25">
      <c r="A216" s="109">
        <v>20230452</v>
      </c>
      <c r="B216" s="709"/>
      <c r="C216" s="109">
        <v>14127562</v>
      </c>
      <c r="D216" s="109" t="s">
        <v>624</v>
      </c>
      <c r="E216" s="109" t="s">
        <v>275</v>
      </c>
      <c r="F216" s="109"/>
      <c r="G216" s="109" t="s">
        <v>681</v>
      </c>
      <c r="H216" s="140">
        <v>1158011</v>
      </c>
      <c r="I216" s="140">
        <v>1267829</v>
      </c>
      <c r="J216" s="26">
        <f>IF(H216&lt;&gt;"",IF(AND(C216&lt;&gt;"",IFERROR(MATCH(C216,Table10[Serial No.],0),0)),0,1),0)</f>
        <v>0</v>
      </c>
      <c r="K216" s="21"/>
      <c r="L216" s="539" t="str">
        <f t="shared" ca="1" si="50"/>
        <v/>
      </c>
      <c r="S216" s="281">
        <v>1254482</v>
      </c>
      <c r="T216" s="278" t="s">
        <v>316</v>
      </c>
      <c r="U216" s="278" t="s">
        <v>292</v>
      </c>
      <c r="V216" s="25">
        <v>3</v>
      </c>
      <c r="W216" s="284">
        <v>410851</v>
      </c>
      <c r="X216" s="19" t="str">
        <f>IFERROR(INDEX(Table14[],MATCH($W216,Table14[SAPNo],0),3),"")</f>
        <v>PDC Dome 1308 CT31   (B)</v>
      </c>
      <c r="Y216" s="284">
        <v>28</v>
      </c>
      <c r="Z216" s="25">
        <f t="shared" si="48"/>
        <v>6</v>
      </c>
      <c r="AA216" s="25">
        <f t="shared" si="51"/>
        <v>168</v>
      </c>
      <c r="AB216" s="23">
        <f ca="1">IFERROR(INDEX('Cutters Inventory 12-30-2025'!A:W,MATCH($W216,'Cutters Inventory 12-30-2025'!B:B,0),14),0)</f>
        <v>93</v>
      </c>
      <c r="AC216" s="23">
        <f>SUMIF(Table1[LEVEL 5 MAT NO.],S216,Table1[Braze Plan])</f>
        <v>0</v>
      </c>
      <c r="AD216" s="23">
        <f>Table4[[#This Row],[Quantity]]*Table4[[#This Row],[Bits Braze Plan]]</f>
        <v>0</v>
      </c>
      <c r="AE216" s="23">
        <f ca="1">Table4[[#This Row],[INV. QTY]]-Table4[[#This Row],[Required For Braze Cutters Check]]</f>
        <v>93</v>
      </c>
      <c r="AF216" s="23">
        <f t="shared" ca="1" si="49"/>
        <v>93</v>
      </c>
      <c r="AG216" s="23"/>
      <c r="AJ216" s="19">
        <f t="shared" si="53"/>
        <v>1078377</v>
      </c>
      <c r="AY216">
        <v>1134806</v>
      </c>
    </row>
    <row r="217" spans="1:51" ht="24.75" customHeight="1" x14ac:dyDescent="0.25">
      <c r="A217" s="109">
        <v>20230452</v>
      </c>
      <c r="B217" s="709"/>
      <c r="C217" s="109">
        <v>14127564</v>
      </c>
      <c r="D217" s="109" t="s">
        <v>624</v>
      </c>
      <c r="E217" s="109" t="s">
        <v>663</v>
      </c>
      <c r="F217" s="109"/>
      <c r="G217" s="109" t="s">
        <v>681</v>
      </c>
      <c r="H217" s="140">
        <v>1269498</v>
      </c>
      <c r="I217" s="140">
        <v>1276939</v>
      </c>
      <c r="J217" s="26">
        <f>IF(H217&lt;&gt;"",IF(AND(C217&lt;&gt;"",IFERROR(MATCH(C217,Table10[Serial No.],0),0)),0,1),0)</f>
        <v>0</v>
      </c>
      <c r="K217" s="21"/>
      <c r="L217" s="539" t="str">
        <f t="shared" ca="1" si="50"/>
        <v/>
      </c>
      <c r="S217" s="281">
        <v>1254482</v>
      </c>
      <c r="T217" s="278" t="s">
        <v>316</v>
      </c>
      <c r="U217" s="278" t="s">
        <v>292</v>
      </c>
      <c r="V217" s="25">
        <v>4</v>
      </c>
      <c r="W217" s="284">
        <v>179734</v>
      </c>
      <c r="X217" s="19" t="str">
        <f>IFERROR(INDEX(Table14[],MATCH($W217,Table14[SAPNo],0),3),"")</f>
        <v>Long IPA 13    (C)</v>
      </c>
      <c r="Y217" s="284">
        <v>22</v>
      </c>
      <c r="Z217" s="25">
        <f t="shared" si="48"/>
        <v>6</v>
      </c>
      <c r="AA217" s="25">
        <f t="shared" si="51"/>
        <v>132</v>
      </c>
      <c r="AB217" s="23">
        <f ca="1">IFERROR(INDEX('Cutters Inventory 12-30-2025'!A:W,MATCH($W217,'Cutters Inventory 12-30-2025'!B:B,0),14),0)</f>
        <v>140</v>
      </c>
      <c r="AC217" s="23">
        <f>SUMIF(Table1[LEVEL 5 MAT NO.],S217,Table1[Braze Plan])</f>
        <v>0</v>
      </c>
      <c r="AD217" s="23">
        <f>Table4[[#This Row],[Quantity]]*Table4[[#This Row],[Bits Braze Plan]]</f>
        <v>0</v>
      </c>
      <c r="AE217" s="23">
        <f ca="1">Table4[[#This Row],[INV. QTY]]-Table4[[#This Row],[Required For Braze Cutters Check]]</f>
        <v>140</v>
      </c>
      <c r="AF217" s="23">
        <f t="shared" ca="1" si="49"/>
        <v>140</v>
      </c>
      <c r="AG217" s="23"/>
      <c r="AJ217" s="19">
        <f t="shared" si="53"/>
        <v>1100694</v>
      </c>
      <c r="AY217">
        <v>1134878</v>
      </c>
    </row>
    <row r="218" spans="1:51" ht="24.75" customHeight="1" x14ac:dyDescent="0.25">
      <c r="A218" s="109">
        <v>20230452</v>
      </c>
      <c r="B218" s="709"/>
      <c r="C218" s="109">
        <v>14127566</v>
      </c>
      <c r="D218" s="109" t="s">
        <v>624</v>
      </c>
      <c r="E218" s="109" t="s">
        <v>663</v>
      </c>
      <c r="F218" s="109"/>
      <c r="G218" s="109" t="s">
        <v>681</v>
      </c>
      <c r="H218" s="140">
        <v>1269498</v>
      </c>
      <c r="I218" s="140">
        <v>1276939</v>
      </c>
      <c r="J218" s="26">
        <f>IF(H218&lt;&gt;"",IF(AND(C218&lt;&gt;"",IFERROR(MATCH(C218,Table10[Serial No.],0),0)),0,1),0)</f>
        <v>0</v>
      </c>
      <c r="K218" s="21"/>
      <c r="L218" s="539" t="str">
        <f t="shared" ca="1" si="50"/>
        <v/>
      </c>
      <c r="S218" s="282">
        <v>1254482</v>
      </c>
      <c r="T218" s="279" t="s">
        <v>316</v>
      </c>
      <c r="U218" s="279" t="s">
        <v>292</v>
      </c>
      <c r="V218" s="246">
        <v>5</v>
      </c>
      <c r="W218" s="286">
        <v>1126402</v>
      </c>
      <c r="X218" s="142" t="str">
        <f>IFERROR(INDEX(Table14[],MATCH($W218,Table14[SAPNo],0),3),"")</f>
        <v>1613 CT421 16-60</v>
      </c>
      <c r="Y218" s="286">
        <v>22</v>
      </c>
      <c r="Z218" s="25">
        <f t="shared" si="48"/>
        <v>6</v>
      </c>
      <c r="AA218" s="25">
        <f t="shared" si="51"/>
        <v>132</v>
      </c>
      <c r="AB218" s="23">
        <f ca="1">IFERROR(INDEX('Cutters Inventory 12-30-2025'!A:W,MATCH($W218,'Cutters Inventory 12-30-2025'!B:B,0),14),0)</f>
        <v>422</v>
      </c>
      <c r="AC218" s="23">
        <f>SUMIF(Table1[LEVEL 5 MAT NO.],S218,Table1[Braze Plan])</f>
        <v>0</v>
      </c>
      <c r="AD218" s="23">
        <f>Table4[[#This Row],[Quantity]]*Table4[[#This Row],[Bits Braze Plan]]</f>
        <v>0</v>
      </c>
      <c r="AE218" s="23">
        <f ca="1">Table4[[#This Row],[INV. QTY]]-Table4[[#This Row],[Required For Braze Cutters Check]]</f>
        <v>422</v>
      </c>
      <c r="AF218" s="23">
        <f t="shared" ca="1" si="49"/>
        <v>422</v>
      </c>
      <c r="AG218" s="23"/>
      <c r="AJ218" s="19">
        <f t="shared" si="53"/>
        <v>1100696</v>
      </c>
      <c r="AY218">
        <v>1135558</v>
      </c>
    </row>
    <row r="219" spans="1:51" ht="24.75" customHeight="1" x14ac:dyDescent="0.25">
      <c r="A219" s="109">
        <v>20230452</v>
      </c>
      <c r="B219" s="709"/>
      <c r="C219" s="109">
        <v>14127565</v>
      </c>
      <c r="D219" s="109" t="s">
        <v>624</v>
      </c>
      <c r="E219" s="109" t="s">
        <v>663</v>
      </c>
      <c r="F219" s="109"/>
      <c r="G219" s="109" t="s">
        <v>681</v>
      </c>
      <c r="H219" s="140">
        <v>1269498</v>
      </c>
      <c r="I219" s="140">
        <v>1276939</v>
      </c>
      <c r="J219" s="26">
        <f>IF(H219&lt;&gt;"",IF(AND(C219&lt;&gt;"",IFERROR(MATCH(C219,Table10[Serial No.],0),0)),0,1),0)</f>
        <v>0</v>
      </c>
      <c r="K219" s="21"/>
      <c r="L219" s="539" t="str">
        <f t="shared" ca="1" si="50"/>
        <v/>
      </c>
      <c r="S219" s="281">
        <v>1254482</v>
      </c>
      <c r="T219" s="278" t="s">
        <v>316</v>
      </c>
      <c r="U219" s="278" t="s">
        <v>292</v>
      </c>
      <c r="V219" s="25">
        <v>6</v>
      </c>
      <c r="W219" s="284">
        <v>1208601</v>
      </c>
      <c r="X219" s="19" t="str">
        <f>IFERROR(INDEX(Table14[],MATCH($W219,Table14[SAPNo],0),3),"")</f>
        <v>1613 CT418 U-60</v>
      </c>
      <c r="Y219" s="284">
        <v>15</v>
      </c>
      <c r="Z219" s="25">
        <f t="shared" si="48"/>
        <v>6</v>
      </c>
      <c r="AA219" s="25">
        <f t="shared" si="51"/>
        <v>90</v>
      </c>
      <c r="AB219" s="23">
        <f ca="1">IFERROR(INDEX('Cutters Inventory 12-30-2025'!A:W,MATCH($W219,'Cutters Inventory 12-30-2025'!B:B,0),14),0)</f>
        <v>230</v>
      </c>
      <c r="AC219" s="23">
        <f>SUMIF(Table1[LEVEL 5 MAT NO.],S219,Table1[Braze Plan])</f>
        <v>0</v>
      </c>
      <c r="AD219" s="23">
        <f>Table4[[#This Row],[Quantity]]*Table4[[#This Row],[Bits Braze Plan]]</f>
        <v>0</v>
      </c>
      <c r="AE219" s="23">
        <f ca="1">Table4[[#This Row],[INV. QTY]]-Table4[[#This Row],[Required For Braze Cutters Check]]</f>
        <v>230</v>
      </c>
      <c r="AF219" s="23">
        <f t="shared" ca="1" si="49"/>
        <v>230</v>
      </c>
      <c r="AG219" s="23"/>
      <c r="AJ219" s="19">
        <f t="shared" si="53"/>
        <v>1100739</v>
      </c>
      <c r="AY219">
        <v>1137349</v>
      </c>
    </row>
    <row r="220" spans="1:51" ht="24.75" customHeight="1" x14ac:dyDescent="0.25">
      <c r="A220" s="109">
        <v>20230452</v>
      </c>
      <c r="B220" s="709"/>
      <c r="C220" s="109">
        <v>14127567</v>
      </c>
      <c r="D220" s="109" t="s">
        <v>315</v>
      </c>
      <c r="E220" s="324" t="s">
        <v>643</v>
      </c>
      <c r="F220" s="109"/>
      <c r="G220" s="109" t="s">
        <v>676</v>
      </c>
      <c r="H220" s="140">
        <v>1228896</v>
      </c>
      <c r="I220" s="140">
        <v>1095217</v>
      </c>
      <c r="J220" s="26">
        <f>IF(H220&lt;&gt;"",IF(AND(C220&lt;&gt;"",IFERROR(MATCH(C220,Table10[Serial No.],0),0)),0,1),0)</f>
        <v>0</v>
      </c>
      <c r="K220" s="21"/>
      <c r="L220" s="539" t="str">
        <f t="shared" ca="1" si="50"/>
        <v/>
      </c>
      <c r="S220" s="281">
        <v>1254482</v>
      </c>
      <c r="T220" s="278" t="s">
        <v>316</v>
      </c>
      <c r="U220" s="278" t="s">
        <v>292</v>
      </c>
      <c r="V220" s="25">
        <v>7</v>
      </c>
      <c r="W220" s="284">
        <v>418525</v>
      </c>
      <c r="X220" s="19" t="str">
        <f>IFERROR(INDEX(Table14[],MATCH($W220,Table14[SAPNo],0),3),"")</f>
        <v>Drop In 1308 CT31   (B)</v>
      </c>
      <c r="Y220" s="284">
        <v>7</v>
      </c>
      <c r="Z220" s="25">
        <f t="shared" si="48"/>
        <v>6</v>
      </c>
      <c r="AA220" s="25">
        <f t="shared" si="51"/>
        <v>42</v>
      </c>
      <c r="AB220" s="23">
        <f ca="1">IFERROR(INDEX('Cutters Inventory 12-30-2025'!A:W,MATCH($W220,'Cutters Inventory 12-30-2025'!B:B,0),14),0)</f>
        <v>933</v>
      </c>
      <c r="AC220" s="23">
        <f>SUMIF(Table1[LEVEL 5 MAT NO.],S220,Table1[Braze Plan])</f>
        <v>0</v>
      </c>
      <c r="AD220" s="23">
        <f>Table4[[#This Row],[Quantity]]*Table4[[#This Row],[Bits Braze Plan]]</f>
        <v>0</v>
      </c>
      <c r="AE220" s="23">
        <f ca="1">Table4[[#This Row],[INV. QTY]]-Table4[[#This Row],[Required For Braze Cutters Check]]</f>
        <v>933</v>
      </c>
      <c r="AF220" s="23">
        <f t="shared" ca="1" si="49"/>
        <v>933</v>
      </c>
      <c r="AG220" s="23"/>
      <c r="AJ220" s="19">
        <f t="shared" si="53"/>
        <v>1100751</v>
      </c>
      <c r="AY220">
        <v>1138943</v>
      </c>
    </row>
    <row r="221" spans="1:51" ht="24.75" customHeight="1" x14ac:dyDescent="0.25">
      <c r="A221" s="109">
        <v>20230452</v>
      </c>
      <c r="B221" s="709"/>
      <c r="C221" s="109">
        <v>14127568</v>
      </c>
      <c r="D221" s="109" t="s">
        <v>315</v>
      </c>
      <c r="E221" s="324" t="s">
        <v>643</v>
      </c>
      <c r="F221" s="109"/>
      <c r="G221" s="109" t="s">
        <v>676</v>
      </c>
      <c r="H221" s="140">
        <v>1228896</v>
      </c>
      <c r="I221" s="140" t="s">
        <v>686</v>
      </c>
      <c r="J221" s="26">
        <f>IF(H221&lt;&gt;"",IF(AND(C221&lt;&gt;"",IFERROR(MATCH(C221,Table10[Serial No.],0),0)),0,1),0)</f>
        <v>0</v>
      </c>
      <c r="K221" s="21"/>
      <c r="L221" s="539" t="str">
        <f t="shared" si="50"/>
        <v/>
      </c>
      <c r="S221" s="281">
        <v>1254762</v>
      </c>
      <c r="T221" s="278" t="s">
        <v>624</v>
      </c>
      <c r="U221" s="278" t="s">
        <v>687</v>
      </c>
      <c r="V221" s="25">
        <v>1</v>
      </c>
      <c r="W221" s="284">
        <v>717751</v>
      </c>
      <c r="X221" s="19" t="str">
        <f>IFERROR(INDEX(Table14[],MATCH($W221,Table14[SAPNo],0),3),"")</f>
        <v>Round 1308 CT200  0.018" (B)</v>
      </c>
      <c r="Y221" s="284">
        <v>16</v>
      </c>
      <c r="Z221" s="25">
        <f t="shared" si="48"/>
        <v>5</v>
      </c>
      <c r="AA221" s="25">
        <f t="shared" si="51"/>
        <v>80</v>
      </c>
      <c r="AB221" s="23">
        <f ca="1">IFERROR(INDEX('Cutters Inventory 12-30-2025'!A:W,MATCH($W221,'Cutters Inventory 12-30-2025'!B:B,0),14),0)</f>
        <v>28</v>
      </c>
      <c r="AC221" s="23">
        <f>SUMIF(Table1[LEVEL 5 MAT NO.],S221,Table1[Braze Plan])</f>
        <v>0</v>
      </c>
      <c r="AD221" s="23">
        <f>Table4[[#This Row],[Quantity]]*Table4[[#This Row],[Bits Braze Plan]]</f>
        <v>0</v>
      </c>
      <c r="AE221" s="23">
        <f ca="1">Table4[[#This Row],[INV. QTY]]-Table4[[#This Row],[Required For Braze Cutters Check]]</f>
        <v>28</v>
      </c>
      <c r="AF221" s="23">
        <f t="shared" ca="1" si="49"/>
        <v>28</v>
      </c>
      <c r="AG221" s="23"/>
      <c r="AJ221" s="19">
        <f t="shared" si="53"/>
        <v>1100753</v>
      </c>
      <c r="AY221">
        <v>1142907</v>
      </c>
    </row>
    <row r="222" spans="1:51" ht="24.75" customHeight="1" x14ac:dyDescent="0.25">
      <c r="A222" s="109">
        <v>20230452</v>
      </c>
      <c r="B222" s="709"/>
      <c r="C222" s="109">
        <v>14127569</v>
      </c>
      <c r="D222" s="109" t="s">
        <v>315</v>
      </c>
      <c r="E222" s="324" t="s">
        <v>643</v>
      </c>
      <c r="F222" s="109"/>
      <c r="G222" s="109" t="s">
        <v>676</v>
      </c>
      <c r="H222" s="140">
        <v>1228896</v>
      </c>
      <c r="I222" s="140" t="s">
        <v>686</v>
      </c>
      <c r="J222" s="26">
        <f>IF(H222&lt;&gt;"",IF(AND(C222&lt;&gt;"",IFERROR(MATCH(C222,Table10[Serial No.],0),0)),0,1),0)</f>
        <v>0</v>
      </c>
      <c r="K222" s="21"/>
      <c r="L222" s="539" t="str">
        <f t="shared" si="50"/>
        <v/>
      </c>
      <c r="S222" s="281">
        <v>1254762</v>
      </c>
      <c r="T222" s="278" t="s">
        <v>624</v>
      </c>
      <c r="U222" s="278" t="s">
        <v>687</v>
      </c>
      <c r="V222" s="25">
        <v>2</v>
      </c>
      <c r="W222" s="613">
        <v>1296685</v>
      </c>
      <c r="X222" s="614" t="str">
        <f>IFERROR(INDEX(Table14[],MATCH($W222,Table14[SAPNo],0),3),"")</f>
        <v>1613 CT179R U</v>
      </c>
      <c r="Y222" s="284">
        <v>16</v>
      </c>
      <c r="Z222" s="25">
        <f t="shared" si="48"/>
        <v>5</v>
      </c>
      <c r="AA222" s="25">
        <f t="shared" si="51"/>
        <v>80</v>
      </c>
      <c r="AB222" s="23">
        <f ca="1">IFERROR(INDEX('Cutters Inventory 12-30-2025'!A:W,MATCH($W222,'Cutters Inventory 12-30-2025'!B:B,0),14),0)</f>
        <v>196</v>
      </c>
      <c r="AC222" s="23">
        <f>SUMIF(Table1[LEVEL 5 MAT NO.],S222,Table1[Braze Plan])</f>
        <v>0</v>
      </c>
      <c r="AD222" s="23">
        <f>Table4[[#This Row],[Quantity]]*Table4[[#This Row],[Bits Braze Plan]]</f>
        <v>0</v>
      </c>
      <c r="AE222" s="23">
        <f ca="1">Table4[[#This Row],[INV. QTY]]-Table4[[#This Row],[Required For Braze Cutters Check]]</f>
        <v>196</v>
      </c>
      <c r="AF222" s="23">
        <f t="shared" ca="1" si="49"/>
        <v>196</v>
      </c>
      <c r="AG222" s="625" t="s">
        <v>683</v>
      </c>
      <c r="AJ222" s="19">
        <f t="shared" si="53"/>
        <v>1101509</v>
      </c>
      <c r="AY222">
        <v>1157663</v>
      </c>
    </row>
    <row r="223" spans="1:51" ht="24.75" customHeight="1" x14ac:dyDescent="0.25">
      <c r="A223" s="109">
        <v>20230452</v>
      </c>
      <c r="B223" s="709"/>
      <c r="C223" s="109">
        <v>14127570</v>
      </c>
      <c r="D223" s="109" t="s">
        <v>315</v>
      </c>
      <c r="E223" s="109" t="s">
        <v>682</v>
      </c>
      <c r="F223" s="109"/>
      <c r="G223" s="109" t="s">
        <v>676</v>
      </c>
      <c r="H223" s="140">
        <v>1270578</v>
      </c>
      <c r="I223" s="140">
        <v>1251627</v>
      </c>
      <c r="J223" s="26">
        <f>IF(H223&lt;&gt;"",IF(AND(C223&lt;&gt;"",IFERROR(MATCH(C223,Table10[Serial No.],0),0)),0,1),0)</f>
        <v>0</v>
      </c>
      <c r="K223" s="21"/>
      <c r="L223" s="539" t="str">
        <f t="shared" ca="1" si="50"/>
        <v/>
      </c>
      <c r="S223" s="281" t="s">
        <v>688</v>
      </c>
      <c r="T223" s="278" t="s">
        <v>319</v>
      </c>
      <c r="U223" s="278" t="s">
        <v>689</v>
      </c>
      <c r="V223" s="25">
        <v>3</v>
      </c>
      <c r="W223" s="284">
        <v>1146737</v>
      </c>
      <c r="X223" s="19" t="str">
        <f>IFERROR(INDEX(Table14[],MATCH($W223,Table14[SAPNo],0),3),"")</f>
        <v>1613 CT418 18-60</v>
      </c>
      <c r="Y223" s="284">
        <v>33</v>
      </c>
      <c r="Z223" s="25">
        <f t="shared" si="48"/>
        <v>2</v>
      </c>
      <c r="AA223" s="25">
        <f t="shared" si="51"/>
        <v>66</v>
      </c>
      <c r="AB223" s="23">
        <f ca="1">IFERROR(INDEX('Cutters Inventory 12-30-2025'!A:W,MATCH($W223,'Cutters Inventory 12-30-2025'!B:B,0),14),0)</f>
        <v>1281</v>
      </c>
      <c r="AC223" s="23">
        <f>SUMIF(Table1[LEVEL 5 MAT NO.],S223,Table1[Braze Plan])</f>
        <v>0</v>
      </c>
      <c r="AD223" s="23">
        <f>Table4[[#This Row],[Quantity]]*Table4[[#This Row],[Bits Braze Plan]]</f>
        <v>0</v>
      </c>
      <c r="AE223" s="23">
        <f ca="1">Table4[[#This Row],[INV. QTY]]-Table4[[#This Row],[Required For Braze Cutters Check]]</f>
        <v>1281</v>
      </c>
      <c r="AF223" s="23">
        <f t="shared" ca="1" si="49"/>
        <v>1281</v>
      </c>
      <c r="AG223" s="23"/>
      <c r="AJ223" s="19">
        <f t="shared" si="53"/>
        <v>1104083</v>
      </c>
      <c r="AY223">
        <v>1160951</v>
      </c>
    </row>
    <row r="224" spans="1:51" ht="24.75" customHeight="1" x14ac:dyDescent="0.25">
      <c r="A224" s="109">
        <v>20230452</v>
      </c>
      <c r="B224" s="709"/>
      <c r="C224" s="109">
        <v>14127571</v>
      </c>
      <c r="D224" s="109" t="s">
        <v>315</v>
      </c>
      <c r="E224" s="109" t="s">
        <v>682</v>
      </c>
      <c r="F224" s="109"/>
      <c r="G224" s="109" t="s">
        <v>676</v>
      </c>
      <c r="H224" s="140">
        <v>1270578</v>
      </c>
      <c r="I224" s="140">
        <v>1251627</v>
      </c>
      <c r="J224" s="26">
        <f>IF(H224&lt;&gt;"",IF(AND(C224&lt;&gt;"",IFERROR(MATCH(C224,Table10[Serial No.],0),0)),0,1),0)</f>
        <v>0</v>
      </c>
      <c r="K224" s="21"/>
      <c r="L224" s="539" t="str">
        <f t="shared" ca="1" si="50"/>
        <v/>
      </c>
      <c r="S224" s="281">
        <v>1254762</v>
      </c>
      <c r="T224" s="278" t="s">
        <v>624</v>
      </c>
      <c r="U224" s="278" t="s">
        <v>687</v>
      </c>
      <c r="V224" s="25">
        <v>4</v>
      </c>
      <c r="W224" s="284">
        <v>871781</v>
      </c>
      <c r="X224" s="19" t="str">
        <f>IFERROR(INDEX(Table14[],MATCH($W224,Table14[SAPNo],0),3),"")</f>
        <v>Round 1313 CT200  0.018" (B)</v>
      </c>
      <c r="Y224" s="284">
        <v>6</v>
      </c>
      <c r="Z224" s="25">
        <f t="shared" si="48"/>
        <v>5</v>
      </c>
      <c r="AA224" s="25">
        <f t="shared" si="51"/>
        <v>30</v>
      </c>
      <c r="AB224" s="23">
        <f ca="1">IFERROR(INDEX('Cutters Inventory 12-30-2025'!A:W,MATCH($W224,'Cutters Inventory 12-30-2025'!B:B,0),14),0)</f>
        <v>843</v>
      </c>
      <c r="AC224" s="23">
        <f>SUMIF(Table1[LEVEL 5 MAT NO.],S224,Table1[Braze Plan])</f>
        <v>0</v>
      </c>
      <c r="AD224" s="23">
        <f>Table4[[#This Row],[Quantity]]*Table4[[#This Row],[Bits Braze Plan]]</f>
        <v>0</v>
      </c>
      <c r="AE224" s="23">
        <f ca="1">Table4[[#This Row],[INV. QTY]]-Table4[[#This Row],[Required For Braze Cutters Check]]</f>
        <v>843</v>
      </c>
      <c r="AF224" s="23">
        <f t="shared" ca="1" si="49"/>
        <v>843</v>
      </c>
      <c r="AG224" s="23"/>
      <c r="AJ224" s="19">
        <f t="shared" si="53"/>
        <v>1104086</v>
      </c>
      <c r="AY224">
        <v>1176003</v>
      </c>
    </row>
    <row r="225" spans="1:51" ht="24.75" customHeight="1" x14ac:dyDescent="0.25">
      <c r="A225" s="109">
        <v>20230452</v>
      </c>
      <c r="B225" s="709"/>
      <c r="C225" s="109">
        <v>14127572</v>
      </c>
      <c r="D225" s="109" t="s">
        <v>315</v>
      </c>
      <c r="E225" s="109" t="s">
        <v>682</v>
      </c>
      <c r="F225" s="109"/>
      <c r="G225" s="109" t="s">
        <v>676</v>
      </c>
      <c r="H225" s="140">
        <v>1270578</v>
      </c>
      <c r="I225" s="140">
        <v>1251627</v>
      </c>
      <c r="J225" s="26">
        <f>IF(H225&lt;&gt;"",IF(AND(C225&lt;&gt;"",IFERROR(MATCH(C225,Table10[Serial No.],0),0)),0,1),0)</f>
        <v>1</v>
      </c>
      <c r="K225" s="21"/>
      <c r="L225" s="539" t="str">
        <f t="shared" ca="1" si="50"/>
        <v/>
      </c>
      <c r="S225" s="281">
        <v>1254762</v>
      </c>
      <c r="T225" s="278" t="s">
        <v>624</v>
      </c>
      <c r="U225" s="278" t="s">
        <v>687</v>
      </c>
      <c r="V225" s="25">
        <v>5</v>
      </c>
      <c r="W225" s="619">
        <v>1288783</v>
      </c>
      <c r="X225" s="618" t="str">
        <f>IFERROR(INDEX(Table14[],MATCH($W225,Table14[SAPNo],0),3),"")</f>
        <v>1613 CT179 18-60</v>
      </c>
      <c r="Y225" s="284">
        <v>3</v>
      </c>
      <c r="Z225" s="25">
        <f t="shared" si="48"/>
        <v>5</v>
      </c>
      <c r="AA225" s="25">
        <f t="shared" si="51"/>
        <v>15</v>
      </c>
      <c r="AB225" s="23">
        <f ca="1">IFERROR(INDEX('Cutters Inventory 12-30-2025'!A:W,MATCH($W225,'Cutters Inventory 12-30-2025'!B:B,0),14),0)</f>
        <v>813</v>
      </c>
      <c r="AC225" s="23">
        <f>SUMIF(Table1[LEVEL 5 MAT NO.],S225,Table1[Braze Plan])</f>
        <v>0</v>
      </c>
      <c r="AD225" s="23">
        <f>Table4[[#This Row],[Quantity]]*Table4[[#This Row],[Bits Braze Plan]]</f>
        <v>0</v>
      </c>
      <c r="AE225" s="23">
        <f ca="1">Table4[[#This Row],[INV. QTY]]-Table4[[#This Row],[Required For Braze Cutters Check]]</f>
        <v>813</v>
      </c>
      <c r="AF225" s="23">
        <f t="shared" ca="1" si="49"/>
        <v>813</v>
      </c>
      <c r="AG225" s="625" t="s">
        <v>661</v>
      </c>
      <c r="AJ225" s="19">
        <f t="shared" si="53"/>
        <v>1126400</v>
      </c>
      <c r="AY225">
        <v>1190973</v>
      </c>
    </row>
    <row r="226" spans="1:51" ht="24.75" customHeight="1" x14ac:dyDescent="0.25">
      <c r="A226" s="109">
        <v>20230452</v>
      </c>
      <c r="B226" s="709"/>
      <c r="C226" s="109">
        <v>14127573</v>
      </c>
      <c r="D226" s="109" t="s">
        <v>315</v>
      </c>
      <c r="E226" s="109" t="s">
        <v>682</v>
      </c>
      <c r="F226" s="109"/>
      <c r="G226" s="109" t="s">
        <v>676</v>
      </c>
      <c r="H226" s="140">
        <v>1270578</v>
      </c>
      <c r="I226" s="140">
        <v>1251627</v>
      </c>
      <c r="J226" s="26">
        <f>IF(H226&lt;&gt;"",IF(AND(C226&lt;&gt;"",IFERROR(MATCH(C226,Table10[Serial No.],0),0)),0,1),0)</f>
        <v>1</v>
      </c>
      <c r="K226" s="21"/>
      <c r="L226" s="539" t="str">
        <f t="shared" ca="1" si="50"/>
        <v/>
      </c>
      <c r="R226" s="298"/>
      <c r="S226" s="281">
        <v>1257458</v>
      </c>
      <c r="T226" s="278" t="s">
        <v>637</v>
      </c>
      <c r="U226" s="278" t="s">
        <v>287</v>
      </c>
      <c r="V226" s="25">
        <v>1</v>
      </c>
      <c r="W226" s="615">
        <v>1291852</v>
      </c>
      <c r="X226" s="616" t="str">
        <f>IFERROR(INDEX(Table14[],MATCH($W226,Table14[SAPNo],0),3),"")</f>
        <v>1613 U CT186R U</v>
      </c>
      <c r="Y226" s="284">
        <v>30</v>
      </c>
      <c r="Z226" s="25">
        <f t="shared" si="48"/>
        <v>4</v>
      </c>
      <c r="AA226" s="25">
        <f t="shared" si="51"/>
        <v>120</v>
      </c>
      <c r="AB226" s="23">
        <f ca="1">IFERROR(INDEX('Cutters Inventory 12-30-2025'!A:W,MATCH($W226,'Cutters Inventory 12-30-2025'!B:B,0),14),0)</f>
        <v>62</v>
      </c>
      <c r="AC226" s="23">
        <f>SUMIF(Table1[LEVEL 5 MAT NO.],S226,Table1[Braze Plan])</f>
        <v>0</v>
      </c>
      <c r="AD226" s="23">
        <f>Table4[[#This Row],[Quantity]]*Table4[[#This Row],[Bits Braze Plan]]</f>
        <v>0</v>
      </c>
      <c r="AE226" s="23">
        <f ca="1">Table4[[#This Row],[INV. QTY]]-Table4[[#This Row],[Required For Braze Cutters Check]]</f>
        <v>62</v>
      </c>
      <c r="AF226" s="23">
        <f t="shared" ca="1" si="49"/>
        <v>62</v>
      </c>
      <c r="AG226" s="625" t="s">
        <v>690</v>
      </c>
      <c r="AJ226" s="19">
        <f t="shared" si="53"/>
        <v>1126402</v>
      </c>
      <c r="AY226">
        <v>1207425</v>
      </c>
    </row>
    <row r="227" spans="1:51" ht="24.75" customHeight="1" x14ac:dyDescent="0.25">
      <c r="A227" s="109">
        <v>20230452</v>
      </c>
      <c r="B227" s="709"/>
      <c r="C227" s="109">
        <v>14127575</v>
      </c>
      <c r="D227" s="109" t="s">
        <v>637</v>
      </c>
      <c r="E227" s="109" t="s">
        <v>287</v>
      </c>
      <c r="F227" s="109"/>
      <c r="G227" s="109" t="s">
        <v>681</v>
      </c>
      <c r="H227" s="140">
        <v>1267122</v>
      </c>
      <c r="I227" s="140">
        <v>1257458</v>
      </c>
      <c r="J227" s="26">
        <f>IF(H227&lt;&gt;"",IF(AND(C227&lt;&gt;"",IFERROR(MATCH(C227,Table10[Serial No.],0),0)),0,1),0)</f>
        <v>0</v>
      </c>
      <c r="K227" s="21"/>
      <c r="L227" s="539" t="str">
        <f t="shared" ca="1" si="50"/>
        <v/>
      </c>
      <c r="S227" s="281">
        <v>1257458</v>
      </c>
      <c r="T227" s="278" t="s">
        <v>637</v>
      </c>
      <c r="U227" s="278" t="s">
        <v>287</v>
      </c>
      <c r="V227" s="25">
        <v>2</v>
      </c>
      <c r="W227" s="284">
        <v>1142711</v>
      </c>
      <c r="X227" s="19" t="str">
        <f>IFERROR(INDEX(Table14[],MATCH($W227,Table14[SAPNo],0),3),"")</f>
        <v>1613 CT421 U</v>
      </c>
      <c r="Y227" s="284">
        <v>21</v>
      </c>
      <c r="Z227" s="25">
        <f t="shared" si="48"/>
        <v>4</v>
      </c>
      <c r="AA227" s="25">
        <f t="shared" si="51"/>
        <v>84</v>
      </c>
      <c r="AB227" s="23">
        <f ca="1">IFERROR(INDEX('Cutters Inventory 12-30-2025'!A:W,MATCH($W227,'Cutters Inventory 12-30-2025'!B:B,0),14),0)</f>
        <v>0</v>
      </c>
      <c r="AC227" s="23">
        <f>SUMIF(Table1[LEVEL 5 MAT NO.],S227,Table1[Braze Plan])</f>
        <v>0</v>
      </c>
      <c r="AD227" s="23">
        <f>Table4[[#This Row],[Quantity]]*Table4[[#This Row],[Bits Braze Plan]]</f>
        <v>0</v>
      </c>
      <c r="AE227" s="23">
        <f ca="1">Table4[[#This Row],[INV. QTY]]-Table4[[#This Row],[Required For Braze Cutters Check]]</f>
        <v>0</v>
      </c>
      <c r="AF227" s="23">
        <f t="shared" ca="1" si="49"/>
        <v>0</v>
      </c>
      <c r="AG227" s="23"/>
      <c r="AJ227" s="19">
        <f t="shared" si="53"/>
        <v>1126404</v>
      </c>
      <c r="AY227">
        <v>1216970</v>
      </c>
    </row>
    <row r="228" spans="1:51" ht="24.75" customHeight="1" x14ac:dyDescent="0.25">
      <c r="A228" s="109">
        <v>20230452</v>
      </c>
      <c r="B228" s="709" t="s">
        <v>691</v>
      </c>
      <c r="C228" s="109">
        <v>14127574</v>
      </c>
      <c r="D228" s="109" t="s">
        <v>637</v>
      </c>
      <c r="E228" s="109" t="s">
        <v>287</v>
      </c>
      <c r="F228" s="109"/>
      <c r="G228" s="109" t="s">
        <v>681</v>
      </c>
      <c r="H228" s="140">
        <v>1267122</v>
      </c>
      <c r="I228" s="140" t="s">
        <v>692</v>
      </c>
      <c r="J228" s="26">
        <f>IF(H228&lt;&gt;"",IF(AND(C228&lt;&gt;"",IFERROR(MATCH(C228,Table10[Serial No.],0),0)),0,1),0)</f>
        <v>0</v>
      </c>
      <c r="K228" s="21"/>
      <c r="L228" s="539" t="str">
        <f t="shared" si="50"/>
        <v/>
      </c>
      <c r="R228" s="298"/>
      <c r="S228" s="281">
        <v>1257458</v>
      </c>
      <c r="T228" s="278" t="s">
        <v>637</v>
      </c>
      <c r="U228" s="278" t="s">
        <v>287</v>
      </c>
      <c r="V228" s="25">
        <v>3</v>
      </c>
      <c r="W228" s="284">
        <v>1208601</v>
      </c>
      <c r="X228" s="19" t="str">
        <f>IFERROR(INDEX(Table14[],MATCH($W228,Table14[SAPNo],0),3),"")</f>
        <v>1613 CT418 U-60</v>
      </c>
      <c r="Y228" s="284">
        <v>11</v>
      </c>
      <c r="Z228" s="25">
        <f t="shared" si="48"/>
        <v>4</v>
      </c>
      <c r="AA228" s="25">
        <f t="shared" si="51"/>
        <v>44</v>
      </c>
      <c r="AB228" s="23">
        <f ca="1">IFERROR(INDEX('Cutters Inventory 12-30-2025'!A:W,MATCH($W228,'Cutters Inventory 12-30-2025'!B:B,0),14),0)</f>
        <v>230</v>
      </c>
      <c r="AC228" s="23">
        <f>SUMIF(Table1[LEVEL 5 MAT NO.],S228,Table1[Braze Plan])</f>
        <v>0</v>
      </c>
      <c r="AD228" s="23">
        <f>Table4[[#This Row],[Quantity]]*Table4[[#This Row],[Bits Braze Plan]]</f>
        <v>0</v>
      </c>
      <c r="AE228" s="23">
        <f ca="1">Table4[[#This Row],[INV. QTY]]-Table4[[#This Row],[Required For Braze Cutters Check]]</f>
        <v>230</v>
      </c>
      <c r="AF228" s="23">
        <f t="shared" ca="1" si="49"/>
        <v>230</v>
      </c>
      <c r="AG228" s="23"/>
      <c r="AJ228" s="19">
        <f t="shared" si="53"/>
        <v>1129936</v>
      </c>
      <c r="AY228">
        <v>1224750</v>
      </c>
    </row>
    <row r="229" spans="1:51" ht="24.75" customHeight="1" x14ac:dyDescent="0.25">
      <c r="A229" s="109">
        <v>20230452</v>
      </c>
      <c r="B229" s="709"/>
      <c r="C229" s="109">
        <v>14127576</v>
      </c>
      <c r="D229" s="109" t="s">
        <v>316</v>
      </c>
      <c r="E229" s="109" t="s">
        <v>290</v>
      </c>
      <c r="F229" s="109"/>
      <c r="G229" s="109" t="s">
        <v>676</v>
      </c>
      <c r="H229" s="140">
        <v>1229187</v>
      </c>
      <c r="I229" s="140">
        <v>1268728</v>
      </c>
      <c r="J229" s="26">
        <f>IF(H229&lt;&gt;"",IF(AND(C229&lt;&gt;"",IFERROR(MATCH(C229,Table10[Serial No.],0),0)),0,1),0)</f>
        <v>0</v>
      </c>
      <c r="K229" s="21"/>
      <c r="L229" s="539" t="str">
        <f t="shared" ca="1" si="50"/>
        <v/>
      </c>
      <c r="R229" s="298"/>
      <c r="S229" s="281">
        <v>1254762</v>
      </c>
      <c r="T229" s="278" t="s">
        <v>624</v>
      </c>
      <c r="U229" s="278" t="s">
        <v>687</v>
      </c>
      <c r="V229" s="25">
        <v>3</v>
      </c>
      <c r="W229" s="284">
        <v>1146737</v>
      </c>
      <c r="X229" s="19" t="str">
        <f>IFERROR(INDEX(Table14[],MATCH($W229,Table14[SAPNo],0),3),"")</f>
        <v>1613 CT418 18-60</v>
      </c>
      <c r="Y229" s="284">
        <v>14</v>
      </c>
      <c r="Z229" s="25">
        <f t="shared" si="48"/>
        <v>5</v>
      </c>
      <c r="AA229" s="25">
        <f t="shared" si="51"/>
        <v>70</v>
      </c>
      <c r="AB229" s="23">
        <f ca="1">IFERROR(INDEX('Cutters Inventory 12-30-2025'!A:W,MATCH($W229,'Cutters Inventory 12-30-2025'!B:B,0),14),0)</f>
        <v>1281</v>
      </c>
      <c r="AC229" s="23">
        <f>SUMIF(Table1[LEVEL 5 MAT NO.],S229,Table1[Braze Plan])</f>
        <v>0</v>
      </c>
      <c r="AD229" s="23">
        <f>Table4[[#This Row],[Quantity]]*Table4[[#This Row],[Bits Braze Plan]]</f>
        <v>0</v>
      </c>
      <c r="AE229" s="23">
        <f ca="1">Table4[[#This Row],[INV. QTY]]-Table4[[#This Row],[Required For Braze Cutters Check]]</f>
        <v>1281</v>
      </c>
      <c r="AF229" s="23">
        <f t="shared" ca="1" si="49"/>
        <v>1281</v>
      </c>
      <c r="AG229" s="23"/>
      <c r="AJ229" s="19">
        <f t="shared" si="53"/>
        <v>1130193</v>
      </c>
      <c r="AY229">
        <v>1235768</v>
      </c>
    </row>
    <row r="230" spans="1:51" ht="24.75" customHeight="1" x14ac:dyDescent="0.25">
      <c r="A230" s="109">
        <v>20230452</v>
      </c>
      <c r="B230" s="709"/>
      <c r="C230" s="109">
        <v>14127577</v>
      </c>
      <c r="D230" s="109" t="s">
        <v>316</v>
      </c>
      <c r="E230" s="109" t="s">
        <v>290</v>
      </c>
      <c r="F230" s="109"/>
      <c r="G230" s="109" t="s">
        <v>676</v>
      </c>
      <c r="H230" s="140">
        <v>1229187</v>
      </c>
      <c r="I230" s="140">
        <v>1268728</v>
      </c>
      <c r="J230" s="26">
        <f>IF(H230&lt;&gt;"",IF(AND(C230&lt;&gt;"",IFERROR(MATCH(C230,Table10[Serial No.],0),0)),0,1),0)</f>
        <v>0</v>
      </c>
      <c r="K230" s="21"/>
      <c r="L230" s="539" t="str">
        <f t="shared" ca="1" si="50"/>
        <v/>
      </c>
      <c r="R230" s="298"/>
      <c r="S230" s="354">
        <v>1257458</v>
      </c>
      <c r="T230" s="278" t="s">
        <v>637</v>
      </c>
      <c r="U230" s="278" t="s">
        <v>287</v>
      </c>
      <c r="V230" s="25">
        <v>5</v>
      </c>
      <c r="W230" s="284">
        <v>871781</v>
      </c>
      <c r="X230" s="19" t="str">
        <f>IFERROR(INDEX(Table14[],MATCH($W230,Table14[SAPNo],0),3),"")</f>
        <v>Round 1313 CT200  0.018" (B)</v>
      </c>
      <c r="Y230" s="284">
        <v>7</v>
      </c>
      <c r="Z230" s="25">
        <f t="shared" si="48"/>
        <v>4</v>
      </c>
      <c r="AA230" s="25">
        <f t="shared" si="51"/>
        <v>28</v>
      </c>
      <c r="AB230" s="23">
        <f ca="1">IFERROR(INDEX('Cutters Inventory 12-30-2025'!A:W,MATCH($W230,'Cutters Inventory 12-30-2025'!B:B,0),14),0)</f>
        <v>843</v>
      </c>
      <c r="AC230" s="23">
        <f>SUMIF(Table1[LEVEL 5 MAT NO.],S230,Table1[Braze Plan])</f>
        <v>0</v>
      </c>
      <c r="AD230" s="23">
        <f>Table4[[#This Row],[Quantity]]*Table4[[#This Row],[Bits Braze Plan]]</f>
        <v>0</v>
      </c>
      <c r="AE230" s="23">
        <f ca="1">Table4[[#This Row],[INV. QTY]]-Table4[[#This Row],[Required For Braze Cutters Check]]</f>
        <v>843</v>
      </c>
      <c r="AF230" s="23">
        <f t="shared" ca="1" si="49"/>
        <v>843</v>
      </c>
      <c r="AG230" s="23"/>
      <c r="AJ230" s="19">
        <f t="shared" si="53"/>
        <v>1130196</v>
      </c>
      <c r="AY230">
        <v>1241180</v>
      </c>
    </row>
    <row r="231" spans="1:51" ht="24.75" customHeight="1" x14ac:dyDescent="0.25">
      <c r="A231" s="109">
        <v>20230452</v>
      </c>
      <c r="B231" s="709"/>
      <c r="C231" s="109">
        <v>14127578</v>
      </c>
      <c r="D231" s="109" t="s">
        <v>316</v>
      </c>
      <c r="E231" s="109" t="s">
        <v>290</v>
      </c>
      <c r="F231" s="109"/>
      <c r="G231" s="109" t="s">
        <v>676</v>
      </c>
      <c r="H231" s="140">
        <v>1229187</v>
      </c>
      <c r="I231" s="140">
        <v>1268728</v>
      </c>
      <c r="J231" s="26">
        <f>IF(H231&lt;&gt;"",IF(AND(C231&lt;&gt;"",IFERROR(MATCH(C231,Table10[Serial No.],0),0)),0,1),0)</f>
        <v>0</v>
      </c>
      <c r="K231" s="21"/>
      <c r="L231" s="539" t="str">
        <f t="shared" ca="1" si="50"/>
        <v/>
      </c>
      <c r="R231" s="298"/>
      <c r="S231" s="354">
        <v>1257458</v>
      </c>
      <c r="T231" s="278" t="s">
        <v>637</v>
      </c>
      <c r="U231" s="278" t="s">
        <v>287</v>
      </c>
      <c r="V231" s="25">
        <v>6</v>
      </c>
      <c r="W231" s="284">
        <v>625854</v>
      </c>
      <c r="X231" s="19" t="str">
        <f>IFERROR(INDEX(Table14[],MATCH($W231,Table14[SAPNo],0),3),"")</f>
        <v>Carbide IA 1318    (C)</v>
      </c>
      <c r="Y231" s="284">
        <v>6</v>
      </c>
      <c r="Z231" s="25">
        <f t="shared" si="48"/>
        <v>4</v>
      </c>
      <c r="AA231" s="25">
        <f t="shared" si="51"/>
        <v>24</v>
      </c>
      <c r="AB231" s="23">
        <f ca="1">IFERROR(INDEX('Cutters Inventory 12-30-2025'!A:W,MATCH($W231,'Cutters Inventory 12-30-2025'!B:B,0),14),0)</f>
        <v>74</v>
      </c>
      <c r="AC231" s="23">
        <f>SUMIF(Table1[LEVEL 5 MAT NO.],S231,Table1[Braze Plan])</f>
        <v>0</v>
      </c>
      <c r="AD231" s="23">
        <f>Table4[[#This Row],[Quantity]]*Table4[[#This Row],[Bits Braze Plan]]</f>
        <v>0</v>
      </c>
      <c r="AE231" s="23">
        <f ca="1">Table4[[#This Row],[INV. QTY]]-Table4[[#This Row],[Required For Braze Cutters Check]]</f>
        <v>74</v>
      </c>
      <c r="AF231" s="23">
        <f t="shared" ca="1" si="49"/>
        <v>74</v>
      </c>
      <c r="AG231" s="23"/>
      <c r="AJ231" s="19">
        <f t="shared" si="53"/>
        <v>1130197</v>
      </c>
      <c r="AY231">
        <v>1249569</v>
      </c>
    </row>
    <row r="232" spans="1:51" ht="24.75" customHeight="1" x14ac:dyDescent="0.25">
      <c r="A232" s="109">
        <v>20230452</v>
      </c>
      <c r="B232" s="709"/>
      <c r="C232" s="109">
        <v>14127581</v>
      </c>
      <c r="D232" s="109" t="s">
        <v>316</v>
      </c>
      <c r="E232" s="109" t="s">
        <v>318</v>
      </c>
      <c r="F232" s="109"/>
      <c r="G232" s="109" t="s">
        <v>676</v>
      </c>
      <c r="H232" s="140">
        <v>1145823</v>
      </c>
      <c r="I232" s="140">
        <v>1033011</v>
      </c>
      <c r="J232" s="26">
        <f>IF(H232&lt;&gt;"",IF(AND(C232&lt;&gt;"",IFERROR(MATCH(C232,Table10[Serial No.],0),0)),0,1),0)</f>
        <v>0</v>
      </c>
      <c r="K232" s="21"/>
      <c r="L232" s="539" t="str">
        <f t="shared" ca="1" si="50"/>
        <v/>
      </c>
      <c r="R232" s="298"/>
      <c r="S232" s="354">
        <v>1257458</v>
      </c>
      <c r="T232" s="278" t="s">
        <v>637</v>
      </c>
      <c r="U232" s="278" t="s">
        <v>287</v>
      </c>
      <c r="V232" s="25">
        <v>7</v>
      </c>
      <c r="W232" s="284">
        <v>1291870</v>
      </c>
      <c r="X232" s="19" t="str">
        <f>IFERROR(INDEX(Table14[],MATCH($W232,Table14[SAPNo],0),3),"")</f>
        <v>1613 CT186 18-60</v>
      </c>
      <c r="Y232" s="284">
        <v>6</v>
      </c>
      <c r="Z232" s="25">
        <f t="shared" si="48"/>
        <v>4</v>
      </c>
      <c r="AA232" s="25">
        <f t="shared" si="51"/>
        <v>24</v>
      </c>
      <c r="AB232" s="23">
        <f ca="1">IFERROR(INDEX('Cutters Inventory 12-30-2025'!A:W,MATCH($W232,'Cutters Inventory 12-30-2025'!B:B,0),14),0)</f>
        <v>56</v>
      </c>
      <c r="AC232" s="23">
        <f>SUMIF(Table1[LEVEL 5 MAT NO.],S232,Table1[Braze Plan])</f>
        <v>0</v>
      </c>
      <c r="AD232" s="23">
        <f>Table4[[#This Row],[Quantity]]*Table4[[#This Row],[Bits Braze Plan]]</f>
        <v>0</v>
      </c>
      <c r="AE232" s="23">
        <f ca="1">Table4[[#This Row],[INV. QTY]]-Table4[[#This Row],[Required For Braze Cutters Check]]</f>
        <v>56</v>
      </c>
      <c r="AF232" s="23">
        <f t="shared" ca="1" si="49"/>
        <v>56</v>
      </c>
      <c r="AG232" s="23"/>
      <c r="AJ232" s="19">
        <f t="shared" ref="AJ232:AJ250" si="54">IFERROR(AS48,"")</f>
        <v>1130217</v>
      </c>
      <c r="AY232">
        <v>1251098</v>
      </c>
    </row>
    <row r="233" spans="1:51" ht="24.75" customHeight="1" x14ac:dyDescent="0.25">
      <c r="A233" s="109">
        <v>20230452</v>
      </c>
      <c r="B233" s="709"/>
      <c r="C233" s="109">
        <v>14127579</v>
      </c>
      <c r="D233" s="109" t="s">
        <v>316</v>
      </c>
      <c r="E233" s="109" t="s">
        <v>318</v>
      </c>
      <c r="F233" s="109"/>
      <c r="G233" s="109" t="s">
        <v>676</v>
      </c>
      <c r="H233" s="140">
        <v>1145823</v>
      </c>
      <c r="I233" s="140">
        <v>1033011</v>
      </c>
      <c r="J233" s="26">
        <f>IF(H233&lt;&gt;"",IF(AND(C233&lt;&gt;"",IFERROR(MATCH(C233,Table10[Serial No.],0),0)),0,1),0)</f>
        <v>0</v>
      </c>
      <c r="K233" s="21"/>
      <c r="L233" s="539" t="str">
        <f t="shared" ca="1" si="50"/>
        <v/>
      </c>
      <c r="S233" s="620">
        <v>1258557</v>
      </c>
      <c r="T233" s="278" t="s">
        <v>309</v>
      </c>
      <c r="U233" s="278" t="s">
        <v>679</v>
      </c>
      <c r="V233" s="25">
        <v>1</v>
      </c>
      <c r="W233" s="623">
        <v>1146346</v>
      </c>
      <c r="X233" s="618" t="str">
        <f>IFERROR(INDEX(Table14[],MATCH($W233,Table14[SAPNo],0),3),"")</f>
        <v>1313 CT418 18-60</v>
      </c>
      <c r="Y233" s="284">
        <v>16</v>
      </c>
      <c r="Z233" s="25">
        <f t="shared" si="48"/>
        <v>2</v>
      </c>
      <c r="AA233" s="25">
        <f t="shared" si="51"/>
        <v>32</v>
      </c>
      <c r="AB233" s="23">
        <f ca="1">IFERROR(INDEX('Cutters Inventory 12-30-2025'!A:W,MATCH($W233,'Cutters Inventory 12-30-2025'!B:B,0),14),0)</f>
        <v>558</v>
      </c>
      <c r="AC233" s="23">
        <f>SUMIF(Table1[LEVEL 5 MAT NO.],S233,Table1[Braze Plan])</f>
        <v>0</v>
      </c>
      <c r="AD233" s="23">
        <f>Table4[[#This Row],[Quantity]]*Table4[[#This Row],[Bits Braze Plan]]</f>
        <v>0</v>
      </c>
      <c r="AE233" s="23">
        <f ca="1">Table4[[#This Row],[INV. QTY]]-Table4[[#This Row],[Required For Braze Cutters Check]]</f>
        <v>558</v>
      </c>
      <c r="AF233" s="23">
        <f t="shared" ca="1" si="49"/>
        <v>558</v>
      </c>
      <c r="AG233" s="625" t="s">
        <v>693</v>
      </c>
      <c r="AJ233" s="19">
        <f t="shared" si="54"/>
        <v>1130219</v>
      </c>
      <c r="AY233">
        <v>1251627</v>
      </c>
    </row>
    <row r="234" spans="1:51" ht="24.75" customHeight="1" x14ac:dyDescent="0.25">
      <c r="A234" s="109">
        <v>20230452</v>
      </c>
      <c r="B234" s="709"/>
      <c r="C234" s="109">
        <v>14127580</v>
      </c>
      <c r="D234" s="109" t="s">
        <v>316</v>
      </c>
      <c r="E234" s="109" t="s">
        <v>318</v>
      </c>
      <c r="F234" s="109"/>
      <c r="G234" s="109" t="s">
        <v>676</v>
      </c>
      <c r="H234" s="140">
        <v>1145823</v>
      </c>
      <c r="I234" s="140">
        <v>1033011</v>
      </c>
      <c r="J234" s="26">
        <f>IF(H234&lt;&gt;"",IF(AND(C234&lt;&gt;"",IFERROR(MATCH(C234,Table10[Serial No.],0),0)),0,1),0)</f>
        <v>0</v>
      </c>
      <c r="K234" s="21"/>
      <c r="L234" s="539" t="str">
        <f t="shared" ca="1" si="50"/>
        <v/>
      </c>
      <c r="S234" s="620">
        <v>1258557</v>
      </c>
      <c r="T234" s="278" t="s">
        <v>309</v>
      </c>
      <c r="U234" s="278" t="s">
        <v>679</v>
      </c>
      <c r="V234" s="25">
        <v>2</v>
      </c>
      <c r="W234" s="284">
        <v>418525</v>
      </c>
      <c r="X234" s="19" t="str">
        <f>IFERROR(INDEX(Table14[],MATCH($W234,Table14[SAPNo],0),3),"")</f>
        <v>Drop In 1308 CT31   (B)</v>
      </c>
      <c r="Y234" s="284">
        <v>10</v>
      </c>
      <c r="Z234" s="25">
        <f t="shared" si="48"/>
        <v>2</v>
      </c>
      <c r="AA234" s="25">
        <f t="shared" si="51"/>
        <v>20</v>
      </c>
      <c r="AB234" s="23">
        <f ca="1">IFERROR(INDEX('Cutters Inventory 12-30-2025'!A:W,MATCH($W234,'Cutters Inventory 12-30-2025'!B:B,0),14),0)</f>
        <v>933</v>
      </c>
      <c r="AC234" s="23">
        <f>SUMIF(Table1[LEVEL 5 MAT NO.],S234,Table1[Braze Plan])</f>
        <v>0</v>
      </c>
      <c r="AD234" s="23">
        <f>Table4[[#This Row],[Quantity]]*Table4[[#This Row],[Bits Braze Plan]]</f>
        <v>0</v>
      </c>
      <c r="AE234" s="23">
        <f ca="1">Table4[[#This Row],[INV. QTY]]-Table4[[#This Row],[Required For Braze Cutters Check]]</f>
        <v>933</v>
      </c>
      <c r="AF234" s="23">
        <f t="shared" ca="1" si="49"/>
        <v>933</v>
      </c>
      <c r="AG234" s="23"/>
      <c r="AJ234" s="19">
        <f t="shared" si="54"/>
        <v>1134752</v>
      </c>
      <c r="AY234">
        <v>1252149</v>
      </c>
    </row>
    <row r="235" spans="1:51" ht="24.75" customHeight="1" x14ac:dyDescent="0.25">
      <c r="A235" s="109">
        <v>20230452</v>
      </c>
      <c r="B235" s="709"/>
      <c r="C235" s="109">
        <v>14127582</v>
      </c>
      <c r="D235" s="109" t="s">
        <v>316</v>
      </c>
      <c r="E235" s="109" t="s">
        <v>318</v>
      </c>
      <c r="F235" s="109"/>
      <c r="G235" s="109" t="s">
        <v>676</v>
      </c>
      <c r="H235" s="140">
        <v>1145823</v>
      </c>
      <c r="I235" s="140">
        <v>1033011</v>
      </c>
      <c r="J235" s="26">
        <f>IF(H235&lt;&gt;"",IF(AND(C235&lt;&gt;"",IFERROR(MATCH(C235,Table10[Serial No.],0),0)),0,1),0)</f>
        <v>0</v>
      </c>
      <c r="K235" s="21"/>
      <c r="L235" s="539" t="str">
        <f t="shared" ca="1" si="50"/>
        <v/>
      </c>
      <c r="S235" s="620">
        <v>1258557</v>
      </c>
      <c r="T235" s="278" t="s">
        <v>309</v>
      </c>
      <c r="U235" s="278" t="s">
        <v>679</v>
      </c>
      <c r="V235" s="25">
        <v>3</v>
      </c>
      <c r="W235" s="284">
        <v>2001155</v>
      </c>
      <c r="X235" s="618" t="str">
        <f>IFERROR(INDEX(Table14[],MATCH($W235,Table14[SAPNo],0),3),"")</f>
        <v>1313 CT179T U-60</v>
      </c>
      <c r="Y235" s="284">
        <v>7</v>
      </c>
      <c r="Z235" s="25">
        <f t="shared" si="48"/>
        <v>2</v>
      </c>
      <c r="AA235" s="25">
        <f t="shared" si="51"/>
        <v>14</v>
      </c>
      <c r="AB235" s="23">
        <f ca="1">IFERROR(INDEX('Cutters Inventory 12-30-2025'!A:W,MATCH($W235,'Cutters Inventory 12-30-2025'!B:B,0),14),0)</f>
        <v>45</v>
      </c>
      <c r="AC235" s="23">
        <f>SUMIF(Table1[LEVEL 5 MAT NO.],S235,Table1[Braze Plan])</f>
        <v>0</v>
      </c>
      <c r="AD235" s="23">
        <f>Table4[[#This Row],[Quantity]]*Table4[[#This Row],[Bits Braze Plan]]</f>
        <v>0</v>
      </c>
      <c r="AE235" s="23">
        <f ca="1">Table4[[#This Row],[INV. QTY]]-Table4[[#This Row],[Required For Braze Cutters Check]]</f>
        <v>45</v>
      </c>
      <c r="AF235" s="23">
        <f t="shared" ca="1" si="49"/>
        <v>45</v>
      </c>
      <c r="AG235" s="625" t="s">
        <v>694</v>
      </c>
      <c r="AJ235" s="19">
        <f t="shared" si="54"/>
        <v>1136984</v>
      </c>
      <c r="AY235">
        <v>1254482</v>
      </c>
    </row>
    <row r="236" spans="1:51" ht="24.75" customHeight="1" x14ac:dyDescent="0.25">
      <c r="A236" s="109">
        <v>20240003</v>
      </c>
      <c r="B236" s="608"/>
      <c r="C236" s="109">
        <v>14144616</v>
      </c>
      <c r="D236" s="109" t="s">
        <v>304</v>
      </c>
      <c r="E236" s="109" t="s">
        <v>666</v>
      </c>
      <c r="F236" s="109"/>
      <c r="G236" s="109" t="s">
        <v>681</v>
      </c>
      <c r="H236" s="140">
        <v>1270617</v>
      </c>
      <c r="I236" s="140">
        <v>1216970</v>
      </c>
      <c r="J236" s="26">
        <f>IF(H236&lt;&gt;"",IF(AND(C236&lt;&gt;"",IFERROR(MATCH(C236,Table10[Serial No.],0),0)),0,1),0)</f>
        <v>1</v>
      </c>
      <c r="K236" s="21"/>
      <c r="L236" s="539" t="str">
        <f t="shared" ca="1" si="50"/>
        <v/>
      </c>
      <c r="S236" s="354">
        <v>1263805</v>
      </c>
      <c r="T236" s="278" t="s">
        <v>624</v>
      </c>
      <c r="U236" s="278" t="s">
        <v>281</v>
      </c>
      <c r="V236" s="25">
        <v>1</v>
      </c>
      <c r="W236" s="613">
        <v>1296685</v>
      </c>
      <c r="X236" s="614" t="str">
        <f>IFERROR(INDEX(Table14[],MATCH($W236,Table14[SAPNo],0),3),"")</f>
        <v>1613 CT179R U</v>
      </c>
      <c r="Y236" s="284">
        <v>16</v>
      </c>
      <c r="Z236" s="25">
        <f t="shared" si="48"/>
        <v>2</v>
      </c>
      <c r="AA236" s="25">
        <f t="shared" si="51"/>
        <v>32</v>
      </c>
      <c r="AB236" s="23">
        <f ca="1">IFERROR(INDEX('Cutters Inventory 12-30-2025'!A:W,MATCH($W236,'Cutters Inventory 12-30-2025'!B:B,0),14),0)</f>
        <v>196</v>
      </c>
      <c r="AC236" s="23">
        <f>SUMIF(Table1[LEVEL 5 MAT NO.],S236,Table1[Braze Plan])</f>
        <v>0</v>
      </c>
      <c r="AD236" s="23">
        <f>Table4[[#This Row],[Quantity]]*Table4[[#This Row],[Bits Braze Plan]]</f>
        <v>0</v>
      </c>
      <c r="AE236" s="23">
        <f ca="1">Table4[[#This Row],[INV. QTY]]-Table4[[#This Row],[Required For Braze Cutters Check]]</f>
        <v>196</v>
      </c>
      <c r="AF236" s="23">
        <f t="shared" ca="1" si="49"/>
        <v>196</v>
      </c>
      <c r="AG236" s="625" t="s">
        <v>683</v>
      </c>
      <c r="AJ236" s="19">
        <f t="shared" si="54"/>
        <v>1142711</v>
      </c>
      <c r="AY236">
        <v>1254762</v>
      </c>
    </row>
    <row r="237" spans="1:51" ht="24.75" customHeight="1" x14ac:dyDescent="0.25">
      <c r="A237" s="109">
        <v>20240003</v>
      </c>
      <c r="B237" s="608"/>
      <c r="C237" s="109">
        <v>14144614</v>
      </c>
      <c r="D237" s="109" t="s">
        <v>304</v>
      </c>
      <c r="E237" s="109" t="s">
        <v>666</v>
      </c>
      <c r="F237" s="109"/>
      <c r="G237" s="109" t="s">
        <v>681</v>
      </c>
      <c r="H237" s="140">
        <v>1270617</v>
      </c>
      <c r="I237" s="140">
        <v>1216970</v>
      </c>
      <c r="J237" s="26">
        <f>IF(H237&lt;&gt;"",IF(AND(C237&lt;&gt;"",IFERROR(MATCH(C237,Table10[Serial No.],0),0)),0,1),0)</f>
        <v>1</v>
      </c>
      <c r="K237" s="21"/>
      <c r="L237" s="539" t="str">
        <f t="shared" ca="1" si="50"/>
        <v/>
      </c>
      <c r="S237" s="354">
        <v>1263805</v>
      </c>
      <c r="T237" s="278" t="s">
        <v>624</v>
      </c>
      <c r="U237" s="278" t="s">
        <v>281</v>
      </c>
      <c r="V237" s="25">
        <v>2</v>
      </c>
      <c r="W237" s="619">
        <v>1288783</v>
      </c>
      <c r="X237" s="618" t="str">
        <f>IFERROR(INDEX(Table14[],MATCH($W237,Table14[SAPNo],0),3),"")</f>
        <v>1613 CT179 18-60</v>
      </c>
      <c r="Y237" s="284">
        <v>6</v>
      </c>
      <c r="Z237" s="25">
        <f t="shared" si="48"/>
        <v>2</v>
      </c>
      <c r="AA237" s="25">
        <f t="shared" si="51"/>
        <v>12</v>
      </c>
      <c r="AB237" s="23">
        <f ca="1">IFERROR(INDEX('Cutters Inventory 12-30-2025'!A:W,MATCH($W237,'Cutters Inventory 12-30-2025'!B:B,0),14),0)</f>
        <v>813</v>
      </c>
      <c r="AC237" s="23">
        <f>SUMIF(Table1[LEVEL 5 MAT NO.],S237,Table1[Braze Plan])</f>
        <v>0</v>
      </c>
      <c r="AD237" s="23">
        <f>Table4[[#This Row],[Quantity]]*Table4[[#This Row],[Bits Braze Plan]]</f>
        <v>0</v>
      </c>
      <c r="AE237" s="23">
        <f ca="1">Table4[[#This Row],[INV. QTY]]-Table4[[#This Row],[Required For Braze Cutters Check]]</f>
        <v>813</v>
      </c>
      <c r="AF237" s="23">
        <f t="shared" ca="1" si="49"/>
        <v>813</v>
      </c>
      <c r="AG237" s="625" t="s">
        <v>661</v>
      </c>
      <c r="AJ237" s="19">
        <f t="shared" si="54"/>
        <v>1145491</v>
      </c>
      <c r="AY237">
        <v>1257458</v>
      </c>
    </row>
    <row r="238" spans="1:51" ht="24.75" customHeight="1" x14ac:dyDescent="0.25">
      <c r="A238" s="109">
        <v>20240003</v>
      </c>
      <c r="B238" s="608"/>
      <c r="C238" s="109">
        <v>14144615</v>
      </c>
      <c r="D238" s="109" t="s">
        <v>304</v>
      </c>
      <c r="E238" s="109" t="s">
        <v>666</v>
      </c>
      <c r="F238" s="109"/>
      <c r="G238" s="109" t="s">
        <v>681</v>
      </c>
      <c r="H238" s="140">
        <v>1270617</v>
      </c>
      <c r="I238" s="140">
        <v>1216970</v>
      </c>
      <c r="J238" s="26">
        <f>IF(H238&lt;&gt;"",IF(AND(C238&lt;&gt;"",IFERROR(MATCH(C238,Table10[Serial No.],0),0)),0,1),0)</f>
        <v>1</v>
      </c>
      <c r="K238" s="21"/>
      <c r="L238" s="539" t="str">
        <f t="shared" ca="1" si="50"/>
        <v/>
      </c>
      <c r="R238" s="298"/>
      <c r="S238" s="354">
        <v>1263805</v>
      </c>
      <c r="T238" s="278" t="s">
        <v>624</v>
      </c>
      <c r="U238" s="278" t="s">
        <v>281</v>
      </c>
      <c r="V238" s="25">
        <v>3</v>
      </c>
      <c r="W238" s="284">
        <v>1142711</v>
      </c>
      <c r="X238" s="19" t="str">
        <f>IFERROR(INDEX(Table14[],MATCH($W238,Table14[SAPNo],0),3),"")</f>
        <v>1613 CT421 U</v>
      </c>
      <c r="Y238" s="284">
        <v>10</v>
      </c>
      <c r="Z238" s="25">
        <f t="shared" si="48"/>
        <v>2</v>
      </c>
      <c r="AA238" s="25">
        <f t="shared" si="51"/>
        <v>20</v>
      </c>
      <c r="AB238" s="23">
        <f ca="1">IFERROR(INDEX('Cutters Inventory 12-30-2025'!A:W,MATCH($W238,'Cutters Inventory 12-30-2025'!B:B,0),14),0)</f>
        <v>0</v>
      </c>
      <c r="AC238" s="23">
        <f>SUMIF(Table1[LEVEL 5 MAT NO.],S238,Table1[Braze Plan])</f>
        <v>0</v>
      </c>
      <c r="AD238" s="23">
        <f>Table4[[#This Row],[Quantity]]*Table4[[#This Row],[Bits Braze Plan]]</f>
        <v>0</v>
      </c>
      <c r="AE238" s="23">
        <f ca="1">Table4[[#This Row],[INV. QTY]]-Table4[[#This Row],[Required For Braze Cutters Check]]</f>
        <v>0</v>
      </c>
      <c r="AF238" s="23">
        <f t="shared" ca="1" si="49"/>
        <v>0</v>
      </c>
      <c r="AG238" s="23"/>
      <c r="AJ238" s="19">
        <f t="shared" si="54"/>
        <v>1146346</v>
      </c>
      <c r="AY238">
        <v>1258557</v>
      </c>
    </row>
    <row r="239" spans="1:51" ht="24.75" customHeight="1" x14ac:dyDescent="0.25">
      <c r="A239" s="109">
        <v>20240003</v>
      </c>
      <c r="B239" s="709"/>
      <c r="C239" s="109">
        <v>14109670</v>
      </c>
      <c r="D239" s="109" t="s">
        <v>304</v>
      </c>
      <c r="E239" s="109" t="s">
        <v>666</v>
      </c>
      <c r="F239" s="109"/>
      <c r="G239" s="109" t="s">
        <v>681</v>
      </c>
      <c r="H239" s="140">
        <v>1270617</v>
      </c>
      <c r="I239" s="140">
        <v>1216970</v>
      </c>
      <c r="J239" s="26">
        <f>IF(H239&lt;&gt;"",IF(AND(C239&lt;&gt;"",IFERROR(MATCH(C239,Table10[Serial No.],0),0)),0,1),0)</f>
        <v>1</v>
      </c>
      <c r="K239" s="21"/>
      <c r="L239" s="539" t="str">
        <f t="shared" ca="1" si="50"/>
        <v/>
      </c>
      <c r="S239" s="354">
        <v>1263805</v>
      </c>
      <c r="T239" s="278" t="s">
        <v>624</v>
      </c>
      <c r="U239" s="278" t="s">
        <v>281</v>
      </c>
      <c r="V239" s="25">
        <v>4</v>
      </c>
      <c r="W239" s="284">
        <v>1208601</v>
      </c>
      <c r="X239" s="19" t="str">
        <f>IFERROR(INDEX(Table14[],MATCH($W239,Table14[SAPNo],0),3),"")</f>
        <v>1613 CT418 U-60</v>
      </c>
      <c r="Y239" s="284">
        <v>7</v>
      </c>
      <c r="Z239" s="25">
        <f t="shared" si="48"/>
        <v>2</v>
      </c>
      <c r="AA239" s="25">
        <f t="shared" si="51"/>
        <v>14</v>
      </c>
      <c r="AB239" s="23">
        <f ca="1">IFERROR(INDEX('Cutters Inventory 12-30-2025'!A:W,MATCH($W239,'Cutters Inventory 12-30-2025'!B:B,0),14),0)</f>
        <v>230</v>
      </c>
      <c r="AC239" s="23">
        <f>SUMIF(Table1[LEVEL 5 MAT NO.],S239,Table1[Braze Plan])</f>
        <v>0</v>
      </c>
      <c r="AD239" s="23">
        <f>Table4[[#This Row],[Quantity]]*Table4[[#This Row],[Bits Braze Plan]]</f>
        <v>0</v>
      </c>
      <c r="AE239" s="23">
        <f ca="1">Table4[[#This Row],[INV. QTY]]-Table4[[#This Row],[Required For Braze Cutters Check]]</f>
        <v>230</v>
      </c>
      <c r="AF239" s="23">
        <f t="shared" ca="1" si="49"/>
        <v>230</v>
      </c>
      <c r="AG239" s="23"/>
      <c r="AJ239" s="19">
        <f t="shared" si="54"/>
        <v>1146737</v>
      </c>
      <c r="AY239">
        <v>1263805</v>
      </c>
    </row>
    <row r="240" spans="1:51" ht="24.75" customHeight="1" x14ac:dyDescent="0.25">
      <c r="A240" s="109">
        <v>20240003</v>
      </c>
      <c r="B240" s="709"/>
      <c r="C240" s="109">
        <v>14175864</v>
      </c>
      <c r="D240" s="109" t="s">
        <v>304</v>
      </c>
      <c r="E240" s="109" t="s">
        <v>666</v>
      </c>
      <c r="F240" s="109"/>
      <c r="G240" s="109" t="s">
        <v>681</v>
      </c>
      <c r="H240" s="140">
        <v>1270617</v>
      </c>
      <c r="I240" s="140">
        <v>1216970</v>
      </c>
      <c r="J240" s="26">
        <f>IF(H240&lt;&gt;"",IF(AND(C240&lt;&gt;"",IFERROR(MATCH(C240,Table10[Serial No.],0),0)),0,1),0)</f>
        <v>1</v>
      </c>
      <c r="K240" s="21"/>
      <c r="L240" s="539" t="str">
        <f t="shared" ca="1" si="50"/>
        <v/>
      </c>
      <c r="S240" s="354">
        <v>1263805</v>
      </c>
      <c r="T240" s="278" t="s">
        <v>624</v>
      </c>
      <c r="U240" s="278" t="s">
        <v>281</v>
      </c>
      <c r="V240" s="25">
        <v>5</v>
      </c>
      <c r="W240" s="284">
        <v>871781</v>
      </c>
      <c r="X240" s="19" t="str">
        <f>IFERROR(INDEX(Table14[],MATCH($W240,Table14[SAPNo],0),3),"")</f>
        <v>Round 1313 CT200  0.018" (B)</v>
      </c>
      <c r="Y240" s="284">
        <v>5</v>
      </c>
      <c r="Z240" s="25">
        <f t="shared" si="48"/>
        <v>2</v>
      </c>
      <c r="AA240" s="25">
        <f t="shared" si="51"/>
        <v>10</v>
      </c>
      <c r="AB240" s="23">
        <f ca="1">IFERROR(INDEX('Cutters Inventory 12-30-2025'!A:W,MATCH($W240,'Cutters Inventory 12-30-2025'!B:B,0),14),0)</f>
        <v>843</v>
      </c>
      <c r="AC240" s="23">
        <f>SUMIF(Table1[LEVEL 5 MAT NO.],S240,Table1[Braze Plan])</f>
        <v>0</v>
      </c>
      <c r="AD240" s="23">
        <f>Table4[[#This Row],[Quantity]]*Table4[[#This Row],[Bits Braze Plan]]</f>
        <v>0</v>
      </c>
      <c r="AE240" s="23">
        <f ca="1">Table4[[#This Row],[INV. QTY]]-Table4[[#This Row],[Required For Braze Cutters Check]]</f>
        <v>843</v>
      </c>
      <c r="AF240" s="23">
        <f t="shared" ca="1" si="49"/>
        <v>843</v>
      </c>
      <c r="AG240" s="23"/>
      <c r="AJ240" s="19">
        <f t="shared" si="54"/>
        <v>1146738</v>
      </c>
      <c r="AY240">
        <v>1266749</v>
      </c>
    </row>
    <row r="241" spans="1:51" ht="24.75" customHeight="1" x14ac:dyDescent="0.25">
      <c r="A241" s="109">
        <v>20240003</v>
      </c>
      <c r="B241" s="709"/>
      <c r="C241" s="109">
        <v>14127563</v>
      </c>
      <c r="D241" s="109" t="s">
        <v>624</v>
      </c>
      <c r="E241" s="109" t="s">
        <v>275</v>
      </c>
      <c r="F241" s="109"/>
      <c r="G241" s="109" t="s">
        <v>681</v>
      </c>
      <c r="H241" s="140">
        <v>1158011</v>
      </c>
      <c r="I241" s="140">
        <v>1267829</v>
      </c>
      <c r="J241" s="26">
        <f>IF(H241&lt;&gt;"",IF(AND(C241&lt;&gt;"",IFERROR(MATCH(C241,Table10[Serial No.],0),0)),0,1),0)</f>
        <v>0</v>
      </c>
      <c r="K241" s="21"/>
      <c r="L241" s="539" t="str">
        <f t="shared" ca="1" si="50"/>
        <v/>
      </c>
      <c r="S241" s="354">
        <v>1263805</v>
      </c>
      <c r="T241" s="278" t="s">
        <v>624</v>
      </c>
      <c r="U241" s="278" t="s">
        <v>281</v>
      </c>
      <c r="V241" s="25">
        <v>6</v>
      </c>
      <c r="W241" s="284">
        <v>1200972</v>
      </c>
      <c r="X241" s="19" t="str">
        <f>IFERROR(INDEX(Table14[],MATCH($W241,Table14[SAPNo],0),3),"")</f>
        <v xml:space="preserve">8MM WC-MAT400 </v>
      </c>
      <c r="Y241" s="284">
        <v>5</v>
      </c>
      <c r="Z241" s="25">
        <f t="shared" si="48"/>
        <v>2</v>
      </c>
      <c r="AA241" s="25">
        <f t="shared" si="51"/>
        <v>10</v>
      </c>
      <c r="AB241" s="23">
        <f ca="1">IFERROR(INDEX('Cutters Inventory 12-30-2025'!A:W,MATCH($W241,'Cutters Inventory 12-30-2025'!B:B,0),14),0)</f>
        <v>6</v>
      </c>
      <c r="AC241" s="23">
        <f>SUMIF(Table1[LEVEL 5 MAT NO.],S241,Table1[Braze Plan])</f>
        <v>0</v>
      </c>
      <c r="AD241" s="23">
        <f>Table4[[#This Row],[Quantity]]*Table4[[#This Row],[Bits Braze Plan]]</f>
        <v>0</v>
      </c>
      <c r="AE241" s="23">
        <f ca="1">Table4[[#This Row],[INV. QTY]]-Table4[[#This Row],[Required For Braze Cutters Check]]</f>
        <v>6</v>
      </c>
      <c r="AF241" s="23">
        <f t="shared" ca="1" si="49"/>
        <v>6</v>
      </c>
      <c r="AG241" s="23"/>
      <c r="AJ241" s="19">
        <f t="shared" si="54"/>
        <v>1146742</v>
      </c>
      <c r="AY241">
        <v>1267829</v>
      </c>
    </row>
    <row r="242" spans="1:51" ht="24.75" customHeight="1" x14ac:dyDescent="0.25">
      <c r="A242" s="109">
        <v>20240003</v>
      </c>
      <c r="B242" s="709"/>
      <c r="C242" s="109">
        <v>14137158</v>
      </c>
      <c r="D242" s="109" t="s">
        <v>624</v>
      </c>
      <c r="E242" s="109" t="s">
        <v>275</v>
      </c>
      <c r="F242" s="109"/>
      <c r="G242" s="109" t="s">
        <v>681</v>
      </c>
      <c r="H242" s="140">
        <v>1158011</v>
      </c>
      <c r="I242" s="140">
        <v>1267829</v>
      </c>
      <c r="J242" s="26">
        <f>IF(H242&lt;&gt;"",IF(AND(C242&lt;&gt;"",IFERROR(MATCH(C242,Table10[Serial No.],0),0)),0,1),0)</f>
        <v>0</v>
      </c>
      <c r="K242" s="21"/>
      <c r="L242" s="539" t="str">
        <f t="shared" ca="1" si="50"/>
        <v/>
      </c>
      <c r="S242" s="354">
        <v>1263805</v>
      </c>
      <c r="T242" s="278" t="s">
        <v>624</v>
      </c>
      <c r="U242" s="278" t="s">
        <v>281</v>
      </c>
      <c r="V242" s="25">
        <v>7</v>
      </c>
      <c r="W242" s="284">
        <v>1234189</v>
      </c>
      <c r="X242" s="19" t="str">
        <f>IFERROR(INDEX(Table14[],MATCH($W242,Table14[SAPNo],0),3),"")</f>
        <v xml:space="preserve">13MM WC-MAT400 </v>
      </c>
      <c r="Y242" s="284">
        <v>3</v>
      </c>
      <c r="Z242" s="25">
        <f t="shared" si="48"/>
        <v>2</v>
      </c>
      <c r="AA242" s="25">
        <f t="shared" si="51"/>
        <v>6</v>
      </c>
      <c r="AB242" s="23">
        <f ca="1">IFERROR(INDEX('Cutters Inventory 12-30-2025'!A:W,MATCH($W242,'Cutters Inventory 12-30-2025'!B:B,0),14),0)</f>
        <v>0</v>
      </c>
      <c r="AC242" s="23">
        <f>SUMIF(Table1[LEVEL 5 MAT NO.],S242,Table1[Braze Plan])</f>
        <v>0</v>
      </c>
      <c r="AD242" s="23">
        <f>Table4[[#This Row],[Quantity]]*Table4[[#This Row],[Bits Braze Plan]]</f>
        <v>0</v>
      </c>
      <c r="AE242" s="23">
        <f ca="1">Table4[[#This Row],[INV. QTY]]-Table4[[#This Row],[Required For Braze Cutters Check]]</f>
        <v>0</v>
      </c>
      <c r="AF242" s="23">
        <f t="shared" ca="1" si="49"/>
        <v>0</v>
      </c>
      <c r="AG242" s="23"/>
      <c r="AJ242" s="19">
        <f t="shared" si="54"/>
        <v>1152018</v>
      </c>
      <c r="AY242">
        <v>1268728</v>
      </c>
    </row>
    <row r="243" spans="1:51" ht="24.75" customHeight="1" x14ac:dyDescent="0.25">
      <c r="A243" s="109">
        <v>20240003</v>
      </c>
      <c r="B243" s="709"/>
      <c r="C243" s="109">
        <v>14137153</v>
      </c>
      <c r="D243" s="109" t="s">
        <v>624</v>
      </c>
      <c r="E243" s="109" t="s">
        <v>275</v>
      </c>
      <c r="F243" s="109"/>
      <c r="G243" s="109" t="s">
        <v>681</v>
      </c>
      <c r="H243" s="140">
        <v>1158011</v>
      </c>
      <c r="I243" s="140">
        <v>1267829</v>
      </c>
      <c r="J243" s="26">
        <f>IF(H243&lt;&gt;"",IF(AND(C243&lt;&gt;"",IFERROR(MATCH(C243,Table10[Serial No.],0),0)),0,1),0)</f>
        <v>0</v>
      </c>
      <c r="K243" s="21"/>
      <c r="L243" s="539" t="str">
        <f t="shared" ca="1" si="50"/>
        <v/>
      </c>
      <c r="S243" s="281">
        <v>2021073</v>
      </c>
      <c r="T243" s="278" t="s">
        <v>316</v>
      </c>
      <c r="U243" s="278" t="s">
        <v>695</v>
      </c>
      <c r="V243" s="25">
        <v>2</v>
      </c>
      <c r="W243" s="284">
        <v>1146737</v>
      </c>
      <c r="X243" s="19" t="str">
        <f>IFERROR(INDEX(Table14[],MATCH($W243,Table14[SAPNo],0),3),"")</f>
        <v>1613 CT418 18-60</v>
      </c>
      <c r="Y243" s="284">
        <v>47</v>
      </c>
      <c r="Z243" s="25">
        <f t="shared" si="48"/>
        <v>1</v>
      </c>
      <c r="AA243" s="25">
        <f t="shared" si="51"/>
        <v>47</v>
      </c>
      <c r="AB243" s="23">
        <f ca="1">IFERROR(INDEX('Cutters Inventory 12-30-2025'!A:W,MATCH($W243,'Cutters Inventory 12-30-2025'!B:B,0),14),0)</f>
        <v>1281</v>
      </c>
      <c r="AC243" s="23">
        <f>SUMIF(Table1[LEVEL 5 MAT NO.],S243,Table1[Braze Plan])</f>
        <v>0</v>
      </c>
      <c r="AD243" s="23">
        <f>Table4[[#This Row],[Quantity]]*Table4[[#This Row],[Bits Braze Plan]]</f>
        <v>0</v>
      </c>
      <c r="AE243" s="23">
        <f ca="1">Table4[[#This Row],[INV. QTY]]-Table4[[#This Row],[Required For Braze Cutters Check]]</f>
        <v>1281</v>
      </c>
      <c r="AF243" s="23">
        <f t="shared" ca="1" si="49"/>
        <v>1281</v>
      </c>
      <c r="AG243" s="626"/>
      <c r="AJ243" s="19">
        <f t="shared" si="54"/>
        <v>1161587</v>
      </c>
      <c r="AY243">
        <v>1269308</v>
      </c>
    </row>
    <row r="244" spans="1:51" ht="24.75" customHeight="1" x14ac:dyDescent="0.25">
      <c r="A244" s="109">
        <v>20240003</v>
      </c>
      <c r="B244" s="709"/>
      <c r="C244" s="109">
        <v>14137157</v>
      </c>
      <c r="D244" s="109" t="s">
        <v>624</v>
      </c>
      <c r="E244" s="109" t="s">
        <v>275</v>
      </c>
      <c r="F244" s="109"/>
      <c r="G244" s="109" t="s">
        <v>681</v>
      </c>
      <c r="H244" s="140">
        <v>1158011</v>
      </c>
      <c r="I244" s="140">
        <v>1267829</v>
      </c>
      <c r="J244" s="26">
        <f>IF(H244&lt;&gt;"",IF(AND(C244&lt;&gt;"",IFERROR(MATCH(C244,Table10[Serial No.],0),0)),0,1),0)</f>
        <v>0</v>
      </c>
      <c r="K244" s="21"/>
      <c r="L244" s="539" t="str">
        <f t="shared" ca="1" si="50"/>
        <v/>
      </c>
      <c r="S244" s="354">
        <v>1267829</v>
      </c>
      <c r="T244" s="278" t="s">
        <v>624</v>
      </c>
      <c r="U244" s="278" t="s">
        <v>274</v>
      </c>
      <c r="V244" s="25">
        <v>1</v>
      </c>
      <c r="W244" s="619">
        <v>1288783</v>
      </c>
      <c r="X244" s="618" t="str">
        <f>IFERROR(INDEX(Table14[],MATCH($W244,Table14[SAPNo],0),3),"")</f>
        <v>1613 CT179 18-60</v>
      </c>
      <c r="Y244" s="284">
        <v>17</v>
      </c>
      <c r="Z244" s="25">
        <f t="shared" si="48"/>
        <v>5</v>
      </c>
      <c r="AA244" s="25">
        <f t="shared" si="51"/>
        <v>85</v>
      </c>
      <c r="AB244" s="23">
        <f ca="1">IFERROR(INDEX('Cutters Inventory 12-30-2025'!A:W,MATCH($W244,'Cutters Inventory 12-30-2025'!B:B,0),14),0)</f>
        <v>813</v>
      </c>
      <c r="AC244" s="23">
        <f>SUMIF(Table1[LEVEL 5 MAT NO.],S244,Table1[Braze Plan])</f>
        <v>0</v>
      </c>
      <c r="AD244" s="23">
        <f>Table4[[#This Row],[Quantity]]*Table4[[#This Row],[Bits Braze Plan]]</f>
        <v>0</v>
      </c>
      <c r="AE244" s="23">
        <f ca="1">Table4[[#This Row],[INV. QTY]]-Table4[[#This Row],[Required For Braze Cutters Check]]</f>
        <v>813</v>
      </c>
      <c r="AF244" s="23">
        <f t="shared" ca="1" si="49"/>
        <v>813</v>
      </c>
      <c r="AG244" s="625" t="s">
        <v>661</v>
      </c>
      <c r="AJ244" s="19">
        <f t="shared" si="54"/>
        <v>1177229</v>
      </c>
      <c r="AY244">
        <v>1272498</v>
      </c>
    </row>
    <row r="245" spans="1:51" ht="24.75" customHeight="1" x14ac:dyDescent="0.25">
      <c r="A245" s="109">
        <v>20240003</v>
      </c>
      <c r="B245" s="709"/>
      <c r="C245" s="109">
        <v>14137155</v>
      </c>
      <c r="D245" s="109" t="s">
        <v>624</v>
      </c>
      <c r="E245" s="109" t="s">
        <v>275</v>
      </c>
      <c r="F245" s="109"/>
      <c r="G245" s="109" t="s">
        <v>681</v>
      </c>
      <c r="H245" s="140">
        <v>1158011</v>
      </c>
      <c r="I245" s="140">
        <v>1267829</v>
      </c>
      <c r="J245" s="26">
        <f>IF(H245&lt;&gt;"",IF(AND(C245&lt;&gt;"",IFERROR(MATCH(C245,Table10[Serial No.],0),0)),0,1),0)</f>
        <v>0</v>
      </c>
      <c r="K245" s="21"/>
      <c r="L245" s="539" t="str">
        <f t="shared" ca="1" si="50"/>
        <v/>
      </c>
      <c r="N245" s="28"/>
      <c r="S245" s="354">
        <v>1267829</v>
      </c>
      <c r="T245" s="278" t="s">
        <v>624</v>
      </c>
      <c r="U245" s="278" t="s">
        <v>274</v>
      </c>
      <c r="V245" s="25">
        <v>2</v>
      </c>
      <c r="W245" s="284">
        <v>1078377</v>
      </c>
      <c r="X245" s="19" t="str">
        <f>IFERROR(INDEX(Table14[],MATCH($W245,Table14[SAPNo],0),3),"")</f>
        <v>13MM CT221 R1</v>
      </c>
      <c r="Y245" s="284">
        <v>15</v>
      </c>
      <c r="Z245" s="25">
        <f t="shared" si="48"/>
        <v>5</v>
      </c>
      <c r="AA245" s="25">
        <f t="shared" si="51"/>
        <v>75</v>
      </c>
      <c r="AB245" s="23">
        <f ca="1">IFERROR(INDEX('Cutters Inventory 12-30-2025'!A:W,MATCH($W245,'Cutters Inventory 12-30-2025'!B:B,0),14),0)</f>
        <v>439</v>
      </c>
      <c r="AC245" s="23">
        <f>SUMIF(Table1[LEVEL 5 MAT NO.],S245,Table1[Braze Plan])</f>
        <v>0</v>
      </c>
      <c r="AD245" s="23">
        <f>Table4[[#This Row],[Quantity]]*Table4[[#This Row],[Bits Braze Plan]]</f>
        <v>0</v>
      </c>
      <c r="AE245" s="23">
        <f ca="1">Table4[[#This Row],[INV. QTY]]-Table4[[#This Row],[Required For Braze Cutters Check]]</f>
        <v>439</v>
      </c>
      <c r="AF245" s="23">
        <f t="shared" ca="1" si="49"/>
        <v>439</v>
      </c>
      <c r="AG245" s="23"/>
      <c r="AJ245" s="19">
        <f t="shared" si="54"/>
        <v>1180935</v>
      </c>
      <c r="AY245">
        <v>1276939</v>
      </c>
    </row>
    <row r="246" spans="1:51" ht="24.75" customHeight="1" x14ac:dyDescent="0.25">
      <c r="A246" s="109">
        <v>20240003</v>
      </c>
      <c r="B246" s="709"/>
      <c r="C246" s="109">
        <v>14137156</v>
      </c>
      <c r="D246" s="109" t="s">
        <v>624</v>
      </c>
      <c r="E246" s="109" t="s">
        <v>275</v>
      </c>
      <c r="F246" s="109"/>
      <c r="G246" s="109" t="s">
        <v>681</v>
      </c>
      <c r="H246" s="140">
        <v>1158011</v>
      </c>
      <c r="I246" s="140">
        <v>1267829</v>
      </c>
      <c r="J246" s="26">
        <f>IF(H246&lt;&gt;"",IF(AND(C246&lt;&gt;"",IFERROR(MATCH(C246,Table10[Serial No.],0),0)),0,1),0)</f>
        <v>0</v>
      </c>
      <c r="K246" s="21"/>
      <c r="L246" s="539" t="str">
        <f t="shared" ca="1" si="50"/>
        <v/>
      </c>
      <c r="N246" s="28"/>
      <c r="S246" s="354">
        <v>1267829</v>
      </c>
      <c r="T246" s="278" t="s">
        <v>624</v>
      </c>
      <c r="U246" s="278" t="s">
        <v>274</v>
      </c>
      <c r="V246" s="25">
        <v>3</v>
      </c>
      <c r="W246" s="284">
        <v>1208601</v>
      </c>
      <c r="X246" s="19" t="str">
        <f>IFERROR(INDEX(Table14[],MATCH($W246,Table14[SAPNo],0),3),"")</f>
        <v>1613 CT418 U-60</v>
      </c>
      <c r="Y246" s="284">
        <v>8</v>
      </c>
      <c r="Z246" s="25">
        <f t="shared" si="48"/>
        <v>5</v>
      </c>
      <c r="AA246" s="25">
        <f t="shared" si="51"/>
        <v>40</v>
      </c>
      <c r="AB246" s="23">
        <f ca="1">IFERROR(INDEX('Cutters Inventory 12-30-2025'!A:W,MATCH($W246,'Cutters Inventory 12-30-2025'!B:B,0),14),0)</f>
        <v>230</v>
      </c>
      <c r="AC246" s="23">
        <f>SUMIF(Table1[LEVEL 5 MAT NO.],S246,Table1[Braze Plan])</f>
        <v>0</v>
      </c>
      <c r="AD246" s="23">
        <f>Table4[[#This Row],[Quantity]]*Table4[[#This Row],[Bits Braze Plan]]</f>
        <v>0</v>
      </c>
      <c r="AE246" s="23">
        <f ca="1">Table4[[#This Row],[INV. QTY]]-Table4[[#This Row],[Required For Braze Cutters Check]]</f>
        <v>230</v>
      </c>
      <c r="AF246" s="23">
        <f t="shared" ca="1" si="49"/>
        <v>230</v>
      </c>
      <c r="AG246" s="23"/>
      <c r="AJ246" s="19">
        <f t="shared" si="54"/>
        <v>1181761</v>
      </c>
      <c r="AY246">
        <v>1283277</v>
      </c>
    </row>
    <row r="247" spans="1:51" ht="24.75" customHeight="1" x14ac:dyDescent="0.25">
      <c r="A247" s="109">
        <v>20240003</v>
      </c>
      <c r="B247" s="709"/>
      <c r="C247" s="109">
        <v>14137152</v>
      </c>
      <c r="D247" s="109" t="s">
        <v>624</v>
      </c>
      <c r="E247" s="109" t="s">
        <v>275</v>
      </c>
      <c r="F247" s="109"/>
      <c r="G247" s="109" t="s">
        <v>681</v>
      </c>
      <c r="H247" s="140">
        <v>1158011</v>
      </c>
      <c r="I247" s="140">
        <v>1267829</v>
      </c>
      <c r="J247" s="26">
        <f>IF(H247&lt;&gt;"",IF(AND(C247&lt;&gt;"",IFERROR(MATCH(C247,Table10[Serial No.],0),0)),0,1),0)</f>
        <v>0</v>
      </c>
      <c r="K247" s="21"/>
      <c r="L247" s="539" t="str">
        <f t="shared" ca="1" si="50"/>
        <v/>
      </c>
      <c r="N247" s="28"/>
      <c r="R247" s="297"/>
      <c r="S247" s="354">
        <v>1267829</v>
      </c>
      <c r="T247" s="278" t="s">
        <v>624</v>
      </c>
      <c r="U247" s="278" t="s">
        <v>274</v>
      </c>
      <c r="V247" s="25">
        <v>4</v>
      </c>
      <c r="W247" s="284">
        <v>418525</v>
      </c>
      <c r="X247" s="19" t="str">
        <f>IFERROR(INDEX(Table14[],MATCH($W247,Table14[SAPNo],0),3),"")</f>
        <v>Drop In 1308 CT31   (B)</v>
      </c>
      <c r="Y247" s="284">
        <v>6</v>
      </c>
      <c r="Z247" s="25">
        <f t="shared" si="48"/>
        <v>5</v>
      </c>
      <c r="AA247" s="25">
        <f t="shared" si="51"/>
        <v>30</v>
      </c>
      <c r="AB247" s="23">
        <f ca="1">IFERROR(INDEX('Cutters Inventory 12-30-2025'!A:W,MATCH($W247,'Cutters Inventory 12-30-2025'!B:B,0),14),0)</f>
        <v>933</v>
      </c>
      <c r="AC247" s="23">
        <f>SUMIF(Table1[LEVEL 5 MAT NO.],S247,Table1[Braze Plan])</f>
        <v>0</v>
      </c>
      <c r="AD247" s="23">
        <f>Table4[[#This Row],[Quantity]]*Table4[[#This Row],[Bits Braze Plan]]</f>
        <v>0</v>
      </c>
      <c r="AE247" s="23">
        <f ca="1">Table4[[#This Row],[INV. QTY]]-Table4[[#This Row],[Required For Braze Cutters Check]]</f>
        <v>933</v>
      </c>
      <c r="AF247" s="23">
        <f t="shared" ca="1" si="49"/>
        <v>933</v>
      </c>
      <c r="AG247" s="23"/>
      <c r="AJ247" s="19">
        <f t="shared" si="54"/>
        <v>1186963</v>
      </c>
      <c r="AY247">
        <v>1283482</v>
      </c>
    </row>
    <row r="248" spans="1:51" ht="24.75" customHeight="1" x14ac:dyDescent="0.25">
      <c r="A248" s="109">
        <v>20240003</v>
      </c>
      <c r="B248" s="709"/>
      <c r="C248" s="109">
        <v>14136237</v>
      </c>
      <c r="D248" s="109" t="s">
        <v>315</v>
      </c>
      <c r="E248" s="109" t="s">
        <v>286</v>
      </c>
      <c r="F248" s="109"/>
      <c r="G248" s="109" t="s">
        <v>676</v>
      </c>
      <c r="H248" s="140">
        <v>1245350</v>
      </c>
      <c r="I248" s="140">
        <v>1269308</v>
      </c>
      <c r="J248" s="26">
        <f>IF(H248&lt;&gt;"",IF(AND(C248&lt;&gt;"",IFERROR(MATCH(C248,Table10[Serial No.],0),0)),0,1),0)</f>
        <v>0</v>
      </c>
      <c r="K248" s="21"/>
      <c r="L248" s="539" t="str">
        <f t="shared" ca="1" si="50"/>
        <v/>
      </c>
      <c r="N248" s="28"/>
      <c r="S248" s="354">
        <v>1257458</v>
      </c>
      <c r="T248" s="278" t="s">
        <v>637</v>
      </c>
      <c r="U248" s="278" t="s">
        <v>287</v>
      </c>
      <c r="V248" s="25">
        <v>4</v>
      </c>
      <c r="W248" s="284">
        <v>1146737</v>
      </c>
      <c r="X248" s="19" t="str">
        <f>IFERROR(INDEX(Table14[],MATCH($W248,Table14[SAPNo],0),3),"")</f>
        <v>1613 CT418 18-60</v>
      </c>
      <c r="Y248" s="284">
        <v>8</v>
      </c>
      <c r="Z248" s="25">
        <f t="shared" si="48"/>
        <v>4</v>
      </c>
      <c r="AA248" s="25">
        <f t="shared" si="51"/>
        <v>32</v>
      </c>
      <c r="AB248" s="23">
        <f ca="1">IFERROR(INDEX('Cutters Inventory 12-30-2025'!A:W,MATCH($W248,'Cutters Inventory 12-30-2025'!B:B,0),14),0)</f>
        <v>1281</v>
      </c>
      <c r="AC248" s="23">
        <f>SUMIF(Table1[LEVEL 5 MAT NO.],S248,Table1[Braze Plan])</f>
        <v>0</v>
      </c>
      <c r="AD248" s="23">
        <f>Table4[[#This Row],[Quantity]]*Table4[[#This Row],[Bits Braze Plan]]</f>
        <v>0</v>
      </c>
      <c r="AE248" s="23">
        <f ca="1">Table4[[#This Row],[INV. QTY]]-Table4[[#This Row],[Required For Braze Cutters Check]]</f>
        <v>1281</v>
      </c>
      <c r="AF248" s="23">
        <f t="shared" ca="1" si="49"/>
        <v>1281</v>
      </c>
      <c r="AG248" s="23"/>
      <c r="AJ248" s="19">
        <f t="shared" si="54"/>
        <v>1187118</v>
      </c>
      <c r="AY248">
        <v>1283630</v>
      </c>
    </row>
    <row r="249" spans="1:51" ht="24.75" customHeight="1" x14ac:dyDescent="0.25">
      <c r="A249" s="109">
        <v>20240003</v>
      </c>
      <c r="B249" s="709"/>
      <c r="C249" s="109">
        <v>14136236</v>
      </c>
      <c r="D249" s="109" t="s">
        <v>315</v>
      </c>
      <c r="E249" s="109" t="s">
        <v>286</v>
      </c>
      <c r="F249" s="109"/>
      <c r="G249" s="109" t="s">
        <v>676</v>
      </c>
      <c r="H249" s="140">
        <v>1245350</v>
      </c>
      <c r="I249" s="140">
        <v>1269308</v>
      </c>
      <c r="J249" s="26">
        <f>IF(H249&lt;&gt;"",IF(AND(C249&lt;&gt;"",IFERROR(MATCH(C249,Table10[Serial No.],0),0)),0,1),0)</f>
        <v>0</v>
      </c>
      <c r="K249" s="21"/>
      <c r="L249" s="539" t="str">
        <f t="shared" ca="1" si="50"/>
        <v/>
      </c>
      <c r="N249" s="28"/>
      <c r="S249" s="281">
        <v>1268728</v>
      </c>
      <c r="T249" s="278" t="s">
        <v>316</v>
      </c>
      <c r="U249" s="278" t="s">
        <v>290</v>
      </c>
      <c r="V249" s="25">
        <v>1</v>
      </c>
      <c r="W249" s="284">
        <v>647436</v>
      </c>
      <c r="X249" s="19" t="str">
        <f>IFERROR(INDEX(Table14[],MATCH($W249,Table14[SAPNo],0),3),"")</f>
        <v>Round 1613 CT200  0.018" (B)</v>
      </c>
      <c r="Y249" s="284">
        <v>64</v>
      </c>
      <c r="Z249" s="25">
        <f t="shared" si="48"/>
        <v>5</v>
      </c>
      <c r="AA249" s="25">
        <f t="shared" si="51"/>
        <v>320</v>
      </c>
      <c r="AB249" s="23">
        <f ca="1">IFERROR(INDEX('Cutters Inventory 12-30-2025'!A:W,MATCH($W249,'Cutters Inventory 12-30-2025'!B:B,0),14),0)</f>
        <v>412</v>
      </c>
      <c r="AC249" s="23">
        <f>SUMIF(Table1[LEVEL 5 MAT NO.],S249,Table1[Braze Plan])</f>
        <v>0</v>
      </c>
      <c r="AD249" s="23">
        <f>Table4[[#This Row],[Quantity]]*Table4[[#This Row],[Bits Braze Plan]]</f>
        <v>0</v>
      </c>
      <c r="AE249" s="23">
        <f ca="1">Table4[[#This Row],[INV. QTY]]-Table4[[#This Row],[Required For Braze Cutters Check]]</f>
        <v>412</v>
      </c>
      <c r="AF249" s="23">
        <f t="shared" ca="1" si="49"/>
        <v>412</v>
      </c>
      <c r="AG249" s="23"/>
      <c r="AJ249" s="19">
        <f t="shared" si="54"/>
        <v>1192901</v>
      </c>
      <c r="AY249">
        <v>1287241</v>
      </c>
    </row>
    <row r="250" spans="1:51" ht="24.75" customHeight="1" x14ac:dyDescent="0.25">
      <c r="A250" s="109">
        <v>20240003</v>
      </c>
      <c r="B250" s="709"/>
      <c r="C250" s="109">
        <v>14136238</v>
      </c>
      <c r="D250" s="109" t="s">
        <v>315</v>
      </c>
      <c r="E250" s="109" t="s">
        <v>286</v>
      </c>
      <c r="F250" s="109"/>
      <c r="G250" s="109" t="s">
        <v>676</v>
      </c>
      <c r="H250" s="140">
        <v>1245350</v>
      </c>
      <c r="I250" s="140">
        <v>1269308</v>
      </c>
      <c r="J250" s="26">
        <f>IF(H250&lt;&gt;"",IF(AND(C250&lt;&gt;"",IFERROR(MATCH(C250,Table10[Serial No.],0),0)),0,1),0)</f>
        <v>0</v>
      </c>
      <c r="K250" s="21"/>
      <c r="L250" s="539" t="str">
        <f t="shared" ca="1" si="50"/>
        <v/>
      </c>
      <c r="N250" s="28"/>
      <c r="S250" s="281">
        <v>1268728</v>
      </c>
      <c r="T250" s="278" t="s">
        <v>316</v>
      </c>
      <c r="U250" s="278" t="s">
        <v>290</v>
      </c>
      <c r="V250" s="25">
        <v>2</v>
      </c>
      <c r="W250" s="619">
        <v>1288783</v>
      </c>
      <c r="X250" s="618" t="str">
        <f>IFERROR(INDEX(Table14[],MATCH($W250,Table14[SAPNo],0),3),"")</f>
        <v>1613 CT179 18-60</v>
      </c>
      <c r="Y250" s="284">
        <v>53</v>
      </c>
      <c r="Z250" s="25">
        <f t="shared" si="48"/>
        <v>5</v>
      </c>
      <c r="AA250" s="25">
        <f t="shared" si="51"/>
        <v>265</v>
      </c>
      <c r="AB250" s="23">
        <f ca="1">IFERROR(INDEX('Cutters Inventory 12-30-2025'!A:W,MATCH($W250,'Cutters Inventory 12-30-2025'!B:B,0),14),0)</f>
        <v>813</v>
      </c>
      <c r="AC250" s="23">
        <f>SUMIF(Table1[LEVEL 5 MAT NO.],S250,Table1[Braze Plan])</f>
        <v>0</v>
      </c>
      <c r="AD250" s="23">
        <f>Table4[[#This Row],[Quantity]]*Table4[[#This Row],[Bits Braze Plan]]</f>
        <v>0</v>
      </c>
      <c r="AE250" s="23">
        <f ca="1">Table4[[#This Row],[INV. QTY]]-Table4[[#This Row],[Required For Braze Cutters Check]]</f>
        <v>813</v>
      </c>
      <c r="AF250" s="23">
        <f t="shared" ca="1" si="49"/>
        <v>813</v>
      </c>
      <c r="AG250" s="625" t="s">
        <v>661</v>
      </c>
      <c r="AJ250" s="19">
        <f t="shared" si="54"/>
        <v>1192902</v>
      </c>
      <c r="AY250">
        <v>2008912</v>
      </c>
    </row>
    <row r="251" spans="1:51" ht="24.75" customHeight="1" x14ac:dyDescent="0.25">
      <c r="A251" s="109">
        <v>20240003</v>
      </c>
      <c r="B251" s="709"/>
      <c r="C251" s="109">
        <v>14136246</v>
      </c>
      <c r="D251" s="109" t="s">
        <v>316</v>
      </c>
      <c r="E251" s="109" t="s">
        <v>696</v>
      </c>
      <c r="F251" s="109"/>
      <c r="G251" s="109" t="s">
        <v>681</v>
      </c>
      <c r="H251" s="140">
        <v>1239257</v>
      </c>
      <c r="I251" s="140">
        <v>1268728</v>
      </c>
      <c r="J251" s="26">
        <f>IF(H251&lt;&gt;"",IF(AND(C251&lt;&gt;"",IFERROR(MATCH(C251,Table10[Serial No.],0),0)),0,1),0)</f>
        <v>0</v>
      </c>
      <c r="K251" s="21"/>
      <c r="L251" s="539" t="str">
        <f t="shared" ca="1" si="50"/>
        <v/>
      </c>
      <c r="N251" s="28"/>
      <c r="S251" s="281">
        <v>1272498</v>
      </c>
      <c r="T251" s="278" t="s">
        <v>316</v>
      </c>
      <c r="U251" s="278" t="s">
        <v>320</v>
      </c>
      <c r="V251" s="25">
        <v>6</v>
      </c>
      <c r="W251" s="284">
        <v>1146737</v>
      </c>
      <c r="X251" s="19" t="str">
        <f>IFERROR(INDEX(Table14[],MATCH($W251,Table14[SAPNo],0),3),"")</f>
        <v>1613 CT418 18-60</v>
      </c>
      <c r="Y251" s="284">
        <v>13</v>
      </c>
      <c r="Z251" s="25">
        <f t="shared" si="48"/>
        <v>3</v>
      </c>
      <c r="AA251" s="25">
        <f t="shared" si="51"/>
        <v>39</v>
      </c>
      <c r="AB251" s="23">
        <f ca="1">IFERROR(INDEX('Cutters Inventory 12-30-2025'!A:W,MATCH($W251,'Cutters Inventory 12-30-2025'!B:B,0),14),0)</f>
        <v>1281</v>
      </c>
      <c r="AC251" s="23">
        <f>SUMIF(Table1[LEVEL 5 MAT NO.],S251,Table1[Braze Plan])</f>
        <v>0</v>
      </c>
      <c r="AD251" s="23">
        <f>Table4[[#This Row],[Quantity]]*Table4[[#This Row],[Bits Braze Plan]]</f>
        <v>0</v>
      </c>
      <c r="AE251" s="23">
        <f ca="1">Table4[[#This Row],[INV. QTY]]-Table4[[#This Row],[Required For Braze Cutters Check]]</f>
        <v>1281</v>
      </c>
      <c r="AF251" s="23">
        <f t="shared" ca="1" si="49"/>
        <v>1281</v>
      </c>
      <c r="AG251" s="23"/>
      <c r="AJ251" s="19">
        <f t="shared" ref="AJ251:AJ314" si="55">IFERROR(AS67,"")</f>
        <v>1199261</v>
      </c>
      <c r="AY251">
        <v>2009244</v>
      </c>
    </row>
    <row r="252" spans="1:51" ht="24.75" customHeight="1" x14ac:dyDescent="0.25">
      <c r="A252" s="109">
        <v>20240003</v>
      </c>
      <c r="B252" s="709"/>
      <c r="C252" s="109">
        <v>14136245</v>
      </c>
      <c r="D252" s="109" t="s">
        <v>316</v>
      </c>
      <c r="E252" s="109" t="s">
        <v>696</v>
      </c>
      <c r="F252" s="109"/>
      <c r="G252" s="109" t="s">
        <v>681</v>
      </c>
      <c r="H252" s="140">
        <v>1239257</v>
      </c>
      <c r="I252" s="140">
        <v>1268728</v>
      </c>
      <c r="J252" s="26">
        <f>IF(H252&lt;&gt;"",IF(AND(C252&lt;&gt;"",IFERROR(MATCH(C252,Table10[Serial No.],0),0)),0,1),0)</f>
        <v>0</v>
      </c>
      <c r="K252" s="21"/>
      <c r="L252" s="539" t="str">
        <f t="shared" ca="1" si="50"/>
        <v/>
      </c>
      <c r="N252" s="28"/>
      <c r="S252" s="281">
        <v>1268728</v>
      </c>
      <c r="T252" s="278" t="s">
        <v>316</v>
      </c>
      <c r="U252" s="278" t="s">
        <v>290</v>
      </c>
      <c r="V252" s="25">
        <v>4</v>
      </c>
      <c r="W252" s="284">
        <v>647435</v>
      </c>
      <c r="X252" s="19" t="str">
        <f>IFERROR(INDEX(Table14[],MATCH($W252,Table14[SAPNo],0),3),"")</f>
        <v>Round 1608 CT200  0.018" (B)</v>
      </c>
      <c r="Y252" s="284">
        <v>16</v>
      </c>
      <c r="Z252" s="25">
        <f t="shared" si="48"/>
        <v>5</v>
      </c>
      <c r="AA252" s="25">
        <f t="shared" si="51"/>
        <v>80</v>
      </c>
      <c r="AB252" s="23">
        <f ca="1">IFERROR(INDEX('Cutters Inventory 12-30-2025'!A:W,MATCH($W252,'Cutters Inventory 12-30-2025'!B:B,0),14),0)</f>
        <v>284</v>
      </c>
      <c r="AC252" s="23">
        <f>SUMIF(Table1[LEVEL 5 MAT NO.],S252,Table1[Braze Plan])</f>
        <v>0</v>
      </c>
      <c r="AD252" s="23">
        <f>Table4[[#This Row],[Quantity]]*Table4[[#This Row],[Bits Braze Plan]]</f>
        <v>0</v>
      </c>
      <c r="AE252" s="23">
        <f ca="1">Table4[[#This Row],[INV. QTY]]-Table4[[#This Row],[Required For Braze Cutters Check]]</f>
        <v>284</v>
      </c>
      <c r="AF252" s="23">
        <f t="shared" ca="1" si="49"/>
        <v>284</v>
      </c>
      <c r="AG252" s="23"/>
      <c r="AJ252" s="19">
        <f t="shared" si="55"/>
        <v>1200972</v>
      </c>
      <c r="AY252">
        <v>2009246</v>
      </c>
    </row>
    <row r="253" spans="1:51" ht="24.75" customHeight="1" x14ac:dyDescent="0.25">
      <c r="A253" s="109">
        <v>20240003</v>
      </c>
      <c r="B253" s="608"/>
      <c r="C253" s="109">
        <v>14136228</v>
      </c>
      <c r="D253" s="109" t="s">
        <v>622</v>
      </c>
      <c r="E253" s="109" t="s">
        <v>623</v>
      </c>
      <c r="F253" s="109"/>
      <c r="G253" s="109" t="s">
        <v>681</v>
      </c>
      <c r="H253" s="140">
        <v>1281596</v>
      </c>
      <c r="I253" s="140">
        <v>771779</v>
      </c>
      <c r="J253" s="26">
        <f>IF(H253&lt;&gt;"",IF(AND(C253&lt;&gt;"",IFERROR(MATCH(C253,Table10[Serial No.],0),0)),0,1),0)</f>
        <v>0</v>
      </c>
      <c r="K253" s="21"/>
      <c r="L253" s="539" t="str">
        <f t="shared" ca="1" si="50"/>
        <v/>
      </c>
      <c r="N253" s="28"/>
      <c r="S253" s="281">
        <v>1268728</v>
      </c>
      <c r="T253" s="278" t="s">
        <v>316</v>
      </c>
      <c r="U253" s="278" t="s">
        <v>290</v>
      </c>
      <c r="V253" s="25">
        <v>5</v>
      </c>
      <c r="W253" s="284">
        <v>418525</v>
      </c>
      <c r="X253" s="19" t="str">
        <f>IFERROR(INDEX(Table14[],MATCH($W253,Table14[SAPNo],0),3),"")</f>
        <v>Drop In 1308 CT31   (B)</v>
      </c>
      <c r="Y253" s="284">
        <v>8</v>
      </c>
      <c r="Z253" s="25">
        <f t="shared" si="48"/>
        <v>5</v>
      </c>
      <c r="AA253" s="25">
        <f t="shared" si="51"/>
        <v>40</v>
      </c>
      <c r="AB253" s="23">
        <f ca="1">IFERROR(INDEX('Cutters Inventory 12-30-2025'!A:W,MATCH($W253,'Cutters Inventory 12-30-2025'!B:B,0),14),0)</f>
        <v>933</v>
      </c>
      <c r="AC253" s="23">
        <f>SUMIF(Table1[LEVEL 5 MAT NO.],S253,Table1[Braze Plan])</f>
        <v>0</v>
      </c>
      <c r="AD253" s="23">
        <f>Table4[[#This Row],[Quantity]]*Table4[[#This Row],[Bits Braze Plan]]</f>
        <v>0</v>
      </c>
      <c r="AE253" s="23">
        <f ca="1">Table4[[#This Row],[INV. QTY]]-Table4[[#This Row],[Required For Braze Cutters Check]]</f>
        <v>933</v>
      </c>
      <c r="AF253" s="23">
        <f t="shared" ca="1" si="49"/>
        <v>933</v>
      </c>
      <c r="AG253" s="23"/>
      <c r="AJ253" s="19">
        <f t="shared" si="55"/>
        <v>1201518</v>
      </c>
      <c r="AY253">
        <v>2015327</v>
      </c>
    </row>
    <row r="254" spans="1:51" ht="24.75" customHeight="1" x14ac:dyDescent="0.25">
      <c r="A254" s="109">
        <v>20240003</v>
      </c>
      <c r="B254" s="709"/>
      <c r="C254" s="109">
        <v>14136229</v>
      </c>
      <c r="D254" s="109" t="s">
        <v>622</v>
      </c>
      <c r="E254" s="109" t="s">
        <v>623</v>
      </c>
      <c r="F254" s="109"/>
      <c r="G254" s="109" t="s">
        <v>681</v>
      </c>
      <c r="H254" s="140">
        <v>1281596</v>
      </c>
      <c r="I254" s="140">
        <v>771779</v>
      </c>
      <c r="J254" s="26">
        <f>IF(H254&lt;&gt;"",IF(AND(C254&lt;&gt;"",IFERROR(MATCH(C254,Table10[Serial No.],0),0)),0,1),0)</f>
        <v>0</v>
      </c>
      <c r="K254" s="21"/>
      <c r="L254" s="539" t="str">
        <f t="shared" ca="1" si="50"/>
        <v/>
      </c>
      <c r="N254" s="28"/>
      <c r="S254" s="281">
        <v>1269308</v>
      </c>
      <c r="T254" s="278" t="s">
        <v>315</v>
      </c>
      <c r="U254" s="278" t="s">
        <v>286</v>
      </c>
      <c r="V254" s="25">
        <v>1</v>
      </c>
      <c r="W254" s="619">
        <v>1288783</v>
      </c>
      <c r="X254" s="618" t="str">
        <f>IFERROR(INDEX(Table14[],MATCH($W254,Table14[SAPNo],0),3),"")</f>
        <v>1613 CT179 18-60</v>
      </c>
      <c r="Y254" s="284">
        <v>30</v>
      </c>
      <c r="Z254" s="25">
        <f t="shared" si="48"/>
        <v>1</v>
      </c>
      <c r="AA254" s="25">
        <f t="shared" si="51"/>
        <v>30</v>
      </c>
      <c r="AB254" s="23">
        <f ca="1">IFERROR(INDEX('Cutters Inventory 12-30-2025'!A:W,MATCH($W254,'Cutters Inventory 12-30-2025'!B:B,0),14),0)</f>
        <v>813</v>
      </c>
      <c r="AC254" s="23">
        <f>SUMIF(Table1[LEVEL 5 MAT NO.],S254,Table1[Braze Plan])</f>
        <v>0</v>
      </c>
      <c r="AD254" s="23">
        <f>Table4[[#This Row],[Quantity]]*Table4[[#This Row],[Bits Braze Plan]]</f>
        <v>0</v>
      </c>
      <c r="AE254" s="23">
        <f ca="1">Table4[[#This Row],[INV. QTY]]-Table4[[#This Row],[Required For Braze Cutters Check]]</f>
        <v>813</v>
      </c>
      <c r="AF254" s="23">
        <f t="shared" ca="1" si="49"/>
        <v>813</v>
      </c>
      <c r="AG254" s="625" t="s">
        <v>661</v>
      </c>
      <c r="AJ254" s="19">
        <f t="shared" si="55"/>
        <v>1208601</v>
      </c>
      <c r="AY254">
        <v>2015535</v>
      </c>
    </row>
    <row r="255" spans="1:51" ht="24.75" customHeight="1" x14ac:dyDescent="0.25">
      <c r="A255" s="109">
        <v>20240018</v>
      </c>
      <c r="B255" s="709"/>
      <c r="C255" s="109">
        <v>14127148</v>
      </c>
      <c r="D255" s="109" t="s">
        <v>304</v>
      </c>
      <c r="E255" s="109" t="s">
        <v>666</v>
      </c>
      <c r="F255" s="109" t="s">
        <v>697</v>
      </c>
      <c r="G255" s="109" t="s">
        <v>681</v>
      </c>
      <c r="H255" s="140">
        <v>1270617</v>
      </c>
      <c r="I255" s="140">
        <v>1216970</v>
      </c>
      <c r="J255" s="26">
        <f>IF(H255&lt;&gt;"",IF(AND(C255&lt;&gt;"",IFERROR(MATCH(C255,Table10[Serial No.],0),0)),0,1),0)</f>
        <v>0</v>
      </c>
      <c r="K255" s="21"/>
      <c r="L255" s="539" t="str">
        <f t="shared" ca="1" si="50"/>
        <v/>
      </c>
      <c r="N255" s="28"/>
      <c r="S255" s="281">
        <v>1269308</v>
      </c>
      <c r="T255" s="278" t="s">
        <v>315</v>
      </c>
      <c r="U255" s="278" t="s">
        <v>286</v>
      </c>
      <c r="V255" s="25">
        <v>2</v>
      </c>
      <c r="W255" s="284">
        <v>1130196</v>
      </c>
      <c r="X255" s="19" t="str">
        <f>IFERROR(INDEX(Table14[],MATCH($W255,Table14[SAPNo],0),3),"")</f>
        <v>Round 1313 CT182  0.018" (S)</v>
      </c>
      <c r="Y255" s="284">
        <v>22</v>
      </c>
      <c r="Z255" s="25">
        <f t="shared" si="48"/>
        <v>1</v>
      </c>
      <c r="AA255" s="25">
        <f t="shared" si="51"/>
        <v>22</v>
      </c>
      <c r="AB255" s="23">
        <f ca="1">IFERROR(INDEX('Cutters Inventory 12-30-2025'!A:W,MATCH($W255,'Cutters Inventory 12-30-2025'!B:B,0),14),0)</f>
        <v>6</v>
      </c>
      <c r="AC255" s="23">
        <f>SUMIF(Table1[LEVEL 5 MAT NO.],S255,Table1[Braze Plan])</f>
        <v>0</v>
      </c>
      <c r="AD255" s="23">
        <f>Table4[[#This Row],[Quantity]]*Table4[[#This Row],[Bits Braze Plan]]</f>
        <v>0</v>
      </c>
      <c r="AE255" s="23">
        <f ca="1">Table4[[#This Row],[INV. QTY]]-Table4[[#This Row],[Required For Braze Cutters Check]]</f>
        <v>6</v>
      </c>
      <c r="AF255" s="23">
        <f t="shared" ca="1" si="49"/>
        <v>6</v>
      </c>
      <c r="AG255" s="23"/>
      <c r="AJ255" s="19">
        <f t="shared" si="55"/>
        <v>1209332</v>
      </c>
      <c r="AY255">
        <v>2016764</v>
      </c>
    </row>
    <row r="256" spans="1:51" ht="24.75" customHeight="1" x14ac:dyDescent="0.25">
      <c r="A256" s="109">
        <v>20240018</v>
      </c>
      <c r="B256" s="709"/>
      <c r="C256" s="109">
        <v>14127549</v>
      </c>
      <c r="D256" s="109" t="s">
        <v>304</v>
      </c>
      <c r="E256" s="109" t="s">
        <v>666</v>
      </c>
      <c r="F256" s="109" t="s">
        <v>697</v>
      </c>
      <c r="G256" s="109" t="s">
        <v>681</v>
      </c>
      <c r="H256" s="140">
        <v>1270617</v>
      </c>
      <c r="I256" s="140">
        <v>1216970</v>
      </c>
      <c r="J256" s="26">
        <f>IF(H256&lt;&gt;"",IF(AND(C256&lt;&gt;"",IFERROR(MATCH(C256,Table10[Serial No.],0),0)),0,1),0)</f>
        <v>0</v>
      </c>
      <c r="K256" s="21"/>
      <c r="L256" s="539" t="str">
        <f t="shared" ca="1" si="50"/>
        <v/>
      </c>
      <c r="N256" s="28"/>
      <c r="S256" s="281">
        <v>1283277</v>
      </c>
      <c r="T256" s="278" t="s">
        <v>319</v>
      </c>
      <c r="U256" s="278" t="s">
        <v>320</v>
      </c>
      <c r="V256" s="25">
        <v>3</v>
      </c>
      <c r="W256" s="284">
        <v>1146737</v>
      </c>
      <c r="X256" s="19" t="str">
        <f>IFERROR(INDEX(Table14[],MATCH($W256,Table14[SAPNo],0),3),"")</f>
        <v>1613 CT418 18-60</v>
      </c>
      <c r="Y256" s="284">
        <v>33</v>
      </c>
      <c r="Z256" s="25">
        <f t="shared" si="48"/>
        <v>2</v>
      </c>
      <c r="AA256" s="25">
        <f t="shared" si="51"/>
        <v>66</v>
      </c>
      <c r="AB256" s="23">
        <f ca="1">IFERROR(INDEX('Cutters Inventory 12-30-2025'!A:W,MATCH($W256,'Cutters Inventory 12-30-2025'!B:B,0),14),0)</f>
        <v>1281</v>
      </c>
      <c r="AC256" s="23">
        <f>SUMIF(Table1[LEVEL 5 MAT NO.],S256,Table1[Braze Plan])</f>
        <v>0</v>
      </c>
      <c r="AD256" s="23">
        <f>Table4[[#This Row],[Quantity]]*Table4[[#This Row],[Bits Braze Plan]]</f>
        <v>0</v>
      </c>
      <c r="AE256" s="23">
        <f ca="1">Table4[[#This Row],[INV. QTY]]-Table4[[#This Row],[Required For Braze Cutters Check]]</f>
        <v>1281</v>
      </c>
      <c r="AF256" s="23">
        <f t="shared" ca="1" si="49"/>
        <v>1281</v>
      </c>
      <c r="AG256" s="23"/>
      <c r="AJ256" s="19">
        <f t="shared" si="55"/>
        <v>1209333</v>
      </c>
      <c r="AY256">
        <v>2017803</v>
      </c>
    </row>
    <row r="257" spans="1:51" ht="24.75" customHeight="1" x14ac:dyDescent="0.25">
      <c r="A257" s="109">
        <v>20240018</v>
      </c>
      <c r="B257" s="709"/>
      <c r="C257" s="109">
        <v>14175863</v>
      </c>
      <c r="D257" s="109" t="s">
        <v>304</v>
      </c>
      <c r="E257" s="109" t="s">
        <v>666</v>
      </c>
      <c r="F257" s="109" t="s">
        <v>697</v>
      </c>
      <c r="G257" s="109" t="s">
        <v>681</v>
      </c>
      <c r="H257" s="140">
        <v>1270617</v>
      </c>
      <c r="I257" s="140">
        <v>1216970</v>
      </c>
      <c r="J257" s="26">
        <f>IF(H257&lt;&gt;"",IF(AND(C257&lt;&gt;"",IFERROR(MATCH(C257,Table10[Serial No.],0),0)),0,1),0)</f>
        <v>1</v>
      </c>
      <c r="K257" s="21"/>
      <c r="L257" s="539" t="str">
        <f t="shared" ca="1" si="50"/>
        <v/>
      </c>
      <c r="N257" s="28"/>
      <c r="O257"/>
      <c r="P257"/>
      <c r="Q257"/>
      <c r="S257" s="281">
        <v>1269308</v>
      </c>
      <c r="T257" s="278" t="s">
        <v>315</v>
      </c>
      <c r="U257" s="278" t="s">
        <v>286</v>
      </c>
      <c r="V257" s="25">
        <v>4</v>
      </c>
      <c r="W257" s="284">
        <v>1282370</v>
      </c>
      <c r="X257" s="19" t="str">
        <f>IFERROR(INDEX(Table14[],MATCH($W257,Table14[SAPNo],0),3),"")</f>
        <v>1613 CT436Mv3 U-60</v>
      </c>
      <c r="Y257" s="284">
        <v>10</v>
      </c>
      <c r="Z257" s="25">
        <f t="shared" si="48"/>
        <v>1</v>
      </c>
      <c r="AA257" s="25">
        <f t="shared" si="51"/>
        <v>10</v>
      </c>
      <c r="AB257" s="23">
        <f ca="1">IFERROR(INDEX('Cutters Inventory 12-30-2025'!A:W,MATCH($W257,'Cutters Inventory 12-30-2025'!B:B,0),14),0)</f>
        <v>193</v>
      </c>
      <c r="AC257" s="23">
        <f>SUMIF(Table1[LEVEL 5 MAT NO.],S257,Table1[Braze Plan])</f>
        <v>0</v>
      </c>
      <c r="AD257" s="23">
        <f>Table4[[#This Row],[Quantity]]*Table4[[#This Row],[Bits Braze Plan]]</f>
        <v>0</v>
      </c>
      <c r="AE257" s="23">
        <f ca="1">Table4[[#This Row],[INV. QTY]]-Table4[[#This Row],[Required For Braze Cutters Check]]</f>
        <v>193</v>
      </c>
      <c r="AF257" s="23">
        <f t="shared" ca="1" si="49"/>
        <v>193</v>
      </c>
      <c r="AG257" s="23"/>
      <c r="AJ257" s="19">
        <f t="shared" si="55"/>
        <v>1220554</v>
      </c>
      <c r="AY257">
        <v>2018723</v>
      </c>
    </row>
    <row r="258" spans="1:51" ht="24.75" customHeight="1" x14ac:dyDescent="0.25">
      <c r="A258" s="109">
        <v>20240018</v>
      </c>
      <c r="B258" s="608"/>
      <c r="C258" s="109">
        <v>14109669</v>
      </c>
      <c r="D258" s="109" t="s">
        <v>304</v>
      </c>
      <c r="E258" s="109" t="s">
        <v>666</v>
      </c>
      <c r="F258" s="109" t="s">
        <v>697</v>
      </c>
      <c r="G258" s="109" t="s">
        <v>681</v>
      </c>
      <c r="H258" s="140">
        <v>1270617</v>
      </c>
      <c r="I258" s="140">
        <v>1216970</v>
      </c>
      <c r="J258" s="26">
        <f>IF(H258&lt;&gt;"",IF(AND(C258&lt;&gt;"",IFERROR(MATCH(C258,Table10[Serial No.],0),0)),0,1),0)</f>
        <v>0</v>
      </c>
      <c r="K258" s="21"/>
      <c r="L258" s="539" t="str">
        <f t="shared" ca="1" si="50"/>
        <v/>
      </c>
      <c r="N258" s="28"/>
      <c r="O258"/>
      <c r="P258"/>
      <c r="Q258"/>
      <c r="S258" s="281">
        <v>1269308</v>
      </c>
      <c r="T258" s="278" t="s">
        <v>315</v>
      </c>
      <c r="U258" s="278" t="s">
        <v>286</v>
      </c>
      <c r="V258" s="25">
        <v>5</v>
      </c>
      <c r="W258" s="284">
        <v>871781</v>
      </c>
      <c r="X258" s="19" t="str">
        <f>IFERROR(INDEX(Table14[],MATCH($W258,Table14[SAPNo],0),3),"")</f>
        <v>Round 1313 CT200  0.018" (B)</v>
      </c>
      <c r="Y258" s="284">
        <v>5</v>
      </c>
      <c r="Z258" s="25">
        <f t="shared" ref="Z258:Z321" si="56">IFERROR(INDEX($O$2:$P$400,MATCH($S258,$O$2:$O$93,0),2),0)</f>
        <v>1</v>
      </c>
      <c r="AA258" s="25">
        <f t="shared" si="51"/>
        <v>5</v>
      </c>
      <c r="AB258" s="23">
        <f ca="1">IFERROR(INDEX('Cutters Inventory 12-30-2025'!A:W,MATCH($W258,'Cutters Inventory 12-30-2025'!B:B,0),14),0)</f>
        <v>843</v>
      </c>
      <c r="AC258" s="23">
        <f>SUMIF(Table1[LEVEL 5 MAT NO.],S258,Table1[Braze Plan])</f>
        <v>0</v>
      </c>
      <c r="AD258" s="23">
        <f>Table4[[#This Row],[Quantity]]*Table4[[#This Row],[Bits Braze Plan]]</f>
        <v>0</v>
      </c>
      <c r="AE258" s="23">
        <f ca="1">Table4[[#This Row],[INV. QTY]]-Table4[[#This Row],[Required For Braze Cutters Check]]</f>
        <v>843</v>
      </c>
      <c r="AF258" s="23">
        <f t="shared" ref="AF258:AF321" ca="1" si="57">IFERROR(INDEX($AJ$2:$AO$136,MATCH($W258,$AJ$2:$AJ$136,0),5),0)</f>
        <v>843</v>
      </c>
      <c r="AG258" s="23"/>
      <c r="AJ258" s="19">
        <f t="shared" si="55"/>
        <v>1220688</v>
      </c>
      <c r="AY258">
        <v>2019412</v>
      </c>
    </row>
    <row r="259" spans="1:51" ht="24.75" customHeight="1" x14ac:dyDescent="0.25">
      <c r="A259" s="109">
        <v>20240018</v>
      </c>
      <c r="B259" s="608"/>
      <c r="C259" s="469">
        <v>14181057</v>
      </c>
      <c r="D259" s="109" t="s">
        <v>304</v>
      </c>
      <c r="E259" s="109" t="s">
        <v>666</v>
      </c>
      <c r="F259" s="109" t="s">
        <v>697</v>
      </c>
      <c r="G259" s="109" t="s">
        <v>681</v>
      </c>
      <c r="H259" s="140">
        <v>1270617</v>
      </c>
      <c r="I259" s="140">
        <v>1216970</v>
      </c>
      <c r="J259" s="26">
        <f>IF(H259&lt;&gt;"",IF(AND(C259&lt;&gt;"",IFERROR(MATCH(C259,Table10[Serial No.],0),0)),0,1),0)</f>
        <v>1</v>
      </c>
      <c r="K259" s="21"/>
      <c r="L259" s="539" t="str">
        <f t="shared" ref="L259:L322" ca="1" si="58">IFERROR(INDEX($O$2:$Q$57,MATCH($I259,$O$2:$O$93,0),3),"")</f>
        <v/>
      </c>
      <c r="N259" s="28"/>
      <c r="O259"/>
      <c r="P259"/>
      <c r="Q259"/>
      <c r="S259" s="281">
        <v>1272498</v>
      </c>
      <c r="T259" s="278" t="s">
        <v>316</v>
      </c>
      <c r="U259" s="278" t="s">
        <v>320</v>
      </c>
      <c r="V259" s="25">
        <v>1</v>
      </c>
      <c r="W259" s="284">
        <v>410851</v>
      </c>
      <c r="X259" s="19" t="str">
        <f>IFERROR(INDEX(Table14[],MATCH($W259,Table14[SAPNo],0),3),"")</f>
        <v>PDC Dome 1308 CT31   (B)</v>
      </c>
      <c r="Y259" s="284">
        <v>56</v>
      </c>
      <c r="Z259" s="25">
        <f t="shared" si="56"/>
        <v>3</v>
      </c>
      <c r="AA259" s="25">
        <f t="shared" ref="AA259:AA322" si="59">Y259*Z259</f>
        <v>168</v>
      </c>
      <c r="AB259" s="23">
        <f ca="1">IFERROR(INDEX('Cutters Inventory 12-30-2025'!A:W,MATCH($W259,'Cutters Inventory 12-30-2025'!B:B,0),14),0)</f>
        <v>93</v>
      </c>
      <c r="AC259" s="23">
        <f>SUMIF(Table1[LEVEL 5 MAT NO.],S259,Table1[Braze Plan])</f>
        <v>0</v>
      </c>
      <c r="AD259" s="23">
        <f>Table4[[#This Row],[Quantity]]*Table4[[#This Row],[Bits Braze Plan]]</f>
        <v>0</v>
      </c>
      <c r="AE259" s="23">
        <f ca="1">Table4[[#This Row],[INV. QTY]]-Table4[[#This Row],[Required For Braze Cutters Check]]</f>
        <v>93</v>
      </c>
      <c r="AF259" s="23">
        <f t="shared" ca="1" si="57"/>
        <v>93</v>
      </c>
      <c r="AG259" s="23"/>
      <c r="AJ259" s="19">
        <f t="shared" si="55"/>
        <v>1228501</v>
      </c>
      <c r="AY259">
        <v>2020054</v>
      </c>
    </row>
    <row r="260" spans="1:51" ht="24.75" customHeight="1" x14ac:dyDescent="0.25">
      <c r="A260" s="109">
        <v>20240018</v>
      </c>
      <c r="B260" s="709"/>
      <c r="C260" s="469">
        <v>14144617</v>
      </c>
      <c r="D260" s="109" t="s">
        <v>627</v>
      </c>
      <c r="E260" s="109" t="s">
        <v>670</v>
      </c>
      <c r="F260" s="109" t="s">
        <v>698</v>
      </c>
      <c r="G260" s="109" t="s">
        <v>676</v>
      </c>
      <c r="H260" s="140">
        <v>1223749</v>
      </c>
      <c r="I260" s="140">
        <v>1224750</v>
      </c>
      <c r="J260" s="26">
        <f>IF(H260&lt;&gt;"",IF(AND(C260&lt;&gt;"",IFERROR(MATCH(C260,Table10[Serial No.],0),0)),0,1),0)</f>
        <v>0</v>
      </c>
      <c r="K260" s="21"/>
      <c r="L260" s="539" t="str">
        <f t="shared" ca="1" si="58"/>
        <v/>
      </c>
      <c r="N260" s="28"/>
      <c r="O260"/>
      <c r="P260"/>
      <c r="Q260"/>
      <c r="S260" s="281">
        <v>1272498</v>
      </c>
      <c r="T260" s="278" t="s">
        <v>316</v>
      </c>
      <c r="U260" s="278" t="s">
        <v>320</v>
      </c>
      <c r="V260" s="25">
        <v>2</v>
      </c>
      <c r="W260" s="619">
        <v>1288783</v>
      </c>
      <c r="X260" s="618" t="str">
        <f>IFERROR(INDEX(Table14[],MATCH($W260,Table14[SAPNo],0),3),"")</f>
        <v>1613 CT179 18-60</v>
      </c>
      <c r="Y260" s="284">
        <v>42</v>
      </c>
      <c r="Z260" s="25">
        <f t="shared" si="56"/>
        <v>3</v>
      </c>
      <c r="AA260" s="25">
        <f t="shared" si="59"/>
        <v>126</v>
      </c>
      <c r="AB260" s="23">
        <f ca="1">IFERROR(INDEX('Cutters Inventory 12-30-2025'!A:W,MATCH($W260,'Cutters Inventory 12-30-2025'!B:B,0),14),0)</f>
        <v>813</v>
      </c>
      <c r="AC260" s="23">
        <f>SUMIF(Table1[LEVEL 5 MAT NO.],S260,Table1[Braze Plan])</f>
        <v>0</v>
      </c>
      <c r="AD260" s="23">
        <f>Table4[[#This Row],[Quantity]]*Table4[[#This Row],[Bits Braze Plan]]</f>
        <v>0</v>
      </c>
      <c r="AE260" s="23">
        <f ca="1">Table4[[#This Row],[INV. QTY]]-Table4[[#This Row],[Required For Braze Cutters Check]]</f>
        <v>813</v>
      </c>
      <c r="AF260" s="23">
        <f t="shared" ca="1" si="57"/>
        <v>813</v>
      </c>
      <c r="AG260" s="625" t="s">
        <v>661</v>
      </c>
      <c r="AJ260" s="19">
        <f t="shared" si="55"/>
        <v>1228502</v>
      </c>
      <c r="AY260">
        <v>2021073</v>
      </c>
    </row>
    <row r="261" spans="1:51" ht="24.75" customHeight="1" x14ac:dyDescent="0.25">
      <c r="A261" s="109">
        <v>20240018</v>
      </c>
      <c r="B261" s="709"/>
      <c r="C261" s="469">
        <v>14144618</v>
      </c>
      <c r="D261" s="109" t="s">
        <v>627</v>
      </c>
      <c r="E261" s="109" t="s">
        <v>670</v>
      </c>
      <c r="F261" s="109" t="s">
        <v>698</v>
      </c>
      <c r="G261" s="109" t="s">
        <v>676</v>
      </c>
      <c r="H261" s="140">
        <v>1223749</v>
      </c>
      <c r="I261" s="140">
        <v>1224750</v>
      </c>
      <c r="J261" s="26">
        <f>IF(H261&lt;&gt;"",IF(AND(C261&lt;&gt;"",IFERROR(MATCH(C261,Table10[Serial No.],0),0)),0,1),0)</f>
        <v>0</v>
      </c>
      <c r="K261" s="21"/>
      <c r="L261" s="539" t="str">
        <f t="shared" ca="1" si="58"/>
        <v/>
      </c>
      <c r="N261" s="28"/>
      <c r="O261"/>
      <c r="P261"/>
      <c r="Q261"/>
      <c r="S261" s="281">
        <v>1272498</v>
      </c>
      <c r="T261" s="278" t="s">
        <v>316</v>
      </c>
      <c r="U261" s="278" t="s">
        <v>320</v>
      </c>
      <c r="V261" s="25">
        <v>3</v>
      </c>
      <c r="W261" s="284">
        <v>717751</v>
      </c>
      <c r="X261" s="19" t="str">
        <f>IFERROR(INDEX(Table14[],MATCH($W261,Table14[SAPNo],0),3),"")</f>
        <v>Round 1308 CT200  0.018" (B)</v>
      </c>
      <c r="Y261" s="284">
        <v>39</v>
      </c>
      <c r="Z261" s="25">
        <f t="shared" si="56"/>
        <v>3</v>
      </c>
      <c r="AA261" s="25">
        <f t="shared" si="59"/>
        <v>117</v>
      </c>
      <c r="AB261" s="23">
        <f ca="1">IFERROR(INDEX('Cutters Inventory 12-30-2025'!A:W,MATCH($W261,'Cutters Inventory 12-30-2025'!B:B,0),14),0)</f>
        <v>28</v>
      </c>
      <c r="AC261" s="23">
        <f>SUMIF(Table1[LEVEL 5 MAT NO.],S261,Table1[Braze Plan])</f>
        <v>0</v>
      </c>
      <c r="AD261" s="23">
        <f>Table4[[#This Row],[Quantity]]*Table4[[#This Row],[Bits Braze Plan]]</f>
        <v>0</v>
      </c>
      <c r="AE261" s="23">
        <f ca="1">Table4[[#This Row],[INV. QTY]]-Table4[[#This Row],[Required For Braze Cutters Check]]</f>
        <v>28</v>
      </c>
      <c r="AF261" s="23">
        <f t="shared" ca="1" si="57"/>
        <v>28</v>
      </c>
      <c r="AG261" s="23"/>
      <c r="AJ261" s="19">
        <f t="shared" si="55"/>
        <v>1228503</v>
      </c>
      <c r="AY261">
        <v>2021865</v>
      </c>
    </row>
    <row r="262" spans="1:51" ht="24.75" customHeight="1" x14ac:dyDescent="0.25">
      <c r="A262" s="109">
        <v>20240018</v>
      </c>
      <c r="B262" s="709"/>
      <c r="C262" s="469">
        <v>14144619</v>
      </c>
      <c r="D262" s="109" t="s">
        <v>627</v>
      </c>
      <c r="E262" s="109" t="s">
        <v>670</v>
      </c>
      <c r="F262" s="109" t="s">
        <v>698</v>
      </c>
      <c r="G262" s="109" t="s">
        <v>676</v>
      </c>
      <c r="H262" s="140">
        <v>1223749</v>
      </c>
      <c r="I262" s="140">
        <v>1224750</v>
      </c>
      <c r="J262" s="26">
        <f>IF(H262&lt;&gt;"",IF(AND(C262&lt;&gt;"",IFERROR(MATCH(C262,Table10[Serial No.],0),0)),0,1),0)</f>
        <v>0</v>
      </c>
      <c r="K262" s="21"/>
      <c r="L262" s="539" t="str">
        <f t="shared" ca="1" si="58"/>
        <v/>
      </c>
      <c r="N262" s="28"/>
      <c r="S262" s="281">
        <v>1272498</v>
      </c>
      <c r="T262" s="278" t="s">
        <v>316</v>
      </c>
      <c r="U262" s="278" t="s">
        <v>320</v>
      </c>
      <c r="V262" s="25">
        <v>4</v>
      </c>
      <c r="W262" s="284">
        <v>179733</v>
      </c>
      <c r="X262" s="19" t="str">
        <f>IFERROR(INDEX(Table14[],MATCH($W262,Table14[SAPNo],0),3),"")</f>
        <v>Short IA 13    (C)</v>
      </c>
      <c r="Y262" s="284">
        <v>23</v>
      </c>
      <c r="Z262" s="25">
        <f t="shared" si="56"/>
        <v>3</v>
      </c>
      <c r="AA262" s="25">
        <f t="shared" si="59"/>
        <v>69</v>
      </c>
      <c r="AB262" s="23">
        <f ca="1">IFERROR(INDEX('Cutters Inventory 12-30-2025'!A:W,MATCH($W262,'Cutters Inventory 12-30-2025'!B:B,0),14),0)</f>
        <v>68</v>
      </c>
      <c r="AC262" s="23">
        <f>SUMIF(Table1[LEVEL 5 MAT NO.],S262,Table1[Braze Plan])</f>
        <v>0</v>
      </c>
      <c r="AD262" s="23">
        <f>Table4[[#This Row],[Quantity]]*Table4[[#This Row],[Bits Braze Plan]]</f>
        <v>0</v>
      </c>
      <c r="AE262" s="23">
        <f ca="1">Table4[[#This Row],[INV. QTY]]-Table4[[#This Row],[Required For Braze Cutters Check]]</f>
        <v>68</v>
      </c>
      <c r="AF262" s="23">
        <f t="shared" ca="1" si="57"/>
        <v>68</v>
      </c>
      <c r="AG262" s="23"/>
      <c r="AJ262" s="19">
        <f t="shared" si="55"/>
        <v>1234189</v>
      </c>
      <c r="AY262" t="str">
        <v>1095217M</v>
      </c>
    </row>
    <row r="263" spans="1:51" ht="24.75" customHeight="1" x14ac:dyDescent="0.25">
      <c r="A263" s="109">
        <v>20240018</v>
      </c>
      <c r="B263" s="608"/>
      <c r="C263" s="469">
        <v>14144621</v>
      </c>
      <c r="D263" s="109" t="s">
        <v>631</v>
      </c>
      <c r="E263" s="109" t="s">
        <v>645</v>
      </c>
      <c r="F263" s="109" t="s">
        <v>697</v>
      </c>
      <c r="G263" s="109" t="s">
        <v>681</v>
      </c>
      <c r="H263" s="140">
        <v>1262047</v>
      </c>
      <c r="I263" s="140">
        <v>1235768</v>
      </c>
      <c r="J263" s="26">
        <f>IF(H263&lt;&gt;"",IF(AND(C263&lt;&gt;"",IFERROR(MATCH(C263,Table10[Serial No.],0),0)),0,1),0)</f>
        <v>0</v>
      </c>
      <c r="K263" s="21"/>
      <c r="L263" s="539" t="str">
        <f t="shared" ca="1" si="58"/>
        <v/>
      </c>
      <c r="N263" s="28"/>
      <c r="S263" s="281">
        <v>1272498</v>
      </c>
      <c r="T263" s="278" t="s">
        <v>316</v>
      </c>
      <c r="U263" s="278" t="s">
        <v>320</v>
      </c>
      <c r="V263" s="25">
        <v>5</v>
      </c>
      <c r="W263" s="284">
        <v>418525</v>
      </c>
      <c r="X263" s="19" t="str">
        <f>IFERROR(INDEX(Table14[],MATCH($W263,Table14[SAPNo],0),3),"")</f>
        <v>Drop In 1308 CT31   (B)</v>
      </c>
      <c r="Y263" s="284">
        <v>14</v>
      </c>
      <c r="Z263" s="25">
        <f t="shared" si="56"/>
        <v>3</v>
      </c>
      <c r="AA263" s="25">
        <f t="shared" si="59"/>
        <v>42</v>
      </c>
      <c r="AB263" s="23">
        <f ca="1">IFERROR(INDEX('Cutters Inventory 12-30-2025'!A:W,MATCH($W263,'Cutters Inventory 12-30-2025'!B:B,0),14),0)</f>
        <v>933</v>
      </c>
      <c r="AC263" s="23">
        <f>SUMIF(Table1[LEVEL 5 MAT NO.],S263,Table1[Braze Plan])</f>
        <v>0</v>
      </c>
      <c r="AD263" s="23">
        <f>Table4[[#This Row],[Quantity]]*Table4[[#This Row],[Bits Braze Plan]]</f>
        <v>0</v>
      </c>
      <c r="AE263" s="23">
        <f ca="1">Table4[[#This Row],[INV. QTY]]-Table4[[#This Row],[Required For Braze Cutters Check]]</f>
        <v>933</v>
      </c>
      <c r="AF263" s="23">
        <f t="shared" ca="1" si="57"/>
        <v>933</v>
      </c>
      <c r="AG263" s="23"/>
      <c r="AJ263" s="19">
        <f t="shared" si="55"/>
        <v>1238831</v>
      </c>
      <c r="AY263" t="str">
        <v>1160951M1</v>
      </c>
    </row>
    <row r="264" spans="1:51" ht="24.75" customHeight="1" x14ac:dyDescent="0.25">
      <c r="A264" s="109">
        <v>20240018</v>
      </c>
      <c r="B264" s="608"/>
      <c r="C264" s="469">
        <v>14144625</v>
      </c>
      <c r="D264" s="109" t="s">
        <v>631</v>
      </c>
      <c r="E264" s="109" t="s">
        <v>645</v>
      </c>
      <c r="F264" s="109" t="s">
        <v>697</v>
      </c>
      <c r="G264" s="109" t="s">
        <v>681</v>
      </c>
      <c r="H264" s="140">
        <v>1262047</v>
      </c>
      <c r="I264" s="140">
        <v>1235768</v>
      </c>
      <c r="J264" s="26">
        <f>IF(H264&lt;&gt;"",IF(AND(C264&lt;&gt;"",IFERROR(MATCH(C264,Table10[Serial No.],0),0)),0,1),0)</f>
        <v>0</v>
      </c>
      <c r="K264" s="21"/>
      <c r="L264" s="539" t="str">
        <f t="shared" ca="1" si="58"/>
        <v/>
      </c>
      <c r="N264" s="28"/>
      <c r="S264" s="281">
        <v>1267829</v>
      </c>
      <c r="T264" s="278" t="s">
        <v>624</v>
      </c>
      <c r="U264" s="278" t="s">
        <v>274</v>
      </c>
      <c r="V264" s="25">
        <v>5</v>
      </c>
      <c r="W264" s="284">
        <v>1146737</v>
      </c>
      <c r="X264" s="19" t="str">
        <f>IFERROR(INDEX(Table14[],MATCH($W264,Table14[SAPNo],0),3),"")</f>
        <v>1613 CT418 18-60</v>
      </c>
      <c r="Y264" s="284">
        <v>6</v>
      </c>
      <c r="Z264" s="25">
        <f t="shared" si="56"/>
        <v>5</v>
      </c>
      <c r="AA264" s="25">
        <f t="shared" si="59"/>
        <v>30</v>
      </c>
      <c r="AB264" s="23">
        <f ca="1">IFERROR(INDEX('Cutters Inventory 12-30-2025'!A:W,MATCH($W264,'Cutters Inventory 12-30-2025'!B:B,0),14),0)</f>
        <v>1281</v>
      </c>
      <c r="AC264" s="23">
        <f>SUMIF(Table1[LEVEL 5 MAT NO.],S264,Table1[Braze Plan])</f>
        <v>0</v>
      </c>
      <c r="AD264" s="23">
        <f>Table4[[#This Row],[Quantity]]*Table4[[#This Row],[Bits Braze Plan]]</f>
        <v>0</v>
      </c>
      <c r="AE264" s="23">
        <f ca="1">Table4[[#This Row],[INV. QTY]]-Table4[[#This Row],[Required For Braze Cutters Check]]</f>
        <v>1281</v>
      </c>
      <c r="AF264" s="23">
        <f t="shared" ca="1" si="57"/>
        <v>1281</v>
      </c>
      <c r="AG264" s="23"/>
      <c r="AJ264" s="19">
        <f t="shared" si="55"/>
        <v>1244299</v>
      </c>
      <c r="AY264" t="str">
        <v>1201087M</v>
      </c>
    </row>
    <row r="265" spans="1:51" ht="24.75" customHeight="1" x14ac:dyDescent="0.25">
      <c r="A265" s="109">
        <v>20240018</v>
      </c>
      <c r="B265" s="608"/>
      <c r="C265" s="469">
        <v>14144620</v>
      </c>
      <c r="D265" s="109" t="s">
        <v>631</v>
      </c>
      <c r="E265" s="109" t="s">
        <v>645</v>
      </c>
      <c r="F265" s="109" t="s">
        <v>697</v>
      </c>
      <c r="G265" s="109" t="s">
        <v>681</v>
      </c>
      <c r="H265" s="140">
        <v>1262047</v>
      </c>
      <c r="I265" s="140">
        <v>1235768</v>
      </c>
      <c r="J265" s="26">
        <f>IF(H265&lt;&gt;"",IF(AND(C265&lt;&gt;"",IFERROR(MATCH(C265,Table10[Serial No.],0),0)),0,1),0)</f>
        <v>0</v>
      </c>
      <c r="K265" s="21"/>
      <c r="L265" s="539" t="str">
        <f t="shared" ca="1" si="58"/>
        <v/>
      </c>
      <c r="N265" s="28"/>
      <c r="S265" s="281">
        <v>1272498</v>
      </c>
      <c r="T265" s="278" t="s">
        <v>316</v>
      </c>
      <c r="U265" s="278" t="s">
        <v>320</v>
      </c>
      <c r="V265" s="25">
        <v>7</v>
      </c>
      <c r="W265" s="284">
        <v>1100739</v>
      </c>
      <c r="X265" s="19" t="str">
        <f>IFERROR(INDEX(Table14[],MATCH($W265,Table14[SAPNo],0),3),"")</f>
        <v>1608 CT418 0.018"</v>
      </c>
      <c r="Y265" s="284">
        <v>38</v>
      </c>
      <c r="Z265" s="25">
        <f t="shared" si="56"/>
        <v>3</v>
      </c>
      <c r="AA265" s="25">
        <f t="shared" si="59"/>
        <v>114</v>
      </c>
      <c r="AB265" s="23">
        <f ca="1">IFERROR(INDEX('Cutters Inventory 12-30-2025'!A:W,MATCH($W265,'Cutters Inventory 12-30-2025'!B:B,0),14),0)</f>
        <v>29</v>
      </c>
      <c r="AC265" s="23">
        <f>SUMIF(Table1[LEVEL 5 MAT NO.],S265,Table1[Braze Plan])</f>
        <v>0</v>
      </c>
      <c r="AD265" s="23">
        <f>Table4[[#This Row],[Quantity]]*Table4[[#This Row],[Bits Braze Plan]]</f>
        <v>0</v>
      </c>
      <c r="AE265" s="23">
        <f ca="1">Table4[[#This Row],[INV. QTY]]-Table4[[#This Row],[Required For Braze Cutters Check]]</f>
        <v>29</v>
      </c>
      <c r="AF265" s="23">
        <f t="shared" ca="1" si="57"/>
        <v>29</v>
      </c>
      <c r="AG265" s="23"/>
      <c r="AJ265" s="19">
        <f t="shared" si="55"/>
        <v>1244957</v>
      </c>
      <c r="AY265" t="str">
        <v>1207425M</v>
      </c>
    </row>
    <row r="266" spans="1:51" ht="24.75" customHeight="1" x14ac:dyDescent="0.25">
      <c r="A266" s="109">
        <v>20240018</v>
      </c>
      <c r="B266" s="608"/>
      <c r="C266" s="469">
        <v>14144623</v>
      </c>
      <c r="D266" s="109" t="s">
        <v>631</v>
      </c>
      <c r="E266" s="109" t="s">
        <v>645</v>
      </c>
      <c r="F266" s="109" t="s">
        <v>697</v>
      </c>
      <c r="G266" s="109" t="s">
        <v>681</v>
      </c>
      <c r="H266" s="140">
        <v>1262047</v>
      </c>
      <c r="I266" s="140">
        <v>1235768</v>
      </c>
      <c r="J266" s="26">
        <f>IF(H266&lt;&gt;"",IF(AND(C266&lt;&gt;"",IFERROR(MATCH(C266,Table10[Serial No.],0),0)),0,1),0)</f>
        <v>0</v>
      </c>
      <c r="K266" s="21"/>
      <c r="L266" s="539" t="str">
        <f t="shared" ca="1" si="58"/>
        <v/>
      </c>
      <c r="N266" s="28"/>
      <c r="S266" s="281">
        <v>1272498</v>
      </c>
      <c r="T266" s="278" t="s">
        <v>316</v>
      </c>
      <c r="U266" s="278" t="s">
        <v>320</v>
      </c>
      <c r="V266" s="25">
        <v>8</v>
      </c>
      <c r="W266" s="284">
        <v>1146737</v>
      </c>
      <c r="X266" s="19" t="str">
        <f>IFERROR(INDEX(Table14[],MATCH($W266,Table14[SAPNo],0),3),"")</f>
        <v>1613 CT418 18-60</v>
      </c>
      <c r="Y266" s="284">
        <v>15</v>
      </c>
      <c r="Z266" s="25">
        <f t="shared" si="56"/>
        <v>3</v>
      </c>
      <c r="AA266" s="25">
        <f t="shared" si="59"/>
        <v>45</v>
      </c>
      <c r="AB266" s="23">
        <f ca="1">IFERROR(INDEX('Cutters Inventory 12-30-2025'!A:W,MATCH($W266,'Cutters Inventory 12-30-2025'!B:B,0),14),0)</f>
        <v>1281</v>
      </c>
      <c r="AC266" s="23">
        <f>SUMIF(Table1[LEVEL 5 MAT NO.],S266,Table1[Braze Plan])</f>
        <v>0</v>
      </c>
      <c r="AD266" s="23">
        <f>Table4[[#This Row],[Quantity]]*Table4[[#This Row],[Bits Braze Plan]]</f>
        <v>0</v>
      </c>
      <c r="AE266" s="23">
        <f ca="1">Table4[[#This Row],[INV. QTY]]-Table4[[#This Row],[Required For Braze Cutters Check]]</f>
        <v>1281</v>
      </c>
      <c r="AF266" s="23">
        <f t="shared" ca="1" si="57"/>
        <v>1281</v>
      </c>
      <c r="AG266" s="23"/>
      <c r="AJ266" s="19">
        <f t="shared" si="55"/>
        <v>1282369</v>
      </c>
      <c r="AY266" t="str">
        <v>1239176M</v>
      </c>
    </row>
    <row r="267" spans="1:51" ht="24.75" customHeight="1" x14ac:dyDescent="0.25">
      <c r="A267" s="109">
        <v>20240018</v>
      </c>
      <c r="B267" s="608"/>
      <c r="C267" s="109">
        <v>14144624</v>
      </c>
      <c r="D267" s="109" t="s">
        <v>631</v>
      </c>
      <c r="E267" s="109" t="s">
        <v>645</v>
      </c>
      <c r="F267" s="109" t="s">
        <v>697</v>
      </c>
      <c r="G267" s="109" t="s">
        <v>681</v>
      </c>
      <c r="H267" s="140">
        <v>1262047</v>
      </c>
      <c r="I267" s="140">
        <v>1235768</v>
      </c>
      <c r="J267" s="26">
        <f>IF(H267&lt;&gt;"",IF(AND(C267&lt;&gt;"",IFERROR(MATCH(C267,Table10[Serial No.],0),0)),0,1),0)</f>
        <v>0</v>
      </c>
      <c r="K267" s="21"/>
      <c r="L267" s="539" t="str">
        <f t="shared" ca="1" si="58"/>
        <v/>
      </c>
      <c r="N267" s="28"/>
      <c r="S267" s="281">
        <v>1276939</v>
      </c>
      <c r="T267" s="278" t="s">
        <v>624</v>
      </c>
      <c r="U267" s="278" t="s">
        <v>663</v>
      </c>
      <c r="V267" s="25">
        <v>1</v>
      </c>
      <c r="W267" s="619">
        <v>1288783</v>
      </c>
      <c r="X267" s="618" t="str">
        <f>IFERROR(INDEX(Table14[],MATCH($W267,Table14[SAPNo],0),3),"")</f>
        <v>1613 CT179 18-60</v>
      </c>
      <c r="Y267" s="284">
        <v>17</v>
      </c>
      <c r="Z267" s="25">
        <f t="shared" si="56"/>
        <v>9</v>
      </c>
      <c r="AA267" s="25">
        <f t="shared" si="59"/>
        <v>153</v>
      </c>
      <c r="AB267" s="23">
        <f ca="1">IFERROR(INDEX('Cutters Inventory 12-30-2025'!A:W,MATCH($W267,'Cutters Inventory 12-30-2025'!B:B,0),14),0)</f>
        <v>813</v>
      </c>
      <c r="AC267" s="23">
        <f>SUMIF(Table1[LEVEL 5 MAT NO.],S267,Table1[Braze Plan])</f>
        <v>0</v>
      </c>
      <c r="AD267" s="23">
        <f>Table4[[#This Row],[Quantity]]*Table4[[#This Row],[Bits Braze Plan]]</f>
        <v>0</v>
      </c>
      <c r="AE267" s="23">
        <f ca="1">Table4[[#This Row],[INV. QTY]]-Table4[[#This Row],[Required For Braze Cutters Check]]</f>
        <v>813</v>
      </c>
      <c r="AF267" s="23">
        <f t="shared" ca="1" si="57"/>
        <v>813</v>
      </c>
      <c r="AG267" s="625" t="s">
        <v>661</v>
      </c>
      <c r="AJ267" s="19">
        <f t="shared" si="55"/>
        <v>1282370</v>
      </c>
      <c r="AY267" t="str">
        <v>1239239M</v>
      </c>
    </row>
    <row r="268" spans="1:51" ht="24.75" customHeight="1" x14ac:dyDescent="0.25">
      <c r="A268" s="109">
        <v>20240018</v>
      </c>
      <c r="B268" s="608"/>
      <c r="C268" s="109">
        <v>14144622</v>
      </c>
      <c r="D268" s="109" t="s">
        <v>631</v>
      </c>
      <c r="E268" s="109" t="s">
        <v>645</v>
      </c>
      <c r="F268" s="109" t="s">
        <v>697</v>
      </c>
      <c r="G268" s="109" t="s">
        <v>681</v>
      </c>
      <c r="H268" s="140">
        <v>1262047</v>
      </c>
      <c r="I268" s="140">
        <v>1235768</v>
      </c>
      <c r="J268" s="26">
        <f>IF(H268&lt;&gt;"",IF(AND(C268&lt;&gt;"",IFERROR(MATCH(C268,Table10[Serial No.],0),0)),0,1),0)</f>
        <v>0</v>
      </c>
      <c r="K268" s="21"/>
      <c r="L268" s="539" t="str">
        <f t="shared" ca="1" si="58"/>
        <v/>
      </c>
      <c r="N268" s="28"/>
      <c r="S268" s="281">
        <v>1276939</v>
      </c>
      <c r="T268" s="278" t="s">
        <v>624</v>
      </c>
      <c r="U268" s="278" t="s">
        <v>663</v>
      </c>
      <c r="V268" s="25">
        <v>2</v>
      </c>
      <c r="W268" s="284">
        <v>1078377</v>
      </c>
      <c r="X268" s="19" t="str">
        <f>IFERROR(INDEX(Table14[],MATCH($W268,Table14[SAPNo],0),3),"")</f>
        <v>13MM CT221 R1</v>
      </c>
      <c r="Y268" s="284">
        <v>15</v>
      </c>
      <c r="Z268" s="25">
        <f t="shared" si="56"/>
        <v>9</v>
      </c>
      <c r="AA268" s="25">
        <f t="shared" si="59"/>
        <v>135</v>
      </c>
      <c r="AB268" s="23">
        <f ca="1">IFERROR(INDEX('Cutters Inventory 12-30-2025'!A:W,MATCH($W268,'Cutters Inventory 12-30-2025'!B:B,0),14),0)</f>
        <v>439</v>
      </c>
      <c r="AC268" s="23">
        <f>SUMIF(Table1[LEVEL 5 MAT NO.],S268,Table1[Braze Plan])</f>
        <v>0</v>
      </c>
      <c r="AD268" s="23">
        <f>Table4[[#This Row],[Quantity]]*Table4[[#This Row],[Bits Braze Plan]]</f>
        <v>0</v>
      </c>
      <c r="AE268" s="23">
        <f ca="1">Table4[[#This Row],[INV. QTY]]-Table4[[#This Row],[Required For Braze Cutters Check]]</f>
        <v>439</v>
      </c>
      <c r="AF268" s="23">
        <f t="shared" ca="1" si="57"/>
        <v>439</v>
      </c>
      <c r="AG268" s="23"/>
      <c r="AJ268" s="19">
        <f t="shared" si="55"/>
        <v>1288783</v>
      </c>
      <c r="AY268" t="str">
        <v>1239258M</v>
      </c>
    </row>
    <row r="269" spans="1:51" ht="24.75" customHeight="1" x14ac:dyDescent="0.25">
      <c r="A269" s="109">
        <v>20240018</v>
      </c>
      <c r="B269" s="608"/>
      <c r="C269" s="109">
        <v>14144626</v>
      </c>
      <c r="D269" s="109" t="s">
        <v>631</v>
      </c>
      <c r="E269" s="109" t="s">
        <v>645</v>
      </c>
      <c r="F269" s="109" t="s">
        <v>697</v>
      </c>
      <c r="G269" s="109" t="s">
        <v>681</v>
      </c>
      <c r="H269" s="140">
        <v>1262047</v>
      </c>
      <c r="I269" s="140">
        <v>1235768</v>
      </c>
      <c r="J269" s="26">
        <f>IF(H269&lt;&gt;"",IF(AND(C269&lt;&gt;"",IFERROR(MATCH(C269,Table10[Serial No.],0),0)),0,1),0)</f>
        <v>0</v>
      </c>
      <c r="K269" s="21"/>
      <c r="L269" s="539" t="str">
        <f t="shared" ca="1" si="58"/>
        <v/>
      </c>
      <c r="N269" s="28"/>
      <c r="S269" s="281">
        <v>1276939</v>
      </c>
      <c r="T269" s="278" t="s">
        <v>624</v>
      </c>
      <c r="U269" s="278" t="s">
        <v>663</v>
      </c>
      <c r="V269" s="25">
        <v>3</v>
      </c>
      <c r="W269" s="284">
        <v>1208601</v>
      </c>
      <c r="X269" s="19" t="str">
        <f>IFERROR(INDEX(Table14[],MATCH($W269,Table14[SAPNo],0),3),"")</f>
        <v>1613 CT418 U-60</v>
      </c>
      <c r="Y269" s="284">
        <v>8</v>
      </c>
      <c r="Z269" s="25">
        <f t="shared" si="56"/>
        <v>9</v>
      </c>
      <c r="AA269" s="25">
        <f t="shared" si="59"/>
        <v>72</v>
      </c>
      <c r="AB269" s="23">
        <f ca="1">IFERROR(INDEX('Cutters Inventory 12-30-2025'!A:W,MATCH($W269,'Cutters Inventory 12-30-2025'!B:B,0),14),0)</f>
        <v>230</v>
      </c>
      <c r="AC269" s="23">
        <f>SUMIF(Table1[LEVEL 5 MAT NO.],S269,Table1[Braze Plan])</f>
        <v>0</v>
      </c>
      <c r="AD269" s="23">
        <f>Table4[[#This Row],[Quantity]]*Table4[[#This Row],[Bits Braze Plan]]</f>
        <v>0</v>
      </c>
      <c r="AE269" s="23">
        <f ca="1">Table4[[#This Row],[INV. QTY]]-Table4[[#This Row],[Required For Braze Cutters Check]]</f>
        <v>230</v>
      </c>
      <c r="AF269" s="23">
        <f t="shared" ca="1" si="57"/>
        <v>230</v>
      </c>
      <c r="AG269" s="23"/>
      <c r="AJ269" s="19">
        <f t="shared" si="55"/>
        <v>1291852</v>
      </c>
      <c r="AY269" t="str">
        <v>1245357M</v>
      </c>
    </row>
    <row r="270" spans="1:51" ht="24.75" customHeight="1" x14ac:dyDescent="0.25">
      <c r="A270" s="109">
        <v>20240018</v>
      </c>
      <c r="B270" s="709"/>
      <c r="C270" s="109">
        <v>14144627</v>
      </c>
      <c r="D270" s="109" t="s">
        <v>309</v>
      </c>
      <c r="E270" s="109" t="s">
        <v>311</v>
      </c>
      <c r="F270" s="109" t="s">
        <v>699</v>
      </c>
      <c r="G270" s="109" t="s">
        <v>676</v>
      </c>
      <c r="H270" s="140">
        <v>1145824</v>
      </c>
      <c r="I270" s="140">
        <v>1137349</v>
      </c>
      <c r="J270" s="26">
        <f>IF(H270&lt;&gt;"",IF(AND(C270&lt;&gt;"",IFERROR(MATCH(C270,Table10[Serial No.],0),0)),0,1),0)</f>
        <v>0</v>
      </c>
      <c r="K270" s="21"/>
      <c r="L270" s="539" t="str">
        <f t="shared" ca="1" si="58"/>
        <v/>
      </c>
      <c r="S270" s="281">
        <v>1276939</v>
      </c>
      <c r="T270" s="278" t="s">
        <v>624</v>
      </c>
      <c r="U270" s="278" t="s">
        <v>663</v>
      </c>
      <c r="V270" s="25">
        <v>4</v>
      </c>
      <c r="W270" s="284">
        <v>418525</v>
      </c>
      <c r="X270" s="19" t="str">
        <f>IFERROR(INDEX(Table14[],MATCH($W270,Table14[SAPNo],0),3),"")</f>
        <v>Drop In 1308 CT31   (B)</v>
      </c>
      <c r="Y270" s="284">
        <v>6</v>
      </c>
      <c r="Z270" s="25">
        <f t="shared" si="56"/>
        <v>9</v>
      </c>
      <c r="AA270" s="25">
        <f t="shared" si="59"/>
        <v>54</v>
      </c>
      <c r="AB270" s="23">
        <f ca="1">IFERROR(INDEX('Cutters Inventory 12-30-2025'!A:W,MATCH($W270,'Cutters Inventory 12-30-2025'!B:B,0),14),0)</f>
        <v>933</v>
      </c>
      <c r="AC270" s="23">
        <f>SUMIF(Table1[LEVEL 5 MAT NO.],S270,Table1[Braze Plan])</f>
        <v>0</v>
      </c>
      <c r="AD270" s="23">
        <f>Table4[[#This Row],[Quantity]]*Table4[[#This Row],[Bits Braze Plan]]</f>
        <v>0</v>
      </c>
      <c r="AE270" s="23">
        <f ca="1">Table4[[#This Row],[INV. QTY]]-Table4[[#This Row],[Required For Braze Cutters Check]]</f>
        <v>933</v>
      </c>
      <c r="AF270" s="23">
        <f t="shared" ca="1" si="57"/>
        <v>933</v>
      </c>
      <c r="AG270" s="23"/>
      <c r="AJ270" s="19">
        <f t="shared" si="55"/>
        <v>1291870</v>
      </c>
      <c r="AY270" t="str">
        <v>1246020M</v>
      </c>
    </row>
    <row r="271" spans="1:51" ht="24.75" customHeight="1" x14ac:dyDescent="0.25">
      <c r="A271" s="109">
        <v>20240018</v>
      </c>
      <c r="B271" s="709"/>
      <c r="C271" s="109">
        <v>14144631</v>
      </c>
      <c r="D271" s="109" t="s">
        <v>624</v>
      </c>
      <c r="E271" s="109" t="s">
        <v>275</v>
      </c>
      <c r="F271" s="109" t="s">
        <v>700</v>
      </c>
      <c r="G271" s="109" t="s">
        <v>681</v>
      </c>
      <c r="H271" s="140">
        <v>1158011</v>
      </c>
      <c r="I271" s="140">
        <v>1267829</v>
      </c>
      <c r="J271" s="26">
        <f>IF(H271&lt;&gt;"",IF(AND(C271&lt;&gt;"",IFERROR(MATCH(C271,Table10[Serial No.],0),0)),0,1),0)</f>
        <v>0</v>
      </c>
      <c r="K271" s="21"/>
      <c r="L271" s="539" t="str">
        <f t="shared" ca="1" si="58"/>
        <v/>
      </c>
      <c r="S271" s="281">
        <v>1251627</v>
      </c>
      <c r="T271" s="278" t="s">
        <v>315</v>
      </c>
      <c r="U271" s="278" t="s">
        <v>682</v>
      </c>
      <c r="V271" s="25">
        <v>4</v>
      </c>
      <c r="W271" s="284">
        <v>1146737</v>
      </c>
      <c r="X271" s="19" t="str">
        <f>IFERROR(INDEX(Table14[],MATCH($W271,Table14[SAPNo],0),3),"")</f>
        <v>1613 CT418 18-60</v>
      </c>
      <c r="Y271" s="284">
        <v>9</v>
      </c>
      <c r="Z271" s="25">
        <f t="shared" si="56"/>
        <v>3</v>
      </c>
      <c r="AA271" s="25">
        <f t="shared" si="59"/>
        <v>27</v>
      </c>
      <c r="AB271" s="23">
        <f ca="1">IFERROR(INDEX('Cutters Inventory 12-30-2025'!A:W,MATCH($W271,'Cutters Inventory 12-30-2025'!B:B,0),14),0)</f>
        <v>1281</v>
      </c>
      <c r="AC271" s="23">
        <f>SUMIF(Table1[LEVEL 5 MAT NO.],S271,Table1[Braze Plan])</f>
        <v>0</v>
      </c>
      <c r="AD271" s="23">
        <f>Table4[[#This Row],[Quantity]]*Table4[[#This Row],[Bits Braze Plan]]</f>
        <v>0</v>
      </c>
      <c r="AE271" s="23">
        <f ca="1">Table4[[#This Row],[INV. QTY]]-Table4[[#This Row],[Required For Braze Cutters Check]]</f>
        <v>1281</v>
      </c>
      <c r="AF271" s="23">
        <f t="shared" ca="1" si="57"/>
        <v>1281</v>
      </c>
      <c r="AG271" s="23"/>
      <c r="AJ271" s="19">
        <f t="shared" si="55"/>
        <v>1292498</v>
      </c>
      <c r="AY271" t="str">
        <v>1246680M</v>
      </c>
    </row>
    <row r="272" spans="1:51" ht="24.75" customHeight="1" x14ac:dyDescent="0.25">
      <c r="A272" s="109">
        <v>20240018</v>
      </c>
      <c r="B272" s="709"/>
      <c r="C272" s="109">
        <v>14144629</v>
      </c>
      <c r="D272" s="109" t="s">
        <v>624</v>
      </c>
      <c r="E272" s="109" t="s">
        <v>275</v>
      </c>
      <c r="F272" s="109" t="s">
        <v>700</v>
      </c>
      <c r="G272" s="109" t="s">
        <v>681</v>
      </c>
      <c r="H272" s="140">
        <v>1158011</v>
      </c>
      <c r="I272" s="140">
        <v>1267829</v>
      </c>
      <c r="J272" s="26">
        <f>IF(H272&lt;&gt;"",IF(AND(C272&lt;&gt;"",IFERROR(MATCH(C272,Table10[Serial No.],0),0)),0,1),0)</f>
        <v>0</v>
      </c>
      <c r="K272" s="21"/>
      <c r="L272" s="539" t="str">
        <f t="shared" ca="1" si="58"/>
        <v/>
      </c>
      <c r="S272" s="281">
        <v>1283277</v>
      </c>
      <c r="T272" s="278" t="s">
        <v>319</v>
      </c>
      <c r="U272" s="278" t="s">
        <v>320</v>
      </c>
      <c r="V272" s="25">
        <v>1</v>
      </c>
      <c r="W272" s="619">
        <v>1288783</v>
      </c>
      <c r="X272" s="618" t="str">
        <f>IFERROR(INDEX(Table14[],MATCH($W272,Table14[SAPNo],0),3),"")</f>
        <v>1613 CT179 18-60</v>
      </c>
      <c r="Y272" s="284">
        <v>47</v>
      </c>
      <c r="Z272" s="25">
        <f t="shared" si="56"/>
        <v>2</v>
      </c>
      <c r="AA272" s="25">
        <f t="shared" si="59"/>
        <v>94</v>
      </c>
      <c r="AB272" s="23">
        <f ca="1">IFERROR(INDEX('Cutters Inventory 12-30-2025'!A:W,MATCH($W272,'Cutters Inventory 12-30-2025'!B:B,0),14),0)</f>
        <v>813</v>
      </c>
      <c r="AC272" s="23">
        <f>SUMIF(Table1[LEVEL 5 MAT NO.],S272,Table1[Braze Plan])</f>
        <v>0</v>
      </c>
      <c r="AD272" s="23">
        <f>Table4[[#This Row],[Quantity]]*Table4[[#This Row],[Bits Braze Plan]]</f>
        <v>0</v>
      </c>
      <c r="AE272" s="23">
        <f ca="1">Table4[[#This Row],[INV. QTY]]-Table4[[#This Row],[Required For Braze Cutters Check]]</f>
        <v>813</v>
      </c>
      <c r="AF272" s="23">
        <f t="shared" ca="1" si="57"/>
        <v>813</v>
      </c>
      <c r="AG272" s="625" t="s">
        <v>661</v>
      </c>
      <c r="AJ272" s="19">
        <f t="shared" si="55"/>
        <v>1293118</v>
      </c>
      <c r="AY272" t="str">
        <v>1248668M</v>
      </c>
    </row>
    <row r="273" spans="1:51" ht="24.75" customHeight="1" x14ac:dyDescent="0.25">
      <c r="A273" s="109">
        <v>20240018</v>
      </c>
      <c r="B273" s="709"/>
      <c r="C273" s="109">
        <v>14144633</v>
      </c>
      <c r="D273" s="109" t="s">
        <v>624</v>
      </c>
      <c r="E273" s="109" t="s">
        <v>275</v>
      </c>
      <c r="F273" s="109" t="s">
        <v>700</v>
      </c>
      <c r="G273" s="109" t="s">
        <v>681</v>
      </c>
      <c r="H273" s="140">
        <v>1158011</v>
      </c>
      <c r="I273" s="140">
        <v>1267829</v>
      </c>
      <c r="J273" s="26">
        <f>IF(H273&lt;&gt;"",IF(AND(C273&lt;&gt;"",IFERROR(MATCH(C273,Table10[Serial No.],0),0)),0,1),0)</f>
        <v>0</v>
      </c>
      <c r="K273" s="21"/>
      <c r="L273" s="539" t="str">
        <f t="shared" ca="1" si="58"/>
        <v/>
      </c>
      <c r="S273" s="281">
        <v>1283277</v>
      </c>
      <c r="T273" s="278" t="s">
        <v>319</v>
      </c>
      <c r="U273" s="278" t="s">
        <v>320</v>
      </c>
      <c r="V273" s="25">
        <v>2</v>
      </c>
      <c r="W273" s="284">
        <v>179734</v>
      </c>
      <c r="X273" s="19" t="str">
        <f>IFERROR(INDEX(Table14[],MATCH($W273,Table14[SAPNo],0),3),"")</f>
        <v>Long IPA 13    (C)</v>
      </c>
      <c r="Y273" s="284">
        <v>35</v>
      </c>
      <c r="Z273" s="25">
        <f t="shared" si="56"/>
        <v>2</v>
      </c>
      <c r="AA273" s="25">
        <f t="shared" si="59"/>
        <v>70</v>
      </c>
      <c r="AB273" s="23">
        <f ca="1">IFERROR(INDEX('Cutters Inventory 12-30-2025'!A:W,MATCH($W273,'Cutters Inventory 12-30-2025'!B:B,0),14),0)</f>
        <v>140</v>
      </c>
      <c r="AC273" s="23">
        <f>SUMIF(Table1[LEVEL 5 MAT NO.],S273,Table1[Braze Plan])</f>
        <v>0</v>
      </c>
      <c r="AD273" s="23">
        <f>Table4[[#This Row],[Quantity]]*Table4[[#This Row],[Bits Braze Plan]]</f>
        <v>0</v>
      </c>
      <c r="AE273" s="23">
        <f ca="1">Table4[[#This Row],[INV. QTY]]-Table4[[#This Row],[Required For Braze Cutters Check]]</f>
        <v>140</v>
      </c>
      <c r="AF273" s="23">
        <f t="shared" ca="1" si="57"/>
        <v>140</v>
      </c>
      <c r="AG273" s="23"/>
      <c r="AJ273" s="19">
        <f t="shared" si="55"/>
        <v>1296685</v>
      </c>
      <c r="AY273" t="str">
        <v>1251098M</v>
      </c>
    </row>
    <row r="274" spans="1:51" ht="24.75" customHeight="1" x14ac:dyDescent="0.25">
      <c r="A274" s="109">
        <v>20240018</v>
      </c>
      <c r="B274" s="709"/>
      <c r="C274" s="109">
        <v>14144632</v>
      </c>
      <c r="D274" s="109" t="s">
        <v>624</v>
      </c>
      <c r="E274" s="109" t="s">
        <v>275</v>
      </c>
      <c r="F274" s="109" t="s">
        <v>700</v>
      </c>
      <c r="G274" s="109" t="s">
        <v>681</v>
      </c>
      <c r="H274" s="140">
        <v>1158011</v>
      </c>
      <c r="I274" s="140">
        <v>1267829</v>
      </c>
      <c r="J274" s="26">
        <f>IF(H274&lt;&gt;"",IF(AND(C274&lt;&gt;"",IFERROR(MATCH(C274,Table10[Serial No.],0),0)),0,1),0)</f>
        <v>0</v>
      </c>
      <c r="K274" s="21"/>
      <c r="L274" s="539" t="str">
        <f t="shared" ca="1" si="58"/>
        <v/>
      </c>
      <c r="S274" s="281">
        <v>1176003</v>
      </c>
      <c r="T274" s="278" t="s">
        <v>315</v>
      </c>
      <c r="U274" s="278" t="s">
        <v>660</v>
      </c>
      <c r="V274" s="25">
        <v>5</v>
      </c>
      <c r="W274" s="284">
        <v>1146737</v>
      </c>
      <c r="X274" s="19" t="str">
        <f>IFERROR(INDEX(Table14[],MATCH($W274,Table14[SAPNo],0),3),"")</f>
        <v>1613 CT418 18-60</v>
      </c>
      <c r="Y274" s="284">
        <v>20</v>
      </c>
      <c r="Z274" s="25">
        <f t="shared" si="56"/>
        <v>2</v>
      </c>
      <c r="AA274" s="25">
        <f t="shared" si="59"/>
        <v>40</v>
      </c>
      <c r="AB274" s="23">
        <f ca="1">IFERROR(INDEX('Cutters Inventory 12-30-2025'!A:W,MATCH($W274,'Cutters Inventory 12-30-2025'!B:B,0),14),0)</f>
        <v>1281</v>
      </c>
      <c r="AC274" s="23">
        <f>SUMIF(Table1[LEVEL 5 MAT NO.],S274,Table1[Braze Plan])</f>
        <v>0</v>
      </c>
      <c r="AD274" s="23">
        <f>Table4[[#This Row],[Quantity]]*Table4[[#This Row],[Bits Braze Plan]]</f>
        <v>0</v>
      </c>
      <c r="AE274" s="23">
        <f ca="1">Table4[[#This Row],[INV. QTY]]-Table4[[#This Row],[Required For Braze Cutters Check]]</f>
        <v>1281</v>
      </c>
      <c r="AF274" s="23">
        <f t="shared" ca="1" si="57"/>
        <v>1281</v>
      </c>
      <c r="AG274" s="23"/>
      <c r="AJ274" s="19">
        <f t="shared" si="55"/>
        <v>2000450</v>
      </c>
      <c r="AY274" t="str">
        <v>1255267M</v>
      </c>
    </row>
    <row r="275" spans="1:51" ht="24.75" customHeight="1" x14ac:dyDescent="0.25">
      <c r="A275" s="109">
        <v>20240018</v>
      </c>
      <c r="B275" s="709"/>
      <c r="C275" s="109">
        <v>14144634</v>
      </c>
      <c r="D275" s="109" t="s">
        <v>624</v>
      </c>
      <c r="E275" s="109" t="s">
        <v>275</v>
      </c>
      <c r="F275" s="109" t="s">
        <v>700</v>
      </c>
      <c r="G275" s="109" t="s">
        <v>681</v>
      </c>
      <c r="H275" s="140">
        <v>1158011</v>
      </c>
      <c r="I275" s="140">
        <v>1267829</v>
      </c>
      <c r="J275" s="26">
        <f>IF(H275&lt;&gt;"",IF(AND(C275&lt;&gt;"",IFERROR(MATCH(C275,Table10[Serial No.],0),0)),0,1),0)</f>
        <v>0</v>
      </c>
      <c r="K275" s="21"/>
      <c r="L275" s="539" t="str">
        <f t="shared" ca="1" si="58"/>
        <v/>
      </c>
      <c r="S275" s="281">
        <v>1283277</v>
      </c>
      <c r="T275" s="278" t="s">
        <v>319</v>
      </c>
      <c r="U275" s="278" t="s">
        <v>320</v>
      </c>
      <c r="V275" s="25">
        <v>4</v>
      </c>
      <c r="W275" s="284">
        <v>410851</v>
      </c>
      <c r="X275" s="19" t="str">
        <f>IFERROR(INDEX(Table14[],MATCH($W275,Table14[SAPNo],0),3),"")</f>
        <v>PDC Dome 1308 CT31   (B)</v>
      </c>
      <c r="Y275" s="284">
        <v>28</v>
      </c>
      <c r="Z275" s="25">
        <f t="shared" si="56"/>
        <v>2</v>
      </c>
      <c r="AA275" s="25">
        <f t="shared" si="59"/>
        <v>56</v>
      </c>
      <c r="AB275" s="23">
        <f ca="1">IFERROR(INDEX('Cutters Inventory 12-30-2025'!A:W,MATCH($W275,'Cutters Inventory 12-30-2025'!B:B,0),14),0)</f>
        <v>93</v>
      </c>
      <c r="AC275" s="23">
        <f>SUMIF(Table1[LEVEL 5 MAT NO.],S275,Table1[Braze Plan])</f>
        <v>0</v>
      </c>
      <c r="AD275" s="23">
        <f>Table4[[#This Row],[Quantity]]*Table4[[#This Row],[Bits Braze Plan]]</f>
        <v>0</v>
      </c>
      <c r="AE275" s="23">
        <f ca="1">Table4[[#This Row],[INV. QTY]]-Table4[[#This Row],[Required For Braze Cutters Check]]</f>
        <v>93</v>
      </c>
      <c r="AF275" s="23">
        <f t="shared" ca="1" si="57"/>
        <v>93</v>
      </c>
      <c r="AG275" s="23"/>
      <c r="AJ275" s="19">
        <f t="shared" si="55"/>
        <v>2001060</v>
      </c>
      <c r="AY275" t="str">
        <v>1257458M</v>
      </c>
    </row>
    <row r="276" spans="1:51" ht="24.75" customHeight="1" x14ac:dyDescent="0.25">
      <c r="A276" s="109">
        <v>20240018</v>
      </c>
      <c r="B276" s="608"/>
      <c r="C276" s="109">
        <v>14144630</v>
      </c>
      <c r="D276" s="109" t="s">
        <v>624</v>
      </c>
      <c r="E276" s="109" t="s">
        <v>275</v>
      </c>
      <c r="F276" s="109" t="s">
        <v>700</v>
      </c>
      <c r="G276" s="109" t="s">
        <v>681</v>
      </c>
      <c r="H276" s="140">
        <v>1158011</v>
      </c>
      <c r="I276" s="140">
        <v>1267829</v>
      </c>
      <c r="J276" s="26">
        <f>IF(H276&lt;&gt;"",IF(AND(C276&lt;&gt;"",IFERROR(MATCH(C276,Table10[Serial No.],0),0)),0,1),0)</f>
        <v>0</v>
      </c>
      <c r="K276" s="21"/>
      <c r="L276" s="539" t="str">
        <f t="shared" ca="1" si="58"/>
        <v/>
      </c>
      <c r="S276" s="281">
        <v>1283277</v>
      </c>
      <c r="T276" s="278" t="s">
        <v>319</v>
      </c>
      <c r="U276" s="278" t="s">
        <v>320</v>
      </c>
      <c r="V276" s="25">
        <v>5</v>
      </c>
      <c r="W276" s="284">
        <v>647436</v>
      </c>
      <c r="X276" s="19" t="str">
        <f>IFERROR(INDEX(Table14[],MATCH($W276,Table14[SAPNo],0),3),"")</f>
        <v>Round 1613 CT200  0.018" (B)</v>
      </c>
      <c r="Y276" s="284">
        <v>27</v>
      </c>
      <c r="Z276" s="25">
        <f t="shared" si="56"/>
        <v>2</v>
      </c>
      <c r="AA276" s="25">
        <f t="shared" si="59"/>
        <v>54</v>
      </c>
      <c r="AB276" s="23">
        <f ca="1">IFERROR(INDEX('Cutters Inventory 12-30-2025'!A:W,MATCH($W276,'Cutters Inventory 12-30-2025'!B:B,0),14),0)</f>
        <v>412</v>
      </c>
      <c r="AC276" s="23">
        <f>SUMIF(Table1[LEVEL 5 MAT NO.],S276,Table1[Braze Plan])</f>
        <v>0</v>
      </c>
      <c r="AD276" s="23">
        <f>Table4[[#This Row],[Quantity]]*Table4[[#This Row],[Bits Braze Plan]]</f>
        <v>0</v>
      </c>
      <c r="AE276" s="23">
        <f ca="1">Table4[[#This Row],[INV. QTY]]-Table4[[#This Row],[Required For Braze Cutters Check]]</f>
        <v>412</v>
      </c>
      <c r="AF276" s="23">
        <f t="shared" ca="1" si="57"/>
        <v>412</v>
      </c>
      <c r="AG276" s="23"/>
      <c r="AJ276" s="19">
        <f t="shared" si="55"/>
        <v>2001155</v>
      </c>
      <c r="AY276" t="str">
        <v>1270865M</v>
      </c>
    </row>
    <row r="277" spans="1:51" ht="24.75" customHeight="1" x14ac:dyDescent="0.25">
      <c r="A277" s="109">
        <v>20240018</v>
      </c>
      <c r="B277" s="608"/>
      <c r="C277" s="109">
        <v>14144628</v>
      </c>
      <c r="D277" s="109" t="s">
        <v>624</v>
      </c>
      <c r="E277" s="109" t="s">
        <v>275</v>
      </c>
      <c r="F277" s="109" t="s">
        <v>700</v>
      </c>
      <c r="G277" s="109" t="s">
        <v>681</v>
      </c>
      <c r="H277" s="140">
        <v>1158011</v>
      </c>
      <c r="I277" s="140">
        <v>1267829</v>
      </c>
      <c r="J277" s="26">
        <f>IF(H277&lt;&gt;"",IF(AND(C277&lt;&gt;"",IFERROR(MATCH(C277,Table10[Serial No.],0),0)),0,1),0)</f>
        <v>0</v>
      </c>
      <c r="K277" s="21"/>
      <c r="L277" s="539" t="str">
        <f t="shared" ca="1" si="58"/>
        <v/>
      </c>
      <c r="S277" s="281">
        <v>1283277</v>
      </c>
      <c r="T277" s="278" t="s">
        <v>319</v>
      </c>
      <c r="U277" s="278" t="s">
        <v>320</v>
      </c>
      <c r="V277" s="25">
        <v>6</v>
      </c>
      <c r="W277" s="284">
        <v>418525</v>
      </c>
      <c r="X277" s="19" t="str">
        <f>IFERROR(INDEX(Table14[],MATCH($W277,Table14[SAPNo],0),3),"")</f>
        <v>Drop In 1308 CT31   (B)</v>
      </c>
      <c r="Y277" s="284">
        <v>14</v>
      </c>
      <c r="Z277" s="25">
        <f t="shared" si="56"/>
        <v>2</v>
      </c>
      <c r="AA277" s="25">
        <f t="shared" si="59"/>
        <v>28</v>
      </c>
      <c r="AB277" s="23">
        <f ca="1">IFERROR(INDEX('Cutters Inventory 12-30-2025'!A:W,MATCH($W277,'Cutters Inventory 12-30-2025'!B:B,0),14),0)</f>
        <v>933</v>
      </c>
      <c r="AC277" s="23">
        <f>SUMIF(Table1[LEVEL 5 MAT NO.],S277,Table1[Braze Plan])</f>
        <v>0</v>
      </c>
      <c r="AD277" s="23">
        <f>Table4[[#This Row],[Quantity]]*Table4[[#This Row],[Bits Braze Plan]]</f>
        <v>0</v>
      </c>
      <c r="AE277" s="23">
        <f ca="1">Table4[[#This Row],[INV. QTY]]-Table4[[#This Row],[Required For Braze Cutters Check]]</f>
        <v>933</v>
      </c>
      <c r="AF277" s="23">
        <f t="shared" ca="1" si="57"/>
        <v>933</v>
      </c>
      <c r="AG277" s="23"/>
      <c r="AJ277" s="19">
        <f t="shared" si="55"/>
        <v>2002186</v>
      </c>
      <c r="AY277" t="str">
        <v>1282368M</v>
      </c>
    </row>
    <row r="278" spans="1:51" ht="24.75" customHeight="1" x14ac:dyDescent="0.25">
      <c r="A278" s="109">
        <v>20240018</v>
      </c>
      <c r="B278" s="709"/>
      <c r="C278" s="109">
        <v>14144635</v>
      </c>
      <c r="D278" s="109" t="s">
        <v>315</v>
      </c>
      <c r="E278" s="109" t="s">
        <v>701</v>
      </c>
      <c r="F278" s="109" t="s">
        <v>702</v>
      </c>
      <c r="G278" s="109" t="s">
        <v>676</v>
      </c>
      <c r="H278" s="140">
        <v>1228896</v>
      </c>
      <c r="I278" s="140">
        <v>1095217</v>
      </c>
      <c r="J278" s="26">
        <f>IF(H278&lt;&gt;"",IF(AND(C278&lt;&gt;"",IFERROR(MATCH(C278,Table10[Serial No.],0),0)),0,1),0)</f>
        <v>0</v>
      </c>
      <c r="K278" s="21"/>
      <c r="L278" s="539" t="str">
        <f t="shared" ca="1" si="58"/>
        <v/>
      </c>
      <c r="S278" s="281">
        <v>1283482</v>
      </c>
      <c r="T278" s="278" t="s">
        <v>313</v>
      </c>
      <c r="U278" s="278" t="s">
        <v>703</v>
      </c>
      <c r="V278" s="25">
        <v>1</v>
      </c>
      <c r="W278" s="284">
        <v>2004484</v>
      </c>
      <c r="X278" s="19" t="str">
        <f>IFERROR(INDEX(Table14[],MATCH($W278,Table14[SAPNo],0),3),"")</f>
        <v>1308 CT187 U-60</v>
      </c>
      <c r="Y278" s="284">
        <v>21</v>
      </c>
      <c r="Z278" s="25">
        <f t="shared" si="56"/>
        <v>4</v>
      </c>
      <c r="AA278" s="25">
        <f t="shared" si="59"/>
        <v>84</v>
      </c>
      <c r="AB278" s="23">
        <f ca="1">IFERROR(INDEX('Cutters Inventory 12-30-2025'!A:W,MATCH($W278,'Cutters Inventory 12-30-2025'!B:B,0),14),0)</f>
        <v>428</v>
      </c>
      <c r="AC278" s="23">
        <f>SUMIF(Table1[LEVEL 5 MAT NO.],S278,Table1[Braze Plan])</f>
        <v>0</v>
      </c>
      <c r="AD278" s="23">
        <f>Table4[[#This Row],[Quantity]]*Table4[[#This Row],[Bits Braze Plan]]</f>
        <v>0</v>
      </c>
      <c r="AE278" s="23">
        <f ca="1">Table4[[#This Row],[INV. QTY]]-Table4[[#This Row],[Required For Braze Cutters Check]]</f>
        <v>428</v>
      </c>
      <c r="AF278" s="23">
        <f t="shared" ca="1" si="57"/>
        <v>428</v>
      </c>
      <c r="AG278" s="23"/>
      <c r="AJ278" s="19">
        <f t="shared" si="55"/>
        <v>2002299</v>
      </c>
      <c r="AY278" t="str">
        <v>1283567M</v>
      </c>
    </row>
    <row r="279" spans="1:51" ht="24.75" customHeight="1" x14ac:dyDescent="0.25">
      <c r="A279" s="109">
        <v>20240018</v>
      </c>
      <c r="B279" s="709"/>
      <c r="C279" s="109">
        <v>14144636</v>
      </c>
      <c r="D279" s="109" t="s">
        <v>315</v>
      </c>
      <c r="E279" s="109" t="s">
        <v>701</v>
      </c>
      <c r="F279" s="109" t="s">
        <v>702</v>
      </c>
      <c r="G279" s="109" t="s">
        <v>676</v>
      </c>
      <c r="H279" s="140">
        <v>1228896</v>
      </c>
      <c r="I279" s="140">
        <v>1095217</v>
      </c>
      <c r="J279" s="26">
        <f>IF(H279&lt;&gt;"",IF(AND(C279&lt;&gt;"",IFERROR(MATCH(C279,Table10[Serial No.],0),0)),0,1),0)</f>
        <v>0</v>
      </c>
      <c r="K279" s="21"/>
      <c r="L279" s="539" t="str">
        <f t="shared" ca="1" si="58"/>
        <v/>
      </c>
      <c r="S279" s="281">
        <v>1283482</v>
      </c>
      <c r="T279" s="278" t="s">
        <v>313</v>
      </c>
      <c r="U279" s="278" t="s">
        <v>703</v>
      </c>
      <c r="V279" s="25">
        <v>2</v>
      </c>
      <c r="W279" s="284">
        <v>2002299</v>
      </c>
      <c r="X279" s="19" t="str">
        <f>IFERROR(INDEX(Table14[],MATCH($W279,Table14[SAPNo],0),3),"")</f>
        <v>1613 CT187 U-60</v>
      </c>
      <c r="Y279" s="284">
        <v>18</v>
      </c>
      <c r="Z279" s="25">
        <f t="shared" si="56"/>
        <v>4</v>
      </c>
      <c r="AA279" s="25">
        <f t="shared" si="59"/>
        <v>72</v>
      </c>
      <c r="AB279" s="23">
        <f ca="1">IFERROR(INDEX('Cutters Inventory 12-30-2025'!A:W,MATCH($W279,'Cutters Inventory 12-30-2025'!B:B,0),14),0)</f>
        <v>557</v>
      </c>
      <c r="AC279" s="23">
        <f>SUMIF(Table1[LEVEL 5 MAT NO.],S279,Table1[Braze Plan])</f>
        <v>0</v>
      </c>
      <c r="AD279" s="23">
        <f>Table4[[#This Row],[Quantity]]*Table4[[#This Row],[Bits Braze Plan]]</f>
        <v>0</v>
      </c>
      <c r="AE279" s="23">
        <f ca="1">Table4[[#This Row],[INV. QTY]]-Table4[[#This Row],[Required For Braze Cutters Check]]</f>
        <v>557</v>
      </c>
      <c r="AF279" s="23">
        <f t="shared" ca="1" si="57"/>
        <v>557</v>
      </c>
      <c r="AG279" s="23"/>
      <c r="AJ279" s="19">
        <f t="shared" si="55"/>
        <v>2004484</v>
      </c>
      <c r="AY279" t="str">
        <v>1290130M</v>
      </c>
    </row>
    <row r="280" spans="1:51" ht="24.75" customHeight="1" x14ac:dyDescent="0.25">
      <c r="A280" s="109">
        <v>20240018</v>
      </c>
      <c r="B280" s="709"/>
      <c r="C280" s="109">
        <v>14144637</v>
      </c>
      <c r="D280" s="109" t="s">
        <v>315</v>
      </c>
      <c r="E280" s="109" t="s">
        <v>284</v>
      </c>
      <c r="F280" s="109" t="s">
        <v>702</v>
      </c>
      <c r="G280" s="109" t="s">
        <v>676</v>
      </c>
      <c r="H280" s="140">
        <v>1234376</v>
      </c>
      <c r="I280" s="140">
        <v>1249569</v>
      </c>
      <c r="J280" s="26">
        <f>IF(H280&lt;&gt;"",IF(AND(C280&lt;&gt;"",IFERROR(MATCH(C280,Table10[Serial No.],0),0)),0,1),0)</f>
        <v>0</v>
      </c>
      <c r="K280" s="21"/>
      <c r="L280" s="539" t="str">
        <f t="shared" ca="1" si="58"/>
        <v/>
      </c>
      <c r="S280" s="281">
        <v>1283482</v>
      </c>
      <c r="T280" s="278" t="s">
        <v>313</v>
      </c>
      <c r="U280" s="278" t="s">
        <v>703</v>
      </c>
      <c r="V280" s="25">
        <v>3</v>
      </c>
      <c r="W280" s="284">
        <v>1228502</v>
      </c>
      <c r="X280" s="19" t="str">
        <f>IFERROR(INDEX(Table14[],MATCH($W280,Table14[SAPNo],0),3),"")</f>
        <v>1618 CT182 U-60 Rotor</v>
      </c>
      <c r="Y280" s="284">
        <v>17</v>
      </c>
      <c r="Z280" s="25">
        <f t="shared" si="56"/>
        <v>4</v>
      </c>
      <c r="AA280" s="25">
        <f t="shared" si="59"/>
        <v>68</v>
      </c>
      <c r="AB280" s="23">
        <f ca="1">IFERROR(INDEX('Cutters Inventory 12-30-2025'!A:W,MATCH($W280,'Cutters Inventory 12-30-2025'!B:B,0),14),0)</f>
        <v>655</v>
      </c>
      <c r="AC280" s="23">
        <f>SUMIF(Table1[LEVEL 5 MAT NO.],S280,Table1[Braze Plan])</f>
        <v>0</v>
      </c>
      <c r="AD280" s="23">
        <f>Table4[[#This Row],[Quantity]]*Table4[[#This Row],[Bits Braze Plan]]</f>
        <v>0</v>
      </c>
      <c r="AE280" s="23">
        <f ca="1">Table4[[#This Row],[INV. QTY]]-Table4[[#This Row],[Required For Braze Cutters Check]]</f>
        <v>655</v>
      </c>
      <c r="AF280" s="23">
        <f t="shared" ca="1" si="57"/>
        <v>655</v>
      </c>
      <c r="AG280" s="23"/>
      <c r="AJ280" s="19">
        <f t="shared" si="55"/>
        <v>2013427</v>
      </c>
      <c r="AY280" t="str">
        <v>2009096M</v>
      </c>
    </row>
    <row r="281" spans="1:51" ht="24.75" customHeight="1" x14ac:dyDescent="0.25">
      <c r="A281" s="109">
        <v>20240018</v>
      </c>
      <c r="B281" s="709"/>
      <c r="C281" s="109">
        <v>14144638</v>
      </c>
      <c r="D281" s="109" t="s">
        <v>315</v>
      </c>
      <c r="E281" s="109" t="s">
        <v>284</v>
      </c>
      <c r="F281" s="109" t="s">
        <v>702</v>
      </c>
      <c r="G281" s="109" t="s">
        <v>676</v>
      </c>
      <c r="H281" s="140">
        <v>1234376</v>
      </c>
      <c r="I281" s="140">
        <v>1249569</v>
      </c>
      <c r="J281" s="26">
        <f>IF(H281&lt;&gt;"",IF(AND(C281&lt;&gt;"",IFERROR(MATCH(C281,Table10[Serial No.],0),0)),0,1),0)</f>
        <v>0</v>
      </c>
      <c r="K281" s="21"/>
      <c r="L281" s="539" t="str">
        <f t="shared" ca="1" si="58"/>
        <v/>
      </c>
      <c r="S281" s="281">
        <v>1283482</v>
      </c>
      <c r="T281" s="278" t="s">
        <v>313</v>
      </c>
      <c r="U281" s="278" t="s">
        <v>703</v>
      </c>
      <c r="V281" s="25">
        <v>4</v>
      </c>
      <c r="W281" s="284">
        <v>871781</v>
      </c>
      <c r="X281" s="19" t="str">
        <f>IFERROR(INDEX(Table14[],MATCH($W281,Table14[SAPNo],0),3),"")</f>
        <v>Round 1313 CT200  0.018" (B)</v>
      </c>
      <c r="Y281" s="284">
        <v>7</v>
      </c>
      <c r="Z281" s="25">
        <f t="shared" si="56"/>
        <v>4</v>
      </c>
      <c r="AA281" s="25">
        <f t="shared" si="59"/>
        <v>28</v>
      </c>
      <c r="AB281" s="23">
        <f ca="1">IFERROR(INDEX('Cutters Inventory 12-30-2025'!A:W,MATCH($W281,'Cutters Inventory 12-30-2025'!B:B,0),14),0)</f>
        <v>843</v>
      </c>
      <c r="AC281" s="23">
        <f>SUMIF(Table1[LEVEL 5 MAT NO.],S281,Table1[Braze Plan])</f>
        <v>0</v>
      </c>
      <c r="AD281" s="23">
        <f>Table4[[#This Row],[Quantity]]*Table4[[#This Row],[Bits Braze Plan]]</f>
        <v>0</v>
      </c>
      <c r="AE281" s="23">
        <f ca="1">Table4[[#This Row],[INV. QTY]]-Table4[[#This Row],[Required For Braze Cutters Check]]</f>
        <v>843</v>
      </c>
      <c r="AF281" s="23">
        <f t="shared" ca="1" si="57"/>
        <v>843</v>
      </c>
      <c r="AG281" s="23"/>
      <c r="AJ281" s="19">
        <f t="shared" si="55"/>
        <v>2024642</v>
      </c>
      <c r="AY281" t="str">
        <v>2013542M</v>
      </c>
    </row>
    <row r="282" spans="1:51" ht="24.75" customHeight="1" x14ac:dyDescent="0.25">
      <c r="A282" s="109">
        <v>20240018</v>
      </c>
      <c r="B282" s="709"/>
      <c r="C282" s="109">
        <v>14144639</v>
      </c>
      <c r="D282" s="109" t="s">
        <v>315</v>
      </c>
      <c r="E282" s="109" t="s">
        <v>284</v>
      </c>
      <c r="F282" s="109" t="s">
        <v>702</v>
      </c>
      <c r="G282" s="109" t="s">
        <v>676</v>
      </c>
      <c r="H282" s="140">
        <v>1234376</v>
      </c>
      <c r="I282" s="140">
        <v>1249569</v>
      </c>
      <c r="J282" s="26">
        <f>IF(H282&lt;&gt;"",IF(AND(C282&lt;&gt;"",IFERROR(MATCH(C282,Table10[Serial No.],0),0)),0,1),0)</f>
        <v>0</v>
      </c>
      <c r="K282" s="21"/>
      <c r="L282" s="539" t="str">
        <f t="shared" ca="1" si="58"/>
        <v/>
      </c>
      <c r="S282" s="281">
        <v>1283482</v>
      </c>
      <c r="T282" s="278" t="s">
        <v>313</v>
      </c>
      <c r="U282" s="278" t="s">
        <v>703</v>
      </c>
      <c r="V282" s="25">
        <v>5</v>
      </c>
      <c r="W282" s="284">
        <v>653400</v>
      </c>
      <c r="X282" s="19" t="str">
        <f>IFERROR(INDEX(Table14[],MATCH($W282,Table14[SAPNo],0),3),"")</f>
        <v>13MM WC­MAT404 NA</v>
      </c>
      <c r="Y282" s="284">
        <v>6</v>
      </c>
      <c r="Z282" s="25">
        <f t="shared" si="56"/>
        <v>4</v>
      </c>
      <c r="AA282" s="25">
        <f t="shared" si="59"/>
        <v>24</v>
      </c>
      <c r="AB282" s="23">
        <f ca="1">IFERROR(INDEX('Cutters Inventory 12-30-2025'!A:W,MATCH($W282,'Cutters Inventory 12-30-2025'!B:B,0),14),0)</f>
        <v>37</v>
      </c>
      <c r="AC282" s="23">
        <f>SUMIF(Table1[LEVEL 5 MAT NO.],S282,Table1[Braze Plan])</f>
        <v>0</v>
      </c>
      <c r="AD282" s="23">
        <f>Table4[[#This Row],[Quantity]]*Table4[[#This Row],[Bits Braze Plan]]</f>
        <v>0</v>
      </c>
      <c r="AE282" s="23">
        <f ca="1">Table4[[#This Row],[INV. QTY]]-Table4[[#This Row],[Required For Braze Cutters Check]]</f>
        <v>37</v>
      </c>
      <c r="AF282" s="23">
        <f t="shared" ca="1" si="57"/>
        <v>37</v>
      </c>
      <c r="AG282" s="23"/>
      <c r="AJ282" s="19">
        <f t="shared" si="55"/>
        <v>0</v>
      </c>
      <c r="AY282" t="str">
        <v>2016137M</v>
      </c>
    </row>
    <row r="283" spans="1:51" ht="24.75" customHeight="1" x14ac:dyDescent="0.25">
      <c r="A283" s="109">
        <v>20240018</v>
      </c>
      <c r="B283" s="709"/>
      <c r="C283" s="109">
        <v>14144640</v>
      </c>
      <c r="D283" s="109" t="s">
        <v>315</v>
      </c>
      <c r="E283" s="109" t="s">
        <v>684</v>
      </c>
      <c r="F283" s="109" t="s">
        <v>702</v>
      </c>
      <c r="G283" s="109" t="s">
        <v>676</v>
      </c>
      <c r="H283" s="140">
        <v>1245431</v>
      </c>
      <c r="I283" s="140" t="s">
        <v>655</v>
      </c>
      <c r="J283" s="26">
        <f>IF(H283&lt;&gt;"",IF(AND(C283&lt;&gt;"",IFERROR(MATCH(C283,Table10[Serial No.],0),0)),0,1),0)</f>
        <v>0</v>
      </c>
      <c r="K283" s="21"/>
      <c r="L283" s="539" t="str">
        <f t="shared" si="58"/>
        <v/>
      </c>
      <c r="S283" s="281">
        <v>1283482</v>
      </c>
      <c r="T283" s="278" t="s">
        <v>313</v>
      </c>
      <c r="U283" s="278" t="s">
        <v>703</v>
      </c>
      <c r="V283" s="25">
        <v>6</v>
      </c>
      <c r="W283" s="284">
        <v>1126402</v>
      </c>
      <c r="X283" s="19" t="str">
        <f>IFERROR(INDEX(Table14[],MATCH($W283,Table14[SAPNo],0),3),"")</f>
        <v>1613 CT421 16-60</v>
      </c>
      <c r="Y283" s="284">
        <v>6</v>
      </c>
      <c r="Z283" s="25">
        <f t="shared" si="56"/>
        <v>4</v>
      </c>
      <c r="AA283" s="25">
        <f t="shared" si="59"/>
        <v>24</v>
      </c>
      <c r="AB283" s="23">
        <f ca="1">IFERROR(INDEX('Cutters Inventory 12-30-2025'!A:W,MATCH($W283,'Cutters Inventory 12-30-2025'!B:B,0),14),0)</f>
        <v>422</v>
      </c>
      <c r="AC283" s="23">
        <f>SUMIF(Table1[LEVEL 5 MAT NO.],S283,Table1[Braze Plan])</f>
        <v>0</v>
      </c>
      <c r="AD283" s="23">
        <f>Table4[[#This Row],[Quantity]]*Table4[[#This Row],[Bits Braze Plan]]</f>
        <v>0</v>
      </c>
      <c r="AE283" s="23">
        <f ca="1">Table4[[#This Row],[INV. QTY]]-Table4[[#This Row],[Required For Braze Cutters Check]]</f>
        <v>422</v>
      </c>
      <c r="AF283" s="23">
        <f t="shared" ca="1" si="57"/>
        <v>422</v>
      </c>
      <c r="AG283" s="23"/>
      <c r="AJ283" s="19">
        <f t="shared" si="55"/>
        <v>0</v>
      </c>
      <c r="AY283" t="str">
        <v>2017993M</v>
      </c>
    </row>
    <row r="284" spans="1:51" ht="24.75" customHeight="1" x14ac:dyDescent="0.25">
      <c r="A284" s="109">
        <v>20240018</v>
      </c>
      <c r="B284" s="709"/>
      <c r="C284" s="109">
        <v>14144641</v>
      </c>
      <c r="D284" s="109" t="s">
        <v>315</v>
      </c>
      <c r="E284" s="109" t="s">
        <v>684</v>
      </c>
      <c r="F284" s="109" t="s">
        <v>702</v>
      </c>
      <c r="G284" s="109" t="s">
        <v>676</v>
      </c>
      <c r="H284" s="140">
        <v>1245431</v>
      </c>
      <c r="I284" s="140" t="s">
        <v>655</v>
      </c>
      <c r="J284" s="26">
        <f>IF(H284&lt;&gt;"",IF(AND(C284&lt;&gt;"",IFERROR(MATCH(C284,Table10[Serial No.],0),0)),0,1),0)</f>
        <v>0</v>
      </c>
      <c r="K284" s="21"/>
      <c r="L284" s="539" t="str">
        <f t="shared" si="58"/>
        <v/>
      </c>
      <c r="S284" s="281">
        <v>1283482</v>
      </c>
      <c r="T284" s="278" t="s">
        <v>313</v>
      </c>
      <c r="U284" s="278" t="s">
        <v>703</v>
      </c>
      <c r="V284" s="25">
        <v>7</v>
      </c>
      <c r="W284" s="284">
        <v>1228503</v>
      </c>
      <c r="X284" s="19" t="str">
        <f>IFERROR(INDEX(Table14[],MATCH($W284,Table14[SAPNo],0),3),"")</f>
        <v>1618 CT182 U-60 Ring</v>
      </c>
      <c r="Y284" s="284">
        <v>17</v>
      </c>
      <c r="Z284" s="25">
        <f t="shared" si="56"/>
        <v>4</v>
      </c>
      <c r="AA284" s="25">
        <f t="shared" si="59"/>
        <v>68</v>
      </c>
      <c r="AB284" s="23">
        <f ca="1">IFERROR(INDEX('Cutters Inventory 12-30-2025'!A:W,MATCH($W284,'Cutters Inventory 12-30-2025'!B:B,0),14),0)</f>
        <v>397</v>
      </c>
      <c r="AC284" s="23">
        <f>SUMIF(Table1[LEVEL 5 MAT NO.],S284,Table1[Braze Plan])</f>
        <v>0</v>
      </c>
      <c r="AD284" s="23">
        <f>Table4[[#This Row],[Quantity]]*Table4[[#This Row],[Bits Braze Plan]]</f>
        <v>0</v>
      </c>
      <c r="AE284" s="23">
        <f ca="1">Table4[[#This Row],[INV. QTY]]-Table4[[#This Row],[Required For Braze Cutters Check]]</f>
        <v>397</v>
      </c>
      <c r="AF284" s="23">
        <f t="shared" ca="1" si="57"/>
        <v>397</v>
      </c>
      <c r="AG284" s="23"/>
      <c r="AJ284" s="19">
        <f t="shared" si="55"/>
        <v>0</v>
      </c>
      <c r="AY284" t="str">
        <v>2019414M</v>
      </c>
    </row>
    <row r="285" spans="1:51" ht="24.75" customHeight="1" x14ac:dyDescent="0.25">
      <c r="A285" s="109">
        <v>20240018</v>
      </c>
      <c r="B285" s="709"/>
      <c r="C285" s="109">
        <v>14144643</v>
      </c>
      <c r="D285" s="109" t="s">
        <v>315</v>
      </c>
      <c r="E285" s="109" t="s">
        <v>684</v>
      </c>
      <c r="F285" s="109" t="s">
        <v>702</v>
      </c>
      <c r="G285" s="109" t="s">
        <v>676</v>
      </c>
      <c r="H285" s="140">
        <v>1245431</v>
      </c>
      <c r="I285" s="140" t="s">
        <v>655</v>
      </c>
      <c r="J285" s="26">
        <f>IF(H285&lt;&gt;"",IF(AND(C285&lt;&gt;"",IFERROR(MATCH(C285,Table10[Serial No.],0),0)),0,1),0)</f>
        <v>0</v>
      </c>
      <c r="K285" s="21"/>
      <c r="L285" s="539" t="str">
        <f t="shared" si="58"/>
        <v/>
      </c>
      <c r="S285" s="281">
        <v>1283482</v>
      </c>
      <c r="T285" s="278" t="s">
        <v>313</v>
      </c>
      <c r="U285" s="278" t="s">
        <v>703</v>
      </c>
      <c r="V285" s="25">
        <v>8</v>
      </c>
      <c r="W285" s="284">
        <v>1220554</v>
      </c>
      <c r="X285" s="19" t="str">
        <f>IFERROR(INDEX(Table14[],MATCH($W285,Table14[SAPNo],0),3),"")</f>
        <v xml:space="preserve">1618 CT182 U-60 Carbide </v>
      </c>
      <c r="Y285" s="284">
        <v>17</v>
      </c>
      <c r="Z285" s="25">
        <f t="shared" si="56"/>
        <v>4</v>
      </c>
      <c r="AA285" s="25">
        <f t="shared" si="59"/>
        <v>68</v>
      </c>
      <c r="AB285" s="23">
        <f ca="1">IFERROR(INDEX('Cutters Inventory 12-30-2025'!A:W,MATCH($W285,'Cutters Inventory 12-30-2025'!B:B,0),14),0)</f>
        <v>392</v>
      </c>
      <c r="AC285" s="23">
        <f>SUMIF(Table1[LEVEL 5 MAT NO.],S285,Table1[Braze Plan])</f>
        <v>0</v>
      </c>
      <c r="AD285" s="23">
        <f>Table4[[#This Row],[Quantity]]*Table4[[#This Row],[Bits Braze Plan]]</f>
        <v>0</v>
      </c>
      <c r="AE285" s="23">
        <f ca="1">Table4[[#This Row],[INV. QTY]]-Table4[[#This Row],[Required For Braze Cutters Check]]</f>
        <v>392</v>
      </c>
      <c r="AF285" s="23">
        <f t="shared" ca="1" si="57"/>
        <v>392</v>
      </c>
      <c r="AG285" s="23"/>
      <c r="AJ285" s="19">
        <f t="shared" si="55"/>
        <v>0</v>
      </c>
      <c r="AY285" t="str">
        <v>2021067M</v>
      </c>
    </row>
    <row r="286" spans="1:51" ht="24.75" customHeight="1" x14ac:dyDescent="0.25">
      <c r="A286" s="109">
        <v>20240018</v>
      </c>
      <c r="B286" s="709"/>
      <c r="C286" s="109">
        <v>14144642</v>
      </c>
      <c r="D286" s="109" t="s">
        <v>315</v>
      </c>
      <c r="E286" s="109" t="s">
        <v>684</v>
      </c>
      <c r="F286" s="109" t="s">
        <v>702</v>
      </c>
      <c r="G286" s="109" t="s">
        <v>676</v>
      </c>
      <c r="H286" s="140">
        <v>1245431</v>
      </c>
      <c r="I286" s="140" t="s">
        <v>655</v>
      </c>
      <c r="J286" s="26">
        <f>IF(H286&lt;&gt;"",IF(AND(C286&lt;&gt;"",IFERROR(MATCH(C286,Table10[Serial No.],0),0)),0,1),0)</f>
        <v>0</v>
      </c>
      <c r="K286" s="21"/>
      <c r="L286" s="539" t="str">
        <f t="shared" si="58"/>
        <v/>
      </c>
      <c r="S286" s="281">
        <v>1283482</v>
      </c>
      <c r="T286" s="278" t="s">
        <v>313</v>
      </c>
      <c r="U286" s="278" t="s">
        <v>703</v>
      </c>
      <c r="V286" s="25">
        <v>9</v>
      </c>
      <c r="W286" s="592">
        <v>1228501</v>
      </c>
      <c r="X286" s="593" t="str">
        <f>IFERROR(INDEX(Table14[],MATCH($W286,Table14[SAPNo],0),3),"")</f>
        <v>1618 CT182 U-60 stator</v>
      </c>
      <c r="Y286" s="284">
        <v>17</v>
      </c>
      <c r="Z286" s="25">
        <f t="shared" si="56"/>
        <v>4</v>
      </c>
      <c r="AA286" s="25">
        <f t="shared" si="59"/>
        <v>68</v>
      </c>
      <c r="AB286" s="23">
        <f ca="1">IFERROR(INDEX('Cutters Inventory 12-30-2025'!A:W,MATCH($W286,'Cutters Inventory 12-30-2025'!B:B,0),14),0)</f>
        <v>659</v>
      </c>
      <c r="AC286" s="23">
        <f>SUMIF(Table1[LEVEL 5 MAT NO.],S286,Table1[Braze Plan])</f>
        <v>0</v>
      </c>
      <c r="AD286" s="23">
        <f>Table4[[#This Row],[Quantity]]*Table4[[#This Row],[Bits Braze Plan]]</f>
        <v>0</v>
      </c>
      <c r="AE286" s="23">
        <f ca="1">Table4[[#This Row],[INV. QTY]]-Table4[[#This Row],[Required For Braze Cutters Check]]</f>
        <v>659</v>
      </c>
      <c r="AF286" s="23">
        <f t="shared" ca="1" si="57"/>
        <v>659</v>
      </c>
      <c r="AG286" s="23"/>
      <c r="AJ286" s="19">
        <f t="shared" si="55"/>
        <v>0</v>
      </c>
      <c r="AY286" t="str">
        <v>2021071M</v>
      </c>
    </row>
    <row r="287" spans="1:51" ht="24.75" customHeight="1" x14ac:dyDescent="0.25">
      <c r="A287" s="109">
        <v>20240018</v>
      </c>
      <c r="B287" s="709"/>
      <c r="C287" s="109">
        <v>14144644</v>
      </c>
      <c r="D287" s="109" t="s">
        <v>315</v>
      </c>
      <c r="E287" s="109" t="s">
        <v>684</v>
      </c>
      <c r="F287" s="109" t="s">
        <v>702</v>
      </c>
      <c r="G287" s="109" t="s">
        <v>676</v>
      </c>
      <c r="H287" s="140">
        <v>1245431</v>
      </c>
      <c r="I287" s="140" t="s">
        <v>655</v>
      </c>
      <c r="J287" s="26">
        <f>IF(H287&lt;&gt;"",IF(AND(C287&lt;&gt;"",IFERROR(MATCH(C287,Table10[Serial No.],0),0)),0,1),0)</f>
        <v>0</v>
      </c>
      <c r="K287" s="21"/>
      <c r="L287" s="539" t="str">
        <f t="shared" si="58"/>
        <v/>
      </c>
      <c r="S287" s="546">
        <v>1283630</v>
      </c>
      <c r="T287" s="278" t="s">
        <v>313</v>
      </c>
      <c r="U287" s="278" t="s">
        <v>645</v>
      </c>
      <c r="V287" s="25">
        <v>1</v>
      </c>
      <c r="W287" s="284">
        <v>2004484</v>
      </c>
      <c r="X287" s="19" t="str">
        <f>IFERROR(INDEX(Table14[],MATCH($W287,Table14[SAPNo],0),3),"")</f>
        <v>1308 CT187 U-60</v>
      </c>
      <c r="Y287" s="284">
        <v>22</v>
      </c>
      <c r="Z287" s="25">
        <f t="shared" si="56"/>
        <v>7</v>
      </c>
      <c r="AA287" s="25">
        <f t="shared" si="59"/>
        <v>154</v>
      </c>
      <c r="AB287" s="23">
        <f ca="1">IFERROR(INDEX('Cutters Inventory 12-30-2025'!A:W,MATCH($W287,'Cutters Inventory 12-30-2025'!B:B,0),14),0)</f>
        <v>428</v>
      </c>
      <c r="AC287" s="23">
        <f>SUMIF(Table1[LEVEL 5 MAT NO.],S287,Table1[Braze Plan])</f>
        <v>0</v>
      </c>
      <c r="AD287" s="23">
        <f>Table4[[#This Row],[Quantity]]*Table4[[#This Row],[Bits Braze Plan]]</f>
        <v>0</v>
      </c>
      <c r="AE287" s="23">
        <f ca="1">Table4[[#This Row],[INV. QTY]]-Table4[[#This Row],[Required For Braze Cutters Check]]</f>
        <v>428</v>
      </c>
      <c r="AF287" s="23">
        <f t="shared" ca="1" si="57"/>
        <v>428</v>
      </c>
      <c r="AG287" s="23"/>
      <c r="AJ287" s="19">
        <f t="shared" si="55"/>
        <v>0</v>
      </c>
      <c r="AY287" t="str">
        <v>2022829M</v>
      </c>
    </row>
    <row r="288" spans="1:51" ht="24.75" customHeight="1" x14ac:dyDescent="0.25">
      <c r="A288" s="132">
        <v>20240018</v>
      </c>
      <c r="B288" s="709"/>
      <c r="C288" s="132">
        <v>14144645</v>
      </c>
      <c r="D288" s="132" t="s">
        <v>315</v>
      </c>
      <c r="E288" s="132" t="s">
        <v>682</v>
      </c>
      <c r="F288" s="132" t="s">
        <v>702</v>
      </c>
      <c r="G288" s="132" t="s">
        <v>676</v>
      </c>
      <c r="H288" s="141">
        <v>1270578</v>
      </c>
      <c r="I288" s="141">
        <v>1251627</v>
      </c>
      <c r="J288" s="26">
        <f>IF(H288&lt;&gt;"",IF(AND(C288&lt;&gt;"",IFERROR(MATCH(C288,Table10[Serial No.],0),0)),0,1),0)</f>
        <v>1</v>
      </c>
      <c r="K288" s="21"/>
      <c r="L288" s="539" t="str">
        <f t="shared" ca="1" si="58"/>
        <v/>
      </c>
      <c r="S288" s="546">
        <v>1283630</v>
      </c>
      <c r="T288" s="278" t="s">
        <v>313</v>
      </c>
      <c r="U288" s="278" t="s">
        <v>645</v>
      </c>
      <c r="V288" s="25">
        <v>2</v>
      </c>
      <c r="W288" s="284">
        <v>2002299</v>
      </c>
      <c r="X288" s="19" t="str">
        <f>IFERROR(INDEX(Table14[],MATCH($W288,Table14[SAPNo],0),3),"")</f>
        <v>1613 CT187 U-60</v>
      </c>
      <c r="Y288" s="284">
        <v>20</v>
      </c>
      <c r="Z288" s="25">
        <f t="shared" si="56"/>
        <v>7</v>
      </c>
      <c r="AA288" s="25">
        <f t="shared" si="59"/>
        <v>140</v>
      </c>
      <c r="AB288" s="23">
        <f ca="1">IFERROR(INDEX('Cutters Inventory 12-30-2025'!A:W,MATCH($W288,'Cutters Inventory 12-30-2025'!B:B,0),14),0)</f>
        <v>557</v>
      </c>
      <c r="AC288" s="23">
        <f>SUMIF(Table1[LEVEL 5 MAT NO.],S288,Table1[Braze Plan])</f>
        <v>0</v>
      </c>
      <c r="AD288" s="23">
        <f>Table4[[#This Row],[Quantity]]*Table4[[#This Row],[Bits Braze Plan]]</f>
        <v>0</v>
      </c>
      <c r="AE288" s="23">
        <f ca="1">Table4[[#This Row],[INV. QTY]]-Table4[[#This Row],[Required For Braze Cutters Check]]</f>
        <v>557</v>
      </c>
      <c r="AF288" s="23">
        <f t="shared" ca="1" si="57"/>
        <v>557</v>
      </c>
      <c r="AG288" s="23"/>
      <c r="AJ288" s="19">
        <f t="shared" si="55"/>
        <v>0</v>
      </c>
      <c r="AY288" t="str">
        <v>2027359M</v>
      </c>
    </row>
    <row r="289" spans="1:51" ht="24.75" customHeight="1" x14ac:dyDescent="0.25">
      <c r="A289" s="109">
        <v>20240018</v>
      </c>
      <c r="B289" s="709"/>
      <c r="C289" s="109">
        <v>14144646</v>
      </c>
      <c r="D289" s="109" t="s">
        <v>315</v>
      </c>
      <c r="E289" s="109" t="s">
        <v>682</v>
      </c>
      <c r="F289" s="109" t="s">
        <v>702</v>
      </c>
      <c r="G289" s="109" t="s">
        <v>676</v>
      </c>
      <c r="H289" s="140">
        <v>1270578</v>
      </c>
      <c r="I289" s="140">
        <v>1251627</v>
      </c>
      <c r="J289" s="26">
        <f>IF(H289&lt;&gt;"",IF(AND(C289&lt;&gt;"",IFERROR(MATCH(C289,Table10[Serial No.],0),0)),0,1),0)</f>
        <v>0</v>
      </c>
      <c r="K289" s="21"/>
      <c r="L289" s="539" t="str">
        <f t="shared" ca="1" si="58"/>
        <v/>
      </c>
      <c r="S289" s="546">
        <v>1283630</v>
      </c>
      <c r="T289" s="278" t="s">
        <v>313</v>
      </c>
      <c r="U289" s="278" t="s">
        <v>645</v>
      </c>
      <c r="V289" s="25">
        <v>3</v>
      </c>
      <c r="W289" s="284">
        <v>1228502</v>
      </c>
      <c r="X289" s="19" t="str">
        <f>IFERROR(INDEX(Table14[],MATCH($W289,Table14[SAPNo],0),3),"")</f>
        <v>1618 CT182 U-60 Rotor</v>
      </c>
      <c r="Y289" s="284">
        <v>14</v>
      </c>
      <c r="Z289" s="25">
        <f t="shared" si="56"/>
        <v>7</v>
      </c>
      <c r="AA289" s="25">
        <f t="shared" si="59"/>
        <v>98</v>
      </c>
      <c r="AB289" s="23">
        <f ca="1">IFERROR(INDEX('Cutters Inventory 12-30-2025'!A:W,MATCH($W289,'Cutters Inventory 12-30-2025'!B:B,0),14),0)</f>
        <v>655</v>
      </c>
      <c r="AC289" s="23">
        <f>SUMIF(Table1[LEVEL 5 MAT NO.],S289,Table1[Braze Plan])</f>
        <v>0</v>
      </c>
      <c r="AD289" s="23">
        <f>Table4[[#This Row],[Quantity]]*Table4[[#This Row],[Bits Braze Plan]]</f>
        <v>0</v>
      </c>
      <c r="AE289" s="23">
        <f ca="1">Table4[[#This Row],[INV. QTY]]-Table4[[#This Row],[Required For Braze Cutters Check]]</f>
        <v>655</v>
      </c>
      <c r="AF289" s="23">
        <f t="shared" ca="1" si="57"/>
        <v>655</v>
      </c>
      <c r="AG289" s="23"/>
      <c r="AJ289" s="19">
        <f t="shared" si="55"/>
        <v>0</v>
      </c>
      <c r="AY289" t="str">
        <v>2028159M</v>
      </c>
    </row>
    <row r="290" spans="1:51" ht="24.75" customHeight="1" x14ac:dyDescent="0.25">
      <c r="A290" s="109">
        <v>20240018</v>
      </c>
      <c r="B290" s="709"/>
      <c r="C290" s="109">
        <v>14144647</v>
      </c>
      <c r="D290" s="109" t="s">
        <v>316</v>
      </c>
      <c r="E290" s="109" t="s">
        <v>290</v>
      </c>
      <c r="F290" s="109" t="s">
        <v>704</v>
      </c>
      <c r="G290" s="109" t="s">
        <v>676</v>
      </c>
      <c r="H290" s="140">
        <v>1229187</v>
      </c>
      <c r="I290" s="140">
        <v>1268728</v>
      </c>
      <c r="J290" s="26">
        <f>IF(H290&lt;&gt;"",IF(AND(C290&lt;&gt;"",IFERROR(MATCH(C290,Table10[Serial No.],0),0)),0,1),0)</f>
        <v>0</v>
      </c>
      <c r="K290" s="21"/>
      <c r="L290" s="539" t="str">
        <f t="shared" ca="1" si="58"/>
        <v/>
      </c>
      <c r="S290" s="546">
        <v>1283630</v>
      </c>
      <c r="T290" s="278" t="s">
        <v>313</v>
      </c>
      <c r="U290" s="278" t="s">
        <v>645</v>
      </c>
      <c r="V290" s="25">
        <v>4</v>
      </c>
      <c r="W290" s="284">
        <v>871781</v>
      </c>
      <c r="X290" s="19" t="str">
        <f>IFERROR(INDEX(Table14[],MATCH($W290,Table14[SAPNo],0),3),"")</f>
        <v>Round 1313 CT200  0.018" (B)</v>
      </c>
      <c r="Y290" s="284">
        <v>6</v>
      </c>
      <c r="Z290" s="25">
        <f t="shared" si="56"/>
        <v>7</v>
      </c>
      <c r="AA290" s="25">
        <f t="shared" si="59"/>
        <v>42</v>
      </c>
      <c r="AB290" s="23">
        <f ca="1">IFERROR(INDEX('Cutters Inventory 12-30-2025'!A:W,MATCH($W290,'Cutters Inventory 12-30-2025'!B:B,0),14),0)</f>
        <v>843</v>
      </c>
      <c r="AC290" s="23">
        <f>SUMIF(Table1[LEVEL 5 MAT NO.],S290,Table1[Braze Plan])</f>
        <v>0</v>
      </c>
      <c r="AD290" s="23">
        <f>Table4[[#This Row],[Quantity]]*Table4[[#This Row],[Bits Braze Plan]]</f>
        <v>0</v>
      </c>
      <c r="AE290" s="23">
        <f ca="1">Table4[[#This Row],[INV. QTY]]-Table4[[#This Row],[Required For Braze Cutters Check]]</f>
        <v>843</v>
      </c>
      <c r="AF290" s="23">
        <f t="shared" ca="1" si="57"/>
        <v>843</v>
      </c>
      <c r="AG290" s="23"/>
      <c r="AJ290" s="19">
        <f t="shared" si="55"/>
        <v>0</v>
      </c>
      <c r="AY290" t="str">
        <v>2030214M</v>
      </c>
    </row>
    <row r="291" spans="1:51" ht="24.75" customHeight="1" x14ac:dyDescent="0.25">
      <c r="A291" s="109">
        <v>20240018</v>
      </c>
      <c r="B291" s="709"/>
      <c r="C291" s="109">
        <v>14145055</v>
      </c>
      <c r="D291" s="109" t="s">
        <v>316</v>
      </c>
      <c r="E291" s="109" t="s">
        <v>290</v>
      </c>
      <c r="F291" s="109" t="s">
        <v>704</v>
      </c>
      <c r="G291" s="109" t="s">
        <v>676</v>
      </c>
      <c r="H291" s="140">
        <v>1229187</v>
      </c>
      <c r="I291" s="140">
        <v>1268728</v>
      </c>
      <c r="J291" s="26">
        <f>IF(H291&lt;&gt;"",IF(AND(C291&lt;&gt;"",IFERROR(MATCH(C291,Table10[Serial No.],0),0)),0,1),0)</f>
        <v>0</v>
      </c>
      <c r="K291" s="21"/>
      <c r="L291" s="539" t="str">
        <f t="shared" ca="1" si="58"/>
        <v/>
      </c>
      <c r="R291" s="356"/>
      <c r="S291" s="546">
        <v>1283630</v>
      </c>
      <c r="T291" s="278" t="s">
        <v>313</v>
      </c>
      <c r="U291" s="278" t="s">
        <v>645</v>
      </c>
      <c r="V291" s="25">
        <v>5</v>
      </c>
      <c r="W291" s="284">
        <v>1201518</v>
      </c>
      <c r="X291" s="19" t="str">
        <f>IFERROR(INDEX(Table14[],MATCH($W291,Table14[SAPNo],0),3),"")</f>
        <v>12MM WC­MAT404 NA</v>
      </c>
      <c r="Y291" s="284">
        <v>3</v>
      </c>
      <c r="Z291" s="25">
        <f t="shared" si="56"/>
        <v>7</v>
      </c>
      <c r="AA291" s="25">
        <f t="shared" si="59"/>
        <v>21</v>
      </c>
      <c r="AB291" s="23">
        <f ca="1">IFERROR(INDEX('Cutters Inventory 12-30-2025'!A:W,MATCH($W291,'Cutters Inventory 12-30-2025'!B:B,0),14),0)</f>
        <v>145</v>
      </c>
      <c r="AC291" s="23">
        <f>SUMIF(Table1[LEVEL 5 MAT NO.],S291,Table1[Braze Plan])</f>
        <v>0</v>
      </c>
      <c r="AD291" s="23">
        <f>Table4[[#This Row],[Quantity]]*Table4[[#This Row],[Bits Braze Plan]]</f>
        <v>0</v>
      </c>
      <c r="AE291" s="23">
        <f ca="1">Table4[[#This Row],[INV. QTY]]-Table4[[#This Row],[Required For Braze Cutters Check]]</f>
        <v>145</v>
      </c>
      <c r="AF291" s="23">
        <f t="shared" ca="1" si="57"/>
        <v>145</v>
      </c>
      <c r="AG291" s="23"/>
      <c r="AJ291" s="19">
        <f t="shared" si="55"/>
        <v>0</v>
      </c>
      <c r="AY291" t="str">
        <v>level3</v>
      </c>
    </row>
    <row r="292" spans="1:51" ht="24.75" customHeight="1" x14ac:dyDescent="0.25">
      <c r="A292" s="109">
        <v>20240018</v>
      </c>
      <c r="B292" s="709"/>
      <c r="C292" s="109">
        <v>14145051</v>
      </c>
      <c r="D292" s="109" t="s">
        <v>316</v>
      </c>
      <c r="E292" s="109" t="s">
        <v>290</v>
      </c>
      <c r="F292" s="109" t="s">
        <v>704</v>
      </c>
      <c r="G292" s="109" t="s">
        <v>676</v>
      </c>
      <c r="H292" s="140">
        <v>1229187</v>
      </c>
      <c r="I292" s="140">
        <v>1268728</v>
      </c>
      <c r="J292" s="26">
        <f>IF(H292&lt;&gt;"",IF(AND(C292&lt;&gt;"",IFERROR(MATCH(C292,Table10[Serial No.],0),0)),0,1),0)</f>
        <v>0</v>
      </c>
      <c r="K292" s="21"/>
      <c r="L292" s="539" t="str">
        <f t="shared" ca="1" si="58"/>
        <v/>
      </c>
      <c r="S292" s="546">
        <v>1283630</v>
      </c>
      <c r="T292" s="278" t="s">
        <v>313</v>
      </c>
      <c r="U292" s="278" t="s">
        <v>645</v>
      </c>
      <c r="V292" s="25">
        <v>6</v>
      </c>
      <c r="W292" s="284">
        <v>1126402</v>
      </c>
      <c r="X292" s="19" t="str">
        <f>IFERROR(INDEX(Table14[],MATCH($W292,Table14[SAPNo],0),3),"")</f>
        <v>1613 CT421 16-60</v>
      </c>
      <c r="Y292" s="284">
        <v>7</v>
      </c>
      <c r="Z292" s="25">
        <f t="shared" si="56"/>
        <v>7</v>
      </c>
      <c r="AA292" s="25">
        <f t="shared" si="59"/>
        <v>49</v>
      </c>
      <c r="AB292" s="23">
        <f ca="1">IFERROR(INDEX('Cutters Inventory 12-30-2025'!A:W,MATCH($W292,'Cutters Inventory 12-30-2025'!B:B,0),14),0)</f>
        <v>422</v>
      </c>
      <c r="AC292" s="23">
        <f>SUMIF(Table1[LEVEL 5 MAT NO.],S292,Table1[Braze Plan])</f>
        <v>0</v>
      </c>
      <c r="AD292" s="23">
        <f>Table4[[#This Row],[Quantity]]*Table4[[#This Row],[Bits Braze Plan]]</f>
        <v>0</v>
      </c>
      <c r="AE292" s="23">
        <f ca="1">Table4[[#This Row],[INV. QTY]]-Table4[[#This Row],[Required For Braze Cutters Check]]</f>
        <v>422</v>
      </c>
      <c r="AF292" s="23">
        <f t="shared" ca="1" si="57"/>
        <v>422</v>
      </c>
      <c r="AG292" s="23"/>
      <c r="AJ292" s="19">
        <f t="shared" si="55"/>
        <v>0</v>
      </c>
      <c r="AY292">
        <v>0</v>
      </c>
    </row>
    <row r="293" spans="1:51" ht="24.75" customHeight="1" x14ac:dyDescent="0.25">
      <c r="A293" s="109">
        <v>20240018</v>
      </c>
      <c r="B293" s="608"/>
      <c r="C293" s="109">
        <v>14145050</v>
      </c>
      <c r="D293" s="109" t="s">
        <v>316</v>
      </c>
      <c r="E293" s="109" t="s">
        <v>290</v>
      </c>
      <c r="F293" s="109" t="s">
        <v>704</v>
      </c>
      <c r="G293" s="109" t="s">
        <v>676</v>
      </c>
      <c r="H293" s="140">
        <v>1229187</v>
      </c>
      <c r="I293" s="140">
        <v>1268728</v>
      </c>
      <c r="J293" s="26">
        <f>IF(H293&lt;&gt;"",IF(AND(C293&lt;&gt;"",IFERROR(MATCH(C293,Table10[Serial No.],0),0)),0,1),0)</f>
        <v>0</v>
      </c>
      <c r="K293" s="21"/>
      <c r="L293" s="539" t="str">
        <f t="shared" ca="1" si="58"/>
        <v/>
      </c>
      <c r="S293" s="546">
        <v>1283630</v>
      </c>
      <c r="T293" s="278" t="s">
        <v>313</v>
      </c>
      <c r="U293" s="278" t="s">
        <v>645</v>
      </c>
      <c r="V293" s="25">
        <v>7</v>
      </c>
      <c r="W293" s="284">
        <v>1228501</v>
      </c>
      <c r="X293" s="19" t="str">
        <f>IFERROR(INDEX(Table14[],MATCH($W293,Table14[SAPNo],0),3),"")</f>
        <v>1618 CT182 U-60 stator</v>
      </c>
      <c r="Y293" s="284">
        <v>14</v>
      </c>
      <c r="Z293" s="25">
        <f t="shared" si="56"/>
        <v>7</v>
      </c>
      <c r="AA293" s="25">
        <f t="shared" si="59"/>
        <v>98</v>
      </c>
      <c r="AB293" s="23">
        <f ca="1">IFERROR(INDEX('Cutters Inventory 12-30-2025'!A:W,MATCH($W293,'Cutters Inventory 12-30-2025'!B:B,0),14),0)</f>
        <v>659</v>
      </c>
      <c r="AC293" s="23">
        <f>SUMIF(Table1[LEVEL 5 MAT NO.],S293,Table1[Braze Plan])</f>
        <v>0</v>
      </c>
      <c r="AD293" s="23">
        <f>Table4[[#This Row],[Quantity]]*Table4[[#This Row],[Bits Braze Plan]]</f>
        <v>0</v>
      </c>
      <c r="AE293" s="23">
        <f ca="1">Table4[[#This Row],[INV. QTY]]-Table4[[#This Row],[Required For Braze Cutters Check]]</f>
        <v>659</v>
      </c>
      <c r="AF293" s="23">
        <f t="shared" ca="1" si="57"/>
        <v>659</v>
      </c>
      <c r="AG293" s="23"/>
      <c r="AJ293" s="19">
        <f t="shared" si="55"/>
        <v>0</v>
      </c>
    </row>
    <row r="294" spans="1:51" ht="24.75" customHeight="1" x14ac:dyDescent="0.25">
      <c r="A294" s="109">
        <v>20240018</v>
      </c>
      <c r="B294" s="608"/>
      <c r="C294" s="109">
        <v>14145056</v>
      </c>
      <c r="D294" s="109" t="s">
        <v>316</v>
      </c>
      <c r="E294" s="109" t="s">
        <v>290</v>
      </c>
      <c r="F294" s="109" t="s">
        <v>704</v>
      </c>
      <c r="G294" s="109" t="s">
        <v>676</v>
      </c>
      <c r="H294" s="140">
        <v>1229187</v>
      </c>
      <c r="I294" s="140">
        <v>1268728</v>
      </c>
      <c r="J294" s="26">
        <f>IF(H294&lt;&gt;"",IF(AND(C294&lt;&gt;"",IFERROR(MATCH(C294,Table10[Serial No.],0),0)),0,1),0)</f>
        <v>1</v>
      </c>
      <c r="K294" s="21"/>
      <c r="L294" s="539" t="str">
        <f t="shared" ca="1" si="58"/>
        <v/>
      </c>
      <c r="S294" s="546">
        <v>1283630</v>
      </c>
      <c r="T294" s="278" t="s">
        <v>313</v>
      </c>
      <c r="U294" s="278" t="s">
        <v>645</v>
      </c>
      <c r="V294" s="25">
        <v>8</v>
      </c>
      <c r="W294" s="284">
        <v>1228503</v>
      </c>
      <c r="X294" s="19" t="str">
        <f>IFERROR(INDEX(Table14[],MATCH($W294,Table14[SAPNo],0),3),"")</f>
        <v>1618 CT182 U-60 Ring</v>
      </c>
      <c r="Y294" s="284">
        <v>14</v>
      </c>
      <c r="Z294" s="25">
        <f t="shared" si="56"/>
        <v>7</v>
      </c>
      <c r="AA294" s="25">
        <f t="shared" si="59"/>
        <v>98</v>
      </c>
      <c r="AB294" s="23">
        <f ca="1">IFERROR(INDEX('Cutters Inventory 12-30-2025'!A:W,MATCH($W294,'Cutters Inventory 12-30-2025'!B:B,0),14),0)</f>
        <v>397</v>
      </c>
      <c r="AC294" s="23">
        <f>SUMIF(Table1[LEVEL 5 MAT NO.],S294,Table1[Braze Plan])</f>
        <v>0</v>
      </c>
      <c r="AD294" s="23">
        <f>Table4[[#This Row],[Quantity]]*Table4[[#This Row],[Bits Braze Plan]]</f>
        <v>0</v>
      </c>
      <c r="AE294" s="23">
        <f ca="1">Table4[[#This Row],[INV. QTY]]-Table4[[#This Row],[Required For Braze Cutters Check]]</f>
        <v>397</v>
      </c>
      <c r="AF294" s="23">
        <f t="shared" ca="1" si="57"/>
        <v>397</v>
      </c>
      <c r="AG294" s="23"/>
      <c r="AJ294" s="19">
        <f t="shared" si="55"/>
        <v>0</v>
      </c>
    </row>
    <row r="295" spans="1:51" ht="24.75" customHeight="1" x14ac:dyDescent="0.25">
      <c r="A295" s="109">
        <v>20240018</v>
      </c>
      <c r="B295" s="608"/>
      <c r="C295" s="109">
        <v>14145052</v>
      </c>
      <c r="D295" s="109" t="s">
        <v>316</v>
      </c>
      <c r="E295" s="109" t="s">
        <v>290</v>
      </c>
      <c r="F295" s="109" t="s">
        <v>704</v>
      </c>
      <c r="G295" s="109" t="s">
        <v>676</v>
      </c>
      <c r="H295" s="140">
        <v>1229187</v>
      </c>
      <c r="I295" s="140">
        <v>1268728</v>
      </c>
      <c r="J295" s="26">
        <f>IF(H295&lt;&gt;"",IF(AND(C295&lt;&gt;"",IFERROR(MATCH(C295,Table10[Serial No.],0),0)),0,1),0)</f>
        <v>0</v>
      </c>
      <c r="K295" s="21"/>
      <c r="L295" s="539" t="str">
        <f t="shared" ca="1" si="58"/>
        <v/>
      </c>
      <c r="S295" s="546">
        <v>1283630</v>
      </c>
      <c r="T295" s="278" t="s">
        <v>313</v>
      </c>
      <c r="U295" s="278" t="s">
        <v>645</v>
      </c>
      <c r="V295" s="25">
        <v>9</v>
      </c>
      <c r="W295" s="284">
        <v>1220554</v>
      </c>
      <c r="X295" s="19" t="str">
        <f>IFERROR(INDEX(Table14[],MATCH($W295,Table14[SAPNo],0),3),"")</f>
        <v xml:space="preserve">1618 CT182 U-60 Carbide </v>
      </c>
      <c r="Y295" s="284">
        <v>14</v>
      </c>
      <c r="Z295" s="25">
        <f t="shared" si="56"/>
        <v>7</v>
      </c>
      <c r="AA295" s="25">
        <f t="shared" si="59"/>
        <v>98</v>
      </c>
      <c r="AB295" s="23">
        <f ca="1">IFERROR(INDEX('Cutters Inventory 12-30-2025'!A:W,MATCH($W295,'Cutters Inventory 12-30-2025'!B:B,0),14),0)</f>
        <v>392</v>
      </c>
      <c r="AC295" s="23">
        <f>SUMIF(Table1[LEVEL 5 MAT NO.],S295,Table1[Braze Plan])</f>
        <v>0</v>
      </c>
      <c r="AD295" s="23">
        <f>Table4[[#This Row],[Quantity]]*Table4[[#This Row],[Bits Braze Plan]]</f>
        <v>0</v>
      </c>
      <c r="AE295" s="23">
        <f ca="1">Table4[[#This Row],[INV. QTY]]-Table4[[#This Row],[Required For Braze Cutters Check]]</f>
        <v>392</v>
      </c>
      <c r="AF295" s="23">
        <f t="shared" ca="1" si="57"/>
        <v>392</v>
      </c>
      <c r="AG295" s="23"/>
      <c r="AJ295" s="19">
        <f t="shared" si="55"/>
        <v>0</v>
      </c>
    </row>
    <row r="296" spans="1:51" ht="24.75" customHeight="1" x14ac:dyDescent="0.25">
      <c r="A296" s="109">
        <v>20240018</v>
      </c>
      <c r="B296" s="608"/>
      <c r="C296" s="109">
        <v>14144648</v>
      </c>
      <c r="D296" s="109" t="s">
        <v>316</v>
      </c>
      <c r="E296" s="109" t="s">
        <v>290</v>
      </c>
      <c r="F296" s="109" t="s">
        <v>704</v>
      </c>
      <c r="G296" s="109" t="s">
        <v>676</v>
      </c>
      <c r="H296" s="140">
        <v>1229187</v>
      </c>
      <c r="I296" s="140">
        <v>1268728</v>
      </c>
      <c r="J296" s="26">
        <f>IF(H296&lt;&gt;"",IF(AND(C296&lt;&gt;"",IFERROR(MATCH(C296,Table10[Serial No.],0),0)),0,1),0)</f>
        <v>0</v>
      </c>
      <c r="K296" s="21"/>
      <c r="L296" s="539" t="str">
        <f t="shared" ca="1" si="58"/>
        <v/>
      </c>
      <c r="S296" s="281">
        <v>1287241</v>
      </c>
      <c r="T296" s="278">
        <v>16</v>
      </c>
      <c r="U296" s="278" t="s">
        <v>642</v>
      </c>
      <c r="V296" s="25">
        <v>1</v>
      </c>
      <c r="W296" s="284">
        <v>1146737</v>
      </c>
      <c r="X296" s="19" t="str">
        <f>IFERROR(INDEX(Table14[],MATCH($W296,Table14[SAPNo],0),3),"")</f>
        <v>1613 CT418 18-60</v>
      </c>
      <c r="Y296" s="284">
        <v>41</v>
      </c>
      <c r="Z296" s="25">
        <f t="shared" si="56"/>
        <v>0</v>
      </c>
      <c r="AA296" s="25">
        <f t="shared" si="59"/>
        <v>0</v>
      </c>
      <c r="AB296" s="23">
        <f ca="1">IFERROR(INDEX('Cutters Inventory 12-30-2025'!A:W,MATCH($W296,'Cutters Inventory 12-30-2025'!B:B,0),14),0)</f>
        <v>1281</v>
      </c>
      <c r="AC296" s="23">
        <f>SUMIF(Table1[LEVEL 5 MAT NO.],S296,Table1[Braze Plan])</f>
        <v>0</v>
      </c>
      <c r="AD296" s="23">
        <f>Table4[[#This Row],[Quantity]]*Table4[[#This Row],[Bits Braze Plan]]</f>
        <v>0</v>
      </c>
      <c r="AE296" s="23">
        <f ca="1">Table4[[#This Row],[INV. QTY]]-Table4[[#This Row],[Required For Braze Cutters Check]]</f>
        <v>1281</v>
      </c>
      <c r="AF296" s="23">
        <f t="shared" ca="1" si="57"/>
        <v>1281</v>
      </c>
      <c r="AG296" s="23"/>
      <c r="AJ296" s="19">
        <f t="shared" si="55"/>
        <v>0</v>
      </c>
    </row>
    <row r="297" spans="1:51" ht="24.75" customHeight="1" x14ac:dyDescent="0.25">
      <c r="A297" s="109">
        <v>20240018</v>
      </c>
      <c r="B297" s="608"/>
      <c r="C297" s="109">
        <v>14145053</v>
      </c>
      <c r="D297" s="109" t="s">
        <v>316</v>
      </c>
      <c r="E297" s="109" t="s">
        <v>290</v>
      </c>
      <c r="F297" s="109" t="s">
        <v>704</v>
      </c>
      <c r="G297" s="109" t="s">
        <v>676</v>
      </c>
      <c r="H297" s="140">
        <v>1229187</v>
      </c>
      <c r="I297" s="140">
        <v>1268728</v>
      </c>
      <c r="J297" s="26">
        <f>IF(H297&lt;&gt;"",IF(AND(C297&lt;&gt;"",IFERROR(MATCH(C297,Table10[Serial No.],0),0)),0,1),0)</f>
        <v>0</v>
      </c>
      <c r="K297" s="21"/>
      <c r="L297" s="539" t="str">
        <f t="shared" ca="1" si="58"/>
        <v/>
      </c>
      <c r="S297" s="281">
        <v>1287241</v>
      </c>
      <c r="T297" s="278">
        <v>16</v>
      </c>
      <c r="U297" s="278" t="s">
        <v>705</v>
      </c>
      <c r="V297" s="25">
        <v>2</v>
      </c>
      <c r="W297" s="613">
        <v>1296685</v>
      </c>
      <c r="X297" s="614" t="str">
        <f>IFERROR(INDEX(Table14[],MATCH($W297,Table14[SAPNo],0),3),"")</f>
        <v>1613 CT179R U</v>
      </c>
      <c r="Y297" s="284">
        <v>41</v>
      </c>
      <c r="Z297" s="25">
        <f t="shared" si="56"/>
        <v>0</v>
      </c>
      <c r="AA297" s="25">
        <f t="shared" si="59"/>
        <v>0</v>
      </c>
      <c r="AB297" s="23">
        <f ca="1">IFERROR(INDEX('Cutters Inventory 12-30-2025'!A:W,MATCH($W297,'Cutters Inventory 12-30-2025'!B:B,0),14),0)</f>
        <v>196</v>
      </c>
      <c r="AC297" s="23">
        <f>SUMIF(Table1[LEVEL 5 MAT NO.],S297,Table1[Braze Plan])</f>
        <v>0</v>
      </c>
      <c r="AD297" s="23">
        <f>Table4[[#This Row],[Quantity]]*Table4[[#This Row],[Bits Braze Plan]]</f>
        <v>0</v>
      </c>
      <c r="AE297" s="23">
        <f ca="1">Table4[[#This Row],[INV. QTY]]-Table4[[#This Row],[Required For Braze Cutters Check]]</f>
        <v>196</v>
      </c>
      <c r="AF297" s="23">
        <f t="shared" ca="1" si="57"/>
        <v>196</v>
      </c>
      <c r="AG297" s="625" t="s">
        <v>683</v>
      </c>
      <c r="AJ297" s="19">
        <f t="shared" si="55"/>
        <v>0</v>
      </c>
    </row>
    <row r="298" spans="1:51" ht="24.75" customHeight="1" x14ac:dyDescent="0.25">
      <c r="A298" s="109">
        <v>20240018</v>
      </c>
      <c r="B298" s="608"/>
      <c r="C298" s="109">
        <v>14145049</v>
      </c>
      <c r="D298" s="109" t="s">
        <v>316</v>
      </c>
      <c r="E298" s="109" t="s">
        <v>290</v>
      </c>
      <c r="F298" s="109" t="s">
        <v>704</v>
      </c>
      <c r="G298" s="109" t="s">
        <v>676</v>
      </c>
      <c r="H298" s="140">
        <v>1229187</v>
      </c>
      <c r="I298" s="140">
        <v>1268728</v>
      </c>
      <c r="J298" s="26">
        <f>IF(H298&lt;&gt;"",IF(AND(C298&lt;&gt;"",IFERROR(MATCH(C298,Table10[Serial No.],0),0)),0,1),0)</f>
        <v>0</v>
      </c>
      <c r="K298" s="21"/>
      <c r="L298" s="539" t="str">
        <f t="shared" ca="1" si="58"/>
        <v/>
      </c>
      <c r="S298" s="281">
        <v>1287241</v>
      </c>
      <c r="T298" s="278">
        <v>16</v>
      </c>
      <c r="U298" s="278" t="s">
        <v>642</v>
      </c>
      <c r="V298" s="25">
        <v>3</v>
      </c>
      <c r="W298" s="284">
        <v>179733</v>
      </c>
      <c r="X298" s="19" t="str">
        <f>IFERROR(INDEX(Table14[],MATCH($W298,Table14[SAPNo],0),3),"")</f>
        <v>Short IA 13    (C)</v>
      </c>
      <c r="Y298" s="284">
        <v>20</v>
      </c>
      <c r="Z298" s="25">
        <f t="shared" si="56"/>
        <v>0</v>
      </c>
      <c r="AA298" s="25">
        <f t="shared" si="59"/>
        <v>0</v>
      </c>
      <c r="AB298" s="23">
        <f ca="1">IFERROR(INDEX('Cutters Inventory 12-30-2025'!A:W,MATCH($W298,'Cutters Inventory 12-30-2025'!B:B,0),14),0)</f>
        <v>68</v>
      </c>
      <c r="AC298" s="23">
        <f>SUMIF(Table1[LEVEL 5 MAT NO.],S298,Table1[Braze Plan])</f>
        <v>0</v>
      </c>
      <c r="AD298" s="23">
        <f>Table4[[#This Row],[Quantity]]*Table4[[#This Row],[Bits Braze Plan]]</f>
        <v>0</v>
      </c>
      <c r="AE298" s="23">
        <f ca="1">Table4[[#This Row],[INV. QTY]]-Table4[[#This Row],[Required For Braze Cutters Check]]</f>
        <v>68</v>
      </c>
      <c r="AF298" s="23">
        <f t="shared" ca="1" si="57"/>
        <v>68</v>
      </c>
      <c r="AG298" s="23"/>
      <c r="AJ298" s="19">
        <f t="shared" si="55"/>
        <v>0</v>
      </c>
    </row>
    <row r="299" spans="1:51" ht="24.75" customHeight="1" x14ac:dyDescent="0.25">
      <c r="A299" s="109">
        <v>20240018</v>
      </c>
      <c r="B299" s="608"/>
      <c r="C299" s="109">
        <v>14162016</v>
      </c>
      <c r="D299" s="109" t="s">
        <v>316</v>
      </c>
      <c r="E299" s="109" t="s">
        <v>290</v>
      </c>
      <c r="F299" s="109" t="s">
        <v>704</v>
      </c>
      <c r="G299" s="109" t="s">
        <v>676</v>
      </c>
      <c r="H299" s="140">
        <v>1229187</v>
      </c>
      <c r="I299" s="140">
        <v>1268728</v>
      </c>
      <c r="J299" s="26">
        <f>IF(H299&lt;&gt;"",IF(AND(C299&lt;&gt;"",IFERROR(MATCH(C299,Table10[Serial No.],0),0)),0,1),0)</f>
        <v>1</v>
      </c>
      <c r="K299" s="21"/>
      <c r="L299" s="539" t="str">
        <f t="shared" ca="1" si="58"/>
        <v/>
      </c>
      <c r="S299" s="281">
        <v>1287241</v>
      </c>
      <c r="T299" s="278">
        <v>16</v>
      </c>
      <c r="U299" s="278" t="s">
        <v>642</v>
      </c>
      <c r="V299" s="25">
        <v>4</v>
      </c>
      <c r="W299" s="284">
        <v>1146742</v>
      </c>
      <c r="X299" s="19" t="str">
        <f>IFERROR(INDEX(Table14[],MATCH($W299,Table14[SAPNo],0),3),"")</f>
        <v>1913 CT418 U-60</v>
      </c>
      <c r="Y299" s="284">
        <v>20</v>
      </c>
      <c r="Z299" s="25">
        <f t="shared" si="56"/>
        <v>0</v>
      </c>
      <c r="AA299" s="25">
        <f t="shared" si="59"/>
        <v>0</v>
      </c>
      <c r="AB299" s="23">
        <f ca="1">IFERROR(INDEX('Cutters Inventory 12-30-2025'!A:W,MATCH($W299,'Cutters Inventory 12-30-2025'!B:B,0),14),0)</f>
        <v>20</v>
      </c>
      <c r="AC299" s="23">
        <f>SUMIF(Table1[LEVEL 5 MAT NO.],S299,Table1[Braze Plan])</f>
        <v>0</v>
      </c>
      <c r="AD299" s="23">
        <f>Table4[[#This Row],[Quantity]]*Table4[[#This Row],[Bits Braze Plan]]</f>
        <v>0</v>
      </c>
      <c r="AE299" s="23">
        <f ca="1">Table4[[#This Row],[INV. QTY]]-Table4[[#This Row],[Required For Braze Cutters Check]]</f>
        <v>20</v>
      </c>
      <c r="AF299" s="23">
        <f t="shared" ca="1" si="57"/>
        <v>20</v>
      </c>
      <c r="AG299" s="23"/>
      <c r="AJ299" s="19">
        <f t="shared" si="55"/>
        <v>0</v>
      </c>
    </row>
    <row r="300" spans="1:51" ht="24.75" customHeight="1" x14ac:dyDescent="0.25">
      <c r="A300" s="109">
        <v>20240034</v>
      </c>
      <c r="B300" s="608"/>
      <c r="C300" s="109">
        <v>14155383</v>
      </c>
      <c r="D300" s="109" t="s">
        <v>313</v>
      </c>
      <c r="E300" s="109" t="s">
        <v>645</v>
      </c>
      <c r="F300" s="109"/>
      <c r="G300" s="109" t="s">
        <v>681</v>
      </c>
      <c r="H300" s="140">
        <v>1267027</v>
      </c>
      <c r="I300" s="140">
        <v>1283630</v>
      </c>
      <c r="J300" s="26">
        <f>IF(H300&lt;&gt;"",IF(AND(C300&lt;&gt;"",IFERROR(MATCH(C300,Table10[Serial No.],0),0)),0,1),0)</f>
        <v>0</v>
      </c>
      <c r="K300" s="21"/>
      <c r="L300" s="539" t="str">
        <f t="shared" ca="1" si="58"/>
        <v/>
      </c>
      <c r="R300" s="298"/>
      <c r="S300" s="281">
        <v>1287241</v>
      </c>
      <c r="T300" s="278">
        <v>16</v>
      </c>
      <c r="U300" s="278" t="s">
        <v>642</v>
      </c>
      <c r="V300" s="25">
        <v>5</v>
      </c>
      <c r="W300" s="284">
        <v>418525</v>
      </c>
      <c r="X300" s="19" t="str">
        <f>IFERROR(INDEX(Table14[],MATCH($W300,Table14[SAPNo],0),3),"")</f>
        <v>Drop In 1308 CT31   (B)</v>
      </c>
      <c r="Y300" s="284">
        <v>7</v>
      </c>
      <c r="Z300" s="25">
        <f t="shared" si="56"/>
        <v>0</v>
      </c>
      <c r="AA300" s="25">
        <f t="shared" si="59"/>
        <v>0</v>
      </c>
      <c r="AB300" s="23">
        <f ca="1">IFERROR(INDEX('Cutters Inventory 12-30-2025'!A:W,MATCH($W300,'Cutters Inventory 12-30-2025'!B:B,0),14),0)</f>
        <v>933</v>
      </c>
      <c r="AC300" s="23">
        <f>SUMIF(Table1[LEVEL 5 MAT NO.],S300,Table1[Braze Plan])</f>
        <v>0</v>
      </c>
      <c r="AD300" s="23">
        <f>Table4[[#This Row],[Quantity]]*Table4[[#This Row],[Bits Braze Plan]]</f>
        <v>0</v>
      </c>
      <c r="AE300" s="23">
        <f ca="1">Table4[[#This Row],[INV. QTY]]-Table4[[#This Row],[Required For Braze Cutters Check]]</f>
        <v>933</v>
      </c>
      <c r="AF300" s="23">
        <f t="shared" ca="1" si="57"/>
        <v>933</v>
      </c>
      <c r="AG300" s="23"/>
      <c r="AJ300" s="19">
        <f t="shared" si="55"/>
        <v>0</v>
      </c>
    </row>
    <row r="301" spans="1:51" ht="24.75" customHeight="1" x14ac:dyDescent="0.25">
      <c r="A301" s="132">
        <v>20240034</v>
      </c>
      <c r="B301" s="609"/>
      <c r="C301" s="132">
        <v>14155384</v>
      </c>
      <c r="D301" s="132" t="s">
        <v>313</v>
      </c>
      <c r="E301" s="132" t="s">
        <v>703</v>
      </c>
      <c r="F301" s="132"/>
      <c r="G301" s="132" t="s">
        <v>681</v>
      </c>
      <c r="H301" s="141">
        <v>1272920</v>
      </c>
      <c r="I301" s="141">
        <v>1283482</v>
      </c>
      <c r="J301" s="26">
        <f>IF(H301&lt;&gt;"",IF(AND(C301&lt;&gt;"",IFERROR(MATCH(C301,Table10[Serial No.],0),0)),0,1),0)</f>
        <v>0</v>
      </c>
      <c r="K301" s="21"/>
      <c r="L301" s="539" t="str">
        <f t="shared" ca="1" si="58"/>
        <v/>
      </c>
      <c r="S301" s="354">
        <v>1263805</v>
      </c>
      <c r="T301" s="278" t="s">
        <v>624</v>
      </c>
      <c r="U301" s="278" t="s">
        <v>281</v>
      </c>
      <c r="V301" s="25">
        <v>8</v>
      </c>
      <c r="W301" s="284">
        <v>1146737</v>
      </c>
      <c r="X301" s="19" t="str">
        <f>IFERROR(INDEX(Table14[],MATCH($W301,Table14[SAPNo],0),3),"")</f>
        <v>1613 CT418 18-60</v>
      </c>
      <c r="Y301" s="284">
        <v>10</v>
      </c>
      <c r="Z301" s="25">
        <f t="shared" si="56"/>
        <v>2</v>
      </c>
      <c r="AA301" s="25">
        <f t="shared" si="59"/>
        <v>20</v>
      </c>
      <c r="AB301" s="23">
        <f ca="1">IFERROR(INDEX('Cutters Inventory 12-30-2025'!A:W,MATCH($W301,'Cutters Inventory 12-30-2025'!B:B,0),14),0)</f>
        <v>1281</v>
      </c>
      <c r="AC301" s="23">
        <f>SUMIF(Table1[LEVEL 5 MAT NO.],S301,Table1[Braze Plan])</f>
        <v>0</v>
      </c>
      <c r="AD301" s="23">
        <f>Table4[[#This Row],[Quantity]]*Table4[[#This Row],[Bits Braze Plan]]</f>
        <v>0</v>
      </c>
      <c r="AE301" s="23">
        <f ca="1">Table4[[#This Row],[INV. QTY]]-Table4[[#This Row],[Required For Braze Cutters Check]]</f>
        <v>1281</v>
      </c>
      <c r="AF301" s="23">
        <f t="shared" ca="1" si="57"/>
        <v>1281</v>
      </c>
      <c r="AG301" s="23"/>
      <c r="AJ301" s="19">
        <f t="shared" si="55"/>
        <v>0</v>
      </c>
    </row>
    <row r="302" spans="1:51" ht="24.75" customHeight="1" x14ac:dyDescent="0.25">
      <c r="A302" s="109">
        <v>20240034</v>
      </c>
      <c r="B302" s="608"/>
      <c r="C302" s="109">
        <v>14155386</v>
      </c>
      <c r="D302" s="109" t="s">
        <v>637</v>
      </c>
      <c r="E302" s="109" t="s">
        <v>287</v>
      </c>
      <c r="F302" s="109"/>
      <c r="G302" s="109" t="s">
        <v>681</v>
      </c>
      <c r="H302" s="140">
        <v>1267122</v>
      </c>
      <c r="I302" s="140">
        <v>1257458</v>
      </c>
      <c r="J302" s="26">
        <f>IF(H302&lt;&gt;"",IF(AND(C302&lt;&gt;"",IFERROR(MATCH(C302,Table10[Serial No.],0),0)),0,1),0)</f>
        <v>0</v>
      </c>
      <c r="K302" s="21"/>
      <c r="L302" s="539" t="str">
        <f t="shared" ca="1" si="58"/>
        <v/>
      </c>
      <c r="S302" s="620">
        <v>2008912</v>
      </c>
      <c r="T302" s="278" t="s">
        <v>637</v>
      </c>
      <c r="U302" s="278" t="s">
        <v>673</v>
      </c>
      <c r="V302" s="25">
        <v>1</v>
      </c>
      <c r="W302" s="613">
        <v>1296685</v>
      </c>
      <c r="X302" s="614" t="str">
        <f>IFERROR(INDEX(Table14[],MATCH($W302,Table14[SAPNo],0),3),"")</f>
        <v>1613 CT179R U</v>
      </c>
      <c r="Y302" s="284">
        <v>24</v>
      </c>
      <c r="Z302" s="25">
        <f t="shared" si="56"/>
        <v>4</v>
      </c>
      <c r="AA302" s="25">
        <f t="shared" si="59"/>
        <v>96</v>
      </c>
      <c r="AB302" s="23">
        <f ca="1">IFERROR(INDEX('Cutters Inventory 12-30-2025'!A:W,MATCH($W302,'Cutters Inventory 12-30-2025'!B:B,0),14),0)</f>
        <v>196</v>
      </c>
      <c r="AC302" s="23">
        <f>SUMIF(Table1[LEVEL 5 MAT NO.],S302,Table1[Braze Plan])</f>
        <v>0</v>
      </c>
      <c r="AD302" s="23">
        <f>Table4[[#This Row],[Quantity]]*Table4[[#This Row],[Bits Braze Plan]]</f>
        <v>0</v>
      </c>
      <c r="AE302" s="23">
        <f ca="1">Table4[[#This Row],[INV. QTY]]-Table4[[#This Row],[Required For Braze Cutters Check]]</f>
        <v>196</v>
      </c>
      <c r="AF302" s="23">
        <f t="shared" ca="1" si="57"/>
        <v>196</v>
      </c>
      <c r="AG302" s="625" t="s">
        <v>706</v>
      </c>
      <c r="AJ302" s="19">
        <f t="shared" si="55"/>
        <v>0</v>
      </c>
    </row>
    <row r="303" spans="1:51" ht="24.75" customHeight="1" x14ac:dyDescent="0.25">
      <c r="A303" s="109">
        <v>20240034</v>
      </c>
      <c r="B303" s="608"/>
      <c r="C303" s="109">
        <v>14155385</v>
      </c>
      <c r="D303" s="109" t="s">
        <v>637</v>
      </c>
      <c r="E303" s="109" t="s">
        <v>287</v>
      </c>
      <c r="F303" s="109"/>
      <c r="G303" s="109" t="s">
        <v>681</v>
      </c>
      <c r="H303" s="140">
        <v>1267122</v>
      </c>
      <c r="I303" s="140">
        <v>1257458</v>
      </c>
      <c r="J303" s="26">
        <f>IF(H303&lt;&gt;"",IF(AND(C303&lt;&gt;"",IFERROR(MATCH(C303,Table10[Serial No.],0),0)),0,1),0)</f>
        <v>0</v>
      </c>
      <c r="K303" s="21"/>
      <c r="L303" s="539" t="str">
        <f t="shared" ca="1" si="58"/>
        <v/>
      </c>
      <c r="S303" s="620">
        <v>2008912</v>
      </c>
      <c r="T303" s="278" t="s">
        <v>637</v>
      </c>
      <c r="U303" s="278" t="s">
        <v>673</v>
      </c>
      <c r="V303" s="25">
        <v>2</v>
      </c>
      <c r="W303" s="284">
        <v>1146737</v>
      </c>
      <c r="X303" s="19" t="str">
        <f>IFERROR(INDEX(Table14[],MATCH($W303,Table14[SAPNo],0),3),"")</f>
        <v>1613 CT418 18-60</v>
      </c>
      <c r="Y303" s="284">
        <v>9</v>
      </c>
      <c r="Z303" s="25">
        <f t="shared" si="56"/>
        <v>4</v>
      </c>
      <c r="AA303" s="25">
        <f t="shared" si="59"/>
        <v>36</v>
      </c>
      <c r="AB303" s="23">
        <f ca="1">IFERROR(INDEX('Cutters Inventory 12-30-2025'!A:W,MATCH($W303,'Cutters Inventory 12-30-2025'!B:B,0),14),0)</f>
        <v>1281</v>
      </c>
      <c r="AC303" s="23">
        <f>SUMIF(Table1[LEVEL 5 MAT NO.],S303,Table1[Braze Plan])</f>
        <v>0</v>
      </c>
      <c r="AD303" s="23">
        <f>Table4[[#This Row],[Quantity]]*Table4[[#This Row],[Bits Braze Plan]]</f>
        <v>0</v>
      </c>
      <c r="AE303" s="23">
        <f ca="1">Table4[[#This Row],[INV. QTY]]-Table4[[#This Row],[Required For Braze Cutters Check]]</f>
        <v>1281</v>
      </c>
      <c r="AF303" s="23">
        <f t="shared" ca="1" si="57"/>
        <v>1281</v>
      </c>
      <c r="AG303" s="23"/>
      <c r="AJ303" s="19">
        <f t="shared" si="55"/>
        <v>0</v>
      </c>
    </row>
    <row r="304" spans="1:51" ht="24.75" customHeight="1" x14ac:dyDescent="0.25">
      <c r="A304" s="109">
        <v>20240050</v>
      </c>
      <c r="B304" s="608"/>
      <c r="C304" s="109">
        <v>14160180</v>
      </c>
      <c r="D304" s="109" t="s">
        <v>304</v>
      </c>
      <c r="E304" s="109" t="s">
        <v>636</v>
      </c>
      <c r="F304" s="109" t="s">
        <v>707</v>
      </c>
      <c r="G304" s="109" t="s">
        <v>676</v>
      </c>
      <c r="H304" s="140">
        <v>1228848</v>
      </c>
      <c r="I304" s="140">
        <v>1016454</v>
      </c>
      <c r="J304" s="26">
        <f>IF(H304&lt;&gt;"",IF(AND(C304&lt;&gt;"",IFERROR(MATCH(C304,Table10[Serial No.],0),0)),0,1),0)</f>
        <v>0</v>
      </c>
      <c r="K304" s="21"/>
      <c r="L304" s="539" t="str">
        <f t="shared" ca="1" si="58"/>
        <v/>
      </c>
      <c r="S304" s="620">
        <v>2008912</v>
      </c>
      <c r="T304" s="278" t="s">
        <v>637</v>
      </c>
      <c r="U304" s="278" t="s">
        <v>673</v>
      </c>
      <c r="V304" s="25">
        <v>3</v>
      </c>
      <c r="W304" s="619">
        <v>1288783</v>
      </c>
      <c r="X304" s="618" t="str">
        <f>IFERROR(INDEX(Table14[],MATCH($W304,Table14[SAPNo],0),3),"")</f>
        <v>1613 CT179 18-60</v>
      </c>
      <c r="Y304" s="284">
        <v>12</v>
      </c>
      <c r="Z304" s="25">
        <f t="shared" si="56"/>
        <v>4</v>
      </c>
      <c r="AA304" s="25">
        <f t="shared" si="59"/>
        <v>48</v>
      </c>
      <c r="AB304" s="23">
        <f ca="1">IFERROR(INDEX('Cutters Inventory 12-30-2025'!A:W,MATCH($W304,'Cutters Inventory 12-30-2025'!B:B,0),14),0)</f>
        <v>813</v>
      </c>
      <c r="AC304" s="23">
        <f>SUMIF(Table1[LEVEL 5 MAT NO.],S304,Table1[Braze Plan])</f>
        <v>0</v>
      </c>
      <c r="AD304" s="23">
        <f>Table4[[#This Row],[Quantity]]*Table4[[#This Row],[Bits Braze Plan]]</f>
        <v>0</v>
      </c>
      <c r="AE304" s="23">
        <f ca="1">Table4[[#This Row],[INV. QTY]]-Table4[[#This Row],[Required For Braze Cutters Check]]</f>
        <v>813</v>
      </c>
      <c r="AF304" s="23">
        <f t="shared" ca="1" si="57"/>
        <v>813</v>
      </c>
      <c r="AG304" s="625" t="s">
        <v>708</v>
      </c>
      <c r="AJ304" s="19">
        <f t="shared" si="55"/>
        <v>0</v>
      </c>
    </row>
    <row r="305" spans="1:36" ht="24.75" customHeight="1" x14ac:dyDescent="0.25">
      <c r="A305" s="109">
        <v>20240050</v>
      </c>
      <c r="B305" s="608"/>
      <c r="C305" s="109">
        <v>14160181</v>
      </c>
      <c r="D305" s="109" t="s">
        <v>304</v>
      </c>
      <c r="E305" s="109" t="s">
        <v>636</v>
      </c>
      <c r="F305" s="109" t="s">
        <v>707</v>
      </c>
      <c r="G305" s="109" t="s">
        <v>676</v>
      </c>
      <c r="H305" s="140">
        <v>1228848</v>
      </c>
      <c r="I305" s="140">
        <v>1016454</v>
      </c>
      <c r="J305" s="26">
        <f>IF(H305&lt;&gt;"",IF(AND(C305&lt;&gt;"",IFERROR(MATCH(C305,Table10[Serial No.],0),0)),0,1),0)</f>
        <v>0</v>
      </c>
      <c r="K305" s="21"/>
      <c r="L305" s="539" t="str">
        <f t="shared" ca="1" si="58"/>
        <v/>
      </c>
      <c r="R305" s="298"/>
      <c r="S305" s="620">
        <v>2008912</v>
      </c>
      <c r="T305" s="278" t="s">
        <v>637</v>
      </c>
      <c r="U305" s="278" t="s">
        <v>673</v>
      </c>
      <c r="V305" s="25">
        <v>4</v>
      </c>
      <c r="W305" s="284">
        <v>410851</v>
      </c>
      <c r="X305" s="19" t="str">
        <f>IFERROR(INDEX(Table14[],MATCH($W305,Table14[SAPNo],0),3),"")</f>
        <v>PDC Dome 1308 CT31   (B)</v>
      </c>
      <c r="Y305" s="284">
        <v>12</v>
      </c>
      <c r="Z305" s="25">
        <f t="shared" si="56"/>
        <v>4</v>
      </c>
      <c r="AA305" s="25">
        <f t="shared" si="59"/>
        <v>48</v>
      </c>
      <c r="AB305" s="23">
        <f ca="1">IFERROR(INDEX('Cutters Inventory 12-30-2025'!A:W,MATCH($W305,'Cutters Inventory 12-30-2025'!B:B,0),14),0)</f>
        <v>93</v>
      </c>
      <c r="AC305" s="23">
        <f>SUMIF(Table1[LEVEL 5 MAT NO.],S305,Table1[Braze Plan])</f>
        <v>0</v>
      </c>
      <c r="AD305" s="23">
        <f>Table4[[#This Row],[Quantity]]*Table4[[#This Row],[Bits Braze Plan]]</f>
        <v>0</v>
      </c>
      <c r="AE305" s="23">
        <f ca="1">Table4[[#This Row],[INV. QTY]]-Table4[[#This Row],[Required For Braze Cutters Check]]</f>
        <v>93</v>
      </c>
      <c r="AF305" s="23">
        <f t="shared" ca="1" si="57"/>
        <v>93</v>
      </c>
      <c r="AG305" s="23"/>
      <c r="AJ305" s="19">
        <f t="shared" si="55"/>
        <v>0</v>
      </c>
    </row>
    <row r="306" spans="1:36" ht="24.75" customHeight="1" x14ac:dyDescent="0.25">
      <c r="A306" s="109">
        <v>20240050</v>
      </c>
      <c r="B306" s="608"/>
      <c r="C306" s="109">
        <v>14160179</v>
      </c>
      <c r="D306" s="109" t="s">
        <v>304</v>
      </c>
      <c r="E306" s="109" t="s">
        <v>636</v>
      </c>
      <c r="F306" s="109" t="s">
        <v>707</v>
      </c>
      <c r="G306" s="109" t="s">
        <v>676</v>
      </c>
      <c r="H306" s="140">
        <v>1228848</v>
      </c>
      <c r="I306" s="140">
        <v>1016454</v>
      </c>
      <c r="J306" s="26">
        <f>IF(H306&lt;&gt;"",IF(AND(C306&lt;&gt;"",IFERROR(MATCH(C306,Table10[Serial No.],0),0)),0,1),0)</f>
        <v>0</v>
      </c>
      <c r="K306" s="21"/>
      <c r="L306" s="539" t="str">
        <f t="shared" ca="1" si="58"/>
        <v/>
      </c>
      <c r="S306" s="620">
        <v>2008912</v>
      </c>
      <c r="T306" s="278" t="s">
        <v>637</v>
      </c>
      <c r="U306" s="278" t="s">
        <v>673</v>
      </c>
      <c r="V306" s="25">
        <v>5</v>
      </c>
      <c r="W306" s="284">
        <v>871781</v>
      </c>
      <c r="X306" s="19" t="str">
        <f>IFERROR(INDEX(Table14[],MATCH($W306,Table14[SAPNo],0),3),"")</f>
        <v>Round 1313 CT200  0.018" (B)</v>
      </c>
      <c r="Y306" s="284">
        <v>6</v>
      </c>
      <c r="Z306" s="25">
        <f t="shared" si="56"/>
        <v>4</v>
      </c>
      <c r="AA306" s="25">
        <f t="shared" si="59"/>
        <v>24</v>
      </c>
      <c r="AB306" s="23">
        <f ca="1">IFERROR(INDEX('Cutters Inventory 12-30-2025'!A:W,MATCH($W306,'Cutters Inventory 12-30-2025'!B:B,0),14),0)</f>
        <v>843</v>
      </c>
      <c r="AC306" s="23">
        <f>SUMIF(Table1[LEVEL 5 MAT NO.],S306,Table1[Braze Plan])</f>
        <v>0</v>
      </c>
      <c r="AD306" s="23">
        <f>Table4[[#This Row],[Quantity]]*Table4[[#This Row],[Bits Braze Plan]]</f>
        <v>0</v>
      </c>
      <c r="AE306" s="23">
        <f ca="1">Table4[[#This Row],[INV. QTY]]-Table4[[#This Row],[Required For Braze Cutters Check]]</f>
        <v>843</v>
      </c>
      <c r="AF306" s="23">
        <f t="shared" ca="1" si="57"/>
        <v>843</v>
      </c>
      <c r="AG306" s="23"/>
      <c r="AJ306" s="19">
        <f t="shared" si="55"/>
        <v>0</v>
      </c>
    </row>
    <row r="307" spans="1:36" ht="24.75" customHeight="1" x14ac:dyDescent="0.25">
      <c r="A307" s="109">
        <v>20240050</v>
      </c>
      <c r="B307" s="608"/>
      <c r="C307" s="109">
        <v>14160182</v>
      </c>
      <c r="D307" s="109" t="s">
        <v>304</v>
      </c>
      <c r="E307" s="109" t="s">
        <v>630</v>
      </c>
      <c r="F307" s="109" t="s">
        <v>709</v>
      </c>
      <c r="G307" s="109" t="s">
        <v>676</v>
      </c>
      <c r="H307" s="140">
        <v>1228690</v>
      </c>
      <c r="I307" s="140">
        <v>960723</v>
      </c>
      <c r="J307" s="26">
        <f>IF(H307&lt;&gt;"",IF(AND(C307&lt;&gt;"",IFERROR(MATCH(C307,Table10[Serial No.],0),0)),0,1),0)</f>
        <v>0</v>
      </c>
      <c r="K307" s="21"/>
      <c r="L307" s="539" t="str">
        <f t="shared" ca="1" si="58"/>
        <v/>
      </c>
      <c r="S307" s="620">
        <v>2008912</v>
      </c>
      <c r="T307" s="278" t="s">
        <v>637</v>
      </c>
      <c r="U307" s="278" t="s">
        <v>673</v>
      </c>
      <c r="V307" s="25">
        <v>6</v>
      </c>
      <c r="W307" s="284">
        <v>1244957</v>
      </c>
      <c r="X307" s="19" t="str">
        <f>IFERROR(INDEX(Table14[],MATCH($W307,Table14[SAPNo],0),3),"")</f>
        <v>1613 CT418 DER</v>
      </c>
      <c r="Y307" s="284">
        <v>6</v>
      </c>
      <c r="Z307" s="25">
        <f t="shared" si="56"/>
        <v>4</v>
      </c>
      <c r="AA307" s="25">
        <f t="shared" si="59"/>
        <v>24</v>
      </c>
      <c r="AB307" s="23">
        <f ca="1">IFERROR(INDEX('Cutters Inventory 12-30-2025'!A:W,MATCH($W307,'Cutters Inventory 12-30-2025'!B:B,0),14),0)</f>
        <v>0</v>
      </c>
      <c r="AC307" s="23">
        <f>SUMIF(Table1[LEVEL 5 MAT NO.],S307,Table1[Braze Plan])</f>
        <v>0</v>
      </c>
      <c r="AD307" s="23">
        <f>Table4[[#This Row],[Quantity]]*Table4[[#This Row],[Bits Braze Plan]]</f>
        <v>0</v>
      </c>
      <c r="AE307" s="23">
        <f ca="1">Table4[[#This Row],[INV. QTY]]-Table4[[#This Row],[Required For Braze Cutters Check]]</f>
        <v>0</v>
      </c>
      <c r="AF307" s="23">
        <f t="shared" ca="1" si="57"/>
        <v>0</v>
      </c>
      <c r="AG307" s="23"/>
      <c r="AJ307" s="19">
        <f t="shared" si="55"/>
        <v>0</v>
      </c>
    </row>
    <row r="308" spans="1:36" ht="24.75" customHeight="1" x14ac:dyDescent="0.25">
      <c r="A308" s="109">
        <v>20240050</v>
      </c>
      <c r="B308" s="608"/>
      <c r="C308" s="109">
        <v>14160183</v>
      </c>
      <c r="D308" s="109" t="s">
        <v>304</v>
      </c>
      <c r="E308" s="109" t="s">
        <v>630</v>
      </c>
      <c r="F308" s="109" t="s">
        <v>709</v>
      </c>
      <c r="G308" s="109" t="s">
        <v>676</v>
      </c>
      <c r="H308" s="140">
        <v>1228690</v>
      </c>
      <c r="I308" s="140">
        <v>960723</v>
      </c>
      <c r="J308" s="26">
        <f>IF(H308&lt;&gt;"",IF(AND(C308&lt;&gt;"",IFERROR(MATCH(C308,Table10[Serial No.],0),0)),0,1),0)</f>
        <v>0</v>
      </c>
      <c r="K308" s="21"/>
      <c r="L308" s="539" t="str">
        <f t="shared" ca="1" si="58"/>
        <v/>
      </c>
      <c r="S308" s="620">
        <v>2008912</v>
      </c>
      <c r="T308" s="278" t="s">
        <v>637</v>
      </c>
      <c r="U308" s="278" t="s">
        <v>673</v>
      </c>
      <c r="V308" s="25">
        <v>7</v>
      </c>
      <c r="W308" s="284">
        <v>653400</v>
      </c>
      <c r="X308" s="19" t="str">
        <f>IFERROR(INDEX(Table14[],MATCH($W308,Table14[SAPNo],0),3),"")</f>
        <v>13MM WC­MAT404 NA</v>
      </c>
      <c r="Y308" s="284">
        <v>12</v>
      </c>
      <c r="Z308" s="25">
        <f t="shared" si="56"/>
        <v>4</v>
      </c>
      <c r="AA308" s="25">
        <f t="shared" si="59"/>
        <v>48</v>
      </c>
      <c r="AB308" s="23">
        <f ca="1">IFERROR(INDEX('Cutters Inventory 12-30-2025'!A:W,MATCH($W308,'Cutters Inventory 12-30-2025'!B:B,0),14),0)</f>
        <v>37</v>
      </c>
      <c r="AC308" s="23">
        <f>SUMIF(Table1[LEVEL 5 MAT NO.],S308,Table1[Braze Plan])</f>
        <v>0</v>
      </c>
      <c r="AD308" s="23">
        <f>Table4[[#This Row],[Quantity]]*Table4[[#This Row],[Bits Braze Plan]]</f>
        <v>0</v>
      </c>
      <c r="AE308" s="23">
        <f ca="1">Table4[[#This Row],[INV. QTY]]-Table4[[#This Row],[Required For Braze Cutters Check]]</f>
        <v>37</v>
      </c>
      <c r="AF308" s="23">
        <f t="shared" ca="1" si="57"/>
        <v>37</v>
      </c>
      <c r="AG308" s="23"/>
      <c r="AJ308" s="19">
        <f t="shared" si="55"/>
        <v>0</v>
      </c>
    </row>
    <row r="309" spans="1:36" ht="24.75" customHeight="1" x14ac:dyDescent="0.25">
      <c r="A309" s="109">
        <v>20240050</v>
      </c>
      <c r="B309" s="608"/>
      <c r="C309" s="109">
        <v>14160190</v>
      </c>
      <c r="D309" s="109" t="s">
        <v>631</v>
      </c>
      <c r="E309" s="109" t="s">
        <v>645</v>
      </c>
      <c r="F309" s="109" t="s">
        <v>710</v>
      </c>
      <c r="G309" s="109" t="s">
        <v>681</v>
      </c>
      <c r="H309" s="140">
        <v>1262047</v>
      </c>
      <c r="I309" s="140">
        <v>1235768</v>
      </c>
      <c r="J309" s="26">
        <f>IF(H309&lt;&gt;"",IF(AND(C309&lt;&gt;"",IFERROR(MATCH(C309,Table10[Serial No.],0),0)),0,1),0)</f>
        <v>0</v>
      </c>
      <c r="K309" s="21"/>
      <c r="L309" s="539" t="str">
        <f t="shared" ca="1" si="58"/>
        <v/>
      </c>
      <c r="S309" s="617">
        <v>2009244</v>
      </c>
      <c r="T309" s="278" t="s">
        <v>313</v>
      </c>
      <c r="U309" s="278" t="s">
        <v>314</v>
      </c>
      <c r="V309" s="25">
        <v>1</v>
      </c>
      <c r="W309" s="284">
        <v>1126402</v>
      </c>
      <c r="X309" s="19" t="str">
        <f>IFERROR(INDEX(Table14[],MATCH($W309,Table14[SAPNo],0),3),"")</f>
        <v>1613 CT421 16-60</v>
      </c>
      <c r="Y309" s="284">
        <v>33</v>
      </c>
      <c r="Z309" s="25">
        <f t="shared" si="56"/>
        <v>0</v>
      </c>
      <c r="AA309" s="25">
        <f t="shared" si="59"/>
        <v>0</v>
      </c>
      <c r="AB309" s="23">
        <f ca="1">IFERROR(INDEX('Cutters Inventory 12-30-2025'!A:W,MATCH($W309,'Cutters Inventory 12-30-2025'!B:B,0),14),0)</f>
        <v>422</v>
      </c>
      <c r="AC309" s="23">
        <f>SUMIF(Table1[LEVEL 5 MAT NO.],S309,Table1[Braze Plan])</f>
        <v>0</v>
      </c>
      <c r="AD309" s="23">
        <f>Table4[[#This Row],[Quantity]]*Table4[[#This Row],[Bits Braze Plan]]</f>
        <v>0</v>
      </c>
      <c r="AE309" s="23">
        <f ca="1">Table4[[#This Row],[INV. QTY]]-Table4[[#This Row],[Required For Braze Cutters Check]]</f>
        <v>422</v>
      </c>
      <c r="AF309" s="23">
        <f t="shared" ca="1" si="57"/>
        <v>422</v>
      </c>
      <c r="AG309" s="625" t="s">
        <v>711</v>
      </c>
      <c r="AJ309" s="19">
        <f t="shared" si="55"/>
        <v>0</v>
      </c>
    </row>
    <row r="310" spans="1:36" ht="24.75" customHeight="1" x14ac:dyDescent="0.25">
      <c r="A310" s="109">
        <v>20240050</v>
      </c>
      <c r="B310" s="608"/>
      <c r="C310" s="109">
        <v>14160188</v>
      </c>
      <c r="D310" s="109" t="s">
        <v>631</v>
      </c>
      <c r="E310" s="109" t="s">
        <v>645</v>
      </c>
      <c r="F310" s="109" t="s">
        <v>710</v>
      </c>
      <c r="G310" s="109" t="s">
        <v>681</v>
      </c>
      <c r="H310" s="140">
        <v>1262047</v>
      </c>
      <c r="I310" s="140">
        <v>1235768</v>
      </c>
      <c r="J310" s="26">
        <f>IF(H310&lt;&gt;"",IF(AND(C310&lt;&gt;"",IFERROR(MATCH(C310,Table10[Serial No.],0),0)),0,1),0)</f>
        <v>0</v>
      </c>
      <c r="K310" s="21"/>
      <c r="L310" s="539" t="str">
        <f t="shared" ca="1" si="58"/>
        <v/>
      </c>
      <c r="S310" s="617">
        <v>2009244</v>
      </c>
      <c r="T310" s="278" t="s">
        <v>313</v>
      </c>
      <c r="U310" s="278" t="s">
        <v>314</v>
      </c>
      <c r="V310" s="25">
        <v>2</v>
      </c>
      <c r="W310" s="284">
        <v>647435</v>
      </c>
      <c r="X310" s="19" t="str">
        <f>IFERROR(INDEX(Table14[],MATCH($W310,Table14[SAPNo],0),3),"")</f>
        <v>Round 1608 CT200  0.018" (B)</v>
      </c>
      <c r="Y310" s="284">
        <v>23</v>
      </c>
      <c r="Z310" s="25">
        <f t="shared" si="56"/>
        <v>0</v>
      </c>
      <c r="AA310" s="25">
        <f t="shared" si="59"/>
        <v>0</v>
      </c>
      <c r="AB310" s="23">
        <f ca="1">IFERROR(INDEX('Cutters Inventory 12-30-2025'!A:W,MATCH($W310,'Cutters Inventory 12-30-2025'!B:B,0),14),0)</f>
        <v>284</v>
      </c>
      <c r="AC310" s="23">
        <f>SUMIF(Table1[LEVEL 5 MAT NO.],S310,Table1[Braze Plan])</f>
        <v>0</v>
      </c>
      <c r="AD310" s="23">
        <f>Table4[[#This Row],[Quantity]]*Table4[[#This Row],[Bits Braze Plan]]</f>
        <v>0</v>
      </c>
      <c r="AE310" s="23">
        <f ca="1">Table4[[#This Row],[INV. QTY]]-Table4[[#This Row],[Required For Braze Cutters Check]]</f>
        <v>284</v>
      </c>
      <c r="AF310" s="23">
        <f t="shared" ca="1" si="57"/>
        <v>284</v>
      </c>
      <c r="AG310" s="23"/>
      <c r="AJ310" s="19">
        <f t="shared" si="55"/>
        <v>0</v>
      </c>
    </row>
    <row r="311" spans="1:36" ht="24.75" customHeight="1" x14ac:dyDescent="0.25">
      <c r="A311" s="109">
        <v>20240050</v>
      </c>
      <c r="B311" s="608"/>
      <c r="C311" s="109">
        <v>14160186</v>
      </c>
      <c r="D311" s="109" t="s">
        <v>631</v>
      </c>
      <c r="E311" s="109" t="s">
        <v>645</v>
      </c>
      <c r="F311" s="109" t="s">
        <v>710</v>
      </c>
      <c r="G311" s="109" t="s">
        <v>681</v>
      </c>
      <c r="H311" s="140">
        <v>1262047</v>
      </c>
      <c r="I311" s="140">
        <v>1235768</v>
      </c>
      <c r="J311" s="26">
        <f>IF(H311&lt;&gt;"",IF(AND(C311&lt;&gt;"",IFERROR(MATCH(C311,Table10[Serial No.],0),0)),0,1),0)</f>
        <v>0</v>
      </c>
      <c r="K311" s="21"/>
      <c r="L311" s="539" t="str">
        <f t="shared" ca="1" si="58"/>
        <v/>
      </c>
      <c r="R311" s="298"/>
      <c r="S311" s="617">
        <v>2009244</v>
      </c>
      <c r="T311" s="278" t="s">
        <v>313</v>
      </c>
      <c r="U311" s="278" t="s">
        <v>314</v>
      </c>
      <c r="V311" s="25">
        <v>3</v>
      </c>
      <c r="W311" s="284">
        <v>871781</v>
      </c>
      <c r="X311" s="19" t="str">
        <f>IFERROR(INDEX(Table14[],MATCH($W311,Table14[SAPNo],0),3),"")</f>
        <v>Round 1313 CT200  0.018" (B)</v>
      </c>
      <c r="Y311" s="284">
        <v>6</v>
      </c>
      <c r="Z311" s="25">
        <f t="shared" si="56"/>
        <v>0</v>
      </c>
      <c r="AA311" s="25">
        <f t="shared" si="59"/>
        <v>0</v>
      </c>
      <c r="AB311" s="23">
        <f ca="1">IFERROR(INDEX('Cutters Inventory 12-30-2025'!A:W,MATCH($W311,'Cutters Inventory 12-30-2025'!B:B,0),14),0)</f>
        <v>843</v>
      </c>
      <c r="AC311" s="23">
        <f>SUMIF(Table1[LEVEL 5 MAT NO.],S311,Table1[Braze Plan])</f>
        <v>0</v>
      </c>
      <c r="AD311" s="23">
        <f>Table4[[#This Row],[Quantity]]*Table4[[#This Row],[Bits Braze Plan]]</f>
        <v>0</v>
      </c>
      <c r="AE311" s="23">
        <f ca="1">Table4[[#This Row],[INV. QTY]]-Table4[[#This Row],[Required For Braze Cutters Check]]</f>
        <v>843</v>
      </c>
      <c r="AF311" s="23">
        <f t="shared" ca="1" si="57"/>
        <v>843</v>
      </c>
      <c r="AG311" s="23"/>
      <c r="AJ311" s="19">
        <f t="shared" si="55"/>
        <v>0</v>
      </c>
    </row>
    <row r="312" spans="1:36" ht="24.75" customHeight="1" x14ac:dyDescent="0.25">
      <c r="A312" s="109">
        <v>20240050</v>
      </c>
      <c r="B312" s="608"/>
      <c r="C312" s="109">
        <v>14160184</v>
      </c>
      <c r="D312" s="109" t="s">
        <v>631</v>
      </c>
      <c r="E312" s="109" t="s">
        <v>645</v>
      </c>
      <c r="F312" s="109" t="s">
        <v>710</v>
      </c>
      <c r="G312" s="109" t="s">
        <v>681</v>
      </c>
      <c r="H312" s="140">
        <v>1262047</v>
      </c>
      <c r="I312" s="140">
        <v>1235768</v>
      </c>
      <c r="J312" s="26">
        <f>IF(H312&lt;&gt;"",IF(AND(C312&lt;&gt;"",IFERROR(MATCH(C312,Table10[Serial No.],0),0)),0,1),0)</f>
        <v>0</v>
      </c>
      <c r="K312" s="21"/>
      <c r="L312" s="539" t="str">
        <f t="shared" ca="1" si="58"/>
        <v/>
      </c>
      <c r="S312" s="617">
        <v>2009246</v>
      </c>
      <c r="T312" s="278" t="s">
        <v>313</v>
      </c>
      <c r="U312" s="278" t="s">
        <v>273</v>
      </c>
      <c r="V312" s="25">
        <v>1</v>
      </c>
      <c r="W312" s="284">
        <v>1126402</v>
      </c>
      <c r="X312" s="19" t="str">
        <f>IFERROR(INDEX(Table14[],MATCH($W312,Table14[SAPNo],0),3),"")</f>
        <v>1613 CT421 16-60</v>
      </c>
      <c r="Y312" s="284">
        <v>33</v>
      </c>
      <c r="Z312" s="25">
        <f t="shared" si="56"/>
        <v>1</v>
      </c>
      <c r="AA312" s="25">
        <f t="shared" si="59"/>
        <v>33</v>
      </c>
      <c r="AB312" s="23">
        <f ca="1">IFERROR(INDEX('Cutters Inventory 12-30-2025'!A:W,MATCH($W312,'Cutters Inventory 12-30-2025'!B:B,0),14),0)</f>
        <v>422</v>
      </c>
      <c r="AC312" s="23">
        <f>SUMIF(Table1[LEVEL 5 MAT NO.],S312,Table1[Braze Plan])</f>
        <v>0</v>
      </c>
      <c r="AD312" s="23">
        <f>Table4[[#This Row],[Quantity]]*Table4[[#This Row],[Bits Braze Plan]]</f>
        <v>0</v>
      </c>
      <c r="AE312" s="23">
        <f ca="1">Table4[[#This Row],[INV. QTY]]-Table4[[#This Row],[Required For Braze Cutters Check]]</f>
        <v>422</v>
      </c>
      <c r="AF312" s="23">
        <f t="shared" ca="1" si="57"/>
        <v>422</v>
      </c>
      <c r="AG312" s="625" t="s">
        <v>712</v>
      </c>
      <c r="AJ312" s="19">
        <f t="shared" si="55"/>
        <v>0</v>
      </c>
    </row>
    <row r="313" spans="1:36" ht="24.75" customHeight="1" x14ac:dyDescent="0.25">
      <c r="A313" s="109">
        <v>20240050</v>
      </c>
      <c r="B313" s="608"/>
      <c r="C313" s="109">
        <v>14160189</v>
      </c>
      <c r="D313" s="109" t="s">
        <v>631</v>
      </c>
      <c r="E313" s="109" t="s">
        <v>645</v>
      </c>
      <c r="F313" s="109" t="s">
        <v>710</v>
      </c>
      <c r="G313" s="109" t="s">
        <v>681</v>
      </c>
      <c r="H313" s="140">
        <v>1262047</v>
      </c>
      <c r="I313" s="140">
        <v>1235768</v>
      </c>
      <c r="J313" s="26">
        <f>IF(H313&lt;&gt;"",IF(AND(C313&lt;&gt;"",IFERROR(MATCH(C313,Table10[Serial No.],0),0)),0,1),0)</f>
        <v>0</v>
      </c>
      <c r="K313" s="21"/>
      <c r="L313" s="539" t="str">
        <f t="shared" ca="1" si="58"/>
        <v/>
      </c>
      <c r="R313" s="247"/>
      <c r="S313" s="617">
        <v>2009246</v>
      </c>
      <c r="T313" s="278" t="s">
        <v>313</v>
      </c>
      <c r="U313" s="278" t="s">
        <v>273</v>
      </c>
      <c r="V313" s="25">
        <v>2</v>
      </c>
      <c r="W313" s="284">
        <v>647435</v>
      </c>
      <c r="X313" s="19" t="str">
        <f>IFERROR(INDEX(Table14[],MATCH($W313,Table14[SAPNo],0),3),"")</f>
        <v>Round 1608 CT200  0.018" (B)</v>
      </c>
      <c r="Y313" s="284">
        <v>23</v>
      </c>
      <c r="Z313" s="25">
        <f t="shared" si="56"/>
        <v>1</v>
      </c>
      <c r="AA313" s="25">
        <f t="shared" si="59"/>
        <v>23</v>
      </c>
      <c r="AB313" s="23">
        <f ca="1">IFERROR(INDEX('Cutters Inventory 12-30-2025'!A:W,MATCH($W313,'Cutters Inventory 12-30-2025'!B:B,0),14),0)</f>
        <v>284</v>
      </c>
      <c r="AC313" s="23">
        <f>SUMIF(Table1[LEVEL 5 MAT NO.],S313,Table1[Braze Plan])</f>
        <v>0</v>
      </c>
      <c r="AD313" s="23">
        <f>Table4[[#This Row],[Quantity]]*Table4[[#This Row],[Bits Braze Plan]]</f>
        <v>0</v>
      </c>
      <c r="AE313" s="23">
        <f ca="1">Table4[[#This Row],[INV. QTY]]-Table4[[#This Row],[Required For Braze Cutters Check]]</f>
        <v>284</v>
      </c>
      <c r="AF313" s="23">
        <f t="shared" ca="1" si="57"/>
        <v>284</v>
      </c>
      <c r="AG313" s="23"/>
      <c r="AJ313" s="19">
        <f t="shared" si="55"/>
        <v>0</v>
      </c>
    </row>
    <row r="314" spans="1:36" ht="24.75" customHeight="1" x14ac:dyDescent="0.25">
      <c r="A314" s="109">
        <v>20240050</v>
      </c>
      <c r="B314" s="608"/>
      <c r="C314" s="109">
        <v>14160185</v>
      </c>
      <c r="D314" s="109" t="s">
        <v>631</v>
      </c>
      <c r="E314" s="109" t="s">
        <v>645</v>
      </c>
      <c r="F314" s="109" t="s">
        <v>710</v>
      </c>
      <c r="G314" s="109" t="s">
        <v>681</v>
      </c>
      <c r="H314" s="140">
        <v>1262047</v>
      </c>
      <c r="I314" s="140">
        <v>1235768</v>
      </c>
      <c r="J314" s="26">
        <f>IF(H314&lt;&gt;"",IF(AND(C314&lt;&gt;"",IFERROR(MATCH(C314,Table10[Serial No.],0),0)),0,1),0)</f>
        <v>0</v>
      </c>
      <c r="K314" s="21"/>
      <c r="L314" s="539" t="str">
        <f t="shared" ca="1" si="58"/>
        <v/>
      </c>
      <c r="R314" s="247"/>
      <c r="S314" s="617">
        <v>2009246</v>
      </c>
      <c r="T314" s="278" t="s">
        <v>313</v>
      </c>
      <c r="U314" s="278" t="s">
        <v>273</v>
      </c>
      <c r="V314" s="25">
        <v>3</v>
      </c>
      <c r="W314" s="284">
        <v>871781</v>
      </c>
      <c r="X314" s="19" t="str">
        <f>IFERROR(INDEX(Table14[],MATCH($W314,Table14[SAPNo],0),3),"")</f>
        <v>Round 1313 CT200  0.018" (B)</v>
      </c>
      <c r="Y314" s="284">
        <v>6</v>
      </c>
      <c r="Z314" s="25">
        <f t="shared" si="56"/>
        <v>1</v>
      </c>
      <c r="AA314" s="25">
        <f t="shared" si="59"/>
        <v>6</v>
      </c>
      <c r="AB314" s="23">
        <f ca="1">IFERROR(INDEX('Cutters Inventory 12-30-2025'!A:W,MATCH($W314,'Cutters Inventory 12-30-2025'!B:B,0),14),0)</f>
        <v>843</v>
      </c>
      <c r="AC314" s="23">
        <f>SUMIF(Table1[LEVEL 5 MAT NO.],S314,Table1[Braze Plan])</f>
        <v>0</v>
      </c>
      <c r="AD314" s="23">
        <f>Table4[[#This Row],[Quantity]]*Table4[[#This Row],[Bits Braze Plan]]</f>
        <v>0</v>
      </c>
      <c r="AE314" s="23">
        <f ca="1">Table4[[#This Row],[INV. QTY]]-Table4[[#This Row],[Required For Braze Cutters Check]]</f>
        <v>843</v>
      </c>
      <c r="AF314" s="23">
        <f t="shared" ca="1" si="57"/>
        <v>843</v>
      </c>
      <c r="AG314" s="23"/>
      <c r="AJ314" s="19">
        <f t="shared" si="55"/>
        <v>0</v>
      </c>
    </row>
    <row r="315" spans="1:36" ht="24.75" customHeight="1" x14ac:dyDescent="0.25">
      <c r="A315" s="109">
        <v>20240050</v>
      </c>
      <c r="B315" s="608"/>
      <c r="C315" s="109">
        <v>14160187</v>
      </c>
      <c r="D315" s="109" t="s">
        <v>631</v>
      </c>
      <c r="E315" s="109" t="s">
        <v>645</v>
      </c>
      <c r="F315" s="109" t="s">
        <v>710</v>
      </c>
      <c r="G315" s="109" t="s">
        <v>681</v>
      </c>
      <c r="H315" s="140">
        <v>1262047</v>
      </c>
      <c r="I315" s="140">
        <v>1235768</v>
      </c>
      <c r="J315" s="26">
        <f>IF(H315&lt;&gt;"",IF(AND(C315&lt;&gt;"",IFERROR(MATCH(C315,Table10[Serial No.],0),0)),0,1),0)</f>
        <v>0</v>
      </c>
      <c r="K315" s="21"/>
      <c r="L315" s="539" t="str">
        <f t="shared" ca="1" si="58"/>
        <v/>
      </c>
      <c r="R315" s="247"/>
      <c r="S315" s="281">
        <v>2015327</v>
      </c>
      <c r="T315" s="278" t="s">
        <v>315</v>
      </c>
      <c r="U315" s="278" t="s">
        <v>687</v>
      </c>
      <c r="V315" s="25">
        <v>1</v>
      </c>
      <c r="W315" s="284">
        <v>1291870</v>
      </c>
      <c r="X315" s="19" t="str">
        <f>IFERROR(INDEX(Table14[],MATCH($W315,Table14[SAPNo],0),3),"")</f>
        <v>1613 CT186 18-60</v>
      </c>
      <c r="Y315" s="284">
        <v>34</v>
      </c>
      <c r="Z315" s="25">
        <f t="shared" si="56"/>
        <v>0</v>
      </c>
      <c r="AA315" s="25">
        <f t="shared" si="59"/>
        <v>0</v>
      </c>
      <c r="AB315" s="23">
        <f ca="1">IFERROR(INDEX('Cutters Inventory 12-30-2025'!A:W,MATCH($W315,'Cutters Inventory 12-30-2025'!B:B,0),14),0)</f>
        <v>56</v>
      </c>
      <c r="AC315" s="23">
        <f>SUMIF(Table1[LEVEL 5 MAT NO.],S315,Table1[Braze Plan])</f>
        <v>0</v>
      </c>
      <c r="AD315" s="23">
        <f>Table4[[#This Row],[Quantity]]*Table4[[#This Row],[Bits Braze Plan]]</f>
        <v>0</v>
      </c>
      <c r="AE315" s="23">
        <f ca="1">Table4[[#This Row],[INV. QTY]]-Table4[[#This Row],[Required For Braze Cutters Check]]</f>
        <v>56</v>
      </c>
      <c r="AF315" s="23">
        <f t="shared" ca="1" si="57"/>
        <v>56</v>
      </c>
      <c r="AG315" s="23"/>
      <c r="AJ315" s="19">
        <f t="shared" ref="AJ315:AJ378" si="60">IFERROR(AS131,"")</f>
        <v>0</v>
      </c>
    </row>
    <row r="316" spans="1:36" ht="24.75" customHeight="1" x14ac:dyDescent="0.25">
      <c r="A316" s="109">
        <v>20240050</v>
      </c>
      <c r="B316" s="608"/>
      <c r="C316" s="109">
        <v>14160191</v>
      </c>
      <c r="D316" s="109" t="s">
        <v>309</v>
      </c>
      <c r="E316" s="109" t="s">
        <v>256</v>
      </c>
      <c r="F316" s="109" t="s">
        <v>710</v>
      </c>
      <c r="G316" s="109" t="s">
        <v>681</v>
      </c>
      <c r="H316" s="140">
        <v>1198387</v>
      </c>
      <c r="I316" s="140">
        <v>1160951</v>
      </c>
      <c r="J316" s="26">
        <f>IF(H316&lt;&gt;"",IF(AND(C316&lt;&gt;"",IFERROR(MATCH(C316,Table10[Serial No.],0),0)),0,1),0)</f>
        <v>0</v>
      </c>
      <c r="K316" s="21"/>
      <c r="L316" s="539" t="str">
        <f t="shared" ca="1" si="58"/>
        <v/>
      </c>
      <c r="R316" s="247"/>
      <c r="S316" s="281">
        <v>2015327</v>
      </c>
      <c r="T316" s="278" t="s">
        <v>315</v>
      </c>
      <c r="U316" s="278" t="s">
        <v>687</v>
      </c>
      <c r="V316" s="25">
        <v>2</v>
      </c>
      <c r="W316" s="284">
        <v>1130197</v>
      </c>
      <c r="X316" s="19" t="str">
        <f>IFERROR(INDEX(Table14[],MATCH($W316,Table14[SAPNo],0),3),"")</f>
        <v>Round 1608 CT182  0.018" (S)</v>
      </c>
      <c r="Y316" s="284">
        <v>28</v>
      </c>
      <c r="Z316" s="25">
        <f t="shared" si="56"/>
        <v>0</v>
      </c>
      <c r="AA316" s="25">
        <f t="shared" si="59"/>
        <v>0</v>
      </c>
      <c r="AB316" s="23">
        <f ca="1">IFERROR(INDEX('Cutters Inventory 12-30-2025'!A:W,MATCH($W316,'Cutters Inventory 12-30-2025'!B:B,0),14),0)</f>
        <v>39</v>
      </c>
      <c r="AC316" s="23">
        <f>SUMIF(Table1[LEVEL 5 MAT NO.],S316,Table1[Braze Plan])</f>
        <v>0</v>
      </c>
      <c r="AD316" s="23">
        <f>Table4[[#This Row],[Quantity]]*Table4[[#This Row],[Bits Braze Plan]]</f>
        <v>0</v>
      </c>
      <c r="AE316" s="23">
        <f ca="1">Table4[[#This Row],[INV. QTY]]-Table4[[#This Row],[Required For Braze Cutters Check]]</f>
        <v>39</v>
      </c>
      <c r="AF316" s="23">
        <f t="shared" ca="1" si="57"/>
        <v>39</v>
      </c>
      <c r="AG316" s="23"/>
      <c r="AJ316" s="19">
        <f t="shared" si="60"/>
        <v>0</v>
      </c>
    </row>
    <row r="317" spans="1:36" ht="24.75" customHeight="1" x14ac:dyDescent="0.25">
      <c r="A317" s="109">
        <v>20240050</v>
      </c>
      <c r="B317" s="608"/>
      <c r="C317" s="109">
        <v>14160192</v>
      </c>
      <c r="D317" s="109" t="s">
        <v>309</v>
      </c>
      <c r="E317" s="109" t="s">
        <v>256</v>
      </c>
      <c r="F317" s="109" t="s">
        <v>710</v>
      </c>
      <c r="G317" s="109" t="s">
        <v>681</v>
      </c>
      <c r="H317" s="140">
        <v>1198387</v>
      </c>
      <c r="I317" s="140">
        <v>1160951</v>
      </c>
      <c r="J317" s="26">
        <f>IF(H317&lt;&gt;"",IF(AND(C317&lt;&gt;"",IFERROR(MATCH(C317,Table10[Serial No.],0),0)),0,1),0)</f>
        <v>0</v>
      </c>
      <c r="K317" s="21"/>
      <c r="L317" s="539" t="str">
        <f t="shared" ca="1" si="58"/>
        <v/>
      </c>
      <c r="R317" s="247"/>
      <c r="S317" s="281" t="s">
        <v>674</v>
      </c>
      <c r="T317" s="278" t="s">
        <v>637</v>
      </c>
      <c r="U317" s="278" t="s">
        <v>673</v>
      </c>
      <c r="V317" s="25">
        <v>2</v>
      </c>
      <c r="W317" s="284">
        <v>1146737</v>
      </c>
      <c r="X317" s="19" t="str">
        <f>IFERROR(INDEX(Table14[],MATCH($W317,Table14[SAPNo],0),3),"")</f>
        <v>1613 CT418 18-60</v>
      </c>
      <c r="Y317" s="284">
        <v>15</v>
      </c>
      <c r="Z317" s="25">
        <f t="shared" si="56"/>
        <v>1</v>
      </c>
      <c r="AA317" s="25">
        <f t="shared" si="59"/>
        <v>15</v>
      </c>
      <c r="AB317" s="23">
        <f ca="1">IFERROR(INDEX('Cutters Inventory 12-30-2025'!A:W,MATCH($W317,'Cutters Inventory 12-30-2025'!B:B,0),14),0)</f>
        <v>1281</v>
      </c>
      <c r="AC317" s="23">
        <f>SUMIF(Table1[LEVEL 5 MAT NO.],S317,Table1[Braze Plan])</f>
        <v>0</v>
      </c>
      <c r="AD317" s="23">
        <f>Table4[[#This Row],[Quantity]]*Table4[[#This Row],[Bits Braze Plan]]</f>
        <v>0</v>
      </c>
      <c r="AE317" s="23">
        <f ca="1">Table4[[#This Row],[INV. QTY]]-Table4[[#This Row],[Required For Braze Cutters Check]]</f>
        <v>1281</v>
      </c>
      <c r="AF317" s="23">
        <f t="shared" ca="1" si="57"/>
        <v>1281</v>
      </c>
      <c r="AG317" s="23"/>
      <c r="AJ317" s="19">
        <f t="shared" si="60"/>
        <v>0</v>
      </c>
    </row>
    <row r="318" spans="1:36" ht="24.75" customHeight="1" x14ac:dyDescent="0.25">
      <c r="A318" s="109">
        <v>20240050</v>
      </c>
      <c r="B318" s="608"/>
      <c r="C318" s="109">
        <v>14160193</v>
      </c>
      <c r="D318" s="109" t="s">
        <v>313</v>
      </c>
      <c r="E318" s="109" t="s">
        <v>639</v>
      </c>
      <c r="F318" s="109" t="s">
        <v>713</v>
      </c>
      <c r="G318" s="109" t="s">
        <v>714</v>
      </c>
      <c r="H318" s="140">
        <v>1160847</v>
      </c>
      <c r="I318" s="140">
        <v>1083599</v>
      </c>
      <c r="J318" s="26">
        <f>IF(H318&lt;&gt;"",IF(AND(C318&lt;&gt;"",IFERROR(MATCH(C318,Table10[Serial No.],0),0)),0,1),0)</f>
        <v>0</v>
      </c>
      <c r="K318" s="21"/>
      <c r="L318" s="539" t="str">
        <f t="shared" ca="1" si="58"/>
        <v/>
      </c>
      <c r="R318" s="247"/>
      <c r="S318" s="281">
        <v>2015327</v>
      </c>
      <c r="T318" s="278" t="s">
        <v>315</v>
      </c>
      <c r="U318" s="278" t="s">
        <v>687</v>
      </c>
      <c r="V318" s="25">
        <v>4</v>
      </c>
      <c r="W318" s="284">
        <v>1192901</v>
      </c>
      <c r="X318" s="19" t="str">
        <f>IFERROR(INDEX(Table14[],MATCH($W318,Table14[SAPNo],0),3),"")</f>
        <v xml:space="preserve">12MM WC­MAT400 </v>
      </c>
      <c r="Y318" s="284">
        <v>12</v>
      </c>
      <c r="Z318" s="25">
        <f t="shared" si="56"/>
        <v>0</v>
      </c>
      <c r="AA318" s="25">
        <f t="shared" si="59"/>
        <v>0</v>
      </c>
      <c r="AB318" s="23">
        <f ca="1">IFERROR(INDEX('Cutters Inventory 12-30-2025'!A:W,MATCH($W318,'Cutters Inventory 12-30-2025'!B:B,0),14),0)</f>
        <v>30</v>
      </c>
      <c r="AC318" s="23">
        <f>SUMIF(Table1[LEVEL 5 MAT NO.],S318,Table1[Braze Plan])</f>
        <v>0</v>
      </c>
      <c r="AD318" s="23">
        <f>Table4[[#This Row],[Quantity]]*Table4[[#This Row],[Bits Braze Plan]]</f>
        <v>0</v>
      </c>
      <c r="AE318" s="23">
        <f ca="1">Table4[[#This Row],[INV. QTY]]-Table4[[#This Row],[Required For Braze Cutters Check]]</f>
        <v>30</v>
      </c>
      <c r="AF318" s="23">
        <f t="shared" ca="1" si="57"/>
        <v>30</v>
      </c>
      <c r="AG318" s="23"/>
      <c r="AJ318" s="19">
        <f t="shared" si="60"/>
        <v>0</v>
      </c>
    </row>
    <row r="319" spans="1:36" ht="24.75" customHeight="1" x14ac:dyDescent="0.25">
      <c r="A319" s="109">
        <v>20240050</v>
      </c>
      <c r="B319" s="608"/>
      <c r="C319" s="109">
        <v>14160194</v>
      </c>
      <c r="D319" s="109" t="s">
        <v>313</v>
      </c>
      <c r="E319" s="109" t="s">
        <v>647</v>
      </c>
      <c r="F319" s="109" t="s">
        <v>715</v>
      </c>
      <c r="G319" s="109" t="s">
        <v>676</v>
      </c>
      <c r="H319" s="140">
        <v>1245357</v>
      </c>
      <c r="I319" s="140" t="s">
        <v>716</v>
      </c>
      <c r="J319" s="26">
        <f>IF(H319&lt;&gt;"",IF(AND(C319&lt;&gt;"",IFERROR(MATCH(C319,Table10[Serial No.],0),0)),0,1),0)</f>
        <v>0</v>
      </c>
      <c r="K319" s="21"/>
      <c r="L319" s="539" t="str">
        <f t="shared" si="58"/>
        <v/>
      </c>
      <c r="R319" s="247"/>
      <c r="S319" s="281">
        <v>2015327</v>
      </c>
      <c r="T319" s="278" t="s">
        <v>315</v>
      </c>
      <c r="U319" s="278" t="s">
        <v>687</v>
      </c>
      <c r="V319" s="25">
        <v>5</v>
      </c>
      <c r="W319" s="284">
        <v>871781</v>
      </c>
      <c r="X319" s="19" t="str">
        <f>IFERROR(INDEX(Table14[],MATCH($W319,Table14[SAPNo],0),3),"")</f>
        <v>Round 1313 CT200  0.018" (B)</v>
      </c>
      <c r="Y319" s="284">
        <v>6</v>
      </c>
      <c r="Z319" s="25">
        <f t="shared" si="56"/>
        <v>0</v>
      </c>
      <c r="AA319" s="25">
        <f t="shared" si="59"/>
        <v>0</v>
      </c>
      <c r="AB319" s="23">
        <f ca="1">IFERROR(INDEX('Cutters Inventory 12-30-2025'!A:W,MATCH($W319,'Cutters Inventory 12-30-2025'!B:B,0),14),0)</f>
        <v>843</v>
      </c>
      <c r="AC319" s="23">
        <f>SUMIF(Table1[LEVEL 5 MAT NO.],S319,Table1[Braze Plan])</f>
        <v>0</v>
      </c>
      <c r="AD319" s="23">
        <f>Table4[[#This Row],[Quantity]]*Table4[[#This Row],[Bits Braze Plan]]</f>
        <v>0</v>
      </c>
      <c r="AE319" s="23">
        <f ca="1">Table4[[#This Row],[INV. QTY]]-Table4[[#This Row],[Required For Braze Cutters Check]]</f>
        <v>843</v>
      </c>
      <c r="AF319" s="23">
        <f t="shared" ca="1" si="57"/>
        <v>843</v>
      </c>
      <c r="AG319" s="23"/>
      <c r="AJ319" s="19">
        <f t="shared" si="60"/>
        <v>0</v>
      </c>
    </row>
    <row r="320" spans="1:36" ht="24.75" customHeight="1" x14ac:dyDescent="0.25">
      <c r="A320" s="109">
        <v>20240050</v>
      </c>
      <c r="B320" s="608"/>
      <c r="C320" s="109">
        <v>14160195</v>
      </c>
      <c r="D320" s="109" t="s">
        <v>313</v>
      </c>
      <c r="E320" s="109" t="s">
        <v>647</v>
      </c>
      <c r="F320" s="109" t="s">
        <v>715</v>
      </c>
      <c r="G320" s="109" t="s">
        <v>676</v>
      </c>
      <c r="H320" s="140">
        <v>1245357</v>
      </c>
      <c r="I320" s="140" t="s">
        <v>716</v>
      </c>
      <c r="J320" s="26">
        <f>IF(H320&lt;&gt;"",IF(AND(C320&lt;&gt;"",IFERROR(MATCH(C320,Table10[Serial No.],0),0)),0,1),0)</f>
        <v>0</v>
      </c>
      <c r="K320" s="21"/>
      <c r="L320" s="539" t="str">
        <f t="shared" si="58"/>
        <v/>
      </c>
      <c r="R320" s="247"/>
      <c r="S320" s="281">
        <v>2015535</v>
      </c>
      <c r="T320" s="278" t="s">
        <v>624</v>
      </c>
      <c r="U320" s="278" t="s">
        <v>717</v>
      </c>
      <c r="V320" s="25">
        <v>1</v>
      </c>
      <c r="W320" s="284">
        <v>1208601</v>
      </c>
      <c r="X320" s="19" t="str">
        <f>IFERROR(INDEX(Table14[],MATCH($W320,Table14[SAPNo],0),3),"")</f>
        <v>1613 CT418 U-60</v>
      </c>
      <c r="Y320" s="284">
        <v>8</v>
      </c>
      <c r="Z320" s="25">
        <f t="shared" si="56"/>
        <v>1</v>
      </c>
      <c r="AA320" s="25">
        <f t="shared" si="59"/>
        <v>8</v>
      </c>
      <c r="AB320" s="23">
        <f ca="1">IFERROR(INDEX('Cutters Inventory 12-30-2025'!A:W,MATCH($W320,'Cutters Inventory 12-30-2025'!B:B,0),14),0)</f>
        <v>230</v>
      </c>
      <c r="AC320" s="23">
        <f>SUMIF(Table1[LEVEL 5 MAT NO.],S320,Table1[Braze Plan])</f>
        <v>0</v>
      </c>
      <c r="AD320" s="23">
        <f>Table4[[#This Row],[Quantity]]*Table4[[#This Row],[Bits Braze Plan]]</f>
        <v>0</v>
      </c>
      <c r="AE320" s="23">
        <f ca="1">Table4[[#This Row],[INV. QTY]]-Table4[[#This Row],[Required For Braze Cutters Check]]</f>
        <v>230</v>
      </c>
      <c r="AF320" s="23">
        <f t="shared" ca="1" si="57"/>
        <v>230</v>
      </c>
      <c r="AG320" s="23"/>
      <c r="AJ320" s="19">
        <f t="shared" si="60"/>
        <v>0</v>
      </c>
    </row>
    <row r="321" spans="1:36" ht="24.75" customHeight="1" x14ac:dyDescent="0.25">
      <c r="A321" s="109">
        <v>20240050</v>
      </c>
      <c r="B321" s="709"/>
      <c r="C321" s="109">
        <v>14160196</v>
      </c>
      <c r="D321" s="109" t="s">
        <v>624</v>
      </c>
      <c r="E321" s="109" t="s">
        <v>640</v>
      </c>
      <c r="F321" s="109" t="s">
        <v>710</v>
      </c>
      <c r="G321" s="109" t="s">
        <v>681</v>
      </c>
      <c r="H321" s="140">
        <v>1255267</v>
      </c>
      <c r="I321" s="140" t="s">
        <v>641</v>
      </c>
      <c r="J321" s="26">
        <f>IF(H321&lt;&gt;"",IF(AND(C321&lt;&gt;"",IFERROR(MATCH(C321,Table10[Serial No.],0),0)),0,1),0)</f>
        <v>0</v>
      </c>
      <c r="K321" s="21"/>
      <c r="L321" s="539" t="str">
        <f t="shared" si="58"/>
        <v/>
      </c>
      <c r="R321" s="247"/>
      <c r="S321" s="281">
        <v>2015535</v>
      </c>
      <c r="T321" s="278" t="s">
        <v>624</v>
      </c>
      <c r="U321" s="278" t="s">
        <v>717</v>
      </c>
      <c r="V321" s="25">
        <v>2</v>
      </c>
      <c r="W321" s="284">
        <v>2001060</v>
      </c>
      <c r="X321" s="19" t="str">
        <f>IFERROR(INDEX(Table14[],MATCH($W321,Table14[SAPNo],0),3),"")</f>
        <v>1613 CT179T U-60</v>
      </c>
      <c r="Y321" s="284">
        <v>10</v>
      </c>
      <c r="Z321" s="25">
        <f t="shared" si="56"/>
        <v>1</v>
      </c>
      <c r="AA321" s="25">
        <f t="shared" si="59"/>
        <v>10</v>
      </c>
      <c r="AB321" s="23">
        <f ca="1">IFERROR(INDEX('Cutters Inventory 12-30-2025'!A:W,MATCH($W321,'Cutters Inventory 12-30-2025'!B:B,0),14),0)</f>
        <v>27</v>
      </c>
      <c r="AC321" s="23">
        <f>SUMIF(Table1[LEVEL 5 MAT NO.],S321,Table1[Braze Plan])</f>
        <v>0</v>
      </c>
      <c r="AD321" s="23">
        <f>Table4[[#This Row],[Quantity]]*Table4[[#This Row],[Bits Braze Plan]]</f>
        <v>0</v>
      </c>
      <c r="AE321" s="23">
        <f ca="1">Table4[[#This Row],[INV. QTY]]-Table4[[#This Row],[Required For Braze Cutters Check]]</f>
        <v>27</v>
      </c>
      <c r="AF321" s="23">
        <f t="shared" ca="1" si="57"/>
        <v>27</v>
      </c>
      <c r="AG321" s="23"/>
      <c r="AJ321" s="19">
        <f t="shared" si="60"/>
        <v>0</v>
      </c>
    </row>
    <row r="322" spans="1:36" ht="24.75" customHeight="1" x14ac:dyDescent="0.25">
      <c r="A322" s="109">
        <v>20240050</v>
      </c>
      <c r="B322" s="608"/>
      <c r="C322" s="109">
        <v>14160198</v>
      </c>
      <c r="D322" s="109" t="s">
        <v>624</v>
      </c>
      <c r="E322" s="109" t="s">
        <v>281</v>
      </c>
      <c r="F322" s="109" t="s">
        <v>710</v>
      </c>
      <c r="G322" s="109" t="s">
        <v>681</v>
      </c>
      <c r="H322" s="140">
        <v>1267809</v>
      </c>
      <c r="I322" s="140">
        <v>1263805</v>
      </c>
      <c r="J322" s="26">
        <f>IF(H322&lt;&gt;"",IF(AND(C322&lt;&gt;"",IFERROR(MATCH(C322,Table10[Serial No.],0),0)),0,1),0)</f>
        <v>1</v>
      </c>
      <c r="K322" s="21"/>
      <c r="L322" s="539" t="str">
        <f t="shared" ca="1" si="58"/>
        <v/>
      </c>
      <c r="R322" s="247"/>
      <c r="S322" s="281">
        <v>2015535</v>
      </c>
      <c r="T322" s="278" t="s">
        <v>624</v>
      </c>
      <c r="U322" s="278" t="s">
        <v>717</v>
      </c>
      <c r="V322" s="25">
        <v>3</v>
      </c>
      <c r="W322" s="284">
        <v>1288783</v>
      </c>
      <c r="X322" s="19" t="str">
        <f>IFERROR(INDEX(Table14[],MATCH($W322,Table14[SAPNo],0),3),"")</f>
        <v>1613 CT179 18-60</v>
      </c>
      <c r="Y322" s="284">
        <v>5</v>
      </c>
      <c r="Z322" s="25">
        <f t="shared" ref="Z322:Z385" si="61">IFERROR(INDEX($O$2:$P$400,MATCH($S322,$O$2:$O$93,0),2),0)</f>
        <v>1</v>
      </c>
      <c r="AA322" s="25">
        <f t="shared" si="59"/>
        <v>5</v>
      </c>
      <c r="AB322" s="23">
        <f ca="1">IFERROR(INDEX('Cutters Inventory 12-30-2025'!A:W,MATCH($W322,'Cutters Inventory 12-30-2025'!B:B,0),14),0)</f>
        <v>813</v>
      </c>
      <c r="AC322" s="23">
        <f>SUMIF(Table1[LEVEL 5 MAT NO.],S322,Table1[Braze Plan])</f>
        <v>0</v>
      </c>
      <c r="AD322" s="23">
        <f>Table4[[#This Row],[Quantity]]*Table4[[#This Row],[Bits Braze Plan]]</f>
        <v>0</v>
      </c>
      <c r="AE322" s="23">
        <f ca="1">Table4[[#This Row],[INV. QTY]]-Table4[[#This Row],[Required For Braze Cutters Check]]</f>
        <v>813</v>
      </c>
      <c r="AF322" s="23">
        <f t="shared" ref="AF322:AF385" ca="1" si="62">IFERROR(INDEX($AJ$2:$AO$136,MATCH($W322,$AJ$2:$AJ$136,0),5),0)</f>
        <v>813</v>
      </c>
      <c r="AG322" s="23"/>
      <c r="AJ322" s="19">
        <f t="shared" si="60"/>
        <v>0</v>
      </c>
    </row>
    <row r="323" spans="1:36" ht="24.75" customHeight="1" x14ac:dyDescent="0.25">
      <c r="A323" s="109">
        <v>20240050</v>
      </c>
      <c r="B323" s="608"/>
      <c r="C323" s="109">
        <v>14160197</v>
      </c>
      <c r="D323" s="109" t="s">
        <v>624</v>
      </c>
      <c r="E323" s="109" t="s">
        <v>281</v>
      </c>
      <c r="F323" s="109" t="s">
        <v>710</v>
      </c>
      <c r="G323" s="109" t="s">
        <v>681</v>
      </c>
      <c r="H323" s="140">
        <v>1267809</v>
      </c>
      <c r="I323" s="140">
        <v>1263805</v>
      </c>
      <c r="J323" s="26">
        <f>IF(H323&lt;&gt;"",IF(AND(C323&lt;&gt;"",IFERROR(MATCH(C323,Table10[Serial No.],0),0)),0,1),0)</f>
        <v>1</v>
      </c>
      <c r="K323" s="21"/>
      <c r="L323" s="539" t="str">
        <f t="shared" ref="L323:L386" ca="1" si="63">IFERROR(INDEX($O$2:$Q$57,MATCH($I323,$O$2:$O$93,0),3),"")</f>
        <v/>
      </c>
      <c r="R323" s="247"/>
      <c r="S323" s="281" t="s">
        <v>718</v>
      </c>
      <c r="T323" s="278" t="s">
        <v>315</v>
      </c>
      <c r="U323" s="278" t="s">
        <v>695</v>
      </c>
      <c r="V323" s="25">
        <v>1</v>
      </c>
      <c r="W323" s="284">
        <v>1146737</v>
      </c>
      <c r="X323" s="19" t="str">
        <f>IFERROR(INDEX(Table14[],MATCH($W323,Table14[SAPNo],0),3),"")</f>
        <v>1613 CT418 18-60</v>
      </c>
      <c r="Y323" s="284">
        <v>15</v>
      </c>
      <c r="Z323" s="25">
        <f t="shared" si="61"/>
        <v>1</v>
      </c>
      <c r="AA323" s="25">
        <f t="shared" ref="AA323:AA386" si="64">Y323*Z323</f>
        <v>15</v>
      </c>
      <c r="AB323" s="23">
        <f ca="1">IFERROR(INDEX('Cutters Inventory 12-30-2025'!A:W,MATCH($W323,'Cutters Inventory 12-30-2025'!B:B,0),14),0)</f>
        <v>1281</v>
      </c>
      <c r="AC323" s="23">
        <f>SUMIF(Table1[LEVEL 5 MAT NO.],S323,Table1[Braze Plan])</f>
        <v>0</v>
      </c>
      <c r="AD323" s="23">
        <f>Table4[[#This Row],[Quantity]]*Table4[[#This Row],[Bits Braze Plan]]</f>
        <v>0</v>
      </c>
      <c r="AE323" s="23">
        <f ca="1">Table4[[#This Row],[INV. QTY]]-Table4[[#This Row],[Required For Braze Cutters Check]]</f>
        <v>1281</v>
      </c>
      <c r="AF323" s="23">
        <f t="shared" ca="1" si="62"/>
        <v>1281</v>
      </c>
      <c r="AG323" s="626"/>
      <c r="AJ323" s="19">
        <f t="shared" si="60"/>
        <v>0</v>
      </c>
    </row>
    <row r="324" spans="1:36" ht="24.75" customHeight="1" x14ac:dyDescent="0.25">
      <c r="A324" s="109">
        <v>20240050</v>
      </c>
      <c r="B324" s="709"/>
      <c r="C324" s="109">
        <v>14162011</v>
      </c>
      <c r="D324" s="109" t="s">
        <v>315</v>
      </c>
      <c r="E324" s="109" t="s">
        <v>284</v>
      </c>
      <c r="F324" s="109" t="s">
        <v>659</v>
      </c>
      <c r="G324" s="109" t="s">
        <v>714</v>
      </c>
      <c r="H324" s="140">
        <v>1234376</v>
      </c>
      <c r="I324" s="140">
        <v>1249569</v>
      </c>
      <c r="J324" s="26">
        <f>IF(H324&lt;&gt;"",IF(AND(C324&lt;&gt;"",IFERROR(MATCH(C324,Table10[Serial No.],0),0)),0,1),0)</f>
        <v>0</v>
      </c>
      <c r="K324" s="21"/>
      <c r="L324" s="539" t="str">
        <f t="shared" ca="1" si="63"/>
        <v/>
      </c>
      <c r="P324"/>
      <c r="Q324"/>
      <c r="R324" s="247"/>
      <c r="S324" s="281">
        <v>2015535</v>
      </c>
      <c r="T324" s="278" t="s">
        <v>624</v>
      </c>
      <c r="U324" s="278" t="s">
        <v>717</v>
      </c>
      <c r="V324" s="25">
        <v>5</v>
      </c>
      <c r="W324" s="284">
        <v>1146346</v>
      </c>
      <c r="X324" s="19" t="str">
        <f>IFERROR(INDEX(Table14[],MATCH($W324,Table14[SAPNo],0),3),"")</f>
        <v>1313 CT418 18-60</v>
      </c>
      <c r="Y324" s="284">
        <v>10</v>
      </c>
      <c r="Z324" s="25">
        <f t="shared" si="61"/>
        <v>1</v>
      </c>
      <c r="AA324" s="25">
        <f t="shared" si="64"/>
        <v>10</v>
      </c>
      <c r="AB324" s="23">
        <f ca="1">IFERROR(INDEX('Cutters Inventory 12-30-2025'!A:W,MATCH($W324,'Cutters Inventory 12-30-2025'!B:B,0),14),0)</f>
        <v>558</v>
      </c>
      <c r="AC324" s="23">
        <f>SUMIF(Table1[LEVEL 5 MAT NO.],S324,Table1[Braze Plan])</f>
        <v>0</v>
      </c>
      <c r="AD324" s="23">
        <f>Table4[[#This Row],[Quantity]]*Table4[[#This Row],[Bits Braze Plan]]</f>
        <v>0</v>
      </c>
      <c r="AE324" s="23">
        <f ca="1">Table4[[#This Row],[INV. QTY]]-Table4[[#This Row],[Required For Braze Cutters Check]]</f>
        <v>558</v>
      </c>
      <c r="AF324" s="23">
        <f t="shared" ca="1" si="62"/>
        <v>558</v>
      </c>
      <c r="AG324" s="23"/>
      <c r="AJ324" s="19">
        <f t="shared" si="60"/>
        <v>0</v>
      </c>
    </row>
    <row r="325" spans="1:36" ht="24.75" customHeight="1" x14ac:dyDescent="0.25">
      <c r="A325" s="109">
        <v>20240050</v>
      </c>
      <c r="B325" s="709"/>
      <c r="C325" s="109">
        <v>14162013</v>
      </c>
      <c r="D325" s="109" t="s">
        <v>315</v>
      </c>
      <c r="E325" s="109" t="s">
        <v>284</v>
      </c>
      <c r="F325" s="109" t="s">
        <v>659</v>
      </c>
      <c r="G325" s="109" t="s">
        <v>714</v>
      </c>
      <c r="H325" s="140">
        <v>1234376</v>
      </c>
      <c r="I325" s="140">
        <v>1249569</v>
      </c>
      <c r="J325" s="26">
        <f>IF(H325&lt;&gt;"",IF(AND(C325&lt;&gt;"",IFERROR(MATCH(C325,Table10[Serial No.],0),0)),0,1),0)</f>
        <v>0</v>
      </c>
      <c r="K325" s="21"/>
      <c r="L325" s="539" t="str">
        <f t="shared" ca="1" si="63"/>
        <v/>
      </c>
      <c r="P325"/>
      <c r="Q325"/>
      <c r="R325" s="247"/>
      <c r="S325" s="281">
        <v>2015535</v>
      </c>
      <c r="T325" s="278" t="s">
        <v>624</v>
      </c>
      <c r="U325" s="278" t="s">
        <v>717</v>
      </c>
      <c r="V325" s="25">
        <v>6</v>
      </c>
      <c r="W325" s="284">
        <v>871781</v>
      </c>
      <c r="X325" s="19" t="str">
        <f>IFERROR(INDEX(Table14[],MATCH($W325,Table14[SAPNo],0),3),"")</f>
        <v>Round 1313 CT200  0.018" (B)</v>
      </c>
      <c r="Y325" s="284">
        <v>5</v>
      </c>
      <c r="Z325" s="25">
        <f t="shared" si="61"/>
        <v>1</v>
      </c>
      <c r="AA325" s="25">
        <f t="shared" si="64"/>
        <v>5</v>
      </c>
      <c r="AB325" s="23">
        <f ca="1">IFERROR(INDEX('Cutters Inventory 12-30-2025'!A:W,MATCH($W325,'Cutters Inventory 12-30-2025'!B:B,0),14),0)</f>
        <v>843</v>
      </c>
      <c r="AC325" s="23">
        <f>SUMIF(Table1[LEVEL 5 MAT NO.],S325,Table1[Braze Plan])</f>
        <v>0</v>
      </c>
      <c r="AD325" s="23">
        <f>Table4[[#This Row],[Quantity]]*Table4[[#This Row],[Bits Braze Plan]]</f>
        <v>0</v>
      </c>
      <c r="AE325" s="23">
        <f ca="1">Table4[[#This Row],[INV. QTY]]-Table4[[#This Row],[Required For Braze Cutters Check]]</f>
        <v>843</v>
      </c>
      <c r="AF325" s="23">
        <f t="shared" ca="1" si="62"/>
        <v>843</v>
      </c>
      <c r="AG325" s="23"/>
      <c r="AJ325" s="19">
        <f t="shared" si="60"/>
        <v>0</v>
      </c>
    </row>
    <row r="326" spans="1:36" ht="24.75" customHeight="1" x14ac:dyDescent="0.25">
      <c r="A326" s="109">
        <v>20240050</v>
      </c>
      <c r="B326" s="608"/>
      <c r="C326" s="109">
        <v>14162009</v>
      </c>
      <c r="D326" s="109" t="s">
        <v>315</v>
      </c>
      <c r="E326" s="109" t="s">
        <v>284</v>
      </c>
      <c r="F326" s="109" t="s">
        <v>659</v>
      </c>
      <c r="G326" s="109" t="s">
        <v>714</v>
      </c>
      <c r="H326" s="140">
        <v>1234376</v>
      </c>
      <c r="I326" s="140">
        <v>1249569</v>
      </c>
      <c r="J326" s="26">
        <f>IF(H326&lt;&gt;"",IF(AND(C326&lt;&gt;"",IFERROR(MATCH(C326,Table10[Serial No.],0),0)),0,1),0)</f>
        <v>0</v>
      </c>
      <c r="K326" s="21"/>
      <c r="L326" s="539" t="str">
        <f t="shared" ca="1" si="63"/>
        <v/>
      </c>
      <c r="P326"/>
      <c r="Q326"/>
      <c r="R326" s="247"/>
      <c r="S326" s="620">
        <v>2016764</v>
      </c>
      <c r="T326" s="278" t="s">
        <v>624</v>
      </c>
      <c r="U326" s="278" t="s">
        <v>719</v>
      </c>
      <c r="V326" s="25">
        <v>1</v>
      </c>
      <c r="W326" s="284">
        <v>1208601</v>
      </c>
      <c r="X326" s="19" t="str">
        <f>IFERROR(INDEX(Table14[],MATCH($W326,Table14[SAPNo],0),3),"")</f>
        <v>1613 CT418 U-60</v>
      </c>
      <c r="Y326" s="284">
        <v>8</v>
      </c>
      <c r="Z326" s="25">
        <f t="shared" si="61"/>
        <v>0</v>
      </c>
      <c r="AA326" s="25">
        <f t="shared" si="64"/>
        <v>0</v>
      </c>
      <c r="AB326" s="23">
        <f ca="1">IFERROR(INDEX('Cutters Inventory 12-30-2025'!A:W,MATCH($W326,'Cutters Inventory 12-30-2025'!B:B,0),14),0)</f>
        <v>230</v>
      </c>
      <c r="AC326" s="23">
        <f>SUMIF(Table1[LEVEL 5 MAT NO.],S326,Table1[Braze Plan])</f>
        <v>0</v>
      </c>
      <c r="AD326" s="23">
        <f>Table4[[#This Row],[Quantity]]*Table4[[#This Row],[Bits Braze Plan]]</f>
        <v>0</v>
      </c>
      <c r="AE326" s="23">
        <f ca="1">Table4[[#This Row],[INV. QTY]]-Table4[[#This Row],[Required For Braze Cutters Check]]</f>
        <v>230</v>
      </c>
      <c r="AF326" s="23">
        <f t="shared" ca="1" si="62"/>
        <v>230</v>
      </c>
      <c r="AG326" s="625" t="s">
        <v>720</v>
      </c>
      <c r="AJ326" s="19">
        <f t="shared" si="60"/>
        <v>0</v>
      </c>
    </row>
    <row r="327" spans="1:36" ht="24.75" customHeight="1" x14ac:dyDescent="0.25">
      <c r="A327" s="109">
        <v>20240050</v>
      </c>
      <c r="B327" s="608"/>
      <c r="C327" s="109">
        <v>14162014</v>
      </c>
      <c r="D327" s="109" t="s">
        <v>315</v>
      </c>
      <c r="E327" s="109" t="s">
        <v>284</v>
      </c>
      <c r="F327" s="109" t="s">
        <v>659</v>
      </c>
      <c r="G327" s="109" t="s">
        <v>714</v>
      </c>
      <c r="H327" s="140">
        <v>1234376</v>
      </c>
      <c r="I327" s="140">
        <v>1249569</v>
      </c>
      <c r="J327" s="26">
        <f>IF(H327&lt;&gt;"",IF(AND(C327&lt;&gt;"",IFERROR(MATCH(C327,Table10[Serial No.],0),0)),0,1),0)</f>
        <v>0</v>
      </c>
      <c r="K327" s="21"/>
      <c r="L327" s="539" t="str">
        <f t="shared" ca="1" si="63"/>
        <v/>
      </c>
      <c r="P327"/>
      <c r="Q327"/>
      <c r="R327" s="247"/>
      <c r="S327" s="620">
        <v>2016764</v>
      </c>
      <c r="T327" s="278" t="s">
        <v>624</v>
      </c>
      <c r="U327" s="278" t="s">
        <v>719</v>
      </c>
      <c r="V327" s="25">
        <v>2</v>
      </c>
      <c r="W327" s="284">
        <v>2001060</v>
      </c>
      <c r="X327" s="19" t="str">
        <f>IFERROR(INDEX(Table14[],MATCH($W327,Table14[SAPNo],0),3),"")</f>
        <v>1613 CT179T U-60</v>
      </c>
      <c r="Y327" s="284">
        <v>12</v>
      </c>
      <c r="Z327" s="25">
        <f t="shared" si="61"/>
        <v>0</v>
      </c>
      <c r="AA327" s="25">
        <f t="shared" si="64"/>
        <v>0</v>
      </c>
      <c r="AB327" s="23">
        <f ca="1">IFERROR(INDEX('Cutters Inventory 12-30-2025'!A:W,MATCH($W327,'Cutters Inventory 12-30-2025'!B:B,0),14),0)</f>
        <v>27</v>
      </c>
      <c r="AC327" s="23">
        <f>SUMIF(Table1[LEVEL 5 MAT NO.],S327,Table1[Braze Plan])</f>
        <v>0</v>
      </c>
      <c r="AD327" s="23">
        <f>Table4[[#This Row],[Quantity]]*Table4[[#This Row],[Bits Braze Plan]]</f>
        <v>0</v>
      </c>
      <c r="AE327" s="23">
        <f ca="1">Table4[[#This Row],[INV. QTY]]-Table4[[#This Row],[Required For Braze Cutters Check]]</f>
        <v>27</v>
      </c>
      <c r="AF327" s="23">
        <f t="shared" ca="1" si="62"/>
        <v>27</v>
      </c>
      <c r="AG327" s="23"/>
      <c r="AJ327" s="19">
        <f t="shared" si="60"/>
        <v>0</v>
      </c>
    </row>
    <row r="328" spans="1:36" ht="24.75" customHeight="1" x14ac:dyDescent="0.25">
      <c r="A328" s="109">
        <v>20240050</v>
      </c>
      <c r="B328" s="608"/>
      <c r="C328" s="109">
        <v>14162012</v>
      </c>
      <c r="D328" s="109" t="s">
        <v>315</v>
      </c>
      <c r="E328" s="109" t="s">
        <v>284</v>
      </c>
      <c r="F328" s="109" t="s">
        <v>659</v>
      </c>
      <c r="G328" s="109" t="s">
        <v>714</v>
      </c>
      <c r="H328" s="140">
        <v>1234376</v>
      </c>
      <c r="I328" s="140">
        <v>1249569</v>
      </c>
      <c r="J328" s="26">
        <f>IF(H328&lt;&gt;"",IF(AND(C328&lt;&gt;"",IFERROR(MATCH(C328,Table10[Serial No.],0),0)),0,1),0)</f>
        <v>0</v>
      </c>
      <c r="K328" s="21"/>
      <c r="L328" s="539" t="str">
        <f t="shared" ca="1" si="63"/>
        <v/>
      </c>
      <c r="P328"/>
      <c r="Q328"/>
      <c r="R328" s="247"/>
      <c r="S328" s="620">
        <v>2016764</v>
      </c>
      <c r="T328" s="278" t="s">
        <v>624</v>
      </c>
      <c r="U328" s="278" t="s">
        <v>719</v>
      </c>
      <c r="V328" s="25">
        <v>3</v>
      </c>
      <c r="W328" s="284">
        <v>1288783</v>
      </c>
      <c r="X328" s="19" t="str">
        <f>IFERROR(INDEX(Table14[],MATCH($W328,Table14[SAPNo],0),3),"")</f>
        <v>1613 CT179 18-60</v>
      </c>
      <c r="Y328" s="284">
        <v>5</v>
      </c>
      <c r="Z328" s="25">
        <f t="shared" si="61"/>
        <v>0</v>
      </c>
      <c r="AA328" s="25">
        <f t="shared" si="64"/>
        <v>0</v>
      </c>
      <c r="AB328" s="23">
        <f ca="1">IFERROR(INDEX('Cutters Inventory 12-30-2025'!A:W,MATCH($W328,'Cutters Inventory 12-30-2025'!B:B,0),14),0)</f>
        <v>813</v>
      </c>
      <c r="AC328" s="23">
        <f>SUMIF(Table1[LEVEL 5 MAT NO.],S328,Table1[Braze Plan])</f>
        <v>0</v>
      </c>
      <c r="AD328" s="23">
        <f>Table4[[#This Row],[Quantity]]*Table4[[#This Row],[Bits Braze Plan]]</f>
        <v>0</v>
      </c>
      <c r="AE328" s="23">
        <f ca="1">Table4[[#This Row],[INV. QTY]]-Table4[[#This Row],[Required For Braze Cutters Check]]</f>
        <v>813</v>
      </c>
      <c r="AF328" s="23">
        <f t="shared" ca="1" si="62"/>
        <v>813</v>
      </c>
      <c r="AG328" s="23"/>
      <c r="AJ328" s="19">
        <f t="shared" si="60"/>
        <v>0</v>
      </c>
    </row>
    <row r="329" spans="1:36" ht="24.75" customHeight="1" x14ac:dyDescent="0.25">
      <c r="A329" s="109">
        <v>20240050</v>
      </c>
      <c r="B329" s="608"/>
      <c r="C329" s="109">
        <v>14162010</v>
      </c>
      <c r="D329" s="109" t="s">
        <v>315</v>
      </c>
      <c r="E329" s="109" t="s">
        <v>284</v>
      </c>
      <c r="F329" s="109" t="s">
        <v>659</v>
      </c>
      <c r="G329" s="109" t="s">
        <v>714</v>
      </c>
      <c r="H329" s="140">
        <v>1234376</v>
      </c>
      <c r="I329" s="140">
        <v>1249569</v>
      </c>
      <c r="J329" s="26">
        <f>IF(H329&lt;&gt;"",IF(AND(C329&lt;&gt;"",IFERROR(MATCH(C329,Table10[Serial No.],0),0)),0,1),0)</f>
        <v>0</v>
      </c>
      <c r="K329" s="21"/>
      <c r="L329" s="539" t="str">
        <f t="shared" ca="1" si="63"/>
        <v/>
      </c>
      <c r="P329"/>
      <c r="Q329"/>
      <c r="S329" s="281">
        <v>1266749</v>
      </c>
      <c r="T329" s="278" t="s">
        <v>316</v>
      </c>
      <c r="U329" s="278" t="s">
        <v>721</v>
      </c>
      <c r="V329" s="25">
        <v>6</v>
      </c>
      <c r="W329" s="284">
        <v>1146737</v>
      </c>
      <c r="X329" s="19" t="str">
        <f>IFERROR(INDEX(Table14[],MATCH($W329,Table14[SAPNo],0),3),"")</f>
        <v>1613 CT418 18-60</v>
      </c>
      <c r="Y329" s="284">
        <v>11</v>
      </c>
      <c r="Z329" s="25">
        <f t="shared" si="61"/>
        <v>2</v>
      </c>
      <c r="AA329" s="25">
        <f t="shared" si="64"/>
        <v>22</v>
      </c>
      <c r="AB329" s="23">
        <f ca="1">IFERROR(INDEX('Cutters Inventory 12-30-2025'!A:W,MATCH($W329,'Cutters Inventory 12-30-2025'!B:B,0),14),0)</f>
        <v>1281</v>
      </c>
      <c r="AC329" s="23">
        <f>SUMIF(Table1[LEVEL 5 MAT NO.],S329,Table1[Braze Plan])</f>
        <v>0</v>
      </c>
      <c r="AD329" s="23">
        <f>Table4[[#This Row],[Quantity]]*Table4[[#This Row],[Bits Braze Plan]]</f>
        <v>0</v>
      </c>
      <c r="AE329" s="23">
        <f ca="1">Table4[[#This Row],[INV. QTY]]-Table4[[#This Row],[Required For Braze Cutters Check]]</f>
        <v>1281</v>
      </c>
      <c r="AF329" s="23">
        <f t="shared" ca="1" si="62"/>
        <v>1281</v>
      </c>
      <c r="AG329" s="626"/>
      <c r="AJ329" s="19">
        <f t="shared" si="60"/>
        <v>0</v>
      </c>
    </row>
    <row r="330" spans="1:36" ht="24.75" customHeight="1" x14ac:dyDescent="0.25">
      <c r="A330" s="109">
        <v>20240050</v>
      </c>
      <c r="B330" s="709"/>
      <c r="C330" s="109">
        <v>14162004</v>
      </c>
      <c r="D330" s="109" t="s">
        <v>315</v>
      </c>
      <c r="E330" s="109" t="s">
        <v>286</v>
      </c>
      <c r="F330" s="109" t="s">
        <v>659</v>
      </c>
      <c r="G330" s="109" t="s">
        <v>676</v>
      </c>
      <c r="H330" s="140">
        <v>1245350</v>
      </c>
      <c r="I330" s="140">
        <v>1269308</v>
      </c>
      <c r="J330" s="26">
        <f>IF(H330&lt;&gt;"",IF(AND(C330&lt;&gt;"",IFERROR(MATCH(C330,Table10[Serial No.],0),0)),0,1),0)</f>
        <v>0</v>
      </c>
      <c r="K330" s="21"/>
      <c r="L330" s="539" t="str">
        <f t="shared" ca="1" si="63"/>
        <v/>
      </c>
      <c r="P330"/>
      <c r="Q330"/>
      <c r="S330" s="620">
        <v>2016764</v>
      </c>
      <c r="T330" s="278" t="s">
        <v>624</v>
      </c>
      <c r="U330" s="278" t="s">
        <v>719</v>
      </c>
      <c r="V330" s="25">
        <v>5</v>
      </c>
      <c r="W330" s="284">
        <v>1100739</v>
      </c>
      <c r="X330" s="19" t="str">
        <f>IFERROR(INDEX(Table14[],MATCH($W330,Table14[SAPNo],0),3),"")</f>
        <v>1608 CT418 0.018"</v>
      </c>
      <c r="Y330" s="284">
        <v>6</v>
      </c>
      <c r="Z330" s="25">
        <f t="shared" si="61"/>
        <v>0</v>
      </c>
      <c r="AA330" s="25">
        <f t="shared" si="64"/>
        <v>0</v>
      </c>
      <c r="AB330" s="23">
        <f ca="1">IFERROR(INDEX('Cutters Inventory 12-30-2025'!A:W,MATCH($W330,'Cutters Inventory 12-30-2025'!B:B,0),14),0)</f>
        <v>29</v>
      </c>
      <c r="AC330" s="23">
        <f>SUMIF(Table1[LEVEL 5 MAT NO.],S330,Table1[Braze Plan])</f>
        <v>0</v>
      </c>
      <c r="AD330" s="23">
        <f>Table4[[#This Row],[Quantity]]*Table4[[#This Row],[Bits Braze Plan]]</f>
        <v>0</v>
      </c>
      <c r="AE330" s="23">
        <f ca="1">Table4[[#This Row],[INV. QTY]]-Table4[[#This Row],[Required For Braze Cutters Check]]</f>
        <v>29</v>
      </c>
      <c r="AF330" s="23">
        <f t="shared" ca="1" si="62"/>
        <v>29</v>
      </c>
      <c r="AG330" s="23"/>
      <c r="AJ330" s="19">
        <f t="shared" si="60"/>
        <v>0</v>
      </c>
    </row>
    <row r="331" spans="1:36" ht="24.75" customHeight="1" x14ac:dyDescent="0.25">
      <c r="A331" s="109">
        <v>20240050</v>
      </c>
      <c r="B331" s="608"/>
      <c r="C331" s="109">
        <v>14162001</v>
      </c>
      <c r="D331" s="109" t="s">
        <v>315</v>
      </c>
      <c r="E331" s="109" t="s">
        <v>286</v>
      </c>
      <c r="F331" s="109" t="s">
        <v>659</v>
      </c>
      <c r="G331" s="109" t="s">
        <v>676</v>
      </c>
      <c r="H331" s="140">
        <v>1245350</v>
      </c>
      <c r="I331" s="140">
        <v>1269308</v>
      </c>
      <c r="J331" s="26">
        <f>IF(H331&lt;&gt;"",IF(AND(C331&lt;&gt;"",IFERROR(MATCH(C331,Table10[Serial No.],0),0)),0,1),0)</f>
        <v>0</v>
      </c>
      <c r="K331" s="21"/>
      <c r="L331" s="539" t="str">
        <f t="shared" ca="1" si="63"/>
        <v/>
      </c>
      <c r="P331"/>
      <c r="Q331"/>
      <c r="S331" s="620">
        <v>2016764</v>
      </c>
      <c r="T331" s="278" t="s">
        <v>624</v>
      </c>
      <c r="U331" s="278" t="s">
        <v>719</v>
      </c>
      <c r="V331" s="25">
        <v>6</v>
      </c>
      <c r="W331" s="284">
        <v>1134752</v>
      </c>
      <c r="X331" s="19" t="str">
        <f>IFERROR(INDEX(Table14[],MATCH($W331,Table14[SAPNo],0),3),"")</f>
        <v>Round 1308 CT182  0.018" (S)</v>
      </c>
      <c r="Y331" s="284">
        <v>12</v>
      </c>
      <c r="Z331" s="25">
        <f t="shared" si="61"/>
        <v>0</v>
      </c>
      <c r="AA331" s="25">
        <f t="shared" si="64"/>
        <v>0</v>
      </c>
      <c r="AB331" s="23">
        <f ca="1">IFERROR(INDEX('Cutters Inventory 12-30-2025'!A:W,MATCH($W331,'Cutters Inventory 12-30-2025'!B:B,0),14),0)</f>
        <v>38</v>
      </c>
      <c r="AC331" s="23">
        <f>SUMIF(Table1[LEVEL 5 MAT NO.],S331,Table1[Braze Plan])</f>
        <v>0</v>
      </c>
      <c r="AD331" s="23">
        <f>Table4[[#This Row],[Quantity]]*Table4[[#This Row],[Bits Braze Plan]]</f>
        <v>0</v>
      </c>
      <c r="AE331" s="23">
        <f ca="1">Table4[[#This Row],[INV. QTY]]-Table4[[#This Row],[Required For Braze Cutters Check]]</f>
        <v>38</v>
      </c>
      <c r="AF331" s="23">
        <f t="shared" ca="1" si="62"/>
        <v>38</v>
      </c>
      <c r="AG331" s="23"/>
      <c r="AJ331" s="19">
        <f t="shared" si="60"/>
        <v>0</v>
      </c>
    </row>
    <row r="332" spans="1:36" ht="24.75" customHeight="1" x14ac:dyDescent="0.25">
      <c r="A332" s="109">
        <v>20240050</v>
      </c>
      <c r="B332" s="608"/>
      <c r="C332" s="109">
        <v>14161999</v>
      </c>
      <c r="D332" s="109" t="s">
        <v>315</v>
      </c>
      <c r="E332" s="109" t="s">
        <v>286</v>
      </c>
      <c r="F332" s="109" t="s">
        <v>659</v>
      </c>
      <c r="G332" s="109" t="s">
        <v>676</v>
      </c>
      <c r="H332" s="140">
        <v>1245350</v>
      </c>
      <c r="I332" s="140">
        <v>1269308</v>
      </c>
      <c r="J332" s="26">
        <f>IF(H332&lt;&gt;"",IF(AND(C332&lt;&gt;"",IFERROR(MATCH(C332,Table10[Serial No.],0),0)),0,1),0)</f>
        <v>0</v>
      </c>
      <c r="K332" s="21"/>
      <c r="L332" s="539" t="str">
        <f t="shared" ca="1" si="63"/>
        <v/>
      </c>
      <c r="P332"/>
      <c r="Q332"/>
      <c r="S332" s="620">
        <v>2016764</v>
      </c>
      <c r="T332" s="278" t="s">
        <v>624</v>
      </c>
      <c r="U332" s="278" t="s">
        <v>719</v>
      </c>
      <c r="V332" s="25">
        <v>7</v>
      </c>
      <c r="W332" s="284">
        <v>871781</v>
      </c>
      <c r="X332" s="19" t="str">
        <f>IFERROR(INDEX(Table14[],MATCH($W332,Table14[SAPNo],0),3),"")</f>
        <v>Round 1313 CT200  0.018" (B)</v>
      </c>
      <c r="Y332" s="284">
        <v>6</v>
      </c>
      <c r="Z332" s="25">
        <f t="shared" si="61"/>
        <v>0</v>
      </c>
      <c r="AA332" s="25">
        <f t="shared" si="64"/>
        <v>0</v>
      </c>
      <c r="AB332" s="23">
        <f ca="1">IFERROR(INDEX('Cutters Inventory 12-30-2025'!A:W,MATCH($W332,'Cutters Inventory 12-30-2025'!B:B,0),14),0)</f>
        <v>843</v>
      </c>
      <c r="AC332" s="23">
        <f>SUMIF(Table1[LEVEL 5 MAT NO.],S332,Table1[Braze Plan])</f>
        <v>0</v>
      </c>
      <c r="AD332" s="23">
        <f>Table4[[#This Row],[Quantity]]*Table4[[#This Row],[Bits Braze Plan]]</f>
        <v>0</v>
      </c>
      <c r="AE332" s="23">
        <f ca="1">Table4[[#This Row],[INV. QTY]]-Table4[[#This Row],[Required For Braze Cutters Check]]</f>
        <v>843</v>
      </c>
      <c r="AF332" s="23">
        <f t="shared" ca="1" si="62"/>
        <v>843</v>
      </c>
      <c r="AG332" s="23"/>
      <c r="AJ332" s="19">
        <f t="shared" si="60"/>
        <v>0</v>
      </c>
    </row>
    <row r="333" spans="1:36" ht="24.75" customHeight="1" x14ac:dyDescent="0.25">
      <c r="A333" s="109">
        <v>20240050</v>
      </c>
      <c r="B333" s="608"/>
      <c r="C333" s="109">
        <v>14162005</v>
      </c>
      <c r="D333" s="109" t="s">
        <v>315</v>
      </c>
      <c r="E333" s="109" t="s">
        <v>286</v>
      </c>
      <c r="F333" s="109" t="s">
        <v>659</v>
      </c>
      <c r="G333" s="109" t="s">
        <v>676</v>
      </c>
      <c r="H333" s="140">
        <v>1245350</v>
      </c>
      <c r="I333" s="140">
        <v>1269308</v>
      </c>
      <c r="J333" s="26">
        <f>IF(H333&lt;&gt;"",IF(AND(C333&lt;&gt;"",IFERROR(MATCH(C333,Table10[Serial No.],0),0)),0,1),0)</f>
        <v>0</v>
      </c>
      <c r="K333" s="21"/>
      <c r="L333" s="539" t="str">
        <f t="shared" ca="1" si="63"/>
        <v/>
      </c>
      <c r="P333"/>
      <c r="Q333"/>
      <c r="S333" s="620">
        <v>2017803</v>
      </c>
      <c r="T333" s="278" t="s">
        <v>309</v>
      </c>
      <c r="U333" s="278" t="s">
        <v>722</v>
      </c>
      <c r="V333" s="25">
        <v>1</v>
      </c>
      <c r="W333" s="284">
        <v>1282369</v>
      </c>
      <c r="X333" s="19" t="str">
        <f>IFERROR(INDEX(Table14[],MATCH($W333,Table14[SAPNo],0),3),"")</f>
        <v>1313 CT436Mv3 U-60</v>
      </c>
      <c r="Y333" s="284">
        <v>13</v>
      </c>
      <c r="Z333" s="25">
        <f t="shared" si="61"/>
        <v>1</v>
      </c>
      <c r="AA333" s="25">
        <f t="shared" si="64"/>
        <v>13</v>
      </c>
      <c r="AB333" s="23">
        <f ca="1">IFERROR(INDEX('Cutters Inventory 12-30-2025'!A:W,MATCH($W333,'Cutters Inventory 12-30-2025'!B:B,0),14),0)</f>
        <v>120</v>
      </c>
      <c r="AC333" s="23">
        <f>SUMIF(Table1[LEVEL 5 MAT NO.],S333,Table1[Braze Plan])</f>
        <v>0</v>
      </c>
      <c r="AD333" s="23">
        <f>Table4[[#This Row],[Quantity]]*Table4[[#This Row],[Bits Braze Plan]]</f>
        <v>0</v>
      </c>
      <c r="AE333" s="23">
        <f ca="1">Table4[[#This Row],[INV. QTY]]-Table4[[#This Row],[Required For Braze Cutters Check]]</f>
        <v>120</v>
      </c>
      <c r="AF333" s="23">
        <f t="shared" ca="1" si="62"/>
        <v>120</v>
      </c>
      <c r="AG333" s="23"/>
      <c r="AJ333" s="19">
        <f t="shared" si="60"/>
        <v>0</v>
      </c>
    </row>
    <row r="334" spans="1:36" ht="24.75" customHeight="1" x14ac:dyDescent="0.25">
      <c r="A334" s="109">
        <v>20240050</v>
      </c>
      <c r="B334" s="608"/>
      <c r="C334" s="109">
        <v>14162002</v>
      </c>
      <c r="D334" s="109" t="s">
        <v>315</v>
      </c>
      <c r="E334" s="109" t="s">
        <v>286</v>
      </c>
      <c r="F334" s="109" t="s">
        <v>659</v>
      </c>
      <c r="G334" s="109" t="s">
        <v>676</v>
      </c>
      <c r="H334" s="140">
        <v>1245350</v>
      </c>
      <c r="I334" s="140">
        <v>1269308</v>
      </c>
      <c r="J334" s="26">
        <f>IF(H334&lt;&gt;"",IF(AND(C334&lt;&gt;"",IFERROR(MATCH(C334,Table10[Serial No.],0),0)),0,1),0)</f>
        <v>0</v>
      </c>
      <c r="K334" s="21"/>
      <c r="L334" s="539" t="str">
        <f t="shared" ca="1" si="63"/>
        <v/>
      </c>
      <c r="S334" s="620">
        <v>2017803</v>
      </c>
      <c r="T334" s="278" t="s">
        <v>309</v>
      </c>
      <c r="U334" s="278" t="s">
        <v>722</v>
      </c>
      <c r="V334" s="25">
        <v>2</v>
      </c>
      <c r="W334" s="284">
        <v>1146346</v>
      </c>
      <c r="X334" s="19" t="str">
        <f>IFERROR(INDEX(Table14[],MATCH($W334,Table14[SAPNo],0),3),"")</f>
        <v>1313 CT418 18-60</v>
      </c>
      <c r="Y334" s="284">
        <v>12</v>
      </c>
      <c r="Z334" s="25">
        <f t="shared" si="61"/>
        <v>1</v>
      </c>
      <c r="AA334" s="25">
        <f t="shared" si="64"/>
        <v>12</v>
      </c>
      <c r="AB334" s="23">
        <f ca="1">IFERROR(INDEX('Cutters Inventory 12-30-2025'!A:W,MATCH($W334,'Cutters Inventory 12-30-2025'!B:B,0),14),0)</f>
        <v>558</v>
      </c>
      <c r="AC334" s="23">
        <f>SUMIF(Table1[LEVEL 5 MAT NO.],S334,Table1[Braze Plan])</f>
        <v>0</v>
      </c>
      <c r="AD334" s="23">
        <f>Table4[[#This Row],[Quantity]]*Table4[[#This Row],[Bits Braze Plan]]</f>
        <v>0</v>
      </c>
      <c r="AE334" s="23">
        <f ca="1">Table4[[#This Row],[INV. QTY]]-Table4[[#This Row],[Required For Braze Cutters Check]]</f>
        <v>558</v>
      </c>
      <c r="AF334" s="23">
        <f t="shared" ca="1" si="62"/>
        <v>558</v>
      </c>
      <c r="AG334" s="23"/>
      <c r="AJ334" s="19">
        <f t="shared" si="60"/>
        <v>0</v>
      </c>
    </row>
    <row r="335" spans="1:36" ht="24.75" customHeight="1" x14ac:dyDescent="0.25">
      <c r="A335" s="109">
        <v>20240050</v>
      </c>
      <c r="B335" s="608"/>
      <c r="C335" s="109">
        <v>14162003</v>
      </c>
      <c r="D335" s="109" t="s">
        <v>315</v>
      </c>
      <c r="E335" s="109" t="s">
        <v>286</v>
      </c>
      <c r="F335" s="109" t="s">
        <v>659</v>
      </c>
      <c r="G335" s="109" t="s">
        <v>676</v>
      </c>
      <c r="H335" s="140">
        <v>1245350</v>
      </c>
      <c r="I335" s="140">
        <v>1269308</v>
      </c>
      <c r="J335" s="26">
        <f>IF(H335&lt;&gt;"",IF(AND(C335&lt;&gt;"",IFERROR(MATCH(C335,Table10[Serial No.],0),0)),0,1),0)</f>
        <v>0</v>
      </c>
      <c r="K335" s="21"/>
      <c r="L335" s="539" t="str">
        <f t="shared" ca="1" si="63"/>
        <v/>
      </c>
      <c r="S335" s="620">
        <v>2017803</v>
      </c>
      <c r="T335" s="278" t="s">
        <v>309</v>
      </c>
      <c r="U335" s="278" t="s">
        <v>722</v>
      </c>
      <c r="V335" s="25">
        <v>3</v>
      </c>
      <c r="W335" s="284">
        <v>418525</v>
      </c>
      <c r="X335" s="19" t="str">
        <f>IFERROR(INDEX(Table14[],MATCH($W335,Table14[SAPNo],0),3),"")</f>
        <v>Drop In 1308 CT31   (B)</v>
      </c>
      <c r="Y335" s="284">
        <v>6</v>
      </c>
      <c r="Z335" s="25">
        <f t="shared" si="61"/>
        <v>1</v>
      </c>
      <c r="AA335" s="25">
        <f t="shared" si="64"/>
        <v>6</v>
      </c>
      <c r="AB335" s="23">
        <f ca="1">IFERROR(INDEX('Cutters Inventory 12-30-2025'!A:W,MATCH($W335,'Cutters Inventory 12-30-2025'!B:B,0),14),0)</f>
        <v>933</v>
      </c>
      <c r="AC335" s="23">
        <f>SUMIF(Table1[LEVEL 5 MAT NO.],S335,Table1[Braze Plan])</f>
        <v>0</v>
      </c>
      <c r="AD335" s="23">
        <f>Table4[[#This Row],[Quantity]]*Table4[[#This Row],[Bits Braze Plan]]</f>
        <v>0</v>
      </c>
      <c r="AE335" s="23">
        <f ca="1">Table4[[#This Row],[INV. QTY]]-Table4[[#This Row],[Required For Braze Cutters Check]]</f>
        <v>933</v>
      </c>
      <c r="AF335" s="23">
        <f t="shared" ca="1" si="62"/>
        <v>933</v>
      </c>
      <c r="AG335" s="23"/>
      <c r="AJ335" s="19">
        <f t="shared" si="60"/>
        <v>0</v>
      </c>
    </row>
    <row r="336" spans="1:36" ht="24.75" customHeight="1" x14ac:dyDescent="0.25">
      <c r="A336" s="109">
        <v>20240050</v>
      </c>
      <c r="B336" s="608"/>
      <c r="C336" s="109">
        <v>14162000</v>
      </c>
      <c r="D336" s="109" t="s">
        <v>315</v>
      </c>
      <c r="E336" s="109" t="s">
        <v>286</v>
      </c>
      <c r="F336" s="109" t="s">
        <v>659</v>
      </c>
      <c r="G336" s="109" t="s">
        <v>676</v>
      </c>
      <c r="H336" s="140">
        <v>1245350</v>
      </c>
      <c r="I336" s="140">
        <v>1269308</v>
      </c>
      <c r="J336" s="26">
        <f>IF(H336&lt;&gt;"",IF(AND(C336&lt;&gt;"",IFERROR(MATCH(C336,Table10[Serial No.],0),0)),0,1),0)</f>
        <v>0</v>
      </c>
      <c r="K336" s="21"/>
      <c r="L336" s="539" t="str">
        <f t="shared" ca="1" si="63"/>
        <v/>
      </c>
      <c r="S336" s="620">
        <v>2017803</v>
      </c>
      <c r="T336" s="278" t="s">
        <v>309</v>
      </c>
      <c r="U336" s="278" t="s">
        <v>722</v>
      </c>
      <c r="V336" s="25">
        <v>4</v>
      </c>
      <c r="W336" s="284">
        <v>1101509</v>
      </c>
      <c r="X336" s="19" t="str">
        <f>IFERROR(INDEX(Table14[],MATCH($W336,Table14[SAPNo],0),3),"")</f>
        <v>Short IA 8    (C)</v>
      </c>
      <c r="Y336" s="284">
        <v>5</v>
      </c>
      <c r="Z336" s="25">
        <f t="shared" si="61"/>
        <v>1</v>
      </c>
      <c r="AA336" s="25">
        <f t="shared" si="64"/>
        <v>5</v>
      </c>
      <c r="AB336" s="23">
        <f ca="1">IFERROR(INDEX('Cutters Inventory 12-30-2025'!A:W,MATCH($W336,'Cutters Inventory 12-30-2025'!B:B,0),14),0)</f>
        <v>66</v>
      </c>
      <c r="AC336" s="23">
        <f>SUMIF(Table1[LEVEL 5 MAT NO.],S336,Table1[Braze Plan])</f>
        <v>0</v>
      </c>
      <c r="AD336" s="23">
        <f>Table4[[#This Row],[Quantity]]*Table4[[#This Row],[Bits Braze Plan]]</f>
        <v>0</v>
      </c>
      <c r="AE336" s="23">
        <f ca="1">Table4[[#This Row],[INV. QTY]]-Table4[[#This Row],[Required For Braze Cutters Check]]</f>
        <v>66</v>
      </c>
      <c r="AF336" s="23">
        <f t="shared" ca="1" si="62"/>
        <v>66</v>
      </c>
      <c r="AG336" s="23"/>
      <c r="AJ336" s="19">
        <f t="shared" si="60"/>
        <v>0</v>
      </c>
    </row>
    <row r="337" spans="1:36" ht="24.75" customHeight="1" x14ac:dyDescent="0.25">
      <c r="A337" s="109">
        <v>20240050</v>
      </c>
      <c r="B337" s="608"/>
      <c r="C337" s="109">
        <v>14162007</v>
      </c>
      <c r="D337" s="109" t="s">
        <v>637</v>
      </c>
      <c r="E337" s="109" t="s">
        <v>287</v>
      </c>
      <c r="F337" s="109" t="s">
        <v>710</v>
      </c>
      <c r="G337" s="109" t="s">
        <v>681</v>
      </c>
      <c r="H337" s="140">
        <v>1267122</v>
      </c>
      <c r="I337" s="140">
        <v>1257458</v>
      </c>
      <c r="J337" s="26">
        <f>IF(H337&lt;&gt;"",IF(AND(C337&lt;&gt;"",IFERROR(MATCH(C337,Table10[Serial No.],0),0)),0,1),0)</f>
        <v>0</v>
      </c>
      <c r="K337" s="21"/>
      <c r="L337" s="539" t="str">
        <f t="shared" ca="1" si="63"/>
        <v/>
      </c>
      <c r="S337" s="620">
        <v>2017803</v>
      </c>
      <c r="T337" s="278" t="s">
        <v>309</v>
      </c>
      <c r="U337" s="278" t="s">
        <v>722</v>
      </c>
      <c r="V337" s="25">
        <v>5</v>
      </c>
      <c r="W337" s="284">
        <v>1186963</v>
      </c>
      <c r="X337" s="19" t="str">
        <f>IFERROR(INDEX(Table14[],MATCH($W337,Table14[SAPNo],0),3),"")</f>
        <v>1313 CT182H 10C</v>
      </c>
      <c r="Y337" s="284">
        <v>1</v>
      </c>
      <c r="Z337" s="25">
        <f t="shared" si="61"/>
        <v>1</v>
      </c>
      <c r="AA337" s="25">
        <f t="shared" si="64"/>
        <v>1</v>
      </c>
      <c r="AB337" s="23">
        <f ca="1">IFERROR(INDEX('Cutters Inventory 12-30-2025'!A:W,MATCH($W337,'Cutters Inventory 12-30-2025'!B:B,0),14),0)</f>
        <v>9</v>
      </c>
      <c r="AC337" s="23">
        <f>SUMIF(Table1[LEVEL 5 MAT NO.],S337,Table1[Braze Plan])</f>
        <v>0</v>
      </c>
      <c r="AD337" s="23">
        <f>Table4[[#This Row],[Quantity]]*Table4[[#This Row],[Bits Braze Plan]]</f>
        <v>0</v>
      </c>
      <c r="AE337" s="23">
        <f ca="1">Table4[[#This Row],[INV. QTY]]-Table4[[#This Row],[Required For Braze Cutters Check]]</f>
        <v>9</v>
      </c>
      <c r="AF337" s="23">
        <f t="shared" ca="1" si="62"/>
        <v>9</v>
      </c>
      <c r="AG337" s="23"/>
      <c r="AJ337" s="19">
        <f t="shared" si="60"/>
        <v>0</v>
      </c>
    </row>
    <row r="338" spans="1:36" ht="24.75" customHeight="1" x14ac:dyDescent="0.25">
      <c r="A338" s="109">
        <v>20240050</v>
      </c>
      <c r="B338" s="608"/>
      <c r="C338" s="109">
        <v>14162006</v>
      </c>
      <c r="D338" s="109" t="s">
        <v>637</v>
      </c>
      <c r="E338" s="109" t="s">
        <v>287</v>
      </c>
      <c r="F338" s="109" t="s">
        <v>710</v>
      </c>
      <c r="G338" s="109" t="s">
        <v>681</v>
      </c>
      <c r="H338" s="140">
        <v>1267122</v>
      </c>
      <c r="I338" s="140">
        <v>1257458</v>
      </c>
      <c r="J338" s="26">
        <f>IF(H338&lt;&gt;"",IF(AND(C338&lt;&gt;"",IFERROR(MATCH(C338,Table10[Serial No.],0),0)),0,1),0)</f>
        <v>0</v>
      </c>
      <c r="K338" s="21"/>
      <c r="L338" s="539" t="str">
        <f t="shared" ca="1" si="63"/>
        <v/>
      </c>
      <c r="S338" s="620">
        <v>2018723</v>
      </c>
      <c r="T338" s="278" t="s">
        <v>631</v>
      </c>
      <c r="U338" s="278" t="s">
        <v>723</v>
      </c>
      <c r="V338" s="25">
        <v>1</v>
      </c>
      <c r="W338" s="284">
        <v>773383</v>
      </c>
      <c r="X338" s="19" t="str">
        <f>IFERROR(INDEX(Table14[],MATCH($W338,Table14[SAPNo],0),3),"")</f>
        <v>Round 1005 CT200  10C (B)</v>
      </c>
      <c r="Y338" s="284">
        <v>12</v>
      </c>
      <c r="Z338" s="25">
        <f t="shared" si="61"/>
        <v>0</v>
      </c>
      <c r="AA338" s="25">
        <f t="shared" si="64"/>
        <v>0</v>
      </c>
      <c r="AB338" s="23">
        <f ca="1">IFERROR(INDEX('Cutters Inventory 12-30-2025'!A:W,MATCH($W338,'Cutters Inventory 12-30-2025'!B:B,0),14),0)</f>
        <v>0</v>
      </c>
      <c r="AC338" s="23">
        <f>SUMIF(Table1[LEVEL 5 MAT NO.],S338,Table1[Braze Plan])</f>
        <v>0</v>
      </c>
      <c r="AD338" s="23">
        <f>Table4[[#This Row],[Quantity]]*Table4[[#This Row],[Bits Braze Plan]]</f>
        <v>0</v>
      </c>
      <c r="AE338" s="23">
        <f ca="1">Table4[[#This Row],[INV. QTY]]-Table4[[#This Row],[Required For Braze Cutters Check]]</f>
        <v>0</v>
      </c>
      <c r="AF338" s="23">
        <f t="shared" ca="1" si="62"/>
        <v>0</v>
      </c>
      <c r="AG338" s="309"/>
      <c r="AJ338" s="19">
        <f t="shared" si="60"/>
        <v>0</v>
      </c>
    </row>
    <row r="339" spans="1:36" ht="24.75" customHeight="1" x14ac:dyDescent="0.25">
      <c r="A339" s="109">
        <v>20240050</v>
      </c>
      <c r="B339" s="608"/>
      <c r="C339" s="109">
        <v>14162008</v>
      </c>
      <c r="D339" s="109" t="s">
        <v>637</v>
      </c>
      <c r="E339" s="109" t="s">
        <v>287</v>
      </c>
      <c r="F339" s="109" t="s">
        <v>710</v>
      </c>
      <c r="G339" s="109" t="s">
        <v>681</v>
      </c>
      <c r="H339" s="140">
        <v>1267122</v>
      </c>
      <c r="I339" s="140">
        <v>1257458</v>
      </c>
      <c r="J339" s="26">
        <f>IF(H339&lt;&gt;"",IF(AND(C339&lt;&gt;"",IFERROR(MATCH(C339,Table10[Serial No.],0),0)),0,1),0)</f>
        <v>0</v>
      </c>
      <c r="K339" s="21"/>
      <c r="L339" s="539" t="str">
        <f t="shared" ca="1" si="63"/>
        <v/>
      </c>
      <c r="S339" s="620">
        <v>2018723</v>
      </c>
      <c r="T339" s="278" t="s">
        <v>631</v>
      </c>
      <c r="U339" s="278" t="s">
        <v>723</v>
      </c>
      <c r="V339" s="25">
        <v>2</v>
      </c>
      <c r="W339" s="284">
        <v>2001155</v>
      </c>
      <c r="X339" s="19" t="str">
        <f>IFERROR(INDEX(Table14[],MATCH($W339,Table14[SAPNo],0),3),"")</f>
        <v>1313 CT179T U-60</v>
      </c>
      <c r="Y339" s="284">
        <v>12</v>
      </c>
      <c r="Z339" s="25">
        <f t="shared" si="61"/>
        <v>0</v>
      </c>
      <c r="AA339" s="25">
        <f t="shared" si="64"/>
        <v>0</v>
      </c>
      <c r="AB339" s="23">
        <f ca="1">IFERROR(INDEX('Cutters Inventory 12-30-2025'!A:W,MATCH($W339,'Cutters Inventory 12-30-2025'!B:B,0),14),0)</f>
        <v>45</v>
      </c>
      <c r="AC339" s="23">
        <f>SUMIF(Table1[LEVEL 5 MAT NO.],S339,Table1[Braze Plan])</f>
        <v>0</v>
      </c>
      <c r="AD339" s="23">
        <f>Table4[[#This Row],[Quantity]]*Table4[[#This Row],[Bits Braze Plan]]</f>
        <v>0</v>
      </c>
      <c r="AE339" s="23">
        <f ca="1">Table4[[#This Row],[INV. QTY]]-Table4[[#This Row],[Required For Braze Cutters Check]]</f>
        <v>45</v>
      </c>
      <c r="AF339" s="23">
        <f t="shared" ca="1" si="62"/>
        <v>45</v>
      </c>
      <c r="AG339" s="23"/>
      <c r="AJ339" s="19">
        <f t="shared" si="60"/>
        <v>0</v>
      </c>
    </row>
    <row r="340" spans="1:36" ht="24.75" customHeight="1" x14ac:dyDescent="0.25">
      <c r="A340" s="109">
        <v>20240050</v>
      </c>
      <c r="B340" s="709"/>
      <c r="C340" s="109">
        <v>14162015</v>
      </c>
      <c r="D340" s="109" t="s">
        <v>316</v>
      </c>
      <c r="E340" s="109" t="s">
        <v>290</v>
      </c>
      <c r="F340" s="109" t="s">
        <v>724</v>
      </c>
      <c r="G340" s="109" t="s">
        <v>676</v>
      </c>
      <c r="H340" s="140">
        <v>1229187</v>
      </c>
      <c r="I340" s="140">
        <v>1268728</v>
      </c>
      <c r="J340" s="26">
        <f>IF(H340&lt;&gt;"",IF(AND(C340&lt;&gt;"",IFERROR(MATCH(C340,Table10[Serial No.],0),0)),0,1),0)</f>
        <v>1</v>
      </c>
      <c r="K340" s="21"/>
      <c r="L340" s="539" t="str">
        <f t="shared" ca="1" si="63"/>
        <v/>
      </c>
      <c r="S340" s="620">
        <v>2018723</v>
      </c>
      <c r="T340" s="278" t="s">
        <v>631</v>
      </c>
      <c r="U340" s="278" t="s">
        <v>723</v>
      </c>
      <c r="V340" s="25">
        <v>3</v>
      </c>
      <c r="W340" s="284">
        <v>871781</v>
      </c>
      <c r="X340" s="19" t="str">
        <f>IFERROR(INDEX(Table14[],MATCH($W340,Table14[SAPNo],0),3),"")</f>
        <v>Round 1313 CT200  0.018" (B)</v>
      </c>
      <c r="Y340" s="284">
        <v>6</v>
      </c>
      <c r="Z340" s="25">
        <f t="shared" si="61"/>
        <v>0</v>
      </c>
      <c r="AA340" s="25">
        <f t="shared" si="64"/>
        <v>0</v>
      </c>
      <c r="AB340" s="23">
        <f ca="1">IFERROR(INDEX('Cutters Inventory 12-30-2025'!A:W,MATCH($W340,'Cutters Inventory 12-30-2025'!B:B,0),14),0)</f>
        <v>843</v>
      </c>
      <c r="AC340" s="23">
        <f>SUMIF(Table1[LEVEL 5 MAT NO.],S340,Table1[Braze Plan])</f>
        <v>0</v>
      </c>
      <c r="AD340" s="23">
        <f>Table4[[#This Row],[Quantity]]*Table4[[#This Row],[Bits Braze Plan]]</f>
        <v>0</v>
      </c>
      <c r="AE340" s="23">
        <f ca="1">Table4[[#This Row],[INV. QTY]]-Table4[[#This Row],[Required For Braze Cutters Check]]</f>
        <v>843</v>
      </c>
      <c r="AF340" s="23">
        <f t="shared" ca="1" si="62"/>
        <v>843</v>
      </c>
      <c r="AG340" s="23"/>
      <c r="AJ340" s="19">
        <f t="shared" si="60"/>
        <v>0</v>
      </c>
    </row>
    <row r="341" spans="1:36" ht="24.75" customHeight="1" x14ac:dyDescent="0.25">
      <c r="A341" s="109">
        <v>20240050</v>
      </c>
      <c r="B341" s="709"/>
      <c r="C341" s="109">
        <v>14162017</v>
      </c>
      <c r="D341" s="109" t="s">
        <v>316</v>
      </c>
      <c r="E341" s="109" t="s">
        <v>290</v>
      </c>
      <c r="F341" s="109" t="s">
        <v>724</v>
      </c>
      <c r="G341" s="109" t="s">
        <v>676</v>
      </c>
      <c r="H341" s="140">
        <v>1229187</v>
      </c>
      <c r="I341" s="140">
        <v>1268728</v>
      </c>
      <c r="J341" s="26">
        <f>IF(H341&lt;&gt;"",IF(AND(C341&lt;&gt;"",IFERROR(MATCH(C341,Table10[Serial No.],0),0)),0,1),0)</f>
        <v>1</v>
      </c>
      <c r="K341" s="21"/>
      <c r="L341" s="539" t="str">
        <f t="shared" ca="1" si="63"/>
        <v/>
      </c>
      <c r="S341" s="620">
        <v>2018723</v>
      </c>
      <c r="T341" s="278" t="s">
        <v>631</v>
      </c>
      <c r="U341" s="278" t="s">
        <v>723</v>
      </c>
      <c r="V341" s="25">
        <v>4</v>
      </c>
      <c r="W341" s="284">
        <v>1152018</v>
      </c>
      <c r="X341" s="19" t="str">
        <f>IFERROR(INDEX(Table14[],MATCH($W341,Table14[SAPNo],0),3),"")</f>
        <v>1313 CT418 U</v>
      </c>
      <c r="Y341" s="284">
        <v>6</v>
      </c>
      <c r="Z341" s="25">
        <f t="shared" si="61"/>
        <v>0</v>
      </c>
      <c r="AA341" s="25">
        <f t="shared" si="64"/>
        <v>0</v>
      </c>
      <c r="AB341" s="23">
        <f ca="1">IFERROR(INDEX('Cutters Inventory 12-30-2025'!A:W,MATCH($W341,'Cutters Inventory 12-30-2025'!B:B,0),14),0)</f>
        <v>45</v>
      </c>
      <c r="AC341" s="23">
        <f>SUMIF(Table1[LEVEL 5 MAT NO.],S341,Table1[Braze Plan])</f>
        <v>0</v>
      </c>
      <c r="AD341" s="23">
        <f>Table4[[#This Row],[Quantity]]*Table4[[#This Row],[Bits Braze Plan]]</f>
        <v>0</v>
      </c>
      <c r="AE341" s="23">
        <f ca="1">Table4[[#This Row],[INV. QTY]]-Table4[[#This Row],[Required For Braze Cutters Check]]</f>
        <v>45</v>
      </c>
      <c r="AF341" s="23">
        <f t="shared" ca="1" si="62"/>
        <v>45</v>
      </c>
      <c r="AG341" s="23"/>
      <c r="AJ341" s="19">
        <f t="shared" si="60"/>
        <v>0</v>
      </c>
    </row>
    <row r="342" spans="1:36" ht="24.75" customHeight="1" x14ac:dyDescent="0.25">
      <c r="A342" s="109">
        <v>20240050</v>
      </c>
      <c r="B342" s="608"/>
      <c r="C342" s="109">
        <v>14145054</v>
      </c>
      <c r="D342" s="109" t="s">
        <v>316</v>
      </c>
      <c r="E342" s="109" t="s">
        <v>290</v>
      </c>
      <c r="F342" s="109" t="s">
        <v>724</v>
      </c>
      <c r="G342" s="109" t="s">
        <v>676</v>
      </c>
      <c r="H342" s="140">
        <v>1229187</v>
      </c>
      <c r="I342" s="140">
        <v>1268728</v>
      </c>
      <c r="J342" s="26">
        <f>IF(H342&lt;&gt;"",IF(AND(C342&lt;&gt;"",IFERROR(MATCH(C342,Table10[Serial No.],0),0)),0,1),0)</f>
        <v>1</v>
      </c>
      <c r="K342" s="21"/>
      <c r="L342" s="539" t="str">
        <f t="shared" ca="1" si="63"/>
        <v/>
      </c>
      <c r="S342" s="620">
        <v>2018723</v>
      </c>
      <c r="T342" s="278" t="s">
        <v>631</v>
      </c>
      <c r="U342" s="278" t="s">
        <v>723</v>
      </c>
      <c r="V342" s="25">
        <v>5</v>
      </c>
      <c r="W342" s="284">
        <v>1146346</v>
      </c>
      <c r="X342" s="19" t="str">
        <f>IFERROR(INDEX(Table14[],MATCH($W342,Table14[SAPNo],0),3),"")</f>
        <v>1313 CT418 18-60</v>
      </c>
      <c r="Y342" s="284">
        <v>6</v>
      </c>
      <c r="Z342" s="25">
        <f t="shared" si="61"/>
        <v>0</v>
      </c>
      <c r="AA342" s="25">
        <f t="shared" si="64"/>
        <v>0</v>
      </c>
      <c r="AB342" s="23">
        <f ca="1">IFERROR(INDEX('Cutters Inventory 12-30-2025'!A:W,MATCH($W342,'Cutters Inventory 12-30-2025'!B:B,0),14),0)</f>
        <v>558</v>
      </c>
      <c r="AC342" s="23">
        <f>SUMIF(Table1[LEVEL 5 MAT NO.],S342,Table1[Braze Plan])</f>
        <v>0</v>
      </c>
      <c r="AD342" s="23">
        <f>Table4[[#This Row],[Quantity]]*Table4[[#This Row],[Bits Braze Plan]]</f>
        <v>0</v>
      </c>
      <c r="AE342" s="23">
        <f ca="1">Table4[[#This Row],[INV. QTY]]-Table4[[#This Row],[Required For Braze Cutters Check]]</f>
        <v>558</v>
      </c>
      <c r="AF342" s="23">
        <f t="shared" ca="1" si="62"/>
        <v>558</v>
      </c>
      <c r="AG342" s="23"/>
      <c r="AJ342" s="19">
        <f t="shared" si="60"/>
        <v>0</v>
      </c>
    </row>
    <row r="343" spans="1:36" ht="24.75" customHeight="1" x14ac:dyDescent="0.25">
      <c r="A343" s="132">
        <v>20240050</v>
      </c>
      <c r="B343" s="710"/>
      <c r="C343" s="132">
        <v>14188524</v>
      </c>
      <c r="D343" s="132" t="s">
        <v>316</v>
      </c>
      <c r="E343" s="132" t="s">
        <v>292</v>
      </c>
      <c r="F343" s="132" t="s">
        <v>710</v>
      </c>
      <c r="G343" s="132" t="s">
        <v>681</v>
      </c>
      <c r="H343" s="141">
        <v>1258119</v>
      </c>
      <c r="I343" s="141">
        <v>1254482</v>
      </c>
      <c r="J343" s="26">
        <f>IF(H343&lt;&gt;"",IF(AND(C343&lt;&gt;"",IFERROR(MATCH(C343,Table10[Serial No.],0),0)),0,1),0)</f>
        <v>0</v>
      </c>
      <c r="K343" s="21"/>
      <c r="L343" s="539" t="str">
        <f t="shared" ca="1" si="63"/>
        <v/>
      </c>
      <c r="S343" s="620">
        <v>2018723</v>
      </c>
      <c r="T343" s="278" t="s">
        <v>631</v>
      </c>
      <c r="U343" s="278" t="s">
        <v>723</v>
      </c>
      <c r="V343" s="25">
        <v>6</v>
      </c>
      <c r="W343" s="284">
        <v>410851</v>
      </c>
      <c r="X343" s="19" t="str">
        <f>IFERROR(INDEX(Table14[],MATCH($W343,Table14[SAPNo],0),3),"")</f>
        <v>PDC Dome 1308 CT31   (B)</v>
      </c>
      <c r="Y343" s="284">
        <v>5</v>
      </c>
      <c r="Z343" s="25">
        <f t="shared" si="61"/>
        <v>0</v>
      </c>
      <c r="AA343" s="25">
        <f t="shared" si="64"/>
        <v>0</v>
      </c>
      <c r="AB343" s="23">
        <f ca="1">IFERROR(INDEX('Cutters Inventory 12-30-2025'!A:W,MATCH($W343,'Cutters Inventory 12-30-2025'!B:B,0),14),0)</f>
        <v>93</v>
      </c>
      <c r="AC343" s="23">
        <f>SUMIF(Table1[LEVEL 5 MAT NO.],S343,Table1[Braze Plan])</f>
        <v>0</v>
      </c>
      <c r="AD343" s="23">
        <f>Table4[[#This Row],[Quantity]]*Table4[[#This Row],[Bits Braze Plan]]</f>
        <v>0</v>
      </c>
      <c r="AE343" s="23">
        <f ca="1">Table4[[#This Row],[INV. QTY]]-Table4[[#This Row],[Required For Braze Cutters Check]]</f>
        <v>93</v>
      </c>
      <c r="AF343" s="23">
        <f t="shared" ca="1" si="62"/>
        <v>93</v>
      </c>
      <c r="AG343" s="23"/>
      <c r="AJ343" s="19">
        <f t="shared" si="60"/>
        <v>0</v>
      </c>
    </row>
    <row r="344" spans="1:36" ht="24.75" customHeight="1" x14ac:dyDescent="0.25">
      <c r="A344" s="109">
        <v>20240080</v>
      </c>
      <c r="B344" s="709"/>
      <c r="C344" s="109">
        <v>14167827</v>
      </c>
      <c r="D344" s="109" t="s">
        <v>631</v>
      </c>
      <c r="E344" s="109" t="s">
        <v>645</v>
      </c>
      <c r="F344" s="109"/>
      <c r="G344" s="109" t="s">
        <v>681</v>
      </c>
      <c r="H344" s="140">
        <v>1262047</v>
      </c>
      <c r="I344" s="140">
        <v>1235768</v>
      </c>
      <c r="J344" s="26">
        <f>IF(H344&lt;&gt;"",IF(AND(C344&lt;&gt;"",IFERROR(MATCH(C344,Table10[Serial No.],0),0)),0,1),0)</f>
        <v>0</v>
      </c>
      <c r="K344" s="21"/>
      <c r="L344" s="539" t="str">
        <f t="shared" ca="1" si="63"/>
        <v/>
      </c>
      <c r="S344" s="620">
        <v>2018723</v>
      </c>
      <c r="T344" s="278" t="s">
        <v>631</v>
      </c>
      <c r="U344" s="278" t="s">
        <v>723</v>
      </c>
      <c r="V344" s="25">
        <v>7</v>
      </c>
      <c r="W344" s="284">
        <v>179733</v>
      </c>
      <c r="X344" s="19" t="str">
        <f>IFERROR(INDEX(Table14[],MATCH($W344,Table14[SAPNo],0),3),"")</f>
        <v>Short IA 13    (C)</v>
      </c>
      <c r="Y344" s="284">
        <v>5</v>
      </c>
      <c r="Z344" s="25">
        <f t="shared" si="61"/>
        <v>0</v>
      </c>
      <c r="AA344" s="25">
        <f t="shared" si="64"/>
        <v>0</v>
      </c>
      <c r="AB344" s="23">
        <f ca="1">IFERROR(INDEX('Cutters Inventory 12-30-2025'!A:W,MATCH($W344,'Cutters Inventory 12-30-2025'!B:B,0),14),0)</f>
        <v>68</v>
      </c>
      <c r="AC344" s="23">
        <f>SUMIF(Table1[LEVEL 5 MAT NO.],S344,Table1[Braze Plan])</f>
        <v>0</v>
      </c>
      <c r="AD344" s="23">
        <f>Table4[[#This Row],[Quantity]]*Table4[[#This Row],[Bits Braze Plan]]</f>
        <v>0</v>
      </c>
      <c r="AE344" s="23">
        <f ca="1">Table4[[#This Row],[INV. QTY]]-Table4[[#This Row],[Required For Braze Cutters Check]]</f>
        <v>68</v>
      </c>
      <c r="AF344" s="23">
        <f t="shared" ca="1" si="62"/>
        <v>68</v>
      </c>
      <c r="AG344" s="23"/>
      <c r="AJ344" s="19">
        <f t="shared" si="60"/>
        <v>0</v>
      </c>
    </row>
    <row r="345" spans="1:36" ht="24.75" customHeight="1" x14ac:dyDescent="0.25">
      <c r="A345" s="109">
        <v>20240080</v>
      </c>
      <c r="B345" s="709"/>
      <c r="C345" s="109">
        <v>14167828</v>
      </c>
      <c r="D345" s="109" t="s">
        <v>631</v>
      </c>
      <c r="E345" s="109" t="s">
        <v>645</v>
      </c>
      <c r="F345" s="109"/>
      <c r="G345" s="109" t="s">
        <v>681</v>
      </c>
      <c r="H345" s="140">
        <v>1262047</v>
      </c>
      <c r="I345" s="140">
        <v>1235768</v>
      </c>
      <c r="J345" s="26">
        <f>IF(H345&lt;&gt;"",IF(AND(C345&lt;&gt;"",IFERROR(MATCH(C345,Table10[Serial No.],0),0)),0,1),0)</f>
        <v>0</v>
      </c>
      <c r="K345" s="21"/>
      <c r="L345" s="539" t="str">
        <f t="shared" ca="1" si="63"/>
        <v/>
      </c>
      <c r="S345" s="620">
        <v>2018723</v>
      </c>
      <c r="T345" s="278" t="s">
        <v>631</v>
      </c>
      <c r="U345" s="278" t="s">
        <v>723</v>
      </c>
      <c r="V345" s="25">
        <v>8</v>
      </c>
      <c r="W345" s="284">
        <v>1100694</v>
      </c>
      <c r="X345" s="19" t="str">
        <f>IFERROR(INDEX(Table14[],MATCH($W345,Table14[SAPNo],0),3),"")</f>
        <v xml:space="preserve">1308 CT418 10C </v>
      </c>
      <c r="Y345" s="284">
        <v>3</v>
      </c>
      <c r="Z345" s="25">
        <f t="shared" si="61"/>
        <v>0</v>
      </c>
      <c r="AA345" s="25">
        <f t="shared" si="64"/>
        <v>0</v>
      </c>
      <c r="AB345" s="23">
        <f ca="1">IFERROR(INDEX('Cutters Inventory 12-30-2025'!A:W,MATCH($W345,'Cutters Inventory 12-30-2025'!B:B,0),14),0)</f>
        <v>0</v>
      </c>
      <c r="AC345" s="23">
        <f>SUMIF(Table1[LEVEL 5 MAT NO.],S345,Table1[Braze Plan])</f>
        <v>0</v>
      </c>
      <c r="AD345" s="23">
        <f>Table4[[#This Row],[Quantity]]*Table4[[#This Row],[Bits Braze Plan]]</f>
        <v>0</v>
      </c>
      <c r="AE345" s="23">
        <f ca="1">Table4[[#This Row],[INV. QTY]]-Table4[[#This Row],[Required For Braze Cutters Check]]</f>
        <v>0</v>
      </c>
      <c r="AF345" s="23">
        <f t="shared" ca="1" si="62"/>
        <v>0</v>
      </c>
      <c r="AG345" s="23"/>
      <c r="AJ345" s="19">
        <f t="shared" si="60"/>
        <v>0</v>
      </c>
    </row>
    <row r="346" spans="1:36" ht="24.75" customHeight="1" x14ac:dyDescent="0.25">
      <c r="A346" s="109">
        <v>20240080</v>
      </c>
      <c r="B346" s="709"/>
      <c r="C346" s="109">
        <v>14167825</v>
      </c>
      <c r="D346" s="109" t="s">
        <v>631</v>
      </c>
      <c r="E346" s="109" t="s">
        <v>645</v>
      </c>
      <c r="F346" s="109"/>
      <c r="G346" s="109" t="s">
        <v>681</v>
      </c>
      <c r="H346" s="140">
        <v>1262047</v>
      </c>
      <c r="I346" s="140">
        <v>1235768</v>
      </c>
      <c r="J346" s="26">
        <f>IF(H346&lt;&gt;"",IF(AND(C346&lt;&gt;"",IFERROR(MATCH(C346,Table10[Serial No.],0),0)),0,1),0)</f>
        <v>0</v>
      </c>
      <c r="K346" s="21"/>
      <c r="L346" s="539" t="str">
        <f t="shared" ca="1" si="63"/>
        <v/>
      </c>
      <c r="S346" s="281" t="s">
        <v>686</v>
      </c>
      <c r="T346" s="278" t="s">
        <v>315</v>
      </c>
      <c r="U346" s="278" t="s">
        <v>643</v>
      </c>
      <c r="V346" s="25">
        <v>1</v>
      </c>
      <c r="W346" s="284">
        <v>1126404</v>
      </c>
      <c r="X346" s="19" t="str">
        <f>IFERROR(INDEX(Table14[],MATCH($W346,Table14[SAPNo],0),3),"")</f>
        <v>1913 CT421 18-60</v>
      </c>
      <c r="Y346" s="284">
        <v>52</v>
      </c>
      <c r="Z346" s="25">
        <f t="shared" si="61"/>
        <v>0</v>
      </c>
      <c r="AA346" s="25">
        <f t="shared" si="64"/>
        <v>0</v>
      </c>
      <c r="AB346" s="23">
        <f ca="1">IFERROR(INDEX('Cutters Inventory 12-30-2025'!A:W,MATCH($W346,'Cutters Inventory 12-30-2025'!B:B,0),14),0)</f>
        <v>0</v>
      </c>
      <c r="AC346" s="23">
        <f>SUMIF(Table1[LEVEL 5 MAT NO.],S346,Table1[Braze Plan])</f>
        <v>0</v>
      </c>
      <c r="AD346" s="23">
        <f>Table4[[#This Row],[Quantity]]*Table4[[#This Row],[Bits Braze Plan]]</f>
        <v>0</v>
      </c>
      <c r="AE346" s="23">
        <f ca="1">Table4[[#This Row],[INV. QTY]]-Table4[[#This Row],[Required For Braze Cutters Check]]</f>
        <v>0</v>
      </c>
      <c r="AF346" s="23">
        <f t="shared" ca="1" si="62"/>
        <v>0</v>
      </c>
      <c r="AG346" s="23"/>
      <c r="AJ346" s="19">
        <f t="shared" si="60"/>
        <v>0</v>
      </c>
    </row>
    <row r="347" spans="1:36" ht="24.75" customHeight="1" x14ac:dyDescent="0.25">
      <c r="A347" s="109">
        <v>20240080</v>
      </c>
      <c r="B347" s="709"/>
      <c r="C347" s="109">
        <v>14167824</v>
      </c>
      <c r="D347" s="109" t="s">
        <v>631</v>
      </c>
      <c r="E347" s="109" t="s">
        <v>645</v>
      </c>
      <c r="F347" s="109"/>
      <c r="G347" s="109" t="s">
        <v>681</v>
      </c>
      <c r="H347" s="140">
        <v>1262047</v>
      </c>
      <c r="I347" s="140">
        <v>1235768</v>
      </c>
      <c r="J347" s="26">
        <f>IF(H347&lt;&gt;"",IF(AND(C347&lt;&gt;"",IFERROR(MATCH(C347,Table10[Serial No.],0),0)),0,1),0)</f>
        <v>0</v>
      </c>
      <c r="K347" s="21"/>
      <c r="L347" s="539" t="str">
        <f t="shared" ca="1" si="63"/>
        <v/>
      </c>
      <c r="P347" s="431"/>
      <c r="Q347" s="431"/>
      <c r="S347" s="281" t="s">
        <v>686</v>
      </c>
      <c r="T347" s="278" t="s">
        <v>315</v>
      </c>
      <c r="U347" s="278" t="s">
        <v>643</v>
      </c>
      <c r="V347" s="25">
        <v>2</v>
      </c>
      <c r="W347" s="284">
        <v>708306</v>
      </c>
      <c r="X347" s="19" t="str">
        <f>IFERROR(INDEX(Table14[],MATCH($W347,Table14[SAPNo],0),3),"")</f>
        <v>Round 1913 CT200  0.018" (B)</v>
      </c>
      <c r="Y347" s="284">
        <v>35</v>
      </c>
      <c r="Z347" s="25">
        <f t="shared" si="61"/>
        <v>0</v>
      </c>
      <c r="AA347" s="25">
        <f t="shared" si="64"/>
        <v>0</v>
      </c>
      <c r="AB347" s="23">
        <f ca="1">IFERROR(INDEX('Cutters Inventory 12-30-2025'!A:W,MATCH($W347,'Cutters Inventory 12-30-2025'!B:B,0),14),0)</f>
        <v>82</v>
      </c>
      <c r="AC347" s="23">
        <f>SUMIF(Table1[LEVEL 5 MAT NO.],S347,Table1[Braze Plan])</f>
        <v>0</v>
      </c>
      <c r="AD347" s="23">
        <f>Table4[[#This Row],[Quantity]]*Table4[[#This Row],[Bits Braze Plan]]</f>
        <v>0</v>
      </c>
      <c r="AE347" s="23">
        <f ca="1">Table4[[#This Row],[INV. QTY]]-Table4[[#This Row],[Required For Braze Cutters Check]]</f>
        <v>82</v>
      </c>
      <c r="AF347" s="23">
        <f t="shared" ca="1" si="62"/>
        <v>82</v>
      </c>
      <c r="AG347" s="23"/>
      <c r="AJ347" s="19">
        <f t="shared" si="60"/>
        <v>0</v>
      </c>
    </row>
    <row r="348" spans="1:36" ht="24.75" customHeight="1" x14ac:dyDescent="0.25">
      <c r="A348" s="109">
        <v>20240080</v>
      </c>
      <c r="B348" s="709"/>
      <c r="C348" s="109">
        <v>14167826</v>
      </c>
      <c r="D348" s="109" t="s">
        <v>631</v>
      </c>
      <c r="E348" s="109" t="s">
        <v>645</v>
      </c>
      <c r="F348" s="109"/>
      <c r="G348" s="109" t="s">
        <v>681</v>
      </c>
      <c r="H348" s="140">
        <v>1262047</v>
      </c>
      <c r="I348" s="140">
        <v>1235768</v>
      </c>
      <c r="J348" s="26">
        <f>IF(H348&lt;&gt;"",IF(AND(C348&lt;&gt;"",IFERROR(MATCH(C348,Table10[Serial No.],0),0)),0,1),0)</f>
        <v>0</v>
      </c>
      <c r="K348" s="21"/>
      <c r="L348" s="539" t="str">
        <f t="shared" ca="1" si="63"/>
        <v/>
      </c>
      <c r="P348" s="431"/>
      <c r="Q348" s="431"/>
      <c r="S348" s="281" t="s">
        <v>686</v>
      </c>
      <c r="T348" s="278" t="s">
        <v>315</v>
      </c>
      <c r="U348" s="278" t="s">
        <v>643</v>
      </c>
      <c r="V348" s="25">
        <v>3</v>
      </c>
      <c r="W348" s="284">
        <v>871781</v>
      </c>
      <c r="X348" s="19" t="str">
        <f>IFERROR(INDEX(Table14[],MATCH($W348,Table14[SAPNo],0),3),"")</f>
        <v>Round 1313 CT200  0.018" (B)</v>
      </c>
      <c r="Y348" s="284">
        <v>4</v>
      </c>
      <c r="Z348" s="25">
        <f t="shared" si="61"/>
        <v>0</v>
      </c>
      <c r="AA348" s="25">
        <f t="shared" si="64"/>
        <v>0</v>
      </c>
      <c r="AB348" s="23">
        <f ca="1">IFERROR(INDEX('Cutters Inventory 12-30-2025'!A:W,MATCH($W348,'Cutters Inventory 12-30-2025'!B:B,0),14),0)</f>
        <v>843</v>
      </c>
      <c r="AC348" s="23">
        <f>SUMIF(Table1[LEVEL 5 MAT NO.],S348,Table1[Braze Plan])</f>
        <v>0</v>
      </c>
      <c r="AD348" s="23">
        <f>Table4[[#This Row],[Quantity]]*Table4[[#This Row],[Bits Braze Plan]]</f>
        <v>0</v>
      </c>
      <c r="AE348" s="23">
        <f ca="1">Table4[[#This Row],[INV. QTY]]-Table4[[#This Row],[Required For Braze Cutters Check]]</f>
        <v>843</v>
      </c>
      <c r="AF348" s="23">
        <f t="shared" ca="1" si="62"/>
        <v>843</v>
      </c>
      <c r="AG348" s="23"/>
      <c r="AJ348" s="19">
        <f t="shared" si="60"/>
        <v>0</v>
      </c>
    </row>
    <row r="349" spans="1:36" ht="24.75" customHeight="1" x14ac:dyDescent="0.25">
      <c r="A349" s="109">
        <v>20240080</v>
      </c>
      <c r="B349" s="709"/>
      <c r="C349" s="109">
        <v>14167830</v>
      </c>
      <c r="D349" s="109" t="s">
        <v>313</v>
      </c>
      <c r="E349" s="109" t="s">
        <v>649</v>
      </c>
      <c r="F349" s="109"/>
      <c r="G349" s="109" t="s">
        <v>725</v>
      </c>
      <c r="H349" s="140">
        <v>1192119</v>
      </c>
      <c r="I349" s="140">
        <v>1134878</v>
      </c>
      <c r="J349" s="26">
        <f>IF(H349&lt;&gt;"",IF(AND(C349&lt;&gt;"",IFERROR(MATCH(C349,Table10[Serial No.],0),0)),0,1),0)</f>
        <v>0</v>
      </c>
      <c r="K349" s="21"/>
      <c r="L349" s="539" t="str">
        <f t="shared" ca="1" si="63"/>
        <v/>
      </c>
      <c r="P349" s="431"/>
      <c r="Q349" s="431"/>
      <c r="R349" s="431"/>
      <c r="S349" s="281" t="s">
        <v>686</v>
      </c>
      <c r="T349" s="278" t="s">
        <v>315</v>
      </c>
      <c r="U349" s="278" t="s">
        <v>643</v>
      </c>
      <c r="V349" s="25">
        <v>4</v>
      </c>
      <c r="W349" s="284">
        <v>418525</v>
      </c>
      <c r="X349" s="19" t="str">
        <f>IFERROR(INDEX(Table14[],MATCH($W349,Table14[SAPNo],0),3),"")</f>
        <v>Drop In 1308 CT31   (B)</v>
      </c>
      <c r="Y349" s="284">
        <v>3</v>
      </c>
      <c r="Z349" s="25">
        <f t="shared" si="61"/>
        <v>0</v>
      </c>
      <c r="AA349" s="25">
        <f t="shared" si="64"/>
        <v>0</v>
      </c>
      <c r="AB349" s="23">
        <f ca="1">IFERROR(INDEX('Cutters Inventory 12-30-2025'!A:W,MATCH($W349,'Cutters Inventory 12-30-2025'!B:B,0),14),0)</f>
        <v>933</v>
      </c>
      <c r="AC349" s="23">
        <f>SUMIF(Table1[LEVEL 5 MAT NO.],S349,Table1[Braze Plan])</f>
        <v>0</v>
      </c>
      <c r="AD349" s="23">
        <f>Table4[[#This Row],[Quantity]]*Table4[[#This Row],[Bits Braze Plan]]</f>
        <v>0</v>
      </c>
      <c r="AE349" s="23">
        <f ca="1">Table4[[#This Row],[INV. QTY]]-Table4[[#This Row],[Required For Braze Cutters Check]]</f>
        <v>933</v>
      </c>
      <c r="AF349" s="23">
        <f t="shared" ca="1" si="62"/>
        <v>933</v>
      </c>
      <c r="AG349" s="23"/>
      <c r="AJ349" s="19">
        <f t="shared" si="60"/>
        <v>0</v>
      </c>
    </row>
    <row r="350" spans="1:36" ht="24.75" customHeight="1" x14ac:dyDescent="0.25">
      <c r="A350" s="109">
        <v>20240080</v>
      </c>
      <c r="B350" s="709"/>
      <c r="C350" s="109">
        <v>14167829</v>
      </c>
      <c r="D350" s="109" t="s">
        <v>313</v>
      </c>
      <c r="E350" s="109" t="s">
        <v>726</v>
      </c>
      <c r="F350" s="109"/>
      <c r="G350" s="109" t="s">
        <v>681</v>
      </c>
      <c r="H350" s="140">
        <v>1239176</v>
      </c>
      <c r="I350" s="140" t="s">
        <v>269</v>
      </c>
      <c r="J350" s="26">
        <f>IF(H350&lt;&gt;"",IF(AND(C350&lt;&gt;"",IFERROR(MATCH(C350,Table10[Serial No.],0),0)),0,1),0)</f>
        <v>0</v>
      </c>
      <c r="K350" s="21"/>
      <c r="L350" s="539" t="str">
        <f t="shared" si="63"/>
        <v/>
      </c>
      <c r="P350" s="431"/>
      <c r="Q350" s="431"/>
      <c r="R350" s="431"/>
      <c r="S350" s="281" t="s">
        <v>727</v>
      </c>
      <c r="T350" s="278" t="s">
        <v>624</v>
      </c>
      <c r="U350" s="278" t="s">
        <v>275</v>
      </c>
      <c r="V350" s="25">
        <v>1</v>
      </c>
      <c r="W350" s="284">
        <v>1208601</v>
      </c>
      <c r="X350" s="19" t="str">
        <f>IFERROR(INDEX(Table14[],MATCH($W350,Table14[SAPNo],0),3),"")</f>
        <v>1613 CT418 U-60</v>
      </c>
      <c r="Y350" s="284">
        <v>8</v>
      </c>
      <c r="Z350" s="25">
        <f t="shared" si="61"/>
        <v>0</v>
      </c>
      <c r="AA350" s="25">
        <f t="shared" si="64"/>
        <v>0</v>
      </c>
      <c r="AB350" s="23">
        <f ca="1">IFERROR(INDEX('Cutters Inventory 12-30-2025'!A:W,MATCH($W350,'Cutters Inventory 12-30-2025'!B:B,0),14),0)</f>
        <v>230</v>
      </c>
      <c r="AC350" s="23">
        <f>SUMIF(Table1[LEVEL 5 MAT NO.],S350,Table1[Braze Plan])</f>
        <v>0</v>
      </c>
      <c r="AD350" s="23">
        <f>Table4[[#This Row],[Quantity]]*Table4[[#This Row],[Bits Braze Plan]]</f>
        <v>0</v>
      </c>
      <c r="AE350" s="23">
        <f ca="1">Table4[[#This Row],[INV. QTY]]-Table4[[#This Row],[Required For Braze Cutters Check]]</f>
        <v>230</v>
      </c>
      <c r="AF350" s="23">
        <f t="shared" ca="1" si="62"/>
        <v>230</v>
      </c>
      <c r="AG350" s="23"/>
      <c r="AJ350" s="19">
        <f t="shared" si="60"/>
        <v>0</v>
      </c>
    </row>
    <row r="351" spans="1:36" ht="24.75" customHeight="1" x14ac:dyDescent="0.25">
      <c r="A351" s="109">
        <v>20240080</v>
      </c>
      <c r="B351" s="709"/>
      <c r="C351" s="109">
        <v>14167844</v>
      </c>
      <c r="D351" s="109" t="s">
        <v>624</v>
      </c>
      <c r="E351" s="109" t="s">
        <v>663</v>
      </c>
      <c r="F351" s="109"/>
      <c r="G351" s="109" t="s">
        <v>681</v>
      </c>
      <c r="H351" s="140">
        <v>1269498</v>
      </c>
      <c r="I351" s="140">
        <v>1276939</v>
      </c>
      <c r="J351" s="26">
        <f>IF(H351&lt;&gt;"",IF(AND(C351&lt;&gt;"",IFERROR(MATCH(C351,Table10[Serial No.],0),0)),0,1),0)</f>
        <v>0</v>
      </c>
      <c r="K351" s="21"/>
      <c r="L351" s="539" t="str">
        <f t="shared" ca="1" si="63"/>
        <v/>
      </c>
      <c r="P351" s="431"/>
      <c r="Q351" s="431"/>
      <c r="S351" s="281" t="s">
        <v>727</v>
      </c>
      <c r="T351" s="278" t="s">
        <v>624</v>
      </c>
      <c r="U351" s="278" t="s">
        <v>275</v>
      </c>
      <c r="V351" s="25">
        <v>2</v>
      </c>
      <c r="W351" s="284">
        <v>1078377</v>
      </c>
      <c r="X351" s="19" t="str">
        <f>IFERROR(INDEX(Table14[],MATCH($W351,Table14[SAPNo],0),3),"")</f>
        <v>13MM CT221 R1</v>
      </c>
      <c r="Y351" s="284">
        <v>15</v>
      </c>
      <c r="Z351" s="25">
        <f t="shared" si="61"/>
        <v>0</v>
      </c>
      <c r="AA351" s="25">
        <f t="shared" si="64"/>
        <v>0</v>
      </c>
      <c r="AB351" s="23">
        <f ca="1">IFERROR(INDEX('Cutters Inventory 12-30-2025'!A:W,MATCH($W351,'Cutters Inventory 12-30-2025'!B:B,0),14),0)</f>
        <v>439</v>
      </c>
      <c r="AC351" s="23">
        <f>SUMIF(Table1[LEVEL 5 MAT NO.],S351,Table1[Braze Plan])</f>
        <v>0</v>
      </c>
      <c r="AD351" s="23">
        <f>Table4[[#This Row],[Quantity]]*Table4[[#This Row],[Bits Braze Plan]]</f>
        <v>0</v>
      </c>
      <c r="AE351" s="23">
        <f ca="1">Table4[[#This Row],[INV. QTY]]-Table4[[#This Row],[Required For Braze Cutters Check]]</f>
        <v>439</v>
      </c>
      <c r="AF351" s="23">
        <f t="shared" ca="1" si="62"/>
        <v>439</v>
      </c>
      <c r="AG351" s="23"/>
      <c r="AJ351" s="19">
        <f t="shared" si="60"/>
        <v>0</v>
      </c>
    </row>
    <row r="352" spans="1:36" ht="24.75" customHeight="1" x14ac:dyDescent="0.25">
      <c r="A352" s="109">
        <v>20240080</v>
      </c>
      <c r="B352" s="709"/>
      <c r="C352" s="109">
        <v>14167843</v>
      </c>
      <c r="D352" s="109" t="s">
        <v>624</v>
      </c>
      <c r="E352" s="109" t="s">
        <v>663</v>
      </c>
      <c r="F352" s="109"/>
      <c r="G352" s="109" t="s">
        <v>681</v>
      </c>
      <c r="H352" s="140">
        <v>1269498</v>
      </c>
      <c r="I352" s="140">
        <v>1276939</v>
      </c>
      <c r="J352" s="26">
        <f>IF(H352&lt;&gt;"",IF(AND(C352&lt;&gt;"",IFERROR(MATCH(C352,Table10[Serial No.],0),0)),0,1),0)</f>
        <v>0</v>
      </c>
      <c r="K352" s="21"/>
      <c r="L352" s="539" t="str">
        <f t="shared" ca="1" si="63"/>
        <v/>
      </c>
      <c r="P352" s="431"/>
      <c r="Q352" s="431"/>
      <c r="S352" s="281" t="s">
        <v>727</v>
      </c>
      <c r="T352" s="278" t="s">
        <v>624</v>
      </c>
      <c r="U352" s="278" t="s">
        <v>275</v>
      </c>
      <c r="V352" s="25">
        <v>3</v>
      </c>
      <c r="W352" s="284">
        <v>418525</v>
      </c>
      <c r="X352" s="19" t="str">
        <f>IFERROR(INDEX(Table14[],MATCH($W352,Table14[SAPNo],0),3),"")</f>
        <v>Drop In 1308 CT31   (B)</v>
      </c>
      <c r="Y352" s="284">
        <v>6</v>
      </c>
      <c r="Z352" s="25">
        <f t="shared" si="61"/>
        <v>0</v>
      </c>
      <c r="AA352" s="25">
        <f t="shared" si="64"/>
        <v>0</v>
      </c>
      <c r="AB352" s="23">
        <f ca="1">IFERROR(INDEX('Cutters Inventory 12-30-2025'!A:W,MATCH($W352,'Cutters Inventory 12-30-2025'!B:B,0),14),0)</f>
        <v>933</v>
      </c>
      <c r="AC352" s="23">
        <f>SUMIF(Table1[LEVEL 5 MAT NO.],S352,Table1[Braze Plan])</f>
        <v>0</v>
      </c>
      <c r="AD352" s="23">
        <f>Table4[[#This Row],[Quantity]]*Table4[[#This Row],[Bits Braze Plan]]</f>
        <v>0</v>
      </c>
      <c r="AE352" s="23">
        <f ca="1">Table4[[#This Row],[INV. QTY]]-Table4[[#This Row],[Required For Braze Cutters Check]]</f>
        <v>933</v>
      </c>
      <c r="AF352" s="23">
        <f t="shared" ca="1" si="62"/>
        <v>933</v>
      </c>
      <c r="AG352" s="23"/>
      <c r="AJ352" s="19">
        <f t="shared" si="60"/>
        <v>0</v>
      </c>
    </row>
    <row r="353" spans="1:36" ht="24.75" customHeight="1" x14ac:dyDescent="0.25">
      <c r="A353" s="109">
        <v>20240080</v>
      </c>
      <c r="B353" s="709"/>
      <c r="C353" s="109">
        <v>14167842</v>
      </c>
      <c r="D353" s="109" t="s">
        <v>624</v>
      </c>
      <c r="E353" s="109" t="s">
        <v>663</v>
      </c>
      <c r="F353" s="109"/>
      <c r="G353" s="109" t="s">
        <v>681</v>
      </c>
      <c r="H353" s="140">
        <v>1269498</v>
      </c>
      <c r="I353" s="140">
        <v>1276939</v>
      </c>
      <c r="J353" s="26">
        <f>IF(H353&lt;&gt;"",IF(AND(C353&lt;&gt;"",IFERROR(MATCH(C353,Table10[Serial No.],0),0)),0,1),0)</f>
        <v>0</v>
      </c>
      <c r="K353" s="21"/>
      <c r="L353" s="539" t="str">
        <f t="shared" ca="1" si="63"/>
        <v/>
      </c>
      <c r="P353" s="431"/>
      <c r="Q353" s="431"/>
      <c r="R353" s="356"/>
      <c r="S353" s="281" t="s">
        <v>727</v>
      </c>
      <c r="T353" s="278" t="s">
        <v>624</v>
      </c>
      <c r="U353" s="278" t="s">
        <v>275</v>
      </c>
      <c r="V353" s="25">
        <v>4</v>
      </c>
      <c r="W353" s="284">
        <v>1288783</v>
      </c>
      <c r="X353" s="19" t="str">
        <f>IFERROR(INDEX(Table14[],MATCH($W353,Table14[SAPNo],0),3),"")</f>
        <v>1613 CT179 18-60</v>
      </c>
      <c r="Y353" s="284">
        <v>17</v>
      </c>
      <c r="Z353" s="25">
        <f t="shared" si="61"/>
        <v>0</v>
      </c>
      <c r="AA353" s="25">
        <f t="shared" si="64"/>
        <v>0</v>
      </c>
      <c r="AB353" s="23">
        <f ca="1">IFERROR(INDEX('Cutters Inventory 12-30-2025'!A:W,MATCH($W353,'Cutters Inventory 12-30-2025'!B:B,0),14),0)</f>
        <v>813</v>
      </c>
      <c r="AC353" s="23">
        <f>SUMIF(Table1[LEVEL 5 MAT NO.],S353,Table1[Braze Plan])</f>
        <v>0</v>
      </c>
      <c r="AD353" s="23">
        <f>Table4[[#This Row],[Quantity]]*Table4[[#This Row],[Bits Braze Plan]]</f>
        <v>0</v>
      </c>
      <c r="AE353" s="23">
        <f ca="1">Table4[[#This Row],[INV. QTY]]-Table4[[#This Row],[Required For Braze Cutters Check]]</f>
        <v>813</v>
      </c>
      <c r="AF353" s="23">
        <f t="shared" ca="1" si="62"/>
        <v>813</v>
      </c>
      <c r="AG353" s="23"/>
      <c r="AJ353" s="19">
        <f t="shared" si="60"/>
        <v>0</v>
      </c>
    </row>
    <row r="354" spans="1:36" ht="24.75" customHeight="1" x14ac:dyDescent="0.25">
      <c r="A354" s="109">
        <v>20240080</v>
      </c>
      <c r="B354" s="709"/>
      <c r="C354" s="109">
        <v>14167834</v>
      </c>
      <c r="D354" s="109" t="s">
        <v>315</v>
      </c>
      <c r="E354" s="109" t="s">
        <v>728</v>
      </c>
      <c r="F354" s="109"/>
      <c r="G354" s="109" t="s">
        <v>681</v>
      </c>
      <c r="H354" s="140">
        <v>1239239</v>
      </c>
      <c r="I354" s="140" t="s">
        <v>729</v>
      </c>
      <c r="J354" s="26">
        <f>IF(H354&lt;&gt;"",IF(AND(C354&lt;&gt;"",IFERROR(MATCH(C354,Table10[Serial No.],0),0)),0,1),0)</f>
        <v>0</v>
      </c>
      <c r="K354" s="21"/>
      <c r="L354" s="539" t="str">
        <f t="shared" si="63"/>
        <v/>
      </c>
      <c r="P354" s="431"/>
      <c r="Q354" s="431"/>
      <c r="S354" s="281">
        <v>1269308</v>
      </c>
      <c r="T354" s="278" t="s">
        <v>315</v>
      </c>
      <c r="U354" s="278" t="s">
        <v>286</v>
      </c>
      <c r="V354" s="25">
        <v>3</v>
      </c>
      <c r="W354" s="284">
        <v>1146737</v>
      </c>
      <c r="X354" s="19" t="str">
        <f>IFERROR(INDEX(Table14[],MATCH($W354,Table14[SAPNo],0),3),"")</f>
        <v>1613 CT418 18-60</v>
      </c>
      <c r="Y354" s="284">
        <v>10</v>
      </c>
      <c r="Z354" s="25">
        <f t="shared" si="61"/>
        <v>1</v>
      </c>
      <c r="AA354" s="25">
        <f t="shared" si="64"/>
        <v>10</v>
      </c>
      <c r="AB354" s="23">
        <f ca="1">IFERROR(INDEX('Cutters Inventory 12-30-2025'!A:W,MATCH($W354,'Cutters Inventory 12-30-2025'!B:B,0),14),0)</f>
        <v>1281</v>
      </c>
      <c r="AC354" s="23">
        <f>SUMIF(Table1[LEVEL 5 MAT NO.],S354,Table1[Braze Plan])</f>
        <v>0</v>
      </c>
      <c r="AD354" s="23">
        <f>Table4[[#This Row],[Quantity]]*Table4[[#This Row],[Bits Braze Plan]]</f>
        <v>0</v>
      </c>
      <c r="AE354" s="23">
        <f ca="1">Table4[[#This Row],[INV. QTY]]-Table4[[#This Row],[Required For Braze Cutters Check]]</f>
        <v>1281</v>
      </c>
      <c r="AF354" s="23">
        <f t="shared" ca="1" si="62"/>
        <v>1281</v>
      </c>
      <c r="AG354" s="23"/>
      <c r="AJ354" s="19">
        <f t="shared" si="60"/>
        <v>0</v>
      </c>
    </row>
    <row r="355" spans="1:36" ht="24.75" customHeight="1" x14ac:dyDescent="0.25">
      <c r="A355" s="109">
        <v>20240080</v>
      </c>
      <c r="B355" s="709"/>
      <c r="C355" s="109">
        <v>14167833</v>
      </c>
      <c r="D355" s="109" t="s">
        <v>315</v>
      </c>
      <c r="E355" s="109" t="s">
        <v>728</v>
      </c>
      <c r="F355" s="109"/>
      <c r="G355" s="109" t="s">
        <v>681</v>
      </c>
      <c r="H355" s="140">
        <v>1239239</v>
      </c>
      <c r="I355" s="140" t="s">
        <v>729</v>
      </c>
      <c r="J355" s="26">
        <f>IF(H355&lt;&gt;"",IF(AND(C355&lt;&gt;"",IFERROR(MATCH(C355,Table10[Serial No.],0),0)),0,1),0)</f>
        <v>0</v>
      </c>
      <c r="K355" s="21"/>
      <c r="L355" s="539" t="str">
        <f t="shared" si="63"/>
        <v/>
      </c>
      <c r="P355" s="431"/>
      <c r="Q355" s="431"/>
      <c r="R355" s="247"/>
      <c r="S355" s="282" t="s">
        <v>730</v>
      </c>
      <c r="T355" s="279" t="s">
        <v>309</v>
      </c>
      <c r="U355" s="279" t="s">
        <v>256</v>
      </c>
      <c r="V355" s="25">
        <v>1</v>
      </c>
      <c r="W355" s="284">
        <v>1136984</v>
      </c>
      <c r="X355" s="19" t="str">
        <f>IFERROR(INDEX(Table14[],MATCH($W355,Table14[SAPNo],0),3),"")</f>
        <v>DBLMCHT 1313 CT182DM  10C (S)</v>
      </c>
      <c r="Y355" s="284">
        <v>13</v>
      </c>
      <c r="Z355" s="25">
        <f t="shared" si="61"/>
        <v>0</v>
      </c>
      <c r="AA355" s="25">
        <f t="shared" si="64"/>
        <v>0</v>
      </c>
      <c r="AB355" s="23">
        <f ca="1">IFERROR(INDEX('Cutters Inventory 12-30-2025'!A:W,MATCH($W355,'Cutters Inventory 12-30-2025'!B:B,0),14),0)</f>
        <v>92</v>
      </c>
      <c r="AC355" s="23">
        <f>SUMIF(Table1[LEVEL 5 MAT NO.],S355,Table1[Braze Plan])</f>
        <v>0</v>
      </c>
      <c r="AD355" s="23">
        <f>Table4[[#This Row],[Quantity]]*Table4[[#This Row],[Bits Braze Plan]]</f>
        <v>0</v>
      </c>
      <c r="AE355" s="23">
        <f ca="1">Table4[[#This Row],[INV. QTY]]-Table4[[#This Row],[Required For Braze Cutters Check]]</f>
        <v>92</v>
      </c>
      <c r="AF355" s="23">
        <f t="shared" ca="1" si="62"/>
        <v>92</v>
      </c>
      <c r="AG355" s="23"/>
      <c r="AJ355" s="19">
        <f t="shared" si="60"/>
        <v>0</v>
      </c>
    </row>
    <row r="356" spans="1:36" ht="24.75" customHeight="1" x14ac:dyDescent="0.25">
      <c r="A356" s="109">
        <v>20240080</v>
      </c>
      <c r="B356" s="608"/>
      <c r="C356" s="109">
        <v>14167838</v>
      </c>
      <c r="D356" s="109" t="s">
        <v>316</v>
      </c>
      <c r="E356" s="109" t="s">
        <v>731</v>
      </c>
      <c r="F356" s="109"/>
      <c r="G356" s="109" t="s">
        <v>681</v>
      </c>
      <c r="H356" s="140">
        <v>1239258</v>
      </c>
      <c r="I356" s="140" t="s">
        <v>652</v>
      </c>
      <c r="J356" s="26">
        <f>IF(H356&lt;&gt;"",IF(AND(C356&lt;&gt;"",IFERROR(MATCH(C356,Table10[Serial No.],0),0)),0,1),0)</f>
        <v>0</v>
      </c>
      <c r="K356" s="21"/>
      <c r="L356" s="539" t="str">
        <f t="shared" si="63"/>
        <v/>
      </c>
      <c r="P356"/>
      <c r="Q356"/>
      <c r="S356" s="282" t="s">
        <v>730</v>
      </c>
      <c r="T356" s="279" t="s">
        <v>309</v>
      </c>
      <c r="U356" s="279" t="s">
        <v>256</v>
      </c>
      <c r="V356" s="25">
        <v>2</v>
      </c>
      <c r="W356" s="284">
        <v>1100696</v>
      </c>
      <c r="X356" s="19" t="str">
        <f>IFERROR(INDEX(Table14[],MATCH($W356,Table14[SAPNo],0),3),"")</f>
        <v>Round 1313 CT418  10C (S)</v>
      </c>
      <c r="Y356" s="284">
        <v>5</v>
      </c>
      <c r="Z356" s="25">
        <f t="shared" si="61"/>
        <v>0</v>
      </c>
      <c r="AA356" s="25">
        <f t="shared" si="64"/>
        <v>0</v>
      </c>
      <c r="AB356" s="23">
        <f ca="1">IFERROR(INDEX('Cutters Inventory 12-30-2025'!A:W,MATCH($W356,'Cutters Inventory 12-30-2025'!B:B,0),14),0)</f>
        <v>19</v>
      </c>
      <c r="AC356" s="23">
        <f>SUMIF(Table1[LEVEL 5 MAT NO.],S356,Table1[Braze Plan])</f>
        <v>0</v>
      </c>
      <c r="AD356" s="23">
        <f>Table4[[#This Row],[Quantity]]*Table4[[#This Row],[Bits Braze Plan]]</f>
        <v>0</v>
      </c>
      <c r="AE356" s="23">
        <f ca="1">Table4[[#This Row],[INV. QTY]]-Table4[[#This Row],[Required For Braze Cutters Check]]</f>
        <v>19</v>
      </c>
      <c r="AF356" s="23">
        <f t="shared" ca="1" si="62"/>
        <v>19</v>
      </c>
      <c r="AG356" s="23"/>
      <c r="AJ356" s="19">
        <f t="shared" si="60"/>
        <v>0</v>
      </c>
    </row>
    <row r="357" spans="1:36" ht="24.75" customHeight="1" x14ac:dyDescent="0.25">
      <c r="A357" s="132">
        <v>20240080</v>
      </c>
      <c r="B357" s="710"/>
      <c r="C357" s="132">
        <v>14167839</v>
      </c>
      <c r="D357" s="132" t="s">
        <v>316</v>
      </c>
      <c r="E357" s="132" t="s">
        <v>731</v>
      </c>
      <c r="F357" s="132"/>
      <c r="G357" s="132" t="s">
        <v>681</v>
      </c>
      <c r="H357" s="141">
        <v>1239258</v>
      </c>
      <c r="I357" s="141" t="s">
        <v>652</v>
      </c>
      <c r="J357" s="26">
        <f>IF(H357&lt;&gt;"",IF(AND(C357&lt;&gt;"",IFERROR(MATCH(C357,Table10[Serial No.],0),0)),0,1),0)</f>
        <v>0</v>
      </c>
      <c r="K357" s="21"/>
      <c r="L357" s="539" t="str">
        <f t="shared" si="63"/>
        <v/>
      </c>
      <c r="P357"/>
      <c r="Q357"/>
      <c r="S357" s="282" t="s">
        <v>730</v>
      </c>
      <c r="T357" s="279" t="s">
        <v>309</v>
      </c>
      <c r="U357" s="279" t="s">
        <v>256</v>
      </c>
      <c r="V357" s="25">
        <v>3</v>
      </c>
      <c r="W357" s="284">
        <v>418525</v>
      </c>
      <c r="X357" s="19" t="str">
        <f>IFERROR(INDEX(Table14[],MATCH($W357,Table14[SAPNo],0),3),"")</f>
        <v>Drop In 1308 CT31   (B)</v>
      </c>
      <c r="Y357" s="284">
        <v>6</v>
      </c>
      <c r="Z357" s="25">
        <f t="shared" si="61"/>
        <v>0</v>
      </c>
      <c r="AA357" s="25">
        <f t="shared" si="64"/>
        <v>0</v>
      </c>
      <c r="AB357" s="23">
        <f ca="1">IFERROR(INDEX('Cutters Inventory 12-30-2025'!A:W,MATCH($W357,'Cutters Inventory 12-30-2025'!B:B,0),14),0)</f>
        <v>933</v>
      </c>
      <c r="AC357" s="23">
        <f>SUMIF(Table1[LEVEL 5 MAT NO.],S357,Table1[Braze Plan])</f>
        <v>0</v>
      </c>
      <c r="AD357" s="23">
        <f>Table4[[#This Row],[Quantity]]*Table4[[#This Row],[Bits Braze Plan]]</f>
        <v>0</v>
      </c>
      <c r="AE357" s="23">
        <f ca="1">Table4[[#This Row],[INV. QTY]]-Table4[[#This Row],[Required For Braze Cutters Check]]</f>
        <v>933</v>
      </c>
      <c r="AF357" s="23">
        <f t="shared" ca="1" si="62"/>
        <v>933</v>
      </c>
      <c r="AG357" s="23"/>
      <c r="AJ357" s="19">
        <f t="shared" si="60"/>
        <v>0</v>
      </c>
    </row>
    <row r="358" spans="1:36" ht="24.75" customHeight="1" x14ac:dyDescent="0.25">
      <c r="A358" s="109">
        <v>20240098</v>
      </c>
      <c r="B358" s="710"/>
      <c r="C358" s="109">
        <v>14178452</v>
      </c>
      <c r="D358" s="109" t="s">
        <v>631</v>
      </c>
      <c r="E358" s="109" t="s">
        <v>645</v>
      </c>
      <c r="F358" s="109" t="s">
        <v>103</v>
      </c>
      <c r="G358" s="109" t="s">
        <v>681</v>
      </c>
      <c r="H358" s="140">
        <v>1262047</v>
      </c>
      <c r="I358" s="140">
        <v>1235768</v>
      </c>
      <c r="J358" s="26">
        <f>IF(H358&lt;&gt;"",IF(AND(C358&lt;&gt;"",IFERROR(MATCH(C358,Table10[Serial No.],0),0)),0,1),0)</f>
        <v>0</v>
      </c>
      <c r="K358" s="21"/>
      <c r="L358" s="539" t="str">
        <f t="shared" ca="1" si="63"/>
        <v/>
      </c>
      <c r="P358"/>
      <c r="Q358"/>
      <c r="S358" s="281" t="s">
        <v>730</v>
      </c>
      <c r="T358" s="278" t="s">
        <v>309</v>
      </c>
      <c r="U358" s="278" t="s">
        <v>256</v>
      </c>
      <c r="V358" s="25">
        <v>4</v>
      </c>
      <c r="W358" s="284">
        <v>1101509</v>
      </c>
      <c r="X358" s="19" t="str">
        <f>IFERROR(INDEX(Table14[],MATCH($W358,Table14[SAPNo],0),3),"")</f>
        <v>Short IA 8    (C)</v>
      </c>
      <c r="Y358" s="284">
        <v>5</v>
      </c>
      <c r="Z358" s="25">
        <f t="shared" si="61"/>
        <v>0</v>
      </c>
      <c r="AA358" s="25">
        <f t="shared" si="64"/>
        <v>0</v>
      </c>
      <c r="AB358" s="23">
        <f ca="1">IFERROR(INDEX('Cutters Inventory 12-30-2025'!A:W,MATCH($W358,'Cutters Inventory 12-30-2025'!B:B,0),14),0)</f>
        <v>66</v>
      </c>
      <c r="AC358" s="23">
        <f>SUMIF(Table1[LEVEL 5 MAT NO.],S358,Table1[Braze Plan])</f>
        <v>0</v>
      </c>
      <c r="AD358" s="23">
        <f>Table4[[#This Row],[Quantity]]*Table4[[#This Row],[Bits Braze Plan]]</f>
        <v>0</v>
      </c>
      <c r="AE358" s="23">
        <f ca="1">Table4[[#This Row],[INV. QTY]]-Table4[[#This Row],[Required For Braze Cutters Check]]</f>
        <v>66</v>
      </c>
      <c r="AF358" s="23">
        <f t="shared" ca="1" si="62"/>
        <v>66</v>
      </c>
      <c r="AG358" s="23"/>
      <c r="AJ358" s="19">
        <f t="shared" si="60"/>
        <v>0</v>
      </c>
    </row>
    <row r="359" spans="1:36" ht="24.75" customHeight="1" x14ac:dyDescent="0.25">
      <c r="A359" s="109">
        <v>20240098</v>
      </c>
      <c r="B359" s="608"/>
      <c r="C359" s="109">
        <v>14178451</v>
      </c>
      <c r="D359" s="109" t="s">
        <v>631</v>
      </c>
      <c r="E359" s="109" t="s">
        <v>645</v>
      </c>
      <c r="F359" s="109" t="s">
        <v>103</v>
      </c>
      <c r="G359" s="109" t="s">
        <v>681</v>
      </c>
      <c r="H359" s="140">
        <v>1262047</v>
      </c>
      <c r="I359" s="140">
        <v>1235768</v>
      </c>
      <c r="J359" s="26">
        <f>IF(H359&lt;&gt;"",IF(AND(C359&lt;&gt;"",IFERROR(MATCH(C359,Table10[Serial No.],0),0)),0,1),0)</f>
        <v>0</v>
      </c>
      <c r="K359" s="21"/>
      <c r="L359" s="539" t="str">
        <f t="shared" ca="1" si="63"/>
        <v/>
      </c>
      <c r="P359"/>
      <c r="Q359"/>
      <c r="S359" s="281" t="s">
        <v>730</v>
      </c>
      <c r="T359" s="278" t="s">
        <v>309</v>
      </c>
      <c r="U359" s="278" t="s">
        <v>256</v>
      </c>
      <c r="V359" s="25">
        <v>5</v>
      </c>
      <c r="W359" s="284">
        <v>1104083</v>
      </c>
      <c r="X359" s="19" t="str">
        <f>IFERROR(INDEX(Table14[],MATCH($W359,Table14[SAPNo],0),3),"")</f>
        <v>1313 CT144H  10C (S)</v>
      </c>
      <c r="Y359" s="284">
        <v>1</v>
      </c>
      <c r="Z359" s="25">
        <f t="shared" si="61"/>
        <v>0</v>
      </c>
      <c r="AA359" s="25">
        <f t="shared" si="64"/>
        <v>0</v>
      </c>
      <c r="AB359" s="23">
        <f ca="1">IFERROR(INDEX('Cutters Inventory 12-30-2025'!A:W,MATCH($W359,'Cutters Inventory 12-30-2025'!B:B,0),14),0)</f>
        <v>2</v>
      </c>
      <c r="AC359" s="23">
        <f>SUMIF(Table1[LEVEL 5 MAT NO.],S359,Table1[Braze Plan])</f>
        <v>0</v>
      </c>
      <c r="AD359" s="23">
        <f>Table4[[#This Row],[Quantity]]*Table4[[#This Row],[Bits Braze Plan]]</f>
        <v>0</v>
      </c>
      <c r="AE359" s="23">
        <f ca="1">Table4[[#This Row],[INV. QTY]]-Table4[[#This Row],[Required For Braze Cutters Check]]</f>
        <v>2</v>
      </c>
      <c r="AF359" s="23">
        <f t="shared" ca="1" si="62"/>
        <v>2</v>
      </c>
      <c r="AG359" s="23"/>
      <c r="AJ359" s="19">
        <f t="shared" si="60"/>
        <v>0</v>
      </c>
    </row>
    <row r="360" spans="1:36" ht="24.75" customHeight="1" x14ac:dyDescent="0.25">
      <c r="A360" s="109">
        <v>20240098</v>
      </c>
      <c r="B360" s="608"/>
      <c r="C360" s="109">
        <v>14178453</v>
      </c>
      <c r="D360" s="109" t="s">
        <v>631</v>
      </c>
      <c r="E360" s="109" t="s">
        <v>645</v>
      </c>
      <c r="F360" s="109" t="s">
        <v>103</v>
      </c>
      <c r="G360" s="109" t="s">
        <v>681</v>
      </c>
      <c r="H360" s="140">
        <v>1262047</v>
      </c>
      <c r="I360" s="140">
        <v>1235768</v>
      </c>
      <c r="J360" s="26">
        <f>IF(H360&lt;&gt;"",IF(AND(C360&lt;&gt;"",IFERROR(MATCH(C360,Table10[Serial No.],0),0)),0,1),0)</f>
        <v>0</v>
      </c>
      <c r="K360" s="21"/>
      <c r="L360" s="539" t="str">
        <f t="shared" ca="1" si="63"/>
        <v/>
      </c>
      <c r="P360"/>
      <c r="Q360"/>
      <c r="S360" s="281" t="s">
        <v>730</v>
      </c>
      <c r="T360" s="278" t="s">
        <v>309</v>
      </c>
      <c r="U360" s="278" t="s">
        <v>256</v>
      </c>
      <c r="V360" s="25">
        <v>6</v>
      </c>
      <c r="W360" s="284">
        <v>1238831</v>
      </c>
      <c r="X360" s="19" t="str">
        <f>IFERROR(INDEX(Table14[],MATCH($W360,Table14[SAPNo],0),3),"")</f>
        <v>1313 CT418 25-75</v>
      </c>
      <c r="Y360" s="284">
        <v>7</v>
      </c>
      <c r="Z360" s="25">
        <f t="shared" si="61"/>
        <v>0</v>
      </c>
      <c r="AA360" s="25">
        <f t="shared" si="64"/>
        <v>0</v>
      </c>
      <c r="AB360" s="23">
        <f ca="1">IFERROR(INDEX('Cutters Inventory 12-30-2025'!A:W,MATCH($W360,'Cutters Inventory 12-30-2025'!B:B,0),14),0)</f>
        <v>0</v>
      </c>
      <c r="AC360" s="23">
        <f>SUMIF(Table1[LEVEL 5 MAT NO.],S360,Table1[Braze Plan])</f>
        <v>0</v>
      </c>
      <c r="AD360" s="23">
        <f>Table4[[#This Row],[Quantity]]*Table4[[#This Row],[Bits Braze Plan]]</f>
        <v>0</v>
      </c>
      <c r="AE360" s="23">
        <f ca="1">Table4[[#This Row],[INV. QTY]]-Table4[[#This Row],[Required For Braze Cutters Check]]</f>
        <v>0</v>
      </c>
      <c r="AF360" s="23">
        <f t="shared" ca="1" si="62"/>
        <v>0</v>
      </c>
      <c r="AG360" s="23"/>
      <c r="AJ360" s="19">
        <f t="shared" si="60"/>
        <v>0</v>
      </c>
    </row>
    <row r="361" spans="1:36" ht="24.75" customHeight="1" x14ac:dyDescent="0.35">
      <c r="A361" s="109">
        <v>20240098</v>
      </c>
      <c r="B361" s="608"/>
      <c r="C361" s="109">
        <v>14178454</v>
      </c>
      <c r="D361" s="109" t="s">
        <v>309</v>
      </c>
      <c r="E361" s="109" t="s">
        <v>311</v>
      </c>
      <c r="F361" s="109" t="s">
        <v>732</v>
      </c>
      <c r="G361" s="109" t="s">
        <v>676</v>
      </c>
      <c r="H361" s="140">
        <v>1145824</v>
      </c>
      <c r="I361" s="140">
        <v>1137349</v>
      </c>
      <c r="J361" s="26">
        <f>IF(H361&lt;&gt;"",IF(AND(C361&lt;&gt;"",IFERROR(MATCH(C361,Table10[Serial No.],0),0)),0,1),0)</f>
        <v>0</v>
      </c>
      <c r="K361" s="21"/>
      <c r="L361" s="539" t="str">
        <f t="shared" ca="1" si="63"/>
        <v/>
      </c>
      <c r="P361"/>
      <c r="Q361"/>
      <c r="S361" s="617" t="s">
        <v>634</v>
      </c>
      <c r="T361" s="278" t="s">
        <v>309</v>
      </c>
      <c r="U361" s="278" t="s">
        <v>633</v>
      </c>
      <c r="V361" s="25">
        <v>1</v>
      </c>
      <c r="W361" s="624">
        <v>1146346</v>
      </c>
      <c r="X361" s="618" t="str">
        <f>IFERROR(INDEX(Table14[],MATCH($W361,Table14[SAPNo],0),3),"")</f>
        <v>1313 CT418 18-60</v>
      </c>
      <c r="Y361" s="284">
        <v>19</v>
      </c>
      <c r="Z361" s="25">
        <f t="shared" si="61"/>
        <v>2</v>
      </c>
      <c r="AA361" s="25">
        <f t="shared" si="64"/>
        <v>38</v>
      </c>
      <c r="AB361" s="23">
        <f ca="1">IFERROR(INDEX('Cutters Inventory 12-30-2025'!A:W,MATCH($W361,'Cutters Inventory 12-30-2025'!B:B,0),14),0)</f>
        <v>558</v>
      </c>
      <c r="AC361" s="23">
        <f>SUMIF(Table1[LEVEL 5 MAT NO.],S361,Table1[Braze Plan])</f>
        <v>0</v>
      </c>
      <c r="AD361" s="23">
        <f>Table4[[#This Row],[Quantity]]*Table4[[#This Row],[Bits Braze Plan]]</f>
        <v>0</v>
      </c>
      <c r="AE361" s="23">
        <f ca="1">Table4[[#This Row],[INV. QTY]]-Table4[[#This Row],[Required For Braze Cutters Check]]</f>
        <v>558</v>
      </c>
      <c r="AF361" s="23">
        <f t="shared" ca="1" si="62"/>
        <v>558</v>
      </c>
      <c r="AG361" s="628" t="s">
        <v>733</v>
      </c>
      <c r="AJ361" s="19">
        <f t="shared" si="60"/>
        <v>0</v>
      </c>
    </row>
    <row r="362" spans="1:36" ht="24.75" customHeight="1" x14ac:dyDescent="0.25">
      <c r="A362" s="109">
        <v>20240098</v>
      </c>
      <c r="B362" s="710"/>
      <c r="C362" s="109">
        <v>14178456</v>
      </c>
      <c r="D362" s="109" t="s">
        <v>309</v>
      </c>
      <c r="E362" s="109" t="s">
        <v>311</v>
      </c>
      <c r="F362" s="109" t="s">
        <v>732</v>
      </c>
      <c r="G362" s="109" t="s">
        <v>676</v>
      </c>
      <c r="H362" s="140">
        <v>1145824</v>
      </c>
      <c r="I362" s="140">
        <v>1137349</v>
      </c>
      <c r="J362" s="26">
        <f>IF(H362&lt;&gt;"",IF(AND(C362&lt;&gt;"",IFERROR(MATCH(C362,Table10[Serial No.],0),0)),0,1),0)</f>
        <v>0</v>
      </c>
      <c r="K362" s="21"/>
      <c r="L362" s="539" t="str">
        <f t="shared" ca="1" si="63"/>
        <v/>
      </c>
      <c r="S362" s="617" t="s">
        <v>634</v>
      </c>
      <c r="T362" s="278" t="s">
        <v>309</v>
      </c>
      <c r="U362" s="278" t="s">
        <v>633</v>
      </c>
      <c r="V362" s="25">
        <v>2</v>
      </c>
      <c r="W362" s="284">
        <v>1145491</v>
      </c>
      <c r="X362" s="19" t="str">
        <f>IFERROR(INDEX(Table14[],MATCH($W362,Table14[SAPNo],0),3),"")</f>
        <v>1308 CT427 10C</v>
      </c>
      <c r="Y362" s="284">
        <v>5</v>
      </c>
      <c r="Z362" s="25">
        <f t="shared" si="61"/>
        <v>2</v>
      </c>
      <c r="AA362" s="25">
        <f t="shared" si="64"/>
        <v>10</v>
      </c>
      <c r="AB362" s="23">
        <f ca="1">IFERROR(INDEX('Cutters Inventory 12-30-2025'!A:W,MATCH($W362,'Cutters Inventory 12-30-2025'!B:B,0),14),0)</f>
        <v>5</v>
      </c>
      <c r="AC362" s="23">
        <f>SUMIF(Table1[LEVEL 5 MAT NO.],S362,Table1[Braze Plan])</f>
        <v>0</v>
      </c>
      <c r="AD362" s="23">
        <f>Table4[[#This Row],[Quantity]]*Table4[[#This Row],[Bits Braze Plan]]</f>
        <v>0</v>
      </c>
      <c r="AE362" s="23">
        <f ca="1">Table4[[#This Row],[INV. QTY]]-Table4[[#This Row],[Required For Braze Cutters Check]]</f>
        <v>5</v>
      </c>
      <c r="AF362" s="23">
        <f t="shared" ca="1" si="62"/>
        <v>5</v>
      </c>
      <c r="AG362" s="23"/>
      <c r="AJ362" s="19">
        <f t="shared" si="60"/>
        <v>0</v>
      </c>
    </row>
    <row r="363" spans="1:36" ht="24.75" customHeight="1" x14ac:dyDescent="0.25">
      <c r="A363" s="109">
        <v>20240098</v>
      </c>
      <c r="B363" s="710"/>
      <c r="C363" s="109">
        <v>14178455</v>
      </c>
      <c r="D363" s="109" t="s">
        <v>309</v>
      </c>
      <c r="E363" s="109" t="s">
        <v>311</v>
      </c>
      <c r="F363" s="109" t="s">
        <v>732</v>
      </c>
      <c r="G363" s="109" t="s">
        <v>676</v>
      </c>
      <c r="H363" s="140">
        <v>1145824</v>
      </c>
      <c r="I363" s="140">
        <v>1137349</v>
      </c>
      <c r="J363" s="26">
        <f>IF(H363&lt;&gt;"",IF(AND(C363&lt;&gt;"",IFERROR(MATCH(C363,Table10[Serial No.],0),0)),0,1),0)</f>
        <v>0</v>
      </c>
      <c r="K363" s="21"/>
      <c r="L363" s="539" t="str">
        <f t="shared" ca="1" si="63"/>
        <v/>
      </c>
      <c r="S363" s="281" t="s">
        <v>634</v>
      </c>
      <c r="T363" s="278" t="s">
        <v>309</v>
      </c>
      <c r="U363" s="278" t="s">
        <v>633</v>
      </c>
      <c r="V363" s="25">
        <v>3</v>
      </c>
      <c r="W363" s="284">
        <v>871781</v>
      </c>
      <c r="X363" s="19" t="str">
        <f>IFERROR(INDEX(Table14[],MATCH($W363,Table14[SAPNo],0),3),"")</f>
        <v>Round 1313 CT200  0.018" (B)</v>
      </c>
      <c r="Y363" s="284">
        <v>5</v>
      </c>
      <c r="Z363" s="25">
        <f t="shared" si="61"/>
        <v>2</v>
      </c>
      <c r="AA363" s="25">
        <f t="shared" si="64"/>
        <v>10</v>
      </c>
      <c r="AB363" s="23">
        <f ca="1">IFERROR(INDEX('Cutters Inventory 12-30-2025'!A:W,MATCH($W363,'Cutters Inventory 12-30-2025'!B:B,0),14),0)</f>
        <v>843</v>
      </c>
      <c r="AC363" s="23">
        <f>SUMIF(Table1[LEVEL 5 MAT NO.],S363,Table1[Braze Plan])</f>
        <v>0</v>
      </c>
      <c r="AD363" s="23">
        <f>Table4[[#This Row],[Quantity]]*Table4[[#This Row],[Bits Braze Plan]]</f>
        <v>0</v>
      </c>
      <c r="AE363" s="23">
        <f ca="1">Table4[[#This Row],[INV. QTY]]-Table4[[#This Row],[Required For Braze Cutters Check]]</f>
        <v>843</v>
      </c>
      <c r="AF363" s="23">
        <f t="shared" ca="1" si="62"/>
        <v>843</v>
      </c>
      <c r="AG363" s="23"/>
      <c r="AJ363" s="19">
        <f t="shared" si="60"/>
        <v>0</v>
      </c>
    </row>
    <row r="364" spans="1:36" ht="24.75" customHeight="1" x14ac:dyDescent="0.25">
      <c r="A364" s="109">
        <v>20240098</v>
      </c>
      <c r="B364" s="710"/>
      <c r="C364" s="109">
        <v>14178457</v>
      </c>
      <c r="D364" s="109" t="s">
        <v>309</v>
      </c>
      <c r="E364" s="109" t="s">
        <v>311</v>
      </c>
      <c r="F364" s="109" t="s">
        <v>732</v>
      </c>
      <c r="G364" s="109" t="s">
        <v>676</v>
      </c>
      <c r="H364" s="140">
        <v>1145824</v>
      </c>
      <c r="I364" s="140">
        <v>1137349</v>
      </c>
      <c r="J364" s="26">
        <f>IF(H364&lt;&gt;"",IF(AND(C364&lt;&gt;"",IFERROR(MATCH(C364,Table10[Serial No.],0),0)),0,1),0)</f>
        <v>0</v>
      </c>
      <c r="K364" s="21"/>
      <c r="L364" s="539" t="str">
        <f t="shared" ca="1" si="63"/>
        <v/>
      </c>
      <c r="S364" s="281" t="s">
        <v>734</v>
      </c>
      <c r="T364" s="278" t="s">
        <v>631</v>
      </c>
      <c r="U364" s="278" t="s">
        <v>667</v>
      </c>
      <c r="V364" s="25">
        <v>1</v>
      </c>
      <c r="W364" s="284">
        <v>1181761</v>
      </c>
      <c r="X364" s="19" t="str">
        <f>IFERROR(INDEX(Table14[],MATCH($W364,Table14[SAPNo],0),3),"")</f>
        <v>Round 1608 CT 155  0.018 (T)</v>
      </c>
      <c r="Y364" s="284">
        <v>21</v>
      </c>
      <c r="Z364" s="25">
        <f t="shared" si="61"/>
        <v>0</v>
      </c>
      <c r="AA364" s="25">
        <f t="shared" si="64"/>
        <v>0</v>
      </c>
      <c r="AB364" s="23">
        <f ca="1">IFERROR(INDEX('Cutters Inventory 12-30-2025'!A:W,MATCH($W364,'Cutters Inventory 12-30-2025'!B:B,0),14),0)</f>
        <v>0</v>
      </c>
      <c r="AC364" s="23">
        <f>SUMIF(Table1[LEVEL 5 MAT NO.],S364,Table1[Braze Plan])</f>
        <v>0</v>
      </c>
      <c r="AD364" s="23">
        <f>Table4[[#This Row],[Quantity]]*Table4[[#This Row],[Bits Braze Plan]]</f>
        <v>0</v>
      </c>
      <c r="AE364" s="23">
        <f ca="1">Table4[[#This Row],[INV. QTY]]-Table4[[#This Row],[Required For Braze Cutters Check]]</f>
        <v>0</v>
      </c>
      <c r="AF364" s="23">
        <f t="shared" ca="1" si="62"/>
        <v>0</v>
      </c>
      <c r="AG364" s="23"/>
      <c r="AJ364" s="19">
        <f t="shared" si="60"/>
        <v>0</v>
      </c>
    </row>
    <row r="365" spans="1:36" ht="24.75" customHeight="1" x14ac:dyDescent="0.25">
      <c r="A365" s="109">
        <v>20240098</v>
      </c>
      <c r="B365" s="710"/>
      <c r="C365" s="109">
        <v>14178459</v>
      </c>
      <c r="D365" s="109" t="s">
        <v>309</v>
      </c>
      <c r="E365" s="109" t="s">
        <v>256</v>
      </c>
      <c r="F365" s="109" t="s">
        <v>103</v>
      </c>
      <c r="G365" s="109" t="s">
        <v>681</v>
      </c>
      <c r="H365" s="140">
        <v>1198387</v>
      </c>
      <c r="I365" s="140">
        <v>1160951</v>
      </c>
      <c r="J365" s="26">
        <f>IF(H365&lt;&gt;"",IF(AND(C365&lt;&gt;"",IFERROR(MATCH(C365,Table10[Serial No.],0),0)),0,1),0)</f>
        <v>0</v>
      </c>
      <c r="K365" s="21"/>
      <c r="L365" s="539" t="str">
        <f t="shared" ca="1" si="63"/>
        <v/>
      </c>
      <c r="S365" s="281" t="s">
        <v>734</v>
      </c>
      <c r="T365" s="278" t="s">
        <v>631</v>
      </c>
      <c r="U365" s="278" t="s">
        <v>667</v>
      </c>
      <c r="V365" s="25">
        <v>2</v>
      </c>
      <c r="W365" s="284">
        <v>1039057</v>
      </c>
      <c r="X365" s="19" t="str">
        <f>IFERROR(INDEX(Table14[],MATCH($W365,Table14[SAPNo],0),3),"")</f>
        <v>Round 1608 CT 138  10C (S)</v>
      </c>
      <c r="Y365" s="284">
        <v>12</v>
      </c>
      <c r="Z365" s="25">
        <f t="shared" si="61"/>
        <v>0</v>
      </c>
      <c r="AA365" s="25">
        <f t="shared" si="64"/>
        <v>0</v>
      </c>
      <c r="AB365" s="23">
        <f ca="1">IFERROR(INDEX('Cutters Inventory 12-30-2025'!A:W,MATCH($W365,'Cutters Inventory 12-30-2025'!B:B,0),14),0)</f>
        <v>6</v>
      </c>
      <c r="AC365" s="23">
        <f>SUMIF(Table1[LEVEL 5 MAT NO.],S365,Table1[Braze Plan])</f>
        <v>0</v>
      </c>
      <c r="AD365" s="23">
        <f>Table4[[#This Row],[Quantity]]*Table4[[#This Row],[Bits Braze Plan]]</f>
        <v>0</v>
      </c>
      <c r="AE365" s="23">
        <f ca="1">Table4[[#This Row],[INV. QTY]]-Table4[[#This Row],[Required For Braze Cutters Check]]</f>
        <v>6</v>
      </c>
      <c r="AF365" s="23">
        <f t="shared" ca="1" si="62"/>
        <v>6</v>
      </c>
      <c r="AG365" s="23"/>
      <c r="AJ365" s="19">
        <f t="shared" si="60"/>
        <v>0</v>
      </c>
    </row>
    <row r="366" spans="1:36" ht="24.75" customHeight="1" x14ac:dyDescent="0.25">
      <c r="A366" s="109">
        <v>20240098</v>
      </c>
      <c r="B366" s="608"/>
      <c r="C366" s="109">
        <v>14178458</v>
      </c>
      <c r="D366" s="109" t="s">
        <v>309</v>
      </c>
      <c r="E366" s="109" t="s">
        <v>256</v>
      </c>
      <c r="F366" s="109" t="s">
        <v>103</v>
      </c>
      <c r="G366" s="109" t="s">
        <v>681</v>
      </c>
      <c r="H366" s="140">
        <v>1198387</v>
      </c>
      <c r="I366" s="140">
        <v>1160951</v>
      </c>
      <c r="J366" s="26">
        <f>IF(H366&lt;&gt;"",IF(AND(C366&lt;&gt;"",IFERROR(MATCH(C366,Table10[Serial No.],0),0)),0,1),0)</f>
        <v>0</v>
      </c>
      <c r="K366" s="21"/>
      <c r="L366" s="539" t="str">
        <f t="shared" ca="1" si="63"/>
        <v/>
      </c>
      <c r="S366" s="281" t="s">
        <v>734</v>
      </c>
      <c r="T366" s="278" t="s">
        <v>631</v>
      </c>
      <c r="U366" s="278" t="s">
        <v>667</v>
      </c>
      <c r="V366" s="25">
        <v>3</v>
      </c>
      <c r="W366" s="284">
        <v>1039036</v>
      </c>
      <c r="X366" s="19" t="str">
        <f>IFERROR(INDEX(Table14[],MATCH($W366,Table14[SAPNo],0),3),"")</f>
        <v>Round 1313 CT138  0.018" (S)</v>
      </c>
      <c r="Y366" s="284">
        <v>7</v>
      </c>
      <c r="Z366" s="25">
        <f t="shared" si="61"/>
        <v>0</v>
      </c>
      <c r="AA366" s="25">
        <f t="shared" si="64"/>
        <v>0</v>
      </c>
      <c r="AB366" s="23">
        <f ca="1">IFERROR(INDEX('Cutters Inventory 12-30-2025'!A:W,MATCH($W366,'Cutters Inventory 12-30-2025'!B:B,0),14),0)</f>
        <v>2</v>
      </c>
      <c r="AC366" s="23">
        <f>SUMIF(Table1[LEVEL 5 MAT NO.],S366,Table1[Braze Plan])</f>
        <v>0</v>
      </c>
      <c r="AD366" s="23">
        <f>Table4[[#This Row],[Quantity]]*Table4[[#This Row],[Bits Braze Plan]]</f>
        <v>0</v>
      </c>
      <c r="AE366" s="23">
        <f ca="1">Table4[[#This Row],[INV. QTY]]-Table4[[#This Row],[Required For Braze Cutters Check]]</f>
        <v>2</v>
      </c>
      <c r="AF366" s="23">
        <f t="shared" ca="1" si="62"/>
        <v>2</v>
      </c>
      <c r="AG366" s="23"/>
      <c r="AJ366" s="19">
        <f t="shared" si="60"/>
        <v>0</v>
      </c>
    </row>
    <row r="367" spans="1:36" ht="24.75" customHeight="1" x14ac:dyDescent="0.25">
      <c r="A367" s="109">
        <v>20240098</v>
      </c>
      <c r="B367" s="710"/>
      <c r="C367" s="109">
        <v>14178486</v>
      </c>
      <c r="D367" s="109" t="s">
        <v>309</v>
      </c>
      <c r="E367" s="109" t="s">
        <v>735</v>
      </c>
      <c r="F367" s="109" t="s">
        <v>103</v>
      </c>
      <c r="G367" s="109" t="s">
        <v>681</v>
      </c>
      <c r="H367" s="140">
        <v>1261236</v>
      </c>
      <c r="I367" s="140">
        <v>1258557</v>
      </c>
      <c r="J367" s="26">
        <f>IF(H367&lt;&gt;"",IF(AND(C367&lt;&gt;"",IFERROR(MATCH(C367,Table10[Serial No.],0),0)),0,1),0)</f>
        <v>0</v>
      </c>
      <c r="K367" s="21"/>
      <c r="L367" s="539" t="str">
        <f t="shared" ca="1" si="63"/>
        <v/>
      </c>
      <c r="S367" s="282" t="s">
        <v>734</v>
      </c>
      <c r="T367" s="279" t="s">
        <v>631</v>
      </c>
      <c r="U367" s="279" t="s">
        <v>667</v>
      </c>
      <c r="V367" s="25">
        <v>4</v>
      </c>
      <c r="W367" s="284">
        <v>2004484</v>
      </c>
      <c r="X367" s="19" t="str">
        <f>IFERROR(INDEX(Table14[],MATCH($W367,Table14[SAPNo],0),3),"")</f>
        <v>1308 CT187 U-60</v>
      </c>
      <c r="Y367" s="284">
        <v>5</v>
      </c>
      <c r="Z367" s="25">
        <f t="shared" si="61"/>
        <v>0</v>
      </c>
      <c r="AA367" s="25">
        <f t="shared" si="64"/>
        <v>0</v>
      </c>
      <c r="AB367" s="23">
        <f ca="1">IFERROR(INDEX('Cutters Inventory 12-30-2025'!A:W,MATCH($W367,'Cutters Inventory 12-30-2025'!B:B,0),14),0)</f>
        <v>428</v>
      </c>
      <c r="AC367" s="23">
        <f>SUMIF(Table1[LEVEL 5 MAT NO.],S367,Table1[Braze Plan])</f>
        <v>0</v>
      </c>
      <c r="AD367" s="23">
        <f>Table4[[#This Row],[Quantity]]*Table4[[#This Row],[Bits Braze Plan]]</f>
        <v>0</v>
      </c>
      <c r="AE367" s="23">
        <f ca="1">Table4[[#This Row],[INV. QTY]]-Table4[[#This Row],[Required For Braze Cutters Check]]</f>
        <v>428</v>
      </c>
      <c r="AF367" s="23">
        <f t="shared" ca="1" si="62"/>
        <v>428</v>
      </c>
      <c r="AG367" s="23"/>
      <c r="AJ367" s="19">
        <f t="shared" si="60"/>
        <v>0</v>
      </c>
    </row>
    <row r="368" spans="1:36" ht="24.75" customHeight="1" x14ac:dyDescent="0.25">
      <c r="A368" s="109">
        <v>20240098</v>
      </c>
      <c r="B368" s="710"/>
      <c r="C368" s="109">
        <v>14178487</v>
      </c>
      <c r="D368" s="109" t="s">
        <v>313</v>
      </c>
      <c r="E368" s="109" t="s">
        <v>273</v>
      </c>
      <c r="F368" s="109" t="s">
        <v>736</v>
      </c>
      <c r="G368" s="109" t="s">
        <v>676</v>
      </c>
      <c r="H368" s="140">
        <v>1246020</v>
      </c>
      <c r="I368" s="140" t="s">
        <v>737</v>
      </c>
      <c r="J368" s="26">
        <f>IF(H368&lt;&gt;"",IF(AND(C368&lt;&gt;"",IFERROR(MATCH(C368,Table10[Serial No.],0),0)),0,1),0)</f>
        <v>0</v>
      </c>
      <c r="K368" s="21"/>
      <c r="L368" s="539" t="str">
        <f t="shared" si="63"/>
        <v/>
      </c>
      <c r="S368" s="282" t="s">
        <v>734</v>
      </c>
      <c r="T368" s="279" t="s">
        <v>631</v>
      </c>
      <c r="U368" s="279" t="s">
        <v>667</v>
      </c>
      <c r="V368" s="25">
        <v>5</v>
      </c>
      <c r="W368" s="284">
        <v>2002299</v>
      </c>
      <c r="X368" s="19" t="str">
        <f>IFERROR(INDEX(Table14[],MATCH($W368,Table14[SAPNo],0),3),"")</f>
        <v>1613 CT187 U-60</v>
      </c>
      <c r="Y368" s="284">
        <v>2</v>
      </c>
      <c r="Z368" s="25">
        <f t="shared" si="61"/>
        <v>0</v>
      </c>
      <c r="AA368" s="25">
        <f t="shared" si="64"/>
        <v>0</v>
      </c>
      <c r="AB368" s="23">
        <f ca="1">IFERROR(INDEX('Cutters Inventory 12-30-2025'!A:W,MATCH($W368,'Cutters Inventory 12-30-2025'!B:B,0),14),0)</f>
        <v>557</v>
      </c>
      <c r="AC368" s="23">
        <f>SUMIF(Table1[LEVEL 5 MAT NO.],S368,Table1[Braze Plan])</f>
        <v>0</v>
      </c>
      <c r="AD368" s="23">
        <f>Table4[[#This Row],[Quantity]]*Table4[[#This Row],[Bits Braze Plan]]</f>
        <v>0</v>
      </c>
      <c r="AE368" s="23">
        <f ca="1">Table4[[#This Row],[INV. QTY]]-Table4[[#This Row],[Required For Braze Cutters Check]]</f>
        <v>557</v>
      </c>
      <c r="AF368" s="23">
        <f t="shared" ca="1" si="62"/>
        <v>557</v>
      </c>
      <c r="AG368" s="23"/>
      <c r="AJ368" s="19">
        <f t="shared" si="60"/>
        <v>0</v>
      </c>
    </row>
    <row r="369" spans="1:36" ht="24.75" customHeight="1" x14ac:dyDescent="0.25">
      <c r="A369" s="109">
        <v>20240098</v>
      </c>
      <c r="B369" s="710"/>
      <c r="C369" s="109">
        <v>14178489</v>
      </c>
      <c r="D369" s="109" t="s">
        <v>313</v>
      </c>
      <c r="E369" s="109" t="s">
        <v>273</v>
      </c>
      <c r="F369" s="109" t="s">
        <v>736</v>
      </c>
      <c r="G369" s="109" t="s">
        <v>676</v>
      </c>
      <c r="H369" s="140">
        <v>1246020</v>
      </c>
      <c r="I369" s="140" t="s">
        <v>737</v>
      </c>
      <c r="J369" s="26">
        <f>IF(H369&lt;&gt;"",IF(AND(C369&lt;&gt;"",IFERROR(MATCH(C369,Table10[Serial No.],0),0)),0,1),0)</f>
        <v>0</v>
      </c>
      <c r="K369" s="21"/>
      <c r="L369" s="539" t="str">
        <f t="shared" si="63"/>
        <v/>
      </c>
      <c r="S369" s="282" t="s">
        <v>734</v>
      </c>
      <c r="T369" s="279" t="s">
        <v>631</v>
      </c>
      <c r="U369" s="279" t="s">
        <v>667</v>
      </c>
      <c r="V369" s="25">
        <v>6</v>
      </c>
      <c r="W369" s="284">
        <v>418525</v>
      </c>
      <c r="X369" s="19" t="str">
        <f>IFERROR(INDEX(Table14[],MATCH($W369,Table14[SAPNo],0),3),"")</f>
        <v>Drop In 1308 CT31   (B)</v>
      </c>
      <c r="Y369" s="284">
        <v>4</v>
      </c>
      <c r="Z369" s="25">
        <f t="shared" si="61"/>
        <v>0</v>
      </c>
      <c r="AA369" s="25">
        <f t="shared" si="64"/>
        <v>0</v>
      </c>
      <c r="AB369" s="23">
        <f ca="1">IFERROR(INDEX('Cutters Inventory 12-30-2025'!A:W,MATCH($W369,'Cutters Inventory 12-30-2025'!B:B,0),14),0)</f>
        <v>933</v>
      </c>
      <c r="AC369" s="23">
        <f>SUMIF(Table1[LEVEL 5 MAT NO.],S369,Table1[Braze Plan])</f>
        <v>0</v>
      </c>
      <c r="AD369" s="23">
        <f>Table4[[#This Row],[Quantity]]*Table4[[#This Row],[Bits Braze Plan]]</f>
        <v>0</v>
      </c>
      <c r="AE369" s="23">
        <f ca="1">Table4[[#This Row],[INV. QTY]]-Table4[[#This Row],[Required For Braze Cutters Check]]</f>
        <v>933</v>
      </c>
      <c r="AF369" s="23">
        <f t="shared" ca="1" si="62"/>
        <v>933</v>
      </c>
      <c r="AG369" s="23"/>
      <c r="AJ369" s="19">
        <f t="shared" si="60"/>
        <v>0</v>
      </c>
    </row>
    <row r="370" spans="1:36" ht="24.75" customHeight="1" x14ac:dyDescent="0.25">
      <c r="A370" s="109">
        <v>20240098</v>
      </c>
      <c r="B370" s="710"/>
      <c r="C370" s="109">
        <v>14178488</v>
      </c>
      <c r="D370" s="109" t="s">
        <v>313</v>
      </c>
      <c r="E370" s="109" t="s">
        <v>273</v>
      </c>
      <c r="F370" s="109" t="s">
        <v>736</v>
      </c>
      <c r="G370" s="109" t="s">
        <v>676</v>
      </c>
      <c r="H370" s="140">
        <v>1246020</v>
      </c>
      <c r="I370" s="140" t="s">
        <v>737</v>
      </c>
      <c r="J370" s="26">
        <f>IF(H370&lt;&gt;"",IF(AND(C370&lt;&gt;"",IFERROR(MATCH(C370,Table10[Serial No.],0),0)),0,1),0)</f>
        <v>0</v>
      </c>
      <c r="K370" s="21"/>
      <c r="L370" s="539" t="str">
        <f t="shared" si="63"/>
        <v/>
      </c>
      <c r="S370" s="282" t="s">
        <v>734</v>
      </c>
      <c r="T370" s="279" t="s">
        <v>631</v>
      </c>
      <c r="U370" s="279" t="s">
        <v>667</v>
      </c>
      <c r="V370" s="25">
        <v>7</v>
      </c>
      <c r="W370" s="284">
        <v>871781</v>
      </c>
      <c r="X370" s="19" t="str">
        <f>IFERROR(INDEX(Table14[],MATCH($W370,Table14[SAPNo],0),3),"")</f>
        <v>Round 1313 CT200  0.018" (B)</v>
      </c>
      <c r="Y370" s="284">
        <v>3</v>
      </c>
      <c r="Z370" s="25">
        <f t="shared" si="61"/>
        <v>0</v>
      </c>
      <c r="AA370" s="25">
        <f t="shared" si="64"/>
        <v>0</v>
      </c>
      <c r="AB370" s="23">
        <f ca="1">IFERROR(INDEX('Cutters Inventory 12-30-2025'!A:W,MATCH($W370,'Cutters Inventory 12-30-2025'!B:B,0),14),0)</f>
        <v>843</v>
      </c>
      <c r="AC370" s="23">
        <f>SUMIF(Table1[LEVEL 5 MAT NO.],S370,Table1[Braze Plan])</f>
        <v>0</v>
      </c>
      <c r="AD370" s="23">
        <f>Table4[[#This Row],[Quantity]]*Table4[[#This Row],[Bits Braze Plan]]</f>
        <v>0</v>
      </c>
      <c r="AE370" s="23">
        <f ca="1">Table4[[#This Row],[INV. QTY]]-Table4[[#This Row],[Required For Braze Cutters Check]]</f>
        <v>843</v>
      </c>
      <c r="AF370" s="23">
        <f t="shared" ca="1" si="62"/>
        <v>843</v>
      </c>
      <c r="AG370" s="23"/>
      <c r="AJ370" s="19">
        <f t="shared" si="60"/>
        <v>0</v>
      </c>
    </row>
    <row r="371" spans="1:36" ht="24.75" customHeight="1" x14ac:dyDescent="0.25">
      <c r="A371" s="109">
        <v>20240098</v>
      </c>
      <c r="B371" s="710"/>
      <c r="C371" s="109">
        <v>14178490</v>
      </c>
      <c r="D371" s="109" t="s">
        <v>313</v>
      </c>
      <c r="E371" s="109" t="s">
        <v>273</v>
      </c>
      <c r="F371" s="109" t="s">
        <v>736</v>
      </c>
      <c r="G371" s="109" t="s">
        <v>676</v>
      </c>
      <c r="H371" s="140">
        <v>1246020</v>
      </c>
      <c r="I371" s="140" t="s">
        <v>737</v>
      </c>
      <c r="J371" s="26">
        <f>IF(H371&lt;&gt;"",IF(AND(C371&lt;&gt;"",IFERROR(MATCH(C371,Table10[Serial No.],0),0)),0,1),0)</f>
        <v>0</v>
      </c>
      <c r="K371" s="21"/>
      <c r="L371" s="539" t="str">
        <f t="shared" si="63"/>
        <v/>
      </c>
      <c r="S371" s="282" t="s">
        <v>734</v>
      </c>
      <c r="T371" s="279" t="s">
        <v>631</v>
      </c>
      <c r="U371" s="279" t="s">
        <v>667</v>
      </c>
      <c r="V371" s="25">
        <v>8</v>
      </c>
      <c r="W371" s="284">
        <v>1126402</v>
      </c>
      <c r="X371" s="19" t="str">
        <f>IFERROR(INDEX(Table14[],MATCH($W371,Table14[SAPNo],0),3),"")</f>
        <v>1613 CT421 16-60</v>
      </c>
      <c r="Y371" s="284">
        <v>1</v>
      </c>
      <c r="Z371" s="25">
        <f t="shared" si="61"/>
        <v>0</v>
      </c>
      <c r="AA371" s="25">
        <f t="shared" si="64"/>
        <v>0</v>
      </c>
      <c r="AB371" s="23">
        <f ca="1">IFERROR(INDEX('Cutters Inventory 12-30-2025'!A:W,MATCH($W371,'Cutters Inventory 12-30-2025'!B:B,0),14),0)</f>
        <v>422</v>
      </c>
      <c r="AC371" s="23">
        <f>SUMIF(Table1[LEVEL 5 MAT NO.],S371,Table1[Braze Plan])</f>
        <v>0</v>
      </c>
      <c r="AD371" s="23">
        <f>Table4[[#This Row],[Quantity]]*Table4[[#This Row],[Bits Braze Plan]]</f>
        <v>0</v>
      </c>
      <c r="AE371" s="23">
        <f ca="1">Table4[[#This Row],[INV. QTY]]-Table4[[#This Row],[Required For Braze Cutters Check]]</f>
        <v>422</v>
      </c>
      <c r="AF371" s="23">
        <f t="shared" ca="1" si="62"/>
        <v>422</v>
      </c>
      <c r="AG371" s="23"/>
      <c r="AJ371" s="19">
        <f t="shared" si="60"/>
        <v>0</v>
      </c>
    </row>
    <row r="372" spans="1:36" ht="24.75" customHeight="1" x14ac:dyDescent="0.25">
      <c r="A372" s="109">
        <v>20240098</v>
      </c>
      <c r="B372" s="710"/>
      <c r="C372" s="109">
        <v>14178461</v>
      </c>
      <c r="D372" s="109" t="s">
        <v>313</v>
      </c>
      <c r="E372" s="109" t="s">
        <v>647</v>
      </c>
      <c r="F372" s="109" t="s">
        <v>715</v>
      </c>
      <c r="G372" s="109" t="s">
        <v>676</v>
      </c>
      <c r="H372" s="140">
        <v>1245357</v>
      </c>
      <c r="I372" s="140" t="s">
        <v>716</v>
      </c>
      <c r="J372" s="26">
        <f>IF(H372&lt;&gt;"",IF(AND(C372&lt;&gt;"",IFERROR(MATCH(C372,Table10[Serial No.],0),0)),0,1),0)</f>
        <v>0</v>
      </c>
      <c r="K372" s="21"/>
      <c r="L372" s="539" t="str">
        <f t="shared" si="63"/>
        <v/>
      </c>
      <c r="S372" s="281" t="s">
        <v>734</v>
      </c>
      <c r="T372" s="278" t="s">
        <v>631</v>
      </c>
      <c r="U372" s="278" t="s">
        <v>667</v>
      </c>
      <c r="V372" s="25">
        <v>9</v>
      </c>
      <c r="W372" s="284">
        <v>1162511</v>
      </c>
      <c r="X372" s="19" t="str">
        <f>IFERROR(INDEX(Table14[],MATCH($W372,Table14[SAPNo],0),3),"")</f>
        <v>Round 1613 CR45  0.018" (T)</v>
      </c>
      <c r="Y372" s="284">
        <v>3</v>
      </c>
      <c r="Z372" s="25">
        <f t="shared" si="61"/>
        <v>0</v>
      </c>
      <c r="AA372" s="25">
        <f t="shared" si="64"/>
        <v>0</v>
      </c>
      <c r="AB372" s="23">
        <f>IFERROR(INDEX('Cutters Inventory 12-30-2025'!A:W,MATCH($W372,'Cutters Inventory 12-30-2025'!B:B,0),14),0)</f>
        <v>0</v>
      </c>
      <c r="AC372" s="23">
        <f>SUMIF(Table1[LEVEL 5 MAT NO.],S372,Table1[Braze Plan])</f>
        <v>0</v>
      </c>
      <c r="AD372" s="23">
        <f>Table4[[#This Row],[Quantity]]*Table4[[#This Row],[Bits Braze Plan]]</f>
        <v>0</v>
      </c>
      <c r="AE372" s="23">
        <f>Table4[[#This Row],[INV. QTY]]-Table4[[#This Row],[Required For Braze Cutters Check]]</f>
        <v>0</v>
      </c>
      <c r="AF372" s="23">
        <f t="shared" si="62"/>
        <v>0</v>
      </c>
      <c r="AG372" s="23"/>
      <c r="AJ372" s="19">
        <f t="shared" si="60"/>
        <v>0</v>
      </c>
    </row>
    <row r="373" spans="1:36" ht="24.75" customHeight="1" x14ac:dyDescent="0.25">
      <c r="A373" s="109">
        <v>20240098</v>
      </c>
      <c r="B373" s="710"/>
      <c r="C373" s="109">
        <v>14178460</v>
      </c>
      <c r="D373" s="109" t="s">
        <v>313</v>
      </c>
      <c r="E373" s="109" t="s">
        <v>647</v>
      </c>
      <c r="F373" s="109" t="s">
        <v>715</v>
      </c>
      <c r="G373" s="109" t="s">
        <v>676</v>
      </c>
      <c r="H373" s="140">
        <v>1245357</v>
      </c>
      <c r="I373" s="140" t="s">
        <v>716</v>
      </c>
      <c r="J373" s="26">
        <f>IF(H373&lt;&gt;"",IF(AND(C373&lt;&gt;"",IFERROR(MATCH(C373,Table10[Serial No.],0),0)),0,1),0)</f>
        <v>0</v>
      </c>
      <c r="K373" s="21"/>
      <c r="L373" s="539" t="str">
        <f t="shared" si="63"/>
        <v/>
      </c>
      <c r="S373" s="281" t="s">
        <v>738</v>
      </c>
      <c r="T373" s="278" t="s">
        <v>627</v>
      </c>
      <c r="U373" s="278" t="s">
        <v>628</v>
      </c>
      <c r="V373" s="25">
        <v>1</v>
      </c>
      <c r="W373" s="284">
        <v>1177229</v>
      </c>
      <c r="X373" s="19" t="str">
        <f>IFERROR(INDEX(Table14[],MATCH($W373,Table14[SAPNo],0),3),"")</f>
        <v>1010 CT182 U</v>
      </c>
      <c r="Y373" s="284">
        <v>19</v>
      </c>
      <c r="Z373" s="25">
        <f t="shared" si="61"/>
        <v>0</v>
      </c>
      <c r="AA373" s="25">
        <f t="shared" si="64"/>
        <v>0</v>
      </c>
      <c r="AB373" s="23">
        <f ca="1">IFERROR(INDEX('Cutters Inventory 12-30-2025'!A:W,MATCH($W373,'Cutters Inventory 12-30-2025'!B:B,0),14),0)</f>
        <v>0</v>
      </c>
      <c r="AC373" s="23">
        <f>SUMIF(Table1[LEVEL 5 MAT NO.],S373,Table1[Braze Plan])</f>
        <v>0</v>
      </c>
      <c r="AD373" s="23">
        <f>Table4[[#This Row],[Quantity]]*Table4[[#This Row],[Bits Braze Plan]]</f>
        <v>0</v>
      </c>
      <c r="AE373" s="23">
        <f ca="1">Table4[[#This Row],[INV. QTY]]-Table4[[#This Row],[Required For Braze Cutters Check]]</f>
        <v>0</v>
      </c>
      <c r="AF373" s="23">
        <f t="shared" ca="1" si="62"/>
        <v>0</v>
      </c>
      <c r="AG373" s="23"/>
      <c r="AJ373" s="19">
        <f t="shared" si="60"/>
        <v>0</v>
      </c>
    </row>
    <row r="374" spans="1:36" ht="24.75" customHeight="1" x14ac:dyDescent="0.25">
      <c r="A374" s="109">
        <v>20240098</v>
      </c>
      <c r="B374" s="710"/>
      <c r="C374" s="109">
        <v>14178463</v>
      </c>
      <c r="D374" s="109" t="s">
        <v>624</v>
      </c>
      <c r="E374" s="109" t="s">
        <v>663</v>
      </c>
      <c r="F374" s="109" t="s">
        <v>103</v>
      </c>
      <c r="G374" s="109" t="s">
        <v>681</v>
      </c>
      <c r="H374" s="140">
        <v>1269498</v>
      </c>
      <c r="I374" s="140">
        <v>1276939</v>
      </c>
      <c r="J374" s="26">
        <f>IF(H374&lt;&gt;"",IF(AND(C374&lt;&gt;"",IFERROR(MATCH(C374,Table10[Serial No.],0),0)),0,1),0)</f>
        <v>0</v>
      </c>
      <c r="K374" s="21"/>
      <c r="L374" s="539" t="str">
        <f t="shared" ca="1" si="63"/>
        <v/>
      </c>
      <c r="S374" s="281" t="s">
        <v>738</v>
      </c>
      <c r="T374" s="278" t="s">
        <v>627</v>
      </c>
      <c r="U374" s="278" t="s">
        <v>628</v>
      </c>
      <c r="V374" s="25">
        <v>2</v>
      </c>
      <c r="W374" s="284">
        <v>1293118</v>
      </c>
      <c r="X374" s="19" t="str">
        <f>IFERROR(INDEX(Table14[],MATCH($W374,Table14[SAPNo],0),3),"")</f>
        <v>0808 CT158NL 0.018"</v>
      </c>
      <c r="Y374" s="284">
        <v>5</v>
      </c>
      <c r="Z374" s="25">
        <f t="shared" si="61"/>
        <v>0</v>
      </c>
      <c r="AA374" s="25">
        <f t="shared" si="64"/>
        <v>0</v>
      </c>
      <c r="AB374" s="23">
        <f ca="1">IFERROR(INDEX('Cutters Inventory 12-30-2025'!A:W,MATCH($W374,'Cutters Inventory 12-30-2025'!B:B,0),14),0)</f>
        <v>130</v>
      </c>
      <c r="AC374" s="23">
        <f>SUMIF(Table1[LEVEL 5 MAT NO.],S374,Table1[Braze Plan])</f>
        <v>0</v>
      </c>
      <c r="AD374" s="23">
        <f>Table4[[#This Row],[Quantity]]*Table4[[#This Row],[Bits Braze Plan]]</f>
        <v>0</v>
      </c>
      <c r="AE374" s="23">
        <f ca="1">Table4[[#This Row],[INV. QTY]]-Table4[[#This Row],[Required For Braze Cutters Check]]</f>
        <v>130</v>
      </c>
      <c r="AF374" s="23">
        <f t="shared" ca="1" si="62"/>
        <v>130</v>
      </c>
      <c r="AG374" s="23"/>
      <c r="AJ374" s="19">
        <f t="shared" si="60"/>
        <v>0</v>
      </c>
    </row>
    <row r="375" spans="1:36" ht="24.75" customHeight="1" x14ac:dyDescent="0.25">
      <c r="A375" s="109">
        <v>20240098</v>
      </c>
      <c r="B375" s="710"/>
      <c r="C375" s="109">
        <v>14178470</v>
      </c>
      <c r="D375" s="109" t="s">
        <v>624</v>
      </c>
      <c r="E375" s="109" t="s">
        <v>663</v>
      </c>
      <c r="F375" s="109" t="s">
        <v>103</v>
      </c>
      <c r="G375" s="109" t="s">
        <v>681</v>
      </c>
      <c r="H375" s="140">
        <v>1269498</v>
      </c>
      <c r="I375" s="140">
        <v>1276939</v>
      </c>
      <c r="J375" s="26">
        <f>IF(H375&lt;&gt;"",IF(AND(C375&lt;&gt;"",IFERROR(MATCH(C375,Table10[Serial No.],0),0)),0,1),0)</f>
        <v>0</v>
      </c>
      <c r="K375" s="21"/>
      <c r="L375" s="539" t="str">
        <f t="shared" ca="1" si="63"/>
        <v/>
      </c>
      <c r="S375" s="281" t="s">
        <v>739</v>
      </c>
      <c r="T375" s="278" t="s">
        <v>309</v>
      </c>
      <c r="U375" s="278" t="s">
        <v>633</v>
      </c>
      <c r="V375" s="25">
        <v>1</v>
      </c>
      <c r="W375" s="284">
        <v>1146346</v>
      </c>
      <c r="X375" s="618" t="str">
        <f>IFERROR(INDEX(Table14[],MATCH($W375,Table14[SAPNo],0),3),"")</f>
        <v>1313 CT418 18-60</v>
      </c>
      <c r="Y375" s="284">
        <v>16</v>
      </c>
      <c r="Z375" s="25">
        <f t="shared" si="61"/>
        <v>0</v>
      </c>
      <c r="AA375" s="25">
        <f t="shared" si="64"/>
        <v>0</v>
      </c>
      <c r="AB375" s="23">
        <f ca="1">IFERROR(INDEX('Cutters Inventory 12-30-2025'!A:W,MATCH($W375,'Cutters Inventory 12-30-2025'!B:B,0),14),0)</f>
        <v>558</v>
      </c>
      <c r="AC375" s="23">
        <f>SUMIF(Table1[LEVEL 5 MAT NO.],S375,Table1[Braze Plan])</f>
        <v>0</v>
      </c>
      <c r="AD375" s="23">
        <f>Table4[[#This Row],[Quantity]]*Table4[[#This Row],[Bits Braze Plan]]</f>
        <v>0</v>
      </c>
      <c r="AE375" s="23">
        <f ca="1">Table4[[#This Row],[INV. QTY]]-Table4[[#This Row],[Required For Braze Cutters Check]]</f>
        <v>558</v>
      </c>
      <c r="AF375" s="23">
        <f t="shared" ca="1" si="62"/>
        <v>558</v>
      </c>
      <c r="AG375" s="625" t="s">
        <v>740</v>
      </c>
      <c r="AJ375" s="19">
        <f t="shared" si="60"/>
        <v>0</v>
      </c>
    </row>
    <row r="376" spans="1:36" ht="24.75" customHeight="1" x14ac:dyDescent="0.25">
      <c r="A376" s="109">
        <v>20240098</v>
      </c>
      <c r="B376" s="710"/>
      <c r="C376" s="109">
        <v>14178469</v>
      </c>
      <c r="D376" s="109" t="s">
        <v>624</v>
      </c>
      <c r="E376" s="109" t="s">
        <v>663</v>
      </c>
      <c r="F376" s="109" t="s">
        <v>103</v>
      </c>
      <c r="G376" s="109" t="s">
        <v>681</v>
      </c>
      <c r="H376" s="140">
        <v>1269498</v>
      </c>
      <c r="I376" s="140">
        <v>1276939</v>
      </c>
      <c r="J376" s="26">
        <f>IF(H376&lt;&gt;"",IF(AND(C376&lt;&gt;"",IFERROR(MATCH(C376,Table10[Serial No.],0),0)),0,1),0)</f>
        <v>0</v>
      </c>
      <c r="K376" s="21"/>
      <c r="L376" s="539" t="str">
        <f t="shared" ca="1" si="63"/>
        <v/>
      </c>
      <c r="S376" s="281" t="s">
        <v>739</v>
      </c>
      <c r="T376" s="278" t="s">
        <v>309</v>
      </c>
      <c r="U376" s="278" t="s">
        <v>633</v>
      </c>
      <c r="V376" s="25">
        <v>2</v>
      </c>
      <c r="W376" s="284">
        <v>1100694</v>
      </c>
      <c r="X376" s="19" t="str">
        <f>IFERROR(INDEX(Table14[],MATCH($W376,Table14[SAPNo],0),3),"")</f>
        <v xml:space="preserve">1308 CT418 10C </v>
      </c>
      <c r="Y376" s="284">
        <v>8</v>
      </c>
      <c r="Z376" s="25">
        <f t="shared" si="61"/>
        <v>0</v>
      </c>
      <c r="AA376" s="25">
        <f t="shared" si="64"/>
        <v>0</v>
      </c>
      <c r="AB376" s="23">
        <f ca="1">IFERROR(INDEX('Cutters Inventory 12-30-2025'!A:W,MATCH($W376,'Cutters Inventory 12-30-2025'!B:B,0),14),0)</f>
        <v>0</v>
      </c>
      <c r="AC376" s="23">
        <f>SUMIF(Table1[LEVEL 5 MAT NO.],S376,Table1[Braze Plan])</f>
        <v>0</v>
      </c>
      <c r="AD376" s="23">
        <f>Table4[[#This Row],[Quantity]]*Table4[[#This Row],[Bits Braze Plan]]</f>
        <v>0</v>
      </c>
      <c r="AE376" s="23">
        <f ca="1">Table4[[#This Row],[INV. QTY]]-Table4[[#This Row],[Required For Braze Cutters Check]]</f>
        <v>0</v>
      </c>
      <c r="AF376" s="23">
        <f t="shared" ca="1" si="62"/>
        <v>0</v>
      </c>
      <c r="AG376" s="23"/>
      <c r="AJ376" s="19">
        <f t="shared" si="60"/>
        <v>0</v>
      </c>
    </row>
    <row r="377" spans="1:36" ht="24.75" customHeight="1" x14ac:dyDescent="0.25">
      <c r="A377" s="109">
        <v>20240098</v>
      </c>
      <c r="B377" s="710"/>
      <c r="C377" s="109">
        <v>14178471</v>
      </c>
      <c r="D377" s="109" t="s">
        <v>624</v>
      </c>
      <c r="E377" s="109" t="s">
        <v>663</v>
      </c>
      <c r="F377" s="109" t="s">
        <v>103</v>
      </c>
      <c r="G377" s="109" t="s">
        <v>681</v>
      </c>
      <c r="H377" s="140">
        <v>1269498</v>
      </c>
      <c r="I377" s="140">
        <v>1276939</v>
      </c>
      <c r="J377" s="26">
        <f>IF(H377&lt;&gt;"",IF(AND(C377&lt;&gt;"",IFERROR(MATCH(C377,Table10[Serial No.],0),0)),0,1),0)</f>
        <v>0</v>
      </c>
      <c r="K377" s="21"/>
      <c r="L377" s="539" t="str">
        <f t="shared" ca="1" si="63"/>
        <v/>
      </c>
      <c r="S377" s="281" t="s">
        <v>739</v>
      </c>
      <c r="T377" s="278" t="s">
        <v>309</v>
      </c>
      <c r="U377" s="278" t="s">
        <v>633</v>
      </c>
      <c r="V377" s="25">
        <v>3</v>
      </c>
      <c r="W377" s="284">
        <v>871781</v>
      </c>
      <c r="X377" s="19" t="str">
        <f>IFERROR(INDEX(Table14[],MATCH($W377,Table14[SAPNo],0),3),"")</f>
        <v>Round 1313 CT200  0.018" (B)</v>
      </c>
      <c r="Y377" s="284">
        <v>5</v>
      </c>
      <c r="Z377" s="25">
        <f t="shared" si="61"/>
        <v>0</v>
      </c>
      <c r="AA377" s="25">
        <f t="shared" si="64"/>
        <v>0</v>
      </c>
      <c r="AB377" s="23">
        <f ca="1">IFERROR(INDEX('Cutters Inventory 12-30-2025'!A:W,MATCH($W377,'Cutters Inventory 12-30-2025'!B:B,0),14),0)</f>
        <v>843</v>
      </c>
      <c r="AC377" s="23">
        <f>SUMIF(Table1[LEVEL 5 MAT NO.],S377,Table1[Braze Plan])</f>
        <v>0</v>
      </c>
      <c r="AD377" s="23">
        <f>Table4[[#This Row],[Quantity]]*Table4[[#This Row],[Bits Braze Plan]]</f>
        <v>0</v>
      </c>
      <c r="AE377" s="23">
        <f ca="1">Table4[[#This Row],[INV. QTY]]-Table4[[#This Row],[Required For Braze Cutters Check]]</f>
        <v>843</v>
      </c>
      <c r="AF377" s="23">
        <f t="shared" ca="1" si="62"/>
        <v>843</v>
      </c>
      <c r="AG377" s="23"/>
      <c r="AJ377" s="19">
        <f t="shared" si="60"/>
        <v>0</v>
      </c>
    </row>
    <row r="378" spans="1:36" ht="24.75" customHeight="1" x14ac:dyDescent="0.25">
      <c r="A378" s="109">
        <v>20240098</v>
      </c>
      <c r="B378" s="710"/>
      <c r="C378" s="109">
        <v>14178467</v>
      </c>
      <c r="D378" s="109" t="s">
        <v>624</v>
      </c>
      <c r="E378" s="109" t="s">
        <v>663</v>
      </c>
      <c r="F378" s="109" t="s">
        <v>103</v>
      </c>
      <c r="G378" s="109" t="s">
        <v>681</v>
      </c>
      <c r="H378" s="140">
        <v>1269498</v>
      </c>
      <c r="I378" s="140">
        <v>1276939</v>
      </c>
      <c r="J378" s="26">
        <f>IF(H378&lt;&gt;"",IF(AND(C378&lt;&gt;"",IFERROR(MATCH(C378,Table10[Serial No.],0),0)),0,1),0)</f>
        <v>0</v>
      </c>
      <c r="K378" s="21"/>
      <c r="L378" s="539" t="str">
        <f t="shared" ca="1" si="63"/>
        <v/>
      </c>
      <c r="S378" s="282" t="s">
        <v>741</v>
      </c>
      <c r="T378" s="279" t="s">
        <v>309</v>
      </c>
      <c r="U378" s="279" t="s">
        <v>742</v>
      </c>
      <c r="V378" s="25">
        <v>1</v>
      </c>
      <c r="W378" s="284">
        <v>1136984</v>
      </c>
      <c r="X378" s="19" t="str">
        <f>IFERROR(INDEX(Table14[],MATCH($W378,Table14[SAPNo],0),3),"")</f>
        <v>DBLMCHT 1313 CT182DM  10C (S)</v>
      </c>
      <c r="Y378" s="284">
        <v>13</v>
      </c>
      <c r="Z378" s="25">
        <f t="shared" si="61"/>
        <v>0</v>
      </c>
      <c r="AA378" s="25">
        <f t="shared" si="64"/>
        <v>0</v>
      </c>
      <c r="AB378" s="23">
        <f ca="1">IFERROR(INDEX('Cutters Inventory 12-30-2025'!A:W,MATCH($W378,'Cutters Inventory 12-30-2025'!B:B,0),14),0)</f>
        <v>92</v>
      </c>
      <c r="AC378" s="23">
        <f>SUMIF(Table1[LEVEL 5 MAT NO.],S378,Table1[Braze Plan])</f>
        <v>0</v>
      </c>
      <c r="AD378" s="23">
        <f>Table4[[#This Row],[Quantity]]*Table4[[#This Row],[Bits Braze Plan]]</f>
        <v>0</v>
      </c>
      <c r="AE378" s="23">
        <f ca="1">Table4[[#This Row],[INV. QTY]]-Table4[[#This Row],[Required For Braze Cutters Check]]</f>
        <v>92</v>
      </c>
      <c r="AF378" s="23">
        <f t="shared" ca="1" si="62"/>
        <v>92</v>
      </c>
      <c r="AG378" s="23"/>
      <c r="AJ378" s="19">
        <f t="shared" si="60"/>
        <v>0</v>
      </c>
    </row>
    <row r="379" spans="1:36" ht="24.75" customHeight="1" x14ac:dyDescent="0.25">
      <c r="A379" s="109">
        <v>20240098</v>
      </c>
      <c r="B379" s="710"/>
      <c r="C379" s="109">
        <v>14178468</v>
      </c>
      <c r="D379" s="109" t="s">
        <v>624</v>
      </c>
      <c r="E379" s="109" t="s">
        <v>663</v>
      </c>
      <c r="F379" s="109" t="s">
        <v>103</v>
      </c>
      <c r="G379" s="109" t="s">
        <v>681</v>
      </c>
      <c r="H379" s="140">
        <v>1269498</v>
      </c>
      <c r="I379" s="140">
        <v>1276939</v>
      </c>
      <c r="J379" s="26">
        <f>IF(H379&lt;&gt;"",IF(AND(C379&lt;&gt;"",IFERROR(MATCH(C379,Table10[Serial No.],0),0)),0,1),0)</f>
        <v>0</v>
      </c>
      <c r="K379" s="21"/>
      <c r="L379" s="539" t="str">
        <f t="shared" ca="1" si="63"/>
        <v/>
      </c>
      <c r="S379" s="282" t="s">
        <v>741</v>
      </c>
      <c r="T379" s="279" t="s">
        <v>309</v>
      </c>
      <c r="U379" s="279" t="s">
        <v>742</v>
      </c>
      <c r="V379" s="25">
        <v>2</v>
      </c>
      <c r="W379" s="284">
        <v>1100696</v>
      </c>
      <c r="X379" s="19" t="str">
        <f>IFERROR(INDEX(Table14[],MATCH($W379,Table14[SAPNo],0),3),"")</f>
        <v>Round 1313 CT418  10C (S)</v>
      </c>
      <c r="Y379" s="284">
        <v>5</v>
      </c>
      <c r="Z379" s="25">
        <f t="shared" si="61"/>
        <v>0</v>
      </c>
      <c r="AA379" s="25">
        <f t="shared" si="64"/>
        <v>0</v>
      </c>
      <c r="AB379" s="23">
        <f ca="1">IFERROR(INDEX('Cutters Inventory 12-30-2025'!A:W,MATCH($W379,'Cutters Inventory 12-30-2025'!B:B,0),14),0)</f>
        <v>19</v>
      </c>
      <c r="AC379" s="23">
        <f>SUMIF(Table1[LEVEL 5 MAT NO.],S379,Table1[Braze Plan])</f>
        <v>0</v>
      </c>
      <c r="AD379" s="23">
        <f>Table4[[#This Row],[Quantity]]*Table4[[#This Row],[Bits Braze Plan]]</f>
        <v>0</v>
      </c>
      <c r="AE379" s="23">
        <f ca="1">Table4[[#This Row],[INV. QTY]]-Table4[[#This Row],[Required For Braze Cutters Check]]</f>
        <v>19</v>
      </c>
      <c r="AF379" s="23">
        <f t="shared" ca="1" si="62"/>
        <v>19</v>
      </c>
      <c r="AG379" s="23"/>
      <c r="AJ379" s="19">
        <f t="shared" ref="AJ379:AJ400" si="65">IFERROR(AS195,"")</f>
        <v>0</v>
      </c>
    </row>
    <row r="380" spans="1:36" ht="24.75" customHeight="1" x14ac:dyDescent="0.25">
      <c r="A380" s="109">
        <v>20240098</v>
      </c>
      <c r="B380" s="710"/>
      <c r="C380" s="109">
        <v>14178466</v>
      </c>
      <c r="D380" s="109" t="s">
        <v>624</v>
      </c>
      <c r="E380" s="109" t="s">
        <v>663</v>
      </c>
      <c r="F380" s="109" t="s">
        <v>103</v>
      </c>
      <c r="G380" s="109" t="s">
        <v>681</v>
      </c>
      <c r="H380" s="140">
        <v>1269498</v>
      </c>
      <c r="I380" s="140">
        <v>1276939</v>
      </c>
      <c r="J380" s="26">
        <f>IF(H380&lt;&gt;"",IF(AND(C380&lt;&gt;"",IFERROR(MATCH(C380,Table10[Serial No.],0),0)),0,1),0)</f>
        <v>0</v>
      </c>
      <c r="K380" s="21"/>
      <c r="L380" s="539" t="str">
        <f t="shared" ca="1" si="63"/>
        <v/>
      </c>
      <c r="S380" s="281" t="s">
        <v>741</v>
      </c>
      <c r="T380" s="278" t="s">
        <v>309</v>
      </c>
      <c r="U380" s="278" t="s">
        <v>742</v>
      </c>
      <c r="V380" s="25">
        <v>3</v>
      </c>
      <c r="W380" s="284">
        <v>418525</v>
      </c>
      <c r="X380" s="19" t="str">
        <f>IFERROR(INDEX(Table14[],MATCH($W380,Table14[SAPNo],0),3),"")</f>
        <v>Drop In 1308 CT31   (B)</v>
      </c>
      <c r="Y380" s="284">
        <v>6</v>
      </c>
      <c r="Z380" s="25">
        <f t="shared" si="61"/>
        <v>0</v>
      </c>
      <c r="AA380" s="25">
        <f t="shared" si="64"/>
        <v>0</v>
      </c>
      <c r="AB380" s="23">
        <f ca="1">IFERROR(INDEX('Cutters Inventory 12-30-2025'!A:W,MATCH($W380,'Cutters Inventory 12-30-2025'!B:B,0),14),0)</f>
        <v>933</v>
      </c>
      <c r="AC380" s="23">
        <f>SUMIF(Table1[LEVEL 5 MAT NO.],S380,Table1[Braze Plan])</f>
        <v>0</v>
      </c>
      <c r="AD380" s="23">
        <f>Table4[[#This Row],[Quantity]]*Table4[[#This Row],[Bits Braze Plan]]</f>
        <v>0</v>
      </c>
      <c r="AE380" s="23">
        <f ca="1">Table4[[#This Row],[INV. QTY]]-Table4[[#This Row],[Required For Braze Cutters Check]]</f>
        <v>933</v>
      </c>
      <c r="AF380" s="23">
        <f t="shared" ca="1" si="62"/>
        <v>933</v>
      </c>
      <c r="AG380" s="23"/>
      <c r="AJ380" s="19">
        <f t="shared" si="65"/>
        <v>0</v>
      </c>
    </row>
    <row r="381" spans="1:36" ht="24.75" customHeight="1" x14ac:dyDescent="0.25">
      <c r="A381" s="109">
        <v>20240098</v>
      </c>
      <c r="B381" s="608"/>
      <c r="C381" s="109">
        <v>14178464</v>
      </c>
      <c r="D381" s="109" t="s">
        <v>624</v>
      </c>
      <c r="E381" s="109" t="s">
        <v>663</v>
      </c>
      <c r="F381" s="109" t="s">
        <v>103</v>
      </c>
      <c r="G381" s="109" t="s">
        <v>681</v>
      </c>
      <c r="H381" s="140">
        <v>1269498</v>
      </c>
      <c r="I381" s="140">
        <v>1276939</v>
      </c>
      <c r="J381" s="26">
        <f>IF(H381&lt;&gt;"",IF(AND(C381&lt;&gt;"",IFERROR(MATCH(C381,Table10[Serial No.],0),0)),0,1),0)</f>
        <v>0</v>
      </c>
      <c r="K381" s="21"/>
      <c r="L381" s="539" t="str">
        <f t="shared" ca="1" si="63"/>
        <v/>
      </c>
      <c r="S381" s="281" t="s">
        <v>741</v>
      </c>
      <c r="T381" s="278" t="s">
        <v>309</v>
      </c>
      <c r="U381" s="278" t="s">
        <v>742</v>
      </c>
      <c r="V381" s="25">
        <v>4</v>
      </c>
      <c r="W381" s="284">
        <v>1101509</v>
      </c>
      <c r="X381" s="19" t="str">
        <f>IFERROR(INDEX(Table14[],MATCH($W381,Table14[SAPNo],0),3),"")</f>
        <v>Short IA 8    (C)</v>
      </c>
      <c r="Y381" s="284">
        <v>5</v>
      </c>
      <c r="Z381" s="25">
        <f t="shared" si="61"/>
        <v>0</v>
      </c>
      <c r="AA381" s="25">
        <f t="shared" si="64"/>
        <v>0</v>
      </c>
      <c r="AB381" s="23">
        <f ca="1">IFERROR(INDEX('Cutters Inventory 12-30-2025'!A:W,MATCH($W381,'Cutters Inventory 12-30-2025'!B:B,0),14),0)</f>
        <v>66</v>
      </c>
      <c r="AC381" s="23">
        <f>SUMIF(Table1[LEVEL 5 MAT NO.],S381,Table1[Braze Plan])</f>
        <v>0</v>
      </c>
      <c r="AD381" s="23">
        <f>Table4[[#This Row],[Quantity]]*Table4[[#This Row],[Bits Braze Plan]]</f>
        <v>0</v>
      </c>
      <c r="AE381" s="23">
        <f ca="1">Table4[[#This Row],[INV. QTY]]-Table4[[#This Row],[Required For Braze Cutters Check]]</f>
        <v>66</v>
      </c>
      <c r="AF381" s="23">
        <f t="shared" ca="1" si="62"/>
        <v>66</v>
      </c>
      <c r="AG381" s="23"/>
      <c r="AJ381" s="19">
        <f t="shared" si="65"/>
        <v>0</v>
      </c>
    </row>
    <row r="382" spans="1:36" ht="24.75" customHeight="1" x14ac:dyDescent="0.25">
      <c r="A382" s="109">
        <v>20240098</v>
      </c>
      <c r="B382" s="608"/>
      <c r="C382" s="109">
        <v>14178465</v>
      </c>
      <c r="D382" s="109" t="s">
        <v>624</v>
      </c>
      <c r="E382" s="109" t="s">
        <v>663</v>
      </c>
      <c r="F382" s="109" t="s">
        <v>103</v>
      </c>
      <c r="G382" s="109" t="s">
        <v>681</v>
      </c>
      <c r="H382" s="140">
        <v>1269498</v>
      </c>
      <c r="I382" s="140">
        <v>1276939</v>
      </c>
      <c r="J382" s="26">
        <f>IF(H382&lt;&gt;"",IF(AND(C382&lt;&gt;"",IFERROR(MATCH(C382,Table10[Serial No.],0),0)),0,1),0)</f>
        <v>0</v>
      </c>
      <c r="K382" s="21"/>
      <c r="L382" s="539" t="str">
        <f t="shared" ca="1" si="63"/>
        <v/>
      </c>
      <c r="S382" s="281" t="s">
        <v>741</v>
      </c>
      <c r="T382" s="278" t="s">
        <v>309</v>
      </c>
      <c r="U382" s="278" t="s">
        <v>742</v>
      </c>
      <c r="V382" s="25">
        <v>5</v>
      </c>
      <c r="W382" s="284">
        <v>1104083</v>
      </c>
      <c r="X382" s="19" t="str">
        <f>IFERROR(INDEX(Table14[],MATCH($W382,Table14[SAPNo],0),3),"")</f>
        <v>1313 CT144H  10C (S)</v>
      </c>
      <c r="Y382" s="284">
        <v>1</v>
      </c>
      <c r="Z382" s="25">
        <f t="shared" si="61"/>
        <v>0</v>
      </c>
      <c r="AA382" s="25">
        <f t="shared" si="64"/>
        <v>0</v>
      </c>
      <c r="AB382" s="23">
        <f ca="1">IFERROR(INDEX('Cutters Inventory 12-30-2025'!A:W,MATCH($W382,'Cutters Inventory 12-30-2025'!B:B,0),14),0)</f>
        <v>2</v>
      </c>
      <c r="AC382" s="23">
        <f>SUMIF(Table1[LEVEL 5 MAT NO.],S382,Table1[Braze Plan])</f>
        <v>0</v>
      </c>
      <c r="AD382" s="23">
        <f>Table4[[#This Row],[Quantity]]*Table4[[#This Row],[Bits Braze Plan]]</f>
        <v>0</v>
      </c>
      <c r="AE382" s="23">
        <f ca="1">Table4[[#This Row],[INV. QTY]]-Table4[[#This Row],[Required For Braze Cutters Check]]</f>
        <v>2</v>
      </c>
      <c r="AF382" s="23">
        <f t="shared" ca="1" si="62"/>
        <v>2</v>
      </c>
      <c r="AG382" s="23"/>
      <c r="AJ382" s="19">
        <f t="shared" si="65"/>
        <v>0</v>
      </c>
    </row>
    <row r="383" spans="1:36" ht="24.75" customHeight="1" x14ac:dyDescent="0.25">
      <c r="A383" s="109">
        <v>20240098</v>
      </c>
      <c r="B383" s="608"/>
      <c r="C383" s="109">
        <v>14178462</v>
      </c>
      <c r="D383" s="109" t="s">
        <v>624</v>
      </c>
      <c r="E383" s="109" t="s">
        <v>663</v>
      </c>
      <c r="F383" s="109" t="s">
        <v>103</v>
      </c>
      <c r="G383" s="109" t="s">
        <v>681</v>
      </c>
      <c r="H383" s="140">
        <v>1269498</v>
      </c>
      <c r="I383" s="140">
        <v>1276939</v>
      </c>
      <c r="J383" s="26">
        <f>IF(H383&lt;&gt;"",IF(AND(C383&lt;&gt;"",IFERROR(MATCH(C383,Table10[Serial No.],0),0)),0,1),0)</f>
        <v>0</v>
      </c>
      <c r="K383" s="21"/>
      <c r="L383" s="539" t="str">
        <f t="shared" ca="1" si="63"/>
        <v/>
      </c>
      <c r="S383" s="281" t="s">
        <v>741</v>
      </c>
      <c r="T383" s="278" t="s">
        <v>309</v>
      </c>
      <c r="U383" s="278" t="s">
        <v>742</v>
      </c>
      <c r="V383" s="25">
        <v>6</v>
      </c>
      <c r="W383" s="284">
        <v>1146346</v>
      </c>
      <c r="X383" s="19" t="str">
        <f>IFERROR(INDEX(Table14[],MATCH($W383,Table14[SAPNo],0),3),"")</f>
        <v>1313 CT418 18-60</v>
      </c>
      <c r="Y383" s="284">
        <v>7</v>
      </c>
      <c r="Z383" s="25">
        <f t="shared" si="61"/>
        <v>0</v>
      </c>
      <c r="AA383" s="25">
        <f t="shared" si="64"/>
        <v>0</v>
      </c>
      <c r="AB383" s="23">
        <f ca="1">IFERROR(INDEX('Cutters Inventory 12-30-2025'!A:W,MATCH($W383,'Cutters Inventory 12-30-2025'!B:B,0),14),0)</f>
        <v>558</v>
      </c>
      <c r="AC383" s="23">
        <f>SUMIF(Table1[LEVEL 5 MAT NO.],S383,Table1[Braze Plan])</f>
        <v>0</v>
      </c>
      <c r="AD383" s="23">
        <f>Table4[[#This Row],[Quantity]]*Table4[[#This Row],[Bits Braze Plan]]</f>
        <v>0</v>
      </c>
      <c r="AE383" s="23">
        <f ca="1">Table4[[#This Row],[INV. QTY]]-Table4[[#This Row],[Required For Braze Cutters Check]]</f>
        <v>558</v>
      </c>
      <c r="AF383" s="23">
        <f t="shared" ca="1" si="62"/>
        <v>558</v>
      </c>
      <c r="AG383" s="23"/>
      <c r="AJ383" s="19">
        <f t="shared" si="65"/>
        <v>0</v>
      </c>
    </row>
    <row r="384" spans="1:36" ht="24.75" customHeight="1" x14ac:dyDescent="0.25">
      <c r="A384" s="109">
        <v>20240098</v>
      </c>
      <c r="B384" s="710"/>
      <c r="C384" s="109">
        <v>14178472</v>
      </c>
      <c r="D384" s="109" t="s">
        <v>315</v>
      </c>
      <c r="E384" s="109" t="s">
        <v>286</v>
      </c>
      <c r="F384" s="109" t="s">
        <v>659</v>
      </c>
      <c r="G384" s="109" t="s">
        <v>676</v>
      </c>
      <c r="H384" s="140">
        <v>1245350</v>
      </c>
      <c r="I384" s="140">
        <v>1269308</v>
      </c>
      <c r="J384" s="26">
        <f>IF(H384&lt;&gt;"",IF(AND(C384&lt;&gt;"",IFERROR(MATCH(C384,Table10[Serial No.],0),0)),0,1),0)</f>
        <v>0</v>
      </c>
      <c r="K384" s="21"/>
      <c r="L384" s="539" t="str">
        <f t="shared" ca="1" si="63"/>
        <v/>
      </c>
      <c r="S384" s="282" t="s">
        <v>743</v>
      </c>
      <c r="T384" s="279" t="s">
        <v>309</v>
      </c>
      <c r="U384" s="279" t="s">
        <v>744</v>
      </c>
      <c r="V384" s="25">
        <v>1</v>
      </c>
      <c r="W384" s="284">
        <v>1146346</v>
      </c>
      <c r="X384" s="618" t="str">
        <f>IFERROR(INDEX(Table14[],MATCH($W384,Table14[SAPNo],0),3),"")</f>
        <v>1313 CT418 18-60</v>
      </c>
      <c r="Y384" s="284">
        <v>23</v>
      </c>
      <c r="Z384" s="25">
        <f t="shared" si="61"/>
        <v>0</v>
      </c>
      <c r="AA384" s="25">
        <f t="shared" si="64"/>
        <v>0</v>
      </c>
      <c r="AB384" s="23">
        <f ca="1">IFERROR(INDEX('Cutters Inventory 12-30-2025'!A:W,MATCH($W384,'Cutters Inventory 12-30-2025'!B:B,0),14),0)</f>
        <v>558</v>
      </c>
      <c r="AC384" s="23">
        <f>SUMIF(Table1[LEVEL 5 MAT NO.],S384,Table1[Braze Plan])</f>
        <v>0</v>
      </c>
      <c r="AD384" s="23">
        <f>Table4[[#This Row],[Quantity]]*Table4[[#This Row],[Bits Braze Plan]]</f>
        <v>0</v>
      </c>
      <c r="AE384" s="23">
        <f ca="1">Table4[[#This Row],[INV. QTY]]-Table4[[#This Row],[Required For Braze Cutters Check]]</f>
        <v>558</v>
      </c>
      <c r="AF384" s="23">
        <f t="shared" ca="1" si="62"/>
        <v>558</v>
      </c>
      <c r="AG384" s="625" t="s">
        <v>740</v>
      </c>
      <c r="AJ384" s="19">
        <f t="shared" si="65"/>
        <v>0</v>
      </c>
    </row>
    <row r="385" spans="1:36" ht="24.75" customHeight="1" x14ac:dyDescent="0.25">
      <c r="A385" s="109">
        <v>20240098</v>
      </c>
      <c r="B385" s="710"/>
      <c r="C385" s="109">
        <v>14178473</v>
      </c>
      <c r="D385" s="109" t="s">
        <v>315</v>
      </c>
      <c r="E385" s="109" t="s">
        <v>286</v>
      </c>
      <c r="F385" s="109" t="s">
        <v>659</v>
      </c>
      <c r="G385" s="109" t="s">
        <v>676</v>
      </c>
      <c r="H385" s="140">
        <v>1245350</v>
      </c>
      <c r="I385" s="140">
        <v>1269308</v>
      </c>
      <c r="J385" s="26">
        <f>IF(H385&lt;&gt;"",IF(AND(C385&lt;&gt;"",IFERROR(MATCH(C385,Table10[Serial No.],0),0)),0,1),0)</f>
        <v>0</v>
      </c>
      <c r="K385" s="21"/>
      <c r="L385" s="539" t="str">
        <f t="shared" ca="1" si="63"/>
        <v/>
      </c>
      <c r="S385" s="282" t="s">
        <v>743</v>
      </c>
      <c r="T385" s="279" t="s">
        <v>309</v>
      </c>
      <c r="U385" s="279" t="s">
        <v>744</v>
      </c>
      <c r="V385" s="25">
        <v>2</v>
      </c>
      <c r="W385" s="284">
        <v>418525</v>
      </c>
      <c r="X385" s="19" t="str">
        <f>IFERROR(INDEX(Table14[],MATCH($W385,Table14[SAPNo],0),3),"")</f>
        <v>Drop In 1308 CT31   (B)</v>
      </c>
      <c r="Y385" s="284">
        <v>10</v>
      </c>
      <c r="Z385" s="25">
        <f t="shared" si="61"/>
        <v>0</v>
      </c>
      <c r="AA385" s="25">
        <f t="shared" si="64"/>
        <v>0</v>
      </c>
      <c r="AB385" s="23">
        <f ca="1">IFERROR(INDEX('Cutters Inventory 12-30-2025'!A:W,MATCH($W385,'Cutters Inventory 12-30-2025'!B:B,0),14),0)</f>
        <v>933</v>
      </c>
      <c r="AC385" s="23">
        <f>SUMIF(Table1[LEVEL 5 MAT NO.],S385,Table1[Braze Plan])</f>
        <v>0</v>
      </c>
      <c r="AD385" s="23">
        <f>Table4[[#This Row],[Quantity]]*Table4[[#This Row],[Bits Braze Plan]]</f>
        <v>0</v>
      </c>
      <c r="AE385" s="23">
        <f ca="1">Table4[[#This Row],[INV. QTY]]-Table4[[#This Row],[Required For Braze Cutters Check]]</f>
        <v>933</v>
      </c>
      <c r="AF385" s="23">
        <f t="shared" ca="1" si="62"/>
        <v>933</v>
      </c>
      <c r="AG385" s="23"/>
      <c r="AJ385" s="19">
        <f t="shared" si="65"/>
        <v>0</v>
      </c>
    </row>
    <row r="386" spans="1:36" ht="24.75" customHeight="1" x14ac:dyDescent="0.25">
      <c r="A386" s="109">
        <v>20240098</v>
      </c>
      <c r="B386" s="710"/>
      <c r="C386" s="109">
        <v>14178475</v>
      </c>
      <c r="D386" s="109" t="s">
        <v>315</v>
      </c>
      <c r="E386" s="109" t="s">
        <v>682</v>
      </c>
      <c r="F386" s="109" t="s">
        <v>659</v>
      </c>
      <c r="G386" s="109" t="s">
        <v>676</v>
      </c>
      <c r="H386" s="140">
        <v>1270578</v>
      </c>
      <c r="I386" s="140">
        <v>1251627</v>
      </c>
      <c r="J386" s="26">
        <f>IF(H386&lt;&gt;"",IF(AND(C386&lt;&gt;"",IFERROR(MATCH(C386,Table10[Serial No.],0),0)),0,1),0)</f>
        <v>0</v>
      </c>
      <c r="K386" s="21"/>
      <c r="L386" s="539" t="str">
        <f t="shared" ca="1" si="63"/>
        <v/>
      </c>
      <c r="S386" s="282" t="s">
        <v>745</v>
      </c>
      <c r="T386" s="279" t="s">
        <v>637</v>
      </c>
      <c r="U386" s="279" t="s">
        <v>746</v>
      </c>
      <c r="V386" s="25">
        <v>1</v>
      </c>
      <c r="W386" s="284">
        <v>1126402</v>
      </c>
      <c r="X386" s="19" t="str">
        <f>IFERROR(INDEX(Table14[],MATCH($W386,Table14[SAPNo],0),3),"")</f>
        <v>1613 CT421 16-60</v>
      </c>
      <c r="Y386" s="284">
        <v>30</v>
      </c>
      <c r="Z386" s="25">
        <f t="shared" ref="Z386:Z449" si="66">IFERROR(INDEX($O$2:$P$400,MATCH($S386,$O$2:$O$93,0),2),0)</f>
        <v>0</v>
      </c>
      <c r="AA386" s="25">
        <f t="shared" si="64"/>
        <v>0</v>
      </c>
      <c r="AB386" s="23">
        <f ca="1">IFERROR(INDEX('Cutters Inventory 12-30-2025'!A:W,MATCH($W386,'Cutters Inventory 12-30-2025'!B:B,0),14),0)</f>
        <v>422</v>
      </c>
      <c r="AC386" s="23">
        <f>SUMIF(Table1[LEVEL 5 MAT NO.],S386,Table1[Braze Plan])</f>
        <v>0</v>
      </c>
      <c r="AD386" s="23">
        <f>Table4[[#This Row],[Quantity]]*Table4[[#This Row],[Bits Braze Plan]]</f>
        <v>0</v>
      </c>
      <c r="AE386" s="23">
        <f ca="1">Table4[[#This Row],[INV. QTY]]-Table4[[#This Row],[Required For Braze Cutters Check]]</f>
        <v>422</v>
      </c>
      <c r="AF386" s="23">
        <f t="shared" ref="AF386:AF449" ca="1" si="67">IFERROR(INDEX($AJ$2:$AO$136,MATCH($W386,$AJ$2:$AJ$136,0),5),0)</f>
        <v>422</v>
      </c>
      <c r="AG386" s="23"/>
      <c r="AJ386" s="19">
        <f t="shared" si="65"/>
        <v>0</v>
      </c>
    </row>
    <row r="387" spans="1:36" ht="24.75" customHeight="1" x14ac:dyDescent="0.25">
      <c r="A387" s="109">
        <v>20240098</v>
      </c>
      <c r="B387" s="710"/>
      <c r="C387" s="109">
        <v>14178474</v>
      </c>
      <c r="D387" s="109" t="s">
        <v>315</v>
      </c>
      <c r="E387" s="109" t="s">
        <v>682</v>
      </c>
      <c r="F387" s="109" t="s">
        <v>659</v>
      </c>
      <c r="G387" s="109" t="s">
        <v>676</v>
      </c>
      <c r="H387" s="140">
        <v>1270578</v>
      </c>
      <c r="I387" s="140">
        <v>1251627</v>
      </c>
      <c r="J387" s="26">
        <f>IF(H387&lt;&gt;"",IF(AND(C387&lt;&gt;"",IFERROR(MATCH(C387,Table10[Serial No.],0),0)),0,1),0)</f>
        <v>0</v>
      </c>
      <c r="K387" s="21"/>
      <c r="L387" s="539" t="str">
        <f t="shared" ref="L387:L450" ca="1" si="68">IFERROR(INDEX($O$2:$Q$57,MATCH($I387,$O$2:$O$93,0),3),"")</f>
        <v/>
      </c>
      <c r="S387" s="282" t="s">
        <v>745</v>
      </c>
      <c r="T387" s="279" t="s">
        <v>637</v>
      </c>
      <c r="U387" s="279" t="s">
        <v>746</v>
      </c>
      <c r="V387" s="25">
        <v>2</v>
      </c>
      <c r="W387" s="284">
        <v>647436</v>
      </c>
      <c r="X387" s="19" t="str">
        <f>IFERROR(INDEX(Table14[],MATCH($W387,Table14[SAPNo],0),3),"")</f>
        <v>Round 1613 CT200  0.018" (B)</v>
      </c>
      <c r="Y387" s="284">
        <v>8</v>
      </c>
      <c r="Z387" s="25">
        <f t="shared" si="66"/>
        <v>0</v>
      </c>
      <c r="AA387" s="25">
        <f t="shared" ref="AA387:AA450" si="69">Y387*Z387</f>
        <v>0</v>
      </c>
      <c r="AB387" s="23">
        <f ca="1">IFERROR(INDEX('Cutters Inventory 12-30-2025'!A:W,MATCH($W387,'Cutters Inventory 12-30-2025'!B:B,0),14),0)</f>
        <v>412</v>
      </c>
      <c r="AC387" s="23">
        <f>SUMIF(Table1[LEVEL 5 MAT NO.],S387,Table1[Braze Plan])</f>
        <v>0</v>
      </c>
      <c r="AD387" s="23">
        <f>Table4[[#This Row],[Quantity]]*Table4[[#This Row],[Bits Braze Plan]]</f>
        <v>0</v>
      </c>
      <c r="AE387" s="23">
        <f ca="1">Table4[[#This Row],[INV. QTY]]-Table4[[#This Row],[Required For Braze Cutters Check]]</f>
        <v>412</v>
      </c>
      <c r="AF387" s="23">
        <f t="shared" ca="1" si="67"/>
        <v>412</v>
      </c>
      <c r="AG387" s="23"/>
      <c r="AJ387" s="19">
        <f t="shared" si="65"/>
        <v>0</v>
      </c>
    </row>
    <row r="388" spans="1:36" ht="24.75" customHeight="1" x14ac:dyDescent="0.25">
      <c r="A388" s="109">
        <v>20240098</v>
      </c>
      <c r="B388" s="710"/>
      <c r="C388" s="109">
        <v>14178477</v>
      </c>
      <c r="D388" s="109" t="s">
        <v>637</v>
      </c>
      <c r="E388" s="109" t="s">
        <v>287</v>
      </c>
      <c r="F388" s="109" t="s">
        <v>103</v>
      </c>
      <c r="G388" s="109" t="s">
        <v>681</v>
      </c>
      <c r="H388" s="140">
        <v>1267122</v>
      </c>
      <c r="I388" s="140">
        <v>1257458</v>
      </c>
      <c r="J388" s="26">
        <f>IF(H388&lt;&gt;"",IF(AND(C388&lt;&gt;"",IFERROR(MATCH(C388,Table10[Serial No.],0),0)),0,1),0)</f>
        <v>0</v>
      </c>
      <c r="K388" s="21"/>
      <c r="L388" s="539" t="str">
        <f t="shared" ca="1" si="68"/>
        <v/>
      </c>
      <c r="S388" s="282" t="s">
        <v>745</v>
      </c>
      <c r="T388" s="279" t="s">
        <v>637</v>
      </c>
      <c r="U388" s="279" t="s">
        <v>746</v>
      </c>
      <c r="V388" s="25">
        <v>3</v>
      </c>
      <c r="W388" s="284">
        <v>649901</v>
      </c>
      <c r="X388" s="19" t="str">
        <f>IFERROR(INDEX(Table14[],MATCH($W388,Table14[SAPNo],0),3),"")</f>
        <v>Carbide IA 8    (C)</v>
      </c>
      <c r="Y388" s="284">
        <v>5</v>
      </c>
      <c r="Z388" s="25">
        <f t="shared" si="66"/>
        <v>0</v>
      </c>
      <c r="AA388" s="25">
        <f t="shared" si="69"/>
        <v>0</v>
      </c>
      <c r="AB388" s="23">
        <f ca="1">IFERROR(INDEX('Cutters Inventory 12-30-2025'!A:W,MATCH($W388,'Cutters Inventory 12-30-2025'!B:B,0),14),0)</f>
        <v>0</v>
      </c>
      <c r="AC388" s="23">
        <f>SUMIF(Table1[LEVEL 5 MAT NO.],S388,Table1[Braze Plan])</f>
        <v>0</v>
      </c>
      <c r="AD388" s="23">
        <f>Table4[[#This Row],[Quantity]]*Table4[[#This Row],[Bits Braze Plan]]</f>
        <v>0</v>
      </c>
      <c r="AE388" s="23">
        <f ca="1">Table4[[#This Row],[INV. QTY]]-Table4[[#This Row],[Required For Braze Cutters Check]]</f>
        <v>0</v>
      </c>
      <c r="AF388" s="23">
        <f t="shared" ca="1" si="67"/>
        <v>0</v>
      </c>
      <c r="AG388" s="23"/>
      <c r="AJ388" s="19">
        <f t="shared" si="65"/>
        <v>0</v>
      </c>
    </row>
    <row r="389" spans="1:36" ht="24.75" customHeight="1" x14ac:dyDescent="0.25">
      <c r="A389" s="109">
        <v>20240098</v>
      </c>
      <c r="B389" s="710"/>
      <c r="C389" s="109">
        <v>14178478</v>
      </c>
      <c r="D389" s="109" t="s">
        <v>637</v>
      </c>
      <c r="E389" s="109" t="s">
        <v>287</v>
      </c>
      <c r="F389" s="109" t="s">
        <v>103</v>
      </c>
      <c r="G389" s="109" t="s">
        <v>681</v>
      </c>
      <c r="H389" s="140">
        <v>1267122</v>
      </c>
      <c r="I389" s="140">
        <v>1257458</v>
      </c>
      <c r="J389" s="26">
        <f>IF(H389&lt;&gt;"",IF(AND(C389&lt;&gt;"",IFERROR(MATCH(C389,Table10[Serial No.],0),0)),0,1),0)</f>
        <v>0</v>
      </c>
      <c r="K389" s="21"/>
      <c r="L389" s="539" t="str">
        <f t="shared" ca="1" si="68"/>
        <v/>
      </c>
      <c r="S389" s="282" t="s">
        <v>745</v>
      </c>
      <c r="T389" s="279" t="s">
        <v>637</v>
      </c>
      <c r="U389" s="279" t="s">
        <v>746</v>
      </c>
      <c r="V389" s="25">
        <v>4</v>
      </c>
      <c r="W389" s="284">
        <v>871781</v>
      </c>
      <c r="X389" s="19" t="str">
        <f>IFERROR(INDEX(Table14[],MATCH($W389,Table14[SAPNo],0),3),"")</f>
        <v>Round 1313 CT200  0.018" (B)</v>
      </c>
      <c r="Y389" s="284">
        <v>5</v>
      </c>
      <c r="Z389" s="25">
        <f t="shared" si="66"/>
        <v>0</v>
      </c>
      <c r="AA389" s="25">
        <f t="shared" si="69"/>
        <v>0</v>
      </c>
      <c r="AB389" s="23">
        <f ca="1">IFERROR(INDEX('Cutters Inventory 12-30-2025'!A:W,MATCH($W389,'Cutters Inventory 12-30-2025'!B:B,0),14),0)</f>
        <v>843</v>
      </c>
      <c r="AC389" s="23">
        <f>SUMIF(Table1[LEVEL 5 MAT NO.],S389,Table1[Braze Plan])</f>
        <v>0</v>
      </c>
      <c r="AD389" s="23">
        <f>Table4[[#This Row],[Quantity]]*Table4[[#This Row],[Bits Braze Plan]]</f>
        <v>0</v>
      </c>
      <c r="AE389" s="23">
        <f ca="1">Table4[[#This Row],[INV. QTY]]-Table4[[#This Row],[Required For Braze Cutters Check]]</f>
        <v>843</v>
      </c>
      <c r="AF389" s="23">
        <f t="shared" ca="1" si="67"/>
        <v>843</v>
      </c>
      <c r="AG389" s="23"/>
      <c r="AJ389" s="19">
        <f t="shared" si="65"/>
        <v>0</v>
      </c>
    </row>
    <row r="390" spans="1:36" ht="24.75" customHeight="1" x14ac:dyDescent="0.25">
      <c r="A390" s="109">
        <v>20240098</v>
      </c>
      <c r="B390" s="710"/>
      <c r="C390" s="109">
        <v>14178479</v>
      </c>
      <c r="D390" s="109" t="s">
        <v>637</v>
      </c>
      <c r="E390" s="109" t="s">
        <v>287</v>
      </c>
      <c r="F390" s="109" t="s">
        <v>103</v>
      </c>
      <c r="G390" s="109" t="s">
        <v>681</v>
      </c>
      <c r="H390" s="140">
        <v>1267122</v>
      </c>
      <c r="I390" s="140">
        <v>1257458</v>
      </c>
      <c r="J390" s="26">
        <f>IF(H390&lt;&gt;"",IF(AND(C390&lt;&gt;"",IFERROR(MATCH(C390,Table10[Serial No.],0),0)),0,1),0)</f>
        <v>0</v>
      </c>
      <c r="K390" s="21"/>
      <c r="L390" s="539" t="str">
        <f t="shared" ca="1" si="68"/>
        <v/>
      </c>
      <c r="S390" s="282" t="s">
        <v>747</v>
      </c>
      <c r="T390" s="279" t="s">
        <v>316</v>
      </c>
      <c r="U390" s="279" t="s">
        <v>320</v>
      </c>
      <c r="V390" s="25">
        <v>1</v>
      </c>
      <c r="W390" s="284">
        <v>1126402</v>
      </c>
      <c r="X390" s="19" t="str">
        <f>IFERROR(INDEX(Table14[],MATCH($W390,Table14[SAPNo],0),3),"")</f>
        <v>1613 CT421 16-60</v>
      </c>
      <c r="Y390" s="284">
        <v>56</v>
      </c>
      <c r="Z390" s="25">
        <f t="shared" si="66"/>
        <v>0</v>
      </c>
      <c r="AA390" s="25">
        <f t="shared" si="69"/>
        <v>0</v>
      </c>
      <c r="AB390" s="23">
        <f ca="1">IFERROR(INDEX('Cutters Inventory 12-30-2025'!A:W,MATCH($W390,'Cutters Inventory 12-30-2025'!B:B,0),14),0)</f>
        <v>422</v>
      </c>
      <c r="AC390" s="23">
        <f>SUMIF(Table1[LEVEL 5 MAT NO.],S390,Table1[Braze Plan])</f>
        <v>0</v>
      </c>
      <c r="AD390" s="23">
        <f>Table4[[#This Row],[Quantity]]*Table4[[#This Row],[Bits Braze Plan]]</f>
        <v>0</v>
      </c>
      <c r="AE390" s="23">
        <f ca="1">Table4[[#This Row],[INV. QTY]]-Table4[[#This Row],[Required For Braze Cutters Check]]</f>
        <v>422</v>
      </c>
      <c r="AF390" s="23">
        <f t="shared" ca="1" si="67"/>
        <v>422</v>
      </c>
      <c r="AG390" s="23"/>
      <c r="AJ390" s="19">
        <f t="shared" si="65"/>
        <v>0</v>
      </c>
    </row>
    <row r="391" spans="1:36" ht="24.75" customHeight="1" x14ac:dyDescent="0.25">
      <c r="A391" s="109">
        <v>20240098</v>
      </c>
      <c r="B391" s="608"/>
      <c r="C391" s="109">
        <v>14178476</v>
      </c>
      <c r="D391" s="109" t="s">
        <v>637</v>
      </c>
      <c r="E391" s="109" t="s">
        <v>287</v>
      </c>
      <c r="F391" s="109" t="s">
        <v>103</v>
      </c>
      <c r="G391" s="109" t="s">
        <v>681</v>
      </c>
      <c r="H391" s="140">
        <v>1267122</v>
      </c>
      <c r="I391" s="140">
        <v>1257458</v>
      </c>
      <c r="J391" s="26">
        <f>IF(H391&lt;&gt;"",IF(AND(C391&lt;&gt;"",IFERROR(MATCH(C391,Table10[Serial No.],0),0)),0,1),0)</f>
        <v>0</v>
      </c>
      <c r="K391" s="21"/>
      <c r="L391" s="539" t="str">
        <f t="shared" ca="1" si="68"/>
        <v/>
      </c>
      <c r="S391" s="282" t="s">
        <v>747</v>
      </c>
      <c r="T391" s="279" t="s">
        <v>316</v>
      </c>
      <c r="U391" s="279" t="s">
        <v>320</v>
      </c>
      <c r="V391" s="25">
        <v>2</v>
      </c>
      <c r="W391" s="284">
        <v>717751</v>
      </c>
      <c r="X391" s="19" t="str">
        <f>IFERROR(INDEX(Table14[],MATCH($W391,Table14[SAPNo],0),3),"")</f>
        <v>Round 1308 CT200  0.018" (B)</v>
      </c>
      <c r="Y391" s="284">
        <v>39</v>
      </c>
      <c r="Z391" s="25">
        <f t="shared" si="66"/>
        <v>0</v>
      </c>
      <c r="AA391" s="25">
        <f t="shared" si="69"/>
        <v>0</v>
      </c>
      <c r="AB391" s="23">
        <f ca="1">IFERROR(INDEX('Cutters Inventory 12-30-2025'!A:W,MATCH($W391,'Cutters Inventory 12-30-2025'!B:B,0),14),0)</f>
        <v>28</v>
      </c>
      <c r="AC391" s="23">
        <f>SUMIF(Table1[LEVEL 5 MAT NO.],S391,Table1[Braze Plan])</f>
        <v>0</v>
      </c>
      <c r="AD391" s="23">
        <f>Table4[[#This Row],[Quantity]]*Table4[[#This Row],[Bits Braze Plan]]</f>
        <v>0</v>
      </c>
      <c r="AE391" s="23">
        <f ca="1">Table4[[#This Row],[INV. QTY]]-Table4[[#This Row],[Required For Braze Cutters Check]]</f>
        <v>28</v>
      </c>
      <c r="AF391" s="23">
        <f t="shared" ca="1" si="67"/>
        <v>28</v>
      </c>
      <c r="AG391" s="23"/>
      <c r="AJ391" s="19">
        <f t="shared" si="65"/>
        <v>0</v>
      </c>
    </row>
    <row r="392" spans="1:36" ht="24.75" customHeight="1" x14ac:dyDescent="0.25">
      <c r="A392" s="109">
        <v>20240098</v>
      </c>
      <c r="B392" s="709"/>
      <c r="C392" s="109">
        <v>14178485</v>
      </c>
      <c r="D392" s="109" t="s">
        <v>316</v>
      </c>
      <c r="E392" s="109" t="s">
        <v>318</v>
      </c>
      <c r="F392" s="109" t="s">
        <v>662</v>
      </c>
      <c r="G392" s="109" t="s">
        <v>676</v>
      </c>
      <c r="H392" s="140">
        <v>1145823</v>
      </c>
      <c r="I392" s="140">
        <v>1033011</v>
      </c>
      <c r="J392" s="26">
        <f>IF(H392&lt;&gt;"",IF(AND(C392&lt;&gt;"",IFERROR(MATCH(C392,Table10[Serial No.],0),0)),0,1),0)</f>
        <v>0</v>
      </c>
      <c r="K392" s="21"/>
      <c r="L392" s="539" t="str">
        <f t="shared" ca="1" si="68"/>
        <v/>
      </c>
      <c r="S392" s="282" t="s">
        <v>747</v>
      </c>
      <c r="T392" s="279" t="s">
        <v>316</v>
      </c>
      <c r="U392" s="279" t="s">
        <v>320</v>
      </c>
      <c r="V392" s="25">
        <v>3</v>
      </c>
      <c r="W392" s="284">
        <v>410851</v>
      </c>
      <c r="X392" s="19" t="str">
        <f>IFERROR(INDEX(Table14[],MATCH($W392,Table14[SAPNo],0),3),"")</f>
        <v>PDC Dome 1308 CT31   (B)</v>
      </c>
      <c r="Y392" s="284">
        <v>42</v>
      </c>
      <c r="Z392" s="25">
        <f t="shared" si="66"/>
        <v>0</v>
      </c>
      <c r="AA392" s="25">
        <f t="shared" si="69"/>
        <v>0</v>
      </c>
      <c r="AB392" s="23">
        <f ca="1">IFERROR(INDEX('Cutters Inventory 12-30-2025'!A:W,MATCH($W392,'Cutters Inventory 12-30-2025'!B:B,0),14),0)</f>
        <v>93</v>
      </c>
      <c r="AC392" s="23">
        <f>SUMIF(Table1[LEVEL 5 MAT NO.],S392,Table1[Braze Plan])</f>
        <v>0</v>
      </c>
      <c r="AD392" s="23">
        <f>Table4[[#This Row],[Quantity]]*Table4[[#This Row],[Bits Braze Plan]]</f>
        <v>0</v>
      </c>
      <c r="AE392" s="23">
        <f ca="1">Table4[[#This Row],[INV. QTY]]-Table4[[#This Row],[Required For Braze Cutters Check]]</f>
        <v>93</v>
      </c>
      <c r="AF392" s="23">
        <f t="shared" ca="1" si="67"/>
        <v>93</v>
      </c>
      <c r="AG392" s="627" t="s">
        <v>748</v>
      </c>
      <c r="AJ392" s="19">
        <f t="shared" si="65"/>
        <v>0</v>
      </c>
    </row>
    <row r="393" spans="1:36" ht="24.75" customHeight="1" x14ac:dyDescent="0.25">
      <c r="A393" s="132">
        <v>20240098</v>
      </c>
      <c r="B393" s="711"/>
      <c r="C393" s="132">
        <v>14178484</v>
      </c>
      <c r="D393" s="132" t="s">
        <v>316</v>
      </c>
      <c r="E393" s="132" t="s">
        <v>318</v>
      </c>
      <c r="F393" s="132" t="s">
        <v>662</v>
      </c>
      <c r="G393" s="132" t="s">
        <v>676</v>
      </c>
      <c r="H393" s="141">
        <v>1145823</v>
      </c>
      <c r="I393" s="141">
        <v>1033011</v>
      </c>
      <c r="J393" s="26">
        <f>IF(H393&lt;&gt;"",IF(AND(C393&lt;&gt;"",IFERROR(MATCH(C393,Table10[Serial No.],0),0)),0,1),0)</f>
        <v>0</v>
      </c>
      <c r="K393" s="21"/>
      <c r="L393" s="539" t="str">
        <f t="shared" ca="1" si="68"/>
        <v/>
      </c>
      <c r="S393" s="281" t="s">
        <v>747</v>
      </c>
      <c r="T393" s="278" t="s">
        <v>316</v>
      </c>
      <c r="U393" s="278" t="s">
        <v>320</v>
      </c>
      <c r="V393" s="25">
        <v>4</v>
      </c>
      <c r="W393" s="284">
        <v>179733</v>
      </c>
      <c r="X393" s="19" t="str">
        <f>IFERROR(INDEX(Table14[],MATCH($W393,Table14[SAPNo],0),3),"")</f>
        <v>Short IA 13    (C)</v>
      </c>
      <c r="Y393" s="284">
        <v>23</v>
      </c>
      <c r="Z393" s="25">
        <f t="shared" si="66"/>
        <v>0</v>
      </c>
      <c r="AA393" s="25">
        <f t="shared" si="69"/>
        <v>0</v>
      </c>
      <c r="AB393" s="23">
        <f ca="1">IFERROR(INDEX('Cutters Inventory 12-30-2025'!A:W,MATCH($W393,'Cutters Inventory 12-30-2025'!B:B,0),14),0)</f>
        <v>68</v>
      </c>
      <c r="AC393" s="23">
        <f>SUMIF(Table1[LEVEL 5 MAT NO.],S393,Table1[Braze Plan])</f>
        <v>0</v>
      </c>
      <c r="AD393" s="23">
        <f>Table4[[#This Row],[Quantity]]*Table4[[#This Row],[Bits Braze Plan]]</f>
        <v>0</v>
      </c>
      <c r="AE393" s="23">
        <f ca="1">Table4[[#This Row],[INV. QTY]]-Table4[[#This Row],[Required For Braze Cutters Check]]</f>
        <v>68</v>
      </c>
      <c r="AF393" s="23">
        <f t="shared" ca="1" si="67"/>
        <v>68</v>
      </c>
      <c r="AG393" s="627" t="s">
        <v>748</v>
      </c>
      <c r="AJ393" s="19">
        <f t="shared" si="65"/>
        <v>0</v>
      </c>
    </row>
    <row r="394" spans="1:36" ht="24.75" customHeight="1" x14ac:dyDescent="0.25">
      <c r="A394" s="109">
        <v>20240109</v>
      </c>
      <c r="B394" s="709"/>
      <c r="C394" s="109">
        <v>14190173</v>
      </c>
      <c r="D394" s="109" t="s">
        <v>624</v>
      </c>
      <c r="E394" s="109" t="s">
        <v>663</v>
      </c>
      <c r="F394" s="109" t="s">
        <v>749</v>
      </c>
      <c r="G394" s="109" t="s">
        <v>681</v>
      </c>
      <c r="H394" s="140">
        <v>1269498</v>
      </c>
      <c r="I394" s="140">
        <v>1276939</v>
      </c>
      <c r="J394" s="26">
        <f>IF(H394&lt;&gt;"",IF(AND(C394&lt;&gt;"",IFERROR(MATCH(C394,Table10[Serial No.],0),0)),0,1),0)</f>
        <v>0</v>
      </c>
      <c r="K394" s="21"/>
      <c r="L394" s="539" t="str">
        <f t="shared" ca="1" si="68"/>
        <v/>
      </c>
      <c r="S394" s="281" t="s">
        <v>747</v>
      </c>
      <c r="T394" s="278" t="s">
        <v>316</v>
      </c>
      <c r="U394" s="278" t="s">
        <v>320</v>
      </c>
      <c r="V394" s="25">
        <v>5</v>
      </c>
      <c r="W394" s="284">
        <v>418525</v>
      </c>
      <c r="X394" s="19" t="str">
        <f>IFERROR(INDEX(Table14[],MATCH($W394,Table14[SAPNo],0),3),"")</f>
        <v>Drop In 1308 CT31   (B)</v>
      </c>
      <c r="Y394" s="284">
        <v>14</v>
      </c>
      <c r="Z394" s="25">
        <f t="shared" si="66"/>
        <v>0</v>
      </c>
      <c r="AA394" s="25">
        <f t="shared" si="69"/>
        <v>0</v>
      </c>
      <c r="AB394" s="23">
        <f ca="1">IFERROR(INDEX('Cutters Inventory 12-30-2025'!A:W,MATCH($W394,'Cutters Inventory 12-30-2025'!B:B,0),14),0)</f>
        <v>933</v>
      </c>
      <c r="AC394" s="23">
        <f>SUMIF(Table1[LEVEL 5 MAT NO.],S394,Table1[Braze Plan])</f>
        <v>0</v>
      </c>
      <c r="AD394" s="23">
        <f>Table4[[#This Row],[Quantity]]*Table4[[#This Row],[Bits Braze Plan]]</f>
        <v>0</v>
      </c>
      <c r="AE394" s="23">
        <f ca="1">Table4[[#This Row],[INV. QTY]]-Table4[[#This Row],[Required For Braze Cutters Check]]</f>
        <v>933</v>
      </c>
      <c r="AF394" s="23">
        <f t="shared" ca="1" si="67"/>
        <v>933</v>
      </c>
      <c r="AG394" s="627" t="s">
        <v>748</v>
      </c>
      <c r="AJ394" s="19">
        <f t="shared" si="65"/>
        <v>0</v>
      </c>
    </row>
    <row r="395" spans="1:36" ht="24.75" customHeight="1" x14ac:dyDescent="0.25">
      <c r="A395" s="109">
        <v>20240109</v>
      </c>
      <c r="B395" s="709"/>
      <c r="C395" s="109">
        <v>14190171</v>
      </c>
      <c r="D395" s="109" t="s">
        <v>624</v>
      </c>
      <c r="E395" s="109" t="s">
        <v>663</v>
      </c>
      <c r="F395" s="109" t="s">
        <v>749</v>
      </c>
      <c r="G395" s="109" t="s">
        <v>681</v>
      </c>
      <c r="H395" s="140">
        <v>1269498</v>
      </c>
      <c r="I395" s="140">
        <v>1276939</v>
      </c>
      <c r="J395" s="26">
        <f>IF(H395&lt;&gt;"",IF(AND(C395&lt;&gt;"",IFERROR(MATCH(C395,Table10[Serial No.],0),0)),0,1),0)</f>
        <v>0</v>
      </c>
      <c r="K395" s="21"/>
      <c r="L395" s="539" t="str">
        <f t="shared" ca="1" si="68"/>
        <v/>
      </c>
      <c r="S395" s="281" t="s">
        <v>747</v>
      </c>
      <c r="T395" s="278" t="s">
        <v>316</v>
      </c>
      <c r="U395" s="278" t="s">
        <v>320</v>
      </c>
      <c r="V395" s="25">
        <v>6</v>
      </c>
      <c r="W395" s="284">
        <v>1130197</v>
      </c>
      <c r="X395" s="19" t="str">
        <f>IFERROR(INDEX(Table14[],MATCH($W395,Table14[SAPNo],0),3),"")</f>
        <v>Round 1608 CT182  0.018" (S)</v>
      </c>
      <c r="Y395" s="284">
        <v>13</v>
      </c>
      <c r="Z395" s="25">
        <f t="shared" si="66"/>
        <v>0</v>
      </c>
      <c r="AA395" s="25">
        <f t="shared" si="69"/>
        <v>0</v>
      </c>
      <c r="AB395" s="23">
        <f ca="1">IFERROR(INDEX('Cutters Inventory 12-30-2025'!A:W,MATCH($W395,'Cutters Inventory 12-30-2025'!B:B,0),14),0)</f>
        <v>39</v>
      </c>
      <c r="AC395" s="23">
        <f>SUMIF(Table1[LEVEL 5 MAT NO.],S395,Table1[Braze Plan])</f>
        <v>0</v>
      </c>
      <c r="AD395" s="23">
        <f>Table4[[#This Row],[Quantity]]*Table4[[#This Row],[Bits Braze Plan]]</f>
        <v>0</v>
      </c>
      <c r="AE395" s="23">
        <f ca="1">Table4[[#This Row],[INV. QTY]]-Table4[[#This Row],[Required For Braze Cutters Check]]</f>
        <v>39</v>
      </c>
      <c r="AF395" s="23">
        <f t="shared" ca="1" si="67"/>
        <v>39</v>
      </c>
      <c r="AG395" s="627" t="s">
        <v>748</v>
      </c>
      <c r="AJ395" s="19">
        <f t="shared" si="65"/>
        <v>0</v>
      </c>
    </row>
    <row r="396" spans="1:36" ht="24.75" customHeight="1" x14ac:dyDescent="0.25">
      <c r="A396" s="109">
        <v>20240109</v>
      </c>
      <c r="B396" s="709"/>
      <c r="C396" s="109">
        <v>14190172</v>
      </c>
      <c r="D396" s="109" t="s">
        <v>624</v>
      </c>
      <c r="E396" s="109" t="s">
        <v>663</v>
      </c>
      <c r="F396" s="109" t="s">
        <v>749</v>
      </c>
      <c r="G396" s="109" t="s">
        <v>681</v>
      </c>
      <c r="H396" s="140">
        <v>1269498</v>
      </c>
      <c r="I396" s="140">
        <v>1276939</v>
      </c>
      <c r="J396" s="26">
        <f>IF(H396&lt;&gt;"",IF(AND(C396&lt;&gt;"",IFERROR(MATCH(C396,Table10[Serial No.],0),0)),0,1),0)</f>
        <v>0</v>
      </c>
      <c r="K396" s="21"/>
      <c r="L396" s="539" t="str">
        <f t="shared" ca="1" si="68"/>
        <v/>
      </c>
      <c r="S396" s="281" t="s">
        <v>750</v>
      </c>
      <c r="T396" s="278" t="s">
        <v>627</v>
      </c>
      <c r="U396" s="278" t="s">
        <v>308</v>
      </c>
      <c r="V396" s="25">
        <v>1</v>
      </c>
      <c r="W396" s="284">
        <v>1177229</v>
      </c>
      <c r="X396" s="19" t="str">
        <f>IFERROR(INDEX(Table14[],MATCH($W396,Table14[SAPNo],0),3),"")</f>
        <v>1010 CT182 U</v>
      </c>
      <c r="Y396" s="284">
        <v>19</v>
      </c>
      <c r="Z396" s="25">
        <f t="shared" si="66"/>
        <v>0</v>
      </c>
      <c r="AA396" s="25">
        <f t="shared" si="69"/>
        <v>0</v>
      </c>
      <c r="AB396" s="23">
        <f ca="1">IFERROR(INDEX('Cutters Inventory 12-30-2025'!A:W,MATCH($W396,'Cutters Inventory 12-30-2025'!B:B,0),14),0)</f>
        <v>0</v>
      </c>
      <c r="AC396" s="23">
        <f>SUMIF(Table1[LEVEL 5 MAT NO.],S396,Table1[Braze Plan])</f>
        <v>0</v>
      </c>
      <c r="AD396" s="23">
        <f>Table4[[#This Row],[Quantity]]*Table4[[#This Row],[Bits Braze Plan]]</f>
        <v>0</v>
      </c>
      <c r="AE396" s="23">
        <f ca="1">Table4[[#This Row],[INV. QTY]]-Table4[[#This Row],[Required For Braze Cutters Check]]</f>
        <v>0</v>
      </c>
      <c r="AF396" s="23">
        <f t="shared" ca="1" si="67"/>
        <v>0</v>
      </c>
      <c r="AG396" s="627" t="s">
        <v>748</v>
      </c>
      <c r="AJ396" s="19">
        <f t="shared" si="65"/>
        <v>0</v>
      </c>
    </row>
    <row r="397" spans="1:36" ht="24.75" customHeight="1" x14ac:dyDescent="0.25">
      <c r="A397" s="109">
        <v>20240109</v>
      </c>
      <c r="B397" s="608"/>
      <c r="C397" s="109">
        <v>14199937</v>
      </c>
      <c r="D397" s="109" t="s">
        <v>624</v>
      </c>
      <c r="E397" s="109" t="s">
        <v>663</v>
      </c>
      <c r="F397" s="109" t="s">
        <v>749</v>
      </c>
      <c r="G397" s="109" t="s">
        <v>681</v>
      </c>
      <c r="H397" s="140">
        <v>1269498</v>
      </c>
      <c r="I397" s="140">
        <v>1276939</v>
      </c>
      <c r="J397" s="26">
        <f>IF(H397&lt;&gt;"",IF(AND(C397&lt;&gt;"",IFERROR(MATCH(C397,Table10[Serial No.],0),0)),0,1),0)</f>
        <v>0</v>
      </c>
      <c r="K397" s="21"/>
      <c r="L397" s="539" t="str">
        <f t="shared" ca="1" si="68"/>
        <v/>
      </c>
      <c r="S397" s="281" t="s">
        <v>751</v>
      </c>
      <c r="T397" s="278" t="s">
        <v>307</v>
      </c>
      <c r="U397" s="278" t="s">
        <v>308</v>
      </c>
      <c r="V397" s="25">
        <v>1</v>
      </c>
      <c r="W397" s="284">
        <v>717748</v>
      </c>
      <c r="X397" s="19" t="str">
        <f>IFERROR(INDEX(Table14[],MATCH($W397,Table14[SAPNo],0),3),"")</f>
        <v>Round 1010 CT200  0.018" (B)</v>
      </c>
      <c r="Y397" s="284">
        <v>19</v>
      </c>
      <c r="Z397" s="25">
        <f t="shared" si="66"/>
        <v>0</v>
      </c>
      <c r="AA397" s="25">
        <f t="shared" si="69"/>
        <v>0</v>
      </c>
      <c r="AB397" s="23">
        <f ca="1">IFERROR(INDEX('Cutters Inventory 12-30-2025'!A:W,MATCH($W397,'Cutters Inventory 12-30-2025'!B:B,0),14),0)</f>
        <v>295</v>
      </c>
      <c r="AC397" s="23">
        <f>SUMIF(Table1[LEVEL 5 MAT NO.],S397,Table1[Braze Plan])</f>
        <v>0</v>
      </c>
      <c r="AD397" s="23">
        <f>Table4[[#This Row],[Quantity]]*Table4[[#This Row],[Bits Braze Plan]]</f>
        <v>0</v>
      </c>
      <c r="AE397" s="23">
        <f ca="1">Table4[[#This Row],[INV. QTY]]-Table4[[#This Row],[Required For Braze Cutters Check]]</f>
        <v>295</v>
      </c>
      <c r="AF397" s="23">
        <f t="shared" ca="1" si="67"/>
        <v>295</v>
      </c>
      <c r="AG397" s="627" t="s">
        <v>748</v>
      </c>
      <c r="AJ397" s="19">
        <f t="shared" si="65"/>
        <v>0</v>
      </c>
    </row>
    <row r="398" spans="1:36" ht="24.75" customHeight="1" x14ac:dyDescent="0.25">
      <c r="A398" s="132">
        <v>20240109</v>
      </c>
      <c r="B398" s="609"/>
      <c r="C398" s="132">
        <v>14199938</v>
      </c>
      <c r="D398" s="132" t="s">
        <v>624</v>
      </c>
      <c r="E398" s="132" t="s">
        <v>663</v>
      </c>
      <c r="F398" s="132" t="s">
        <v>749</v>
      </c>
      <c r="G398" s="132" t="s">
        <v>681</v>
      </c>
      <c r="H398" s="141">
        <v>1269498</v>
      </c>
      <c r="I398" s="141">
        <v>1276939</v>
      </c>
      <c r="J398" s="26">
        <f>IF(H398&lt;&gt;"",IF(AND(C398&lt;&gt;"",IFERROR(MATCH(C398,Table10[Serial No.],0),0)),0,1),0)</f>
        <v>0</v>
      </c>
      <c r="K398" s="21"/>
      <c r="L398" s="539" t="str">
        <f t="shared" ca="1" si="68"/>
        <v/>
      </c>
      <c r="S398" s="282" t="s">
        <v>752</v>
      </c>
      <c r="T398" s="279" t="s">
        <v>627</v>
      </c>
      <c r="U398" s="279" t="s">
        <v>670</v>
      </c>
      <c r="V398" s="25">
        <v>1</v>
      </c>
      <c r="W398" s="284">
        <v>1177229</v>
      </c>
      <c r="X398" s="19" t="str">
        <f>IFERROR(INDEX(Table14[],MATCH($W398,Table14[SAPNo],0),3),"")</f>
        <v>1010 CT182 U</v>
      </c>
      <c r="Y398" s="284">
        <v>19</v>
      </c>
      <c r="Z398" s="25">
        <f t="shared" si="66"/>
        <v>0</v>
      </c>
      <c r="AA398" s="25">
        <f t="shared" si="69"/>
        <v>0</v>
      </c>
      <c r="AB398" s="23">
        <f ca="1">IFERROR(INDEX('Cutters Inventory 12-30-2025'!A:W,MATCH($W398,'Cutters Inventory 12-30-2025'!B:B,0),14),0)</f>
        <v>0</v>
      </c>
      <c r="AC398" s="23">
        <f>SUMIF(Table1[LEVEL 5 MAT NO.],S398,Table1[Braze Plan])</f>
        <v>0</v>
      </c>
      <c r="AD398" s="23">
        <f>Table4[[#This Row],[Quantity]]*Table4[[#This Row],[Bits Braze Plan]]</f>
        <v>0</v>
      </c>
      <c r="AE398" s="23">
        <f ca="1">Table4[[#This Row],[INV. QTY]]-Table4[[#This Row],[Required For Braze Cutters Check]]</f>
        <v>0</v>
      </c>
      <c r="AF398" s="23">
        <f t="shared" ca="1" si="67"/>
        <v>0</v>
      </c>
      <c r="AG398" s="298"/>
      <c r="AJ398" s="19">
        <f t="shared" si="65"/>
        <v>0</v>
      </c>
    </row>
    <row r="399" spans="1:36" ht="24.75" customHeight="1" x14ac:dyDescent="0.25">
      <c r="A399" s="109">
        <v>20240101</v>
      </c>
      <c r="B399" s="609"/>
      <c r="C399" s="132">
        <v>14174567</v>
      </c>
      <c r="D399" s="132" t="s">
        <v>309</v>
      </c>
      <c r="E399" s="132" t="s">
        <v>679</v>
      </c>
      <c r="F399" s="132"/>
      <c r="G399" s="132" t="s">
        <v>681</v>
      </c>
      <c r="H399" s="141">
        <v>1259957</v>
      </c>
      <c r="I399" s="141">
        <v>1258557</v>
      </c>
      <c r="J399" s="26">
        <f>IF(H399&lt;&gt;"",IF(AND(C399&lt;&gt;"",IFERROR(MATCH(C399,Table10[Serial No.],0),0)),0,1),0)</f>
        <v>1</v>
      </c>
      <c r="K399" s="21"/>
      <c r="L399" s="539" t="str">
        <f t="shared" ca="1" si="68"/>
        <v/>
      </c>
      <c r="S399" s="282" t="s">
        <v>753</v>
      </c>
      <c r="T399" s="279" t="s">
        <v>309</v>
      </c>
      <c r="U399" s="279" t="s">
        <v>754</v>
      </c>
      <c r="V399" s="25">
        <v>1</v>
      </c>
      <c r="W399" s="284">
        <v>1146346</v>
      </c>
      <c r="X399" s="618" t="str">
        <f>IFERROR(INDEX(Table14[],MATCH($W399,Table14[SAPNo],0),3),"")</f>
        <v>1313 CT418 18-60</v>
      </c>
      <c r="Y399" s="284">
        <v>16</v>
      </c>
      <c r="Z399" s="25">
        <f t="shared" si="66"/>
        <v>0</v>
      </c>
      <c r="AA399" s="25">
        <f t="shared" si="69"/>
        <v>0</v>
      </c>
      <c r="AB399" s="23">
        <f ca="1">IFERROR(INDEX('Cutters Inventory 12-30-2025'!A:W,MATCH($W399,'Cutters Inventory 12-30-2025'!B:B,0),14),0)</f>
        <v>558</v>
      </c>
      <c r="AC399" s="23">
        <f>SUMIF(Table1[LEVEL 5 MAT NO.],S399,Table1[Braze Plan])</f>
        <v>0</v>
      </c>
      <c r="AD399" s="23">
        <f>Table4[[#This Row],[Quantity]]*Table4[[#This Row],[Bits Braze Plan]]</f>
        <v>0</v>
      </c>
      <c r="AE399" s="23">
        <f ca="1">Table4[[#This Row],[INV. QTY]]-Table4[[#This Row],[Required For Braze Cutters Check]]</f>
        <v>558</v>
      </c>
      <c r="AF399" s="23">
        <f t="shared" ca="1" si="67"/>
        <v>558</v>
      </c>
      <c r="AG399" s="625" t="s">
        <v>740</v>
      </c>
      <c r="AJ399" s="19">
        <f t="shared" si="65"/>
        <v>0</v>
      </c>
    </row>
    <row r="400" spans="1:36" ht="24.75" customHeight="1" x14ac:dyDescent="0.25">
      <c r="A400" s="132">
        <v>20240109</v>
      </c>
      <c r="B400" s="608"/>
      <c r="C400" s="109">
        <v>14190154</v>
      </c>
      <c r="D400" s="109" t="s">
        <v>309</v>
      </c>
      <c r="E400" s="109" t="s">
        <v>311</v>
      </c>
      <c r="F400" s="109"/>
      <c r="G400" s="109" t="s">
        <v>676</v>
      </c>
      <c r="H400" s="140">
        <v>1145824</v>
      </c>
      <c r="I400" s="140">
        <v>1137349</v>
      </c>
      <c r="J400" s="26">
        <f>IF(H400&lt;&gt;"",IF(AND(C400&lt;&gt;"",IFERROR(MATCH(C400,Table10[Serial No.],0),0)),0,1),0)</f>
        <v>0</v>
      </c>
      <c r="K400" s="21"/>
      <c r="L400" s="539" t="str">
        <f t="shared" ca="1" si="68"/>
        <v/>
      </c>
      <c r="S400" s="282" t="s">
        <v>753</v>
      </c>
      <c r="T400" s="279" t="s">
        <v>309</v>
      </c>
      <c r="U400" s="279" t="s">
        <v>754</v>
      </c>
      <c r="V400" s="25">
        <v>2</v>
      </c>
      <c r="W400" s="284">
        <v>1209332</v>
      </c>
      <c r="X400" s="19" t="str">
        <f>IFERROR(INDEX(Table14[],MATCH($W400,Table14[SAPNo],0),3),"")</f>
        <v>1313 CT147G U</v>
      </c>
      <c r="Y400" s="284">
        <v>9</v>
      </c>
      <c r="Z400" s="25">
        <f t="shared" si="66"/>
        <v>0</v>
      </c>
      <c r="AA400" s="25">
        <f t="shared" si="69"/>
        <v>0</v>
      </c>
      <c r="AB400" s="23">
        <f ca="1">IFERROR(INDEX('Cutters Inventory 12-30-2025'!A:W,MATCH($W400,'Cutters Inventory 12-30-2025'!B:B,0),14),0)</f>
        <v>1</v>
      </c>
      <c r="AC400" s="23">
        <f>SUMIF(Table1[LEVEL 5 MAT NO.],S400,Table1[Braze Plan])</f>
        <v>0</v>
      </c>
      <c r="AD400" s="23">
        <f>Table4[[#This Row],[Quantity]]*Table4[[#This Row],[Bits Braze Plan]]</f>
        <v>0</v>
      </c>
      <c r="AE400" s="23">
        <f ca="1">Table4[[#This Row],[INV. QTY]]-Table4[[#This Row],[Required For Braze Cutters Check]]</f>
        <v>1</v>
      </c>
      <c r="AF400" s="23">
        <f t="shared" ca="1" si="67"/>
        <v>1</v>
      </c>
      <c r="AG400" s="298"/>
      <c r="AJ400" s="19">
        <f t="shared" si="65"/>
        <v>0</v>
      </c>
    </row>
    <row r="401" spans="1:33" ht="24.75" customHeight="1" x14ac:dyDescent="0.25">
      <c r="A401" s="109">
        <v>20240109</v>
      </c>
      <c r="B401" s="608"/>
      <c r="C401" s="109">
        <v>14190155</v>
      </c>
      <c r="D401" s="109" t="s">
        <v>309</v>
      </c>
      <c r="E401" s="109" t="s">
        <v>311</v>
      </c>
      <c r="F401" s="109"/>
      <c r="G401" s="109" t="s">
        <v>676</v>
      </c>
      <c r="H401" s="140">
        <v>1145824</v>
      </c>
      <c r="I401" s="140">
        <v>1137349</v>
      </c>
      <c r="J401" s="26">
        <f>IF(H401&lt;&gt;"",IF(AND(C401&lt;&gt;"",IFERROR(MATCH(C401,Table10[Serial No.],0),0)),0,1),0)</f>
        <v>0</v>
      </c>
      <c r="K401" s="21"/>
      <c r="L401" s="539" t="str">
        <f t="shared" ca="1" si="68"/>
        <v/>
      </c>
      <c r="S401" s="282" t="s">
        <v>753</v>
      </c>
      <c r="T401" s="279" t="s">
        <v>309</v>
      </c>
      <c r="U401" s="279" t="s">
        <v>754</v>
      </c>
      <c r="V401" s="25">
        <v>3</v>
      </c>
      <c r="W401" s="284">
        <v>418525</v>
      </c>
      <c r="X401" s="19" t="str">
        <f>IFERROR(INDEX(Table14[],MATCH($W401,Table14[SAPNo],0),3),"")</f>
        <v>Drop In 1308 CT31   (B)</v>
      </c>
      <c r="Y401" s="284">
        <v>6</v>
      </c>
      <c r="Z401" s="25">
        <f t="shared" si="66"/>
        <v>0</v>
      </c>
      <c r="AA401" s="25">
        <f t="shared" si="69"/>
        <v>0</v>
      </c>
      <c r="AB401" s="23">
        <f ca="1">IFERROR(INDEX('Cutters Inventory 12-30-2025'!A:W,MATCH($W401,'Cutters Inventory 12-30-2025'!B:B,0),14),0)</f>
        <v>933</v>
      </c>
      <c r="AC401" s="23">
        <f>SUMIF(Table1[LEVEL 5 MAT NO.],S401,Table1[Braze Plan])</f>
        <v>0</v>
      </c>
      <c r="AD401" s="23">
        <f>Table4[[#This Row],[Quantity]]*Table4[[#This Row],[Bits Braze Plan]]</f>
        <v>0</v>
      </c>
      <c r="AE401" s="23">
        <f ca="1">Table4[[#This Row],[INV. QTY]]-Table4[[#This Row],[Required For Braze Cutters Check]]</f>
        <v>933</v>
      </c>
      <c r="AF401" s="23">
        <f t="shared" ca="1" si="67"/>
        <v>933</v>
      </c>
      <c r="AG401" s="298"/>
    </row>
    <row r="402" spans="1:33" ht="24.75" customHeight="1" x14ac:dyDescent="0.25">
      <c r="A402" s="132">
        <v>20240109</v>
      </c>
      <c r="B402" s="608"/>
      <c r="C402" s="109">
        <v>14190156</v>
      </c>
      <c r="D402" s="109" t="s">
        <v>309</v>
      </c>
      <c r="E402" s="109" t="s">
        <v>311</v>
      </c>
      <c r="F402" s="109"/>
      <c r="G402" s="109" t="s">
        <v>676</v>
      </c>
      <c r="H402" s="140">
        <v>1145824</v>
      </c>
      <c r="I402" s="140">
        <v>1137349</v>
      </c>
      <c r="J402" s="26">
        <f>IF(H402&lt;&gt;"",IF(AND(C402&lt;&gt;"",IFERROR(MATCH(C402,Table10[Serial No.],0),0)),0,1),0)</f>
        <v>0</v>
      </c>
      <c r="K402" s="21"/>
      <c r="L402" s="539" t="str">
        <f t="shared" ca="1" si="68"/>
        <v/>
      </c>
      <c r="S402" s="282" t="s">
        <v>753</v>
      </c>
      <c r="T402" s="279" t="s">
        <v>309</v>
      </c>
      <c r="U402" s="279" t="s">
        <v>754</v>
      </c>
      <c r="V402" s="25">
        <v>4</v>
      </c>
      <c r="W402" s="284">
        <v>649901</v>
      </c>
      <c r="X402" s="19" t="str">
        <f>IFERROR(INDEX(Table14[],MATCH($W402,Table14[SAPNo],0),3),"")</f>
        <v>Carbide IA 8    (C)</v>
      </c>
      <c r="Y402" s="284">
        <v>5</v>
      </c>
      <c r="Z402" s="25">
        <f t="shared" si="66"/>
        <v>0</v>
      </c>
      <c r="AA402" s="25">
        <f t="shared" si="69"/>
        <v>0</v>
      </c>
      <c r="AB402" s="23">
        <f ca="1">IFERROR(INDEX('Cutters Inventory 12-30-2025'!A:W,MATCH($W402,'Cutters Inventory 12-30-2025'!B:B,0),14),0)</f>
        <v>0</v>
      </c>
      <c r="AC402" s="23">
        <f>SUMIF(Table1[LEVEL 5 MAT NO.],S402,Table1[Braze Plan])</f>
        <v>0</v>
      </c>
      <c r="AD402" s="23">
        <f>Table4[[#This Row],[Quantity]]*Table4[[#This Row],[Bits Braze Plan]]</f>
        <v>0</v>
      </c>
      <c r="AE402" s="23">
        <f ca="1">Table4[[#This Row],[INV. QTY]]-Table4[[#This Row],[Required For Braze Cutters Check]]</f>
        <v>0</v>
      </c>
      <c r="AF402" s="23">
        <f t="shared" ca="1" si="67"/>
        <v>0</v>
      </c>
      <c r="AG402" s="627" t="s">
        <v>748</v>
      </c>
    </row>
    <row r="403" spans="1:33" ht="24.75" customHeight="1" x14ac:dyDescent="0.25">
      <c r="A403" s="132">
        <v>20240060</v>
      </c>
      <c r="B403" s="609"/>
      <c r="C403" s="132">
        <v>14159991</v>
      </c>
      <c r="D403" s="132" t="s">
        <v>315</v>
      </c>
      <c r="E403" s="132" t="s">
        <v>660</v>
      </c>
      <c r="F403" s="132"/>
      <c r="G403" s="132"/>
      <c r="H403" s="141">
        <v>1186940</v>
      </c>
      <c r="I403" s="141">
        <v>1176003</v>
      </c>
      <c r="J403" s="26">
        <f>IF(H403&lt;&gt;"",IF(AND(C403&lt;&gt;"",IFERROR(MATCH(C403,Table10[Serial No.],0),0)),0,1),0)</f>
        <v>0</v>
      </c>
      <c r="K403" s="21"/>
      <c r="L403" s="539" t="str">
        <f t="shared" ca="1" si="68"/>
        <v/>
      </c>
      <c r="S403" s="281" t="s">
        <v>753</v>
      </c>
      <c r="T403" s="278" t="s">
        <v>309</v>
      </c>
      <c r="U403" s="278" t="s">
        <v>754</v>
      </c>
      <c r="V403" s="25">
        <v>5</v>
      </c>
      <c r="W403" s="284">
        <v>1104083</v>
      </c>
      <c r="X403" s="19" t="str">
        <f>IFERROR(INDEX(Table14[],MATCH($W403,Table14[SAPNo],0),3),"")</f>
        <v>1313 CT144H  10C (S)</v>
      </c>
      <c r="Y403" s="284">
        <v>1</v>
      </c>
      <c r="Z403" s="25">
        <f t="shared" si="66"/>
        <v>0</v>
      </c>
      <c r="AA403" s="25">
        <f t="shared" si="69"/>
        <v>0</v>
      </c>
      <c r="AB403" s="23">
        <f ca="1">IFERROR(INDEX('Cutters Inventory 12-30-2025'!A:W,MATCH($W403,'Cutters Inventory 12-30-2025'!B:B,0),14),0)</f>
        <v>2</v>
      </c>
      <c r="AC403" s="23">
        <f>SUMIF(Table1[LEVEL 5 MAT NO.],S403,Table1[Braze Plan])</f>
        <v>0</v>
      </c>
      <c r="AD403" s="23">
        <f>Table4[[#This Row],[Quantity]]*Table4[[#This Row],[Bits Braze Plan]]</f>
        <v>0</v>
      </c>
      <c r="AE403" s="23">
        <f ca="1">Table4[[#This Row],[INV. QTY]]-Table4[[#This Row],[Required For Braze Cutters Check]]</f>
        <v>2</v>
      </c>
      <c r="AF403" s="23">
        <f t="shared" ca="1" si="67"/>
        <v>2</v>
      </c>
      <c r="AG403" s="23"/>
    </row>
    <row r="404" spans="1:33" ht="24.75" customHeight="1" x14ac:dyDescent="0.25">
      <c r="A404" s="109">
        <v>20240120</v>
      </c>
      <c r="B404" s="709"/>
      <c r="C404" s="109">
        <v>14198196</v>
      </c>
      <c r="D404" s="109" t="s">
        <v>309</v>
      </c>
      <c r="E404" s="109" t="s">
        <v>311</v>
      </c>
      <c r="F404" s="109" t="s">
        <v>732</v>
      </c>
      <c r="G404" s="109" t="s">
        <v>676</v>
      </c>
      <c r="H404" s="140">
        <v>1145824</v>
      </c>
      <c r="I404" s="140">
        <v>1137349</v>
      </c>
      <c r="J404" s="26">
        <f>IF(H404&lt;&gt;"",IF(AND(C404&lt;&gt;"",IFERROR(MATCH(C404,Table10[Serial No.],0),0)),0,1),0)</f>
        <v>0</v>
      </c>
      <c r="K404" s="21"/>
      <c r="L404" s="539" t="str">
        <f t="shared" ca="1" si="68"/>
        <v/>
      </c>
      <c r="S404" s="281" t="s">
        <v>755</v>
      </c>
      <c r="T404" s="278" t="s">
        <v>309</v>
      </c>
      <c r="U404" s="278" t="s">
        <v>756</v>
      </c>
      <c r="V404" s="25">
        <v>1</v>
      </c>
      <c r="W404" s="284">
        <v>1136984</v>
      </c>
      <c r="X404" s="19" t="str">
        <f>IFERROR(INDEX(Table14[],MATCH($W404,Table14[SAPNo],0),3),"")</f>
        <v>DBLMCHT 1313 CT182DM  10C (S)</v>
      </c>
      <c r="Y404" s="284">
        <v>13</v>
      </c>
      <c r="Z404" s="25">
        <f t="shared" si="66"/>
        <v>0</v>
      </c>
      <c r="AA404" s="25">
        <f t="shared" si="69"/>
        <v>0</v>
      </c>
      <c r="AB404" s="23">
        <f ca="1">IFERROR(INDEX('Cutters Inventory 12-30-2025'!A:W,MATCH($W404,'Cutters Inventory 12-30-2025'!B:B,0),14),0)</f>
        <v>92</v>
      </c>
      <c r="AC404" s="23">
        <f>SUMIF(Table1[LEVEL 5 MAT NO.],S404,Table1[Braze Plan])</f>
        <v>0</v>
      </c>
      <c r="AD404" s="23">
        <f>Table4[[#This Row],[Quantity]]*Table4[[#This Row],[Bits Braze Plan]]</f>
        <v>0</v>
      </c>
      <c r="AE404" s="23">
        <f ca="1">Table4[[#This Row],[INV. QTY]]-Table4[[#This Row],[Required For Braze Cutters Check]]</f>
        <v>92</v>
      </c>
      <c r="AF404" s="23">
        <f t="shared" ca="1" si="67"/>
        <v>92</v>
      </c>
      <c r="AG404" s="23"/>
    </row>
    <row r="405" spans="1:33" ht="24.75" customHeight="1" x14ac:dyDescent="0.25">
      <c r="A405" s="109">
        <v>20240120</v>
      </c>
      <c r="B405" s="709"/>
      <c r="C405" s="109">
        <v>14198197</v>
      </c>
      <c r="D405" s="109" t="s">
        <v>309</v>
      </c>
      <c r="E405" s="109" t="s">
        <v>311</v>
      </c>
      <c r="F405" s="109" t="s">
        <v>732</v>
      </c>
      <c r="G405" s="109" t="s">
        <v>676</v>
      </c>
      <c r="H405" s="140">
        <v>1145824</v>
      </c>
      <c r="I405" s="140">
        <v>1137349</v>
      </c>
      <c r="J405" s="26">
        <f>IF(H405&lt;&gt;"",IF(AND(C405&lt;&gt;"",IFERROR(MATCH(C405,Table10[Serial No.],0),0)),0,1),0)</f>
        <v>0</v>
      </c>
      <c r="K405" s="21"/>
      <c r="L405" s="539" t="str">
        <f t="shared" ca="1" si="68"/>
        <v/>
      </c>
      <c r="S405" s="281" t="s">
        <v>755</v>
      </c>
      <c r="T405" s="278" t="s">
        <v>309</v>
      </c>
      <c r="U405" s="278" t="s">
        <v>756</v>
      </c>
      <c r="V405" s="25">
        <v>2</v>
      </c>
      <c r="W405" s="284">
        <v>1146346</v>
      </c>
      <c r="X405" s="618" t="str">
        <f>IFERROR(INDEX(Table14[],MATCH($W405,Table14[SAPNo],0),3),"")</f>
        <v>1313 CT418 18-60</v>
      </c>
      <c r="Y405" s="284">
        <v>12</v>
      </c>
      <c r="Z405" s="25">
        <f t="shared" si="66"/>
        <v>0</v>
      </c>
      <c r="AA405" s="25">
        <f t="shared" si="69"/>
        <v>0</v>
      </c>
      <c r="AB405" s="23">
        <f ca="1">IFERROR(INDEX('Cutters Inventory 12-30-2025'!A:W,MATCH($W405,'Cutters Inventory 12-30-2025'!B:B,0),14),0)</f>
        <v>558</v>
      </c>
      <c r="AC405" s="23">
        <f>SUMIF(Table1[LEVEL 5 MAT NO.],S405,Table1[Braze Plan])</f>
        <v>0</v>
      </c>
      <c r="AD405" s="23">
        <f>Table4[[#This Row],[Quantity]]*Table4[[#This Row],[Bits Braze Plan]]</f>
        <v>0</v>
      </c>
      <c r="AE405" s="23">
        <f ca="1">Table4[[#This Row],[INV. QTY]]-Table4[[#This Row],[Required For Braze Cutters Check]]</f>
        <v>558</v>
      </c>
      <c r="AF405" s="23">
        <f t="shared" ca="1" si="67"/>
        <v>558</v>
      </c>
      <c r="AG405" s="625" t="s">
        <v>740</v>
      </c>
    </row>
    <row r="406" spans="1:33" ht="24.75" customHeight="1" x14ac:dyDescent="0.25">
      <c r="A406" s="109">
        <v>20240120</v>
      </c>
      <c r="B406" s="709"/>
      <c r="C406" s="109">
        <v>14198195</v>
      </c>
      <c r="D406" s="109" t="s">
        <v>309</v>
      </c>
      <c r="E406" s="109" t="s">
        <v>311</v>
      </c>
      <c r="F406" s="109" t="s">
        <v>732</v>
      </c>
      <c r="G406" s="109" t="s">
        <v>676</v>
      </c>
      <c r="H406" s="140">
        <v>1145824</v>
      </c>
      <c r="I406" s="140">
        <v>1137349</v>
      </c>
      <c r="J406" s="26">
        <f>IF(H406&lt;&gt;"",IF(AND(C406&lt;&gt;"",IFERROR(MATCH(C406,Table10[Serial No.],0),0)),0,1),0)</f>
        <v>0</v>
      </c>
      <c r="K406" s="21"/>
      <c r="L406" s="539" t="str">
        <f t="shared" ca="1" si="68"/>
        <v/>
      </c>
      <c r="S406" s="281" t="s">
        <v>755</v>
      </c>
      <c r="T406" s="278" t="s">
        <v>309</v>
      </c>
      <c r="U406" s="278" t="s">
        <v>756</v>
      </c>
      <c r="V406" s="25">
        <v>3</v>
      </c>
      <c r="W406" s="284">
        <v>418525</v>
      </c>
      <c r="X406" s="19" t="str">
        <f>IFERROR(INDEX(Table14[],MATCH($W406,Table14[SAPNo],0),3),"")</f>
        <v>Drop In 1308 CT31   (B)</v>
      </c>
      <c r="Y406" s="284">
        <v>6</v>
      </c>
      <c r="Z406" s="25">
        <f t="shared" si="66"/>
        <v>0</v>
      </c>
      <c r="AA406" s="25">
        <f t="shared" si="69"/>
        <v>0</v>
      </c>
      <c r="AB406" s="23">
        <f ca="1">IFERROR(INDEX('Cutters Inventory 12-30-2025'!A:W,MATCH($W406,'Cutters Inventory 12-30-2025'!B:B,0),14),0)</f>
        <v>933</v>
      </c>
      <c r="AC406" s="23">
        <f>SUMIF(Table1[LEVEL 5 MAT NO.],S406,Table1[Braze Plan])</f>
        <v>0</v>
      </c>
      <c r="AD406" s="23">
        <f>Table4[[#This Row],[Quantity]]*Table4[[#This Row],[Bits Braze Plan]]</f>
        <v>0</v>
      </c>
      <c r="AE406" s="23">
        <f ca="1">Table4[[#This Row],[INV. QTY]]-Table4[[#This Row],[Required For Braze Cutters Check]]</f>
        <v>933</v>
      </c>
      <c r="AF406" s="23">
        <f t="shared" ca="1" si="67"/>
        <v>933</v>
      </c>
      <c r="AG406" s="23"/>
    </row>
    <row r="407" spans="1:33" ht="24.75" customHeight="1" x14ac:dyDescent="0.25">
      <c r="A407" s="109">
        <v>20240120</v>
      </c>
      <c r="B407" s="709"/>
      <c r="C407" s="109">
        <v>14198198</v>
      </c>
      <c r="D407" s="109" t="s">
        <v>309</v>
      </c>
      <c r="E407" s="109" t="s">
        <v>256</v>
      </c>
      <c r="F407" s="109"/>
      <c r="G407" s="109" t="s">
        <v>681</v>
      </c>
      <c r="H407" s="140">
        <v>1198387</v>
      </c>
      <c r="I407" s="140">
        <v>1160951</v>
      </c>
      <c r="J407" s="26">
        <f>IF(H407&lt;&gt;"",IF(AND(C407&lt;&gt;"",IFERROR(MATCH(C407,Table10[Serial No.],0),0)),0,1),0)</f>
        <v>0</v>
      </c>
      <c r="K407" s="21"/>
      <c r="L407" s="539" t="str">
        <f t="shared" ca="1" si="68"/>
        <v/>
      </c>
      <c r="S407" s="281" t="s">
        <v>755</v>
      </c>
      <c r="T407" s="278" t="s">
        <v>309</v>
      </c>
      <c r="U407" s="278" t="s">
        <v>756</v>
      </c>
      <c r="V407" s="25">
        <v>4</v>
      </c>
      <c r="W407" s="284">
        <v>1101509</v>
      </c>
      <c r="X407" s="19" t="str">
        <f>IFERROR(INDEX(Table14[],MATCH($W407,Table14[SAPNo],0),3),"")</f>
        <v>Short IA 8    (C)</v>
      </c>
      <c r="Y407" s="284">
        <v>5</v>
      </c>
      <c r="Z407" s="25">
        <f t="shared" si="66"/>
        <v>0</v>
      </c>
      <c r="AA407" s="25">
        <f t="shared" si="69"/>
        <v>0</v>
      </c>
      <c r="AB407" s="23">
        <f ca="1">IFERROR(INDEX('Cutters Inventory 12-30-2025'!A:W,MATCH($W407,'Cutters Inventory 12-30-2025'!B:B,0),14),0)</f>
        <v>66</v>
      </c>
      <c r="AC407" s="23">
        <f>SUMIF(Table1[LEVEL 5 MAT NO.],S407,Table1[Braze Plan])</f>
        <v>0</v>
      </c>
      <c r="AD407" s="23">
        <f>Table4[[#This Row],[Quantity]]*Table4[[#This Row],[Bits Braze Plan]]</f>
        <v>0</v>
      </c>
      <c r="AE407" s="23">
        <f ca="1">Table4[[#This Row],[INV. QTY]]-Table4[[#This Row],[Required For Braze Cutters Check]]</f>
        <v>66</v>
      </c>
      <c r="AF407" s="23">
        <f t="shared" ca="1" si="67"/>
        <v>66</v>
      </c>
      <c r="AG407" s="23"/>
    </row>
    <row r="408" spans="1:33" ht="24.75" customHeight="1" x14ac:dyDescent="0.25">
      <c r="A408" s="109">
        <v>20240120</v>
      </c>
      <c r="B408" s="709"/>
      <c r="C408" s="109">
        <v>14198199</v>
      </c>
      <c r="D408" s="109" t="s">
        <v>309</v>
      </c>
      <c r="E408" s="109" t="s">
        <v>256</v>
      </c>
      <c r="F408" s="109"/>
      <c r="G408" s="109" t="s">
        <v>681</v>
      </c>
      <c r="H408" s="140">
        <v>1198387</v>
      </c>
      <c r="I408" s="140">
        <v>1160951</v>
      </c>
      <c r="J408" s="26">
        <f>IF(H408&lt;&gt;"",IF(AND(C408&lt;&gt;"",IFERROR(MATCH(C408,Table10[Serial No.],0),0)),0,1),0)</f>
        <v>0</v>
      </c>
      <c r="K408" s="21"/>
      <c r="L408" s="539" t="str">
        <f t="shared" ca="1" si="68"/>
        <v/>
      </c>
      <c r="S408" s="281" t="s">
        <v>755</v>
      </c>
      <c r="T408" s="278" t="s">
        <v>309</v>
      </c>
      <c r="U408" s="278" t="s">
        <v>756</v>
      </c>
      <c r="V408" s="25">
        <v>5</v>
      </c>
      <c r="W408" s="284">
        <v>1104083</v>
      </c>
      <c r="X408" s="19" t="str">
        <f>IFERROR(INDEX(Table14[],MATCH($W408,Table14[SAPNo],0),3),"")</f>
        <v>1313 CT144H  10C (S)</v>
      </c>
      <c r="Y408" s="284">
        <v>1</v>
      </c>
      <c r="Z408" s="25">
        <f t="shared" si="66"/>
        <v>0</v>
      </c>
      <c r="AA408" s="25">
        <f t="shared" si="69"/>
        <v>0</v>
      </c>
      <c r="AB408" s="23">
        <f ca="1">IFERROR(INDEX('Cutters Inventory 12-30-2025'!A:W,MATCH($W408,'Cutters Inventory 12-30-2025'!B:B,0),14),0)</f>
        <v>2</v>
      </c>
      <c r="AC408" s="23">
        <f>SUMIF(Table1[LEVEL 5 MAT NO.],S408,Table1[Braze Plan])</f>
        <v>0</v>
      </c>
      <c r="AD408" s="23">
        <f>Table4[[#This Row],[Quantity]]*Table4[[#This Row],[Bits Braze Plan]]</f>
        <v>0</v>
      </c>
      <c r="AE408" s="23">
        <f ca="1">Table4[[#This Row],[INV. QTY]]-Table4[[#This Row],[Required For Braze Cutters Check]]</f>
        <v>2</v>
      </c>
      <c r="AF408" s="23">
        <f t="shared" ca="1" si="67"/>
        <v>2</v>
      </c>
      <c r="AG408" s="23"/>
    </row>
    <row r="409" spans="1:33" ht="24.75" customHeight="1" x14ac:dyDescent="0.25">
      <c r="A409" s="109">
        <v>20240120</v>
      </c>
      <c r="B409" s="709"/>
      <c r="C409" s="109">
        <v>14198201</v>
      </c>
      <c r="D409" s="109" t="s">
        <v>313</v>
      </c>
      <c r="E409" s="109" t="s">
        <v>273</v>
      </c>
      <c r="F409" s="109" t="s">
        <v>736</v>
      </c>
      <c r="G409" s="109" t="s">
        <v>676</v>
      </c>
      <c r="H409" s="140">
        <v>1246020</v>
      </c>
      <c r="I409" s="140" t="s">
        <v>737</v>
      </c>
      <c r="J409" s="26">
        <f>IF(H409&lt;&gt;"",IF(AND(C409&lt;&gt;"",IFERROR(MATCH(C409,Table10[Serial No.],0),0)),0,1),0)</f>
        <v>0</v>
      </c>
      <c r="K409" s="21"/>
      <c r="L409" s="539" t="str">
        <f t="shared" si="68"/>
        <v/>
      </c>
      <c r="S409" s="281" t="s">
        <v>757</v>
      </c>
      <c r="T409" s="278" t="s">
        <v>316</v>
      </c>
      <c r="U409" s="278" t="s">
        <v>290</v>
      </c>
      <c r="V409" s="25">
        <v>1</v>
      </c>
      <c r="W409" s="284">
        <v>1126402</v>
      </c>
      <c r="X409" s="19" t="str">
        <f>IFERROR(INDEX(Table14[],MATCH($W409,Table14[SAPNo],0),3),"")</f>
        <v>1613 CT421 16-60</v>
      </c>
      <c r="Y409" s="284">
        <v>30</v>
      </c>
      <c r="Z409" s="25">
        <f t="shared" si="66"/>
        <v>0</v>
      </c>
      <c r="AA409" s="25">
        <f t="shared" si="69"/>
        <v>0</v>
      </c>
      <c r="AB409" s="23">
        <f ca="1">IFERROR(INDEX('Cutters Inventory 12-30-2025'!A:W,MATCH($W409,'Cutters Inventory 12-30-2025'!B:B,0),14),0)</f>
        <v>422</v>
      </c>
      <c r="AC409" s="23">
        <f>SUMIF(Table1[LEVEL 5 MAT NO.],S409,Table1[Braze Plan])</f>
        <v>0</v>
      </c>
      <c r="AD409" s="23">
        <f>Table4[[#This Row],[Quantity]]*Table4[[#This Row],[Bits Braze Plan]]</f>
        <v>0</v>
      </c>
      <c r="AE409" s="23">
        <f ca="1">Table4[[#This Row],[INV. QTY]]-Table4[[#This Row],[Required For Braze Cutters Check]]</f>
        <v>422</v>
      </c>
      <c r="AF409" s="23">
        <f t="shared" ca="1" si="67"/>
        <v>422</v>
      </c>
      <c r="AG409" s="23"/>
    </row>
    <row r="410" spans="1:33" ht="24.75" customHeight="1" x14ac:dyDescent="0.25">
      <c r="A410" s="109">
        <v>20240120</v>
      </c>
      <c r="B410" s="709"/>
      <c r="C410" s="109">
        <v>14198200</v>
      </c>
      <c r="D410" s="109" t="s">
        <v>313</v>
      </c>
      <c r="E410" s="109" t="s">
        <v>273</v>
      </c>
      <c r="F410" s="109" t="s">
        <v>736</v>
      </c>
      <c r="G410" s="109" t="s">
        <v>676</v>
      </c>
      <c r="H410" s="140">
        <v>1246020</v>
      </c>
      <c r="I410" s="140" t="s">
        <v>737</v>
      </c>
      <c r="J410" s="26">
        <f>IF(H410&lt;&gt;"",IF(AND(C410&lt;&gt;"",IFERROR(MATCH(C410,Table10[Serial No.],0),0)),0,1),0)</f>
        <v>0</v>
      </c>
      <c r="K410" s="21"/>
      <c r="L410" s="539" t="str">
        <f t="shared" si="68"/>
        <v/>
      </c>
      <c r="S410" s="281" t="s">
        <v>757</v>
      </c>
      <c r="T410" s="278" t="s">
        <v>316</v>
      </c>
      <c r="U410" s="278" t="s">
        <v>290</v>
      </c>
      <c r="V410" s="25">
        <v>2</v>
      </c>
      <c r="W410" s="284">
        <v>1126402</v>
      </c>
      <c r="X410" s="19" t="str">
        <f>IFERROR(INDEX(Table14[],MATCH($W410,Table14[SAPNo],0),3),"")</f>
        <v>1613 CT421 16-60</v>
      </c>
      <c r="Y410" s="284">
        <v>62</v>
      </c>
      <c r="Z410" s="25">
        <f t="shared" si="66"/>
        <v>0</v>
      </c>
      <c r="AA410" s="25">
        <f t="shared" si="69"/>
        <v>0</v>
      </c>
      <c r="AB410" s="23">
        <f ca="1">IFERROR(INDEX('Cutters Inventory 12-30-2025'!A:W,MATCH($W410,'Cutters Inventory 12-30-2025'!B:B,0),14),0)</f>
        <v>422</v>
      </c>
      <c r="AC410" s="23">
        <f>SUMIF(Table1[LEVEL 5 MAT NO.],S410,Table1[Braze Plan])</f>
        <v>0</v>
      </c>
      <c r="AD410" s="23">
        <f>Table4[[#This Row],[Quantity]]*Table4[[#This Row],[Bits Braze Plan]]</f>
        <v>0</v>
      </c>
      <c r="AE410" s="23">
        <f ca="1">Table4[[#This Row],[INV. QTY]]-Table4[[#This Row],[Required For Braze Cutters Check]]</f>
        <v>422</v>
      </c>
      <c r="AF410" s="23">
        <f t="shared" ca="1" si="67"/>
        <v>422</v>
      </c>
      <c r="AG410" s="23"/>
    </row>
    <row r="411" spans="1:33" ht="24.75" customHeight="1" x14ac:dyDescent="0.25">
      <c r="A411" s="109">
        <v>20240120</v>
      </c>
      <c r="B411" s="709"/>
      <c r="C411" s="109">
        <v>14199935</v>
      </c>
      <c r="D411" s="109" t="s">
        <v>624</v>
      </c>
      <c r="E411" s="109" t="s">
        <v>275</v>
      </c>
      <c r="F411" s="109"/>
      <c r="G411" s="109" t="s">
        <v>681</v>
      </c>
      <c r="H411" s="140">
        <v>1158011</v>
      </c>
      <c r="I411" s="140">
        <v>1267829</v>
      </c>
      <c r="J411" s="26">
        <f>IF(H411&lt;&gt;"",IF(AND(C411&lt;&gt;"",IFERROR(MATCH(C411,Table10[Serial No.],0),0)),0,1),0)</f>
        <v>0</v>
      </c>
      <c r="K411" s="21"/>
      <c r="L411" s="539" t="str">
        <f t="shared" ca="1" si="68"/>
        <v/>
      </c>
      <c r="S411" s="281" t="s">
        <v>757</v>
      </c>
      <c r="T411" s="278" t="s">
        <v>316</v>
      </c>
      <c r="U411" s="278" t="s">
        <v>290</v>
      </c>
      <c r="V411" s="25">
        <v>3</v>
      </c>
      <c r="W411" s="284">
        <v>647436</v>
      </c>
      <c r="X411" s="19" t="str">
        <f>IFERROR(INDEX(Table14[],MATCH($W411,Table14[SAPNo],0),3),"")</f>
        <v>Round 1613 CT200  0.018" (B)</v>
      </c>
      <c r="Y411" s="284">
        <v>64</v>
      </c>
      <c r="Z411" s="25">
        <f t="shared" si="66"/>
        <v>0</v>
      </c>
      <c r="AA411" s="25">
        <f t="shared" si="69"/>
        <v>0</v>
      </c>
      <c r="AB411" s="23">
        <f ca="1">IFERROR(INDEX('Cutters Inventory 12-30-2025'!A:W,MATCH($W411,'Cutters Inventory 12-30-2025'!B:B,0),14),0)</f>
        <v>412</v>
      </c>
      <c r="AC411" s="23">
        <f>SUMIF(Table1[LEVEL 5 MAT NO.],S411,Table1[Braze Plan])</f>
        <v>0</v>
      </c>
      <c r="AD411" s="23">
        <f>Table4[[#This Row],[Quantity]]*Table4[[#This Row],[Bits Braze Plan]]</f>
        <v>0</v>
      </c>
      <c r="AE411" s="23">
        <f ca="1">Table4[[#This Row],[INV. QTY]]-Table4[[#This Row],[Required For Braze Cutters Check]]</f>
        <v>412</v>
      </c>
      <c r="AF411" s="23">
        <f t="shared" ca="1" si="67"/>
        <v>412</v>
      </c>
      <c r="AG411" s="23"/>
    </row>
    <row r="412" spans="1:33" ht="24.75" customHeight="1" x14ac:dyDescent="0.25">
      <c r="A412" s="109">
        <v>20240120</v>
      </c>
      <c r="B412" s="709"/>
      <c r="C412" s="109">
        <v>14190169</v>
      </c>
      <c r="D412" s="109" t="s">
        <v>624</v>
      </c>
      <c r="E412" s="109" t="s">
        <v>663</v>
      </c>
      <c r="F412" s="109"/>
      <c r="G412" s="109" t="s">
        <v>681</v>
      </c>
      <c r="H412" s="140">
        <v>1269498</v>
      </c>
      <c r="I412" s="140">
        <v>1276939</v>
      </c>
      <c r="J412" s="26">
        <f>IF(H412&lt;&gt;"",IF(AND(C412&lt;&gt;"",IFERROR(MATCH(C412,Table10[Serial No.],0),0)),0,1),0)</f>
        <v>0</v>
      </c>
      <c r="K412" s="21"/>
      <c r="L412" s="539" t="str">
        <f t="shared" ca="1" si="68"/>
        <v/>
      </c>
      <c r="S412" s="281" t="s">
        <v>757</v>
      </c>
      <c r="T412" s="278" t="s">
        <v>316</v>
      </c>
      <c r="U412" s="278" t="s">
        <v>290</v>
      </c>
      <c r="V412" s="25">
        <v>4</v>
      </c>
      <c r="W412" s="284">
        <v>647435</v>
      </c>
      <c r="X412" s="19" t="str">
        <f>IFERROR(INDEX(Table14[],MATCH($W412,Table14[SAPNo],0),3),"")</f>
        <v>Round 1608 CT200  0.018" (B)</v>
      </c>
      <c r="Y412" s="284">
        <v>16</v>
      </c>
      <c r="Z412" s="25">
        <f t="shared" si="66"/>
        <v>0</v>
      </c>
      <c r="AA412" s="25">
        <f t="shared" si="69"/>
        <v>0</v>
      </c>
      <c r="AB412" s="23">
        <f ca="1">IFERROR(INDEX('Cutters Inventory 12-30-2025'!A:W,MATCH($W412,'Cutters Inventory 12-30-2025'!B:B,0),14),0)</f>
        <v>284</v>
      </c>
      <c r="AC412" s="23">
        <f>SUMIF(Table1[LEVEL 5 MAT NO.],S412,Table1[Braze Plan])</f>
        <v>0</v>
      </c>
      <c r="AD412" s="23">
        <f>Table4[[#This Row],[Quantity]]*Table4[[#This Row],[Bits Braze Plan]]</f>
        <v>0</v>
      </c>
      <c r="AE412" s="23">
        <f ca="1">Table4[[#This Row],[INV. QTY]]-Table4[[#This Row],[Required For Braze Cutters Check]]</f>
        <v>284</v>
      </c>
      <c r="AF412" s="23">
        <f t="shared" ca="1" si="67"/>
        <v>284</v>
      </c>
      <c r="AG412" s="23"/>
    </row>
    <row r="413" spans="1:33" ht="24.75" customHeight="1" x14ac:dyDescent="0.25">
      <c r="A413" s="109">
        <v>20240120</v>
      </c>
      <c r="B413" s="709"/>
      <c r="C413" s="109">
        <v>14190170</v>
      </c>
      <c r="D413" s="109" t="s">
        <v>624</v>
      </c>
      <c r="E413" s="109" t="s">
        <v>663</v>
      </c>
      <c r="F413" s="109"/>
      <c r="G413" s="109" t="s">
        <v>681</v>
      </c>
      <c r="H413" s="140">
        <v>1269498</v>
      </c>
      <c r="I413" s="140">
        <v>1276939</v>
      </c>
      <c r="J413" s="26">
        <f>IF(H413&lt;&gt;"",IF(AND(C413&lt;&gt;"",IFERROR(MATCH(C413,Table10[Serial No.],0),0)),0,1),0)</f>
        <v>0</v>
      </c>
      <c r="K413" s="21"/>
      <c r="L413" s="539" t="str">
        <f t="shared" ca="1" si="68"/>
        <v/>
      </c>
      <c r="S413" s="281" t="s">
        <v>757</v>
      </c>
      <c r="T413" s="278" t="s">
        <v>316</v>
      </c>
      <c r="U413" s="278" t="s">
        <v>290</v>
      </c>
      <c r="V413" s="25">
        <v>5</v>
      </c>
      <c r="W413" s="284">
        <v>418525</v>
      </c>
      <c r="X413" s="19" t="str">
        <f>IFERROR(INDEX(Table14[],MATCH($W413,Table14[SAPNo],0),3),"")</f>
        <v>Drop In 1308 CT31   (B)</v>
      </c>
      <c r="Y413" s="284">
        <v>8</v>
      </c>
      <c r="Z413" s="25">
        <f t="shared" si="66"/>
        <v>0</v>
      </c>
      <c r="AA413" s="25">
        <f t="shared" si="69"/>
        <v>0</v>
      </c>
      <c r="AB413" s="23">
        <f ca="1">IFERROR(INDEX('Cutters Inventory 12-30-2025'!A:W,MATCH($W413,'Cutters Inventory 12-30-2025'!B:B,0),14),0)</f>
        <v>933</v>
      </c>
      <c r="AC413" s="23">
        <f>SUMIF(Table1[LEVEL 5 MAT NO.],S413,Table1[Braze Plan])</f>
        <v>0</v>
      </c>
      <c r="AD413" s="23">
        <f>Table4[[#This Row],[Quantity]]*Table4[[#This Row],[Bits Braze Plan]]</f>
        <v>0</v>
      </c>
      <c r="AE413" s="23">
        <f ca="1">Table4[[#This Row],[INV. QTY]]-Table4[[#This Row],[Required For Braze Cutters Check]]</f>
        <v>933</v>
      </c>
      <c r="AF413" s="23">
        <f t="shared" ca="1" si="67"/>
        <v>933</v>
      </c>
      <c r="AG413" s="23"/>
    </row>
    <row r="414" spans="1:33" ht="24.75" customHeight="1" x14ac:dyDescent="0.25">
      <c r="A414" s="109">
        <v>20240120</v>
      </c>
      <c r="B414" s="608"/>
      <c r="C414" s="109">
        <v>14199936</v>
      </c>
      <c r="D414" s="109" t="s">
        <v>624</v>
      </c>
      <c r="E414" s="109" t="s">
        <v>663</v>
      </c>
      <c r="F414" s="109"/>
      <c r="G414" s="109" t="s">
        <v>681</v>
      </c>
      <c r="H414" s="140">
        <v>1269498</v>
      </c>
      <c r="I414" s="140">
        <v>1276939</v>
      </c>
      <c r="J414" s="26">
        <f>IF(H414&lt;&gt;"",IF(AND(C414&lt;&gt;"",IFERROR(MATCH(C414,Table10[Serial No.],0),0)),0,1),0)</f>
        <v>0</v>
      </c>
      <c r="K414" s="21"/>
      <c r="L414" s="539" t="str">
        <f t="shared" ca="1" si="68"/>
        <v/>
      </c>
      <c r="S414" s="281" t="s">
        <v>758</v>
      </c>
      <c r="T414" s="278" t="s">
        <v>315</v>
      </c>
      <c r="U414" s="278" t="s">
        <v>284</v>
      </c>
      <c r="V414" s="25">
        <v>1</v>
      </c>
      <c r="W414" s="284">
        <v>1126404</v>
      </c>
      <c r="X414" s="19" t="str">
        <f>IFERROR(INDEX(Table14[],MATCH($W414,Table14[SAPNo],0),3),"")</f>
        <v>1913 CT421 18-60</v>
      </c>
      <c r="Y414" s="284">
        <v>48</v>
      </c>
      <c r="Z414" s="25">
        <f t="shared" si="66"/>
        <v>0</v>
      </c>
      <c r="AA414" s="25">
        <f t="shared" si="69"/>
        <v>0</v>
      </c>
      <c r="AB414" s="23">
        <f ca="1">IFERROR(INDEX('Cutters Inventory 12-30-2025'!A:W,MATCH($W414,'Cutters Inventory 12-30-2025'!B:B,0),14),0)</f>
        <v>0</v>
      </c>
      <c r="AC414" s="23">
        <f>SUMIF(Table1[LEVEL 5 MAT NO.],S414,Table1[Braze Plan])</f>
        <v>0</v>
      </c>
      <c r="AD414" s="23">
        <f>Table4[[#This Row],[Quantity]]*Table4[[#This Row],[Bits Braze Plan]]</f>
        <v>0</v>
      </c>
      <c r="AE414" s="23">
        <f ca="1">Table4[[#This Row],[INV. QTY]]-Table4[[#This Row],[Required For Braze Cutters Check]]</f>
        <v>0</v>
      </c>
      <c r="AF414" s="23">
        <f t="shared" ca="1" si="67"/>
        <v>0</v>
      </c>
      <c r="AG414" s="23"/>
    </row>
    <row r="415" spans="1:33" ht="24.75" customHeight="1" x14ac:dyDescent="0.25">
      <c r="A415" s="109">
        <v>20240120</v>
      </c>
      <c r="B415" s="608"/>
      <c r="C415" s="109">
        <v>14199928</v>
      </c>
      <c r="D415" s="109" t="s">
        <v>637</v>
      </c>
      <c r="E415" s="109" t="s">
        <v>287</v>
      </c>
      <c r="F415" s="109"/>
      <c r="G415" s="109" t="s">
        <v>681</v>
      </c>
      <c r="H415" s="140">
        <v>1267122</v>
      </c>
      <c r="I415" s="140">
        <v>1257458</v>
      </c>
      <c r="J415" s="26">
        <f>IF(H415&lt;&gt;"",IF(AND(C415&lt;&gt;"",IFERROR(MATCH(C415,Table10[Serial No.],0),0)),0,1),0)</f>
        <v>0</v>
      </c>
      <c r="K415" s="21"/>
      <c r="L415" s="539" t="str">
        <f t="shared" ca="1" si="68"/>
        <v/>
      </c>
      <c r="S415" s="281" t="s">
        <v>758</v>
      </c>
      <c r="T415" s="278" t="s">
        <v>315</v>
      </c>
      <c r="U415" s="278" t="s">
        <v>284</v>
      </c>
      <c r="V415" s="25">
        <v>2</v>
      </c>
      <c r="W415" s="284">
        <v>708306</v>
      </c>
      <c r="X415" s="19" t="str">
        <f>IFERROR(INDEX(Table14[],MATCH($W415,Table14[SAPNo],0),3),"")</f>
        <v>Round 1913 CT200  0.018" (B)</v>
      </c>
      <c r="Y415" s="284">
        <v>34</v>
      </c>
      <c r="Z415" s="25">
        <f t="shared" si="66"/>
        <v>0</v>
      </c>
      <c r="AA415" s="25">
        <f t="shared" si="69"/>
        <v>0</v>
      </c>
      <c r="AB415" s="23">
        <f ca="1">IFERROR(INDEX('Cutters Inventory 12-30-2025'!A:W,MATCH($W415,'Cutters Inventory 12-30-2025'!B:B,0),14),0)</f>
        <v>82</v>
      </c>
      <c r="AC415" s="23">
        <f>SUMIF(Table1[LEVEL 5 MAT NO.],S415,Table1[Braze Plan])</f>
        <v>0</v>
      </c>
      <c r="AD415" s="23">
        <f>Table4[[#This Row],[Quantity]]*Table4[[#This Row],[Bits Braze Plan]]</f>
        <v>0</v>
      </c>
      <c r="AE415" s="23">
        <f ca="1">Table4[[#This Row],[INV. QTY]]-Table4[[#This Row],[Required For Braze Cutters Check]]</f>
        <v>82</v>
      </c>
      <c r="AF415" s="23">
        <f t="shared" ca="1" si="67"/>
        <v>82</v>
      </c>
      <c r="AG415" s="23"/>
    </row>
    <row r="416" spans="1:33" ht="24.75" customHeight="1" x14ac:dyDescent="0.25">
      <c r="A416" s="109">
        <v>20240120</v>
      </c>
      <c r="B416" s="608"/>
      <c r="C416" s="109">
        <v>14199929</v>
      </c>
      <c r="D416" s="109" t="s">
        <v>637</v>
      </c>
      <c r="E416" s="109" t="s">
        <v>287</v>
      </c>
      <c r="F416" s="109"/>
      <c r="G416" s="109" t="s">
        <v>681</v>
      </c>
      <c r="H416" s="140">
        <v>1267122</v>
      </c>
      <c r="I416" s="140">
        <v>1257458</v>
      </c>
      <c r="J416" s="26">
        <f>IF(H416&lt;&gt;"",IF(AND(C416&lt;&gt;"",IFERROR(MATCH(C416,Table10[Serial No.],0),0)),0,1),0)</f>
        <v>0</v>
      </c>
      <c r="K416" s="21"/>
      <c r="L416" s="539" t="str">
        <f t="shared" ca="1" si="68"/>
        <v/>
      </c>
      <c r="S416" s="281" t="s">
        <v>758</v>
      </c>
      <c r="T416" s="278" t="s">
        <v>315</v>
      </c>
      <c r="U416" s="278" t="s">
        <v>284</v>
      </c>
      <c r="V416" s="25">
        <v>3</v>
      </c>
      <c r="W416" s="284">
        <v>1126402</v>
      </c>
      <c r="X416" s="19" t="str">
        <f>IFERROR(INDEX(Table14[],MATCH($W416,Table14[SAPNo],0),3),"")</f>
        <v>1613 CT421 16-60</v>
      </c>
      <c r="Y416" s="284">
        <v>9</v>
      </c>
      <c r="Z416" s="25">
        <f t="shared" si="66"/>
        <v>0</v>
      </c>
      <c r="AA416" s="25">
        <f t="shared" si="69"/>
        <v>0</v>
      </c>
      <c r="AB416" s="23">
        <f ca="1">IFERROR(INDEX('Cutters Inventory 12-30-2025'!A:W,MATCH($W416,'Cutters Inventory 12-30-2025'!B:B,0),14),0)</f>
        <v>422</v>
      </c>
      <c r="AC416" s="23">
        <f>SUMIF(Table1[LEVEL 5 MAT NO.],S416,Table1[Braze Plan])</f>
        <v>0</v>
      </c>
      <c r="AD416" s="23">
        <f>Table4[[#This Row],[Quantity]]*Table4[[#This Row],[Bits Braze Plan]]</f>
        <v>0</v>
      </c>
      <c r="AE416" s="23">
        <f ca="1">Table4[[#This Row],[INV. QTY]]-Table4[[#This Row],[Required For Braze Cutters Check]]</f>
        <v>422</v>
      </c>
      <c r="AF416" s="23">
        <f t="shared" ca="1" si="67"/>
        <v>422</v>
      </c>
      <c r="AG416" s="23"/>
    </row>
    <row r="417" spans="1:33" ht="24.75" customHeight="1" x14ac:dyDescent="0.25">
      <c r="A417" s="109">
        <v>20240120</v>
      </c>
      <c r="B417" s="709"/>
      <c r="C417" s="109">
        <v>14199927</v>
      </c>
      <c r="D417" s="109" t="s">
        <v>637</v>
      </c>
      <c r="E417" s="109" t="s">
        <v>287</v>
      </c>
      <c r="F417" s="109"/>
      <c r="G417" s="109" t="s">
        <v>681</v>
      </c>
      <c r="H417" s="140">
        <v>1267122</v>
      </c>
      <c r="I417" s="140">
        <v>1257458</v>
      </c>
      <c r="J417" s="26">
        <f>IF(H417&lt;&gt;"",IF(AND(C417&lt;&gt;"",IFERROR(MATCH(C417,Table10[Serial No.],0),0)),0,1),0)</f>
        <v>0</v>
      </c>
      <c r="K417" s="21"/>
      <c r="L417" s="539" t="str">
        <f t="shared" ca="1" si="68"/>
        <v/>
      </c>
      <c r="S417" s="281" t="s">
        <v>758</v>
      </c>
      <c r="T417" s="278" t="s">
        <v>315</v>
      </c>
      <c r="U417" s="278" t="s">
        <v>284</v>
      </c>
      <c r="V417" s="25">
        <v>4</v>
      </c>
      <c r="W417" s="284">
        <v>418525</v>
      </c>
      <c r="X417" s="19" t="str">
        <f>IFERROR(INDEX(Table14[],MATCH($W417,Table14[SAPNo],0),3),"")</f>
        <v>Drop In 1308 CT31   (B)</v>
      </c>
      <c r="Y417" s="284">
        <v>4</v>
      </c>
      <c r="Z417" s="25">
        <f t="shared" si="66"/>
        <v>0</v>
      </c>
      <c r="AA417" s="25">
        <f t="shared" si="69"/>
        <v>0</v>
      </c>
      <c r="AB417" s="23">
        <f ca="1">IFERROR(INDEX('Cutters Inventory 12-30-2025'!A:W,MATCH($W417,'Cutters Inventory 12-30-2025'!B:B,0),14),0)</f>
        <v>933</v>
      </c>
      <c r="AC417" s="23">
        <f>SUMIF(Table1[LEVEL 5 MAT NO.],S417,Table1[Braze Plan])</f>
        <v>0</v>
      </c>
      <c r="AD417" s="23">
        <f>Table4[[#This Row],[Quantity]]*Table4[[#This Row],[Bits Braze Plan]]</f>
        <v>0</v>
      </c>
      <c r="AE417" s="23">
        <f ca="1">Table4[[#This Row],[INV. QTY]]-Table4[[#This Row],[Required For Braze Cutters Check]]</f>
        <v>933</v>
      </c>
      <c r="AF417" s="23">
        <f t="shared" ca="1" si="67"/>
        <v>933</v>
      </c>
      <c r="AG417" s="23"/>
    </row>
    <row r="418" spans="1:33" ht="24.75" customHeight="1" x14ac:dyDescent="0.25">
      <c r="A418" s="132">
        <v>20240120</v>
      </c>
      <c r="B418" s="709"/>
      <c r="C418" s="132">
        <v>14199930</v>
      </c>
      <c r="D418" s="132" t="s">
        <v>637</v>
      </c>
      <c r="E418" s="132" t="s">
        <v>287</v>
      </c>
      <c r="F418" s="132"/>
      <c r="G418" s="132" t="s">
        <v>681</v>
      </c>
      <c r="H418" s="141">
        <v>1267122</v>
      </c>
      <c r="I418" s="141">
        <v>1257458</v>
      </c>
      <c r="J418" s="26">
        <f>IF(H418&lt;&gt;"",IF(AND(C418&lt;&gt;"",IFERROR(MATCH(C418,Table10[Serial No.],0),0)),0,1),0)</f>
        <v>0</v>
      </c>
      <c r="K418" s="21"/>
      <c r="L418" s="539" t="str">
        <f t="shared" ca="1" si="68"/>
        <v/>
      </c>
      <c r="S418" s="281" t="s">
        <v>758</v>
      </c>
      <c r="T418" s="278" t="s">
        <v>315</v>
      </c>
      <c r="U418" s="278" t="s">
        <v>284</v>
      </c>
      <c r="V418" s="25">
        <v>5</v>
      </c>
      <c r="W418" s="284">
        <v>871781</v>
      </c>
      <c r="X418" s="19" t="str">
        <f>IFERROR(INDEX(Table14[],MATCH($W418,Table14[SAPNo],0),3),"")</f>
        <v>Round 1313 CT200  0.018" (B)</v>
      </c>
      <c r="Y418" s="284">
        <v>4</v>
      </c>
      <c r="Z418" s="25">
        <f t="shared" si="66"/>
        <v>0</v>
      </c>
      <c r="AA418" s="25">
        <f t="shared" si="69"/>
        <v>0</v>
      </c>
      <c r="AB418" s="23">
        <f ca="1">IFERROR(INDEX('Cutters Inventory 12-30-2025'!A:W,MATCH($W418,'Cutters Inventory 12-30-2025'!B:B,0),14),0)</f>
        <v>843</v>
      </c>
      <c r="AC418" s="23">
        <f>SUMIF(Table1[LEVEL 5 MAT NO.],S418,Table1[Braze Plan])</f>
        <v>0</v>
      </c>
      <c r="AD418" s="23">
        <f>Table4[[#This Row],[Quantity]]*Table4[[#This Row],[Bits Braze Plan]]</f>
        <v>0</v>
      </c>
      <c r="AE418" s="23">
        <f ca="1">Table4[[#This Row],[INV. QTY]]-Table4[[#This Row],[Required For Braze Cutters Check]]</f>
        <v>843</v>
      </c>
      <c r="AF418" s="23">
        <f t="shared" ca="1" si="67"/>
        <v>843</v>
      </c>
      <c r="AG418" s="23"/>
    </row>
    <row r="419" spans="1:33" ht="24.75" customHeight="1" x14ac:dyDescent="0.25">
      <c r="A419" s="109">
        <v>20240126</v>
      </c>
      <c r="B419" s="608"/>
      <c r="C419" s="109">
        <v>14204330</v>
      </c>
      <c r="D419" s="109" t="s">
        <v>624</v>
      </c>
      <c r="E419" s="109" t="s">
        <v>275</v>
      </c>
      <c r="F419" s="109"/>
      <c r="G419" s="109" t="s">
        <v>759</v>
      </c>
      <c r="H419" s="140">
        <v>1158011</v>
      </c>
      <c r="I419" s="140">
        <v>1267829</v>
      </c>
      <c r="J419" s="26">
        <f>IF(H419&lt;&gt;"",IF(AND(C419&lt;&gt;"",IFERROR(MATCH(C419,Table10[Serial No.],0),0)),0,1),0)</f>
        <v>0</v>
      </c>
      <c r="K419" s="21"/>
      <c r="L419" s="539" t="str">
        <f t="shared" ca="1" si="68"/>
        <v/>
      </c>
      <c r="S419" s="281" t="s">
        <v>269</v>
      </c>
      <c r="T419" s="278" t="s">
        <v>313</v>
      </c>
      <c r="U419" s="278" t="s">
        <v>271</v>
      </c>
      <c r="V419" s="25">
        <v>1</v>
      </c>
      <c r="W419" s="284">
        <v>1126402</v>
      </c>
      <c r="X419" s="19" t="str">
        <f>IFERROR(INDEX(Table14[],MATCH($W419,Table14[SAPNo],0),3),"")</f>
        <v>1613 CT421 16-60</v>
      </c>
      <c r="Y419" s="284">
        <v>33</v>
      </c>
      <c r="Z419" s="25">
        <f t="shared" si="66"/>
        <v>1</v>
      </c>
      <c r="AA419" s="25">
        <f t="shared" si="69"/>
        <v>33</v>
      </c>
      <c r="AB419" s="23">
        <f ca="1">IFERROR(INDEX('Cutters Inventory 12-30-2025'!A:W,MATCH($W419,'Cutters Inventory 12-30-2025'!B:B,0),14),0)</f>
        <v>422</v>
      </c>
      <c r="AC419" s="23">
        <f>SUMIF(Table1[LEVEL 5 MAT NO.],S419,Table1[Braze Plan])</f>
        <v>0</v>
      </c>
      <c r="AD419" s="23">
        <f>Table4[[#This Row],[Quantity]]*Table4[[#This Row],[Bits Braze Plan]]</f>
        <v>0</v>
      </c>
      <c r="AE419" s="23">
        <f ca="1">Table4[[#This Row],[INV. QTY]]-Table4[[#This Row],[Required For Braze Cutters Check]]</f>
        <v>422</v>
      </c>
      <c r="AF419" s="23">
        <f t="shared" ca="1" si="67"/>
        <v>422</v>
      </c>
      <c r="AG419" s="23"/>
    </row>
    <row r="420" spans="1:33" ht="24.75" customHeight="1" x14ac:dyDescent="0.25">
      <c r="A420" s="109">
        <v>20240126</v>
      </c>
      <c r="B420" s="608"/>
      <c r="C420" s="109">
        <v>14204333</v>
      </c>
      <c r="D420" s="109" t="s">
        <v>624</v>
      </c>
      <c r="E420" s="109" t="s">
        <v>275</v>
      </c>
      <c r="F420" s="109"/>
      <c r="G420" s="109" t="s">
        <v>759</v>
      </c>
      <c r="H420" s="140">
        <v>1158011</v>
      </c>
      <c r="I420" s="140">
        <v>1267829</v>
      </c>
      <c r="J420" s="26">
        <f>IF(H420&lt;&gt;"",IF(AND(C420&lt;&gt;"",IFERROR(MATCH(C420,Table10[Serial No.],0),0)),0,1),0)</f>
        <v>0</v>
      </c>
      <c r="K420" s="21"/>
      <c r="L420" s="539" t="str">
        <f t="shared" ca="1" si="68"/>
        <v/>
      </c>
      <c r="S420" s="281" t="s">
        <v>269</v>
      </c>
      <c r="T420" s="278" t="s">
        <v>313</v>
      </c>
      <c r="U420" s="278" t="s">
        <v>271</v>
      </c>
      <c r="V420" s="25">
        <v>2</v>
      </c>
      <c r="W420" s="284">
        <v>647435</v>
      </c>
      <c r="X420" s="19" t="str">
        <f>IFERROR(INDEX(Table14[],MATCH($W420,Table14[SAPNo],0),3),"")</f>
        <v>Round 1608 CT200  0.018" (B)</v>
      </c>
      <c r="Y420" s="284">
        <v>23</v>
      </c>
      <c r="Z420" s="25">
        <f t="shared" si="66"/>
        <v>1</v>
      </c>
      <c r="AA420" s="25">
        <f t="shared" si="69"/>
        <v>23</v>
      </c>
      <c r="AB420" s="23">
        <f ca="1">IFERROR(INDEX('Cutters Inventory 12-30-2025'!A:W,MATCH($W420,'Cutters Inventory 12-30-2025'!B:B,0),14),0)</f>
        <v>284</v>
      </c>
      <c r="AC420" s="23">
        <f>SUMIF(Table1[LEVEL 5 MAT NO.],S420,Table1[Braze Plan])</f>
        <v>0</v>
      </c>
      <c r="AD420" s="23">
        <f>Table4[[#This Row],[Quantity]]*Table4[[#This Row],[Bits Braze Plan]]</f>
        <v>0</v>
      </c>
      <c r="AE420" s="23">
        <f ca="1">Table4[[#This Row],[INV. QTY]]-Table4[[#This Row],[Required For Braze Cutters Check]]</f>
        <v>284</v>
      </c>
      <c r="AF420" s="23">
        <f t="shared" ca="1" si="67"/>
        <v>284</v>
      </c>
      <c r="AG420" s="23"/>
    </row>
    <row r="421" spans="1:33" ht="24.75" customHeight="1" x14ac:dyDescent="0.25">
      <c r="A421" s="109">
        <v>20240126</v>
      </c>
      <c r="B421" s="608"/>
      <c r="C421" s="109">
        <v>14204327</v>
      </c>
      <c r="D421" s="109" t="s">
        <v>624</v>
      </c>
      <c r="E421" s="109" t="s">
        <v>275</v>
      </c>
      <c r="F421" s="109"/>
      <c r="G421" s="109" t="s">
        <v>759</v>
      </c>
      <c r="H421" s="140">
        <v>1158011</v>
      </c>
      <c r="I421" s="140">
        <v>1267829</v>
      </c>
      <c r="J421" s="26">
        <f>IF(H421&lt;&gt;"",IF(AND(C421&lt;&gt;"",IFERROR(MATCH(C421,Table10[Serial No.],0),0)),0,1),0)</f>
        <v>0</v>
      </c>
      <c r="K421" s="21"/>
      <c r="L421" s="539" t="str">
        <f t="shared" ca="1" si="68"/>
        <v/>
      </c>
      <c r="S421" s="281" t="s">
        <v>269</v>
      </c>
      <c r="T421" s="278" t="s">
        <v>313</v>
      </c>
      <c r="U421" s="278" t="s">
        <v>271</v>
      </c>
      <c r="V421" s="25">
        <v>3</v>
      </c>
      <c r="W421" s="284">
        <v>871781</v>
      </c>
      <c r="X421" s="19" t="str">
        <f>IFERROR(INDEX(Table14[],MATCH($W421,Table14[SAPNo],0),3),"")</f>
        <v>Round 1313 CT200  0.018" (B)</v>
      </c>
      <c r="Y421" s="284">
        <v>6</v>
      </c>
      <c r="Z421" s="25">
        <f t="shared" si="66"/>
        <v>1</v>
      </c>
      <c r="AA421" s="25">
        <f t="shared" si="69"/>
        <v>6</v>
      </c>
      <c r="AB421" s="23">
        <f ca="1">IFERROR(INDEX('Cutters Inventory 12-30-2025'!A:W,MATCH($W421,'Cutters Inventory 12-30-2025'!B:B,0),14),0)</f>
        <v>843</v>
      </c>
      <c r="AC421" s="23">
        <f>SUMIF(Table1[LEVEL 5 MAT NO.],S421,Table1[Braze Plan])</f>
        <v>0</v>
      </c>
      <c r="AD421" s="23">
        <f>Table4[[#This Row],[Quantity]]*Table4[[#This Row],[Bits Braze Plan]]</f>
        <v>0</v>
      </c>
      <c r="AE421" s="23">
        <f ca="1">Table4[[#This Row],[INV. QTY]]-Table4[[#This Row],[Required For Braze Cutters Check]]</f>
        <v>843</v>
      </c>
      <c r="AF421" s="23">
        <f t="shared" ca="1" si="67"/>
        <v>843</v>
      </c>
      <c r="AG421" s="23"/>
    </row>
    <row r="422" spans="1:33" ht="24.75" customHeight="1" x14ac:dyDescent="0.25">
      <c r="A422" s="109">
        <v>20240126</v>
      </c>
      <c r="B422" s="608"/>
      <c r="C422" s="109">
        <v>14204329</v>
      </c>
      <c r="D422" s="109" t="s">
        <v>624</v>
      </c>
      <c r="E422" s="109" t="s">
        <v>275</v>
      </c>
      <c r="F422" s="109"/>
      <c r="G422" s="109" t="s">
        <v>759</v>
      </c>
      <c r="H422" s="140">
        <v>1158011</v>
      </c>
      <c r="I422" s="140">
        <v>1267829</v>
      </c>
      <c r="J422" s="26">
        <f>IF(H422&lt;&gt;"",IF(AND(C422&lt;&gt;"",IFERROR(MATCH(C422,Table10[Serial No.],0),0)),0,1),0)</f>
        <v>0</v>
      </c>
      <c r="K422" s="21"/>
      <c r="L422" s="539" t="str">
        <f t="shared" ca="1" si="68"/>
        <v/>
      </c>
      <c r="S422" s="281" t="s">
        <v>729</v>
      </c>
      <c r="T422" s="278" t="s">
        <v>315</v>
      </c>
      <c r="U422" s="278" t="s">
        <v>728</v>
      </c>
      <c r="V422" s="25">
        <v>1</v>
      </c>
      <c r="W422" s="284">
        <v>1126402</v>
      </c>
      <c r="X422" s="19" t="str">
        <f>IFERROR(INDEX(Table14[],MATCH($W422,Table14[SAPNo],0),3),"")</f>
        <v>1613 CT421 16-60</v>
      </c>
      <c r="Y422" s="284">
        <v>69</v>
      </c>
      <c r="Z422" s="25">
        <f t="shared" si="66"/>
        <v>0</v>
      </c>
      <c r="AA422" s="25">
        <f t="shared" si="69"/>
        <v>0</v>
      </c>
      <c r="AB422" s="23">
        <f ca="1">IFERROR(INDEX('Cutters Inventory 12-30-2025'!A:W,MATCH($W422,'Cutters Inventory 12-30-2025'!B:B,0),14),0)</f>
        <v>422</v>
      </c>
      <c r="AC422" s="23">
        <f>SUMIF(Table1[LEVEL 5 MAT NO.],S422,Table1[Braze Plan])</f>
        <v>0</v>
      </c>
      <c r="AD422" s="23">
        <f>Table4[[#This Row],[Quantity]]*Table4[[#This Row],[Bits Braze Plan]]</f>
        <v>0</v>
      </c>
      <c r="AE422" s="23">
        <f ca="1">Table4[[#This Row],[INV. QTY]]-Table4[[#This Row],[Required For Braze Cutters Check]]</f>
        <v>422</v>
      </c>
      <c r="AF422" s="23">
        <f t="shared" ca="1" si="67"/>
        <v>422</v>
      </c>
      <c r="AG422" s="23"/>
    </row>
    <row r="423" spans="1:33" ht="24.75" customHeight="1" x14ac:dyDescent="0.25">
      <c r="A423" s="109">
        <v>20240126</v>
      </c>
      <c r="B423" s="608"/>
      <c r="C423" s="109">
        <v>14204332</v>
      </c>
      <c r="D423" s="109" t="s">
        <v>624</v>
      </c>
      <c r="E423" s="109" t="s">
        <v>275</v>
      </c>
      <c r="F423" s="109"/>
      <c r="G423" s="109" t="s">
        <v>759</v>
      </c>
      <c r="H423" s="140">
        <v>1158011</v>
      </c>
      <c r="I423" s="140">
        <v>1267829</v>
      </c>
      <c r="J423" s="26">
        <f>IF(H423&lt;&gt;"",IF(AND(C423&lt;&gt;"",IFERROR(MATCH(C423,Table10[Serial No.],0),0)),0,1),0)</f>
        <v>0</v>
      </c>
      <c r="K423" s="21"/>
      <c r="L423" s="539" t="str">
        <f t="shared" ca="1" si="68"/>
        <v/>
      </c>
      <c r="S423" s="281" t="s">
        <v>729</v>
      </c>
      <c r="T423" s="278" t="s">
        <v>315</v>
      </c>
      <c r="U423" s="278" t="s">
        <v>728</v>
      </c>
      <c r="V423" s="25">
        <v>2</v>
      </c>
      <c r="W423" s="284">
        <v>1126404</v>
      </c>
      <c r="X423" s="19" t="str">
        <f>IFERROR(INDEX(Table14[],MATCH($W423,Table14[SAPNo],0),3),"")</f>
        <v>1913 CT421 18-60</v>
      </c>
      <c r="Y423" s="284">
        <v>24</v>
      </c>
      <c r="Z423" s="25">
        <f t="shared" si="66"/>
        <v>0</v>
      </c>
      <c r="AA423" s="25">
        <f t="shared" si="69"/>
        <v>0</v>
      </c>
      <c r="AB423" s="23">
        <f ca="1">IFERROR(INDEX('Cutters Inventory 12-30-2025'!A:W,MATCH($W423,'Cutters Inventory 12-30-2025'!B:B,0),14),0)</f>
        <v>0</v>
      </c>
      <c r="AC423" s="23">
        <f>SUMIF(Table1[LEVEL 5 MAT NO.],S423,Table1[Braze Plan])</f>
        <v>0</v>
      </c>
      <c r="AD423" s="23">
        <f>Table4[[#This Row],[Quantity]]*Table4[[#This Row],[Bits Braze Plan]]</f>
        <v>0</v>
      </c>
      <c r="AE423" s="23">
        <f ca="1">Table4[[#This Row],[INV. QTY]]-Table4[[#This Row],[Required For Braze Cutters Check]]</f>
        <v>0</v>
      </c>
      <c r="AF423" s="23">
        <f t="shared" ca="1" si="67"/>
        <v>0</v>
      </c>
      <c r="AG423" s="23"/>
    </row>
    <row r="424" spans="1:33" ht="24.75" customHeight="1" x14ac:dyDescent="0.25">
      <c r="A424" s="109">
        <v>20240126</v>
      </c>
      <c r="B424" s="608"/>
      <c r="C424" s="109">
        <v>14204331</v>
      </c>
      <c r="D424" s="109" t="s">
        <v>624</v>
      </c>
      <c r="E424" s="109" t="s">
        <v>275</v>
      </c>
      <c r="F424" s="109"/>
      <c r="G424" s="109" t="s">
        <v>759</v>
      </c>
      <c r="H424" s="140">
        <v>1158011</v>
      </c>
      <c r="I424" s="140">
        <v>1267829</v>
      </c>
      <c r="J424" s="26">
        <f>IF(H424&lt;&gt;"",IF(AND(C424&lt;&gt;"",IFERROR(MATCH(C424,Table10[Serial No.],0),0)),0,1),0)</f>
        <v>0</v>
      </c>
      <c r="K424" s="21"/>
      <c r="L424" s="539" t="str">
        <f t="shared" ca="1" si="68"/>
        <v/>
      </c>
      <c r="S424" s="281">
        <v>1287241</v>
      </c>
      <c r="T424" s="278">
        <v>16</v>
      </c>
      <c r="U424" s="278" t="s">
        <v>642</v>
      </c>
      <c r="V424" s="25">
        <v>6</v>
      </c>
      <c r="W424" s="284">
        <v>1146737</v>
      </c>
      <c r="X424" s="19" t="str">
        <f>IFERROR(INDEX(Table14[],MATCH($W424,Table14[SAPNo],0),3),"")</f>
        <v>1613 CT418 18-60</v>
      </c>
      <c r="Y424" s="284">
        <v>7</v>
      </c>
      <c r="Z424" s="25">
        <f t="shared" si="66"/>
        <v>0</v>
      </c>
      <c r="AA424" s="25">
        <f t="shared" si="69"/>
        <v>0</v>
      </c>
      <c r="AB424" s="23">
        <f ca="1">IFERROR(INDEX('Cutters Inventory 12-30-2025'!A:W,MATCH($W424,'Cutters Inventory 12-30-2025'!B:B,0),14),0)</f>
        <v>1281</v>
      </c>
      <c r="AC424" s="23">
        <f>SUMIF(Table1[LEVEL 5 MAT NO.],S424,Table1[Braze Plan])</f>
        <v>0</v>
      </c>
      <c r="AD424" s="23">
        <f>Table4[[#This Row],[Quantity]]*Table4[[#This Row],[Bits Braze Plan]]</f>
        <v>0</v>
      </c>
      <c r="AE424" s="23">
        <f ca="1">Table4[[#This Row],[INV. QTY]]-Table4[[#This Row],[Required For Braze Cutters Check]]</f>
        <v>1281</v>
      </c>
      <c r="AF424" s="23">
        <f t="shared" ca="1" si="67"/>
        <v>1281</v>
      </c>
      <c r="AG424" s="23"/>
    </row>
    <row r="425" spans="1:33" ht="24.75" customHeight="1" x14ac:dyDescent="0.25">
      <c r="A425" s="109">
        <v>20240126</v>
      </c>
      <c r="B425" s="608"/>
      <c r="C425" s="109">
        <v>14204328</v>
      </c>
      <c r="D425" s="109" t="s">
        <v>624</v>
      </c>
      <c r="E425" s="109" t="s">
        <v>275</v>
      </c>
      <c r="F425" s="109"/>
      <c r="G425" s="109" t="s">
        <v>759</v>
      </c>
      <c r="H425" s="140">
        <v>1158011</v>
      </c>
      <c r="I425" s="140">
        <v>1267829</v>
      </c>
      <c r="J425" s="26">
        <f>IF(H425&lt;&gt;"",IF(AND(C425&lt;&gt;"",IFERROR(MATCH(C425,Table10[Serial No.],0),0)),0,1),0)</f>
        <v>0</v>
      </c>
      <c r="K425" s="21"/>
      <c r="L425" s="539" t="str">
        <f t="shared" ca="1" si="68"/>
        <v/>
      </c>
      <c r="S425" s="281" t="s">
        <v>729</v>
      </c>
      <c r="T425" s="278" t="s">
        <v>315</v>
      </c>
      <c r="U425" s="278" t="s">
        <v>728</v>
      </c>
      <c r="V425" s="25">
        <v>4</v>
      </c>
      <c r="W425" s="284">
        <v>871781</v>
      </c>
      <c r="X425" s="19" t="str">
        <f>IFERROR(INDEX(Table14[],MATCH($W425,Table14[SAPNo],0),3),"")</f>
        <v>Round 1313 CT200  0.018" (B)</v>
      </c>
      <c r="Y425" s="284">
        <v>8</v>
      </c>
      <c r="Z425" s="25">
        <f t="shared" si="66"/>
        <v>0</v>
      </c>
      <c r="AA425" s="25">
        <f t="shared" si="69"/>
        <v>0</v>
      </c>
      <c r="AB425" s="23">
        <f ca="1">IFERROR(INDEX('Cutters Inventory 12-30-2025'!A:W,MATCH($W425,'Cutters Inventory 12-30-2025'!B:B,0),14),0)</f>
        <v>843</v>
      </c>
      <c r="AC425" s="23">
        <f>SUMIF(Table1[LEVEL 5 MAT NO.],S425,Table1[Braze Plan])</f>
        <v>0</v>
      </c>
      <c r="AD425" s="23">
        <f>Table4[[#This Row],[Quantity]]*Table4[[#This Row],[Bits Braze Plan]]</f>
        <v>0</v>
      </c>
      <c r="AE425" s="23">
        <f ca="1">Table4[[#This Row],[INV. QTY]]-Table4[[#This Row],[Required For Braze Cutters Check]]</f>
        <v>843</v>
      </c>
      <c r="AF425" s="23">
        <f t="shared" ca="1" si="67"/>
        <v>843</v>
      </c>
      <c r="AG425" s="23"/>
    </row>
    <row r="426" spans="1:33" ht="24.75" customHeight="1" x14ac:dyDescent="0.25">
      <c r="A426" s="109">
        <v>20240126</v>
      </c>
      <c r="B426" s="608"/>
      <c r="C426" s="109">
        <v>14204326</v>
      </c>
      <c r="D426" s="109" t="s">
        <v>315</v>
      </c>
      <c r="E426" s="109" t="s">
        <v>286</v>
      </c>
      <c r="F426" s="109" t="s">
        <v>760</v>
      </c>
      <c r="G426" s="109" t="s">
        <v>759</v>
      </c>
      <c r="H426" s="140">
        <v>1290130</v>
      </c>
      <c r="I426" s="140" t="s">
        <v>761</v>
      </c>
      <c r="J426" s="26">
        <f>IF(H426&lt;&gt;"",IF(AND(C426&lt;&gt;"",IFERROR(MATCH(C426,Table10[Serial No.],0),0)),0,1),0)</f>
        <v>0</v>
      </c>
      <c r="K426" s="21"/>
      <c r="L426" s="539" t="str">
        <f t="shared" si="68"/>
        <v/>
      </c>
      <c r="S426" s="281" t="s">
        <v>729</v>
      </c>
      <c r="T426" s="278" t="s">
        <v>315</v>
      </c>
      <c r="U426" s="278" t="s">
        <v>728</v>
      </c>
      <c r="V426" s="25">
        <v>5</v>
      </c>
      <c r="W426" s="284">
        <v>1100753</v>
      </c>
      <c r="X426" s="19" t="str">
        <f>IFERROR(INDEX(Table14[],MATCH($W426,Table14[SAPNo],0),3),"")</f>
        <v>1608 18C CT421</v>
      </c>
      <c r="Y426" s="284">
        <v>8</v>
      </c>
      <c r="Z426" s="25">
        <f t="shared" si="66"/>
        <v>0</v>
      </c>
      <c r="AA426" s="25">
        <f t="shared" si="69"/>
        <v>0</v>
      </c>
      <c r="AB426" s="23">
        <f ca="1">IFERROR(INDEX('Cutters Inventory 12-30-2025'!A:W,MATCH($W426,'Cutters Inventory 12-30-2025'!B:B,0),14),0)</f>
        <v>29</v>
      </c>
      <c r="AC426" s="23">
        <f>SUMIF(Table1[LEVEL 5 MAT NO.],S426,Table1[Braze Plan])</f>
        <v>0</v>
      </c>
      <c r="AD426" s="23">
        <f>Table4[[#This Row],[Quantity]]*Table4[[#This Row],[Bits Braze Plan]]</f>
        <v>0</v>
      </c>
      <c r="AE426" s="23">
        <f ca="1">Table4[[#This Row],[INV. QTY]]-Table4[[#This Row],[Required For Braze Cutters Check]]</f>
        <v>29</v>
      </c>
      <c r="AF426" s="23">
        <f t="shared" ca="1" si="67"/>
        <v>29</v>
      </c>
      <c r="AG426" s="23"/>
    </row>
    <row r="427" spans="1:33" ht="24.75" customHeight="1" x14ac:dyDescent="0.25">
      <c r="A427" s="109">
        <v>20240126</v>
      </c>
      <c r="B427" s="709"/>
      <c r="C427" s="109">
        <v>14204335</v>
      </c>
      <c r="D427" s="109" t="s">
        <v>316</v>
      </c>
      <c r="E427" s="109" t="s">
        <v>642</v>
      </c>
      <c r="F427" s="109"/>
      <c r="G427" s="109" t="s">
        <v>759</v>
      </c>
      <c r="H427" s="140">
        <v>1255451</v>
      </c>
      <c r="I427" s="140">
        <v>1241180</v>
      </c>
      <c r="J427" s="26">
        <f>IF(H427&lt;&gt;"",IF(AND(C427&lt;&gt;"",IFERROR(MATCH(C427,Table10[Serial No.],0),0)),0,1),0)</f>
        <v>0</v>
      </c>
      <c r="K427" s="21"/>
      <c r="L427" s="539" t="str">
        <f t="shared" ca="1" si="68"/>
        <v/>
      </c>
      <c r="S427" s="281" t="s">
        <v>652</v>
      </c>
      <c r="T427" s="278" t="s">
        <v>316</v>
      </c>
      <c r="U427" s="278" t="s">
        <v>288</v>
      </c>
      <c r="V427" s="25">
        <v>1</v>
      </c>
      <c r="W427" s="284">
        <v>1126402</v>
      </c>
      <c r="X427" s="19" t="str">
        <f>IFERROR(INDEX(Table14[],MATCH($W427,Table14[SAPNo],0),3),"")</f>
        <v>1613 CT421 16-60</v>
      </c>
      <c r="Y427" s="284">
        <v>147</v>
      </c>
      <c r="Z427" s="25">
        <f t="shared" si="66"/>
        <v>0</v>
      </c>
      <c r="AA427" s="25">
        <f t="shared" si="69"/>
        <v>0</v>
      </c>
      <c r="AB427" s="23">
        <f ca="1">IFERROR(INDEX('Cutters Inventory 12-30-2025'!A:W,MATCH($W427,'Cutters Inventory 12-30-2025'!B:B,0),14),0)</f>
        <v>422</v>
      </c>
      <c r="AC427" s="23">
        <f>SUMIF(Table1[LEVEL 5 MAT NO.],S427,Table1[Braze Plan])</f>
        <v>0</v>
      </c>
      <c r="AD427" s="23">
        <f>Table4[[#This Row],[Quantity]]*Table4[[#This Row],[Bits Braze Plan]]</f>
        <v>0</v>
      </c>
      <c r="AE427" s="23">
        <f ca="1">Table4[[#This Row],[INV. QTY]]-Table4[[#This Row],[Required For Braze Cutters Check]]</f>
        <v>422</v>
      </c>
      <c r="AF427" s="23">
        <f t="shared" ca="1" si="67"/>
        <v>422</v>
      </c>
      <c r="AG427" s="23"/>
    </row>
    <row r="428" spans="1:33" ht="24.75" customHeight="1" x14ac:dyDescent="0.25">
      <c r="A428" s="109">
        <v>20240126</v>
      </c>
      <c r="B428" s="709"/>
      <c r="C428" s="109">
        <v>14204334</v>
      </c>
      <c r="D428" s="109" t="s">
        <v>316</v>
      </c>
      <c r="E428" s="109" t="s">
        <v>642</v>
      </c>
      <c r="F428" s="109"/>
      <c r="G428" s="109" t="s">
        <v>759</v>
      </c>
      <c r="H428" s="140">
        <v>1255451</v>
      </c>
      <c r="I428" s="140">
        <v>1241180</v>
      </c>
      <c r="J428" s="26">
        <f>IF(H428&lt;&gt;"",IF(AND(C428&lt;&gt;"",IFERROR(MATCH(C428,Table10[Serial No.],0),0)),0,1),0)</f>
        <v>0</v>
      </c>
      <c r="K428" s="21"/>
      <c r="L428" s="539" t="str">
        <f t="shared" ca="1" si="68"/>
        <v/>
      </c>
      <c r="S428" s="281" t="s">
        <v>652</v>
      </c>
      <c r="T428" s="278" t="s">
        <v>316</v>
      </c>
      <c r="U428" s="278" t="s">
        <v>288</v>
      </c>
      <c r="V428" s="25">
        <v>2</v>
      </c>
      <c r="W428" s="284">
        <v>418525</v>
      </c>
      <c r="X428" s="19" t="str">
        <f>IFERROR(INDEX(Table14[],MATCH($W428,Table14[SAPNo],0),3),"")</f>
        <v>Drop In 1308 CT31   (B)</v>
      </c>
      <c r="Y428" s="284">
        <v>8</v>
      </c>
      <c r="Z428" s="25">
        <f t="shared" si="66"/>
        <v>0</v>
      </c>
      <c r="AA428" s="25">
        <f t="shared" si="69"/>
        <v>0</v>
      </c>
      <c r="AB428" s="23">
        <f ca="1">IFERROR(INDEX('Cutters Inventory 12-30-2025'!A:W,MATCH($W428,'Cutters Inventory 12-30-2025'!B:B,0),14),0)</f>
        <v>933</v>
      </c>
      <c r="AC428" s="23">
        <f>SUMIF(Table1[LEVEL 5 MAT NO.],S428,Table1[Braze Plan])</f>
        <v>0</v>
      </c>
      <c r="AD428" s="23">
        <f>Table4[[#This Row],[Quantity]]*Table4[[#This Row],[Bits Braze Plan]]</f>
        <v>0</v>
      </c>
      <c r="AE428" s="23">
        <f ca="1">Table4[[#This Row],[INV. QTY]]-Table4[[#This Row],[Required For Braze Cutters Check]]</f>
        <v>933</v>
      </c>
      <c r="AF428" s="23">
        <f t="shared" ca="1" si="67"/>
        <v>933</v>
      </c>
      <c r="AG428" s="23"/>
    </row>
    <row r="429" spans="1:33" ht="24.75" customHeight="1" x14ac:dyDescent="0.25">
      <c r="A429" s="109">
        <v>20240126</v>
      </c>
      <c r="B429" s="608"/>
      <c r="C429" s="109">
        <v>14204324</v>
      </c>
      <c r="D429" s="109" t="s">
        <v>624</v>
      </c>
      <c r="E429" s="109" t="s">
        <v>640</v>
      </c>
      <c r="F429" s="109"/>
      <c r="G429" s="109" t="s">
        <v>759</v>
      </c>
      <c r="H429" s="140">
        <v>1255267</v>
      </c>
      <c r="I429" s="140" t="s">
        <v>641</v>
      </c>
      <c r="J429" s="26">
        <f>IF(H429&lt;&gt;"",IF(AND(C429&lt;&gt;"",IFERROR(MATCH(C429,Table10[Serial No.],0),0)),0,1),0)</f>
        <v>0</v>
      </c>
      <c r="K429" s="21"/>
      <c r="L429" s="539" t="str">
        <f t="shared" si="68"/>
        <v/>
      </c>
      <c r="S429" s="281" t="s">
        <v>762</v>
      </c>
      <c r="T429" s="278" t="s">
        <v>315</v>
      </c>
      <c r="U429" s="278" t="s">
        <v>286</v>
      </c>
      <c r="V429" s="25">
        <v>1</v>
      </c>
      <c r="W429" s="284">
        <v>1288783</v>
      </c>
      <c r="X429" s="19" t="str">
        <f>IFERROR(INDEX(Table14[],MATCH($W429,Table14[SAPNo],0),3),"")</f>
        <v>1613 CT179 18-60</v>
      </c>
      <c r="Y429" s="284">
        <v>30</v>
      </c>
      <c r="Z429" s="25">
        <f t="shared" si="66"/>
        <v>0</v>
      </c>
      <c r="AA429" s="25">
        <f t="shared" si="69"/>
        <v>0</v>
      </c>
      <c r="AB429" s="23">
        <f ca="1">IFERROR(INDEX('Cutters Inventory 12-30-2025'!A:W,MATCH($W429,'Cutters Inventory 12-30-2025'!B:B,0),14),0)</f>
        <v>813</v>
      </c>
      <c r="AC429" s="23">
        <f>SUMIF(Table1[LEVEL 5 MAT NO.],S429,Table1[Braze Plan])</f>
        <v>0</v>
      </c>
      <c r="AD429" s="23">
        <f>Table4[[#This Row],[Quantity]]*Table4[[#This Row],[Bits Braze Plan]]</f>
        <v>0</v>
      </c>
      <c r="AE429" s="23">
        <f ca="1">Table4[[#This Row],[INV. QTY]]-Table4[[#This Row],[Required For Braze Cutters Check]]</f>
        <v>813</v>
      </c>
      <c r="AF429" s="23">
        <f t="shared" ca="1" si="67"/>
        <v>813</v>
      </c>
      <c r="AG429" s="23"/>
    </row>
    <row r="430" spans="1:33" ht="24.75" customHeight="1" x14ac:dyDescent="0.25">
      <c r="A430" s="109">
        <v>20240126</v>
      </c>
      <c r="B430" s="608"/>
      <c r="C430" s="109">
        <v>14204325</v>
      </c>
      <c r="D430" s="109" t="s">
        <v>624</v>
      </c>
      <c r="E430" s="109" t="s">
        <v>640</v>
      </c>
      <c r="F430" s="109"/>
      <c r="G430" s="109" t="s">
        <v>759</v>
      </c>
      <c r="H430" s="140">
        <v>1255267</v>
      </c>
      <c r="I430" s="140" t="s">
        <v>641</v>
      </c>
      <c r="J430" s="26">
        <f>IF(H430&lt;&gt;"",IF(AND(C430&lt;&gt;"",IFERROR(MATCH(C430,Table10[Serial No.],0),0)),0,1),0)</f>
        <v>0</v>
      </c>
      <c r="K430" s="21"/>
      <c r="L430" s="539" t="str">
        <f t="shared" si="68"/>
        <v/>
      </c>
      <c r="S430" s="281">
        <v>2015327</v>
      </c>
      <c r="T430" s="278" t="s">
        <v>315</v>
      </c>
      <c r="U430" s="278" t="s">
        <v>687</v>
      </c>
      <c r="V430" s="25">
        <v>3</v>
      </c>
      <c r="W430" s="284">
        <v>1146737</v>
      </c>
      <c r="X430" s="19" t="str">
        <f>IFERROR(INDEX(Table14[],MATCH($W430,Table14[SAPNo],0),3),"")</f>
        <v>1613 CT418 18-60</v>
      </c>
      <c r="Y430" s="284">
        <v>22</v>
      </c>
      <c r="Z430" s="25">
        <f t="shared" si="66"/>
        <v>0</v>
      </c>
      <c r="AA430" s="25">
        <f t="shared" si="69"/>
        <v>0</v>
      </c>
      <c r="AB430" s="23">
        <f ca="1">IFERROR(INDEX('Cutters Inventory 12-30-2025'!A:W,MATCH($W430,'Cutters Inventory 12-30-2025'!B:B,0),14),0)</f>
        <v>1281</v>
      </c>
      <c r="AC430" s="23">
        <f>SUMIF(Table1[LEVEL 5 MAT NO.],S430,Table1[Braze Plan])</f>
        <v>0</v>
      </c>
      <c r="AD430" s="23">
        <f>Table4[[#This Row],[Quantity]]*Table4[[#This Row],[Bits Braze Plan]]</f>
        <v>0</v>
      </c>
      <c r="AE430" s="23">
        <f ca="1">Table4[[#This Row],[INV. QTY]]-Table4[[#This Row],[Required For Braze Cutters Check]]</f>
        <v>1281</v>
      </c>
      <c r="AF430" s="23">
        <f t="shared" ca="1" si="67"/>
        <v>1281</v>
      </c>
      <c r="AG430" s="23"/>
    </row>
    <row r="431" spans="1:33" ht="24.75" customHeight="1" x14ac:dyDescent="0.25">
      <c r="A431" s="109">
        <v>20240136</v>
      </c>
      <c r="B431" s="608"/>
      <c r="C431" s="109">
        <v>14211851</v>
      </c>
      <c r="D431" s="109" t="s">
        <v>304</v>
      </c>
      <c r="E431" s="109" t="s">
        <v>636</v>
      </c>
      <c r="F431" s="109" t="s">
        <v>707</v>
      </c>
      <c r="G431" s="109" t="s">
        <v>676</v>
      </c>
      <c r="H431" s="140">
        <v>1228848</v>
      </c>
      <c r="I431" s="140">
        <v>1016454</v>
      </c>
      <c r="J431" s="26">
        <f>IF(H431&lt;&gt;"",IF(AND(C431&lt;&gt;"",IFERROR(MATCH(C431,Table10[Serial No.],0),0)),0,1),0)</f>
        <v>0</v>
      </c>
      <c r="K431" s="21"/>
      <c r="L431" s="539" t="str">
        <f t="shared" ca="1" si="68"/>
        <v/>
      </c>
      <c r="S431" s="281" t="s">
        <v>762</v>
      </c>
      <c r="T431" s="278" t="s">
        <v>315</v>
      </c>
      <c r="U431" s="278" t="s">
        <v>286</v>
      </c>
      <c r="V431" s="25">
        <v>3</v>
      </c>
      <c r="W431" s="284">
        <v>1130196</v>
      </c>
      <c r="X431" s="19" t="str">
        <f>IFERROR(INDEX(Table14[],MATCH($W431,Table14[SAPNo],0),3),"")</f>
        <v>Round 1313 CT182  0.018" (S)</v>
      </c>
      <c r="Y431" s="284">
        <v>18</v>
      </c>
      <c r="Z431" s="25">
        <f t="shared" si="66"/>
        <v>0</v>
      </c>
      <c r="AA431" s="25">
        <f t="shared" si="69"/>
        <v>0</v>
      </c>
      <c r="AB431" s="23">
        <f ca="1">IFERROR(INDEX('Cutters Inventory 12-30-2025'!A:W,MATCH($W431,'Cutters Inventory 12-30-2025'!B:B,0),14),0)</f>
        <v>6</v>
      </c>
      <c r="AC431" s="23">
        <f>SUMIF(Table1[LEVEL 5 MAT NO.],S431,Table1[Braze Plan])</f>
        <v>0</v>
      </c>
      <c r="AD431" s="23">
        <f>Table4[[#This Row],[Quantity]]*Table4[[#This Row],[Bits Braze Plan]]</f>
        <v>0</v>
      </c>
      <c r="AE431" s="23">
        <f ca="1">Table4[[#This Row],[INV. QTY]]-Table4[[#This Row],[Required For Braze Cutters Check]]</f>
        <v>6</v>
      </c>
      <c r="AF431" s="23">
        <f t="shared" ca="1" si="67"/>
        <v>6</v>
      </c>
      <c r="AG431" s="23"/>
    </row>
    <row r="432" spans="1:33" ht="24.75" customHeight="1" x14ac:dyDescent="0.25">
      <c r="A432" s="109">
        <v>20240136</v>
      </c>
      <c r="B432" s="608"/>
      <c r="C432" s="109">
        <v>14211855</v>
      </c>
      <c r="D432" s="109" t="s">
        <v>304</v>
      </c>
      <c r="E432" s="109" t="s">
        <v>630</v>
      </c>
      <c r="F432" s="109" t="s">
        <v>709</v>
      </c>
      <c r="G432" s="109" t="s">
        <v>676</v>
      </c>
      <c r="H432" s="140">
        <v>1228690</v>
      </c>
      <c r="I432" s="140">
        <v>960723</v>
      </c>
      <c r="J432" s="26">
        <f>IF(H432&lt;&gt;"",IF(AND(C432&lt;&gt;"",IFERROR(MATCH(C432,Table10[Serial No.],0),0)),0,1),0)</f>
        <v>0</v>
      </c>
      <c r="K432" s="21"/>
      <c r="L432" s="539" t="str">
        <f t="shared" ca="1" si="68"/>
        <v/>
      </c>
      <c r="S432" s="546" t="s">
        <v>762</v>
      </c>
      <c r="T432" s="278" t="s">
        <v>315</v>
      </c>
      <c r="U432" s="278" t="s">
        <v>286</v>
      </c>
      <c r="V432" s="25">
        <v>4</v>
      </c>
      <c r="W432" s="284">
        <v>1282370</v>
      </c>
      <c r="X432" s="19" t="str">
        <f>IFERROR(INDEX(Table14[],MATCH($W432,Table14[SAPNo],0),3),"")</f>
        <v>1613 CT436Mv3 U-60</v>
      </c>
      <c r="Y432" s="284">
        <v>10</v>
      </c>
      <c r="Z432" s="25">
        <f t="shared" si="66"/>
        <v>0</v>
      </c>
      <c r="AA432" s="25">
        <f t="shared" si="69"/>
        <v>0</v>
      </c>
      <c r="AB432" s="23">
        <f ca="1">IFERROR(INDEX('Cutters Inventory 12-30-2025'!A:W,MATCH($W432,'Cutters Inventory 12-30-2025'!B:B,0),14),0)</f>
        <v>193</v>
      </c>
      <c r="AC432" s="23">
        <f>SUMIF(Table1[LEVEL 5 MAT NO.],S432,Table1[Braze Plan])</f>
        <v>0</v>
      </c>
      <c r="AD432" s="23">
        <f>Table4[[#This Row],[Quantity]]*Table4[[#This Row],[Bits Braze Plan]]</f>
        <v>0</v>
      </c>
      <c r="AE432" s="23">
        <f ca="1">Table4[[#This Row],[INV. QTY]]-Table4[[#This Row],[Required For Braze Cutters Check]]</f>
        <v>193</v>
      </c>
      <c r="AF432" s="23">
        <f t="shared" ca="1" si="67"/>
        <v>193</v>
      </c>
      <c r="AG432" s="23"/>
    </row>
    <row r="433" spans="1:33" ht="24.75" customHeight="1" x14ac:dyDescent="0.25">
      <c r="A433" s="132">
        <v>20240136</v>
      </c>
      <c r="B433" s="609"/>
      <c r="C433" s="132">
        <v>14211853</v>
      </c>
      <c r="D433" s="132" t="s">
        <v>304</v>
      </c>
      <c r="E433" s="132" t="s">
        <v>630</v>
      </c>
      <c r="F433" s="132" t="s">
        <v>709</v>
      </c>
      <c r="G433" s="132" t="s">
        <v>676</v>
      </c>
      <c r="H433" s="141">
        <v>1228690</v>
      </c>
      <c r="I433" s="141">
        <v>960723</v>
      </c>
      <c r="J433" s="26">
        <f>IF(H433&lt;&gt;"",IF(AND(C433&lt;&gt;"",IFERROR(MATCH(C433,Table10[Serial No.],0),0)),0,1),0)</f>
        <v>0</v>
      </c>
      <c r="K433" s="21"/>
      <c r="L433" s="539" t="str">
        <f t="shared" ca="1" si="68"/>
        <v/>
      </c>
      <c r="S433" s="546" t="s">
        <v>762</v>
      </c>
      <c r="T433" s="278" t="s">
        <v>315</v>
      </c>
      <c r="U433" s="278" t="s">
        <v>286</v>
      </c>
      <c r="V433" s="25">
        <v>5</v>
      </c>
      <c r="W433" s="284">
        <v>871781</v>
      </c>
      <c r="X433" s="19" t="str">
        <f>IFERROR(INDEX(Table14[],MATCH($W433,Table14[SAPNo],0),3),"")</f>
        <v>Round 1313 CT200  0.018" (B)</v>
      </c>
      <c r="Y433" s="284">
        <v>3</v>
      </c>
      <c r="Z433" s="25">
        <f t="shared" si="66"/>
        <v>0</v>
      </c>
      <c r="AA433" s="25">
        <f t="shared" si="69"/>
        <v>0</v>
      </c>
      <c r="AB433" s="23">
        <f ca="1">IFERROR(INDEX('Cutters Inventory 12-30-2025'!A:W,MATCH($W433,'Cutters Inventory 12-30-2025'!B:B,0),14),0)</f>
        <v>843</v>
      </c>
      <c r="AC433" s="23">
        <f>SUMIF(Table1[LEVEL 5 MAT NO.],S433,Table1[Braze Plan])</f>
        <v>0</v>
      </c>
      <c r="AD433" s="23">
        <f>Table4[[#This Row],[Quantity]]*Table4[[#This Row],[Bits Braze Plan]]</f>
        <v>0</v>
      </c>
      <c r="AE433" s="23">
        <f ca="1">Table4[[#This Row],[INV. QTY]]-Table4[[#This Row],[Required For Braze Cutters Check]]</f>
        <v>843</v>
      </c>
      <c r="AF433" s="23">
        <f t="shared" ca="1" si="67"/>
        <v>843</v>
      </c>
      <c r="AG433" s="23"/>
    </row>
    <row r="434" spans="1:33" ht="24.75" customHeight="1" x14ac:dyDescent="0.25">
      <c r="A434" s="109">
        <v>20240136</v>
      </c>
      <c r="B434" s="608"/>
      <c r="C434" s="109">
        <v>14211854</v>
      </c>
      <c r="D434" s="109" t="s">
        <v>304</v>
      </c>
      <c r="E434" s="109" t="s">
        <v>630</v>
      </c>
      <c r="F434" s="109" t="s">
        <v>709</v>
      </c>
      <c r="G434" s="109" t="s">
        <v>676</v>
      </c>
      <c r="H434" s="140">
        <v>1228690</v>
      </c>
      <c r="I434" s="140">
        <v>960723</v>
      </c>
      <c r="J434" s="26">
        <f>IF(H434&lt;&gt;"",IF(AND(C434&lt;&gt;"",IFERROR(MATCH(C434,Table10[Serial No.],0),0)),0,1),0)</f>
        <v>0</v>
      </c>
      <c r="K434" s="21"/>
      <c r="L434" s="539" t="str">
        <f t="shared" ca="1" si="68"/>
        <v/>
      </c>
      <c r="S434" s="546" t="s">
        <v>762</v>
      </c>
      <c r="T434" s="278" t="s">
        <v>315</v>
      </c>
      <c r="U434" s="278" t="s">
        <v>286</v>
      </c>
      <c r="V434" s="25">
        <v>6</v>
      </c>
      <c r="W434" s="284">
        <v>418525</v>
      </c>
      <c r="X434" s="19" t="str">
        <f>IFERROR(INDEX(Table14[],MATCH($W434,Table14[SAPNo],0),3),"")</f>
        <v>Drop In 1308 CT31   (B)</v>
      </c>
      <c r="Y434" s="284">
        <v>2</v>
      </c>
      <c r="Z434" s="25">
        <f t="shared" si="66"/>
        <v>0</v>
      </c>
      <c r="AA434" s="25">
        <f t="shared" si="69"/>
        <v>0</v>
      </c>
      <c r="AB434" s="23">
        <f ca="1">IFERROR(INDEX('Cutters Inventory 12-30-2025'!A:W,MATCH($W434,'Cutters Inventory 12-30-2025'!B:B,0),14),0)</f>
        <v>933</v>
      </c>
      <c r="AC434" s="23">
        <f>SUMIF(Table1[LEVEL 5 MAT NO.],S434,Table1[Braze Plan])</f>
        <v>0</v>
      </c>
      <c r="AD434" s="23">
        <f>Table4[[#This Row],[Quantity]]*Table4[[#This Row],[Bits Braze Plan]]</f>
        <v>0</v>
      </c>
      <c r="AE434" s="23">
        <f ca="1">Table4[[#This Row],[INV. QTY]]-Table4[[#This Row],[Required For Braze Cutters Check]]</f>
        <v>933</v>
      </c>
      <c r="AF434" s="23">
        <f t="shared" ca="1" si="67"/>
        <v>933</v>
      </c>
      <c r="AG434" s="23"/>
    </row>
    <row r="435" spans="1:33" ht="24.75" customHeight="1" x14ac:dyDescent="0.25">
      <c r="A435" s="109">
        <v>20240136</v>
      </c>
      <c r="B435" s="608"/>
      <c r="C435" s="109">
        <v>14211852</v>
      </c>
      <c r="D435" s="109" t="s">
        <v>304</v>
      </c>
      <c r="E435" s="109" t="s">
        <v>630</v>
      </c>
      <c r="F435" s="109" t="s">
        <v>709</v>
      </c>
      <c r="G435" s="109" t="s">
        <v>676</v>
      </c>
      <c r="H435" s="140">
        <v>1228690</v>
      </c>
      <c r="I435" s="140">
        <v>960723</v>
      </c>
      <c r="J435" s="26">
        <f>IF(H435&lt;&gt;"",IF(AND(C435&lt;&gt;"",IFERROR(MATCH(C435,Table10[Serial No.],0),0)),0,1),0)</f>
        <v>0</v>
      </c>
      <c r="K435" s="21"/>
      <c r="L435" s="539" t="str">
        <f t="shared" ca="1" si="68"/>
        <v/>
      </c>
      <c r="S435" s="281" t="s">
        <v>716</v>
      </c>
      <c r="T435" s="278" t="s">
        <v>313</v>
      </c>
      <c r="U435" s="278" t="s">
        <v>647</v>
      </c>
      <c r="V435" s="25">
        <v>1</v>
      </c>
      <c r="W435" s="284">
        <v>1126402</v>
      </c>
      <c r="X435" s="19" t="str">
        <f>IFERROR(INDEX(Table14[],MATCH($W435,Table14[SAPNo],0),3),"")</f>
        <v>1613 CT421 16-60</v>
      </c>
      <c r="Y435" s="284">
        <v>33</v>
      </c>
      <c r="Z435" s="25">
        <f t="shared" si="66"/>
        <v>0</v>
      </c>
      <c r="AA435" s="25">
        <f t="shared" si="69"/>
        <v>0</v>
      </c>
      <c r="AB435" s="23">
        <f ca="1">IFERROR(INDEX('Cutters Inventory 12-30-2025'!A:W,MATCH($W435,'Cutters Inventory 12-30-2025'!B:B,0),14),0)</f>
        <v>422</v>
      </c>
      <c r="AC435" s="23">
        <f>SUMIF(Table1[LEVEL 5 MAT NO.],S435,Table1[Braze Plan])</f>
        <v>0</v>
      </c>
      <c r="AD435" s="23">
        <f>Table4[[#This Row],[Quantity]]*Table4[[#This Row],[Bits Braze Plan]]</f>
        <v>0</v>
      </c>
      <c r="AE435" s="23">
        <f ca="1">Table4[[#This Row],[INV. QTY]]-Table4[[#This Row],[Required For Braze Cutters Check]]</f>
        <v>422</v>
      </c>
      <c r="AF435" s="23">
        <f t="shared" ca="1" si="67"/>
        <v>422</v>
      </c>
      <c r="AG435" s="23"/>
    </row>
    <row r="436" spans="1:33" ht="24.75" customHeight="1" x14ac:dyDescent="0.25">
      <c r="A436" s="109">
        <v>20240136</v>
      </c>
      <c r="B436" s="709"/>
      <c r="C436" s="109">
        <v>14211927</v>
      </c>
      <c r="D436" s="109" t="s">
        <v>307</v>
      </c>
      <c r="E436" s="109" t="s">
        <v>308</v>
      </c>
      <c r="F436" s="109" t="s">
        <v>707</v>
      </c>
      <c r="G436" s="109" t="s">
        <v>676</v>
      </c>
      <c r="H436" s="140">
        <v>1224225</v>
      </c>
      <c r="I436" s="140">
        <v>1252149</v>
      </c>
      <c r="J436" s="26">
        <f>IF(H436&lt;&gt;"",IF(AND(C436&lt;&gt;"",IFERROR(MATCH(C436,Table10[Serial No.],0),0)),0,1),0)</f>
        <v>0</v>
      </c>
      <c r="K436" s="21"/>
      <c r="L436" s="539" t="str">
        <f t="shared" ca="1" si="68"/>
        <v/>
      </c>
      <c r="S436" s="281" t="s">
        <v>716</v>
      </c>
      <c r="T436" s="278" t="s">
        <v>313</v>
      </c>
      <c r="U436" s="278" t="s">
        <v>647</v>
      </c>
      <c r="V436" s="25">
        <v>2</v>
      </c>
      <c r="W436" s="284">
        <v>647435</v>
      </c>
      <c r="X436" s="19" t="str">
        <f>IFERROR(INDEX(Table14[],MATCH($W436,Table14[SAPNo],0),3),"")</f>
        <v>Round 1608 CT200  0.018" (B)</v>
      </c>
      <c r="Y436" s="284">
        <v>23</v>
      </c>
      <c r="Z436" s="25">
        <f t="shared" si="66"/>
        <v>0</v>
      </c>
      <c r="AA436" s="25">
        <f t="shared" si="69"/>
        <v>0</v>
      </c>
      <c r="AB436" s="23">
        <f ca="1">IFERROR(INDEX('Cutters Inventory 12-30-2025'!A:W,MATCH($W436,'Cutters Inventory 12-30-2025'!B:B,0),14),0)</f>
        <v>284</v>
      </c>
      <c r="AC436" s="23">
        <f>SUMIF(Table1[LEVEL 5 MAT NO.],S436,Table1[Braze Plan])</f>
        <v>0</v>
      </c>
      <c r="AD436" s="23">
        <f>Table4[[#This Row],[Quantity]]*Table4[[#This Row],[Bits Braze Plan]]</f>
        <v>0</v>
      </c>
      <c r="AE436" s="23">
        <f ca="1">Table4[[#This Row],[INV. QTY]]-Table4[[#This Row],[Required For Braze Cutters Check]]</f>
        <v>284</v>
      </c>
      <c r="AF436" s="23">
        <f t="shared" ca="1" si="67"/>
        <v>284</v>
      </c>
      <c r="AG436" s="23"/>
    </row>
    <row r="437" spans="1:33" ht="24.75" customHeight="1" x14ac:dyDescent="0.25">
      <c r="A437" s="109">
        <v>20240136</v>
      </c>
      <c r="B437" s="709"/>
      <c r="C437" s="109">
        <v>14211928</v>
      </c>
      <c r="D437" s="109" t="s">
        <v>307</v>
      </c>
      <c r="E437" s="109" t="s">
        <v>308</v>
      </c>
      <c r="F437" s="109" t="s">
        <v>707</v>
      </c>
      <c r="G437" s="109" t="s">
        <v>676</v>
      </c>
      <c r="H437" s="140">
        <v>1224225</v>
      </c>
      <c r="I437" s="140">
        <v>1252149</v>
      </c>
      <c r="J437" s="26">
        <f>IF(H437&lt;&gt;"",IF(AND(C437&lt;&gt;"",IFERROR(MATCH(C437,Table10[Serial No.],0),0)),0,1),0)</f>
        <v>0</v>
      </c>
      <c r="K437" s="21"/>
      <c r="L437" s="539" t="str">
        <f t="shared" ca="1" si="68"/>
        <v/>
      </c>
      <c r="S437" s="281" t="s">
        <v>716</v>
      </c>
      <c r="T437" s="278" t="s">
        <v>313</v>
      </c>
      <c r="U437" s="278" t="s">
        <v>647</v>
      </c>
      <c r="V437" s="25">
        <v>3</v>
      </c>
      <c r="W437" s="284">
        <v>871781</v>
      </c>
      <c r="X437" s="19" t="str">
        <f>IFERROR(INDEX(Table14[],MATCH($W437,Table14[SAPNo],0),3),"")</f>
        <v>Round 1313 CT200  0.018" (B)</v>
      </c>
      <c r="Y437" s="284">
        <v>6</v>
      </c>
      <c r="Z437" s="25">
        <f t="shared" si="66"/>
        <v>0</v>
      </c>
      <c r="AA437" s="25">
        <f t="shared" si="69"/>
        <v>0</v>
      </c>
      <c r="AB437" s="23">
        <f ca="1">IFERROR(INDEX('Cutters Inventory 12-30-2025'!A:W,MATCH($W437,'Cutters Inventory 12-30-2025'!B:B,0),14),0)</f>
        <v>843</v>
      </c>
      <c r="AC437" s="23">
        <f>SUMIF(Table1[LEVEL 5 MAT NO.],S437,Table1[Braze Plan])</f>
        <v>0</v>
      </c>
      <c r="AD437" s="23">
        <f>Table4[[#This Row],[Quantity]]*Table4[[#This Row],[Bits Braze Plan]]</f>
        <v>0</v>
      </c>
      <c r="AE437" s="23">
        <f ca="1">Table4[[#This Row],[INV. QTY]]-Table4[[#This Row],[Required For Braze Cutters Check]]</f>
        <v>843</v>
      </c>
      <c r="AF437" s="23">
        <f t="shared" ca="1" si="67"/>
        <v>843</v>
      </c>
      <c r="AG437" s="23"/>
    </row>
    <row r="438" spans="1:33" ht="24.75" customHeight="1" x14ac:dyDescent="0.25">
      <c r="A438" s="109">
        <v>20240136</v>
      </c>
      <c r="B438" s="608"/>
      <c r="C438" s="109">
        <v>14211917</v>
      </c>
      <c r="D438" s="109" t="s">
        <v>313</v>
      </c>
      <c r="E438" s="109" t="s">
        <v>314</v>
      </c>
      <c r="F438" s="109" t="s">
        <v>715</v>
      </c>
      <c r="G438" s="109" t="s">
        <v>676</v>
      </c>
      <c r="H438" s="140">
        <v>1246680</v>
      </c>
      <c r="I438" s="140" t="s">
        <v>763</v>
      </c>
      <c r="J438" s="26">
        <f>IF(H438&lt;&gt;"",IF(AND(C438&lt;&gt;"",IFERROR(MATCH(C438,Table10[Serial No.],0),0)),0,1),0)</f>
        <v>0</v>
      </c>
      <c r="K438" s="21"/>
      <c r="L438" s="539" t="str">
        <f t="shared" si="68"/>
        <v/>
      </c>
      <c r="S438" s="281" t="s">
        <v>688</v>
      </c>
      <c r="T438" s="278" t="s">
        <v>319</v>
      </c>
      <c r="U438" s="278" t="s">
        <v>689</v>
      </c>
      <c r="V438" s="25">
        <v>1</v>
      </c>
      <c r="W438" s="619">
        <v>1288783</v>
      </c>
      <c r="X438" s="618" t="str">
        <f>IFERROR(INDEX(Table14[],MATCH($W438,Table14[SAPNo],0),3),"")</f>
        <v>1613 CT179 18-60</v>
      </c>
      <c r="Y438" s="284">
        <v>47</v>
      </c>
      <c r="Z438" s="25">
        <f t="shared" si="66"/>
        <v>2</v>
      </c>
      <c r="AA438" s="25">
        <f t="shared" si="69"/>
        <v>94</v>
      </c>
      <c r="AB438" s="23">
        <f ca="1">IFERROR(INDEX('Cutters Inventory 12-30-2025'!A:W,MATCH($W438,'Cutters Inventory 12-30-2025'!B:B,0),14),0)</f>
        <v>813</v>
      </c>
      <c r="AC438" s="23">
        <f>SUMIF(Table1[LEVEL 5 MAT NO.],S438,Table1[Braze Plan])</f>
        <v>0</v>
      </c>
      <c r="AD438" s="23">
        <f>Table4[[#This Row],[Quantity]]*Table4[[#This Row],[Bits Braze Plan]]</f>
        <v>0</v>
      </c>
      <c r="AE438" s="23">
        <f ca="1">Table4[[#This Row],[INV. QTY]]-Table4[[#This Row],[Required For Braze Cutters Check]]</f>
        <v>813</v>
      </c>
      <c r="AF438" s="23">
        <f t="shared" ca="1" si="67"/>
        <v>813</v>
      </c>
      <c r="AG438" s="625" t="s">
        <v>661</v>
      </c>
    </row>
    <row r="439" spans="1:33" ht="24.75" customHeight="1" x14ac:dyDescent="0.25">
      <c r="A439" s="109">
        <v>20240136</v>
      </c>
      <c r="B439" s="608"/>
      <c r="C439" s="109">
        <v>14211916</v>
      </c>
      <c r="D439" s="109" t="s">
        <v>313</v>
      </c>
      <c r="E439" s="109" t="s">
        <v>314</v>
      </c>
      <c r="F439" s="109" t="s">
        <v>715</v>
      </c>
      <c r="G439" s="109" t="s">
        <v>676</v>
      </c>
      <c r="H439" s="140">
        <v>1246680</v>
      </c>
      <c r="I439" s="140" t="s">
        <v>763</v>
      </c>
      <c r="J439" s="26">
        <f>IF(H439&lt;&gt;"",IF(AND(C439&lt;&gt;"",IFERROR(MATCH(C439,Table10[Serial No.],0),0)),0,1),0)</f>
        <v>0</v>
      </c>
      <c r="K439" s="21"/>
      <c r="L439" s="539" t="str">
        <f t="shared" si="68"/>
        <v/>
      </c>
      <c r="S439" s="281" t="s">
        <v>688</v>
      </c>
      <c r="T439" s="278" t="s">
        <v>319</v>
      </c>
      <c r="U439" s="278" t="s">
        <v>689</v>
      </c>
      <c r="V439" s="25">
        <v>2</v>
      </c>
      <c r="W439" s="284">
        <v>179734</v>
      </c>
      <c r="X439" s="19" t="str">
        <f>IFERROR(INDEX(Table14[],MATCH($W439,Table14[SAPNo],0),3),"")</f>
        <v>Long IPA 13    (C)</v>
      </c>
      <c r="Y439" s="284">
        <v>35</v>
      </c>
      <c r="Z439" s="25">
        <f t="shared" si="66"/>
        <v>2</v>
      </c>
      <c r="AA439" s="25">
        <f t="shared" si="69"/>
        <v>70</v>
      </c>
      <c r="AB439" s="23">
        <f ca="1">IFERROR(INDEX('Cutters Inventory 12-30-2025'!A:W,MATCH($W439,'Cutters Inventory 12-30-2025'!B:B,0),14),0)</f>
        <v>140</v>
      </c>
      <c r="AC439" s="23">
        <f>SUMIF(Table1[LEVEL 5 MAT NO.],S439,Table1[Braze Plan])</f>
        <v>0</v>
      </c>
      <c r="AD439" s="23">
        <f>Table4[[#This Row],[Quantity]]*Table4[[#This Row],[Bits Braze Plan]]</f>
        <v>0</v>
      </c>
      <c r="AE439" s="23">
        <f ca="1">Table4[[#This Row],[INV. QTY]]-Table4[[#This Row],[Required For Braze Cutters Check]]</f>
        <v>140</v>
      </c>
      <c r="AF439" s="23">
        <f t="shared" ca="1" si="67"/>
        <v>140</v>
      </c>
      <c r="AG439" s="23"/>
    </row>
    <row r="440" spans="1:33" ht="24.75" customHeight="1" x14ac:dyDescent="0.25">
      <c r="A440" s="109">
        <v>20240136</v>
      </c>
      <c r="B440" s="608"/>
      <c r="C440" s="109">
        <v>14211918</v>
      </c>
      <c r="D440" s="109" t="s">
        <v>313</v>
      </c>
      <c r="E440" s="109" t="s">
        <v>314</v>
      </c>
      <c r="F440" s="109" t="s">
        <v>715</v>
      </c>
      <c r="G440" s="109" t="s">
        <v>676</v>
      </c>
      <c r="H440" s="140">
        <v>1246680</v>
      </c>
      <c r="I440" s="140" t="s">
        <v>763</v>
      </c>
      <c r="J440" s="26">
        <f>IF(H440&lt;&gt;"",IF(AND(C440&lt;&gt;"",IFERROR(MATCH(C440,Table10[Serial No.],0),0)),0,1),0)</f>
        <v>0</v>
      </c>
      <c r="K440" s="21"/>
      <c r="L440" s="539" t="str">
        <f t="shared" si="68"/>
        <v/>
      </c>
      <c r="S440" s="281">
        <v>2015535</v>
      </c>
      <c r="T440" s="278" t="s">
        <v>624</v>
      </c>
      <c r="U440" s="278" t="s">
        <v>717</v>
      </c>
      <c r="V440" s="25">
        <v>4</v>
      </c>
      <c r="W440" s="284">
        <v>1146737</v>
      </c>
      <c r="X440" s="19" t="str">
        <f>IFERROR(INDEX(Table14[],MATCH($W440,Table14[SAPNo],0),3),"")</f>
        <v>1613 CT418 18-60</v>
      </c>
      <c r="Y440" s="284">
        <v>10</v>
      </c>
      <c r="Z440" s="25">
        <f t="shared" si="66"/>
        <v>1</v>
      </c>
      <c r="AA440" s="25">
        <f t="shared" si="69"/>
        <v>10</v>
      </c>
      <c r="AB440" s="23">
        <f ca="1">IFERROR(INDEX('Cutters Inventory 12-30-2025'!A:W,MATCH($W440,'Cutters Inventory 12-30-2025'!B:B,0),14),0)</f>
        <v>1281</v>
      </c>
      <c r="AC440" s="23">
        <f>SUMIF(Table1[LEVEL 5 MAT NO.],S440,Table1[Braze Plan])</f>
        <v>0</v>
      </c>
      <c r="AD440" s="23">
        <f>Table4[[#This Row],[Quantity]]*Table4[[#This Row],[Bits Braze Plan]]</f>
        <v>0</v>
      </c>
      <c r="AE440" s="23">
        <f ca="1">Table4[[#This Row],[INV. QTY]]-Table4[[#This Row],[Required For Braze Cutters Check]]</f>
        <v>1281</v>
      </c>
      <c r="AF440" s="23">
        <f t="shared" ca="1" si="67"/>
        <v>1281</v>
      </c>
      <c r="AG440" s="23"/>
    </row>
    <row r="441" spans="1:33" ht="24.75" customHeight="1" x14ac:dyDescent="0.25">
      <c r="A441" s="109">
        <v>20240136</v>
      </c>
      <c r="B441" s="608"/>
      <c r="C441" s="109">
        <v>14211930</v>
      </c>
      <c r="D441" s="109" t="s">
        <v>624</v>
      </c>
      <c r="E441" s="109" t="s">
        <v>663</v>
      </c>
      <c r="F441" s="109" t="s">
        <v>764</v>
      </c>
      <c r="G441" s="109" t="s">
        <v>681</v>
      </c>
      <c r="H441" s="140">
        <v>1269498</v>
      </c>
      <c r="I441" s="140">
        <v>1276939</v>
      </c>
      <c r="J441" s="26">
        <f>IF(H441&lt;&gt;"",IF(AND(C441&lt;&gt;"",IFERROR(MATCH(C441,Table10[Serial No.],0),0)),0,1),0)</f>
        <v>0</v>
      </c>
      <c r="K441" s="21"/>
      <c r="L441" s="539" t="str">
        <f t="shared" ca="1" si="68"/>
        <v/>
      </c>
      <c r="S441" s="281" t="s">
        <v>688</v>
      </c>
      <c r="T441" s="278" t="s">
        <v>319</v>
      </c>
      <c r="U441" s="278" t="s">
        <v>689</v>
      </c>
      <c r="V441" s="25">
        <v>4</v>
      </c>
      <c r="W441" s="284">
        <v>410851</v>
      </c>
      <c r="X441" s="19" t="str">
        <f>IFERROR(INDEX(Table14[],MATCH($W441,Table14[SAPNo],0),3),"")</f>
        <v>PDC Dome 1308 CT31   (B)</v>
      </c>
      <c r="Y441" s="284">
        <v>28</v>
      </c>
      <c r="Z441" s="25">
        <f t="shared" si="66"/>
        <v>2</v>
      </c>
      <c r="AA441" s="25">
        <f t="shared" si="69"/>
        <v>56</v>
      </c>
      <c r="AB441" s="23">
        <f ca="1">IFERROR(INDEX('Cutters Inventory 12-30-2025'!A:W,MATCH($W441,'Cutters Inventory 12-30-2025'!B:B,0),14),0)</f>
        <v>93</v>
      </c>
      <c r="AC441" s="23">
        <f>SUMIF(Table1[LEVEL 5 MAT NO.],S441,Table1[Braze Plan])</f>
        <v>0</v>
      </c>
      <c r="AD441" s="23">
        <f>Table4[[#This Row],[Quantity]]*Table4[[#This Row],[Bits Braze Plan]]</f>
        <v>0</v>
      </c>
      <c r="AE441" s="23">
        <f ca="1">Table4[[#This Row],[INV. QTY]]-Table4[[#This Row],[Required For Braze Cutters Check]]</f>
        <v>93</v>
      </c>
      <c r="AF441" s="23">
        <f t="shared" ca="1" si="67"/>
        <v>93</v>
      </c>
      <c r="AG441" s="23"/>
    </row>
    <row r="442" spans="1:33" ht="24.75" customHeight="1" x14ac:dyDescent="0.25">
      <c r="A442" s="109">
        <v>20240136</v>
      </c>
      <c r="B442" s="608"/>
      <c r="C442" s="109">
        <v>14211929</v>
      </c>
      <c r="D442" s="109" t="s">
        <v>624</v>
      </c>
      <c r="E442" s="109" t="s">
        <v>663</v>
      </c>
      <c r="F442" s="109" t="s">
        <v>764</v>
      </c>
      <c r="G442" s="109" t="s">
        <v>681</v>
      </c>
      <c r="H442" s="140">
        <v>1269498</v>
      </c>
      <c r="I442" s="140">
        <v>1276939</v>
      </c>
      <c r="J442" s="26">
        <f>IF(H442&lt;&gt;"",IF(AND(C442&lt;&gt;"",IFERROR(MATCH(C442,Table10[Serial No.],0),0)),0,1),0)</f>
        <v>0</v>
      </c>
      <c r="K442" s="21"/>
      <c r="L442" s="539" t="str">
        <f t="shared" ca="1" si="68"/>
        <v/>
      </c>
      <c r="S442" s="281" t="s">
        <v>688</v>
      </c>
      <c r="T442" s="278" t="s">
        <v>319</v>
      </c>
      <c r="U442" s="278" t="s">
        <v>689</v>
      </c>
      <c r="V442" s="25">
        <v>5</v>
      </c>
      <c r="W442" s="284">
        <v>647436</v>
      </c>
      <c r="X442" s="19" t="str">
        <f>IFERROR(INDEX(Table14[],MATCH($W442,Table14[SAPNo],0),3),"")</f>
        <v>Round 1613 CT200  0.018" (B)</v>
      </c>
      <c r="Y442" s="284">
        <v>27</v>
      </c>
      <c r="Z442" s="25">
        <f t="shared" si="66"/>
        <v>2</v>
      </c>
      <c r="AA442" s="25">
        <f t="shared" si="69"/>
        <v>54</v>
      </c>
      <c r="AB442" s="23">
        <f ca="1">IFERROR(INDEX('Cutters Inventory 12-30-2025'!A:W,MATCH($W442,'Cutters Inventory 12-30-2025'!B:B,0),14),0)</f>
        <v>412</v>
      </c>
      <c r="AC442" s="23">
        <f>SUMIF(Table1[LEVEL 5 MAT NO.],S442,Table1[Braze Plan])</f>
        <v>0</v>
      </c>
      <c r="AD442" s="23">
        <f>Table4[[#This Row],[Quantity]]*Table4[[#This Row],[Bits Braze Plan]]</f>
        <v>0</v>
      </c>
      <c r="AE442" s="23">
        <f ca="1">Table4[[#This Row],[INV. QTY]]-Table4[[#This Row],[Required For Braze Cutters Check]]</f>
        <v>412</v>
      </c>
      <c r="AF442" s="23">
        <f t="shared" ca="1" si="67"/>
        <v>412</v>
      </c>
      <c r="AG442" s="23"/>
    </row>
    <row r="443" spans="1:33" ht="24.75" customHeight="1" x14ac:dyDescent="0.25">
      <c r="A443" s="109">
        <v>20240136</v>
      </c>
      <c r="B443" s="608"/>
      <c r="C443" s="109">
        <v>14211933</v>
      </c>
      <c r="D443" s="109" t="s">
        <v>624</v>
      </c>
      <c r="E443" s="109" t="s">
        <v>663</v>
      </c>
      <c r="F443" s="109" t="s">
        <v>764</v>
      </c>
      <c r="G443" s="109" t="s">
        <v>681</v>
      </c>
      <c r="H443" s="140">
        <v>1269498</v>
      </c>
      <c r="I443" s="140">
        <v>1276939</v>
      </c>
      <c r="J443" s="26">
        <f>IF(H443&lt;&gt;"",IF(AND(C443&lt;&gt;"",IFERROR(MATCH(C443,Table10[Serial No.],0),0)),0,1),0)</f>
        <v>0</v>
      </c>
      <c r="K443" s="21"/>
      <c r="L443" s="539" t="str">
        <f t="shared" ca="1" si="68"/>
        <v/>
      </c>
      <c r="S443" s="281" t="s">
        <v>688</v>
      </c>
      <c r="T443" s="278" t="s">
        <v>319</v>
      </c>
      <c r="U443" s="278" t="s">
        <v>689</v>
      </c>
      <c r="V443" s="25">
        <v>6</v>
      </c>
      <c r="W443" s="284">
        <v>418525</v>
      </c>
      <c r="X443" s="19" t="str">
        <f>IFERROR(INDEX(Table14[],MATCH($W443,Table14[SAPNo],0),3),"")</f>
        <v>Drop In 1308 CT31   (B)</v>
      </c>
      <c r="Y443" s="284">
        <v>14</v>
      </c>
      <c r="Z443" s="25">
        <f t="shared" si="66"/>
        <v>2</v>
      </c>
      <c r="AA443" s="25">
        <f t="shared" si="69"/>
        <v>28</v>
      </c>
      <c r="AB443" s="23">
        <f ca="1">IFERROR(INDEX('Cutters Inventory 12-30-2025'!A:W,MATCH($W443,'Cutters Inventory 12-30-2025'!B:B,0),14),0)</f>
        <v>933</v>
      </c>
      <c r="AC443" s="23">
        <f>SUMIF(Table1[LEVEL 5 MAT NO.],S443,Table1[Braze Plan])</f>
        <v>0</v>
      </c>
      <c r="AD443" s="23">
        <f>Table4[[#This Row],[Quantity]]*Table4[[#This Row],[Bits Braze Plan]]</f>
        <v>0</v>
      </c>
      <c r="AE443" s="23">
        <f ca="1">Table4[[#This Row],[INV. QTY]]-Table4[[#This Row],[Required For Braze Cutters Check]]</f>
        <v>933</v>
      </c>
      <c r="AF443" s="23">
        <f t="shared" ca="1" si="67"/>
        <v>933</v>
      </c>
      <c r="AG443" s="23"/>
    </row>
    <row r="444" spans="1:33" ht="24.75" customHeight="1" x14ac:dyDescent="0.25">
      <c r="A444" s="109">
        <v>20240136</v>
      </c>
      <c r="B444" s="608"/>
      <c r="C444" s="109">
        <v>14211931</v>
      </c>
      <c r="D444" s="109" t="s">
        <v>624</v>
      </c>
      <c r="E444" s="109" t="s">
        <v>663</v>
      </c>
      <c r="F444" s="109" t="s">
        <v>764</v>
      </c>
      <c r="G444" s="109" t="s">
        <v>681</v>
      </c>
      <c r="H444" s="140">
        <v>1269498</v>
      </c>
      <c r="I444" s="140">
        <v>1276939</v>
      </c>
      <c r="J444" s="26">
        <f>IF(H444&lt;&gt;"",IF(AND(C444&lt;&gt;"",IFERROR(MATCH(C444,Table10[Serial No.],0),0)),0,1),0)</f>
        <v>0</v>
      </c>
      <c r="K444" s="21"/>
      <c r="L444" s="539" t="str">
        <f t="shared" ca="1" si="68"/>
        <v/>
      </c>
      <c r="S444" s="281" t="s">
        <v>765</v>
      </c>
      <c r="T444" s="278" t="s">
        <v>316</v>
      </c>
      <c r="U444" s="278" t="s">
        <v>766</v>
      </c>
      <c r="V444" s="25">
        <v>1</v>
      </c>
      <c r="W444" s="284">
        <v>1126402</v>
      </c>
      <c r="X444" s="19" t="str">
        <f>IFERROR(INDEX(Table14[],MATCH($W444,Table14[SAPNo],0),3),"")</f>
        <v>1613 CT421 16-60</v>
      </c>
      <c r="Y444" s="284">
        <v>56</v>
      </c>
      <c r="Z444" s="25">
        <f t="shared" si="66"/>
        <v>0</v>
      </c>
      <c r="AA444" s="25">
        <f t="shared" si="69"/>
        <v>0</v>
      </c>
      <c r="AB444" s="23">
        <f ca="1">IFERROR(INDEX('Cutters Inventory 12-30-2025'!A:W,MATCH($W444,'Cutters Inventory 12-30-2025'!B:B,0),14),0)</f>
        <v>422</v>
      </c>
      <c r="AC444" s="23">
        <f>SUMIF(Table1[LEVEL 5 MAT NO.],S444,Table1[Braze Plan])</f>
        <v>0</v>
      </c>
      <c r="AD444" s="23">
        <f>Table4[[#This Row],[Quantity]]*Table4[[#This Row],[Bits Braze Plan]]</f>
        <v>0</v>
      </c>
      <c r="AE444" s="23">
        <f ca="1">Table4[[#This Row],[INV. QTY]]-Table4[[#This Row],[Required For Braze Cutters Check]]</f>
        <v>422</v>
      </c>
      <c r="AF444" s="23">
        <f t="shared" ca="1" si="67"/>
        <v>422</v>
      </c>
      <c r="AG444" s="23"/>
    </row>
    <row r="445" spans="1:33" ht="24.75" customHeight="1" x14ac:dyDescent="0.25">
      <c r="A445" s="109">
        <v>20240136</v>
      </c>
      <c r="B445" s="608"/>
      <c r="C445" s="109">
        <v>14211932</v>
      </c>
      <c r="D445" s="109" t="s">
        <v>624</v>
      </c>
      <c r="E445" s="109" t="s">
        <v>663</v>
      </c>
      <c r="F445" s="109" t="s">
        <v>764</v>
      </c>
      <c r="G445" s="109" t="s">
        <v>681</v>
      </c>
      <c r="H445" s="140">
        <v>1269498</v>
      </c>
      <c r="I445" s="140">
        <v>1276939</v>
      </c>
      <c r="J445" s="26">
        <f>IF(H445&lt;&gt;"",IF(AND(C445&lt;&gt;"",IFERROR(MATCH(C445,Table10[Serial No.],0),0)),0,1),0)</f>
        <v>0</v>
      </c>
      <c r="K445" s="21"/>
      <c r="L445" s="539" t="str">
        <f t="shared" ca="1" si="68"/>
        <v/>
      </c>
      <c r="S445" s="281" t="s">
        <v>765</v>
      </c>
      <c r="T445" s="278" t="s">
        <v>316</v>
      </c>
      <c r="U445" s="278" t="s">
        <v>766</v>
      </c>
      <c r="V445" s="25">
        <v>2</v>
      </c>
      <c r="W445" s="284">
        <v>717751</v>
      </c>
      <c r="X445" s="19" t="str">
        <f>IFERROR(INDEX(Table14[],MATCH($W445,Table14[SAPNo],0),3),"")</f>
        <v>Round 1308 CT200  0.018" (B)</v>
      </c>
      <c r="Y445" s="284">
        <v>39</v>
      </c>
      <c r="Z445" s="25">
        <f t="shared" si="66"/>
        <v>0</v>
      </c>
      <c r="AA445" s="25">
        <f t="shared" si="69"/>
        <v>0</v>
      </c>
      <c r="AB445" s="23">
        <f ca="1">IFERROR(INDEX('Cutters Inventory 12-30-2025'!A:W,MATCH($W445,'Cutters Inventory 12-30-2025'!B:B,0),14),0)</f>
        <v>28</v>
      </c>
      <c r="AC445" s="23">
        <f>SUMIF(Table1[LEVEL 5 MAT NO.],S445,Table1[Braze Plan])</f>
        <v>0</v>
      </c>
      <c r="AD445" s="23">
        <f>Table4[[#This Row],[Quantity]]*Table4[[#This Row],[Bits Braze Plan]]</f>
        <v>0</v>
      </c>
      <c r="AE445" s="23">
        <f ca="1">Table4[[#This Row],[INV. QTY]]-Table4[[#This Row],[Required For Braze Cutters Check]]</f>
        <v>28</v>
      </c>
      <c r="AF445" s="23">
        <f t="shared" ca="1" si="67"/>
        <v>28</v>
      </c>
      <c r="AG445" s="23"/>
    </row>
    <row r="446" spans="1:33" ht="24.75" customHeight="1" x14ac:dyDescent="0.25">
      <c r="A446" s="109">
        <v>20240136</v>
      </c>
      <c r="B446" s="608"/>
      <c r="C446" s="109">
        <v>14210782</v>
      </c>
      <c r="D446" s="109" t="s">
        <v>315</v>
      </c>
      <c r="E446" s="109" t="s">
        <v>284</v>
      </c>
      <c r="F446" s="109" t="s">
        <v>659</v>
      </c>
      <c r="G446" s="109" t="s">
        <v>676</v>
      </c>
      <c r="H446" s="140">
        <v>1234376</v>
      </c>
      <c r="I446" s="140">
        <v>1249569</v>
      </c>
      <c r="J446" s="26">
        <f>IF(H446&lt;&gt;"",IF(AND(C446&lt;&gt;"",IFERROR(MATCH(C446,Table10[Serial No.],0),0)),0,1),0)</f>
        <v>0</v>
      </c>
      <c r="K446" s="21"/>
      <c r="L446" s="539" t="str">
        <f t="shared" ca="1" si="68"/>
        <v/>
      </c>
      <c r="S446" s="281" t="s">
        <v>765</v>
      </c>
      <c r="T446" s="278" t="s">
        <v>316</v>
      </c>
      <c r="U446" s="278" t="s">
        <v>766</v>
      </c>
      <c r="V446" s="25">
        <v>3</v>
      </c>
      <c r="W446" s="284">
        <v>410851</v>
      </c>
      <c r="X446" s="19" t="str">
        <f>IFERROR(INDEX(Table14[],MATCH($W446,Table14[SAPNo],0),3),"")</f>
        <v>PDC Dome 1308 CT31   (B)</v>
      </c>
      <c r="Y446" s="284">
        <v>42</v>
      </c>
      <c r="Z446" s="25">
        <f t="shared" si="66"/>
        <v>0</v>
      </c>
      <c r="AA446" s="25">
        <f t="shared" si="69"/>
        <v>0</v>
      </c>
      <c r="AB446" s="23">
        <f ca="1">IFERROR(INDEX('Cutters Inventory 12-30-2025'!A:W,MATCH($W446,'Cutters Inventory 12-30-2025'!B:B,0),14),0)</f>
        <v>93</v>
      </c>
      <c r="AC446" s="23">
        <f>SUMIF(Table1[LEVEL 5 MAT NO.],S446,Table1[Braze Plan])</f>
        <v>0</v>
      </c>
      <c r="AD446" s="23">
        <f>Table4[[#This Row],[Quantity]]*Table4[[#This Row],[Bits Braze Plan]]</f>
        <v>0</v>
      </c>
      <c r="AE446" s="23">
        <f ca="1">Table4[[#This Row],[INV. QTY]]-Table4[[#This Row],[Required For Braze Cutters Check]]</f>
        <v>93</v>
      </c>
      <c r="AF446" s="23">
        <f t="shared" ca="1" si="67"/>
        <v>93</v>
      </c>
      <c r="AG446" s="23"/>
    </row>
    <row r="447" spans="1:33" ht="24.75" customHeight="1" x14ac:dyDescent="0.25">
      <c r="A447" s="109">
        <v>20240136</v>
      </c>
      <c r="B447" s="709"/>
      <c r="C447" s="109">
        <v>14210778</v>
      </c>
      <c r="D447" s="109" t="s">
        <v>315</v>
      </c>
      <c r="E447" s="109" t="s">
        <v>284</v>
      </c>
      <c r="F447" s="109" t="s">
        <v>659</v>
      </c>
      <c r="G447" s="109" t="s">
        <v>676</v>
      </c>
      <c r="H447" s="140">
        <v>1234376</v>
      </c>
      <c r="I447" s="140">
        <v>1249569</v>
      </c>
      <c r="J447" s="26">
        <f>IF(H447&lt;&gt;"",IF(AND(C447&lt;&gt;"",IFERROR(MATCH(C447,Table10[Serial No.],0),0)),0,1),0)</f>
        <v>0</v>
      </c>
      <c r="K447" s="21"/>
      <c r="L447" s="539" t="str">
        <f t="shared" ca="1" si="68"/>
        <v/>
      </c>
      <c r="S447" s="281" t="s">
        <v>765</v>
      </c>
      <c r="T447" s="278" t="s">
        <v>316</v>
      </c>
      <c r="U447" s="278" t="s">
        <v>766</v>
      </c>
      <c r="V447" s="25">
        <v>4</v>
      </c>
      <c r="W447" s="284">
        <v>179733</v>
      </c>
      <c r="X447" s="19" t="str">
        <f>IFERROR(INDEX(Table14[],MATCH($W447,Table14[SAPNo],0),3),"")</f>
        <v>Short IA 13    (C)</v>
      </c>
      <c r="Y447" s="284">
        <v>23</v>
      </c>
      <c r="Z447" s="25">
        <f t="shared" si="66"/>
        <v>0</v>
      </c>
      <c r="AA447" s="25">
        <f t="shared" si="69"/>
        <v>0</v>
      </c>
      <c r="AB447" s="23">
        <f ca="1">IFERROR(INDEX('Cutters Inventory 12-30-2025'!A:W,MATCH($W447,'Cutters Inventory 12-30-2025'!B:B,0),14),0)</f>
        <v>68</v>
      </c>
      <c r="AC447" s="23">
        <f>SUMIF(Table1[LEVEL 5 MAT NO.],S447,Table1[Braze Plan])</f>
        <v>0</v>
      </c>
      <c r="AD447" s="23">
        <f>Table4[[#This Row],[Quantity]]*Table4[[#This Row],[Bits Braze Plan]]</f>
        <v>0</v>
      </c>
      <c r="AE447" s="23">
        <f ca="1">Table4[[#This Row],[INV. QTY]]-Table4[[#This Row],[Required For Braze Cutters Check]]</f>
        <v>68</v>
      </c>
      <c r="AF447" s="23">
        <f t="shared" ca="1" si="67"/>
        <v>68</v>
      </c>
      <c r="AG447" s="23"/>
    </row>
    <row r="448" spans="1:33" ht="24.75" customHeight="1" x14ac:dyDescent="0.25">
      <c r="A448" s="109">
        <v>20240136</v>
      </c>
      <c r="B448" s="709"/>
      <c r="C448" s="109">
        <v>14210779</v>
      </c>
      <c r="D448" s="109" t="s">
        <v>315</v>
      </c>
      <c r="E448" s="109" t="s">
        <v>284</v>
      </c>
      <c r="F448" s="109" t="s">
        <v>659</v>
      </c>
      <c r="G448" s="109" t="s">
        <v>676</v>
      </c>
      <c r="H448" s="140">
        <v>1234376</v>
      </c>
      <c r="I448" s="140">
        <v>1249569</v>
      </c>
      <c r="J448" s="26">
        <f>IF(H448&lt;&gt;"",IF(AND(C448&lt;&gt;"",IFERROR(MATCH(C448,Table10[Serial No.],0),0)),0,1),0)</f>
        <v>0</v>
      </c>
      <c r="K448" s="21"/>
      <c r="L448" s="539" t="str">
        <f t="shared" ca="1" si="68"/>
        <v/>
      </c>
      <c r="S448" s="281" t="s">
        <v>765</v>
      </c>
      <c r="T448" s="278" t="s">
        <v>316</v>
      </c>
      <c r="U448" s="278" t="s">
        <v>766</v>
      </c>
      <c r="V448" s="25">
        <v>5</v>
      </c>
      <c r="W448" s="284">
        <v>418525</v>
      </c>
      <c r="X448" s="19" t="str">
        <f>IFERROR(INDEX(Table14[],MATCH($W448,Table14[SAPNo],0),3),"")</f>
        <v>Drop In 1308 CT31   (B)</v>
      </c>
      <c r="Y448" s="284">
        <v>14</v>
      </c>
      <c r="Z448" s="25">
        <f t="shared" si="66"/>
        <v>0</v>
      </c>
      <c r="AA448" s="25">
        <f t="shared" si="69"/>
        <v>0</v>
      </c>
      <c r="AB448" s="23">
        <f ca="1">IFERROR(INDEX('Cutters Inventory 12-30-2025'!A:W,MATCH($W448,'Cutters Inventory 12-30-2025'!B:B,0),14),0)</f>
        <v>933</v>
      </c>
      <c r="AC448" s="23">
        <f>SUMIF(Table1[LEVEL 5 MAT NO.],S448,Table1[Braze Plan])</f>
        <v>0</v>
      </c>
      <c r="AD448" s="23">
        <f>Table4[[#This Row],[Quantity]]*Table4[[#This Row],[Bits Braze Plan]]</f>
        <v>0</v>
      </c>
      <c r="AE448" s="23">
        <f ca="1">Table4[[#This Row],[INV. QTY]]-Table4[[#This Row],[Required For Braze Cutters Check]]</f>
        <v>933</v>
      </c>
      <c r="AF448" s="23">
        <f t="shared" ca="1" si="67"/>
        <v>933</v>
      </c>
      <c r="AG448" s="23"/>
    </row>
    <row r="449" spans="1:33" ht="24.75" customHeight="1" x14ac:dyDescent="0.25">
      <c r="A449" s="109">
        <v>20240136</v>
      </c>
      <c r="B449" s="709"/>
      <c r="C449" s="109">
        <v>14210783</v>
      </c>
      <c r="D449" s="109" t="s">
        <v>315</v>
      </c>
      <c r="E449" s="109" t="s">
        <v>284</v>
      </c>
      <c r="F449" s="109" t="s">
        <v>659</v>
      </c>
      <c r="G449" s="109" t="s">
        <v>676</v>
      </c>
      <c r="H449" s="140">
        <v>1234376</v>
      </c>
      <c r="I449" s="140">
        <v>1249569</v>
      </c>
      <c r="J449" s="26">
        <f>IF(H449&lt;&gt;"",IF(AND(C449&lt;&gt;"",IFERROR(MATCH(C449,Table10[Serial No.],0),0)),0,1),0)</f>
        <v>0</v>
      </c>
      <c r="K449" s="21"/>
      <c r="L449" s="539" t="str">
        <f t="shared" ca="1" si="68"/>
        <v/>
      </c>
      <c r="S449" s="281" t="s">
        <v>765</v>
      </c>
      <c r="T449" s="278" t="s">
        <v>316</v>
      </c>
      <c r="U449" s="278" t="s">
        <v>766</v>
      </c>
      <c r="V449" s="25">
        <v>6</v>
      </c>
      <c r="W449" s="284">
        <v>1130197</v>
      </c>
      <c r="X449" s="19" t="str">
        <f>IFERROR(INDEX(Table14[],MATCH($W449,Table14[SAPNo],0),3),"")</f>
        <v>Round 1608 CT182  0.018" (S)</v>
      </c>
      <c r="Y449" s="284">
        <v>13</v>
      </c>
      <c r="Z449" s="25">
        <f t="shared" si="66"/>
        <v>0</v>
      </c>
      <c r="AA449" s="25">
        <f t="shared" si="69"/>
        <v>0</v>
      </c>
      <c r="AB449" s="23">
        <f ca="1">IFERROR(INDEX('Cutters Inventory 12-30-2025'!A:W,MATCH($W449,'Cutters Inventory 12-30-2025'!B:B,0),14),0)</f>
        <v>39</v>
      </c>
      <c r="AC449" s="23">
        <f>SUMIF(Table1[LEVEL 5 MAT NO.],S449,Table1[Braze Plan])</f>
        <v>0</v>
      </c>
      <c r="AD449" s="23">
        <f>Table4[[#This Row],[Quantity]]*Table4[[#This Row],[Bits Braze Plan]]</f>
        <v>0</v>
      </c>
      <c r="AE449" s="23">
        <f ca="1">Table4[[#This Row],[INV. QTY]]-Table4[[#This Row],[Required For Braze Cutters Check]]</f>
        <v>39</v>
      </c>
      <c r="AF449" s="23">
        <f t="shared" ca="1" si="67"/>
        <v>39</v>
      </c>
      <c r="AG449" s="23"/>
    </row>
    <row r="450" spans="1:33" ht="24.75" customHeight="1" x14ac:dyDescent="0.25">
      <c r="A450" s="109">
        <v>20240136</v>
      </c>
      <c r="B450" s="709"/>
      <c r="C450" s="109">
        <v>14210780</v>
      </c>
      <c r="D450" s="109" t="s">
        <v>315</v>
      </c>
      <c r="E450" s="109" t="s">
        <v>284</v>
      </c>
      <c r="F450" s="109" t="s">
        <v>659</v>
      </c>
      <c r="G450" s="109" t="s">
        <v>676</v>
      </c>
      <c r="H450" s="140">
        <v>1234376</v>
      </c>
      <c r="I450" s="140">
        <v>1249569</v>
      </c>
      <c r="J450" s="26">
        <f>IF(H450&lt;&gt;"",IF(AND(C450&lt;&gt;"",IFERROR(MATCH(C450,Table10[Serial No.],0),0)),0,1),0)</f>
        <v>0</v>
      </c>
      <c r="K450" s="21"/>
      <c r="L450" s="539" t="str">
        <f t="shared" ca="1" si="68"/>
        <v/>
      </c>
      <c r="S450" s="281" t="s">
        <v>641</v>
      </c>
      <c r="T450" s="278" t="s">
        <v>624</v>
      </c>
      <c r="U450" s="278" t="s">
        <v>640</v>
      </c>
      <c r="V450" s="25">
        <v>1</v>
      </c>
      <c r="W450" s="284">
        <v>1146737</v>
      </c>
      <c r="X450" s="19" t="str">
        <f>IFERROR(INDEX(Table14[],MATCH($W450,Table14[SAPNo],0),3),"")</f>
        <v>1613 CT418 18-60</v>
      </c>
      <c r="Y450" s="284">
        <v>19</v>
      </c>
      <c r="Z450" s="25">
        <f t="shared" ref="Z450:Z513" si="70">IFERROR(INDEX($O$2:$P$400,MATCH($S450,$O$2:$O$93,0),2),0)</f>
        <v>3</v>
      </c>
      <c r="AA450" s="25">
        <f t="shared" si="69"/>
        <v>57</v>
      </c>
      <c r="AB450" s="23">
        <f ca="1">IFERROR(INDEX('Cutters Inventory 12-30-2025'!A:W,MATCH($W450,'Cutters Inventory 12-30-2025'!B:B,0),14),0)</f>
        <v>1281</v>
      </c>
      <c r="AC450" s="23">
        <f>SUMIF(Table1[LEVEL 5 MAT NO.],S450,Table1[Braze Plan])</f>
        <v>0</v>
      </c>
      <c r="AD450" s="23">
        <f>Table4[[#This Row],[Quantity]]*Table4[[#This Row],[Bits Braze Plan]]</f>
        <v>0</v>
      </c>
      <c r="AE450" s="23">
        <f ca="1">Table4[[#This Row],[INV. QTY]]-Table4[[#This Row],[Required For Braze Cutters Check]]</f>
        <v>1281</v>
      </c>
      <c r="AF450" s="23">
        <f t="shared" ref="AF450:AF513" ca="1" si="71">IFERROR(INDEX($AJ$2:$AO$136,MATCH($W450,$AJ$2:$AJ$136,0),5),0)</f>
        <v>1281</v>
      </c>
      <c r="AG450" s="23"/>
    </row>
    <row r="451" spans="1:33" ht="24.75" customHeight="1" x14ac:dyDescent="0.25">
      <c r="A451" s="109">
        <v>20240136</v>
      </c>
      <c r="B451" s="709"/>
      <c r="C451" s="109">
        <v>14210784</v>
      </c>
      <c r="D451" s="109" t="s">
        <v>315</v>
      </c>
      <c r="E451" s="109" t="s">
        <v>284</v>
      </c>
      <c r="F451" s="109" t="s">
        <v>659</v>
      </c>
      <c r="G451" s="109" t="s">
        <v>676</v>
      </c>
      <c r="H451" s="140">
        <v>1234376</v>
      </c>
      <c r="I451" s="140">
        <v>1249569</v>
      </c>
      <c r="J451" s="26">
        <f>IF(H451&lt;&gt;"",IF(AND(C451&lt;&gt;"",IFERROR(MATCH(C451,Table10[Serial No.],0),0)),0,1),0)</f>
        <v>0</v>
      </c>
      <c r="K451" s="21"/>
      <c r="L451" s="539" t="str">
        <f t="shared" ref="L451:L514" ca="1" si="72">IFERROR(INDEX($O$2:$Q$57,MATCH($I451,$O$2:$O$93,0),3),"")</f>
        <v/>
      </c>
      <c r="S451" s="281" t="s">
        <v>641</v>
      </c>
      <c r="T451" s="278" t="s">
        <v>624</v>
      </c>
      <c r="U451" s="278" t="s">
        <v>640</v>
      </c>
      <c r="V451" s="25">
        <v>2</v>
      </c>
      <c r="W451" s="284">
        <v>1209333</v>
      </c>
      <c r="X451" s="19" t="str">
        <f>IFERROR(INDEX(Table14[],MATCH($W451,Table14[SAPNo],0),3),"")</f>
        <v>1613 CT147G U</v>
      </c>
      <c r="Y451" s="284">
        <v>12</v>
      </c>
      <c r="Z451" s="25">
        <f t="shared" si="70"/>
        <v>3</v>
      </c>
      <c r="AA451" s="25">
        <f t="shared" ref="AA451:AA513" si="73">Y451*Z451</f>
        <v>36</v>
      </c>
      <c r="AB451" s="23">
        <f ca="1">IFERROR(INDEX('Cutters Inventory 12-30-2025'!A:W,MATCH($W451,'Cutters Inventory 12-30-2025'!B:B,0),14),0)</f>
        <v>12</v>
      </c>
      <c r="AC451" s="23">
        <f>SUMIF(Table1[LEVEL 5 MAT NO.],S451,Table1[Braze Plan])</f>
        <v>0</v>
      </c>
      <c r="AD451" s="23">
        <f>Table4[[#This Row],[Quantity]]*Table4[[#This Row],[Bits Braze Plan]]</f>
        <v>0</v>
      </c>
      <c r="AE451" s="23">
        <f ca="1">Table4[[#This Row],[INV. QTY]]-Table4[[#This Row],[Required For Braze Cutters Check]]</f>
        <v>12</v>
      </c>
      <c r="AF451" s="23">
        <f t="shared" ca="1" si="71"/>
        <v>12</v>
      </c>
      <c r="AG451" s="23"/>
    </row>
    <row r="452" spans="1:33" ht="24.75" customHeight="1" x14ac:dyDescent="0.25">
      <c r="A452" s="109">
        <v>20240136</v>
      </c>
      <c r="B452" s="709"/>
      <c r="C452" s="109">
        <v>14210781</v>
      </c>
      <c r="D452" s="109" t="s">
        <v>315</v>
      </c>
      <c r="E452" s="109" t="s">
        <v>284</v>
      </c>
      <c r="F452" s="109" t="s">
        <v>659</v>
      </c>
      <c r="G452" s="109" t="s">
        <v>676</v>
      </c>
      <c r="H452" s="140">
        <v>1234376</v>
      </c>
      <c r="I452" s="140">
        <v>1249569</v>
      </c>
      <c r="J452" s="26">
        <f>IF(H452&lt;&gt;"",IF(AND(C452&lt;&gt;"",IFERROR(MATCH(C452,Table10[Serial No.],0),0)),0,1),0)</f>
        <v>0</v>
      </c>
      <c r="K452" s="21"/>
      <c r="L452" s="539" t="str">
        <f t="shared" ca="1" si="72"/>
        <v/>
      </c>
      <c r="S452" s="281" t="s">
        <v>641</v>
      </c>
      <c r="T452" s="278" t="s">
        <v>624</v>
      </c>
      <c r="U452" s="278" t="s">
        <v>640</v>
      </c>
      <c r="V452" s="25">
        <v>3</v>
      </c>
      <c r="W452" s="284">
        <v>418525</v>
      </c>
      <c r="X452" s="19" t="str">
        <f>IFERROR(INDEX(Table14[],MATCH($W452,Table14[SAPNo],0),3),"")</f>
        <v>Drop In 1308 CT31   (B)</v>
      </c>
      <c r="Y452" s="284">
        <v>6</v>
      </c>
      <c r="Z452" s="25">
        <f t="shared" si="70"/>
        <v>3</v>
      </c>
      <c r="AA452" s="25">
        <f t="shared" si="73"/>
        <v>18</v>
      </c>
      <c r="AB452" s="23">
        <f ca="1">IFERROR(INDEX('Cutters Inventory 12-30-2025'!A:W,MATCH($W452,'Cutters Inventory 12-30-2025'!B:B,0),14),0)</f>
        <v>933</v>
      </c>
      <c r="AC452" s="23">
        <f>SUMIF(Table1[LEVEL 5 MAT NO.],S452,Table1[Braze Plan])</f>
        <v>0</v>
      </c>
      <c r="AD452" s="23">
        <f>Table4[[#This Row],[Quantity]]*Table4[[#This Row],[Bits Braze Plan]]</f>
        <v>0</v>
      </c>
      <c r="AE452" s="23">
        <f ca="1">Table4[[#This Row],[INV. QTY]]-Table4[[#This Row],[Required For Braze Cutters Check]]</f>
        <v>933</v>
      </c>
      <c r="AF452" s="23">
        <f t="shared" ca="1" si="71"/>
        <v>933</v>
      </c>
      <c r="AG452" s="23"/>
    </row>
    <row r="453" spans="1:33" ht="24.75" customHeight="1" x14ac:dyDescent="0.25">
      <c r="A453" s="109">
        <v>20240136</v>
      </c>
      <c r="B453" s="608"/>
      <c r="C453" s="109">
        <v>14210785</v>
      </c>
      <c r="D453" s="109" t="s">
        <v>315</v>
      </c>
      <c r="E453" s="109" t="s">
        <v>286</v>
      </c>
      <c r="F453" s="109" t="s">
        <v>659</v>
      </c>
      <c r="G453" s="109" t="s">
        <v>676</v>
      </c>
      <c r="H453" s="140">
        <v>1245350</v>
      </c>
      <c r="I453" s="140">
        <v>1269308</v>
      </c>
      <c r="J453" s="26">
        <f>IF(H453&lt;&gt;"",IF(AND(C453&lt;&gt;"",IFERROR(MATCH(C453,Table10[Serial No.],0),0)),0,1),0)</f>
        <v>0</v>
      </c>
      <c r="K453" s="21"/>
      <c r="L453" s="539" t="str">
        <f t="shared" ca="1" si="72"/>
        <v/>
      </c>
      <c r="S453" s="281" t="s">
        <v>641</v>
      </c>
      <c r="T453" s="278" t="s">
        <v>624</v>
      </c>
      <c r="U453" s="278" t="s">
        <v>640</v>
      </c>
      <c r="V453" s="25">
        <v>4</v>
      </c>
      <c r="W453" s="284">
        <v>625854</v>
      </c>
      <c r="X453" s="19" t="str">
        <f>IFERROR(INDEX(Table14[],MATCH($W453,Table14[SAPNo],0),3),"")</f>
        <v>Carbide IA 1318    (C)</v>
      </c>
      <c r="Y453" s="284">
        <v>6</v>
      </c>
      <c r="Z453" s="25">
        <f t="shared" si="70"/>
        <v>3</v>
      </c>
      <c r="AA453" s="25">
        <f t="shared" si="73"/>
        <v>18</v>
      </c>
      <c r="AB453" s="23">
        <f ca="1">IFERROR(INDEX('Cutters Inventory 12-30-2025'!A:W,MATCH($W453,'Cutters Inventory 12-30-2025'!B:B,0),14),0)</f>
        <v>74</v>
      </c>
      <c r="AC453" s="23">
        <f>SUMIF(Table1[LEVEL 5 MAT NO.],S453,Table1[Braze Plan])</f>
        <v>0</v>
      </c>
      <c r="AD453" s="23">
        <f>Table4[[#This Row],[Quantity]]*Table4[[#This Row],[Bits Braze Plan]]</f>
        <v>0</v>
      </c>
      <c r="AE453" s="23">
        <f ca="1">Table4[[#This Row],[INV. QTY]]-Table4[[#This Row],[Required For Braze Cutters Check]]</f>
        <v>74</v>
      </c>
      <c r="AF453" s="23">
        <f t="shared" ca="1" si="71"/>
        <v>74</v>
      </c>
      <c r="AG453" s="23"/>
    </row>
    <row r="454" spans="1:33" ht="24.75" customHeight="1" x14ac:dyDescent="0.25">
      <c r="A454" s="109">
        <v>20240136</v>
      </c>
      <c r="B454" s="608"/>
      <c r="C454" s="109">
        <v>14210786</v>
      </c>
      <c r="D454" s="109" t="s">
        <v>315</v>
      </c>
      <c r="E454" s="109" t="s">
        <v>286</v>
      </c>
      <c r="F454" s="109" t="s">
        <v>659</v>
      </c>
      <c r="G454" s="109" t="s">
        <v>676</v>
      </c>
      <c r="H454" s="140">
        <v>1245350</v>
      </c>
      <c r="I454" s="140">
        <v>1269308</v>
      </c>
      <c r="J454" s="26">
        <f>IF(H454&lt;&gt;"",IF(AND(C454&lt;&gt;"",IFERROR(MATCH(C454,Table10[Serial No.],0),0)),0,1),0)</f>
        <v>0</v>
      </c>
      <c r="K454" s="21"/>
      <c r="L454" s="539" t="str">
        <f t="shared" ca="1" si="72"/>
        <v/>
      </c>
      <c r="S454" s="281" t="s">
        <v>692</v>
      </c>
      <c r="T454" s="278" t="s">
        <v>637</v>
      </c>
      <c r="U454" s="278" t="s">
        <v>287</v>
      </c>
      <c r="V454" s="25">
        <v>1</v>
      </c>
      <c r="W454" s="615">
        <v>1291852</v>
      </c>
      <c r="X454" s="616" t="str">
        <f>IFERROR(INDEX(Table14[],MATCH($W454,Table14[SAPNo],0),3),"")</f>
        <v>1613 U CT186R U</v>
      </c>
      <c r="Y454" s="284">
        <v>30</v>
      </c>
      <c r="Z454" s="25">
        <f t="shared" si="70"/>
        <v>0</v>
      </c>
      <c r="AA454" s="25">
        <f t="shared" si="73"/>
        <v>0</v>
      </c>
      <c r="AB454" s="23">
        <f ca="1">IFERROR(INDEX('Cutters Inventory 12-30-2025'!A:W,MATCH($W454,'Cutters Inventory 12-30-2025'!B:B,0),14),0)</f>
        <v>62</v>
      </c>
      <c r="AC454" s="23">
        <f>SUMIF(Table1[LEVEL 5 MAT NO.],S454,Table1[Braze Plan])</f>
        <v>0</v>
      </c>
      <c r="AD454" s="23">
        <f>Table4[[#This Row],[Quantity]]*Table4[[#This Row],[Bits Braze Plan]]</f>
        <v>0</v>
      </c>
      <c r="AE454" s="23">
        <f ca="1">Table4[[#This Row],[INV. QTY]]-Table4[[#This Row],[Required For Braze Cutters Check]]</f>
        <v>62</v>
      </c>
      <c r="AF454" s="23">
        <f t="shared" ca="1" si="71"/>
        <v>62</v>
      </c>
      <c r="AG454" s="625" t="s">
        <v>767</v>
      </c>
    </row>
    <row r="455" spans="1:33" ht="24.75" customHeight="1" x14ac:dyDescent="0.25">
      <c r="A455" s="109">
        <v>20240136</v>
      </c>
      <c r="B455" s="608"/>
      <c r="C455" s="109">
        <v>14210789</v>
      </c>
      <c r="D455" s="109" t="s">
        <v>315</v>
      </c>
      <c r="E455" s="109" t="s">
        <v>286</v>
      </c>
      <c r="F455" s="109" t="s">
        <v>659</v>
      </c>
      <c r="G455" s="109" t="s">
        <v>676</v>
      </c>
      <c r="H455" s="140">
        <v>1245350</v>
      </c>
      <c r="I455" s="140">
        <v>1269308</v>
      </c>
      <c r="J455" s="26">
        <f>IF(H455&lt;&gt;"",IF(AND(C455&lt;&gt;"",IFERROR(MATCH(C455,Table10[Serial No.],0),0)),0,1),0)</f>
        <v>0</v>
      </c>
      <c r="K455" s="21"/>
      <c r="L455" s="539" t="str">
        <f t="shared" ca="1" si="72"/>
        <v/>
      </c>
      <c r="S455" s="281" t="s">
        <v>692</v>
      </c>
      <c r="T455" s="278" t="s">
        <v>637</v>
      </c>
      <c r="U455" s="278" t="s">
        <v>287</v>
      </c>
      <c r="V455" s="25">
        <v>2</v>
      </c>
      <c r="W455" s="284">
        <v>1142711</v>
      </c>
      <c r="X455" s="19" t="str">
        <f>IFERROR(INDEX(Table14[],MATCH($W455,Table14[SAPNo],0),3),"")</f>
        <v>1613 CT421 U</v>
      </c>
      <c r="Y455" s="284">
        <v>21</v>
      </c>
      <c r="Z455" s="25">
        <f t="shared" si="70"/>
        <v>0</v>
      </c>
      <c r="AA455" s="25">
        <f t="shared" si="73"/>
        <v>0</v>
      </c>
      <c r="AB455" s="23">
        <f ca="1">IFERROR(INDEX('Cutters Inventory 12-30-2025'!A:W,MATCH($W455,'Cutters Inventory 12-30-2025'!B:B,0),14),0)</f>
        <v>0</v>
      </c>
      <c r="AC455" s="23">
        <f>SUMIF(Table1[LEVEL 5 MAT NO.],S455,Table1[Braze Plan])</f>
        <v>0</v>
      </c>
      <c r="AD455" s="23">
        <f>Table4[[#This Row],[Quantity]]*Table4[[#This Row],[Bits Braze Plan]]</f>
        <v>0</v>
      </c>
      <c r="AE455" s="23">
        <f ca="1">Table4[[#This Row],[INV. QTY]]-Table4[[#This Row],[Required For Braze Cutters Check]]</f>
        <v>0</v>
      </c>
      <c r="AF455" s="23">
        <f t="shared" ca="1" si="71"/>
        <v>0</v>
      </c>
      <c r="AG455" s="23"/>
    </row>
    <row r="456" spans="1:33" ht="24.75" customHeight="1" x14ac:dyDescent="0.25">
      <c r="A456" s="109">
        <v>20240136</v>
      </c>
      <c r="B456" s="608"/>
      <c r="C456" s="109">
        <v>14210788</v>
      </c>
      <c r="D456" s="109" t="s">
        <v>315</v>
      </c>
      <c r="E456" s="109" t="s">
        <v>286</v>
      </c>
      <c r="F456" s="109" t="s">
        <v>659</v>
      </c>
      <c r="G456" s="109" t="s">
        <v>676</v>
      </c>
      <c r="H456" s="140">
        <v>1245350</v>
      </c>
      <c r="I456" s="140">
        <v>1269308</v>
      </c>
      <c r="J456" s="26">
        <f>IF(H456&lt;&gt;"",IF(AND(C456&lt;&gt;"",IFERROR(MATCH(C456,Table10[Serial No.],0),0)),0,1),0)</f>
        <v>0</v>
      </c>
      <c r="K456" s="21"/>
      <c r="L456" s="539" t="str">
        <f t="shared" ca="1" si="72"/>
        <v/>
      </c>
      <c r="S456" s="281" t="s">
        <v>692</v>
      </c>
      <c r="T456" s="278" t="s">
        <v>637</v>
      </c>
      <c r="U456" s="278" t="s">
        <v>287</v>
      </c>
      <c r="V456" s="25">
        <v>3</v>
      </c>
      <c r="W456" s="284">
        <v>1208601</v>
      </c>
      <c r="X456" s="19" t="str">
        <f>IFERROR(INDEX(Table14[],MATCH($W456,Table14[SAPNo],0),3),"")</f>
        <v>1613 CT418 U-60</v>
      </c>
      <c r="Y456" s="284">
        <v>11</v>
      </c>
      <c r="Z456" s="25">
        <f t="shared" si="70"/>
        <v>0</v>
      </c>
      <c r="AA456" s="25">
        <f t="shared" si="73"/>
        <v>0</v>
      </c>
      <c r="AB456" s="23">
        <f ca="1">IFERROR(INDEX('Cutters Inventory 12-30-2025'!A:W,MATCH($W456,'Cutters Inventory 12-30-2025'!B:B,0),14),0)</f>
        <v>230</v>
      </c>
      <c r="AC456" s="23">
        <f>SUMIF(Table1[LEVEL 5 MAT NO.],S456,Table1[Braze Plan])</f>
        <v>0</v>
      </c>
      <c r="AD456" s="23">
        <f>Table4[[#This Row],[Quantity]]*Table4[[#This Row],[Bits Braze Plan]]</f>
        <v>0</v>
      </c>
      <c r="AE456" s="23">
        <f ca="1">Table4[[#This Row],[INV. QTY]]-Table4[[#This Row],[Required For Braze Cutters Check]]</f>
        <v>230</v>
      </c>
      <c r="AF456" s="23">
        <f t="shared" ca="1" si="71"/>
        <v>230</v>
      </c>
      <c r="AG456" s="23"/>
    </row>
    <row r="457" spans="1:33" ht="24.75" customHeight="1" x14ac:dyDescent="0.25">
      <c r="A457" s="109">
        <v>20240136</v>
      </c>
      <c r="B457" s="608"/>
      <c r="C457" s="109">
        <v>14210787</v>
      </c>
      <c r="D457" s="109" t="s">
        <v>315</v>
      </c>
      <c r="E457" s="109" t="s">
        <v>286</v>
      </c>
      <c r="F457" s="109" t="s">
        <v>659</v>
      </c>
      <c r="G457" s="109" t="s">
        <v>676</v>
      </c>
      <c r="H457" s="140">
        <v>1245350</v>
      </c>
      <c r="I457" s="140">
        <v>1269308</v>
      </c>
      <c r="J457" s="26">
        <f>IF(H457&lt;&gt;"",IF(AND(C457&lt;&gt;"",IFERROR(MATCH(C457,Table10[Serial No.],0),0)),0,1),0)</f>
        <v>0</v>
      </c>
      <c r="K457" s="21"/>
      <c r="L457" s="539" t="str">
        <f t="shared" ca="1" si="72"/>
        <v/>
      </c>
      <c r="S457" s="620">
        <v>2016764</v>
      </c>
      <c r="T457" s="278" t="s">
        <v>624</v>
      </c>
      <c r="U457" s="278" t="s">
        <v>719</v>
      </c>
      <c r="V457" s="25">
        <v>4</v>
      </c>
      <c r="W457" s="284">
        <v>1146737</v>
      </c>
      <c r="X457" s="19" t="str">
        <f>IFERROR(INDEX(Table14[],MATCH($W457,Table14[SAPNo],0),3),"")</f>
        <v>1613 CT418 18-60</v>
      </c>
      <c r="Y457" s="284">
        <v>6</v>
      </c>
      <c r="Z457" s="25">
        <f t="shared" si="70"/>
        <v>0</v>
      </c>
      <c r="AA457" s="25">
        <f t="shared" si="73"/>
        <v>0</v>
      </c>
      <c r="AB457" s="23">
        <f ca="1">IFERROR(INDEX('Cutters Inventory 12-30-2025'!A:W,MATCH($W457,'Cutters Inventory 12-30-2025'!B:B,0),14),0)</f>
        <v>1281</v>
      </c>
      <c r="AC457" s="23">
        <f>SUMIF(Table1[LEVEL 5 MAT NO.],S457,Table1[Braze Plan])</f>
        <v>0</v>
      </c>
      <c r="AD457" s="23">
        <f>Table4[[#This Row],[Quantity]]*Table4[[#This Row],[Bits Braze Plan]]</f>
        <v>0</v>
      </c>
      <c r="AE457" s="23">
        <f ca="1">Table4[[#This Row],[INV. QTY]]-Table4[[#This Row],[Required For Braze Cutters Check]]</f>
        <v>1281</v>
      </c>
      <c r="AF457" s="23">
        <f t="shared" ca="1" si="71"/>
        <v>1281</v>
      </c>
      <c r="AG457" s="23"/>
    </row>
    <row r="458" spans="1:33" ht="24.75" customHeight="1" x14ac:dyDescent="0.25">
      <c r="A458" s="109">
        <v>20240136</v>
      </c>
      <c r="B458" s="709"/>
      <c r="C458" s="109">
        <v>14210790</v>
      </c>
      <c r="D458" s="109" t="s">
        <v>316</v>
      </c>
      <c r="E458" s="109" t="s">
        <v>291</v>
      </c>
      <c r="F458" s="109" t="s">
        <v>662</v>
      </c>
      <c r="G458" s="109" t="s">
        <v>676</v>
      </c>
      <c r="H458" s="140">
        <v>1228782</v>
      </c>
      <c r="I458" s="140">
        <v>1058252</v>
      </c>
      <c r="J458" s="26">
        <f>IF(H458&lt;&gt;"",IF(AND(C458&lt;&gt;"",IFERROR(MATCH(C458,Table10[Serial No.],0),0)),0,1),0)</f>
        <v>0</v>
      </c>
      <c r="K458" s="21"/>
      <c r="L458" s="539" t="str">
        <f t="shared" ca="1" si="72"/>
        <v/>
      </c>
      <c r="S458" s="281" t="s">
        <v>692</v>
      </c>
      <c r="T458" s="278" t="s">
        <v>637</v>
      </c>
      <c r="U458" s="278" t="s">
        <v>287</v>
      </c>
      <c r="V458" s="25">
        <v>5</v>
      </c>
      <c r="W458" s="284">
        <v>871781</v>
      </c>
      <c r="X458" s="19" t="str">
        <f>IFERROR(INDEX(Table14[],MATCH($W458,Table14[SAPNo],0),3),"")</f>
        <v>Round 1313 CT200  0.018" (B)</v>
      </c>
      <c r="Y458" s="284">
        <v>7</v>
      </c>
      <c r="Z458" s="25">
        <f t="shared" si="70"/>
        <v>0</v>
      </c>
      <c r="AA458" s="25">
        <f t="shared" si="73"/>
        <v>0</v>
      </c>
      <c r="AB458" s="23">
        <f ca="1">IFERROR(INDEX('Cutters Inventory 12-30-2025'!A:W,MATCH($W458,'Cutters Inventory 12-30-2025'!B:B,0),14),0)</f>
        <v>843</v>
      </c>
      <c r="AC458" s="23">
        <f>SUMIF(Table1[LEVEL 5 MAT NO.],S458,Table1[Braze Plan])</f>
        <v>0</v>
      </c>
      <c r="AD458" s="23">
        <f>Table4[[#This Row],[Quantity]]*Table4[[#This Row],[Bits Braze Plan]]</f>
        <v>0</v>
      </c>
      <c r="AE458" s="23">
        <f ca="1">Table4[[#This Row],[INV. QTY]]-Table4[[#This Row],[Required For Braze Cutters Check]]</f>
        <v>843</v>
      </c>
      <c r="AF458" s="23">
        <f t="shared" ca="1" si="71"/>
        <v>843</v>
      </c>
      <c r="AG458" s="23"/>
    </row>
    <row r="459" spans="1:33" ht="24.75" customHeight="1" x14ac:dyDescent="0.25">
      <c r="A459" s="109">
        <v>20240136</v>
      </c>
      <c r="B459" s="709"/>
      <c r="C459" s="109">
        <v>14210791</v>
      </c>
      <c r="D459" s="109" t="s">
        <v>316</v>
      </c>
      <c r="E459" s="109" t="s">
        <v>291</v>
      </c>
      <c r="F459" s="109" t="s">
        <v>662</v>
      </c>
      <c r="G459" s="109" t="s">
        <v>676</v>
      </c>
      <c r="H459" s="140">
        <v>1228782</v>
      </c>
      <c r="I459" s="140">
        <v>1058252</v>
      </c>
      <c r="J459" s="26">
        <f>IF(H459&lt;&gt;"",IF(AND(C459&lt;&gt;"",IFERROR(MATCH(C459,Table10[Serial No.],0),0)),0,1),0)</f>
        <v>0</v>
      </c>
      <c r="K459" s="21"/>
      <c r="L459" s="539" t="str">
        <f t="shared" ca="1" si="72"/>
        <v/>
      </c>
      <c r="S459" s="281" t="s">
        <v>692</v>
      </c>
      <c r="T459" s="278" t="s">
        <v>637</v>
      </c>
      <c r="U459" s="278" t="s">
        <v>287</v>
      </c>
      <c r="V459" s="25">
        <v>6</v>
      </c>
      <c r="W459" s="284">
        <v>625854</v>
      </c>
      <c r="X459" s="19" t="str">
        <f>IFERROR(INDEX(Table14[],MATCH($W459,Table14[SAPNo],0),3),"")</f>
        <v>Carbide IA 1318    (C)</v>
      </c>
      <c r="Y459" s="284">
        <v>6</v>
      </c>
      <c r="Z459" s="25">
        <f t="shared" si="70"/>
        <v>0</v>
      </c>
      <c r="AA459" s="25">
        <f t="shared" si="73"/>
        <v>0</v>
      </c>
      <c r="AB459" s="23">
        <f ca="1">IFERROR(INDEX('Cutters Inventory 12-30-2025'!A:W,MATCH($W459,'Cutters Inventory 12-30-2025'!B:B,0),14),0)</f>
        <v>74</v>
      </c>
      <c r="AC459" s="23">
        <f>SUMIF(Table1[LEVEL 5 MAT NO.],S459,Table1[Braze Plan])</f>
        <v>0</v>
      </c>
      <c r="AD459" s="23">
        <f>Table4[[#This Row],[Quantity]]*Table4[[#This Row],[Bits Braze Plan]]</f>
        <v>0</v>
      </c>
      <c r="AE459" s="23">
        <f ca="1">Table4[[#This Row],[INV. QTY]]-Table4[[#This Row],[Required For Braze Cutters Check]]</f>
        <v>74</v>
      </c>
      <c r="AF459" s="23">
        <f t="shared" ca="1" si="71"/>
        <v>74</v>
      </c>
      <c r="AG459" s="23"/>
    </row>
    <row r="460" spans="1:33" ht="24.75" customHeight="1" x14ac:dyDescent="0.25">
      <c r="A460" s="109">
        <v>20240136</v>
      </c>
      <c r="B460" s="709"/>
      <c r="C460" s="109">
        <v>14211934</v>
      </c>
      <c r="D460" s="109" t="s">
        <v>319</v>
      </c>
      <c r="E460" s="109" t="s">
        <v>689</v>
      </c>
      <c r="F460" s="109" t="s">
        <v>768</v>
      </c>
      <c r="G460" s="109" t="s">
        <v>676</v>
      </c>
      <c r="H460" s="140">
        <v>1248668</v>
      </c>
      <c r="I460" s="140" t="s">
        <v>688</v>
      </c>
      <c r="J460" s="26">
        <f>IF(H460&lt;&gt;"",IF(AND(C460&lt;&gt;"",IFERROR(MATCH(C460,Table10[Serial No.],0),0)),0,1),0)</f>
        <v>0</v>
      </c>
      <c r="K460" s="21"/>
      <c r="L460" s="539" t="str">
        <f t="shared" si="72"/>
        <v/>
      </c>
      <c r="S460" s="281" t="s">
        <v>692</v>
      </c>
      <c r="T460" s="278" t="s">
        <v>637</v>
      </c>
      <c r="U460" s="278" t="s">
        <v>287</v>
      </c>
      <c r="V460" s="25">
        <v>7</v>
      </c>
      <c r="W460" s="284">
        <v>1288783</v>
      </c>
      <c r="X460" s="19" t="str">
        <f>IFERROR(INDEX(Table14[],MATCH($W460,Table14[SAPNo],0),3),"")</f>
        <v>1613 CT179 18-60</v>
      </c>
      <c r="Y460" s="284">
        <v>6</v>
      </c>
      <c r="Z460" s="25">
        <f t="shared" si="70"/>
        <v>0</v>
      </c>
      <c r="AA460" s="25">
        <f t="shared" si="73"/>
        <v>0</v>
      </c>
      <c r="AB460" s="23">
        <f ca="1">IFERROR(INDEX('Cutters Inventory 12-30-2025'!A:W,MATCH($W460,'Cutters Inventory 12-30-2025'!B:B,0),14),0)</f>
        <v>813</v>
      </c>
      <c r="AC460" s="23">
        <f>SUMIF(Table1[LEVEL 5 MAT NO.],S460,Table1[Braze Plan])</f>
        <v>0</v>
      </c>
      <c r="AD460" s="23">
        <f>Table4[[#This Row],[Quantity]]*Table4[[#This Row],[Bits Braze Plan]]</f>
        <v>0</v>
      </c>
      <c r="AE460" s="23">
        <f ca="1">Table4[[#This Row],[INV. QTY]]-Table4[[#This Row],[Required For Braze Cutters Check]]</f>
        <v>813</v>
      </c>
      <c r="AF460" s="23">
        <f t="shared" ca="1" si="71"/>
        <v>813</v>
      </c>
      <c r="AG460" s="23"/>
    </row>
    <row r="461" spans="1:33" ht="24.75" customHeight="1" x14ac:dyDescent="0.25">
      <c r="A461" s="109">
        <v>20240136</v>
      </c>
      <c r="B461" s="608"/>
      <c r="C461" s="109">
        <v>14211858</v>
      </c>
      <c r="D461" s="109" t="s">
        <v>769</v>
      </c>
      <c r="E461" s="109" t="s">
        <v>645</v>
      </c>
      <c r="F461" s="109" t="s">
        <v>764</v>
      </c>
      <c r="G461" s="109" t="s">
        <v>681</v>
      </c>
      <c r="H461" s="140">
        <v>1262047</v>
      </c>
      <c r="I461" s="140">
        <v>1235768</v>
      </c>
      <c r="J461" s="26">
        <f>IF(H461&lt;&gt;"",IF(AND(C461&lt;&gt;"",IFERROR(MATCH(C461,Table10[Serial No.],0),0)),0,1),0)</f>
        <v>0</v>
      </c>
      <c r="K461" s="21"/>
      <c r="L461" s="539" t="str">
        <f t="shared" ca="1" si="72"/>
        <v/>
      </c>
      <c r="S461" s="281" t="s">
        <v>770</v>
      </c>
      <c r="T461" s="278" t="s">
        <v>309</v>
      </c>
      <c r="U461" s="278" t="s">
        <v>679</v>
      </c>
      <c r="V461" s="25">
        <v>1</v>
      </c>
      <c r="W461" s="284">
        <v>1152018</v>
      </c>
      <c r="X461" s="19" t="str">
        <f>IFERROR(INDEX(Table14[],MATCH($W461,Table14[SAPNo],0),3),"")</f>
        <v>1313 CT418 U</v>
      </c>
      <c r="Y461" s="284">
        <v>17</v>
      </c>
      <c r="Z461" s="25">
        <f t="shared" si="70"/>
        <v>0</v>
      </c>
      <c r="AA461" s="25">
        <f t="shared" si="73"/>
        <v>0</v>
      </c>
      <c r="AB461" s="23">
        <f ca="1">IFERROR(INDEX('Cutters Inventory 12-30-2025'!A:W,MATCH($W461,'Cutters Inventory 12-30-2025'!B:B,0),14),0)</f>
        <v>45</v>
      </c>
      <c r="AC461" s="23">
        <f>SUMIF(Table1[LEVEL 5 MAT NO.],S461,Table1[Braze Plan])</f>
        <v>0</v>
      </c>
      <c r="AD461" s="23">
        <f>Table4[[#This Row],[Quantity]]*Table4[[#This Row],[Bits Braze Plan]]</f>
        <v>0</v>
      </c>
      <c r="AE461" s="23">
        <f ca="1">Table4[[#This Row],[INV. QTY]]-Table4[[#This Row],[Required For Braze Cutters Check]]</f>
        <v>45</v>
      </c>
      <c r="AF461" s="23">
        <f t="shared" ca="1" si="71"/>
        <v>45</v>
      </c>
      <c r="AG461" s="23"/>
    </row>
    <row r="462" spans="1:33" ht="24.75" customHeight="1" x14ac:dyDescent="0.25">
      <c r="A462" s="109">
        <v>20240136</v>
      </c>
      <c r="B462" s="709"/>
      <c r="C462" s="109">
        <v>14211860</v>
      </c>
      <c r="D462" s="109" t="s">
        <v>769</v>
      </c>
      <c r="E462" s="109" t="s">
        <v>645</v>
      </c>
      <c r="F462" s="109" t="s">
        <v>764</v>
      </c>
      <c r="G462" s="109" t="s">
        <v>681</v>
      </c>
      <c r="H462" s="140">
        <v>1262047</v>
      </c>
      <c r="I462" s="140">
        <v>1235768</v>
      </c>
      <c r="J462" s="26">
        <f>IF(H462&lt;&gt;"",IF(AND(C462&lt;&gt;"",IFERROR(MATCH(C462,Table10[Serial No.],0),0)),0,1),0)</f>
        <v>0</v>
      </c>
      <c r="K462" s="21"/>
      <c r="L462" s="539" t="str">
        <f t="shared" ca="1" si="72"/>
        <v/>
      </c>
      <c r="S462" s="281" t="s">
        <v>770</v>
      </c>
      <c r="T462" s="278" t="s">
        <v>309</v>
      </c>
      <c r="U462" s="278" t="s">
        <v>679</v>
      </c>
      <c r="V462" s="25">
        <v>2</v>
      </c>
      <c r="W462" s="284">
        <v>1244299</v>
      </c>
      <c r="X462" s="19" t="str">
        <f>IFERROR(INDEX(Table14[],MATCH($W462,Table14[SAPNo],0),3),"")</f>
        <v>1313 CT147CV4 U</v>
      </c>
      <c r="Y462" s="284">
        <v>10</v>
      </c>
      <c r="Z462" s="25">
        <f t="shared" si="70"/>
        <v>0</v>
      </c>
      <c r="AA462" s="25">
        <f t="shared" si="73"/>
        <v>0</v>
      </c>
      <c r="AB462" s="23">
        <f ca="1">IFERROR(INDEX('Cutters Inventory 12-30-2025'!A:W,MATCH($W462,'Cutters Inventory 12-30-2025'!B:B,0),14),0)</f>
        <v>15</v>
      </c>
      <c r="AC462" s="23">
        <f>SUMIF(Table1[LEVEL 5 MAT NO.],S462,Table1[Braze Plan])</f>
        <v>0</v>
      </c>
      <c r="AD462" s="23">
        <f>Table4[[#This Row],[Quantity]]*Table4[[#This Row],[Bits Braze Plan]]</f>
        <v>0</v>
      </c>
      <c r="AE462" s="23">
        <f ca="1">Table4[[#This Row],[INV. QTY]]-Table4[[#This Row],[Required For Braze Cutters Check]]</f>
        <v>15</v>
      </c>
      <c r="AF462" s="23">
        <f t="shared" ca="1" si="71"/>
        <v>15</v>
      </c>
      <c r="AG462" s="23"/>
    </row>
    <row r="463" spans="1:33" ht="24.75" customHeight="1" x14ac:dyDescent="0.25">
      <c r="A463" s="109">
        <v>20240136</v>
      </c>
      <c r="B463" s="709"/>
      <c r="C463" s="109">
        <v>14211857</v>
      </c>
      <c r="D463" s="109" t="s">
        <v>769</v>
      </c>
      <c r="E463" s="109" t="s">
        <v>645</v>
      </c>
      <c r="F463" s="109" t="s">
        <v>764</v>
      </c>
      <c r="G463" s="109" t="s">
        <v>681</v>
      </c>
      <c r="H463" s="140">
        <v>1262047</v>
      </c>
      <c r="I463" s="140">
        <v>1235768</v>
      </c>
      <c r="J463" s="26">
        <f>IF(H463&lt;&gt;"",IF(AND(C463&lt;&gt;"",IFERROR(MATCH(C463,Table10[Serial No.],0),0)),0,1),0)</f>
        <v>0</v>
      </c>
      <c r="K463" s="21"/>
      <c r="L463" s="539" t="str">
        <f t="shared" ca="1" si="72"/>
        <v/>
      </c>
      <c r="S463" s="281" t="s">
        <v>770</v>
      </c>
      <c r="T463" s="278" t="s">
        <v>309</v>
      </c>
      <c r="U463" s="278" t="s">
        <v>679</v>
      </c>
      <c r="V463" s="25">
        <v>3</v>
      </c>
      <c r="W463" s="284">
        <v>625854</v>
      </c>
      <c r="X463" s="19" t="str">
        <f>IFERROR(INDEX(Table14[],MATCH($W463,Table14[SAPNo],0),3),"")</f>
        <v>Carbide IA 1318    (C)</v>
      </c>
      <c r="Y463" s="284">
        <v>6</v>
      </c>
      <c r="Z463" s="25">
        <f t="shared" si="70"/>
        <v>0</v>
      </c>
      <c r="AA463" s="25">
        <f t="shared" si="73"/>
        <v>0</v>
      </c>
      <c r="AB463" s="23">
        <f ca="1">IFERROR(INDEX('Cutters Inventory 12-30-2025'!A:W,MATCH($W463,'Cutters Inventory 12-30-2025'!B:B,0),14),0)</f>
        <v>74</v>
      </c>
      <c r="AC463" s="23">
        <f>SUMIF(Table1[LEVEL 5 MAT NO.],S463,Table1[Braze Plan])</f>
        <v>0</v>
      </c>
      <c r="AD463" s="23">
        <f>Table4[[#This Row],[Quantity]]*Table4[[#This Row],[Bits Braze Plan]]</f>
        <v>0</v>
      </c>
      <c r="AE463" s="23">
        <f ca="1">Table4[[#This Row],[INV. QTY]]-Table4[[#This Row],[Required For Braze Cutters Check]]</f>
        <v>74</v>
      </c>
      <c r="AF463" s="23">
        <f t="shared" ca="1" si="71"/>
        <v>74</v>
      </c>
      <c r="AG463" s="23"/>
    </row>
    <row r="464" spans="1:33" ht="24.75" customHeight="1" x14ac:dyDescent="0.25">
      <c r="A464" s="109">
        <v>20240136</v>
      </c>
      <c r="B464" s="709"/>
      <c r="C464" s="109">
        <v>14211856</v>
      </c>
      <c r="D464" s="109" t="s">
        <v>769</v>
      </c>
      <c r="E464" s="109" t="s">
        <v>645</v>
      </c>
      <c r="F464" s="109" t="s">
        <v>764</v>
      </c>
      <c r="G464" s="109" t="s">
        <v>681</v>
      </c>
      <c r="H464" s="140">
        <v>1262047</v>
      </c>
      <c r="I464" s="140">
        <v>1235768</v>
      </c>
      <c r="J464" s="26">
        <f>IF(H464&lt;&gt;"",IF(AND(C464&lt;&gt;"",IFERROR(MATCH(C464,Table10[Serial No.],0),0)),0,1),0)</f>
        <v>0</v>
      </c>
      <c r="K464" s="21"/>
      <c r="L464" s="539" t="str">
        <f t="shared" ca="1" si="72"/>
        <v/>
      </c>
      <c r="S464" s="281" t="s">
        <v>770</v>
      </c>
      <c r="T464" s="278" t="s">
        <v>309</v>
      </c>
      <c r="U464" s="278" t="s">
        <v>679</v>
      </c>
      <c r="V464" s="25">
        <v>4</v>
      </c>
      <c r="W464" s="284">
        <v>418525</v>
      </c>
      <c r="X464" s="19" t="str">
        <f>IFERROR(INDEX(Table14[],MATCH($W464,Table14[SAPNo],0),3),"")</f>
        <v>Drop In 1308 CT31   (B)</v>
      </c>
      <c r="Y464" s="284">
        <v>5</v>
      </c>
      <c r="Z464" s="25">
        <f t="shared" si="70"/>
        <v>0</v>
      </c>
      <c r="AA464" s="25">
        <f t="shared" si="73"/>
        <v>0</v>
      </c>
      <c r="AB464" s="23">
        <f ca="1">IFERROR(INDEX('Cutters Inventory 12-30-2025'!A:W,MATCH($W464,'Cutters Inventory 12-30-2025'!B:B,0),14),0)</f>
        <v>933</v>
      </c>
      <c r="AC464" s="23">
        <f>SUMIF(Table1[LEVEL 5 MAT NO.],S464,Table1[Braze Plan])</f>
        <v>0</v>
      </c>
      <c r="AD464" s="23">
        <f>Table4[[#This Row],[Quantity]]*Table4[[#This Row],[Bits Braze Plan]]</f>
        <v>0</v>
      </c>
      <c r="AE464" s="23">
        <f ca="1">Table4[[#This Row],[INV. QTY]]-Table4[[#This Row],[Required For Braze Cutters Check]]</f>
        <v>933</v>
      </c>
      <c r="AF464" s="23">
        <f t="shared" ca="1" si="71"/>
        <v>933</v>
      </c>
      <c r="AG464" s="23"/>
    </row>
    <row r="465" spans="1:33" ht="24.75" customHeight="1" x14ac:dyDescent="0.25">
      <c r="A465" s="109">
        <v>20240136</v>
      </c>
      <c r="B465" s="709"/>
      <c r="C465" s="109">
        <v>14211859</v>
      </c>
      <c r="D465" s="109" t="s">
        <v>769</v>
      </c>
      <c r="E465" s="109" t="s">
        <v>645</v>
      </c>
      <c r="F465" s="109" t="s">
        <v>764</v>
      </c>
      <c r="G465" s="109" t="s">
        <v>681</v>
      </c>
      <c r="H465" s="140">
        <v>1262047</v>
      </c>
      <c r="I465" s="140">
        <v>1235768</v>
      </c>
      <c r="J465" s="26">
        <f>IF(H465&lt;&gt;"",IF(AND(C465&lt;&gt;"",IFERROR(MATCH(C465,Table10[Serial No.],0),0)),0,1),0)</f>
        <v>0</v>
      </c>
      <c r="K465" s="21"/>
      <c r="L465" s="539" t="str">
        <f t="shared" ca="1" si="72"/>
        <v/>
      </c>
      <c r="S465" s="281" t="s">
        <v>674</v>
      </c>
      <c r="T465" s="278" t="s">
        <v>637</v>
      </c>
      <c r="U465" s="278" t="s">
        <v>673</v>
      </c>
      <c r="V465" s="25">
        <v>1</v>
      </c>
      <c r="W465" s="613">
        <v>1296685</v>
      </c>
      <c r="X465" s="614" t="str">
        <f>IFERROR(INDEX(Table14[],MATCH($W465,Table14[SAPNo],0),3),"")</f>
        <v>1613 CT179R U</v>
      </c>
      <c r="Y465" s="284">
        <v>24</v>
      </c>
      <c r="Z465" s="25">
        <f t="shared" si="70"/>
        <v>1</v>
      </c>
      <c r="AA465" s="25">
        <f t="shared" si="73"/>
        <v>24</v>
      </c>
      <c r="AB465" s="23">
        <f ca="1">IFERROR(INDEX('Cutters Inventory 12-30-2025'!A:W,MATCH($W465,'Cutters Inventory 12-30-2025'!B:B,0),14),0)</f>
        <v>196</v>
      </c>
      <c r="AC465" s="23">
        <f>SUMIF(Table1[LEVEL 5 MAT NO.],S465,Table1[Braze Plan])</f>
        <v>0</v>
      </c>
      <c r="AD465" s="23">
        <f>Table4[[#This Row],[Quantity]]*Table4[[#This Row],[Bits Braze Plan]]</f>
        <v>0</v>
      </c>
      <c r="AE465" s="23">
        <f ca="1">Table4[[#This Row],[INV. QTY]]-Table4[[#This Row],[Required For Braze Cutters Check]]</f>
        <v>196</v>
      </c>
      <c r="AF465" s="23">
        <f t="shared" ca="1" si="71"/>
        <v>196</v>
      </c>
      <c r="AG465" s="625" t="s">
        <v>740</v>
      </c>
    </row>
    <row r="466" spans="1:33" ht="24.75" customHeight="1" x14ac:dyDescent="0.25">
      <c r="A466" s="109">
        <v>20240136</v>
      </c>
      <c r="B466" s="709"/>
      <c r="C466" s="132">
        <v>14211861</v>
      </c>
      <c r="D466" s="132" t="s">
        <v>769</v>
      </c>
      <c r="E466" s="132" t="s">
        <v>645</v>
      </c>
      <c r="F466" s="132" t="s">
        <v>764</v>
      </c>
      <c r="G466" s="132" t="s">
        <v>681</v>
      </c>
      <c r="H466" s="141">
        <v>1262047</v>
      </c>
      <c r="I466" s="141">
        <v>1235768</v>
      </c>
      <c r="J466" s="26">
        <f>IF(H466&lt;&gt;"",IF(AND(C466&lt;&gt;"",IFERROR(MATCH(C466,Table10[Serial No.],0),0)),0,1),0)</f>
        <v>0</v>
      </c>
      <c r="K466" s="21"/>
      <c r="L466" s="539" t="str">
        <f t="shared" ca="1" si="72"/>
        <v/>
      </c>
      <c r="S466" s="281" t="s">
        <v>727</v>
      </c>
      <c r="T466" s="278" t="s">
        <v>624</v>
      </c>
      <c r="U466" s="278" t="s">
        <v>275</v>
      </c>
      <c r="V466" s="25">
        <v>5</v>
      </c>
      <c r="W466" s="284">
        <v>1146737</v>
      </c>
      <c r="X466" s="19" t="str">
        <f>IFERROR(INDEX(Table14[],MATCH($W466,Table14[SAPNo],0),3),"")</f>
        <v>1613 CT418 18-60</v>
      </c>
      <c r="Y466" s="284">
        <v>6</v>
      </c>
      <c r="Z466" s="25">
        <f t="shared" si="70"/>
        <v>0</v>
      </c>
      <c r="AA466" s="25">
        <f t="shared" si="73"/>
        <v>0</v>
      </c>
      <c r="AB466" s="23">
        <f ca="1">IFERROR(INDEX('Cutters Inventory 12-30-2025'!A:W,MATCH($W466,'Cutters Inventory 12-30-2025'!B:B,0),14),0)</f>
        <v>1281</v>
      </c>
      <c r="AC466" s="23">
        <f>SUMIF(Table1[LEVEL 5 MAT NO.],S466,Table1[Braze Plan])</f>
        <v>0</v>
      </c>
      <c r="AD466" s="23">
        <f>Table4[[#This Row],[Quantity]]*Table4[[#This Row],[Bits Braze Plan]]</f>
        <v>0</v>
      </c>
      <c r="AE466" s="23">
        <f ca="1">Table4[[#This Row],[INV. QTY]]-Table4[[#This Row],[Required For Braze Cutters Check]]</f>
        <v>1281</v>
      </c>
      <c r="AF466" s="23">
        <f t="shared" ca="1" si="71"/>
        <v>1281</v>
      </c>
      <c r="AG466" s="23"/>
    </row>
    <row r="467" spans="1:33" ht="24.75" customHeight="1" x14ac:dyDescent="0.25">
      <c r="A467" s="109">
        <v>20240136</v>
      </c>
      <c r="B467" s="709"/>
      <c r="C467" s="109">
        <v>14211862</v>
      </c>
      <c r="D467" s="109" t="s">
        <v>769</v>
      </c>
      <c r="E467" s="109" t="s">
        <v>645</v>
      </c>
      <c r="F467" s="109" t="s">
        <v>764</v>
      </c>
      <c r="G467" s="109" t="s">
        <v>681</v>
      </c>
      <c r="H467" s="140">
        <v>1262047</v>
      </c>
      <c r="I467" s="140">
        <v>1235768</v>
      </c>
      <c r="J467" s="26">
        <f>IF(H467&lt;&gt;"",IF(AND(C467&lt;&gt;"",IFERROR(MATCH(C467,Table10[Serial No.],0),0)),0,1),0)</f>
        <v>0</v>
      </c>
      <c r="K467" s="21"/>
      <c r="L467" s="539" t="str">
        <f t="shared" ca="1" si="72"/>
        <v/>
      </c>
      <c r="S467" s="281" t="s">
        <v>674</v>
      </c>
      <c r="T467" s="278" t="s">
        <v>637</v>
      </c>
      <c r="U467" s="278" t="s">
        <v>673</v>
      </c>
      <c r="V467" s="25">
        <v>3</v>
      </c>
      <c r="W467" s="284">
        <v>1288783</v>
      </c>
      <c r="X467" s="19" t="str">
        <f>IFERROR(INDEX(Table14[],MATCH($W467,Table14[SAPNo],0),3),"")</f>
        <v>1613 CT179 18-60</v>
      </c>
      <c r="Y467" s="284">
        <v>12</v>
      </c>
      <c r="Z467" s="25">
        <f t="shared" si="70"/>
        <v>1</v>
      </c>
      <c r="AA467" s="25">
        <f t="shared" si="73"/>
        <v>12</v>
      </c>
      <c r="AB467" s="23">
        <f ca="1">IFERROR(INDEX('Cutters Inventory 12-30-2025'!A:W,MATCH($W467,'Cutters Inventory 12-30-2025'!B:B,0),14),0)</f>
        <v>813</v>
      </c>
      <c r="AC467" s="23">
        <f>SUMIF(Table1[LEVEL 5 MAT NO.],S467,Table1[Braze Plan])</f>
        <v>0</v>
      </c>
      <c r="AD467" s="23">
        <f>Table4[[#This Row],[Quantity]]*Table4[[#This Row],[Bits Braze Plan]]</f>
        <v>0</v>
      </c>
      <c r="AE467" s="23">
        <f ca="1">Table4[[#This Row],[INV. QTY]]-Table4[[#This Row],[Required For Braze Cutters Check]]</f>
        <v>813</v>
      </c>
      <c r="AF467" s="23">
        <f t="shared" ca="1" si="71"/>
        <v>813</v>
      </c>
      <c r="AG467" s="23"/>
    </row>
    <row r="468" spans="1:33" ht="24.75" customHeight="1" x14ac:dyDescent="0.25">
      <c r="A468" s="109">
        <v>20240140</v>
      </c>
      <c r="B468" s="709"/>
      <c r="C468" s="109">
        <v>14214806</v>
      </c>
      <c r="D468" s="109" t="s">
        <v>631</v>
      </c>
      <c r="E468" s="109" t="s">
        <v>723</v>
      </c>
      <c r="F468" s="109"/>
      <c r="G468" s="109"/>
      <c r="H468" s="140">
        <v>1281273</v>
      </c>
      <c r="I468" s="140">
        <v>2018723</v>
      </c>
      <c r="J468" s="26">
        <f>IF(H468&lt;&gt;"",IF(AND(C468&lt;&gt;"",IFERROR(MATCH(C468,Table10[Serial No.],0),0)),0,1),0)</f>
        <v>0</v>
      </c>
      <c r="K468" s="21"/>
      <c r="L468" s="539" t="str">
        <f t="shared" ca="1" si="72"/>
        <v/>
      </c>
      <c r="S468" s="281" t="s">
        <v>674</v>
      </c>
      <c r="T468" s="278" t="s">
        <v>637</v>
      </c>
      <c r="U468" s="278" t="s">
        <v>673</v>
      </c>
      <c r="V468" s="25">
        <v>4</v>
      </c>
      <c r="W468" s="284">
        <v>410851</v>
      </c>
      <c r="X468" s="19" t="str">
        <f>IFERROR(INDEX(Table14[],MATCH($W468,Table14[SAPNo],0),3),"")</f>
        <v>PDC Dome 1308 CT31   (B)</v>
      </c>
      <c r="Y468" s="284">
        <v>12</v>
      </c>
      <c r="Z468" s="25">
        <f t="shared" si="70"/>
        <v>1</v>
      </c>
      <c r="AA468" s="25">
        <f t="shared" si="73"/>
        <v>12</v>
      </c>
      <c r="AB468" s="23">
        <f ca="1">IFERROR(INDEX('Cutters Inventory 12-30-2025'!A:W,MATCH($W468,'Cutters Inventory 12-30-2025'!B:B,0),14),0)</f>
        <v>93</v>
      </c>
      <c r="AC468" s="23">
        <f>SUMIF(Table1[LEVEL 5 MAT NO.],S468,Table1[Braze Plan])</f>
        <v>0</v>
      </c>
      <c r="AD468" s="23">
        <f>Table4[[#This Row],[Quantity]]*Table4[[#This Row],[Bits Braze Plan]]</f>
        <v>0</v>
      </c>
      <c r="AE468" s="23">
        <f ca="1">Table4[[#This Row],[INV. QTY]]-Table4[[#This Row],[Required For Braze Cutters Check]]</f>
        <v>93</v>
      </c>
      <c r="AF468" s="23">
        <f t="shared" ca="1" si="71"/>
        <v>93</v>
      </c>
      <c r="AG468" s="23"/>
    </row>
    <row r="469" spans="1:33" ht="24.75" customHeight="1" x14ac:dyDescent="0.25">
      <c r="A469" s="109">
        <v>20240143</v>
      </c>
      <c r="B469" s="709"/>
      <c r="C469" s="109">
        <v>14214983</v>
      </c>
      <c r="D469" s="109" t="s">
        <v>313</v>
      </c>
      <c r="E469" s="109" t="s">
        <v>726</v>
      </c>
      <c r="F469" s="109"/>
      <c r="G469" s="109"/>
      <c r="H469" s="140">
        <v>1239176</v>
      </c>
      <c r="I469" s="140" t="s">
        <v>269</v>
      </c>
      <c r="J469" s="26">
        <f>IF(H469&lt;&gt;"",IF(AND(C469&lt;&gt;"",IFERROR(MATCH(C469,Table10[Serial No.],0),0)),0,1),0)</f>
        <v>0</v>
      </c>
      <c r="K469" s="21"/>
      <c r="L469" s="539" t="str">
        <f t="shared" si="72"/>
        <v/>
      </c>
      <c r="S469" s="281" t="s">
        <v>674</v>
      </c>
      <c r="T469" s="278" t="s">
        <v>637</v>
      </c>
      <c r="U469" s="278" t="s">
        <v>673</v>
      </c>
      <c r="V469" s="25">
        <v>5</v>
      </c>
      <c r="W469" s="284">
        <v>871781</v>
      </c>
      <c r="X469" s="19" t="str">
        <f>IFERROR(INDEX(Table14[],MATCH($W469,Table14[SAPNo],0),3),"")</f>
        <v>Round 1313 CT200  0.018" (B)</v>
      </c>
      <c r="Y469" s="284">
        <v>6</v>
      </c>
      <c r="Z469" s="25">
        <f t="shared" si="70"/>
        <v>1</v>
      </c>
      <c r="AA469" s="25">
        <f t="shared" si="73"/>
        <v>6</v>
      </c>
      <c r="AB469" s="23">
        <f ca="1">IFERROR(INDEX('Cutters Inventory 12-30-2025'!A:W,MATCH($W469,'Cutters Inventory 12-30-2025'!B:B,0),14),0)</f>
        <v>843</v>
      </c>
      <c r="AC469" s="23">
        <f>SUMIF(Table1[LEVEL 5 MAT NO.],S469,Table1[Braze Plan])</f>
        <v>0</v>
      </c>
      <c r="AD469" s="23">
        <f>Table4[[#This Row],[Quantity]]*Table4[[#This Row],[Bits Braze Plan]]</f>
        <v>0</v>
      </c>
      <c r="AE469" s="23">
        <f ca="1">Table4[[#This Row],[INV. QTY]]-Table4[[#This Row],[Required For Braze Cutters Check]]</f>
        <v>843</v>
      </c>
      <c r="AF469" s="23">
        <f t="shared" ca="1" si="71"/>
        <v>843</v>
      </c>
      <c r="AG469" s="23"/>
    </row>
    <row r="470" spans="1:33" ht="24.75" customHeight="1" x14ac:dyDescent="0.25">
      <c r="A470" s="109">
        <v>20240143</v>
      </c>
      <c r="B470" s="709"/>
      <c r="C470" s="109">
        <v>14214982</v>
      </c>
      <c r="D470" s="109" t="s">
        <v>313</v>
      </c>
      <c r="E470" s="109" t="s">
        <v>726</v>
      </c>
      <c r="F470" s="109"/>
      <c r="G470" s="109"/>
      <c r="H470" s="140">
        <v>1239176</v>
      </c>
      <c r="I470" s="140" t="s">
        <v>269</v>
      </c>
      <c r="J470" s="26">
        <f>IF(H470&lt;&gt;"",IF(AND(C470&lt;&gt;"",IFERROR(MATCH(C470,Table10[Serial No.],0),0)),0,1),0)</f>
        <v>0</v>
      </c>
      <c r="K470" s="21"/>
      <c r="L470" s="539" t="str">
        <f t="shared" si="72"/>
        <v/>
      </c>
      <c r="S470" s="281" t="s">
        <v>771</v>
      </c>
      <c r="T470" s="278" t="s">
        <v>309</v>
      </c>
      <c r="U470" s="278" t="s">
        <v>772</v>
      </c>
      <c r="V470" s="25">
        <v>1</v>
      </c>
      <c r="W470" s="284">
        <v>1146346</v>
      </c>
      <c r="X470" s="19" t="str">
        <f>IFERROR(INDEX(Table14[],MATCH($W470,Table14[SAPNo],0),3),"")</f>
        <v>1313 CT418 18-60</v>
      </c>
      <c r="Y470" s="284">
        <v>17</v>
      </c>
      <c r="Z470" s="25">
        <f t="shared" si="70"/>
        <v>0</v>
      </c>
      <c r="AA470" s="25">
        <f t="shared" si="73"/>
        <v>0</v>
      </c>
      <c r="AB470" s="23">
        <f ca="1">IFERROR(INDEX('Cutters Inventory 12-30-2025'!A:W,MATCH($W470,'Cutters Inventory 12-30-2025'!B:B,0),14),0)</f>
        <v>558</v>
      </c>
      <c r="AC470" s="23">
        <f>SUMIF(Table1[LEVEL 5 MAT NO.],S470,Table1[Braze Plan])</f>
        <v>0</v>
      </c>
      <c r="AD470" s="23">
        <f>Table4[[#This Row],[Quantity]]*Table4[[#This Row],[Bits Braze Plan]]</f>
        <v>0</v>
      </c>
      <c r="AE470" s="23">
        <f ca="1">Table4[[#This Row],[INV. QTY]]-Table4[[#This Row],[Required For Braze Cutters Check]]</f>
        <v>558</v>
      </c>
      <c r="AF470" s="23">
        <f t="shared" ca="1" si="71"/>
        <v>558</v>
      </c>
      <c r="AG470" s="23"/>
    </row>
    <row r="471" spans="1:33" ht="24.75" customHeight="1" x14ac:dyDescent="0.25">
      <c r="A471" s="109">
        <v>20240143</v>
      </c>
      <c r="B471" s="608"/>
      <c r="C471" s="109">
        <v>14214974</v>
      </c>
      <c r="D471" s="109" t="s">
        <v>313</v>
      </c>
      <c r="E471" s="109" t="s">
        <v>273</v>
      </c>
      <c r="F471" s="109"/>
      <c r="G471" s="109"/>
      <c r="H471" s="140">
        <v>1246020</v>
      </c>
      <c r="I471" s="140" t="s">
        <v>737</v>
      </c>
      <c r="J471" s="26">
        <f>IF(H471&lt;&gt;"",IF(AND(C471&lt;&gt;"",IFERROR(MATCH(C471,Table10[Serial No.],0),0)),0,1),0)</f>
        <v>0</v>
      </c>
      <c r="K471" s="21"/>
      <c r="L471" s="539" t="str">
        <f t="shared" si="72"/>
        <v/>
      </c>
      <c r="S471" s="281" t="s">
        <v>771</v>
      </c>
      <c r="T471" s="278" t="s">
        <v>309</v>
      </c>
      <c r="U471" s="278" t="s">
        <v>772</v>
      </c>
      <c r="V471" s="25">
        <v>2</v>
      </c>
      <c r="W471" s="284">
        <v>2001155</v>
      </c>
      <c r="X471" s="19" t="str">
        <f>IFERROR(INDEX(Table14[],MATCH($W471,Table14[SAPNo],0),3),"")</f>
        <v>1313 CT179T U-60</v>
      </c>
      <c r="Y471" s="284">
        <v>7</v>
      </c>
      <c r="Z471" s="25">
        <f t="shared" si="70"/>
        <v>0</v>
      </c>
      <c r="AA471" s="25">
        <f t="shared" si="73"/>
        <v>0</v>
      </c>
      <c r="AB471" s="23">
        <f ca="1">IFERROR(INDEX('Cutters Inventory 12-30-2025'!A:W,MATCH($W471,'Cutters Inventory 12-30-2025'!B:B,0),14),0)</f>
        <v>45</v>
      </c>
      <c r="AC471" s="23">
        <f>SUMIF(Table1[LEVEL 5 MAT NO.],S471,Table1[Braze Plan])</f>
        <v>0</v>
      </c>
      <c r="AD471" s="23">
        <f>Table4[[#This Row],[Quantity]]*Table4[[#This Row],[Bits Braze Plan]]</f>
        <v>0</v>
      </c>
      <c r="AE471" s="23">
        <f ca="1">Table4[[#This Row],[INV. QTY]]-Table4[[#This Row],[Required For Braze Cutters Check]]</f>
        <v>45</v>
      </c>
      <c r="AF471" s="23">
        <f t="shared" ca="1" si="71"/>
        <v>45</v>
      </c>
      <c r="AG471" s="23"/>
    </row>
    <row r="472" spans="1:33" ht="24.75" customHeight="1" x14ac:dyDescent="0.25">
      <c r="A472" s="109">
        <v>20240143</v>
      </c>
      <c r="B472" s="608"/>
      <c r="C472" s="109">
        <v>14214975</v>
      </c>
      <c r="D472" s="109" t="s">
        <v>313</v>
      </c>
      <c r="E472" s="109" t="s">
        <v>273</v>
      </c>
      <c r="F472" s="109"/>
      <c r="G472" s="109"/>
      <c r="H472" s="140">
        <v>1246020</v>
      </c>
      <c r="I472" s="140" t="s">
        <v>737</v>
      </c>
      <c r="J472" s="26">
        <f>IF(H472&lt;&gt;"",IF(AND(C472&lt;&gt;"",IFERROR(MATCH(C472,Table10[Serial No.],0),0)),0,1),0)</f>
        <v>0</v>
      </c>
      <c r="K472" s="21"/>
      <c r="L472" s="539" t="str">
        <f t="shared" si="72"/>
        <v/>
      </c>
      <c r="S472" s="281" t="s">
        <v>771</v>
      </c>
      <c r="T472" s="278" t="s">
        <v>309</v>
      </c>
      <c r="U472" s="278" t="s">
        <v>772</v>
      </c>
      <c r="V472" s="25">
        <v>3</v>
      </c>
      <c r="W472" s="284">
        <v>1200972</v>
      </c>
      <c r="X472" s="19" t="str">
        <f>IFERROR(INDEX(Table14[],MATCH($W472,Table14[SAPNo],0),3),"")</f>
        <v xml:space="preserve">8MM WC-MAT400 </v>
      </c>
      <c r="Y472" s="284">
        <v>10</v>
      </c>
      <c r="Z472" s="25">
        <f t="shared" si="70"/>
        <v>0</v>
      </c>
      <c r="AA472" s="25">
        <f t="shared" si="73"/>
        <v>0</v>
      </c>
      <c r="AB472" s="23">
        <f ca="1">IFERROR(INDEX('Cutters Inventory 12-30-2025'!A:W,MATCH($W472,'Cutters Inventory 12-30-2025'!B:B,0),14),0)</f>
        <v>6</v>
      </c>
      <c r="AC472" s="23">
        <f>SUMIF(Table1[LEVEL 5 MAT NO.],S472,Table1[Braze Plan])</f>
        <v>0</v>
      </c>
      <c r="AD472" s="23">
        <f>Table4[[#This Row],[Quantity]]*Table4[[#This Row],[Bits Braze Plan]]</f>
        <v>0</v>
      </c>
      <c r="AE472" s="23">
        <f ca="1">Table4[[#This Row],[INV. QTY]]-Table4[[#This Row],[Required For Braze Cutters Check]]</f>
        <v>6</v>
      </c>
      <c r="AF472" s="23">
        <f t="shared" ca="1" si="71"/>
        <v>6</v>
      </c>
      <c r="AG472" s="23"/>
    </row>
    <row r="473" spans="1:33" ht="24.75" customHeight="1" x14ac:dyDescent="0.25">
      <c r="A473" s="109">
        <v>20240143</v>
      </c>
      <c r="B473" s="709"/>
      <c r="C473" s="109">
        <v>14214978</v>
      </c>
      <c r="D473" s="109" t="s">
        <v>313</v>
      </c>
      <c r="E473" s="109" t="s">
        <v>273</v>
      </c>
      <c r="F473" s="109"/>
      <c r="G473" s="109"/>
      <c r="H473" s="140">
        <v>1246020</v>
      </c>
      <c r="I473" s="140" t="s">
        <v>737</v>
      </c>
      <c r="J473" s="26">
        <f>IF(H473&lt;&gt;"",IF(AND(C473&lt;&gt;"",IFERROR(MATCH(C473,Table10[Serial No.],0),0)),0,1),0)</f>
        <v>0</v>
      </c>
      <c r="K473" s="21"/>
      <c r="L473" s="539" t="str">
        <f t="shared" si="72"/>
        <v/>
      </c>
      <c r="S473" s="281" t="s">
        <v>771</v>
      </c>
      <c r="T473" s="278" t="s">
        <v>309</v>
      </c>
      <c r="U473" s="278" t="s">
        <v>772</v>
      </c>
      <c r="V473" s="25">
        <v>4</v>
      </c>
      <c r="W473" s="284">
        <v>871781</v>
      </c>
      <c r="X473" s="19" t="str">
        <f>IFERROR(INDEX(Table14[],MATCH($W473,Table14[SAPNo],0),3),"")</f>
        <v>Round 1313 CT200  0.018" (B)</v>
      </c>
      <c r="Y473" s="284">
        <v>5</v>
      </c>
      <c r="Z473" s="25">
        <f t="shared" si="70"/>
        <v>0</v>
      </c>
      <c r="AA473" s="25">
        <f t="shared" si="73"/>
        <v>0</v>
      </c>
      <c r="AB473" s="23">
        <f ca="1">IFERROR(INDEX('Cutters Inventory 12-30-2025'!A:W,MATCH($W473,'Cutters Inventory 12-30-2025'!B:B,0),14),0)</f>
        <v>843</v>
      </c>
      <c r="AC473" s="23">
        <f>SUMIF(Table1[LEVEL 5 MAT NO.],S473,Table1[Braze Plan])</f>
        <v>0</v>
      </c>
      <c r="AD473" s="23">
        <f>Table4[[#This Row],[Quantity]]*Table4[[#This Row],[Bits Braze Plan]]</f>
        <v>0</v>
      </c>
      <c r="AE473" s="23">
        <f ca="1">Table4[[#This Row],[INV. QTY]]-Table4[[#This Row],[Required For Braze Cutters Check]]</f>
        <v>843</v>
      </c>
      <c r="AF473" s="23">
        <f t="shared" ca="1" si="71"/>
        <v>843</v>
      </c>
      <c r="AG473" s="23"/>
    </row>
    <row r="474" spans="1:33" ht="24.75" customHeight="1" x14ac:dyDescent="0.25">
      <c r="A474" s="109">
        <v>20240143</v>
      </c>
      <c r="B474" s="709"/>
      <c r="C474" s="109">
        <v>14214979</v>
      </c>
      <c r="D474" s="109" t="s">
        <v>313</v>
      </c>
      <c r="E474" s="109" t="s">
        <v>273</v>
      </c>
      <c r="F474" s="109"/>
      <c r="G474" s="109"/>
      <c r="H474" s="140">
        <v>1246020</v>
      </c>
      <c r="I474" s="140" t="s">
        <v>737</v>
      </c>
      <c r="J474" s="26">
        <f>IF(H474&lt;&gt;"",IF(AND(C474&lt;&gt;"",IFERROR(MATCH(C474,Table10[Serial No.],0),0)),0,1),0)</f>
        <v>0</v>
      </c>
      <c r="K474" s="21"/>
      <c r="L474" s="539" t="str">
        <f t="shared" si="72"/>
        <v/>
      </c>
      <c r="S474" s="281" t="s">
        <v>761</v>
      </c>
      <c r="T474" s="278" t="s">
        <v>315</v>
      </c>
      <c r="U474" s="278" t="s">
        <v>286</v>
      </c>
      <c r="V474" s="25">
        <v>1</v>
      </c>
      <c r="W474" s="284">
        <v>1288783</v>
      </c>
      <c r="X474" s="19" t="str">
        <f>IFERROR(INDEX(Table14[],MATCH($W474,Table14[SAPNo],0),3),"")</f>
        <v>1613 CT179 18-60</v>
      </c>
      <c r="Y474" s="284">
        <v>30</v>
      </c>
      <c r="Z474" s="25">
        <f t="shared" si="70"/>
        <v>1</v>
      </c>
      <c r="AA474" s="25">
        <f t="shared" si="73"/>
        <v>30</v>
      </c>
      <c r="AB474" s="23">
        <f ca="1">IFERROR(INDEX('Cutters Inventory 12-30-2025'!A:W,MATCH($W474,'Cutters Inventory 12-30-2025'!B:B,0),14),0)</f>
        <v>813</v>
      </c>
      <c r="AC474" s="23">
        <f>SUMIF(Table1[LEVEL 5 MAT NO.],S474,Table1[Braze Plan])</f>
        <v>0</v>
      </c>
      <c r="AD474" s="23">
        <f>Table4[[#This Row],[Quantity]]*Table4[[#This Row],[Bits Braze Plan]]</f>
        <v>0</v>
      </c>
      <c r="AE474" s="23">
        <f ca="1">Table4[[#This Row],[INV. QTY]]-Table4[[#This Row],[Required For Braze Cutters Check]]</f>
        <v>813</v>
      </c>
      <c r="AF474" s="23">
        <f t="shared" ca="1" si="71"/>
        <v>813</v>
      </c>
      <c r="AG474" s="23"/>
    </row>
    <row r="475" spans="1:33" ht="24.75" customHeight="1" x14ac:dyDescent="0.25">
      <c r="A475" s="109">
        <v>20240143</v>
      </c>
      <c r="B475" s="709"/>
      <c r="C475" s="109">
        <v>14214980</v>
      </c>
      <c r="D475" s="109" t="s">
        <v>313</v>
      </c>
      <c r="E475" s="109" t="s">
        <v>273</v>
      </c>
      <c r="F475" s="109"/>
      <c r="G475" s="109"/>
      <c r="H475" s="140">
        <v>1246020</v>
      </c>
      <c r="I475" s="140" t="s">
        <v>737</v>
      </c>
      <c r="J475" s="26">
        <f>IF(H475&lt;&gt;"",IF(AND(C475&lt;&gt;"",IFERROR(MATCH(C475,Table10[Serial No.],0),0)),0,1),0)</f>
        <v>0</v>
      </c>
      <c r="K475" s="21"/>
      <c r="L475" s="539" t="str">
        <f t="shared" si="72"/>
        <v/>
      </c>
      <c r="S475" s="281" t="s">
        <v>761</v>
      </c>
      <c r="T475" s="278" t="s">
        <v>315</v>
      </c>
      <c r="U475" s="278" t="s">
        <v>286</v>
      </c>
      <c r="V475" s="25">
        <v>2</v>
      </c>
      <c r="W475" s="284">
        <v>1100751</v>
      </c>
      <c r="X475" s="19" t="str">
        <f>IFERROR(INDEX(Table14[],MATCH($W475,Table14[SAPNo],0),3),"")</f>
        <v>1313 CT421 0.018"</v>
      </c>
      <c r="Y475" s="284">
        <v>22</v>
      </c>
      <c r="Z475" s="25">
        <f t="shared" si="70"/>
        <v>1</v>
      </c>
      <c r="AA475" s="25">
        <f t="shared" si="73"/>
        <v>22</v>
      </c>
      <c r="AB475" s="23">
        <f ca="1">IFERROR(INDEX('Cutters Inventory 12-30-2025'!A:W,MATCH($W475,'Cutters Inventory 12-30-2025'!B:B,0),14),0)</f>
        <v>30</v>
      </c>
      <c r="AC475" s="23">
        <f>SUMIF(Table1[LEVEL 5 MAT NO.],S475,Table1[Braze Plan])</f>
        <v>0</v>
      </c>
      <c r="AD475" s="23">
        <f>Table4[[#This Row],[Quantity]]*Table4[[#This Row],[Bits Braze Plan]]</f>
        <v>0</v>
      </c>
      <c r="AE475" s="23">
        <f ca="1">Table4[[#This Row],[INV. QTY]]-Table4[[#This Row],[Required For Braze Cutters Check]]</f>
        <v>30</v>
      </c>
      <c r="AF475" s="23">
        <f t="shared" ca="1" si="71"/>
        <v>30</v>
      </c>
      <c r="AG475" s="23"/>
    </row>
    <row r="476" spans="1:33" ht="24.75" customHeight="1" x14ac:dyDescent="0.25">
      <c r="A476" s="109">
        <v>20240143</v>
      </c>
      <c r="B476" s="709"/>
      <c r="C476" s="109">
        <v>14214976</v>
      </c>
      <c r="D476" s="109" t="s">
        <v>313</v>
      </c>
      <c r="E476" s="109" t="s">
        <v>273</v>
      </c>
      <c r="F476" s="109"/>
      <c r="G476" s="109"/>
      <c r="H476" s="140">
        <v>1246020</v>
      </c>
      <c r="I476" s="140" t="s">
        <v>737</v>
      </c>
      <c r="J476" s="26">
        <f>IF(H476&lt;&gt;"",IF(AND(C476&lt;&gt;"",IFERROR(MATCH(C476,Table10[Serial No.],0),0)),0,1),0)</f>
        <v>0</v>
      </c>
      <c r="K476" s="21"/>
      <c r="L476" s="539" t="str">
        <f t="shared" si="72"/>
        <v/>
      </c>
      <c r="S476" s="281" t="s">
        <v>729</v>
      </c>
      <c r="T476" s="278" t="s">
        <v>315</v>
      </c>
      <c r="U476" s="278" t="s">
        <v>728</v>
      </c>
      <c r="V476" s="25">
        <v>3</v>
      </c>
      <c r="W476" s="284">
        <v>1146737</v>
      </c>
      <c r="X476" s="19" t="str">
        <f>IFERROR(INDEX(Table14[],MATCH($W476,Table14[SAPNo],0),3),"")</f>
        <v>1613 CT418 18-60</v>
      </c>
      <c r="Y476" s="284">
        <v>9</v>
      </c>
      <c r="Z476" s="25">
        <f t="shared" si="70"/>
        <v>0</v>
      </c>
      <c r="AA476" s="25">
        <f t="shared" si="73"/>
        <v>0</v>
      </c>
      <c r="AB476" s="23">
        <f ca="1">IFERROR(INDEX('Cutters Inventory 12-30-2025'!A:W,MATCH($W476,'Cutters Inventory 12-30-2025'!B:B,0),14),0)</f>
        <v>1281</v>
      </c>
      <c r="AC476" s="23">
        <f>SUMIF(Table1[LEVEL 5 MAT NO.],S476,Table1[Braze Plan])</f>
        <v>0</v>
      </c>
      <c r="AD476" s="23">
        <f>Table4[[#This Row],[Quantity]]*Table4[[#This Row],[Bits Braze Plan]]</f>
        <v>0</v>
      </c>
      <c r="AE476" s="23">
        <f ca="1">Table4[[#This Row],[INV. QTY]]-Table4[[#This Row],[Required For Braze Cutters Check]]</f>
        <v>1281</v>
      </c>
      <c r="AF476" s="23">
        <f t="shared" ca="1" si="71"/>
        <v>1281</v>
      </c>
      <c r="AG476" s="23"/>
    </row>
    <row r="477" spans="1:33" ht="24.75" customHeight="1" x14ac:dyDescent="0.25">
      <c r="A477" s="109">
        <v>20240143</v>
      </c>
      <c r="B477" s="709"/>
      <c r="C477" s="109">
        <v>14214981</v>
      </c>
      <c r="D477" s="109" t="s">
        <v>313</v>
      </c>
      <c r="E477" s="109" t="s">
        <v>273</v>
      </c>
      <c r="F477" s="109"/>
      <c r="G477" s="109"/>
      <c r="H477" s="140">
        <v>1246020</v>
      </c>
      <c r="I477" s="140" t="s">
        <v>737</v>
      </c>
      <c r="J477" s="26">
        <f>IF(H477&lt;&gt;"",IF(AND(C477&lt;&gt;"",IFERROR(MATCH(C477,Table10[Serial No.],0),0)),0,1),0)</f>
        <v>0</v>
      </c>
      <c r="K477" s="21"/>
      <c r="L477" s="539" t="str">
        <f t="shared" si="72"/>
        <v/>
      </c>
      <c r="S477" s="281" t="s">
        <v>761</v>
      </c>
      <c r="T477" s="278" t="s">
        <v>315</v>
      </c>
      <c r="U477" s="278" t="s">
        <v>286</v>
      </c>
      <c r="V477" s="25">
        <v>4</v>
      </c>
      <c r="W477" s="284">
        <v>1282370</v>
      </c>
      <c r="X477" s="19" t="str">
        <f>IFERROR(INDEX(Table14[],MATCH($W477,Table14[SAPNo],0),3),"")</f>
        <v>1613 CT436Mv3 U-60</v>
      </c>
      <c r="Y477" s="284">
        <v>10</v>
      </c>
      <c r="Z477" s="25">
        <f t="shared" si="70"/>
        <v>1</v>
      </c>
      <c r="AA477" s="25">
        <f t="shared" si="73"/>
        <v>10</v>
      </c>
      <c r="AB477" s="23">
        <f ca="1">IFERROR(INDEX('Cutters Inventory 12-30-2025'!A:W,MATCH($W477,'Cutters Inventory 12-30-2025'!B:B,0),14),0)</f>
        <v>193</v>
      </c>
      <c r="AC477" s="23">
        <f>SUMIF(Table1[LEVEL 5 MAT NO.],S477,Table1[Braze Plan])</f>
        <v>0</v>
      </c>
      <c r="AD477" s="23">
        <f>Table4[[#This Row],[Quantity]]*Table4[[#This Row],[Bits Braze Plan]]</f>
        <v>0</v>
      </c>
      <c r="AE477" s="23">
        <f ca="1">Table4[[#This Row],[INV. QTY]]-Table4[[#This Row],[Required For Braze Cutters Check]]</f>
        <v>193</v>
      </c>
      <c r="AF477" s="23">
        <f t="shared" ca="1" si="71"/>
        <v>193</v>
      </c>
      <c r="AG477" s="23"/>
    </row>
    <row r="478" spans="1:33" ht="24.75" customHeight="1" x14ac:dyDescent="0.25">
      <c r="A478" s="109">
        <v>20240143</v>
      </c>
      <c r="B478" s="709"/>
      <c r="C478" s="109">
        <v>14214977</v>
      </c>
      <c r="D478" s="109" t="s">
        <v>313</v>
      </c>
      <c r="E478" s="109" t="s">
        <v>273</v>
      </c>
      <c r="F478" s="109"/>
      <c r="G478" s="109"/>
      <c r="H478" s="140">
        <v>1246020</v>
      </c>
      <c r="I478" s="140" t="s">
        <v>737</v>
      </c>
      <c r="J478" s="26">
        <f>IF(H478&lt;&gt;"",IF(AND(C478&lt;&gt;"",IFERROR(MATCH(C478,Table10[Serial No.],0),0)),0,1),0)</f>
        <v>0</v>
      </c>
      <c r="K478" s="21"/>
      <c r="L478" s="539" t="str">
        <f t="shared" si="72"/>
        <v/>
      </c>
      <c r="S478" s="610" t="s">
        <v>761</v>
      </c>
      <c r="T478" s="278" t="s">
        <v>315</v>
      </c>
      <c r="U478" s="278" t="s">
        <v>286</v>
      </c>
      <c r="V478" s="25">
        <v>5</v>
      </c>
      <c r="W478" s="284">
        <v>871781</v>
      </c>
      <c r="X478" s="19" t="str">
        <f>IFERROR(INDEX(Table14[],MATCH($W478,Table14[SAPNo],0),3),"")</f>
        <v>Round 1313 CT200  0.018" (B)</v>
      </c>
      <c r="Y478" s="284">
        <v>5</v>
      </c>
      <c r="Z478" s="25">
        <f t="shared" si="70"/>
        <v>1</v>
      </c>
      <c r="AA478" s="25">
        <f t="shared" si="73"/>
        <v>5</v>
      </c>
      <c r="AB478" s="23">
        <f ca="1">IFERROR(INDEX('Cutters Inventory 12-30-2025'!A:W,MATCH($W478,'Cutters Inventory 12-30-2025'!B:B,0),14),0)</f>
        <v>843</v>
      </c>
      <c r="AC478" s="23">
        <f>SUMIF(Table1[LEVEL 5 MAT NO.],S478,Table1[Braze Plan])</f>
        <v>0</v>
      </c>
      <c r="AD478" s="23">
        <f>Table4[[#This Row],[Quantity]]*Table4[[#This Row],[Bits Braze Plan]]</f>
        <v>0</v>
      </c>
      <c r="AE478" s="23">
        <f ca="1">Table4[[#This Row],[INV. QTY]]-Table4[[#This Row],[Required For Braze Cutters Check]]</f>
        <v>843</v>
      </c>
      <c r="AF478" s="23">
        <f t="shared" ca="1" si="71"/>
        <v>843</v>
      </c>
      <c r="AG478" s="23"/>
    </row>
    <row r="479" spans="1:33" ht="24.75" customHeight="1" x14ac:dyDescent="0.25">
      <c r="A479" s="109">
        <v>20240171</v>
      </c>
      <c r="B479" s="709"/>
      <c r="C479" s="109">
        <v>14228442</v>
      </c>
      <c r="D479" s="109" t="s">
        <v>309</v>
      </c>
      <c r="E479" s="109" t="s">
        <v>311</v>
      </c>
      <c r="F479" s="109" t="s">
        <v>732</v>
      </c>
      <c r="G479" s="109" t="s">
        <v>676</v>
      </c>
      <c r="H479" s="140">
        <v>1145824</v>
      </c>
      <c r="I479" s="140">
        <v>1137349</v>
      </c>
      <c r="J479" s="26">
        <f>IF(H479&lt;&gt;"",IF(AND(C479&lt;&gt;"",IFERROR(MATCH(C479,Table10[Serial No.],0),0)),0,1),0)</f>
        <v>0</v>
      </c>
      <c r="K479" s="21"/>
      <c r="L479" s="539" t="str">
        <f t="shared" ca="1" si="72"/>
        <v/>
      </c>
      <c r="S479" s="610" t="s">
        <v>773</v>
      </c>
      <c r="T479" s="278" t="s">
        <v>309</v>
      </c>
      <c r="U479" s="278" t="s">
        <v>772</v>
      </c>
      <c r="V479" s="25">
        <v>1</v>
      </c>
      <c r="W479" s="284">
        <v>1146346</v>
      </c>
      <c r="X479" s="19" t="str">
        <f>IFERROR(INDEX(Table14[],MATCH($W479,Table14[SAPNo],0),3),"")</f>
        <v>1313 CT418 18-60</v>
      </c>
      <c r="Y479" s="284">
        <v>17</v>
      </c>
      <c r="Z479" s="25">
        <f t="shared" si="70"/>
        <v>0</v>
      </c>
      <c r="AA479" s="25">
        <f t="shared" si="73"/>
        <v>0</v>
      </c>
      <c r="AB479" s="23">
        <f ca="1">IFERROR(INDEX('Cutters Inventory 12-30-2025'!A:W,MATCH($W479,'Cutters Inventory 12-30-2025'!B:B,0),14),0)</f>
        <v>558</v>
      </c>
      <c r="AC479" s="23">
        <f>SUMIF(Table1[LEVEL 5 MAT NO.],S479,Table1[Braze Plan])</f>
        <v>0</v>
      </c>
      <c r="AD479" s="23">
        <f>Table4[[#This Row],[Quantity]]*Table4[[#This Row],[Bits Braze Plan]]</f>
        <v>0</v>
      </c>
      <c r="AE479" s="23">
        <f ca="1">Table4[[#This Row],[INV. QTY]]-Table4[[#This Row],[Required For Braze Cutters Check]]</f>
        <v>558</v>
      </c>
      <c r="AF479" s="23">
        <f t="shared" ca="1" si="71"/>
        <v>558</v>
      </c>
      <c r="AG479" s="23"/>
    </row>
    <row r="480" spans="1:33" ht="24.75" customHeight="1" x14ac:dyDescent="0.25">
      <c r="A480" s="109">
        <v>20240171</v>
      </c>
      <c r="B480" s="709"/>
      <c r="C480" s="109">
        <v>14228444</v>
      </c>
      <c r="D480" s="109" t="s">
        <v>309</v>
      </c>
      <c r="E480" s="109" t="s">
        <v>311</v>
      </c>
      <c r="F480" s="109" t="s">
        <v>732</v>
      </c>
      <c r="G480" s="109" t="s">
        <v>676</v>
      </c>
      <c r="H480" s="140">
        <v>1145824</v>
      </c>
      <c r="I480" s="140">
        <v>1137349</v>
      </c>
      <c r="J480" s="26">
        <f>IF(H480&lt;&gt;"",IF(AND(C480&lt;&gt;"",IFERROR(MATCH(C480,Table10[Serial No.],0),0)),0,1),0)</f>
        <v>0</v>
      </c>
      <c r="K480" s="21"/>
      <c r="L480" s="539" t="str">
        <f t="shared" ca="1" si="72"/>
        <v/>
      </c>
      <c r="S480" s="610" t="s">
        <v>773</v>
      </c>
      <c r="T480" s="278" t="s">
        <v>309</v>
      </c>
      <c r="U480" s="278" t="s">
        <v>772</v>
      </c>
      <c r="V480" s="25">
        <v>2</v>
      </c>
      <c r="W480" s="284">
        <v>2001155</v>
      </c>
      <c r="X480" s="19" t="str">
        <f>IFERROR(INDEX(Table14[],MATCH($W480,Table14[SAPNo],0),3),"")</f>
        <v>1313 CT179T U-60</v>
      </c>
      <c r="Y480" s="284">
        <v>7</v>
      </c>
      <c r="Z480" s="25">
        <f t="shared" si="70"/>
        <v>0</v>
      </c>
      <c r="AA480" s="25">
        <f t="shared" si="73"/>
        <v>0</v>
      </c>
      <c r="AB480" s="23">
        <f ca="1">IFERROR(INDEX('Cutters Inventory 12-30-2025'!A:W,MATCH($W480,'Cutters Inventory 12-30-2025'!B:B,0),14),0)</f>
        <v>45</v>
      </c>
      <c r="AC480" s="23">
        <f>SUMIF(Table1[LEVEL 5 MAT NO.],S480,Table1[Braze Plan])</f>
        <v>0</v>
      </c>
      <c r="AD480" s="23">
        <f>Table4[[#This Row],[Quantity]]*Table4[[#This Row],[Bits Braze Plan]]</f>
        <v>0</v>
      </c>
      <c r="AE480" s="23">
        <f ca="1">Table4[[#This Row],[INV. QTY]]-Table4[[#This Row],[Required For Braze Cutters Check]]</f>
        <v>45</v>
      </c>
      <c r="AF480" s="23">
        <f t="shared" ca="1" si="71"/>
        <v>45</v>
      </c>
      <c r="AG480" s="23"/>
    </row>
    <row r="481" spans="1:33" ht="24.75" customHeight="1" x14ac:dyDescent="0.25">
      <c r="A481" s="109">
        <v>20240171</v>
      </c>
      <c r="B481" s="709"/>
      <c r="C481" s="109">
        <v>14228443</v>
      </c>
      <c r="D481" s="109" t="s">
        <v>309</v>
      </c>
      <c r="E481" s="109" t="s">
        <v>311</v>
      </c>
      <c r="F481" s="109" t="s">
        <v>732</v>
      </c>
      <c r="G481" s="109" t="s">
        <v>676</v>
      </c>
      <c r="H481" s="140">
        <v>1145824</v>
      </c>
      <c r="I481" s="140">
        <v>1137349</v>
      </c>
      <c r="J481" s="26">
        <f>IF(H481&lt;&gt;"",IF(AND(C481&lt;&gt;"",IFERROR(MATCH(C481,Table10[Serial No.],0),0)),0,1),0)</f>
        <v>0</v>
      </c>
      <c r="K481" s="21"/>
      <c r="L481" s="539" t="str">
        <f t="shared" ca="1" si="72"/>
        <v/>
      </c>
      <c r="S481" s="610" t="s">
        <v>773</v>
      </c>
      <c r="T481" s="278" t="s">
        <v>309</v>
      </c>
      <c r="U481" s="278" t="s">
        <v>772</v>
      </c>
      <c r="V481" s="25">
        <v>3</v>
      </c>
      <c r="W481" s="284">
        <v>1200972</v>
      </c>
      <c r="X481" s="19" t="str">
        <f>IFERROR(INDEX(Table14[],MATCH($W481,Table14[SAPNo],0),3),"")</f>
        <v xml:space="preserve">8MM WC-MAT400 </v>
      </c>
      <c r="Y481" s="284">
        <v>10</v>
      </c>
      <c r="Z481" s="25">
        <f t="shared" si="70"/>
        <v>0</v>
      </c>
      <c r="AA481" s="25">
        <f t="shared" si="73"/>
        <v>0</v>
      </c>
      <c r="AB481" s="23">
        <f ca="1">IFERROR(INDEX('Cutters Inventory 12-30-2025'!A:W,MATCH($W481,'Cutters Inventory 12-30-2025'!B:B,0),14),0)</f>
        <v>6</v>
      </c>
      <c r="AC481" s="23">
        <f>SUMIF(Table1[LEVEL 5 MAT NO.],S481,Table1[Braze Plan])</f>
        <v>0</v>
      </c>
      <c r="AD481" s="23">
        <f>Table4[[#This Row],[Quantity]]*Table4[[#This Row],[Bits Braze Plan]]</f>
        <v>0</v>
      </c>
      <c r="AE481" s="23">
        <f ca="1">Table4[[#This Row],[INV. QTY]]-Table4[[#This Row],[Required For Braze Cutters Check]]</f>
        <v>6</v>
      </c>
      <c r="AF481" s="23">
        <f t="shared" ca="1" si="71"/>
        <v>6</v>
      </c>
      <c r="AG481" s="23"/>
    </row>
    <row r="482" spans="1:33" ht="24.75" customHeight="1" x14ac:dyDescent="0.25">
      <c r="A482" s="109">
        <v>20240171</v>
      </c>
      <c r="B482" s="608"/>
      <c r="C482" s="109">
        <v>14228445</v>
      </c>
      <c r="D482" s="109" t="s">
        <v>309</v>
      </c>
      <c r="E482" s="109" t="s">
        <v>311</v>
      </c>
      <c r="F482" s="109" t="s">
        <v>732</v>
      </c>
      <c r="G482" s="109" t="s">
        <v>676</v>
      </c>
      <c r="H482" s="140">
        <v>1145824</v>
      </c>
      <c r="I482" s="140">
        <v>1137349</v>
      </c>
      <c r="J482" s="26">
        <f>IF(H482&lt;&gt;"",IF(AND(C482&lt;&gt;"",IFERROR(MATCH(C482,Table10[Serial No.],0),0)),0,1),0)</f>
        <v>0</v>
      </c>
      <c r="K482" s="21"/>
      <c r="L482" s="539" t="str">
        <f t="shared" ca="1" si="72"/>
        <v/>
      </c>
      <c r="S482" s="281" t="s">
        <v>773</v>
      </c>
      <c r="T482" s="278" t="s">
        <v>309</v>
      </c>
      <c r="U482" s="278" t="s">
        <v>772</v>
      </c>
      <c r="V482" s="25">
        <v>4</v>
      </c>
      <c r="W482" s="284">
        <v>871781</v>
      </c>
      <c r="X482" s="19" t="str">
        <f>IFERROR(INDEX(Table14[],MATCH($W482,Table14[SAPNo],0),3),"")</f>
        <v>Round 1313 CT200  0.018" (B)</v>
      </c>
      <c r="Y482" s="284">
        <v>5</v>
      </c>
      <c r="Z482" s="25">
        <f t="shared" si="70"/>
        <v>0</v>
      </c>
      <c r="AA482" s="25">
        <f t="shared" si="73"/>
        <v>0</v>
      </c>
      <c r="AB482" s="23">
        <f ca="1">IFERROR(INDEX('Cutters Inventory 12-30-2025'!A:W,MATCH($W482,'Cutters Inventory 12-30-2025'!B:B,0),14),0)</f>
        <v>843</v>
      </c>
      <c r="AC482" s="23">
        <f>SUMIF(Table1[LEVEL 5 MAT NO.],S482,Table1[Braze Plan])</f>
        <v>0</v>
      </c>
      <c r="AD482" s="23">
        <f>Table4[[#This Row],[Quantity]]*Table4[[#This Row],[Bits Braze Plan]]</f>
        <v>0</v>
      </c>
      <c r="AE482" s="23">
        <f ca="1">Table4[[#This Row],[INV. QTY]]-Table4[[#This Row],[Required For Braze Cutters Check]]</f>
        <v>843</v>
      </c>
      <c r="AF482" s="23">
        <f t="shared" ca="1" si="71"/>
        <v>843</v>
      </c>
      <c r="AG482" s="23"/>
    </row>
    <row r="483" spans="1:33" ht="24.75" customHeight="1" x14ac:dyDescent="0.25">
      <c r="A483" s="109">
        <v>20240171</v>
      </c>
      <c r="B483" s="608"/>
      <c r="C483" s="109">
        <v>14228446</v>
      </c>
      <c r="D483" s="109" t="s">
        <v>309</v>
      </c>
      <c r="E483" s="109" t="s">
        <v>256</v>
      </c>
      <c r="F483" s="109"/>
      <c r="G483" s="109" t="s">
        <v>681</v>
      </c>
      <c r="H483" s="140">
        <v>1198387</v>
      </c>
      <c r="I483" s="140">
        <v>1160951</v>
      </c>
      <c r="J483" s="26">
        <f>IF(H483&lt;&gt;"",IF(AND(C483&lt;&gt;"",IFERROR(MATCH(C483,Table10[Serial No.],0),0)),0,1),0)</f>
        <v>0</v>
      </c>
      <c r="K483" s="21"/>
      <c r="L483" s="539" t="str">
        <f t="shared" ca="1" si="72"/>
        <v/>
      </c>
      <c r="S483" s="281" t="s">
        <v>774</v>
      </c>
      <c r="T483" s="278" t="s">
        <v>316</v>
      </c>
      <c r="U483" s="278" t="s">
        <v>320</v>
      </c>
      <c r="V483" s="25">
        <v>1</v>
      </c>
      <c r="W483" s="284">
        <v>1126402</v>
      </c>
      <c r="X483" s="19" t="str">
        <f>IFERROR(INDEX(Table14[],MATCH($W483,Table14[SAPNo],0),3),"")</f>
        <v>1613 CT421 16-60</v>
      </c>
      <c r="Y483" s="284">
        <v>56</v>
      </c>
      <c r="Z483" s="25">
        <f t="shared" si="70"/>
        <v>0</v>
      </c>
      <c r="AA483" s="25">
        <f t="shared" si="73"/>
        <v>0</v>
      </c>
      <c r="AB483" s="23">
        <f ca="1">IFERROR(INDEX('Cutters Inventory 12-30-2025'!A:W,MATCH($W483,'Cutters Inventory 12-30-2025'!B:B,0),14),0)</f>
        <v>422</v>
      </c>
      <c r="AC483" s="23">
        <f>SUMIF(Table1[LEVEL 5 MAT NO.],S483,Table1[Braze Plan])</f>
        <v>0</v>
      </c>
      <c r="AD483" s="23">
        <f>Table4[[#This Row],[Quantity]]*Table4[[#This Row],[Bits Braze Plan]]</f>
        <v>0</v>
      </c>
      <c r="AE483" s="23">
        <f ca="1">Table4[[#This Row],[INV. QTY]]-Table4[[#This Row],[Required For Braze Cutters Check]]</f>
        <v>422</v>
      </c>
      <c r="AF483" s="23">
        <f t="shared" ca="1" si="71"/>
        <v>422</v>
      </c>
      <c r="AG483" s="23"/>
    </row>
    <row r="484" spans="1:33" ht="24.75" customHeight="1" x14ac:dyDescent="0.25">
      <c r="A484" s="109">
        <v>20240171</v>
      </c>
      <c r="B484" s="608"/>
      <c r="C484" s="109">
        <v>14228448</v>
      </c>
      <c r="D484" s="109" t="s">
        <v>309</v>
      </c>
      <c r="E484" s="109" t="s">
        <v>256</v>
      </c>
      <c r="F484" s="109"/>
      <c r="G484" s="109" t="s">
        <v>681</v>
      </c>
      <c r="H484" s="140">
        <v>1198387</v>
      </c>
      <c r="I484" s="140">
        <v>1160951</v>
      </c>
      <c r="J484" s="26">
        <f>IF(H484&lt;&gt;"",IF(AND(C484&lt;&gt;"",IFERROR(MATCH(C484,Table10[Serial No.],0),0)),0,1),0)</f>
        <v>0</v>
      </c>
      <c r="K484" s="21"/>
      <c r="L484" s="539" t="str">
        <f t="shared" ca="1" si="72"/>
        <v/>
      </c>
      <c r="S484" s="281" t="s">
        <v>774</v>
      </c>
      <c r="T484" s="278" t="s">
        <v>316</v>
      </c>
      <c r="U484" s="278" t="s">
        <v>320</v>
      </c>
      <c r="V484" s="25">
        <v>2</v>
      </c>
      <c r="W484" s="284">
        <v>717751</v>
      </c>
      <c r="X484" s="19" t="str">
        <f>IFERROR(INDEX(Table14[],MATCH($W484,Table14[SAPNo],0),3),"")</f>
        <v>Round 1308 CT200  0.018" (B)</v>
      </c>
      <c r="Y484" s="284">
        <v>39</v>
      </c>
      <c r="Z484" s="25">
        <f t="shared" si="70"/>
        <v>0</v>
      </c>
      <c r="AA484" s="25">
        <f t="shared" si="73"/>
        <v>0</v>
      </c>
      <c r="AB484" s="23">
        <f ca="1">IFERROR(INDEX('Cutters Inventory 12-30-2025'!A:W,MATCH($W484,'Cutters Inventory 12-30-2025'!B:B,0),14),0)</f>
        <v>28</v>
      </c>
      <c r="AC484" s="23">
        <f>SUMIF(Table1[LEVEL 5 MAT NO.],S484,Table1[Braze Plan])</f>
        <v>0</v>
      </c>
      <c r="AD484" s="23">
        <f>Table4[[#This Row],[Quantity]]*Table4[[#This Row],[Bits Braze Plan]]</f>
        <v>0</v>
      </c>
      <c r="AE484" s="23">
        <f ca="1">Table4[[#This Row],[INV. QTY]]-Table4[[#This Row],[Required For Braze Cutters Check]]</f>
        <v>28</v>
      </c>
      <c r="AF484" s="23">
        <f t="shared" ca="1" si="71"/>
        <v>28</v>
      </c>
      <c r="AG484" s="23"/>
    </row>
    <row r="485" spans="1:33" ht="24.75" customHeight="1" x14ac:dyDescent="0.25">
      <c r="A485" s="109">
        <v>20240171</v>
      </c>
      <c r="B485" s="608"/>
      <c r="C485" s="109">
        <v>14228447</v>
      </c>
      <c r="D485" s="109" t="s">
        <v>309</v>
      </c>
      <c r="E485" s="109" t="s">
        <v>256</v>
      </c>
      <c r="F485" s="109"/>
      <c r="G485" s="109" t="s">
        <v>681</v>
      </c>
      <c r="H485" s="140">
        <v>1198387</v>
      </c>
      <c r="I485" s="140">
        <v>1160951</v>
      </c>
      <c r="J485" s="26">
        <f>IF(H485&lt;&gt;"",IF(AND(C485&lt;&gt;"",IFERROR(MATCH(C485,Table10[Serial No.],0),0)),0,1),0)</f>
        <v>0</v>
      </c>
      <c r="K485" s="21"/>
      <c r="L485" s="539" t="str">
        <f t="shared" ca="1" si="72"/>
        <v/>
      </c>
      <c r="S485" s="281" t="s">
        <v>774</v>
      </c>
      <c r="T485" s="278" t="s">
        <v>316</v>
      </c>
      <c r="U485" s="278" t="s">
        <v>320</v>
      </c>
      <c r="V485" s="25">
        <v>3</v>
      </c>
      <c r="W485" s="284">
        <v>410851</v>
      </c>
      <c r="X485" s="19" t="str">
        <f>IFERROR(INDEX(Table14[],MATCH($W485,Table14[SAPNo],0),3),"")</f>
        <v>PDC Dome 1308 CT31   (B)</v>
      </c>
      <c r="Y485" s="284">
        <v>35</v>
      </c>
      <c r="Z485" s="25">
        <f t="shared" si="70"/>
        <v>0</v>
      </c>
      <c r="AA485" s="25">
        <f t="shared" si="73"/>
        <v>0</v>
      </c>
      <c r="AB485" s="23">
        <f ca="1">IFERROR(INDEX('Cutters Inventory 12-30-2025'!A:W,MATCH($W485,'Cutters Inventory 12-30-2025'!B:B,0),14),0)</f>
        <v>93</v>
      </c>
      <c r="AC485" s="23">
        <f>SUMIF(Table1[LEVEL 5 MAT NO.],S485,Table1[Braze Plan])</f>
        <v>0</v>
      </c>
      <c r="AD485" s="23">
        <f>Table4[[#This Row],[Quantity]]*Table4[[#This Row],[Bits Braze Plan]]</f>
        <v>0</v>
      </c>
      <c r="AE485" s="23">
        <f ca="1">Table4[[#This Row],[INV. QTY]]-Table4[[#This Row],[Required For Braze Cutters Check]]</f>
        <v>93</v>
      </c>
      <c r="AF485" s="23">
        <f t="shared" ca="1" si="71"/>
        <v>93</v>
      </c>
      <c r="AG485" s="23"/>
    </row>
    <row r="486" spans="1:33" ht="24.75" customHeight="1" x14ac:dyDescent="0.25">
      <c r="A486" s="109">
        <v>20240171</v>
      </c>
      <c r="B486" s="608"/>
      <c r="C486" s="109">
        <v>14242605</v>
      </c>
      <c r="D486" s="109" t="s">
        <v>313</v>
      </c>
      <c r="E486" s="109" t="s">
        <v>273</v>
      </c>
      <c r="F486" s="109" t="s">
        <v>736</v>
      </c>
      <c r="G486" s="109" t="s">
        <v>676</v>
      </c>
      <c r="H486" s="140">
        <v>1246020</v>
      </c>
      <c r="I486" s="140" t="s">
        <v>737</v>
      </c>
      <c r="J486" s="26">
        <f>IF(H486&lt;&gt;"",IF(AND(C486&lt;&gt;"",IFERROR(MATCH(C486,Table10[Serial No.],0),0)),0,1),0)</f>
        <v>0</v>
      </c>
      <c r="K486" s="21"/>
      <c r="L486" s="539" t="str">
        <f t="shared" si="72"/>
        <v/>
      </c>
      <c r="S486" s="281" t="s">
        <v>774</v>
      </c>
      <c r="T486" s="278" t="s">
        <v>316</v>
      </c>
      <c r="U486" s="278" t="s">
        <v>320</v>
      </c>
      <c r="V486" s="25">
        <v>4</v>
      </c>
      <c r="W486" s="284">
        <v>179733</v>
      </c>
      <c r="X486" s="19" t="str">
        <f>IFERROR(INDEX(Table14[],MATCH($W486,Table14[SAPNo],0),3),"")</f>
        <v>Short IA 13    (C)</v>
      </c>
      <c r="Y486" s="284">
        <v>23</v>
      </c>
      <c r="Z486" s="25">
        <f t="shared" si="70"/>
        <v>0</v>
      </c>
      <c r="AA486" s="25">
        <f t="shared" si="73"/>
        <v>0</v>
      </c>
      <c r="AB486" s="23">
        <f ca="1">IFERROR(INDEX('Cutters Inventory 12-30-2025'!A:W,MATCH($W486,'Cutters Inventory 12-30-2025'!B:B,0),14),0)</f>
        <v>68</v>
      </c>
      <c r="AC486" s="23">
        <f>SUMIF(Table1[LEVEL 5 MAT NO.],S486,Table1[Braze Plan])</f>
        <v>0</v>
      </c>
      <c r="AD486" s="23">
        <f>Table4[[#This Row],[Quantity]]*Table4[[#This Row],[Bits Braze Plan]]</f>
        <v>0</v>
      </c>
      <c r="AE486" s="23">
        <f ca="1">Table4[[#This Row],[INV. QTY]]-Table4[[#This Row],[Required For Braze Cutters Check]]</f>
        <v>68</v>
      </c>
      <c r="AF486" s="23">
        <f t="shared" ca="1" si="71"/>
        <v>68</v>
      </c>
      <c r="AG486" s="23"/>
    </row>
    <row r="487" spans="1:33" ht="24.75" customHeight="1" x14ac:dyDescent="0.25">
      <c r="A487" s="109">
        <v>20240171</v>
      </c>
      <c r="B487" s="608"/>
      <c r="C487" s="109">
        <v>14242606</v>
      </c>
      <c r="D487" s="109" t="s">
        <v>313</v>
      </c>
      <c r="E487" s="109" t="s">
        <v>273</v>
      </c>
      <c r="F487" s="109" t="s">
        <v>736</v>
      </c>
      <c r="G487" s="109" t="s">
        <v>676</v>
      </c>
      <c r="H487" s="140">
        <v>1246020</v>
      </c>
      <c r="I487" s="140" t="s">
        <v>737</v>
      </c>
      <c r="J487" s="26">
        <f>IF(H487&lt;&gt;"",IF(AND(C487&lt;&gt;"",IFERROR(MATCH(C487,Table10[Serial No.],0),0)),0,1),0)</f>
        <v>0</v>
      </c>
      <c r="K487" s="21"/>
      <c r="L487" s="539" t="str">
        <f t="shared" si="72"/>
        <v/>
      </c>
      <c r="S487" s="281" t="s">
        <v>774</v>
      </c>
      <c r="T487" s="278" t="s">
        <v>316</v>
      </c>
      <c r="U487" s="278" t="s">
        <v>320</v>
      </c>
      <c r="V487" s="25">
        <v>5</v>
      </c>
      <c r="W487" s="284">
        <v>418525</v>
      </c>
      <c r="X487" s="19" t="str">
        <f>IFERROR(INDEX(Table14[],MATCH($W487,Table14[SAPNo],0),3),"")</f>
        <v>Drop In 1308 CT31   (B)</v>
      </c>
      <c r="Y487" s="284">
        <v>14</v>
      </c>
      <c r="Z487" s="25">
        <f t="shared" si="70"/>
        <v>0</v>
      </c>
      <c r="AA487" s="25">
        <f t="shared" si="73"/>
        <v>0</v>
      </c>
      <c r="AB487" s="23">
        <f ca="1">IFERROR(INDEX('Cutters Inventory 12-30-2025'!A:W,MATCH($W487,'Cutters Inventory 12-30-2025'!B:B,0),14),0)</f>
        <v>933</v>
      </c>
      <c r="AC487" s="23">
        <f>SUMIF(Table1[LEVEL 5 MAT NO.],S487,Table1[Braze Plan])</f>
        <v>0</v>
      </c>
      <c r="AD487" s="23">
        <f>Table4[[#This Row],[Quantity]]*Table4[[#This Row],[Bits Braze Plan]]</f>
        <v>0</v>
      </c>
      <c r="AE487" s="23">
        <f ca="1">Table4[[#This Row],[INV. QTY]]-Table4[[#This Row],[Required For Braze Cutters Check]]</f>
        <v>933</v>
      </c>
      <c r="AF487" s="23">
        <f t="shared" ca="1" si="71"/>
        <v>933</v>
      </c>
      <c r="AG487" s="23"/>
    </row>
    <row r="488" spans="1:33" ht="24.75" customHeight="1" x14ac:dyDescent="0.25">
      <c r="A488" s="109">
        <v>20240171</v>
      </c>
      <c r="B488" s="608"/>
      <c r="C488" s="109">
        <v>14228454</v>
      </c>
      <c r="D488" s="109" t="s">
        <v>313</v>
      </c>
      <c r="E488" s="109" t="s">
        <v>314</v>
      </c>
      <c r="F488" s="109" t="s">
        <v>715</v>
      </c>
      <c r="G488" s="109" t="s">
        <v>676</v>
      </c>
      <c r="H488" s="140">
        <v>1246680</v>
      </c>
      <c r="I488" s="140" t="s">
        <v>763</v>
      </c>
      <c r="J488" s="26">
        <f>IF(H488&lt;&gt;"",IF(AND(C488&lt;&gt;"",IFERROR(MATCH(C488,Table10[Serial No.],0),0)),0,1),0)</f>
        <v>0</v>
      </c>
      <c r="K488" s="21"/>
      <c r="L488" s="539" t="str">
        <f t="shared" si="72"/>
        <v/>
      </c>
      <c r="S488" s="281" t="s">
        <v>774</v>
      </c>
      <c r="T488" s="278" t="s">
        <v>316</v>
      </c>
      <c r="U488" s="278" t="s">
        <v>320</v>
      </c>
      <c r="V488" s="25">
        <v>6</v>
      </c>
      <c r="W488" s="284">
        <v>1130197</v>
      </c>
      <c r="X488" s="19" t="str">
        <f>IFERROR(INDEX(Table14[],MATCH($W488,Table14[SAPNo],0),3),"")</f>
        <v>Round 1608 CT182  0.018" (S)</v>
      </c>
      <c r="Y488" s="284">
        <v>13</v>
      </c>
      <c r="Z488" s="25">
        <f t="shared" si="70"/>
        <v>0</v>
      </c>
      <c r="AA488" s="25">
        <f t="shared" si="73"/>
        <v>0</v>
      </c>
      <c r="AB488" s="23">
        <f ca="1">IFERROR(INDEX('Cutters Inventory 12-30-2025'!A:W,MATCH($W488,'Cutters Inventory 12-30-2025'!B:B,0),14),0)</f>
        <v>39</v>
      </c>
      <c r="AC488" s="23">
        <f>SUMIF(Table1[LEVEL 5 MAT NO.],S488,Table1[Braze Plan])</f>
        <v>0</v>
      </c>
      <c r="AD488" s="23">
        <f>Table4[[#This Row],[Quantity]]*Table4[[#This Row],[Bits Braze Plan]]</f>
        <v>0</v>
      </c>
      <c r="AE488" s="23">
        <f ca="1">Table4[[#This Row],[INV. QTY]]-Table4[[#This Row],[Required For Braze Cutters Check]]</f>
        <v>39</v>
      </c>
      <c r="AF488" s="23">
        <f t="shared" ca="1" si="71"/>
        <v>39</v>
      </c>
      <c r="AG488" s="23"/>
    </row>
    <row r="489" spans="1:33" ht="24.75" customHeight="1" x14ac:dyDescent="0.25">
      <c r="A489" s="109">
        <v>20240171</v>
      </c>
      <c r="B489" s="608"/>
      <c r="C489" s="109">
        <v>14228455</v>
      </c>
      <c r="D489" s="109" t="s">
        <v>313</v>
      </c>
      <c r="E489" s="109" t="s">
        <v>314</v>
      </c>
      <c r="F489" s="109" t="s">
        <v>715</v>
      </c>
      <c r="G489" s="109" t="s">
        <v>676</v>
      </c>
      <c r="H489" s="140">
        <v>1246680</v>
      </c>
      <c r="I489" s="140" t="s">
        <v>763</v>
      </c>
      <c r="J489" s="26">
        <f>IF(H489&lt;&gt;"",IF(AND(C489&lt;&gt;"",IFERROR(MATCH(C489,Table10[Serial No.],0),0)),0,1),0)</f>
        <v>0</v>
      </c>
      <c r="K489" s="21"/>
      <c r="L489" s="539" t="str">
        <f t="shared" si="72"/>
        <v/>
      </c>
      <c r="S489" s="281">
        <v>2021865</v>
      </c>
      <c r="T489" s="278" t="s">
        <v>631</v>
      </c>
      <c r="U489" s="278" t="s">
        <v>645</v>
      </c>
      <c r="V489" s="25">
        <v>1</v>
      </c>
      <c r="W489" s="284">
        <v>2004484</v>
      </c>
      <c r="X489" s="19" t="str">
        <f>IFERROR(INDEX(Table14[],MATCH($W489,Table14[SAPNo],0),3),"")</f>
        <v>1308 CT187 U-60</v>
      </c>
      <c r="Y489" s="284">
        <v>15</v>
      </c>
      <c r="Z489" s="25">
        <f t="shared" si="70"/>
        <v>8</v>
      </c>
      <c r="AA489" s="25">
        <f t="shared" si="73"/>
        <v>120</v>
      </c>
      <c r="AB489" s="23">
        <f ca="1">IFERROR(INDEX('Cutters Inventory 12-30-2025'!A:W,MATCH($W489,'Cutters Inventory 12-30-2025'!B:B,0),14),0)</f>
        <v>428</v>
      </c>
      <c r="AC489" s="23">
        <f>SUMIF(Table1[LEVEL 5 MAT NO.],S489,Table1[Braze Plan])</f>
        <v>0</v>
      </c>
      <c r="AD489" s="23">
        <f>Table4[[#This Row],[Quantity]]*Table4[[#This Row],[Bits Braze Plan]]</f>
        <v>0</v>
      </c>
      <c r="AE489" s="23">
        <f ca="1">Table4[[#This Row],[INV. QTY]]-Table4[[#This Row],[Required For Braze Cutters Check]]</f>
        <v>428</v>
      </c>
      <c r="AF489" s="23">
        <f t="shared" ca="1" si="71"/>
        <v>428</v>
      </c>
      <c r="AG489" s="626"/>
    </row>
    <row r="490" spans="1:33" ht="24.75" customHeight="1" x14ac:dyDescent="0.25">
      <c r="A490" s="109">
        <v>20240171</v>
      </c>
      <c r="B490" s="608"/>
      <c r="C490" s="109">
        <v>14228470</v>
      </c>
      <c r="D490" s="109" t="s">
        <v>624</v>
      </c>
      <c r="E490" s="109" t="s">
        <v>663</v>
      </c>
      <c r="F490" s="109"/>
      <c r="G490" s="109" t="s">
        <v>681</v>
      </c>
      <c r="H490" s="140">
        <v>1269498</v>
      </c>
      <c r="I490" s="140">
        <v>1276939</v>
      </c>
      <c r="J490" s="26">
        <f>IF(H490&lt;&gt;"",IF(AND(C490&lt;&gt;"",IFERROR(MATCH(C490,Table10[Serial No.],0),0)),0,1),0)</f>
        <v>0</v>
      </c>
      <c r="K490" s="21"/>
      <c r="L490" s="539" t="str">
        <f t="shared" ca="1" si="72"/>
        <v/>
      </c>
      <c r="S490" s="281">
        <v>2021865</v>
      </c>
      <c r="T490" s="278" t="s">
        <v>631</v>
      </c>
      <c r="U490" s="278" t="s">
        <v>645</v>
      </c>
      <c r="V490" s="25">
        <v>2</v>
      </c>
      <c r="W490" s="284">
        <v>2002186</v>
      </c>
      <c r="X490" s="19" t="str">
        <f>IFERROR(INDEX(Table14[],MATCH($W490,Table14[SAPNo],0),3),"")</f>
        <v>1313 CT187 U-60</v>
      </c>
      <c r="Y490" s="284">
        <v>15</v>
      </c>
      <c r="Z490" s="25">
        <f t="shared" si="70"/>
        <v>8</v>
      </c>
      <c r="AA490" s="25">
        <f t="shared" si="73"/>
        <v>120</v>
      </c>
      <c r="AB490" s="23">
        <f ca="1">IFERROR(INDEX('Cutters Inventory 12-30-2025'!A:W,MATCH($W490,'Cutters Inventory 12-30-2025'!B:B,0),14),0)</f>
        <v>330</v>
      </c>
      <c r="AC490" s="23">
        <f>SUMIF(Table1[LEVEL 5 MAT NO.],S490,Table1[Braze Plan])</f>
        <v>0</v>
      </c>
      <c r="AD490" s="23">
        <f>Table4[[#This Row],[Quantity]]*Table4[[#This Row],[Bits Braze Plan]]</f>
        <v>0</v>
      </c>
      <c r="AE490" s="23">
        <f ca="1">Table4[[#This Row],[INV. QTY]]-Table4[[#This Row],[Required For Braze Cutters Check]]</f>
        <v>330</v>
      </c>
      <c r="AF490" s="23">
        <f t="shared" ca="1" si="71"/>
        <v>330</v>
      </c>
      <c r="AG490" s="626"/>
    </row>
    <row r="491" spans="1:33" ht="24.75" customHeight="1" x14ac:dyDescent="0.25">
      <c r="A491" s="109">
        <v>20240171</v>
      </c>
      <c r="B491" s="608"/>
      <c r="C491" s="109">
        <v>14228469</v>
      </c>
      <c r="D491" s="109" t="s">
        <v>624</v>
      </c>
      <c r="E491" s="109" t="s">
        <v>663</v>
      </c>
      <c r="F491" s="109"/>
      <c r="G491" s="109" t="s">
        <v>681</v>
      </c>
      <c r="H491" s="140">
        <v>1269498</v>
      </c>
      <c r="I491" s="140">
        <v>1276939</v>
      </c>
      <c r="J491" s="26">
        <f>IF(H491&lt;&gt;"",IF(AND(C491&lt;&gt;"",IFERROR(MATCH(C491,Table10[Serial No.],0),0)),0,1),0)</f>
        <v>0</v>
      </c>
      <c r="K491" s="21"/>
      <c r="L491" s="539" t="str">
        <f t="shared" ca="1" si="72"/>
        <v/>
      </c>
      <c r="S491" s="281">
        <v>2021865</v>
      </c>
      <c r="T491" s="278" t="s">
        <v>631</v>
      </c>
      <c r="U491" s="278" t="s">
        <v>645</v>
      </c>
      <c r="V491" s="25">
        <v>3</v>
      </c>
      <c r="W491" s="284">
        <v>1228502</v>
      </c>
      <c r="X491" s="19" t="str">
        <f>IFERROR(INDEX(Table14[],MATCH($W491,Table14[SAPNo],0),3),"")</f>
        <v>1618 CT182 U-60 Rotor</v>
      </c>
      <c r="Y491" s="284">
        <v>10</v>
      </c>
      <c r="Z491" s="25">
        <f t="shared" si="70"/>
        <v>8</v>
      </c>
      <c r="AA491" s="25">
        <f t="shared" si="73"/>
        <v>80</v>
      </c>
      <c r="AB491" s="23">
        <f ca="1">IFERROR(INDEX('Cutters Inventory 12-30-2025'!A:W,MATCH($W491,'Cutters Inventory 12-30-2025'!B:B,0),14),0)</f>
        <v>655</v>
      </c>
      <c r="AC491" s="23">
        <f>SUMIF(Table1[LEVEL 5 MAT NO.],S491,Table1[Braze Plan])</f>
        <v>0</v>
      </c>
      <c r="AD491" s="23">
        <f>Table4[[#This Row],[Quantity]]*Table4[[#This Row],[Bits Braze Plan]]</f>
        <v>0</v>
      </c>
      <c r="AE491" s="23">
        <f ca="1">Table4[[#This Row],[INV. QTY]]-Table4[[#This Row],[Required For Braze Cutters Check]]</f>
        <v>655</v>
      </c>
      <c r="AF491" s="23">
        <f t="shared" ca="1" si="71"/>
        <v>655</v>
      </c>
      <c r="AG491" s="626"/>
    </row>
    <row r="492" spans="1:33" ht="24.75" customHeight="1" x14ac:dyDescent="0.25">
      <c r="A492" s="109">
        <v>20240171</v>
      </c>
      <c r="B492" s="608"/>
      <c r="C492" s="109">
        <v>14228472</v>
      </c>
      <c r="D492" s="109" t="s">
        <v>624</v>
      </c>
      <c r="E492" s="109" t="s">
        <v>663</v>
      </c>
      <c r="F492" s="109"/>
      <c r="G492" s="109" t="s">
        <v>681</v>
      </c>
      <c r="H492" s="140">
        <v>1269498</v>
      </c>
      <c r="I492" s="140">
        <v>1276939</v>
      </c>
      <c r="J492" s="26">
        <f>IF(H492&lt;&gt;"",IF(AND(C492&lt;&gt;"",IFERROR(MATCH(C492,Table10[Serial No.],0),0)),0,1),0)</f>
        <v>0</v>
      </c>
      <c r="K492" s="21"/>
      <c r="L492" s="539" t="str">
        <f t="shared" ca="1" si="72"/>
        <v/>
      </c>
      <c r="S492" s="281">
        <v>2021865</v>
      </c>
      <c r="T492" s="278" t="s">
        <v>631</v>
      </c>
      <c r="U492" s="278" t="s">
        <v>645</v>
      </c>
      <c r="V492" s="25">
        <v>4</v>
      </c>
      <c r="W492" s="284">
        <v>871781</v>
      </c>
      <c r="X492" s="19" t="str">
        <f>IFERROR(INDEX(Table14[],MATCH($W492,Table14[SAPNo],0),3),"")</f>
        <v>Round 1313 CT200  0.018" (B)</v>
      </c>
      <c r="Y492" s="284">
        <v>6</v>
      </c>
      <c r="Z492" s="25">
        <f t="shared" si="70"/>
        <v>8</v>
      </c>
      <c r="AA492" s="25">
        <f t="shared" si="73"/>
        <v>48</v>
      </c>
      <c r="AB492" s="23">
        <f ca="1">IFERROR(INDEX('Cutters Inventory 12-30-2025'!A:W,MATCH($W492,'Cutters Inventory 12-30-2025'!B:B,0),14),0)</f>
        <v>843</v>
      </c>
      <c r="AC492" s="23">
        <f>SUMIF(Table1[LEVEL 5 MAT NO.],S492,Table1[Braze Plan])</f>
        <v>0</v>
      </c>
      <c r="AD492" s="23">
        <f>Table4[[#This Row],[Quantity]]*Table4[[#This Row],[Bits Braze Plan]]</f>
        <v>0</v>
      </c>
      <c r="AE492" s="23">
        <f ca="1">Table4[[#This Row],[INV. QTY]]-Table4[[#This Row],[Required For Braze Cutters Check]]</f>
        <v>843</v>
      </c>
      <c r="AF492" s="23">
        <f t="shared" ca="1" si="71"/>
        <v>843</v>
      </c>
      <c r="AG492" s="626"/>
    </row>
    <row r="493" spans="1:33" ht="24.75" customHeight="1" x14ac:dyDescent="0.25">
      <c r="A493" s="132">
        <v>20240171</v>
      </c>
      <c r="B493" s="609"/>
      <c r="C493" s="132">
        <v>14228471</v>
      </c>
      <c r="D493" s="132" t="s">
        <v>624</v>
      </c>
      <c r="E493" s="132" t="s">
        <v>663</v>
      </c>
      <c r="F493" s="132"/>
      <c r="G493" s="132" t="s">
        <v>681</v>
      </c>
      <c r="H493" s="141">
        <v>1269498</v>
      </c>
      <c r="I493" s="141">
        <v>1276939</v>
      </c>
      <c r="J493" s="26">
        <f>IF(H493&lt;&gt;"",IF(AND(C493&lt;&gt;"",IFERROR(MATCH(C493,Table10[Serial No.],0),0)),0,1),0)</f>
        <v>0</v>
      </c>
      <c r="K493" s="21"/>
      <c r="L493" s="539" t="str">
        <f t="shared" ca="1" si="72"/>
        <v/>
      </c>
      <c r="S493" s="281">
        <v>2021865</v>
      </c>
      <c r="T493" s="278" t="s">
        <v>631</v>
      </c>
      <c r="U493" s="278" t="s">
        <v>645</v>
      </c>
      <c r="V493" s="25">
        <v>5</v>
      </c>
      <c r="W493" s="284">
        <v>2002299</v>
      </c>
      <c r="X493" s="19" t="str">
        <f>IFERROR(INDEX(Table14[],MATCH($W493,Table14[SAPNo],0),3),"")</f>
        <v>1613 CT187 U-60</v>
      </c>
      <c r="Y493" s="284">
        <v>4</v>
      </c>
      <c r="Z493" s="25">
        <f t="shared" si="70"/>
        <v>8</v>
      </c>
      <c r="AA493" s="25">
        <f t="shared" si="73"/>
        <v>32</v>
      </c>
      <c r="AB493" s="23">
        <f ca="1">IFERROR(INDEX('Cutters Inventory 12-30-2025'!A:W,MATCH($W493,'Cutters Inventory 12-30-2025'!B:B,0),14),0)</f>
        <v>557</v>
      </c>
      <c r="AC493" s="23">
        <f>SUMIF(Table1[LEVEL 5 MAT NO.],S493,Table1[Braze Plan])</f>
        <v>0</v>
      </c>
      <c r="AD493" s="23">
        <f>Table4[[#This Row],[Quantity]]*Table4[[#This Row],[Bits Braze Plan]]</f>
        <v>0</v>
      </c>
      <c r="AE493" s="23">
        <f ca="1">Table4[[#This Row],[INV. QTY]]-Table4[[#This Row],[Required For Braze Cutters Check]]</f>
        <v>557</v>
      </c>
      <c r="AF493" s="23">
        <f t="shared" ca="1" si="71"/>
        <v>557</v>
      </c>
      <c r="AG493" s="626"/>
    </row>
    <row r="494" spans="1:33" ht="24.75" customHeight="1" x14ac:dyDescent="0.25">
      <c r="A494" s="109">
        <v>20240171</v>
      </c>
      <c r="B494" s="608"/>
      <c r="C494" s="109">
        <v>14228461</v>
      </c>
      <c r="D494" s="109" t="s">
        <v>315</v>
      </c>
      <c r="E494" s="109" t="s">
        <v>284</v>
      </c>
      <c r="F494" s="109" t="s">
        <v>659</v>
      </c>
      <c r="G494" s="109" t="s">
        <v>676</v>
      </c>
      <c r="H494" s="140">
        <v>1234376</v>
      </c>
      <c r="I494" s="140">
        <v>1249569</v>
      </c>
      <c r="J494" s="26">
        <f>IF(H494&lt;&gt;"",IF(AND(C494&lt;&gt;"",IFERROR(MATCH(C494,Table10[Serial No.],0),0)),0,1),0)</f>
        <v>0</v>
      </c>
      <c r="K494" s="21"/>
      <c r="L494" s="539" t="str">
        <f t="shared" ca="1" si="72"/>
        <v/>
      </c>
      <c r="S494" s="281">
        <v>2021865</v>
      </c>
      <c r="T494" s="278" t="s">
        <v>631</v>
      </c>
      <c r="U494" s="278" t="s">
        <v>645</v>
      </c>
      <c r="V494" s="25">
        <v>6</v>
      </c>
      <c r="W494" s="284">
        <v>1228501</v>
      </c>
      <c r="X494" s="19" t="str">
        <f>IFERROR(INDEX(Table14[],MATCH($W494,Table14[SAPNo],0),3),"")</f>
        <v>1618 CT182 U-60 stator</v>
      </c>
      <c r="Y494" s="284">
        <v>10</v>
      </c>
      <c r="Z494" s="25">
        <f t="shared" si="70"/>
        <v>8</v>
      </c>
      <c r="AA494" s="25">
        <f t="shared" si="73"/>
        <v>80</v>
      </c>
      <c r="AB494" s="23">
        <f ca="1">IFERROR(INDEX('Cutters Inventory 12-30-2025'!A:W,MATCH($W494,'Cutters Inventory 12-30-2025'!B:B,0),14),0)</f>
        <v>659</v>
      </c>
      <c r="AC494" s="23">
        <f>SUMIF(Table1[LEVEL 5 MAT NO.],S494,Table1[Braze Plan])</f>
        <v>0</v>
      </c>
      <c r="AD494" s="23">
        <f>Table4[[#This Row],[Quantity]]*Table4[[#This Row],[Bits Braze Plan]]</f>
        <v>0</v>
      </c>
      <c r="AE494" s="23">
        <f ca="1">Table4[[#This Row],[INV. QTY]]-Table4[[#This Row],[Required For Braze Cutters Check]]</f>
        <v>659</v>
      </c>
      <c r="AF494" s="23">
        <f t="shared" ca="1" si="71"/>
        <v>659</v>
      </c>
      <c r="AG494" s="626"/>
    </row>
    <row r="495" spans="1:33" ht="24.75" customHeight="1" x14ac:dyDescent="0.25">
      <c r="A495" s="109">
        <v>20240171</v>
      </c>
      <c r="B495" s="608"/>
      <c r="C495" s="109">
        <v>14228462</v>
      </c>
      <c r="D495" s="109" t="s">
        <v>315</v>
      </c>
      <c r="E495" s="109" t="s">
        <v>284</v>
      </c>
      <c r="F495" s="109" t="s">
        <v>659</v>
      </c>
      <c r="G495" s="109" t="s">
        <v>676</v>
      </c>
      <c r="H495" s="140">
        <v>1234376</v>
      </c>
      <c r="I495" s="140">
        <v>1249569</v>
      </c>
      <c r="J495" s="26">
        <f>IF(H495&lt;&gt;"",IF(AND(C495&lt;&gt;"",IFERROR(MATCH(C495,Table10[Serial No.],0),0)),0,1),0)</f>
        <v>0</v>
      </c>
      <c r="K495" s="21"/>
      <c r="L495" s="539" t="str">
        <f t="shared" ca="1" si="72"/>
        <v/>
      </c>
      <c r="S495" s="281">
        <v>2021865</v>
      </c>
      <c r="T495" s="278" t="s">
        <v>631</v>
      </c>
      <c r="U495" s="278" t="s">
        <v>645</v>
      </c>
      <c r="V495" s="25">
        <v>7</v>
      </c>
      <c r="W495" s="284">
        <v>1228503</v>
      </c>
      <c r="X495" s="19" t="str">
        <f>IFERROR(INDEX(Table14[],MATCH($W495,Table14[SAPNo],0),3),"")</f>
        <v>1618 CT182 U-60 Ring</v>
      </c>
      <c r="Y495" s="284">
        <v>10</v>
      </c>
      <c r="Z495" s="25">
        <f t="shared" ref="Z495:Z496" si="74">IFERROR(INDEX($O$2:$P$400,MATCH($S495,$O$2:$O$93,0),2),0)</f>
        <v>8</v>
      </c>
      <c r="AA495" s="25">
        <f t="shared" ref="AA495:AA496" si="75">Y495*Z495</f>
        <v>80</v>
      </c>
      <c r="AB495" s="23">
        <f ca="1">IFERROR(INDEX('Cutters Inventory 12-30-2025'!A:W,MATCH($W495,'Cutters Inventory 12-30-2025'!B:B,0),14),0)</f>
        <v>397</v>
      </c>
      <c r="AC495" s="23">
        <f>SUMIF(Table1[LEVEL 5 MAT NO.],S495,Table1[Braze Plan])</f>
        <v>0</v>
      </c>
      <c r="AD495" s="23">
        <f>Table4[[#This Row],[Quantity]]*Table4[[#This Row],[Bits Braze Plan]]</f>
        <v>0</v>
      </c>
      <c r="AE495" s="23">
        <f ca="1">Table4[[#This Row],[INV. QTY]]-Table4[[#This Row],[Required For Braze Cutters Check]]</f>
        <v>397</v>
      </c>
      <c r="AF495" s="23">
        <f t="shared" ca="1" si="71"/>
        <v>397</v>
      </c>
      <c r="AG495" s="626"/>
    </row>
    <row r="496" spans="1:33" ht="24.75" customHeight="1" x14ac:dyDescent="0.25">
      <c r="A496" s="109">
        <v>20240171</v>
      </c>
      <c r="B496" s="709"/>
      <c r="C496" s="109">
        <v>14228463</v>
      </c>
      <c r="D496" s="109" t="s">
        <v>316</v>
      </c>
      <c r="E496" s="109" t="s">
        <v>291</v>
      </c>
      <c r="F496" s="109" t="s">
        <v>662</v>
      </c>
      <c r="G496" s="109" t="s">
        <v>676</v>
      </c>
      <c r="H496" s="140">
        <v>1228782</v>
      </c>
      <c r="I496" s="140">
        <v>1058252</v>
      </c>
      <c r="J496" s="26">
        <f>IF(H496&lt;&gt;"",IF(AND(C496&lt;&gt;"",IFERROR(MATCH(C496,Table10[Serial No.],0),0)),0,1),0)</f>
        <v>0</v>
      </c>
      <c r="K496" s="21"/>
      <c r="L496" s="539" t="str">
        <f t="shared" ca="1" si="72"/>
        <v/>
      </c>
      <c r="S496" s="281">
        <v>2021865</v>
      </c>
      <c r="T496" s="278" t="s">
        <v>631</v>
      </c>
      <c r="U496" s="278" t="s">
        <v>645</v>
      </c>
      <c r="V496" s="25">
        <v>8</v>
      </c>
      <c r="W496" s="284">
        <v>1220554</v>
      </c>
      <c r="X496" s="19" t="str">
        <f>IFERROR(INDEX(Table14[],MATCH($W496,Table14[SAPNo],0),3),"")</f>
        <v xml:space="preserve">1618 CT182 U-60 Carbide </v>
      </c>
      <c r="Y496" s="284">
        <v>10</v>
      </c>
      <c r="Z496" s="25">
        <f t="shared" si="74"/>
        <v>8</v>
      </c>
      <c r="AA496" s="25">
        <f t="shared" si="75"/>
        <v>80</v>
      </c>
      <c r="AB496" s="23">
        <f ca="1">IFERROR(INDEX('Cutters Inventory 12-30-2025'!A:W,MATCH($W496,'Cutters Inventory 12-30-2025'!B:B,0),14),0)</f>
        <v>392</v>
      </c>
      <c r="AC496" s="23">
        <f>SUMIF(Table1[LEVEL 5 MAT NO.],S496,Table1[Braze Plan])</f>
        <v>0</v>
      </c>
      <c r="AD496" s="23">
        <f>Table4[[#This Row],[Quantity]]*Table4[[#This Row],[Bits Braze Plan]]</f>
        <v>0</v>
      </c>
      <c r="AE496" s="23">
        <f ca="1">Table4[[#This Row],[INV. QTY]]-Table4[[#This Row],[Required For Braze Cutters Check]]</f>
        <v>392</v>
      </c>
      <c r="AF496" s="23">
        <f t="shared" ca="1" si="71"/>
        <v>392</v>
      </c>
      <c r="AG496" s="626"/>
    </row>
    <row r="497" spans="1:33" ht="24.75" customHeight="1" x14ac:dyDescent="0.25">
      <c r="A497" s="109">
        <v>20240171</v>
      </c>
      <c r="B497" s="709"/>
      <c r="C497" s="109">
        <v>14228464</v>
      </c>
      <c r="D497" s="109" t="s">
        <v>316</v>
      </c>
      <c r="E497" s="109" t="s">
        <v>291</v>
      </c>
      <c r="F497" s="109" t="s">
        <v>662</v>
      </c>
      <c r="G497" s="109" t="s">
        <v>676</v>
      </c>
      <c r="H497" s="140">
        <v>1228782</v>
      </c>
      <c r="I497" s="140">
        <v>1058252</v>
      </c>
      <c r="J497" s="26">
        <f>IF(H497&lt;&gt;"",IF(AND(C497&lt;&gt;"",IFERROR(MATCH(C497,Table10[Serial No.],0),0)),0,1),0)</f>
        <v>0</v>
      </c>
      <c r="K497" s="21"/>
      <c r="L497" s="539" t="str">
        <f t="shared" ca="1" si="72"/>
        <v/>
      </c>
      <c r="S497" s="281">
        <v>2021073</v>
      </c>
      <c r="T497" s="278" t="s">
        <v>316</v>
      </c>
      <c r="U497" s="278" t="s">
        <v>695</v>
      </c>
      <c r="V497" s="25">
        <v>1</v>
      </c>
      <c r="W497" s="284">
        <v>1291870</v>
      </c>
      <c r="X497" s="19" t="str">
        <f>IFERROR(INDEX(Table14[],MATCH($W497,Table14[SAPNo],0),3),"")</f>
        <v>1613 CT186 18-60</v>
      </c>
      <c r="Y497" s="284">
        <v>69</v>
      </c>
      <c r="Z497" s="25">
        <f t="shared" si="70"/>
        <v>1</v>
      </c>
      <c r="AA497" s="25">
        <f t="shared" si="73"/>
        <v>69</v>
      </c>
      <c r="AB497" s="23">
        <f ca="1">IFERROR(INDEX('Cutters Inventory 12-30-2025'!A:W,MATCH($W497,'Cutters Inventory 12-30-2025'!B:B,0),14),0)</f>
        <v>56</v>
      </c>
      <c r="AC497" s="23">
        <f>SUMIF(Table1[LEVEL 5 MAT NO.],S497,Table1[Braze Plan])</f>
        <v>0</v>
      </c>
      <c r="AD497" s="23">
        <f>Table4[[#This Row],[Quantity]]*Table4[[#This Row],[Bits Braze Plan]]</f>
        <v>0</v>
      </c>
      <c r="AE497" s="23">
        <f ca="1">Table4[[#This Row],[INV. QTY]]-Table4[[#This Row],[Required For Braze Cutters Check]]</f>
        <v>56</v>
      </c>
      <c r="AF497" s="23">
        <f t="shared" ca="1" si="71"/>
        <v>56</v>
      </c>
      <c r="AG497" s="626"/>
    </row>
    <row r="498" spans="1:33" ht="24.75" customHeight="1" x14ac:dyDescent="0.25">
      <c r="A498" s="109">
        <v>20240206</v>
      </c>
      <c r="B498" s="608"/>
      <c r="C498" s="109">
        <v>14247174</v>
      </c>
      <c r="D498" s="109" t="s">
        <v>307</v>
      </c>
      <c r="E498" s="109" t="s">
        <v>308</v>
      </c>
      <c r="F498" s="109" t="s">
        <v>707</v>
      </c>
      <c r="G498" s="109" t="s">
        <v>676</v>
      </c>
      <c r="H498" s="140">
        <v>1224225</v>
      </c>
      <c r="I498" s="140">
        <v>1252149</v>
      </c>
      <c r="J498" s="26">
        <f>IF(H498&lt;&gt;"",IF(AND(C498&lt;&gt;"",IFERROR(MATCH(C498,Table10[Serial No.],0),0)),0,1),0)</f>
        <v>0</v>
      </c>
      <c r="K498" s="21"/>
      <c r="L498" s="539" t="str">
        <f t="shared" ca="1" si="72"/>
        <v/>
      </c>
      <c r="S498" s="281" t="s">
        <v>762</v>
      </c>
      <c r="T498" s="278" t="s">
        <v>315</v>
      </c>
      <c r="U498" s="278" t="s">
        <v>286</v>
      </c>
      <c r="V498" s="25">
        <v>2</v>
      </c>
      <c r="W498" s="284">
        <v>1146737</v>
      </c>
      <c r="X498" s="19" t="str">
        <f>IFERROR(INDEX(Table14[],MATCH($W498,Table14[SAPNo],0),3),"")</f>
        <v>1613 CT418 18-60</v>
      </c>
      <c r="Y498" s="284">
        <v>10</v>
      </c>
      <c r="Z498" s="25">
        <f t="shared" si="70"/>
        <v>0</v>
      </c>
      <c r="AA498" s="25">
        <f t="shared" si="73"/>
        <v>0</v>
      </c>
      <c r="AB498" s="23">
        <f ca="1">IFERROR(INDEX('Cutters Inventory 12-30-2025'!A:W,MATCH($W498,'Cutters Inventory 12-30-2025'!B:B,0),14),0)</f>
        <v>1281</v>
      </c>
      <c r="AC498" s="23">
        <f>SUMIF(Table1[LEVEL 5 MAT NO.],S498,Table1[Braze Plan])</f>
        <v>0</v>
      </c>
      <c r="AD498" s="23">
        <f>Table4[[#This Row],[Quantity]]*Table4[[#This Row],[Bits Braze Plan]]</f>
        <v>0</v>
      </c>
      <c r="AE498" s="23">
        <f ca="1">Table4[[#This Row],[INV. QTY]]-Table4[[#This Row],[Required For Braze Cutters Check]]</f>
        <v>1281</v>
      </c>
      <c r="AF498" s="23">
        <f t="shared" ca="1" si="71"/>
        <v>1281</v>
      </c>
      <c r="AG498" s="23"/>
    </row>
    <row r="499" spans="1:33" ht="24.75" customHeight="1" x14ac:dyDescent="0.25">
      <c r="A499" s="109">
        <v>20240206</v>
      </c>
      <c r="B499" s="608"/>
      <c r="C499" s="109">
        <v>14247175</v>
      </c>
      <c r="D499" s="109" t="s">
        <v>307</v>
      </c>
      <c r="E499" s="109" t="s">
        <v>308</v>
      </c>
      <c r="F499" s="109" t="s">
        <v>707</v>
      </c>
      <c r="G499" s="109" t="s">
        <v>676</v>
      </c>
      <c r="H499" s="140">
        <v>1224225</v>
      </c>
      <c r="I499" s="140">
        <v>1252149</v>
      </c>
      <c r="J499" s="26">
        <f>IF(H499&lt;&gt;"",IF(AND(C499&lt;&gt;"",IFERROR(MATCH(C499,Table10[Serial No.],0),0)),0,1),0)</f>
        <v>0</v>
      </c>
      <c r="K499" s="21"/>
      <c r="L499" s="539" t="str">
        <f t="shared" ca="1" si="72"/>
        <v/>
      </c>
      <c r="S499" s="281">
        <v>2021073</v>
      </c>
      <c r="T499" s="278" t="s">
        <v>316</v>
      </c>
      <c r="U499" s="278" t="s">
        <v>695</v>
      </c>
      <c r="V499" s="25">
        <v>3</v>
      </c>
      <c r="W499" s="284">
        <v>1192901</v>
      </c>
      <c r="X499" s="19" t="str">
        <f>IFERROR(INDEX(Table14[],MATCH($W499,Table14[SAPNo],0),3),"")</f>
        <v xml:space="preserve">12MM WC­MAT400 </v>
      </c>
      <c r="Y499" s="284">
        <v>27</v>
      </c>
      <c r="Z499" s="25">
        <f t="shared" si="70"/>
        <v>1</v>
      </c>
      <c r="AA499" s="25">
        <f t="shared" si="73"/>
        <v>27</v>
      </c>
      <c r="AB499" s="23">
        <f ca="1">IFERROR(INDEX('Cutters Inventory 12-30-2025'!A:W,MATCH($W499,'Cutters Inventory 12-30-2025'!B:B,0),14),0)</f>
        <v>30</v>
      </c>
      <c r="AC499" s="23">
        <f>SUMIF(Table1[LEVEL 5 MAT NO.],S499,Table1[Braze Plan])</f>
        <v>0</v>
      </c>
      <c r="AD499" s="23">
        <f>Table4[[#This Row],[Quantity]]*Table4[[#This Row],[Bits Braze Plan]]</f>
        <v>0</v>
      </c>
      <c r="AE499" s="23">
        <f ca="1">Table4[[#This Row],[INV. QTY]]-Table4[[#This Row],[Required For Braze Cutters Check]]</f>
        <v>30</v>
      </c>
      <c r="AF499" s="23">
        <f t="shared" ca="1" si="71"/>
        <v>30</v>
      </c>
      <c r="AG499" s="626"/>
    </row>
    <row r="500" spans="1:33" ht="24.75" customHeight="1" x14ac:dyDescent="0.25">
      <c r="A500" s="109">
        <v>20240206</v>
      </c>
      <c r="B500" s="608"/>
      <c r="C500" s="109">
        <v>14247176</v>
      </c>
      <c r="D500" s="109" t="s">
        <v>307</v>
      </c>
      <c r="E500" s="109" t="s">
        <v>308</v>
      </c>
      <c r="F500" s="109" t="s">
        <v>707</v>
      </c>
      <c r="G500" s="109" t="s">
        <v>676</v>
      </c>
      <c r="H500" s="140">
        <v>1224225</v>
      </c>
      <c r="I500" s="140">
        <v>1252149</v>
      </c>
      <c r="J500" s="26">
        <f>IF(H500&lt;&gt;"",IF(AND(C500&lt;&gt;"",IFERROR(MATCH(C500,Table10[Serial No.],0),0)),0,1),0)</f>
        <v>0</v>
      </c>
      <c r="K500" s="21"/>
      <c r="L500" s="539" t="str">
        <f t="shared" ca="1" si="72"/>
        <v/>
      </c>
      <c r="S500" s="281">
        <v>2021073</v>
      </c>
      <c r="T500" s="278" t="s">
        <v>316</v>
      </c>
      <c r="U500" s="278" t="s">
        <v>695</v>
      </c>
      <c r="V500" s="25">
        <v>4</v>
      </c>
      <c r="W500" s="284">
        <v>1282370</v>
      </c>
      <c r="X500" s="19" t="str">
        <f>IFERROR(INDEX(Table14[],MATCH($W500,Table14[SAPNo],0),3),"")</f>
        <v>1613 CT436Mv3 U-60</v>
      </c>
      <c r="Y500" s="284">
        <v>12</v>
      </c>
      <c r="Z500" s="25">
        <f t="shared" si="70"/>
        <v>1</v>
      </c>
      <c r="AA500" s="25">
        <f t="shared" si="73"/>
        <v>12</v>
      </c>
      <c r="AB500" s="23">
        <f ca="1">IFERROR(INDEX('Cutters Inventory 12-30-2025'!A:W,MATCH($W500,'Cutters Inventory 12-30-2025'!B:B,0),14),0)</f>
        <v>193</v>
      </c>
      <c r="AC500" s="23">
        <f>SUMIF(Table1[LEVEL 5 MAT NO.],S500,Table1[Braze Plan])</f>
        <v>0</v>
      </c>
      <c r="AD500" s="23">
        <f>Table4[[#This Row],[Quantity]]*Table4[[#This Row],[Bits Braze Plan]]</f>
        <v>0</v>
      </c>
      <c r="AE500" s="23">
        <f ca="1">Table4[[#This Row],[INV. QTY]]-Table4[[#This Row],[Required For Braze Cutters Check]]</f>
        <v>193</v>
      </c>
      <c r="AF500" s="23">
        <f t="shared" ca="1" si="71"/>
        <v>193</v>
      </c>
      <c r="AG500" s="626"/>
    </row>
    <row r="501" spans="1:33" ht="24.75" customHeight="1" x14ac:dyDescent="0.25">
      <c r="A501" s="109">
        <v>20240206</v>
      </c>
      <c r="B501" s="608"/>
      <c r="C501" s="109">
        <v>14247161</v>
      </c>
      <c r="D501" s="109" t="s">
        <v>631</v>
      </c>
      <c r="E501" s="109" t="s">
        <v>645</v>
      </c>
      <c r="F501" s="109" t="s">
        <v>764</v>
      </c>
      <c r="G501" s="109" t="s">
        <v>681</v>
      </c>
      <c r="H501" s="140">
        <v>1262047</v>
      </c>
      <c r="I501" s="140">
        <v>1235768</v>
      </c>
      <c r="J501" s="26">
        <f>IF(H501&lt;&gt;"",IF(AND(C501&lt;&gt;"",IFERROR(MATCH(C501,Table10[Serial No.],0),0)),0,1),0)</f>
        <v>0</v>
      </c>
      <c r="K501" s="21"/>
      <c r="L501" s="539" t="str">
        <f t="shared" ca="1" si="72"/>
        <v/>
      </c>
      <c r="S501" s="281">
        <v>2021073</v>
      </c>
      <c r="T501" s="278" t="s">
        <v>316</v>
      </c>
      <c r="U501" s="278" t="s">
        <v>695</v>
      </c>
      <c r="V501" s="25">
        <v>5</v>
      </c>
      <c r="W501" s="284">
        <v>871781</v>
      </c>
      <c r="X501" s="19" t="str">
        <f>IFERROR(INDEX(Table14[],MATCH($W501,Table14[SAPNo],0),3),"")</f>
        <v>Round 1313 CT200  0.018" (B)</v>
      </c>
      <c r="Y501" s="284">
        <v>7</v>
      </c>
      <c r="Z501" s="25">
        <f t="shared" si="70"/>
        <v>1</v>
      </c>
      <c r="AA501" s="25">
        <f t="shared" si="73"/>
        <v>7</v>
      </c>
      <c r="AB501" s="23">
        <f ca="1">IFERROR(INDEX('Cutters Inventory 12-30-2025'!A:W,MATCH($W501,'Cutters Inventory 12-30-2025'!B:B,0),14),0)</f>
        <v>843</v>
      </c>
      <c r="AC501" s="23">
        <f>SUMIF(Table1[LEVEL 5 MAT NO.],S501,Table1[Braze Plan])</f>
        <v>0</v>
      </c>
      <c r="AD501" s="23">
        <f>Table4[[#This Row],[Quantity]]*Table4[[#This Row],[Bits Braze Plan]]</f>
        <v>0</v>
      </c>
      <c r="AE501" s="23">
        <f ca="1">Table4[[#This Row],[INV. QTY]]-Table4[[#This Row],[Required For Braze Cutters Check]]</f>
        <v>843</v>
      </c>
      <c r="AF501" s="23">
        <f t="shared" ca="1" si="71"/>
        <v>843</v>
      </c>
      <c r="AG501" s="626"/>
    </row>
    <row r="502" spans="1:33" ht="24.75" customHeight="1" x14ac:dyDescent="0.25">
      <c r="A502" s="109">
        <v>20240206</v>
      </c>
      <c r="B502" s="608"/>
      <c r="C502" s="109">
        <v>14247162</v>
      </c>
      <c r="D502" s="109" t="s">
        <v>631</v>
      </c>
      <c r="E502" s="109" t="s">
        <v>645</v>
      </c>
      <c r="F502" s="109" t="s">
        <v>764</v>
      </c>
      <c r="G502" s="109" t="s">
        <v>681</v>
      </c>
      <c r="H502" s="140">
        <v>1262047</v>
      </c>
      <c r="I502" s="140">
        <v>1235768</v>
      </c>
      <c r="J502" s="26">
        <f>IF(H502&lt;&gt;"",IF(AND(C502&lt;&gt;"",IFERROR(MATCH(C502,Table10[Serial No.],0),0)),0,1),0)</f>
        <v>0</v>
      </c>
      <c r="K502" s="21"/>
      <c r="L502" s="539" t="str">
        <f t="shared" ca="1" si="72"/>
        <v/>
      </c>
      <c r="S502" s="281">
        <v>2021073</v>
      </c>
      <c r="T502" s="278" t="s">
        <v>316</v>
      </c>
      <c r="U502" s="278" t="s">
        <v>695</v>
      </c>
      <c r="V502" s="25">
        <v>6</v>
      </c>
      <c r="W502" s="284">
        <v>1192902</v>
      </c>
      <c r="X502" s="19" t="str">
        <f>IFERROR(INDEX(Table14[],MATCH($W502,Table14[SAPNo],0),3),"")</f>
        <v>12MM CT200NL NA</v>
      </c>
      <c r="Y502" s="284">
        <v>3</v>
      </c>
      <c r="Z502" s="25">
        <f t="shared" si="70"/>
        <v>1</v>
      </c>
      <c r="AA502" s="25">
        <f t="shared" si="73"/>
        <v>3</v>
      </c>
      <c r="AB502" s="23">
        <f ca="1">IFERROR(INDEX('Cutters Inventory 12-30-2025'!A:W,MATCH($W502,'Cutters Inventory 12-30-2025'!B:B,0),14),0)</f>
        <v>63</v>
      </c>
      <c r="AC502" s="23">
        <f>SUMIF(Table1[LEVEL 5 MAT NO.],S502,Table1[Braze Plan])</f>
        <v>0</v>
      </c>
      <c r="AD502" s="23">
        <f>Table4[[#This Row],[Quantity]]*Table4[[#This Row],[Bits Braze Plan]]</f>
        <v>0</v>
      </c>
      <c r="AE502" s="23">
        <f ca="1">Table4[[#This Row],[INV. QTY]]-Table4[[#This Row],[Required For Braze Cutters Check]]</f>
        <v>63</v>
      </c>
      <c r="AF502" s="23">
        <f t="shared" ca="1" si="71"/>
        <v>63</v>
      </c>
      <c r="AG502" s="626"/>
    </row>
    <row r="503" spans="1:33" ht="24.75" customHeight="1" x14ac:dyDescent="0.25">
      <c r="A503" s="109">
        <v>20240206</v>
      </c>
      <c r="B503" s="608"/>
      <c r="C503" s="109">
        <v>14247164</v>
      </c>
      <c r="D503" s="109" t="s">
        <v>309</v>
      </c>
      <c r="E503" s="109" t="s">
        <v>311</v>
      </c>
      <c r="F503" s="109" t="s">
        <v>732</v>
      </c>
      <c r="G503" s="109" t="s">
        <v>676</v>
      </c>
      <c r="H503" s="140">
        <v>1145824</v>
      </c>
      <c r="I503" s="140">
        <v>1137349</v>
      </c>
      <c r="J503" s="26">
        <f>IF(H503&lt;&gt;"",IF(AND(C503&lt;&gt;"",IFERROR(MATCH(C503,Table10[Serial No.],0),0)),0,1),0)</f>
        <v>0</v>
      </c>
      <c r="K503" s="21"/>
      <c r="L503" s="539" t="str">
        <f t="shared" ca="1" si="72"/>
        <v/>
      </c>
      <c r="S503" s="281">
        <v>1266749</v>
      </c>
      <c r="T503" s="278" t="s">
        <v>316</v>
      </c>
      <c r="U503" s="278" t="s">
        <v>721</v>
      </c>
      <c r="V503" s="25">
        <v>1</v>
      </c>
      <c r="W503" s="284">
        <v>1296685</v>
      </c>
      <c r="X503" s="19" t="str">
        <f>IFERROR(INDEX(Table14[],MATCH($W503,Table14[SAPNo],0),3),"")</f>
        <v>1613 CT179R U</v>
      </c>
      <c r="Y503" s="284">
        <v>37</v>
      </c>
      <c r="Z503" s="25">
        <f t="shared" si="70"/>
        <v>2</v>
      </c>
      <c r="AA503" s="25">
        <f t="shared" si="73"/>
        <v>74</v>
      </c>
      <c r="AB503" s="23">
        <f ca="1">IFERROR(INDEX('Cutters Inventory 12-30-2025'!A:W,MATCH($W503,'Cutters Inventory 12-30-2025'!B:B,0),14),0)</f>
        <v>196</v>
      </c>
      <c r="AC503" s="23">
        <f>SUMIF(Table1[LEVEL 5 MAT NO.],S503,Table1[Braze Plan])</f>
        <v>0</v>
      </c>
      <c r="AD503" s="23">
        <f>Table4[[#This Row],[Quantity]]*Table4[[#This Row],[Bits Braze Plan]]</f>
        <v>0</v>
      </c>
      <c r="AE503" s="23">
        <f ca="1">Table4[[#This Row],[INV. QTY]]-Table4[[#This Row],[Required For Braze Cutters Check]]</f>
        <v>196</v>
      </c>
      <c r="AF503" s="23">
        <f t="shared" ca="1" si="71"/>
        <v>196</v>
      </c>
      <c r="AG503" s="626"/>
    </row>
    <row r="504" spans="1:33" ht="24.75" customHeight="1" x14ac:dyDescent="0.25">
      <c r="A504" s="109">
        <v>20240206</v>
      </c>
      <c r="B504" s="608"/>
      <c r="C504" s="109">
        <v>14247163</v>
      </c>
      <c r="D504" s="109" t="s">
        <v>309</v>
      </c>
      <c r="E504" s="109" t="s">
        <v>311</v>
      </c>
      <c r="F504" s="109" t="s">
        <v>732</v>
      </c>
      <c r="G504" s="109" t="s">
        <v>676</v>
      </c>
      <c r="H504" s="140">
        <v>1145824</v>
      </c>
      <c r="I504" s="140">
        <v>1137349</v>
      </c>
      <c r="J504" s="26">
        <f>IF(H504&lt;&gt;"",IF(AND(C504&lt;&gt;"",IFERROR(MATCH(C504,Table10[Serial No.],0),0)),0,1),0)</f>
        <v>0</v>
      </c>
      <c r="K504" s="21"/>
      <c r="L504" s="539" t="str">
        <f t="shared" ca="1" si="72"/>
        <v/>
      </c>
      <c r="S504" s="281">
        <v>1266749</v>
      </c>
      <c r="T504" s="278" t="s">
        <v>316</v>
      </c>
      <c r="U504" s="278" t="s">
        <v>721</v>
      </c>
      <c r="V504" s="25">
        <v>2</v>
      </c>
      <c r="W504" s="284">
        <v>647436</v>
      </c>
      <c r="X504" s="19" t="str">
        <f>IFERROR(INDEX(Table14[],MATCH($W504,Table14[SAPNo],0),3),"")</f>
        <v>Round 1613 CT200  0.018" (B)</v>
      </c>
      <c r="Y504" s="284">
        <v>33</v>
      </c>
      <c r="Z504" s="25">
        <f t="shared" si="70"/>
        <v>2</v>
      </c>
      <c r="AA504" s="25">
        <f t="shared" si="73"/>
        <v>66</v>
      </c>
      <c r="AB504" s="23">
        <f ca="1">IFERROR(INDEX('Cutters Inventory 12-30-2025'!A:W,MATCH($W504,'Cutters Inventory 12-30-2025'!B:B,0),14),0)</f>
        <v>412</v>
      </c>
      <c r="AC504" s="23">
        <f>SUMIF(Table1[LEVEL 5 MAT NO.],S504,Table1[Braze Plan])</f>
        <v>0</v>
      </c>
      <c r="AD504" s="23">
        <f>Table4[[#This Row],[Quantity]]*Table4[[#This Row],[Bits Braze Plan]]</f>
        <v>0</v>
      </c>
      <c r="AE504" s="23">
        <f ca="1">Table4[[#This Row],[INV. QTY]]-Table4[[#This Row],[Required For Braze Cutters Check]]</f>
        <v>412</v>
      </c>
      <c r="AF504" s="23">
        <f t="shared" ca="1" si="71"/>
        <v>412</v>
      </c>
      <c r="AG504" s="626"/>
    </row>
    <row r="505" spans="1:33" ht="24.75" customHeight="1" x14ac:dyDescent="0.25">
      <c r="A505" s="109">
        <v>20240206</v>
      </c>
      <c r="B505" s="608"/>
      <c r="C505" s="109">
        <v>14247166</v>
      </c>
      <c r="D505" s="109" t="s">
        <v>309</v>
      </c>
      <c r="E505" s="109" t="s">
        <v>256</v>
      </c>
      <c r="F505" s="109" t="s">
        <v>764</v>
      </c>
      <c r="G505" s="109" t="s">
        <v>681</v>
      </c>
      <c r="H505" s="140">
        <v>1198387</v>
      </c>
      <c r="I505" s="140">
        <v>1160951</v>
      </c>
      <c r="J505" s="26">
        <f>IF(H505&lt;&gt;"",IF(AND(C505&lt;&gt;"",IFERROR(MATCH(C505,Table10[Serial No.],0),0)),0,1),0)</f>
        <v>0</v>
      </c>
      <c r="K505" s="21"/>
      <c r="L505" s="539" t="str">
        <f t="shared" ca="1" si="72"/>
        <v/>
      </c>
      <c r="S505" s="281">
        <v>1266749</v>
      </c>
      <c r="T505" s="278" t="s">
        <v>316</v>
      </c>
      <c r="U505" s="278" t="s">
        <v>721</v>
      </c>
      <c r="V505" s="25">
        <v>3</v>
      </c>
      <c r="W505" s="284">
        <v>625854</v>
      </c>
      <c r="X505" s="19" t="str">
        <f>IFERROR(INDEX(Table14[],MATCH($W505,Table14[SAPNo],0),3),"")</f>
        <v>Carbide IA 1318    (C)</v>
      </c>
      <c r="Y505" s="284">
        <v>19</v>
      </c>
      <c r="Z505" s="25">
        <f t="shared" si="70"/>
        <v>2</v>
      </c>
      <c r="AA505" s="25">
        <f t="shared" si="73"/>
        <v>38</v>
      </c>
      <c r="AB505" s="23">
        <f ca="1">IFERROR(INDEX('Cutters Inventory 12-30-2025'!A:W,MATCH($W505,'Cutters Inventory 12-30-2025'!B:B,0),14),0)</f>
        <v>74</v>
      </c>
      <c r="AC505" s="23">
        <f>SUMIF(Table1[LEVEL 5 MAT NO.],S505,Table1[Braze Plan])</f>
        <v>0</v>
      </c>
      <c r="AD505" s="23">
        <f>Table4[[#This Row],[Quantity]]*Table4[[#This Row],[Bits Braze Plan]]</f>
        <v>0</v>
      </c>
      <c r="AE505" s="23">
        <f ca="1">Table4[[#This Row],[INV. QTY]]-Table4[[#This Row],[Required For Braze Cutters Check]]</f>
        <v>74</v>
      </c>
      <c r="AF505" s="23">
        <f t="shared" ca="1" si="71"/>
        <v>74</v>
      </c>
      <c r="AG505" s="626"/>
    </row>
    <row r="506" spans="1:33" ht="24.75" customHeight="1" x14ac:dyDescent="0.25">
      <c r="A506" s="109">
        <v>20240206</v>
      </c>
      <c r="B506" s="608"/>
      <c r="C506" s="109">
        <v>14247165</v>
      </c>
      <c r="D506" s="109" t="s">
        <v>309</v>
      </c>
      <c r="E506" s="109" t="s">
        <v>256</v>
      </c>
      <c r="F506" s="109" t="s">
        <v>764</v>
      </c>
      <c r="G506" s="109" t="s">
        <v>681</v>
      </c>
      <c r="H506" s="140">
        <v>1198387</v>
      </c>
      <c r="I506" s="140">
        <v>1160951</v>
      </c>
      <c r="J506" s="26">
        <f>IF(H506&lt;&gt;"",IF(AND(C506&lt;&gt;"",IFERROR(MATCH(C506,Table10[Serial No.],0),0)),0,1),0)</f>
        <v>0</v>
      </c>
      <c r="K506" s="21"/>
      <c r="L506" s="539" t="str">
        <f t="shared" ca="1" si="72"/>
        <v/>
      </c>
      <c r="S506" s="281">
        <v>1266749</v>
      </c>
      <c r="T506" s="278" t="s">
        <v>316</v>
      </c>
      <c r="U506" s="278" t="s">
        <v>721</v>
      </c>
      <c r="V506" s="25">
        <v>4</v>
      </c>
      <c r="W506" s="284">
        <v>1288783</v>
      </c>
      <c r="X506" s="19" t="str">
        <f>IFERROR(INDEX(Table14[],MATCH($W506,Table14[SAPNo],0),3),"")</f>
        <v>1613 CT179 18-60</v>
      </c>
      <c r="Y506" s="284">
        <v>15</v>
      </c>
      <c r="Z506" s="25">
        <f t="shared" si="70"/>
        <v>2</v>
      </c>
      <c r="AA506" s="25">
        <f t="shared" si="73"/>
        <v>30</v>
      </c>
      <c r="AB506" s="23">
        <f ca="1">IFERROR(INDEX('Cutters Inventory 12-30-2025'!A:W,MATCH($W506,'Cutters Inventory 12-30-2025'!B:B,0),14),0)</f>
        <v>813</v>
      </c>
      <c r="AC506" s="23">
        <f>SUMIF(Table1[LEVEL 5 MAT NO.],S506,Table1[Braze Plan])</f>
        <v>0</v>
      </c>
      <c r="AD506" s="23">
        <f>Table4[[#This Row],[Quantity]]*Table4[[#This Row],[Bits Braze Plan]]</f>
        <v>0</v>
      </c>
      <c r="AE506" s="23">
        <f ca="1">Table4[[#This Row],[INV. QTY]]-Table4[[#This Row],[Required For Braze Cutters Check]]</f>
        <v>813</v>
      </c>
      <c r="AF506" s="23">
        <f t="shared" ca="1" si="71"/>
        <v>813</v>
      </c>
      <c r="AG506" s="626"/>
    </row>
    <row r="507" spans="1:33" ht="24.75" customHeight="1" x14ac:dyDescent="0.25">
      <c r="A507" s="109">
        <v>20240206</v>
      </c>
      <c r="B507" s="709"/>
      <c r="C507" s="109">
        <v>14247168</v>
      </c>
      <c r="D507" s="109" t="s">
        <v>313</v>
      </c>
      <c r="E507" s="109" t="s">
        <v>647</v>
      </c>
      <c r="F507" s="109" t="s">
        <v>715</v>
      </c>
      <c r="G507" s="109" t="s">
        <v>676</v>
      </c>
      <c r="H507" s="140">
        <v>1245357</v>
      </c>
      <c r="I507" s="140" t="s">
        <v>716</v>
      </c>
      <c r="J507" s="26">
        <f>IF(H507&lt;&gt;"",IF(AND(C507&lt;&gt;"",IFERROR(MATCH(C507,Table10[Serial No.],0),0)),0,1),0)</f>
        <v>0</v>
      </c>
      <c r="K507" s="21"/>
      <c r="L507" s="539" t="str">
        <f t="shared" si="72"/>
        <v/>
      </c>
      <c r="S507" s="281">
        <v>1266749</v>
      </c>
      <c r="T507" s="278" t="s">
        <v>316</v>
      </c>
      <c r="U507" s="278" t="s">
        <v>721</v>
      </c>
      <c r="V507" s="25">
        <v>5</v>
      </c>
      <c r="W507" s="284">
        <v>1146738</v>
      </c>
      <c r="X507" s="19" t="str">
        <f>IFERROR(INDEX(Table14[],MATCH($W507,Table14[SAPNo],0),3),"")</f>
        <v>1913 CT418 18-60</v>
      </c>
      <c r="Y507" s="284">
        <v>13</v>
      </c>
      <c r="Z507" s="25">
        <f t="shared" si="70"/>
        <v>2</v>
      </c>
      <c r="AA507" s="25">
        <f t="shared" si="73"/>
        <v>26</v>
      </c>
      <c r="AB507" s="23">
        <f ca="1">IFERROR(INDEX('Cutters Inventory 12-30-2025'!A:W,MATCH($W507,'Cutters Inventory 12-30-2025'!B:B,0),14),0)</f>
        <v>76</v>
      </c>
      <c r="AC507" s="23">
        <f>SUMIF(Table1[LEVEL 5 MAT NO.],S507,Table1[Braze Plan])</f>
        <v>0</v>
      </c>
      <c r="AD507" s="23">
        <f>Table4[[#This Row],[Quantity]]*Table4[[#This Row],[Bits Braze Plan]]</f>
        <v>0</v>
      </c>
      <c r="AE507" s="23">
        <f ca="1">Table4[[#This Row],[INV. QTY]]-Table4[[#This Row],[Required For Braze Cutters Check]]</f>
        <v>76</v>
      </c>
      <c r="AF507" s="23">
        <f t="shared" ca="1" si="71"/>
        <v>76</v>
      </c>
      <c r="AG507" s="626"/>
    </row>
    <row r="508" spans="1:33" ht="24.75" customHeight="1" x14ac:dyDescent="0.25">
      <c r="A508" s="109">
        <v>20240206</v>
      </c>
      <c r="B508" s="709"/>
      <c r="C508" s="109">
        <v>14247167</v>
      </c>
      <c r="D508" s="109" t="s">
        <v>313</v>
      </c>
      <c r="E508" s="109" t="s">
        <v>647</v>
      </c>
      <c r="F508" s="109" t="s">
        <v>715</v>
      </c>
      <c r="G508" s="109" t="s">
        <v>676</v>
      </c>
      <c r="H508" s="140">
        <v>1245357</v>
      </c>
      <c r="I508" s="140" t="s">
        <v>716</v>
      </c>
      <c r="J508" s="26">
        <f>IF(H508&lt;&gt;"",IF(AND(C508&lt;&gt;"",IFERROR(MATCH(C508,Table10[Serial No.],0),0)),0,1),0)</f>
        <v>0</v>
      </c>
      <c r="K508" s="21"/>
      <c r="L508" s="539" t="str">
        <f t="shared" si="72"/>
        <v/>
      </c>
      <c r="S508" s="281" t="s">
        <v>692</v>
      </c>
      <c r="T508" s="278" t="s">
        <v>637</v>
      </c>
      <c r="U508" s="278" t="s">
        <v>287</v>
      </c>
      <c r="V508" s="25">
        <v>4</v>
      </c>
      <c r="W508" s="284">
        <v>1146737</v>
      </c>
      <c r="X508" s="19" t="str">
        <f>IFERROR(INDEX(Table14[],MATCH($W508,Table14[SAPNo],0),3),"")</f>
        <v>1613 CT418 18-60</v>
      </c>
      <c r="Y508" s="284">
        <v>8</v>
      </c>
      <c r="Z508" s="25">
        <f t="shared" si="70"/>
        <v>0</v>
      </c>
      <c r="AA508" s="25">
        <f t="shared" si="73"/>
        <v>0</v>
      </c>
      <c r="AB508" s="23">
        <f ca="1">IFERROR(INDEX('Cutters Inventory 12-30-2025'!A:W,MATCH($W508,'Cutters Inventory 12-30-2025'!B:B,0),14),0)</f>
        <v>1281</v>
      </c>
      <c r="AC508" s="23">
        <f>SUMIF(Table1[LEVEL 5 MAT NO.],S508,Table1[Braze Plan])</f>
        <v>0</v>
      </c>
      <c r="AD508" s="23">
        <f>Table4[[#This Row],[Quantity]]*Table4[[#This Row],[Bits Braze Plan]]</f>
        <v>0</v>
      </c>
      <c r="AE508" s="23">
        <f ca="1">Table4[[#This Row],[INV. QTY]]-Table4[[#This Row],[Required For Braze Cutters Check]]</f>
        <v>1281</v>
      </c>
      <c r="AF508" s="23">
        <f t="shared" ca="1" si="71"/>
        <v>1281</v>
      </c>
      <c r="AG508" s="23"/>
    </row>
    <row r="509" spans="1:33" ht="24.75" customHeight="1" x14ac:dyDescent="0.25">
      <c r="A509" s="109">
        <v>20240206</v>
      </c>
      <c r="B509" s="608"/>
      <c r="C509" s="109">
        <v>14247169</v>
      </c>
      <c r="D509" s="109" t="s">
        <v>313</v>
      </c>
      <c r="E509" s="109" t="s">
        <v>647</v>
      </c>
      <c r="F509" s="109" t="s">
        <v>715</v>
      </c>
      <c r="G509" s="109" t="s">
        <v>676</v>
      </c>
      <c r="H509" s="140">
        <v>1245357</v>
      </c>
      <c r="I509" s="140" t="s">
        <v>716</v>
      </c>
      <c r="J509" s="26">
        <f>IF(H509&lt;&gt;"",IF(AND(C509&lt;&gt;"",IFERROR(MATCH(C509,Table10[Serial No.],0),0)),0,1),0)</f>
        <v>0</v>
      </c>
      <c r="K509" s="21"/>
      <c r="L509" s="539" t="str">
        <f t="shared" si="72"/>
        <v/>
      </c>
      <c r="S509" s="281">
        <v>1266749</v>
      </c>
      <c r="T509" s="278" t="s">
        <v>316</v>
      </c>
      <c r="U509" s="278" t="s">
        <v>721</v>
      </c>
      <c r="V509" s="25">
        <v>7</v>
      </c>
      <c r="W509" s="284">
        <v>871781</v>
      </c>
      <c r="X509" s="19" t="str">
        <f>IFERROR(INDEX(Table14[],MATCH($W509,Table14[SAPNo],0),3),"")</f>
        <v>Round 1313 CT200  0.018" (B)</v>
      </c>
      <c r="Y509" s="284">
        <v>7</v>
      </c>
      <c r="Z509" s="25">
        <f t="shared" si="70"/>
        <v>2</v>
      </c>
      <c r="AA509" s="25">
        <f t="shared" si="73"/>
        <v>14</v>
      </c>
      <c r="AB509" s="23">
        <f ca="1">IFERROR(INDEX('Cutters Inventory 12-30-2025'!A:W,MATCH($W509,'Cutters Inventory 12-30-2025'!B:B,0),14),0)</f>
        <v>843</v>
      </c>
      <c r="AC509" s="23">
        <f>SUMIF(Table1[LEVEL 5 MAT NO.],S509,Table1[Braze Plan])</f>
        <v>0</v>
      </c>
      <c r="AD509" s="23">
        <f>Table4[[#This Row],[Quantity]]*Table4[[#This Row],[Bits Braze Plan]]</f>
        <v>0</v>
      </c>
      <c r="AE509" s="23">
        <f ca="1">Table4[[#This Row],[INV. QTY]]-Table4[[#This Row],[Required For Braze Cutters Check]]</f>
        <v>843</v>
      </c>
      <c r="AF509" s="23">
        <f t="shared" ca="1" si="71"/>
        <v>843</v>
      </c>
      <c r="AG509" s="626"/>
    </row>
    <row r="510" spans="1:33" ht="24.75" customHeight="1" x14ac:dyDescent="0.25">
      <c r="A510" s="109">
        <v>20240206</v>
      </c>
      <c r="B510" s="608"/>
      <c r="C510" s="109">
        <v>14247170</v>
      </c>
      <c r="D510" s="109" t="s">
        <v>624</v>
      </c>
      <c r="E510" s="109" t="s">
        <v>282</v>
      </c>
      <c r="F510" s="109" t="s">
        <v>715</v>
      </c>
      <c r="G510" s="109" t="s">
        <v>676</v>
      </c>
      <c r="H510" s="140">
        <v>1145822</v>
      </c>
      <c r="I510" s="140">
        <v>1086630</v>
      </c>
      <c r="J510" s="26">
        <f>IF(H510&lt;&gt;"",IF(AND(C510&lt;&gt;"",IFERROR(MATCH(C510,Table10[Serial No.],0),0)),0,1),0)</f>
        <v>0</v>
      </c>
      <c r="K510" s="21"/>
      <c r="L510" s="539" t="str">
        <f t="shared" ca="1" si="72"/>
        <v/>
      </c>
      <c r="S510" s="281" t="s">
        <v>775</v>
      </c>
      <c r="T510" s="278" t="s">
        <v>313</v>
      </c>
      <c r="U510" s="278" t="s">
        <v>314</v>
      </c>
      <c r="V510" s="25">
        <v>1</v>
      </c>
      <c r="W510" s="284">
        <v>1126402</v>
      </c>
      <c r="X510" s="19" t="str">
        <f>IFERROR(INDEX(Table14[],MATCH($W510,Table14[SAPNo],0),3),"")</f>
        <v>1613 CT421 16-60</v>
      </c>
      <c r="Y510" s="284">
        <v>33</v>
      </c>
      <c r="Z510" s="25">
        <f t="shared" si="70"/>
        <v>2</v>
      </c>
      <c r="AA510" s="25">
        <f t="shared" si="73"/>
        <v>66</v>
      </c>
      <c r="AB510" s="23">
        <f ca="1">IFERROR(INDEX('Cutters Inventory 12-30-2025'!A:W,MATCH($W510,'Cutters Inventory 12-30-2025'!B:B,0),14),0)</f>
        <v>422</v>
      </c>
      <c r="AC510" s="23">
        <f>SUMIF(Table1[LEVEL 5 MAT NO.],S510,Table1[Braze Plan])</f>
        <v>0</v>
      </c>
      <c r="AD510" s="23">
        <f>Table4[[#This Row],[Quantity]]*Table4[[#This Row],[Bits Braze Plan]]</f>
        <v>0</v>
      </c>
      <c r="AE510" s="23">
        <f ca="1">Table4[[#This Row],[INV. QTY]]-Table4[[#This Row],[Required For Braze Cutters Check]]</f>
        <v>422</v>
      </c>
      <c r="AF510" s="23">
        <f t="shared" ca="1" si="71"/>
        <v>422</v>
      </c>
      <c r="AG510" s="626"/>
    </row>
    <row r="511" spans="1:33" ht="24.75" customHeight="1" x14ac:dyDescent="0.25">
      <c r="A511" s="109">
        <v>20240206</v>
      </c>
      <c r="B511" s="608"/>
      <c r="C511" s="109">
        <v>14247228</v>
      </c>
      <c r="D511" s="109" t="s">
        <v>624</v>
      </c>
      <c r="E511" s="109" t="s">
        <v>663</v>
      </c>
      <c r="F511" s="109" t="s">
        <v>764</v>
      </c>
      <c r="G511" s="109" t="s">
        <v>681</v>
      </c>
      <c r="H511" s="140">
        <v>1269498</v>
      </c>
      <c r="I511" s="140">
        <v>1276939</v>
      </c>
      <c r="J511" s="26">
        <f>IF(H511&lt;&gt;"",IF(AND(C511&lt;&gt;"",IFERROR(MATCH(C511,Table10[Serial No.],0),0)),0,1),0)</f>
        <v>0</v>
      </c>
      <c r="K511" s="21"/>
      <c r="L511" s="539" t="str">
        <f t="shared" ca="1" si="72"/>
        <v/>
      </c>
      <c r="S511" s="281" t="s">
        <v>775</v>
      </c>
      <c r="T511" s="278" t="s">
        <v>313</v>
      </c>
      <c r="U511" s="278" t="s">
        <v>314</v>
      </c>
      <c r="V511" s="25">
        <v>2</v>
      </c>
      <c r="W511" s="284">
        <v>647435</v>
      </c>
      <c r="X511" s="19" t="str">
        <f>IFERROR(INDEX(Table14[],MATCH($W511,Table14[SAPNo],0),3),"")</f>
        <v>Round 1608 CT200  0.018" (B)</v>
      </c>
      <c r="Y511" s="284">
        <v>23</v>
      </c>
      <c r="Z511" s="25">
        <f t="shared" si="70"/>
        <v>2</v>
      </c>
      <c r="AA511" s="25">
        <f t="shared" si="73"/>
        <v>46</v>
      </c>
      <c r="AB511" s="23">
        <f ca="1">IFERROR(INDEX('Cutters Inventory 12-30-2025'!A:W,MATCH($W511,'Cutters Inventory 12-30-2025'!B:B,0),14),0)</f>
        <v>284</v>
      </c>
      <c r="AC511" s="23">
        <f>SUMIF(Table1[LEVEL 5 MAT NO.],S511,Table1[Braze Plan])</f>
        <v>0</v>
      </c>
      <c r="AD511" s="23">
        <f>Table4[[#This Row],[Quantity]]*Table4[[#This Row],[Bits Braze Plan]]</f>
        <v>0</v>
      </c>
      <c r="AE511" s="23">
        <f ca="1">Table4[[#This Row],[INV. QTY]]-Table4[[#This Row],[Required For Braze Cutters Check]]</f>
        <v>284</v>
      </c>
      <c r="AF511" s="23">
        <f t="shared" ca="1" si="71"/>
        <v>284</v>
      </c>
      <c r="AG511" s="626"/>
    </row>
    <row r="512" spans="1:33" ht="24.75" customHeight="1" x14ac:dyDescent="0.25">
      <c r="A512" s="109">
        <v>20240206</v>
      </c>
      <c r="B512" s="608"/>
      <c r="C512" s="109">
        <v>14247229</v>
      </c>
      <c r="D512" s="109" t="s">
        <v>624</v>
      </c>
      <c r="E512" s="109" t="s">
        <v>663</v>
      </c>
      <c r="F512" s="109" t="s">
        <v>764</v>
      </c>
      <c r="G512" s="109" t="s">
        <v>681</v>
      </c>
      <c r="H512" s="140">
        <v>1269498</v>
      </c>
      <c r="I512" s="140">
        <v>1276939</v>
      </c>
      <c r="J512" s="26">
        <f>IF(H512&lt;&gt;"",IF(AND(C512&lt;&gt;"",IFERROR(MATCH(C512,Table10[Serial No.],0),0)),0,1),0)</f>
        <v>0</v>
      </c>
      <c r="K512" s="21"/>
      <c r="L512" s="539" t="str">
        <f t="shared" ca="1" si="72"/>
        <v/>
      </c>
      <c r="S512" s="281" t="s">
        <v>775</v>
      </c>
      <c r="T512" s="278" t="s">
        <v>313</v>
      </c>
      <c r="U512" s="278" t="s">
        <v>314</v>
      </c>
      <c r="V512" s="25">
        <v>3</v>
      </c>
      <c r="W512" s="284">
        <v>871781</v>
      </c>
      <c r="X512" s="19" t="str">
        <f>IFERROR(INDEX(Table14[],MATCH($W512,Table14[SAPNo],0),3),"")</f>
        <v>Round 1313 CT200  0.018" (B)</v>
      </c>
      <c r="Y512" s="284">
        <v>6</v>
      </c>
      <c r="Z512" s="25">
        <f t="shared" si="70"/>
        <v>2</v>
      </c>
      <c r="AA512" s="25">
        <f t="shared" si="73"/>
        <v>12</v>
      </c>
      <c r="AB512" s="23">
        <f ca="1">IFERROR(INDEX('Cutters Inventory 12-30-2025'!A:W,MATCH($W512,'Cutters Inventory 12-30-2025'!B:B,0),14),0)</f>
        <v>843</v>
      </c>
      <c r="AC512" s="23">
        <f>SUMIF(Table1[LEVEL 5 MAT NO.],S512,Table1[Braze Plan])</f>
        <v>0</v>
      </c>
      <c r="AD512" s="23">
        <f>Table4[[#This Row],[Quantity]]*Table4[[#This Row],[Bits Braze Plan]]</f>
        <v>0</v>
      </c>
      <c r="AE512" s="23">
        <f ca="1">Table4[[#This Row],[INV. QTY]]-Table4[[#This Row],[Required For Braze Cutters Check]]</f>
        <v>843</v>
      </c>
      <c r="AF512" s="23">
        <f t="shared" ca="1" si="71"/>
        <v>843</v>
      </c>
      <c r="AG512" s="626"/>
    </row>
    <row r="513" spans="1:33" ht="24.75" customHeight="1" x14ac:dyDescent="0.25">
      <c r="A513" s="109">
        <v>20240206</v>
      </c>
      <c r="B513" s="608"/>
      <c r="C513" s="109">
        <v>14247230</v>
      </c>
      <c r="D513" s="109" t="s">
        <v>624</v>
      </c>
      <c r="E513" s="109" t="s">
        <v>663</v>
      </c>
      <c r="F513" s="109" t="s">
        <v>764</v>
      </c>
      <c r="G513" s="109" t="s">
        <v>681</v>
      </c>
      <c r="H513" s="140">
        <v>1269498</v>
      </c>
      <c r="I513" s="140">
        <v>1276939</v>
      </c>
      <c r="J513" s="26">
        <f>IF(H513&lt;&gt;"",IF(AND(C513&lt;&gt;"",IFERROR(MATCH(C513,Table10[Serial No.],0),0)),0,1),0)</f>
        <v>0</v>
      </c>
      <c r="K513" s="21"/>
      <c r="L513" s="539" t="str">
        <f t="shared" ca="1" si="72"/>
        <v/>
      </c>
      <c r="S513" s="281" t="s">
        <v>761</v>
      </c>
      <c r="T513" s="278" t="s">
        <v>315</v>
      </c>
      <c r="U513" s="278" t="s">
        <v>286</v>
      </c>
      <c r="V513" s="25">
        <v>3</v>
      </c>
      <c r="W513" s="284">
        <v>1146737</v>
      </c>
      <c r="X513" s="19" t="str">
        <f>IFERROR(INDEX(Table14[],MATCH($W513,Table14[SAPNo],0),3),"")</f>
        <v>1613 CT418 18-60</v>
      </c>
      <c r="Y513" s="284">
        <v>10</v>
      </c>
      <c r="Z513" s="25">
        <f t="shared" si="70"/>
        <v>1</v>
      </c>
      <c r="AA513" s="25">
        <f t="shared" si="73"/>
        <v>10</v>
      </c>
      <c r="AB513" s="23">
        <f ca="1">IFERROR(INDEX('Cutters Inventory 12-30-2025'!A:W,MATCH($W513,'Cutters Inventory 12-30-2025'!B:B,0),14),0)</f>
        <v>1281</v>
      </c>
      <c r="AC513" s="23">
        <f>SUMIF(Table1[LEVEL 5 MAT NO.],S513,Table1[Braze Plan])</f>
        <v>0</v>
      </c>
      <c r="AD513" s="23">
        <f>Table4[[#This Row],[Quantity]]*Table4[[#This Row],[Bits Braze Plan]]</f>
        <v>0</v>
      </c>
      <c r="AE513" s="23">
        <f ca="1">Table4[[#This Row],[INV. QTY]]-Table4[[#This Row],[Required For Braze Cutters Check]]</f>
        <v>1281</v>
      </c>
      <c r="AF513" s="23">
        <f t="shared" ca="1" si="71"/>
        <v>1281</v>
      </c>
      <c r="AG513" s="23"/>
    </row>
    <row r="514" spans="1:33" ht="24.75" customHeight="1" x14ac:dyDescent="0.25">
      <c r="A514" s="109">
        <v>20240206</v>
      </c>
      <c r="B514" s="608"/>
      <c r="C514" s="109">
        <v>14247231</v>
      </c>
      <c r="D514" s="109" t="s">
        <v>624</v>
      </c>
      <c r="E514" s="109" t="s">
        <v>663</v>
      </c>
      <c r="F514" s="109" t="s">
        <v>764</v>
      </c>
      <c r="G514" s="109" t="s">
        <v>681</v>
      </c>
      <c r="H514" s="140">
        <v>1269498</v>
      </c>
      <c r="I514" s="140">
        <v>1276939</v>
      </c>
      <c r="J514" s="26">
        <f>IF(H514&lt;&gt;"",IF(AND(C514&lt;&gt;"",IFERROR(MATCH(C514,Table10[Serial No.],0),0)),0,1),0)</f>
        <v>0</v>
      </c>
      <c r="K514" s="21"/>
      <c r="L514" s="539" t="str">
        <f t="shared" ca="1" si="72"/>
        <v/>
      </c>
      <c r="S514" s="281" t="s">
        <v>718</v>
      </c>
      <c r="T514" s="278" t="s">
        <v>315</v>
      </c>
      <c r="U514" s="278" t="s">
        <v>695</v>
      </c>
      <c r="V514" s="25">
        <v>2</v>
      </c>
      <c r="W514" s="284">
        <v>1282370</v>
      </c>
      <c r="X514" s="19" t="str">
        <f>IFERROR(INDEX(Table14[],MATCH($W514,Table14[SAPNo],0),3),"")</f>
        <v>1613 CT436Mv3 U-60</v>
      </c>
      <c r="Y514" s="284">
        <v>13</v>
      </c>
      <c r="Z514" s="25">
        <f t="shared" ref="Z514:Z519" si="76">IFERROR(INDEX($O$2:$P$400,MATCH($S514,$O$2:$O$93,0),2),0)</f>
        <v>1</v>
      </c>
      <c r="AA514" s="25">
        <f t="shared" ref="AA514:AA519" si="77">Y514*Z514</f>
        <v>13</v>
      </c>
      <c r="AB514" s="23">
        <f ca="1">IFERROR(INDEX('Cutters Inventory 12-30-2025'!A:W,MATCH($W514,'Cutters Inventory 12-30-2025'!B:B,0),14),0)</f>
        <v>193</v>
      </c>
      <c r="AC514" s="23">
        <f>SUMIF(Table1[LEVEL 5 MAT NO.],S514,Table1[Braze Plan])</f>
        <v>0</v>
      </c>
      <c r="AD514" s="23">
        <f>Table4[[#This Row],[Quantity]]*Table4[[#This Row],[Bits Braze Plan]]</f>
        <v>0</v>
      </c>
      <c r="AE514" s="23">
        <f ca="1">Table4[[#This Row],[INV. QTY]]-Table4[[#This Row],[Required For Braze Cutters Check]]</f>
        <v>193</v>
      </c>
      <c r="AF514" s="23">
        <f t="shared" ref="AF514:AF543" ca="1" si="78">IFERROR(INDEX($AJ$2:$AO$136,MATCH($W514,$AJ$2:$AJ$136,0),5),0)</f>
        <v>193</v>
      </c>
      <c r="AG514" s="626"/>
    </row>
    <row r="515" spans="1:33" ht="24.75" customHeight="1" x14ac:dyDescent="0.25">
      <c r="A515" s="109">
        <v>20240206</v>
      </c>
      <c r="B515" s="608"/>
      <c r="C515" s="109">
        <v>14247233</v>
      </c>
      <c r="D515" s="109" t="s">
        <v>316</v>
      </c>
      <c r="E515" s="109" t="s">
        <v>320</v>
      </c>
      <c r="F515" s="109" t="s">
        <v>768</v>
      </c>
      <c r="G515" s="109" t="s">
        <v>676</v>
      </c>
      <c r="H515" s="140">
        <v>1221158</v>
      </c>
      <c r="I515" s="140">
        <v>1272498</v>
      </c>
      <c r="J515" s="26">
        <f>IF(H515&lt;&gt;"",IF(AND(C515&lt;&gt;"",IFERROR(MATCH(C515,Table10[Serial No.],0),0)),0,1),0)</f>
        <v>1</v>
      </c>
      <c r="K515" s="21"/>
      <c r="L515" s="539" t="str">
        <f t="shared" ref="L515:L578" ca="1" si="79">IFERROR(INDEX($O$2:$Q$57,MATCH($I515,$O$2:$O$93,0),3),"")</f>
        <v/>
      </c>
      <c r="S515" s="281" t="s">
        <v>718</v>
      </c>
      <c r="T515" s="278" t="s">
        <v>315</v>
      </c>
      <c r="U515" s="278" t="s">
        <v>695</v>
      </c>
      <c r="V515" s="25">
        <v>3</v>
      </c>
      <c r="W515" s="284">
        <v>1292498</v>
      </c>
      <c r="X515" s="19" t="str">
        <f>IFERROR(INDEX(Table14[],MATCH($W515,Table14[SAPNo],0),3),"")</f>
        <v>1613 CT186Mv3 U-60</v>
      </c>
      <c r="Y515" s="284">
        <v>21</v>
      </c>
      <c r="Z515" s="25">
        <f t="shared" si="76"/>
        <v>1</v>
      </c>
      <c r="AA515" s="25">
        <f t="shared" si="77"/>
        <v>21</v>
      </c>
      <c r="AB515" s="23">
        <f ca="1">IFERROR(INDEX('Cutters Inventory 12-30-2025'!A:W,MATCH($W515,'Cutters Inventory 12-30-2025'!B:B,0),14),0)</f>
        <v>5</v>
      </c>
      <c r="AC515" s="23">
        <f>SUMIF(Table1[LEVEL 5 MAT NO.],S515,Table1[Braze Plan])</f>
        <v>0</v>
      </c>
      <c r="AD515" s="23">
        <f>Table4[[#This Row],[Quantity]]*Table4[[#This Row],[Bits Braze Plan]]</f>
        <v>0</v>
      </c>
      <c r="AE515" s="23">
        <f ca="1">Table4[[#This Row],[INV. QTY]]-Table4[[#This Row],[Required For Braze Cutters Check]]</f>
        <v>5</v>
      </c>
      <c r="AF515" s="23">
        <f t="shared" ca="1" si="78"/>
        <v>5</v>
      </c>
      <c r="AG515" s="626"/>
    </row>
    <row r="516" spans="1:33" ht="24.75" customHeight="1" x14ac:dyDescent="0.25">
      <c r="A516" s="109">
        <v>20240206</v>
      </c>
      <c r="B516" s="608"/>
      <c r="C516" s="109">
        <v>14247232</v>
      </c>
      <c r="D516" s="109" t="s">
        <v>316</v>
      </c>
      <c r="E516" s="109" t="s">
        <v>320</v>
      </c>
      <c r="F516" s="109" t="s">
        <v>768</v>
      </c>
      <c r="G516" s="109" t="s">
        <v>676</v>
      </c>
      <c r="H516" s="140">
        <v>1221158</v>
      </c>
      <c r="I516" s="140">
        <v>1272498</v>
      </c>
      <c r="J516" s="26">
        <f>IF(H516&lt;&gt;"",IF(AND(C516&lt;&gt;"",IFERROR(MATCH(C516,Table10[Serial No.],0),0)),0,1),0)</f>
        <v>1</v>
      </c>
      <c r="K516" s="21"/>
      <c r="L516" s="539" t="str">
        <f t="shared" ca="1" si="79"/>
        <v/>
      </c>
      <c r="S516" s="281" t="s">
        <v>718</v>
      </c>
      <c r="T516" s="278" t="s">
        <v>315</v>
      </c>
      <c r="U516" s="278" t="s">
        <v>695</v>
      </c>
      <c r="V516" s="25">
        <v>4</v>
      </c>
      <c r="W516" s="284">
        <v>1291870</v>
      </c>
      <c r="X516" s="19" t="str">
        <f>IFERROR(INDEX(Table14[],MATCH($W516,Table14[SAPNo],0),3),"")</f>
        <v>1613 CT186 18-60</v>
      </c>
      <c r="Y516" s="284">
        <v>14</v>
      </c>
      <c r="Z516" s="25">
        <f t="shared" si="76"/>
        <v>1</v>
      </c>
      <c r="AA516" s="25">
        <f t="shared" si="77"/>
        <v>14</v>
      </c>
      <c r="AB516" s="23">
        <f ca="1">IFERROR(INDEX('Cutters Inventory 12-30-2025'!A:W,MATCH($W516,'Cutters Inventory 12-30-2025'!B:B,0),14),0)</f>
        <v>56</v>
      </c>
      <c r="AC516" s="23">
        <f>SUMIF(Table1[LEVEL 5 MAT NO.],S516,Table1[Braze Plan])</f>
        <v>0</v>
      </c>
      <c r="AD516" s="23">
        <f>Table4[[#This Row],[Quantity]]*Table4[[#This Row],[Bits Braze Plan]]</f>
        <v>0</v>
      </c>
      <c r="AE516" s="23">
        <f ca="1">Table4[[#This Row],[INV. QTY]]-Table4[[#This Row],[Required For Braze Cutters Check]]</f>
        <v>56</v>
      </c>
      <c r="AF516" s="23">
        <f t="shared" ca="1" si="78"/>
        <v>56</v>
      </c>
      <c r="AG516" s="626"/>
    </row>
    <row r="517" spans="1:33" ht="24.75" customHeight="1" x14ac:dyDescent="0.25">
      <c r="A517" s="109">
        <v>20240206</v>
      </c>
      <c r="B517" s="608"/>
      <c r="C517" s="109">
        <v>14247234</v>
      </c>
      <c r="D517" s="109" t="s">
        <v>316</v>
      </c>
      <c r="E517" s="109" t="s">
        <v>320</v>
      </c>
      <c r="F517" s="109" t="s">
        <v>768</v>
      </c>
      <c r="G517" s="109" t="s">
        <v>676</v>
      </c>
      <c r="H517" s="140">
        <v>1221158</v>
      </c>
      <c r="I517" s="140">
        <v>1272498</v>
      </c>
      <c r="J517" s="26">
        <f>IF(H517&lt;&gt;"",IF(AND(C517&lt;&gt;"",IFERROR(MATCH(C517,Table10[Serial No.],0),0)),0,1),0)</f>
        <v>1</v>
      </c>
      <c r="K517" s="21"/>
      <c r="L517" s="539" t="str">
        <f t="shared" ca="1" si="79"/>
        <v/>
      </c>
      <c r="S517" s="281" t="s">
        <v>718</v>
      </c>
      <c r="T517" s="278" t="s">
        <v>315</v>
      </c>
      <c r="U517" s="278" t="s">
        <v>695</v>
      </c>
      <c r="V517" s="25">
        <v>5</v>
      </c>
      <c r="W517" s="284">
        <v>2000450</v>
      </c>
      <c r="X517" s="19" t="str">
        <f>IFERROR(INDEX(Table14[],MATCH($W517,Table14[SAPNo],0),3),"")</f>
        <v>1313 MV3 U-60</v>
      </c>
      <c r="Y517" s="284">
        <v>10</v>
      </c>
      <c r="Z517" s="25">
        <f t="shared" si="76"/>
        <v>1</v>
      </c>
      <c r="AA517" s="25">
        <f t="shared" si="77"/>
        <v>10</v>
      </c>
      <c r="AB517" s="23">
        <f ca="1">IFERROR(INDEX('Cutters Inventory 12-30-2025'!A:W,MATCH($W517,'Cutters Inventory 12-30-2025'!B:B,0),14),0)</f>
        <v>0</v>
      </c>
      <c r="AC517" s="23">
        <f>SUMIF(Table1[LEVEL 5 MAT NO.],S517,Table1[Braze Plan])</f>
        <v>0</v>
      </c>
      <c r="AD517" s="23">
        <f>Table4[[#This Row],[Quantity]]*Table4[[#This Row],[Bits Braze Plan]]</f>
        <v>0</v>
      </c>
      <c r="AE517" s="23">
        <f ca="1">Table4[[#This Row],[INV. QTY]]-Table4[[#This Row],[Required For Braze Cutters Check]]</f>
        <v>0</v>
      </c>
      <c r="AF517" s="23">
        <f t="shared" ca="1" si="78"/>
        <v>0</v>
      </c>
      <c r="AG517" s="626"/>
    </row>
    <row r="518" spans="1:33" ht="24.75" customHeight="1" x14ac:dyDescent="0.25">
      <c r="A518" s="109">
        <v>20240206</v>
      </c>
      <c r="B518" s="608"/>
      <c r="C518" s="109">
        <v>14247236</v>
      </c>
      <c r="D518" s="109" t="s">
        <v>319</v>
      </c>
      <c r="E518" s="109" t="s">
        <v>689</v>
      </c>
      <c r="F518" s="109" t="s">
        <v>768</v>
      </c>
      <c r="G518" s="109" t="s">
        <v>676</v>
      </c>
      <c r="H518" s="140">
        <v>1248668</v>
      </c>
      <c r="I518" s="140" t="s">
        <v>688</v>
      </c>
      <c r="J518" s="26">
        <f>IF(H518&lt;&gt;"",IF(AND(C518&lt;&gt;"",IFERROR(MATCH(C518,Table10[Serial No.],0),0)),0,1),0)</f>
        <v>0</v>
      </c>
      <c r="K518" s="21"/>
      <c r="L518" s="539" t="str">
        <f t="shared" si="79"/>
        <v/>
      </c>
      <c r="S518" s="281" t="s">
        <v>718</v>
      </c>
      <c r="T518" s="278" t="s">
        <v>315</v>
      </c>
      <c r="U518" s="278" t="s">
        <v>695</v>
      </c>
      <c r="V518" s="25">
        <v>6</v>
      </c>
      <c r="W518" s="284">
        <v>1126400</v>
      </c>
      <c r="X518" s="19" t="str">
        <f>IFERROR(INDEX(Table14[],MATCH($W518,Table14[SAPNo],0),3),"")</f>
        <v>1313 CT421 18-60</v>
      </c>
      <c r="Y518" s="284">
        <v>14</v>
      </c>
      <c r="Z518" s="25">
        <f t="shared" si="76"/>
        <v>1</v>
      </c>
      <c r="AA518" s="25">
        <f t="shared" si="77"/>
        <v>14</v>
      </c>
      <c r="AB518" s="23">
        <f ca="1">IFERROR(INDEX('Cutters Inventory 12-30-2025'!A:W,MATCH($W518,'Cutters Inventory 12-30-2025'!B:B,0),14),0)</f>
        <v>44</v>
      </c>
      <c r="AC518" s="23">
        <f>SUMIF(Table1[LEVEL 5 MAT NO.],S518,Table1[Braze Plan])</f>
        <v>0</v>
      </c>
      <c r="AD518" s="23">
        <f>Table4[[#This Row],[Quantity]]*Table4[[#This Row],[Bits Braze Plan]]</f>
        <v>0</v>
      </c>
      <c r="AE518" s="23">
        <f ca="1">Table4[[#This Row],[INV. QTY]]-Table4[[#This Row],[Required For Braze Cutters Check]]</f>
        <v>44</v>
      </c>
      <c r="AF518" s="23">
        <f t="shared" ca="1" si="78"/>
        <v>44</v>
      </c>
      <c r="AG518" s="626"/>
    </row>
    <row r="519" spans="1:33" ht="24.75" customHeight="1" x14ac:dyDescent="0.25">
      <c r="A519" s="109">
        <v>20240206</v>
      </c>
      <c r="B519" s="608"/>
      <c r="C519" s="109">
        <v>14247235</v>
      </c>
      <c r="D519" s="109" t="s">
        <v>319</v>
      </c>
      <c r="E519" s="109" t="s">
        <v>689</v>
      </c>
      <c r="F519" s="109" t="s">
        <v>768</v>
      </c>
      <c r="G519" s="109" t="s">
        <v>676</v>
      </c>
      <c r="H519" s="140">
        <v>1248668</v>
      </c>
      <c r="I519" s="140" t="s">
        <v>688</v>
      </c>
      <c r="J519" s="26">
        <f>IF(H519&lt;&gt;"",IF(AND(C519&lt;&gt;"",IFERROR(MATCH(C519,Table10[Serial No.],0),0)),0,1),0)</f>
        <v>1</v>
      </c>
      <c r="K519" s="21"/>
      <c r="L519" s="539" t="str">
        <f t="shared" si="79"/>
        <v/>
      </c>
      <c r="S519" s="281" t="s">
        <v>718</v>
      </c>
      <c r="T519" s="278" t="s">
        <v>315</v>
      </c>
      <c r="U519" s="278" t="s">
        <v>695</v>
      </c>
      <c r="V519" s="25">
        <v>7</v>
      </c>
      <c r="W519" s="284">
        <v>1126402</v>
      </c>
      <c r="X519" s="19" t="str">
        <f>IFERROR(INDEX(Table14[],MATCH($W519,Table14[SAPNo],0),3),"")</f>
        <v>1613 CT421 16-60</v>
      </c>
      <c r="Y519" s="284">
        <v>7</v>
      </c>
      <c r="Z519" s="25">
        <f t="shared" si="76"/>
        <v>1</v>
      </c>
      <c r="AA519" s="25">
        <f t="shared" si="77"/>
        <v>7</v>
      </c>
      <c r="AB519" s="23">
        <f ca="1">IFERROR(INDEX('Cutters Inventory 12-30-2025'!A:W,MATCH($W519,'Cutters Inventory 12-30-2025'!B:B,0),14),0)</f>
        <v>422</v>
      </c>
      <c r="AC519" s="23">
        <f>SUMIF(Table1[LEVEL 5 MAT NO.],S519,Table1[Braze Plan])</f>
        <v>0</v>
      </c>
      <c r="AD519" s="23">
        <f>Table4[[#This Row],[Quantity]]*Table4[[#This Row],[Bits Braze Plan]]</f>
        <v>0</v>
      </c>
      <c r="AE519" s="23">
        <f ca="1">Table4[[#This Row],[INV. QTY]]-Table4[[#This Row],[Required For Braze Cutters Check]]</f>
        <v>422</v>
      </c>
      <c r="AF519" s="23">
        <f t="shared" ca="1" si="78"/>
        <v>422</v>
      </c>
      <c r="AG519" s="626"/>
    </row>
    <row r="520" spans="1:33" ht="24.75" customHeight="1" x14ac:dyDescent="0.25">
      <c r="A520" s="109">
        <v>20240206</v>
      </c>
      <c r="B520" s="608"/>
      <c r="C520" s="109">
        <v>14247173</v>
      </c>
      <c r="D520" s="109" t="s">
        <v>319</v>
      </c>
      <c r="E520" s="109" t="s">
        <v>665</v>
      </c>
      <c r="F520" s="109" t="s">
        <v>662</v>
      </c>
      <c r="G520" s="109" t="s">
        <v>676</v>
      </c>
      <c r="H520" s="140">
        <v>1231398</v>
      </c>
      <c r="I520" s="140">
        <v>1207425</v>
      </c>
      <c r="J520" s="26">
        <f>IF(H520&lt;&gt;"",IF(AND(C520&lt;&gt;"",IFERROR(MATCH(C520,Table10[Serial No.],0),0)),0,1),0)</f>
        <v>0</v>
      </c>
      <c r="K520" s="21"/>
      <c r="L520" s="539" t="str">
        <f t="shared" ca="1" si="79"/>
        <v/>
      </c>
      <c r="S520" s="281" t="s">
        <v>776</v>
      </c>
      <c r="T520" s="278">
        <v>17</v>
      </c>
      <c r="U520" s="278" t="s">
        <v>665</v>
      </c>
      <c r="V520" s="25">
        <v>1</v>
      </c>
      <c r="W520" s="284">
        <v>1282370</v>
      </c>
      <c r="X520" s="19" t="str">
        <f>IFERROR(INDEX(Table14[],MATCH($W520,Table14[SAPNo],0),3),"")</f>
        <v>1613 CT436Mv3 U-60</v>
      </c>
      <c r="Y520" s="284">
        <v>46</v>
      </c>
      <c r="Z520" s="25">
        <f>IFERROR(INDEX($O$2:$P$400,MATCH($S520,$O$2:$O$93,0),2),0)</f>
        <v>2</v>
      </c>
      <c r="AA520" s="25">
        <f>Y520*Z520</f>
        <v>92</v>
      </c>
      <c r="AB520" s="23">
        <f ca="1">IFERROR(INDEX('Cutters Inventory 12-30-2025'!A:W,MATCH($W520,'Cutters Inventory 12-30-2025'!B:B,0),14),0)</f>
        <v>193</v>
      </c>
      <c r="AC520" s="23">
        <f>SUMIF(Table1[LEVEL 5 MAT NO.],S520,Table1[Braze Plan])</f>
        <v>0</v>
      </c>
      <c r="AD520" s="23">
        <f>Table4[[#This Row],[Quantity]]*Table4[[#This Row],[Bits Braze Plan]]</f>
        <v>0</v>
      </c>
      <c r="AE520" s="23">
        <f ca="1">Table4[[#This Row],[INV. QTY]]-Table4[[#This Row],[Required For Braze Cutters Check]]</f>
        <v>193</v>
      </c>
      <c r="AF520" s="23">
        <f t="shared" ca="1" si="78"/>
        <v>193</v>
      </c>
      <c r="AG520" s="626"/>
    </row>
    <row r="521" spans="1:33" ht="24.75" customHeight="1" x14ac:dyDescent="0.25">
      <c r="A521" s="109">
        <v>20240206</v>
      </c>
      <c r="B521" s="608"/>
      <c r="C521" s="109">
        <v>14247171</v>
      </c>
      <c r="D521" s="109" t="s">
        <v>319</v>
      </c>
      <c r="E521" s="109" t="s">
        <v>665</v>
      </c>
      <c r="F521" s="109" t="s">
        <v>662</v>
      </c>
      <c r="G521" s="109" t="s">
        <v>676</v>
      </c>
      <c r="H521" s="140">
        <v>1231398</v>
      </c>
      <c r="I521" s="140">
        <v>1207425</v>
      </c>
      <c r="J521" s="26">
        <f>IF(H521&lt;&gt;"",IF(AND(C521&lt;&gt;"",IFERROR(MATCH(C521,Table10[Serial No.],0),0)),0,1),0)</f>
        <v>0</v>
      </c>
      <c r="K521" s="21"/>
      <c r="L521" s="539" t="str">
        <f t="shared" ca="1" si="79"/>
        <v/>
      </c>
      <c r="S521" s="281" t="s">
        <v>776</v>
      </c>
      <c r="T521" s="278">
        <v>17</v>
      </c>
      <c r="U521" s="278" t="s">
        <v>665</v>
      </c>
      <c r="V521" s="25">
        <v>2</v>
      </c>
      <c r="W521" s="284">
        <v>1146737</v>
      </c>
      <c r="X521" s="19" t="str">
        <f>IFERROR(INDEX(Table14[],MATCH($W521,Table14[SAPNo],0),3),"")</f>
        <v>1613 CT418 18-60</v>
      </c>
      <c r="Y521" s="284">
        <v>25</v>
      </c>
      <c r="Z521" s="25">
        <f t="shared" ref="Z521:Z525" si="80">IFERROR(INDEX($O$2:$P$400,MATCH($S521,$O$2:$O$93,0),2),0)</f>
        <v>2</v>
      </c>
      <c r="AA521" s="25">
        <f t="shared" ref="AA521:AA525" si="81">Y521*Z521</f>
        <v>50</v>
      </c>
      <c r="AB521" s="23">
        <f ca="1">IFERROR(INDEX('Cutters Inventory 12-30-2025'!A:W,MATCH($W521,'Cutters Inventory 12-30-2025'!B:B,0),14),0)</f>
        <v>1281</v>
      </c>
      <c r="AC521" s="23">
        <f>SUMIF(Table1[LEVEL 5 MAT NO.],S521,Table1[Braze Plan])</f>
        <v>0</v>
      </c>
      <c r="AD521" s="23">
        <f>Table4[[#This Row],[Quantity]]*Table4[[#This Row],[Bits Braze Plan]]</f>
        <v>0</v>
      </c>
      <c r="AE521" s="23">
        <f ca="1">Table4[[#This Row],[INV. QTY]]-Table4[[#This Row],[Required For Braze Cutters Check]]</f>
        <v>1281</v>
      </c>
      <c r="AF521" s="23">
        <f t="shared" ca="1" si="78"/>
        <v>1281</v>
      </c>
      <c r="AG521" s="626"/>
    </row>
    <row r="522" spans="1:33" ht="24.75" customHeight="1" x14ac:dyDescent="0.25">
      <c r="A522" s="132">
        <v>20240206</v>
      </c>
      <c r="B522" s="609"/>
      <c r="C522" s="132">
        <v>14247172</v>
      </c>
      <c r="D522" s="132" t="s">
        <v>319</v>
      </c>
      <c r="E522" s="132" t="s">
        <v>665</v>
      </c>
      <c r="F522" s="132" t="s">
        <v>662</v>
      </c>
      <c r="G522" s="132" t="s">
        <v>676</v>
      </c>
      <c r="H522" s="141">
        <v>1231398</v>
      </c>
      <c r="I522" s="141">
        <v>1207425</v>
      </c>
      <c r="J522" s="26">
        <f>IF(H522&lt;&gt;"",IF(AND(C522&lt;&gt;"",IFERROR(MATCH(C522,Table10[Serial No.],0),0)),0,1),0)</f>
        <v>0</v>
      </c>
      <c r="K522" s="21"/>
      <c r="L522" s="539" t="str">
        <f t="shared" ca="1" si="79"/>
        <v/>
      </c>
      <c r="S522" s="281" t="s">
        <v>776</v>
      </c>
      <c r="T522" s="278">
        <v>17</v>
      </c>
      <c r="U522" s="278" t="s">
        <v>665</v>
      </c>
      <c r="V522" s="25">
        <v>3</v>
      </c>
      <c r="W522" s="284">
        <v>1126402</v>
      </c>
      <c r="X522" s="19" t="str">
        <f>IFERROR(INDEX(Table14[],MATCH($W522,Table14[SAPNo],0),3),"")</f>
        <v>1613 CT421 16-60</v>
      </c>
      <c r="Y522" s="284">
        <v>30</v>
      </c>
      <c r="Z522" s="25">
        <f t="shared" si="80"/>
        <v>2</v>
      </c>
      <c r="AA522" s="25">
        <f t="shared" si="81"/>
        <v>60</v>
      </c>
      <c r="AB522" s="23">
        <f ca="1">IFERROR(INDEX('Cutters Inventory 12-30-2025'!A:W,MATCH($W522,'Cutters Inventory 12-30-2025'!B:B,0),14),0)</f>
        <v>422</v>
      </c>
      <c r="AC522" s="23">
        <f>SUMIF(Table1[LEVEL 5 MAT NO.],S522,Table1[Braze Plan])</f>
        <v>0</v>
      </c>
      <c r="AD522" s="23">
        <f>Table4[[#This Row],[Quantity]]*Table4[[#This Row],[Bits Braze Plan]]</f>
        <v>0</v>
      </c>
      <c r="AE522" s="23">
        <f ca="1">Table4[[#This Row],[INV. QTY]]-Table4[[#This Row],[Required For Braze Cutters Check]]</f>
        <v>422</v>
      </c>
      <c r="AF522" s="23">
        <f t="shared" ca="1" si="78"/>
        <v>422</v>
      </c>
      <c r="AG522" s="626"/>
    </row>
    <row r="523" spans="1:33" ht="24.75" customHeight="1" x14ac:dyDescent="0.25">
      <c r="A523" s="132" t="s">
        <v>777</v>
      </c>
      <c r="B523" s="609"/>
      <c r="C523" s="132">
        <v>14157616</v>
      </c>
      <c r="D523" s="132">
        <v>5.25</v>
      </c>
      <c r="E523" s="132" t="s">
        <v>778</v>
      </c>
      <c r="F523" s="132"/>
      <c r="G523" s="109" t="s">
        <v>676</v>
      </c>
      <c r="H523" s="141">
        <v>1284241</v>
      </c>
      <c r="I523" s="141">
        <v>990050</v>
      </c>
      <c r="J523" s="26">
        <f>IF(H523&lt;&gt;"",IF(AND(C523&lt;&gt;"",IFERROR(MATCH(C523,Table10[Serial No.],0),0)),0,1),0)</f>
        <v>0</v>
      </c>
      <c r="K523" s="21"/>
      <c r="L523" s="539" t="str">
        <f t="shared" ca="1" si="79"/>
        <v/>
      </c>
      <c r="S523" s="281" t="s">
        <v>776</v>
      </c>
      <c r="T523" s="278">
        <v>17</v>
      </c>
      <c r="U523" s="278" t="s">
        <v>665</v>
      </c>
      <c r="V523" s="25">
        <v>4</v>
      </c>
      <c r="W523" s="284">
        <v>625854</v>
      </c>
      <c r="X523" s="19" t="str">
        <f>IFERROR(INDEX(Table14[],MATCH($W523,Table14[SAPNo],0),3),"")</f>
        <v>Carbide IA 1318    (C)</v>
      </c>
      <c r="Y523" s="284">
        <v>17</v>
      </c>
      <c r="Z523" s="25">
        <f t="shared" si="80"/>
        <v>2</v>
      </c>
      <c r="AA523" s="25">
        <f t="shared" si="81"/>
        <v>34</v>
      </c>
      <c r="AB523" s="23">
        <f ca="1">IFERROR(INDEX('Cutters Inventory 12-30-2025'!A:W,MATCH($W523,'Cutters Inventory 12-30-2025'!B:B,0),14),0)</f>
        <v>74</v>
      </c>
      <c r="AC523" s="23">
        <f>SUMIF(Table1[LEVEL 5 MAT NO.],S523,Table1[Braze Plan])</f>
        <v>0</v>
      </c>
      <c r="AD523" s="23">
        <f>Table4[[#This Row],[Quantity]]*Table4[[#This Row],[Bits Braze Plan]]</f>
        <v>0</v>
      </c>
      <c r="AE523" s="23">
        <f ca="1">Table4[[#This Row],[INV. QTY]]-Table4[[#This Row],[Required For Braze Cutters Check]]</f>
        <v>74</v>
      </c>
      <c r="AF523" s="23">
        <f t="shared" ca="1" si="78"/>
        <v>74</v>
      </c>
      <c r="AG523" s="626"/>
    </row>
    <row r="524" spans="1:33" ht="24.75" customHeight="1" x14ac:dyDescent="0.25">
      <c r="A524" s="132">
        <v>20240222</v>
      </c>
      <c r="B524" s="609" t="s">
        <v>779</v>
      </c>
      <c r="C524" s="132">
        <v>14252969</v>
      </c>
      <c r="D524" s="132">
        <v>16</v>
      </c>
      <c r="E524" s="132" t="s">
        <v>642</v>
      </c>
      <c r="F524" s="132"/>
      <c r="G524" s="109" t="s">
        <v>681</v>
      </c>
      <c r="H524" s="141">
        <v>2000401</v>
      </c>
      <c r="I524" s="141">
        <v>1287241</v>
      </c>
      <c r="J524" s="26">
        <f>IF(H524&lt;&gt;"",IF(AND(C524&lt;&gt;"",IFERROR(MATCH(C524,Table10[Serial No.],0),0)),0,1),0)</f>
        <v>0</v>
      </c>
      <c r="K524" s="21"/>
      <c r="L524" s="539" t="str">
        <f t="shared" ca="1" si="79"/>
        <v/>
      </c>
      <c r="S524" s="281" t="s">
        <v>776</v>
      </c>
      <c r="T524" s="278">
        <v>17</v>
      </c>
      <c r="U524" s="278" t="s">
        <v>665</v>
      </c>
      <c r="V524" s="25">
        <v>5</v>
      </c>
      <c r="W524" s="284">
        <v>418525</v>
      </c>
      <c r="X524" s="19" t="str">
        <f>IFERROR(INDEX(Table14[],MATCH($W524,Table14[SAPNo],0),3),"")</f>
        <v>Drop In 1308 CT31   (B)</v>
      </c>
      <c r="Y524" s="284">
        <v>6</v>
      </c>
      <c r="Z524" s="25">
        <f t="shared" si="80"/>
        <v>2</v>
      </c>
      <c r="AA524" s="25">
        <f t="shared" si="81"/>
        <v>12</v>
      </c>
      <c r="AB524" s="23">
        <f ca="1">IFERROR(INDEX('Cutters Inventory 12-30-2025'!A:W,MATCH($W524,'Cutters Inventory 12-30-2025'!B:B,0),14),0)</f>
        <v>933</v>
      </c>
      <c r="AC524" s="23">
        <f>SUMIF(Table1[LEVEL 5 MAT NO.],S524,Table1[Braze Plan])</f>
        <v>0</v>
      </c>
      <c r="AD524" s="23">
        <f>Table4[[#This Row],[Quantity]]*Table4[[#This Row],[Bits Braze Plan]]</f>
        <v>0</v>
      </c>
      <c r="AE524" s="23">
        <f ca="1">Table4[[#This Row],[INV. QTY]]-Table4[[#This Row],[Required For Braze Cutters Check]]</f>
        <v>933</v>
      </c>
      <c r="AF524" s="23">
        <f t="shared" ca="1" si="78"/>
        <v>933</v>
      </c>
      <c r="AG524" s="626"/>
    </row>
    <row r="525" spans="1:33" ht="24.75" customHeight="1" x14ac:dyDescent="0.25">
      <c r="A525" s="109">
        <v>20240236</v>
      </c>
      <c r="B525" s="709"/>
      <c r="C525" s="109">
        <v>14254490</v>
      </c>
      <c r="D525" s="109" t="s">
        <v>631</v>
      </c>
      <c r="E525" s="109" t="s">
        <v>645</v>
      </c>
      <c r="F525" s="109"/>
      <c r="G525" s="109" t="s">
        <v>681</v>
      </c>
      <c r="H525" s="140">
        <v>1262047</v>
      </c>
      <c r="I525" s="140">
        <v>1235768</v>
      </c>
      <c r="J525" s="26">
        <f>IF(H525&lt;&gt;"",IF(AND(C525&lt;&gt;"",IFERROR(MATCH(C525,Table10[Serial No.],0),0)),0,1),0)</f>
        <v>0</v>
      </c>
      <c r="K525" s="21"/>
      <c r="L525" s="539" t="str">
        <f t="shared" ca="1" si="79"/>
        <v/>
      </c>
      <c r="S525" s="281" t="s">
        <v>776</v>
      </c>
      <c r="T525" s="278">
        <v>17</v>
      </c>
      <c r="U525" s="278" t="s">
        <v>665</v>
      </c>
      <c r="V525" s="25">
        <v>6</v>
      </c>
      <c r="W525" s="284">
        <v>1288783</v>
      </c>
      <c r="X525" s="19" t="str">
        <f>IFERROR(INDEX(Table14[],MATCH($W525,Table14[SAPNo],0),3),"")</f>
        <v>1613 CT179 18-60</v>
      </c>
      <c r="Y525" s="284">
        <v>6</v>
      </c>
      <c r="Z525" s="25">
        <f t="shared" si="80"/>
        <v>2</v>
      </c>
      <c r="AA525" s="25">
        <f t="shared" si="81"/>
        <v>12</v>
      </c>
      <c r="AB525" s="23">
        <f ca="1">IFERROR(INDEX('Cutters Inventory 12-30-2025'!A:W,MATCH($W525,'Cutters Inventory 12-30-2025'!B:B,0),14),0)</f>
        <v>813</v>
      </c>
      <c r="AC525" s="23">
        <f>SUMIF(Table1[LEVEL 5 MAT NO.],S525,Table1[Braze Plan])</f>
        <v>0</v>
      </c>
      <c r="AD525" s="23">
        <f>Table4[[#This Row],[Quantity]]*Table4[[#This Row],[Bits Braze Plan]]</f>
        <v>0</v>
      </c>
      <c r="AE525" s="23">
        <f ca="1">Table4[[#This Row],[INV. QTY]]-Table4[[#This Row],[Required For Braze Cutters Check]]</f>
        <v>813</v>
      </c>
      <c r="AF525" s="23">
        <f t="shared" ca="1" si="78"/>
        <v>813</v>
      </c>
      <c r="AG525" s="626"/>
    </row>
    <row r="526" spans="1:33" ht="24.75" customHeight="1" x14ac:dyDescent="0.25">
      <c r="A526" s="109">
        <v>20240236</v>
      </c>
      <c r="B526" s="709"/>
      <c r="C526" s="109">
        <v>14254489</v>
      </c>
      <c r="D526" s="109" t="s">
        <v>631</v>
      </c>
      <c r="E526" s="109" t="s">
        <v>645</v>
      </c>
      <c r="F526" s="109"/>
      <c r="G526" s="109" t="s">
        <v>681</v>
      </c>
      <c r="H526" s="140">
        <v>1262047</v>
      </c>
      <c r="I526" s="140">
        <v>1235768</v>
      </c>
      <c r="J526" s="26">
        <f>IF(H526&lt;&gt;"",IF(AND(C526&lt;&gt;"",IFERROR(MATCH(C526,Table10[Serial No.],0),0)),0,1),0)</f>
        <v>0</v>
      </c>
      <c r="K526" s="21"/>
      <c r="L526" s="539" t="str">
        <f t="shared" ca="1" si="79"/>
        <v/>
      </c>
      <c r="S526" s="281">
        <v>2019412</v>
      </c>
      <c r="T526" s="278">
        <v>8.5</v>
      </c>
      <c r="U526" s="278" t="s">
        <v>719</v>
      </c>
      <c r="V526" s="25">
        <v>1</v>
      </c>
      <c r="W526" s="284">
        <v>1134752</v>
      </c>
      <c r="X526" s="19" t="str">
        <f>IFERROR(INDEX(Table14[],MATCH($W526,Table14[SAPNo],0),3),"")</f>
        <v>Round 1308 CT182  0.018" (S)</v>
      </c>
      <c r="Y526" s="284">
        <v>12</v>
      </c>
      <c r="Z526" s="25">
        <f t="shared" ref="Z526:Z533" si="82">IFERROR(INDEX($O$2:$P$400,MATCH($S526,$O$2:$O$93,0),2),0)</f>
        <v>2</v>
      </c>
      <c r="AA526" s="25">
        <f t="shared" ref="AA526:AA533" si="83">Y526*Z526</f>
        <v>24</v>
      </c>
      <c r="AB526" s="23">
        <f ca="1">IFERROR(INDEX('Cutters Inventory 12-30-2025'!A:W,MATCH($W526,'Cutters Inventory 12-30-2025'!B:B,0),14),0)</f>
        <v>38</v>
      </c>
      <c r="AC526" s="23">
        <f>SUMIF(Table1[LEVEL 5 MAT NO.],S526,Table1[Braze Plan])</f>
        <v>0</v>
      </c>
      <c r="AD526" s="23">
        <f>Table4[[#This Row],[Quantity]]*Table4[[#This Row],[Bits Braze Plan]]</f>
        <v>0</v>
      </c>
      <c r="AE526" s="23">
        <f ca="1">Table4[[#This Row],[INV. QTY]]-Table4[[#This Row],[Required For Braze Cutters Check]]</f>
        <v>38</v>
      </c>
      <c r="AF526" s="23">
        <f t="shared" ca="1" si="78"/>
        <v>38</v>
      </c>
      <c r="AG526" s="626"/>
    </row>
    <row r="527" spans="1:33" ht="24.75" customHeight="1" x14ac:dyDescent="0.25">
      <c r="A527" s="109">
        <v>20240236</v>
      </c>
      <c r="B527" s="608"/>
      <c r="C527" s="109">
        <v>14254491</v>
      </c>
      <c r="D527" s="109" t="s">
        <v>309</v>
      </c>
      <c r="E527" s="109" t="s">
        <v>311</v>
      </c>
      <c r="F527" s="109" t="s">
        <v>732</v>
      </c>
      <c r="G527" s="109" t="s">
        <v>676</v>
      </c>
      <c r="H527" s="140">
        <v>1145824</v>
      </c>
      <c r="I527" s="140">
        <v>1137349</v>
      </c>
      <c r="J527" s="26">
        <f>IF(H527&lt;&gt;"",IF(AND(C527&lt;&gt;"",IFERROR(MATCH(C527,Table10[Serial No.],0),0)),0,1),0)</f>
        <v>0</v>
      </c>
      <c r="K527" s="21"/>
      <c r="L527" s="539" t="str">
        <f t="shared" ca="1" si="79"/>
        <v/>
      </c>
      <c r="S527" s="281">
        <v>2019412</v>
      </c>
      <c r="T527" s="278">
        <v>8.5</v>
      </c>
      <c r="U527" s="278" t="s">
        <v>719</v>
      </c>
      <c r="V527" s="25">
        <v>2</v>
      </c>
      <c r="W527" s="284">
        <v>1282370</v>
      </c>
      <c r="X527" s="19" t="str">
        <f>IFERROR(INDEX(Table14[],MATCH($W527,Table14[SAPNo],0),3),"")</f>
        <v>1613 CT436Mv3 U-60</v>
      </c>
      <c r="Y527" s="284">
        <v>12</v>
      </c>
      <c r="Z527" s="25">
        <f t="shared" si="82"/>
        <v>2</v>
      </c>
      <c r="AA527" s="25">
        <f t="shared" si="83"/>
        <v>24</v>
      </c>
      <c r="AB527" s="23">
        <f ca="1">IFERROR(INDEX('Cutters Inventory 12-30-2025'!A:W,MATCH($W527,'Cutters Inventory 12-30-2025'!B:B,0),14),0)</f>
        <v>193</v>
      </c>
      <c r="AC527" s="23">
        <f>SUMIF(Table1[LEVEL 5 MAT NO.],S527,Table1[Braze Plan])</f>
        <v>0</v>
      </c>
      <c r="AD527" s="23">
        <f>Table4[[#This Row],[Quantity]]*Table4[[#This Row],[Bits Braze Plan]]</f>
        <v>0</v>
      </c>
      <c r="AE527" s="23">
        <f ca="1">Table4[[#This Row],[INV. QTY]]-Table4[[#This Row],[Required For Braze Cutters Check]]</f>
        <v>193</v>
      </c>
      <c r="AF527" s="23">
        <f t="shared" ca="1" si="78"/>
        <v>193</v>
      </c>
      <c r="AG527" s="626"/>
    </row>
    <row r="528" spans="1:33" ht="24.75" customHeight="1" x14ac:dyDescent="0.25">
      <c r="A528" s="109">
        <v>20240236</v>
      </c>
      <c r="B528" s="608"/>
      <c r="C528" s="109">
        <v>14254492</v>
      </c>
      <c r="D528" s="109" t="s">
        <v>309</v>
      </c>
      <c r="E528" s="109" t="s">
        <v>311</v>
      </c>
      <c r="F528" s="109" t="s">
        <v>732</v>
      </c>
      <c r="G528" s="109" t="s">
        <v>676</v>
      </c>
      <c r="H528" s="140">
        <v>1145824</v>
      </c>
      <c r="I528" s="140">
        <v>1137349</v>
      </c>
      <c r="J528" s="26">
        <f>IF(H528&lt;&gt;"",IF(AND(C528&lt;&gt;"",IFERROR(MATCH(C528,Table10[Serial No.],0),0)),0,1),0)</f>
        <v>0</v>
      </c>
      <c r="K528" s="21"/>
      <c r="L528" s="539" t="str">
        <f t="shared" ca="1" si="79"/>
        <v/>
      </c>
      <c r="S528" s="281">
        <v>2019412</v>
      </c>
      <c r="T528" s="278">
        <v>8.5</v>
      </c>
      <c r="U528" s="278" t="s">
        <v>719</v>
      </c>
      <c r="V528" s="25">
        <v>3</v>
      </c>
      <c r="W528" s="284">
        <v>1208601</v>
      </c>
      <c r="X528" s="19" t="str">
        <f>IFERROR(INDEX(Table14[],MATCH($W528,Table14[SAPNo],0),3),"")</f>
        <v>1613 CT418 U-60</v>
      </c>
      <c r="Y528" s="284">
        <v>1</v>
      </c>
      <c r="Z528" s="25">
        <f t="shared" si="82"/>
        <v>2</v>
      </c>
      <c r="AA528" s="25">
        <f t="shared" si="83"/>
        <v>2</v>
      </c>
      <c r="AB528" s="23">
        <f ca="1">IFERROR(INDEX('Cutters Inventory 12-30-2025'!A:W,MATCH($W528,'Cutters Inventory 12-30-2025'!B:B,0),14),0)</f>
        <v>230</v>
      </c>
      <c r="AC528" s="23">
        <f>SUMIF(Table1[LEVEL 5 MAT NO.],S528,Table1[Braze Plan])</f>
        <v>0</v>
      </c>
      <c r="AD528" s="23">
        <f>Table4[[#This Row],[Quantity]]*Table4[[#This Row],[Bits Braze Plan]]</f>
        <v>0</v>
      </c>
      <c r="AE528" s="23">
        <f ca="1">Table4[[#This Row],[INV. QTY]]-Table4[[#This Row],[Required For Braze Cutters Check]]</f>
        <v>230</v>
      </c>
      <c r="AF528" s="23">
        <f t="shared" ca="1" si="78"/>
        <v>230</v>
      </c>
      <c r="AG528" s="626"/>
    </row>
    <row r="529" spans="1:33" ht="24.75" customHeight="1" x14ac:dyDescent="0.25">
      <c r="A529" s="109">
        <v>20240236</v>
      </c>
      <c r="B529" s="608"/>
      <c r="C529" s="109">
        <v>14254494</v>
      </c>
      <c r="D529" s="109" t="s">
        <v>309</v>
      </c>
      <c r="E529" s="109" t="s">
        <v>311</v>
      </c>
      <c r="F529" s="109" t="s">
        <v>732</v>
      </c>
      <c r="G529" s="109" t="s">
        <v>676</v>
      </c>
      <c r="H529" s="140">
        <v>1145824</v>
      </c>
      <c r="I529" s="140">
        <v>1137349</v>
      </c>
      <c r="J529" s="26">
        <f>IF(H529&lt;&gt;"",IF(AND(C529&lt;&gt;"",IFERROR(MATCH(C529,Table10[Serial No.],0),0)),0,1),0)</f>
        <v>0</v>
      </c>
      <c r="K529" s="21"/>
      <c r="L529" s="539" t="str">
        <f t="shared" ca="1" si="79"/>
        <v/>
      </c>
      <c r="S529" s="281">
        <v>2019412</v>
      </c>
      <c r="T529" s="278">
        <v>8.5</v>
      </c>
      <c r="U529" s="278" t="s">
        <v>719</v>
      </c>
      <c r="V529" s="25">
        <v>4</v>
      </c>
      <c r="W529" s="284">
        <v>2001060</v>
      </c>
      <c r="X529" s="19" t="str">
        <f>IFERROR(INDEX(Table14[],MATCH($W529,Table14[SAPNo],0),3),"")</f>
        <v>1613 CT179T U-60</v>
      </c>
      <c r="Y529" s="284">
        <v>7</v>
      </c>
      <c r="Z529" s="25">
        <f t="shared" si="82"/>
        <v>2</v>
      </c>
      <c r="AA529" s="25">
        <f t="shared" si="83"/>
        <v>14</v>
      </c>
      <c r="AB529" s="23">
        <f ca="1">IFERROR(INDEX('Cutters Inventory 12-30-2025'!A:W,MATCH($W529,'Cutters Inventory 12-30-2025'!B:B,0),14),0)</f>
        <v>27</v>
      </c>
      <c r="AC529" s="23">
        <f>SUMIF(Table1[LEVEL 5 MAT NO.],S529,Table1[Braze Plan])</f>
        <v>0</v>
      </c>
      <c r="AD529" s="23">
        <f>Table4[[#This Row],[Quantity]]*Table4[[#This Row],[Bits Braze Plan]]</f>
        <v>0</v>
      </c>
      <c r="AE529" s="23">
        <f ca="1">Table4[[#This Row],[INV. QTY]]-Table4[[#This Row],[Required For Braze Cutters Check]]</f>
        <v>27</v>
      </c>
      <c r="AF529" s="23">
        <f t="shared" ca="1" si="78"/>
        <v>27</v>
      </c>
      <c r="AG529" s="626"/>
    </row>
    <row r="530" spans="1:33" ht="24.75" customHeight="1" x14ac:dyDescent="0.25">
      <c r="A530" s="109">
        <v>20240236</v>
      </c>
      <c r="B530" s="608"/>
      <c r="C530" s="109">
        <v>14254493</v>
      </c>
      <c r="D530" s="109" t="s">
        <v>309</v>
      </c>
      <c r="E530" s="109" t="s">
        <v>311</v>
      </c>
      <c r="F530" s="109" t="s">
        <v>732</v>
      </c>
      <c r="G530" s="109" t="s">
        <v>676</v>
      </c>
      <c r="H530" s="140">
        <v>1145824</v>
      </c>
      <c r="I530" s="140">
        <v>1137349</v>
      </c>
      <c r="J530" s="26">
        <f>IF(H530&lt;&gt;"",IF(AND(C530&lt;&gt;"",IFERROR(MATCH(C530,Table10[Serial No.],0),0)),0,1),0)</f>
        <v>0</v>
      </c>
      <c r="K530" s="21"/>
      <c r="L530" s="539" t="str">
        <f t="shared" ca="1" si="79"/>
        <v/>
      </c>
      <c r="S530" s="281">
        <v>2019412</v>
      </c>
      <c r="T530" s="278">
        <v>8.5</v>
      </c>
      <c r="U530" s="278" t="s">
        <v>719</v>
      </c>
      <c r="V530" s="25">
        <v>5</v>
      </c>
      <c r="W530" s="284">
        <v>871781</v>
      </c>
      <c r="X530" s="19" t="str">
        <f>IFERROR(INDEX(Table14[],MATCH($W530,Table14[SAPNo],0),3),"")</f>
        <v>Round 1313 CT200  0.018" (B)</v>
      </c>
      <c r="Y530" s="284">
        <v>6</v>
      </c>
      <c r="Z530" s="25">
        <f t="shared" si="82"/>
        <v>2</v>
      </c>
      <c r="AA530" s="25">
        <f t="shared" si="83"/>
        <v>12</v>
      </c>
      <c r="AB530" s="23">
        <f ca="1">IFERROR(INDEX('Cutters Inventory 12-30-2025'!A:W,MATCH($W530,'Cutters Inventory 12-30-2025'!B:B,0),14),0)</f>
        <v>843</v>
      </c>
      <c r="AC530" s="23">
        <f>SUMIF(Table1[LEVEL 5 MAT NO.],S530,Table1[Braze Plan])</f>
        <v>0</v>
      </c>
      <c r="AD530" s="23">
        <f>Table4[[#This Row],[Quantity]]*Table4[[#This Row],[Bits Braze Plan]]</f>
        <v>0</v>
      </c>
      <c r="AE530" s="23">
        <f ca="1">Table4[[#This Row],[INV. QTY]]-Table4[[#This Row],[Required For Braze Cutters Check]]</f>
        <v>843</v>
      </c>
      <c r="AF530" s="23">
        <f t="shared" ca="1" si="78"/>
        <v>843</v>
      </c>
      <c r="AG530" s="626"/>
    </row>
    <row r="531" spans="1:33" ht="24.75" customHeight="1" x14ac:dyDescent="0.25">
      <c r="A531" s="109">
        <v>20240236</v>
      </c>
      <c r="B531" s="608"/>
      <c r="C531" s="109">
        <v>14254496</v>
      </c>
      <c r="D531" s="109" t="s">
        <v>313</v>
      </c>
      <c r="E531" s="109" t="s">
        <v>314</v>
      </c>
      <c r="F531" s="109" t="s">
        <v>715</v>
      </c>
      <c r="G531" s="109" t="s">
        <v>676</v>
      </c>
      <c r="H531" s="140">
        <v>1246680</v>
      </c>
      <c r="I531" s="140" t="s">
        <v>763</v>
      </c>
      <c r="J531" s="26">
        <f>IF(H531&lt;&gt;"",IF(AND(C531&lt;&gt;"",IFERROR(MATCH(C531,Table10[Serial No.],0),0)),0,1),0)</f>
        <v>0</v>
      </c>
      <c r="K531" s="21"/>
      <c r="L531" s="539" t="str">
        <f t="shared" si="79"/>
        <v/>
      </c>
      <c r="S531" s="281">
        <v>2019412</v>
      </c>
      <c r="T531" s="278">
        <v>8.5</v>
      </c>
      <c r="U531" s="278" t="s">
        <v>719</v>
      </c>
      <c r="V531" s="25">
        <v>6</v>
      </c>
      <c r="W531" s="284">
        <v>1130197</v>
      </c>
      <c r="X531" s="19" t="str">
        <f>IFERROR(INDEX(Table14[],MATCH($W531,Table14[SAPNo],0),3),"")</f>
        <v>Round 1608 CT182  0.018" (S)</v>
      </c>
      <c r="Y531" s="284">
        <v>6</v>
      </c>
      <c r="Z531" s="25">
        <f t="shared" si="82"/>
        <v>2</v>
      </c>
      <c r="AA531" s="25">
        <f t="shared" si="83"/>
        <v>12</v>
      </c>
      <c r="AB531" s="23">
        <f ca="1">IFERROR(INDEX('Cutters Inventory 12-30-2025'!A:W,MATCH($W531,'Cutters Inventory 12-30-2025'!B:B,0),14),0)</f>
        <v>39</v>
      </c>
      <c r="AC531" s="23">
        <f>SUMIF(Table1[LEVEL 5 MAT NO.],S531,Table1[Braze Plan])</f>
        <v>0</v>
      </c>
      <c r="AD531" s="23">
        <f>Table4[[#This Row],[Quantity]]*Table4[[#This Row],[Bits Braze Plan]]</f>
        <v>0</v>
      </c>
      <c r="AE531" s="23">
        <f ca="1">Table4[[#This Row],[INV. QTY]]-Table4[[#This Row],[Required For Braze Cutters Check]]</f>
        <v>39</v>
      </c>
      <c r="AF531" s="23">
        <f t="shared" ca="1" si="78"/>
        <v>39</v>
      </c>
      <c r="AG531" s="626"/>
    </row>
    <row r="532" spans="1:33" ht="24.75" customHeight="1" x14ac:dyDescent="0.25">
      <c r="A532" s="109">
        <v>20240236</v>
      </c>
      <c r="B532" s="608"/>
      <c r="C532" s="109">
        <v>14254495</v>
      </c>
      <c r="D532" s="109" t="s">
        <v>313</v>
      </c>
      <c r="E532" s="109" t="s">
        <v>314</v>
      </c>
      <c r="F532" s="109" t="s">
        <v>715</v>
      </c>
      <c r="G532" s="109" t="s">
        <v>676</v>
      </c>
      <c r="H532" s="140">
        <v>1246680</v>
      </c>
      <c r="I532" s="140" t="s">
        <v>763</v>
      </c>
      <c r="J532" s="26">
        <f>IF(H532&lt;&gt;"",IF(AND(C532&lt;&gt;"",IFERROR(MATCH(C532,Table10[Serial No.],0),0)),0,1),0)</f>
        <v>0</v>
      </c>
      <c r="K532" s="21"/>
      <c r="L532" s="539" t="str">
        <f t="shared" si="79"/>
        <v/>
      </c>
      <c r="S532" s="281">
        <v>2019412</v>
      </c>
      <c r="T532" s="278">
        <v>8.5</v>
      </c>
      <c r="U532" s="278" t="s">
        <v>719</v>
      </c>
      <c r="V532" s="25">
        <v>7</v>
      </c>
      <c r="W532" s="284">
        <v>1288783</v>
      </c>
      <c r="X532" s="19" t="str">
        <f>IFERROR(INDEX(Table14[],MATCH($W532,Table14[SAPNo],0),3),"")</f>
        <v>1613 CT179 18-60</v>
      </c>
      <c r="Y532" s="284">
        <v>5</v>
      </c>
      <c r="Z532" s="25">
        <f t="shared" si="82"/>
        <v>2</v>
      </c>
      <c r="AA532" s="25">
        <f t="shared" si="83"/>
        <v>10</v>
      </c>
      <c r="AB532" s="23">
        <f ca="1">IFERROR(INDEX('Cutters Inventory 12-30-2025'!A:W,MATCH($W532,'Cutters Inventory 12-30-2025'!B:B,0),14),0)</f>
        <v>813</v>
      </c>
      <c r="AC532" s="23">
        <f>SUMIF(Table1[LEVEL 5 MAT NO.],S532,Table1[Braze Plan])</f>
        <v>0</v>
      </c>
      <c r="AD532" s="23">
        <f>Table4[[#This Row],[Quantity]]*Table4[[#This Row],[Bits Braze Plan]]</f>
        <v>0</v>
      </c>
      <c r="AE532" s="23">
        <f ca="1">Table4[[#This Row],[INV. QTY]]-Table4[[#This Row],[Required For Braze Cutters Check]]</f>
        <v>813</v>
      </c>
      <c r="AF532" s="23">
        <f t="shared" ca="1" si="78"/>
        <v>813</v>
      </c>
      <c r="AG532" s="626"/>
    </row>
    <row r="533" spans="1:33" ht="24.75" customHeight="1" x14ac:dyDescent="0.25">
      <c r="A533" s="109">
        <v>20240236</v>
      </c>
      <c r="B533" s="709"/>
      <c r="C533" s="109">
        <v>14254498</v>
      </c>
      <c r="D533" s="109" t="s">
        <v>624</v>
      </c>
      <c r="E533" s="109" t="s">
        <v>663</v>
      </c>
      <c r="F533" s="109"/>
      <c r="G533" s="109" t="s">
        <v>681</v>
      </c>
      <c r="H533" s="140">
        <v>1269498</v>
      </c>
      <c r="I533" s="140">
        <v>1276939</v>
      </c>
      <c r="J533" s="26">
        <f>IF(H533&lt;&gt;"",IF(AND(C533&lt;&gt;"",IFERROR(MATCH(C533,Table10[Serial No.],0),0)),0,1),0)</f>
        <v>0</v>
      </c>
      <c r="K533" s="21"/>
      <c r="L533" s="539" t="str">
        <f t="shared" ca="1" si="79"/>
        <v/>
      </c>
      <c r="S533" s="281">
        <v>2019412</v>
      </c>
      <c r="T533" s="278">
        <v>8.5</v>
      </c>
      <c r="U533" s="278" t="s">
        <v>719</v>
      </c>
      <c r="V533" s="25">
        <v>8</v>
      </c>
      <c r="W533" s="284">
        <v>1146737</v>
      </c>
      <c r="X533" s="19" t="str">
        <f>IFERROR(INDEX(Table14[],MATCH($W533,Table14[SAPNo],0),3),"")</f>
        <v>1613 CT418 18-60</v>
      </c>
      <c r="Y533" s="284">
        <v>6</v>
      </c>
      <c r="Z533" s="25">
        <f t="shared" si="82"/>
        <v>2</v>
      </c>
      <c r="AA533" s="25">
        <f t="shared" si="83"/>
        <v>12</v>
      </c>
      <c r="AB533" s="23">
        <f ca="1">IFERROR(INDEX('Cutters Inventory 12-30-2025'!A:W,MATCH($W533,'Cutters Inventory 12-30-2025'!B:B,0),14),0)</f>
        <v>1281</v>
      </c>
      <c r="AC533" s="23">
        <f>SUMIF(Table1[LEVEL 5 MAT NO.],S533,Table1[Braze Plan])</f>
        <v>0</v>
      </c>
      <c r="AD533" s="23">
        <f>Table4[[#This Row],[Quantity]]*Table4[[#This Row],[Bits Braze Plan]]</f>
        <v>0</v>
      </c>
      <c r="AE533" s="23">
        <f ca="1">Table4[[#This Row],[INV. QTY]]-Table4[[#This Row],[Required For Braze Cutters Check]]</f>
        <v>1281</v>
      </c>
      <c r="AF533" s="23">
        <f t="shared" ca="1" si="78"/>
        <v>1281</v>
      </c>
      <c r="AG533" s="626"/>
    </row>
    <row r="534" spans="1:33" ht="24.75" customHeight="1" x14ac:dyDescent="0.25">
      <c r="A534" s="109">
        <v>20240236</v>
      </c>
      <c r="B534" s="709"/>
      <c r="C534" s="109">
        <v>14254502</v>
      </c>
      <c r="D534" s="109" t="s">
        <v>624</v>
      </c>
      <c r="E534" s="109" t="s">
        <v>663</v>
      </c>
      <c r="F534" s="109"/>
      <c r="G534" s="109" t="s">
        <v>681</v>
      </c>
      <c r="H534" s="140">
        <v>1269498</v>
      </c>
      <c r="I534" s="140">
        <v>1276939</v>
      </c>
      <c r="J534" s="26">
        <f>IF(H534&lt;&gt;"",IF(AND(C534&lt;&gt;"",IFERROR(MATCH(C534,Table10[Serial No.],0),0)),0,1),0)</f>
        <v>0</v>
      </c>
      <c r="K534" s="21"/>
      <c r="L534" s="539" t="str">
        <f t="shared" ca="1" si="79"/>
        <v/>
      </c>
      <c r="S534" s="281" t="s">
        <v>780</v>
      </c>
      <c r="T534" s="278">
        <v>6</v>
      </c>
      <c r="U534" s="278" t="s">
        <v>781</v>
      </c>
      <c r="V534" s="25">
        <v>1</v>
      </c>
      <c r="W534" s="284">
        <v>1146346</v>
      </c>
      <c r="X534" s="19" t="str">
        <f>IFERROR(INDEX(Table14[],MATCH($W534,Table14[SAPNo],0),3),"")</f>
        <v>1313 CT418 18-60</v>
      </c>
      <c r="Y534" s="284">
        <v>21</v>
      </c>
      <c r="Z534" s="25">
        <f t="shared" ref="Z534:Z538" si="84">IFERROR(INDEX($O$2:$P$400,MATCH($S534,$O$2:$O$93,0),2),0)</f>
        <v>0</v>
      </c>
      <c r="AA534" s="25">
        <f t="shared" ref="AA534:AA538" si="85">Y534*Z534</f>
        <v>0</v>
      </c>
      <c r="AB534" s="23">
        <f ca="1">IFERROR(INDEX('Cutters Inventory 12-30-2025'!A:W,MATCH($W534,'Cutters Inventory 12-30-2025'!B:B,0),14),0)</f>
        <v>558</v>
      </c>
      <c r="AC534" s="23">
        <f>SUMIF(Table1[LEVEL 5 MAT NO.],S534,Table1[Braze Plan])</f>
        <v>0</v>
      </c>
      <c r="AD534" s="23">
        <f>Table4[[#This Row],[Quantity]]*Table4[[#This Row],[Bits Braze Plan]]</f>
        <v>0</v>
      </c>
      <c r="AE534" s="23">
        <f ca="1">Table4[[#This Row],[INV. QTY]]-Table4[[#This Row],[Required For Braze Cutters Check]]</f>
        <v>558</v>
      </c>
      <c r="AF534" s="23">
        <f t="shared" ca="1" si="78"/>
        <v>558</v>
      </c>
      <c r="AG534" s="626"/>
    </row>
    <row r="535" spans="1:33" ht="24.75" customHeight="1" x14ac:dyDescent="0.25">
      <c r="A535" s="109">
        <v>20240236</v>
      </c>
      <c r="B535" s="709"/>
      <c r="C535" s="109">
        <v>14254497</v>
      </c>
      <c r="D535" s="109" t="s">
        <v>624</v>
      </c>
      <c r="E535" s="109" t="s">
        <v>663</v>
      </c>
      <c r="F535" s="109"/>
      <c r="G535" s="109" t="s">
        <v>681</v>
      </c>
      <c r="H535" s="140">
        <v>1269498</v>
      </c>
      <c r="I535" s="140">
        <v>1276939</v>
      </c>
      <c r="J535" s="26">
        <f>IF(H535&lt;&gt;"",IF(AND(C535&lt;&gt;"",IFERROR(MATCH(C535,Table10[Serial No.],0),0)),0,1),0)</f>
        <v>0</v>
      </c>
      <c r="K535" s="21"/>
      <c r="L535" s="539" t="str">
        <f t="shared" ca="1" si="79"/>
        <v/>
      </c>
      <c r="S535" s="281" t="s">
        <v>780</v>
      </c>
      <c r="T535" s="278">
        <v>6</v>
      </c>
      <c r="U535" s="278" t="s">
        <v>781</v>
      </c>
      <c r="V535" s="25">
        <v>2</v>
      </c>
      <c r="W535" s="284">
        <v>418525</v>
      </c>
      <c r="X535" s="19" t="str">
        <f>IFERROR(INDEX(Table14[],MATCH($W535,Table14[SAPNo],0),3),"")</f>
        <v>Drop In 1308 CT31   (B)</v>
      </c>
      <c r="Y535" s="284">
        <v>6</v>
      </c>
      <c r="Z535" s="25">
        <f t="shared" si="84"/>
        <v>0</v>
      </c>
      <c r="AA535" s="25">
        <f t="shared" si="85"/>
        <v>0</v>
      </c>
      <c r="AB535" s="23">
        <f ca="1">IFERROR(INDEX('Cutters Inventory 12-30-2025'!A:W,MATCH($W535,'Cutters Inventory 12-30-2025'!B:B,0),14),0)</f>
        <v>933</v>
      </c>
      <c r="AC535" s="23">
        <f>SUMIF(Table1[LEVEL 5 MAT NO.],S535,Table1[Braze Plan])</f>
        <v>0</v>
      </c>
      <c r="AD535" s="23">
        <f>Table4[[#This Row],[Quantity]]*Table4[[#This Row],[Bits Braze Plan]]</f>
        <v>0</v>
      </c>
      <c r="AE535" s="23">
        <f ca="1">Table4[[#This Row],[INV. QTY]]-Table4[[#This Row],[Required For Braze Cutters Check]]</f>
        <v>933</v>
      </c>
      <c r="AF535" s="23">
        <f t="shared" ca="1" si="78"/>
        <v>933</v>
      </c>
      <c r="AG535" s="626"/>
    </row>
    <row r="536" spans="1:33" ht="24.75" customHeight="1" x14ac:dyDescent="0.25">
      <c r="A536" s="109">
        <v>20240236</v>
      </c>
      <c r="B536" s="709"/>
      <c r="C536" s="109">
        <v>14254499</v>
      </c>
      <c r="D536" s="109" t="s">
        <v>624</v>
      </c>
      <c r="E536" s="109" t="s">
        <v>663</v>
      </c>
      <c r="F536" s="109"/>
      <c r="G536" s="109" t="s">
        <v>681</v>
      </c>
      <c r="H536" s="140">
        <v>1269498</v>
      </c>
      <c r="I536" s="140">
        <v>1276939</v>
      </c>
      <c r="J536" s="26">
        <f>IF(H536&lt;&gt;"",IF(AND(C536&lt;&gt;"",IFERROR(MATCH(C536,Table10[Serial No.],0),0)),0,1),0)</f>
        <v>0</v>
      </c>
      <c r="K536" s="21"/>
      <c r="L536" s="539" t="str">
        <f t="shared" ca="1" si="79"/>
        <v/>
      </c>
      <c r="S536" s="281" t="s">
        <v>780</v>
      </c>
      <c r="T536" s="278">
        <v>6</v>
      </c>
      <c r="U536" s="278" t="s">
        <v>781</v>
      </c>
      <c r="V536" s="25">
        <v>3</v>
      </c>
      <c r="W536" s="284">
        <v>871781</v>
      </c>
      <c r="X536" s="19" t="str">
        <f>IFERROR(INDEX(Table14[],MATCH($W536,Table14[SAPNo],0),3),"")</f>
        <v>Round 1313 CT200  0.018" (B)</v>
      </c>
      <c r="Y536" s="284">
        <v>6</v>
      </c>
      <c r="Z536" s="25">
        <f t="shared" si="84"/>
        <v>0</v>
      </c>
      <c r="AA536" s="25">
        <f t="shared" si="85"/>
        <v>0</v>
      </c>
      <c r="AB536" s="23">
        <f ca="1">IFERROR(INDEX('Cutters Inventory 12-30-2025'!A:W,MATCH($W536,'Cutters Inventory 12-30-2025'!B:B,0),14),0)</f>
        <v>843</v>
      </c>
      <c r="AC536" s="23">
        <f>SUMIF(Table1[LEVEL 5 MAT NO.],S536,Table1[Braze Plan])</f>
        <v>0</v>
      </c>
      <c r="AD536" s="23">
        <f>Table4[[#This Row],[Quantity]]*Table4[[#This Row],[Bits Braze Plan]]</f>
        <v>0</v>
      </c>
      <c r="AE536" s="23">
        <f ca="1">Table4[[#This Row],[INV. QTY]]-Table4[[#This Row],[Required For Braze Cutters Check]]</f>
        <v>843</v>
      </c>
      <c r="AF536" s="23">
        <f t="shared" ca="1" si="78"/>
        <v>843</v>
      </c>
      <c r="AG536" s="626"/>
    </row>
    <row r="537" spans="1:33" ht="24.75" customHeight="1" x14ac:dyDescent="0.25">
      <c r="A537" s="109">
        <v>20240236</v>
      </c>
      <c r="B537" s="709"/>
      <c r="C537" s="109">
        <v>14254501</v>
      </c>
      <c r="D537" s="109" t="s">
        <v>624</v>
      </c>
      <c r="E537" s="109" t="s">
        <v>663</v>
      </c>
      <c r="F537" s="109"/>
      <c r="G537" s="109" t="s">
        <v>681</v>
      </c>
      <c r="H537" s="140">
        <v>1269498</v>
      </c>
      <c r="I537" s="140">
        <v>1276939</v>
      </c>
      <c r="J537" s="26">
        <f>IF(H537&lt;&gt;"",IF(AND(C537&lt;&gt;"",IFERROR(MATCH(C537,Table10[Serial No.],0),0)),0,1),0)</f>
        <v>0</v>
      </c>
      <c r="K537" s="21"/>
      <c r="L537" s="539" t="str">
        <f t="shared" ca="1" si="79"/>
        <v/>
      </c>
      <c r="S537" s="281" t="s">
        <v>780</v>
      </c>
      <c r="T537" s="278">
        <v>6</v>
      </c>
      <c r="U537" s="278" t="s">
        <v>781</v>
      </c>
      <c r="V537" s="25">
        <v>4</v>
      </c>
      <c r="W537" s="284">
        <v>1192901</v>
      </c>
      <c r="X537" s="19" t="str">
        <f>IFERROR(INDEX(Table14[],MATCH($W537,Table14[SAPNo],0),3),"")</f>
        <v xml:space="preserve">12MM WC­MAT400 </v>
      </c>
      <c r="Y537" s="284">
        <v>6</v>
      </c>
      <c r="Z537" s="25">
        <f t="shared" si="84"/>
        <v>0</v>
      </c>
      <c r="AA537" s="25">
        <f t="shared" si="85"/>
        <v>0</v>
      </c>
      <c r="AB537" s="23">
        <f ca="1">IFERROR(INDEX('Cutters Inventory 12-30-2025'!A:W,MATCH($W537,'Cutters Inventory 12-30-2025'!B:B,0),14),0)</f>
        <v>30</v>
      </c>
      <c r="AC537" s="23">
        <f>SUMIF(Table1[LEVEL 5 MAT NO.],S537,Table1[Braze Plan])</f>
        <v>0</v>
      </c>
      <c r="AD537" s="23">
        <f>Table4[[#This Row],[Quantity]]*Table4[[#This Row],[Bits Braze Plan]]</f>
        <v>0</v>
      </c>
      <c r="AE537" s="23">
        <f ca="1">Table4[[#This Row],[INV. QTY]]-Table4[[#This Row],[Required For Braze Cutters Check]]</f>
        <v>30</v>
      </c>
      <c r="AF537" s="23">
        <f t="shared" ca="1" si="78"/>
        <v>30</v>
      </c>
      <c r="AG537" s="626"/>
    </row>
    <row r="538" spans="1:33" ht="24.75" customHeight="1" x14ac:dyDescent="0.25">
      <c r="A538" s="109">
        <v>20240236</v>
      </c>
      <c r="B538" s="709"/>
      <c r="C538" s="109">
        <v>14254500</v>
      </c>
      <c r="D538" s="109" t="s">
        <v>624</v>
      </c>
      <c r="E538" s="109" t="s">
        <v>663</v>
      </c>
      <c r="F538" s="109"/>
      <c r="G538" s="109" t="s">
        <v>681</v>
      </c>
      <c r="H538" s="140">
        <v>1269498</v>
      </c>
      <c r="I538" s="140">
        <v>1276939</v>
      </c>
      <c r="J538" s="26">
        <f>IF(H538&lt;&gt;"",IF(AND(C538&lt;&gt;"",IFERROR(MATCH(C538,Table10[Serial No.],0),0)),0,1),0)</f>
        <v>0</v>
      </c>
      <c r="K538" s="21"/>
      <c r="L538" s="539" t="str">
        <f t="shared" ca="1" si="79"/>
        <v/>
      </c>
      <c r="S538" s="281" t="s">
        <v>780</v>
      </c>
      <c r="T538" s="278">
        <v>6</v>
      </c>
      <c r="U538" s="278" t="s">
        <v>781</v>
      </c>
      <c r="V538" s="25">
        <v>5</v>
      </c>
      <c r="W538" s="284">
        <v>1192902</v>
      </c>
      <c r="X538" s="19" t="str">
        <f>IFERROR(INDEX(Table14[],MATCH($W538,Table14[SAPNo],0),3),"")</f>
        <v>12MM CT200NL NA</v>
      </c>
      <c r="Y538" s="284">
        <v>3</v>
      </c>
      <c r="Z538" s="25">
        <f t="shared" si="84"/>
        <v>0</v>
      </c>
      <c r="AA538" s="25">
        <f t="shared" si="85"/>
        <v>0</v>
      </c>
      <c r="AB538" s="23">
        <f ca="1">IFERROR(INDEX('Cutters Inventory 12-30-2025'!A:W,MATCH($W538,'Cutters Inventory 12-30-2025'!B:B,0),14),0)</f>
        <v>63</v>
      </c>
      <c r="AC538" s="23">
        <f>SUMIF(Table1[LEVEL 5 MAT NO.],S538,Table1[Braze Plan])</f>
        <v>0</v>
      </c>
      <c r="AD538" s="23">
        <f>Table4[[#This Row],[Quantity]]*Table4[[#This Row],[Bits Braze Plan]]</f>
        <v>0</v>
      </c>
      <c r="AE538" s="23">
        <f ca="1">Table4[[#This Row],[INV. QTY]]-Table4[[#This Row],[Required For Braze Cutters Check]]</f>
        <v>63</v>
      </c>
      <c r="AF538" s="23">
        <f t="shared" ca="1" si="78"/>
        <v>63</v>
      </c>
      <c r="AG538" s="626"/>
    </row>
    <row r="539" spans="1:33" ht="24.75" customHeight="1" x14ac:dyDescent="0.25">
      <c r="A539" s="109">
        <v>20240236</v>
      </c>
      <c r="B539" s="709"/>
      <c r="C539" s="109">
        <v>14254503</v>
      </c>
      <c r="D539" s="109" t="s">
        <v>315</v>
      </c>
      <c r="E539" s="109" t="s">
        <v>660</v>
      </c>
      <c r="F539" s="109" t="s">
        <v>659</v>
      </c>
      <c r="G539" s="109" t="s">
        <v>676</v>
      </c>
      <c r="H539" s="140">
        <v>1186940</v>
      </c>
      <c r="I539" s="140">
        <v>1176003</v>
      </c>
      <c r="J539" s="26">
        <f>IF(H539&lt;&gt;"",IF(AND(C539&lt;&gt;"",IFERROR(MATCH(C539,Table10[Serial No.],0),0)),0,1),0)</f>
        <v>0</v>
      </c>
      <c r="K539" s="21"/>
      <c r="L539" s="539" t="str">
        <f t="shared" ca="1" si="79"/>
        <v/>
      </c>
      <c r="S539" s="281" t="s">
        <v>782</v>
      </c>
      <c r="T539" s="278">
        <v>6.125</v>
      </c>
      <c r="U539" s="278" t="s">
        <v>256</v>
      </c>
      <c r="V539" s="25">
        <v>1</v>
      </c>
      <c r="W539" s="284">
        <v>1282369</v>
      </c>
      <c r="X539" s="19" t="str">
        <f>IFERROR(INDEX(Table14[],MATCH($W539,Table14[SAPNo],0),3),"")</f>
        <v>1313 CT436Mv3 U-60</v>
      </c>
      <c r="Y539" s="284">
        <v>13</v>
      </c>
      <c r="Z539" s="25">
        <f t="shared" ref="Z539:Z541" si="86">IFERROR(INDEX($O$2:$P$400,MATCH($S539,$O$2:$O$93,0),2),0)</f>
        <v>0</v>
      </c>
      <c r="AA539" s="25">
        <f>Y539*Z539</f>
        <v>0</v>
      </c>
      <c r="AB539" s="23">
        <f ca="1">IFERROR(INDEX('Cutters Inventory 12-30-2025'!A:W,MATCH($W539,'Cutters Inventory 12-30-2025'!B:B,0),14),0)</f>
        <v>120</v>
      </c>
      <c r="AC539" s="23">
        <f>SUMIF(Table1[LEVEL 5 MAT NO.],S539,Table1[Braze Plan])</f>
        <v>0</v>
      </c>
      <c r="AD539" s="23">
        <f>Table4[[#This Row],[Quantity]]*Table4[[#This Row],[Bits Braze Plan]]</f>
        <v>0</v>
      </c>
      <c r="AE539" s="23">
        <f ca="1">Table4[[#This Row],[INV. QTY]]-Table4[[#This Row],[Required For Braze Cutters Check]]</f>
        <v>120</v>
      </c>
      <c r="AF539" s="23">
        <f t="shared" ca="1" si="78"/>
        <v>120</v>
      </c>
      <c r="AG539" s="626"/>
    </row>
    <row r="540" spans="1:33" ht="24.75" customHeight="1" x14ac:dyDescent="0.25">
      <c r="A540" s="109">
        <v>20240236</v>
      </c>
      <c r="B540" s="709"/>
      <c r="C540" s="109">
        <v>14254506</v>
      </c>
      <c r="D540" s="109" t="s">
        <v>315</v>
      </c>
      <c r="E540" s="109" t="s">
        <v>284</v>
      </c>
      <c r="F540" s="109" t="s">
        <v>659</v>
      </c>
      <c r="G540" s="109" t="s">
        <v>676</v>
      </c>
      <c r="H540" s="140">
        <v>1234376</v>
      </c>
      <c r="I540" s="140">
        <v>1249569</v>
      </c>
      <c r="J540" s="26">
        <f>IF(H540&lt;&gt;"",IF(AND(C540&lt;&gt;"",IFERROR(MATCH(C540,Table10[Serial No.],0),0)),0,1),0)</f>
        <v>0</v>
      </c>
      <c r="K540" s="21"/>
      <c r="L540" s="539" t="str">
        <f t="shared" ca="1" si="79"/>
        <v/>
      </c>
      <c r="S540" s="281" t="s">
        <v>782</v>
      </c>
      <c r="T540" s="278">
        <v>6.125</v>
      </c>
      <c r="U540" s="278" t="s">
        <v>256</v>
      </c>
      <c r="V540" s="25">
        <v>2</v>
      </c>
      <c r="W540" s="284">
        <v>1146346</v>
      </c>
      <c r="X540" s="19" t="str">
        <f>IFERROR(INDEX(Table14[],MATCH($W540,Table14[SAPNo],0),3),"")</f>
        <v>1313 CT418 18-60</v>
      </c>
      <c r="Y540" s="284">
        <v>12</v>
      </c>
      <c r="Z540" s="25">
        <f t="shared" si="86"/>
        <v>0</v>
      </c>
      <c r="AA540" s="25">
        <f>Y540*Z540</f>
        <v>0</v>
      </c>
      <c r="AB540" s="23">
        <f ca="1">IFERROR(INDEX('Cutters Inventory 12-30-2025'!A:W,MATCH($W540,'Cutters Inventory 12-30-2025'!B:B,0),14),0)</f>
        <v>558</v>
      </c>
      <c r="AC540" s="23">
        <f>SUMIF(Table1[LEVEL 5 MAT NO.],S540,Table1[Braze Plan])</f>
        <v>0</v>
      </c>
      <c r="AD540" s="23">
        <f>Table4[[#This Row],[Quantity]]*Table4[[#This Row],[Bits Braze Plan]]</f>
        <v>0</v>
      </c>
      <c r="AE540" s="23">
        <f ca="1">Table4[[#This Row],[INV. QTY]]-Table4[[#This Row],[Required For Braze Cutters Check]]</f>
        <v>558</v>
      </c>
      <c r="AF540" s="23">
        <f t="shared" ca="1" si="78"/>
        <v>558</v>
      </c>
      <c r="AG540" s="626"/>
    </row>
    <row r="541" spans="1:33" ht="24.75" customHeight="1" x14ac:dyDescent="0.25">
      <c r="A541" s="109">
        <v>20240236</v>
      </c>
      <c r="B541" s="709"/>
      <c r="C541" s="109">
        <v>14254505</v>
      </c>
      <c r="D541" s="109" t="s">
        <v>315</v>
      </c>
      <c r="E541" s="109" t="s">
        <v>284</v>
      </c>
      <c r="F541" s="109" t="s">
        <v>659</v>
      </c>
      <c r="G541" s="109" t="s">
        <v>676</v>
      </c>
      <c r="H541" s="140">
        <v>1234376</v>
      </c>
      <c r="I541" s="140">
        <v>1249569</v>
      </c>
      <c r="J541" s="26">
        <f>IF(H541&lt;&gt;"",IF(AND(C541&lt;&gt;"",IFERROR(MATCH(C541,Table10[Serial No.],0),0)),0,1),0)</f>
        <v>0</v>
      </c>
      <c r="K541" s="21"/>
      <c r="L541" s="539" t="str">
        <f t="shared" ca="1" si="79"/>
        <v/>
      </c>
      <c r="S541" s="281" t="s">
        <v>782</v>
      </c>
      <c r="T541" s="278">
        <v>6.125</v>
      </c>
      <c r="U541" s="278" t="s">
        <v>256</v>
      </c>
      <c r="V541" s="25">
        <v>3</v>
      </c>
      <c r="W541" s="284">
        <v>418525</v>
      </c>
      <c r="X541" s="19" t="str">
        <f>IFERROR(INDEX(Table14[],MATCH($W541,Table14[SAPNo],0),3),"")</f>
        <v>Drop In 1308 CT31   (B)</v>
      </c>
      <c r="Y541" s="284">
        <v>6</v>
      </c>
      <c r="Z541" s="25">
        <f t="shared" si="86"/>
        <v>0</v>
      </c>
      <c r="AA541" s="25">
        <f>Y541*Z541</f>
        <v>0</v>
      </c>
      <c r="AB541" s="23">
        <f ca="1">IFERROR(INDEX('Cutters Inventory 12-30-2025'!A:W,MATCH($W541,'Cutters Inventory 12-30-2025'!B:B,0),14),0)</f>
        <v>933</v>
      </c>
      <c r="AC541" s="23">
        <f>SUMIF(Table1[LEVEL 5 MAT NO.],S541,Table1[Braze Plan])</f>
        <v>0</v>
      </c>
      <c r="AD541" s="23">
        <f>Table4[[#This Row],[Quantity]]*Table4[[#This Row],[Bits Braze Plan]]</f>
        <v>0</v>
      </c>
      <c r="AE541" s="23">
        <f ca="1">Table4[[#This Row],[INV. QTY]]-Table4[[#This Row],[Required For Braze Cutters Check]]</f>
        <v>933</v>
      </c>
      <c r="AF541" s="23">
        <f t="shared" ca="1" si="78"/>
        <v>933</v>
      </c>
      <c r="AG541" s="626"/>
    </row>
    <row r="542" spans="1:33" ht="24.75" customHeight="1" x14ac:dyDescent="0.25">
      <c r="A542" s="109">
        <v>20240236</v>
      </c>
      <c r="B542" s="709"/>
      <c r="C542" s="109">
        <v>14254504</v>
      </c>
      <c r="D542" s="109" t="s">
        <v>315</v>
      </c>
      <c r="E542" s="109" t="s">
        <v>284</v>
      </c>
      <c r="F542" s="109" t="s">
        <v>659</v>
      </c>
      <c r="G542" s="109" t="s">
        <v>676</v>
      </c>
      <c r="H542" s="140">
        <v>1234376</v>
      </c>
      <c r="I542" s="140">
        <v>1249569</v>
      </c>
      <c r="J542" s="26">
        <f>IF(H542&lt;&gt;"",IF(AND(C542&lt;&gt;"",IFERROR(MATCH(C542,Table10[Serial No.],0),0)),0,1),0)</f>
        <v>0</v>
      </c>
      <c r="K542" s="21"/>
      <c r="L542" s="539" t="str">
        <f t="shared" ca="1" si="79"/>
        <v/>
      </c>
      <c r="S542" s="281" t="s">
        <v>782</v>
      </c>
      <c r="T542" s="278">
        <v>6.125</v>
      </c>
      <c r="U542" s="278" t="s">
        <v>256</v>
      </c>
      <c r="V542" s="25">
        <v>4</v>
      </c>
      <c r="W542" s="284">
        <v>1101509</v>
      </c>
      <c r="X542" s="19" t="str">
        <f>IFERROR(INDEX(Table14[],MATCH($W542,Table14[SAPNo],0),3),"")</f>
        <v>Short IA 8    (C)</v>
      </c>
      <c r="Y542" s="284">
        <v>5</v>
      </c>
      <c r="Z542" s="25">
        <f t="shared" ref="Z542:Z543" si="87">IFERROR(INDEX($O$2:$P$400,MATCH($S542,$O$2:$O$93,0),2),0)</f>
        <v>0</v>
      </c>
      <c r="AA542" s="25">
        <f>Y542*Z542</f>
        <v>0</v>
      </c>
      <c r="AB542" s="23">
        <f ca="1">IFERROR(INDEX('Cutters Inventory 12-30-2025'!A:W,MATCH($W542,'Cutters Inventory 12-30-2025'!B:B,0),14),0)</f>
        <v>66</v>
      </c>
      <c r="AC542" s="23">
        <f>SUMIF(Table1[LEVEL 5 MAT NO.],S542,Table1[Braze Plan])</f>
        <v>0</v>
      </c>
      <c r="AD542" s="23">
        <f>Table4[[#This Row],[Quantity]]*Table4[[#This Row],[Bits Braze Plan]]</f>
        <v>0</v>
      </c>
      <c r="AE542" s="23">
        <f ca="1">Table4[[#This Row],[INV. QTY]]-Table4[[#This Row],[Required For Braze Cutters Check]]</f>
        <v>66</v>
      </c>
      <c r="AF542" s="23">
        <f t="shared" ca="1" si="78"/>
        <v>66</v>
      </c>
      <c r="AG542" s="626"/>
    </row>
    <row r="543" spans="1:33" ht="24.75" customHeight="1" x14ac:dyDescent="0.25">
      <c r="A543" s="132">
        <v>20240236</v>
      </c>
      <c r="B543" s="709"/>
      <c r="C543" s="132">
        <v>14254507</v>
      </c>
      <c r="D543" s="132" t="s">
        <v>315</v>
      </c>
      <c r="E543" s="132" t="s">
        <v>284</v>
      </c>
      <c r="F543" s="132" t="s">
        <v>659</v>
      </c>
      <c r="G543" s="132" t="s">
        <v>676</v>
      </c>
      <c r="H543" s="141">
        <v>1234376</v>
      </c>
      <c r="I543" s="141">
        <v>1249569</v>
      </c>
      <c r="J543" s="26">
        <f>IF(H543&lt;&gt;"",IF(AND(C543&lt;&gt;"",IFERROR(MATCH(C543,Table10[Serial No.],0),0)),0,1),0)</f>
        <v>0</v>
      </c>
      <c r="K543" s="21"/>
      <c r="L543" s="539" t="str">
        <f t="shared" ca="1" si="79"/>
        <v/>
      </c>
      <c r="S543" s="281" t="s">
        <v>782</v>
      </c>
      <c r="T543" s="278">
        <v>6.125</v>
      </c>
      <c r="U543" s="278" t="s">
        <v>256</v>
      </c>
      <c r="V543" s="25">
        <v>5</v>
      </c>
      <c r="W543" s="284">
        <v>1104083</v>
      </c>
      <c r="X543" s="19" t="str">
        <f>IFERROR(INDEX(Table14[],MATCH($W543,Table14[SAPNo],0),3),"")</f>
        <v>1313 CT144H  10C (S)</v>
      </c>
      <c r="Y543" s="284">
        <v>1</v>
      </c>
      <c r="Z543" s="25">
        <f t="shared" si="87"/>
        <v>0</v>
      </c>
      <c r="AA543" s="25">
        <f>Y543*Z543</f>
        <v>0</v>
      </c>
      <c r="AB543" s="23">
        <f ca="1">IFERROR(INDEX('Cutters Inventory 12-30-2025'!A:W,MATCH($W543,'Cutters Inventory 12-30-2025'!B:B,0),14),0)</f>
        <v>2</v>
      </c>
      <c r="AC543" s="23">
        <f>SUMIF(Table1[LEVEL 5 MAT NO.],S543,Table1[Braze Plan])</f>
        <v>0</v>
      </c>
      <c r="AD543" s="23">
        <f>Table4[[#This Row],[Quantity]]*Table4[[#This Row],[Bits Braze Plan]]</f>
        <v>0</v>
      </c>
      <c r="AE543" s="23">
        <f ca="1">Table4[[#This Row],[INV. QTY]]-Table4[[#This Row],[Required For Braze Cutters Check]]</f>
        <v>2</v>
      </c>
      <c r="AF543" s="23">
        <f t="shared" ca="1" si="78"/>
        <v>2</v>
      </c>
      <c r="AG543" s="626"/>
    </row>
    <row r="544" spans="1:33" ht="24.75" customHeight="1" x14ac:dyDescent="0.25">
      <c r="A544" s="109">
        <v>20240277</v>
      </c>
      <c r="B544" s="608"/>
      <c r="C544" s="109">
        <v>14273123</v>
      </c>
      <c r="D544" s="109" t="s">
        <v>304</v>
      </c>
      <c r="E544" s="109" t="s">
        <v>630</v>
      </c>
      <c r="F544" s="109" t="s">
        <v>783</v>
      </c>
      <c r="G544" s="109">
        <v>3</v>
      </c>
      <c r="H544" s="140">
        <v>1228690</v>
      </c>
      <c r="I544" s="140">
        <v>960723</v>
      </c>
      <c r="J544" s="26">
        <f>IF(H544&lt;&gt;"",IF(AND(C544&lt;&gt;"",IFERROR(MATCH(C544,Table10[Serial No.],0),0)),0,1),0)</f>
        <v>0</v>
      </c>
      <c r="K544" s="21"/>
      <c r="L544" s="539" t="str">
        <f t="shared" ca="1" si="79"/>
        <v/>
      </c>
      <c r="S544" s="281">
        <v>2020054</v>
      </c>
      <c r="T544" s="278">
        <v>6.125</v>
      </c>
      <c r="U544" s="278" t="s">
        <v>784</v>
      </c>
      <c r="V544" s="25">
        <v>1</v>
      </c>
      <c r="W544" s="284">
        <v>1146346</v>
      </c>
      <c r="X544" s="19" t="str">
        <f>IFERROR(INDEX(Table14[],MATCH($W544,Table14[SAPNo],0),3),"")</f>
        <v>1313 CT418 18-60</v>
      </c>
      <c r="Y544" s="284">
        <v>17</v>
      </c>
      <c r="Z544" s="25">
        <f t="shared" ref="Z544:Z547" si="88">IFERROR(INDEX($O$2:$P$400,MATCH($S544,$O$2:$O$93,0),2),0)</f>
        <v>4</v>
      </c>
      <c r="AA544" s="25">
        <f t="shared" ref="AA544:AA547" si="89">Y544*Z544</f>
        <v>68</v>
      </c>
      <c r="AB544" s="23">
        <f ca="1">IFERROR(INDEX('Cutters Inventory 12-30-2025'!A:W,MATCH($W544,'Cutters Inventory 12-30-2025'!B:B,0),14),0)</f>
        <v>558</v>
      </c>
      <c r="AC544" s="23">
        <f>SUMIF(Table1[LEVEL 5 MAT NO.],S544,Table1[Braze Plan])</f>
        <v>0</v>
      </c>
      <c r="AD544" s="23">
        <f>Table4[[#This Row],[Quantity]]*Table4[[#This Row],[Bits Braze Plan]]</f>
        <v>0</v>
      </c>
      <c r="AE544" s="23">
        <f ca="1">Table4[[#This Row],[INV. QTY]]-Table4[[#This Row],[Required For Braze Cutters Check]]</f>
        <v>558</v>
      </c>
      <c r="AF544" s="23">
        <f t="shared" ref="AF544:AF547" ca="1" si="90">IFERROR(INDEX($AJ$2:$AO$136,MATCH($W544,$AJ$2:$AJ$136,0),5),0)</f>
        <v>558</v>
      </c>
      <c r="AG544" s="626"/>
    </row>
    <row r="545" spans="1:33" ht="24.75" customHeight="1" x14ac:dyDescent="0.25">
      <c r="A545" s="109">
        <v>20240277</v>
      </c>
      <c r="B545" s="608"/>
      <c r="C545" s="109">
        <v>14273122</v>
      </c>
      <c r="D545" s="109" t="s">
        <v>304</v>
      </c>
      <c r="E545" s="109" t="s">
        <v>630</v>
      </c>
      <c r="F545" s="109" t="s">
        <v>783</v>
      </c>
      <c r="G545" s="109">
        <v>3</v>
      </c>
      <c r="H545" s="140">
        <v>1228690</v>
      </c>
      <c r="I545" s="140">
        <v>960723</v>
      </c>
      <c r="J545" s="26">
        <f>IF(H545&lt;&gt;"",IF(AND(C545&lt;&gt;"",IFERROR(MATCH(C545,Table10[Serial No.],0),0)),0,1),0)</f>
        <v>0</v>
      </c>
      <c r="K545" s="21"/>
      <c r="L545" s="539" t="str">
        <f t="shared" ca="1" si="79"/>
        <v/>
      </c>
      <c r="S545" s="281">
        <v>2020054</v>
      </c>
      <c r="T545" s="278">
        <v>6.125</v>
      </c>
      <c r="U545" s="278" t="s">
        <v>784</v>
      </c>
      <c r="V545" s="25">
        <v>2</v>
      </c>
      <c r="W545" s="284">
        <v>649901</v>
      </c>
      <c r="X545" s="19" t="str">
        <f>IFERROR(INDEX(Table14[],MATCH($W545,Table14[SAPNo],0),3),"")</f>
        <v>Carbide IA 8    (C)</v>
      </c>
      <c r="Y545" s="284">
        <v>10</v>
      </c>
      <c r="Z545" s="25">
        <f t="shared" si="88"/>
        <v>4</v>
      </c>
      <c r="AA545" s="25">
        <f t="shared" si="89"/>
        <v>40</v>
      </c>
      <c r="AB545" s="23">
        <f ca="1">IFERROR(INDEX('Cutters Inventory 12-30-2025'!A:W,MATCH($W545,'Cutters Inventory 12-30-2025'!B:B,0),14),0)</f>
        <v>0</v>
      </c>
      <c r="AC545" s="23">
        <f>SUMIF(Table1[LEVEL 5 MAT NO.],S545,Table1[Braze Plan])</f>
        <v>0</v>
      </c>
      <c r="AD545" s="23">
        <f>Table4[[#This Row],[Quantity]]*Table4[[#This Row],[Bits Braze Plan]]</f>
        <v>0</v>
      </c>
      <c r="AE545" s="23">
        <f ca="1">Table4[[#This Row],[INV. QTY]]-Table4[[#This Row],[Required For Braze Cutters Check]]</f>
        <v>0</v>
      </c>
      <c r="AF545" s="23">
        <f t="shared" ca="1" si="90"/>
        <v>0</v>
      </c>
      <c r="AG545" s="626"/>
    </row>
    <row r="546" spans="1:33" ht="24.75" customHeight="1" x14ac:dyDescent="0.25">
      <c r="A546" s="109">
        <v>20240277</v>
      </c>
      <c r="B546" s="608"/>
      <c r="C546" s="109">
        <v>14273124</v>
      </c>
      <c r="D546" s="109" t="s">
        <v>304</v>
      </c>
      <c r="E546" s="109" t="s">
        <v>630</v>
      </c>
      <c r="F546" s="109" t="s">
        <v>783</v>
      </c>
      <c r="G546" s="109">
        <v>3</v>
      </c>
      <c r="H546" s="140">
        <v>1228690</v>
      </c>
      <c r="I546" s="140">
        <v>960723</v>
      </c>
      <c r="J546" s="26">
        <f>IF(H546&lt;&gt;"",IF(AND(C546&lt;&gt;"",IFERROR(MATCH(C546,Table10[Serial No.],0),0)),0,1),0)</f>
        <v>0</v>
      </c>
      <c r="K546" s="21"/>
      <c r="L546" s="539" t="str">
        <f t="shared" ca="1" si="79"/>
        <v/>
      </c>
      <c r="S546" s="281">
        <v>2020054</v>
      </c>
      <c r="T546" s="278">
        <v>6.125</v>
      </c>
      <c r="U546" s="278" t="s">
        <v>784</v>
      </c>
      <c r="V546" s="25">
        <v>3</v>
      </c>
      <c r="W546" s="284">
        <v>2001155</v>
      </c>
      <c r="X546" s="19" t="str">
        <f>IFERROR(INDEX(Table14[],MATCH($W546,Table14[SAPNo],0),3),"")</f>
        <v>1313 CT179T U-60</v>
      </c>
      <c r="Y546" s="284">
        <v>7</v>
      </c>
      <c r="Z546" s="25">
        <f t="shared" si="88"/>
        <v>4</v>
      </c>
      <c r="AA546" s="25">
        <f t="shared" si="89"/>
        <v>28</v>
      </c>
      <c r="AB546" s="23">
        <f ca="1">IFERROR(INDEX('Cutters Inventory 12-30-2025'!A:W,MATCH($W546,'Cutters Inventory 12-30-2025'!B:B,0),14),0)</f>
        <v>45</v>
      </c>
      <c r="AC546" s="23">
        <f>SUMIF(Table1[LEVEL 5 MAT NO.],S546,Table1[Braze Plan])</f>
        <v>0</v>
      </c>
      <c r="AD546" s="23">
        <f>Table4[[#This Row],[Quantity]]*Table4[[#This Row],[Bits Braze Plan]]</f>
        <v>0</v>
      </c>
      <c r="AE546" s="23">
        <f ca="1">Table4[[#This Row],[INV. QTY]]-Table4[[#This Row],[Required For Braze Cutters Check]]</f>
        <v>45</v>
      </c>
      <c r="AF546" s="23">
        <f t="shared" ca="1" si="90"/>
        <v>45</v>
      </c>
      <c r="AG546" s="626"/>
    </row>
    <row r="547" spans="1:33" ht="24.75" customHeight="1" x14ac:dyDescent="0.25">
      <c r="A547" s="109">
        <v>20240277</v>
      </c>
      <c r="B547" s="608"/>
      <c r="C547" s="109">
        <v>14273126</v>
      </c>
      <c r="D547" s="109" t="s">
        <v>307</v>
      </c>
      <c r="E547" s="109" t="s">
        <v>308</v>
      </c>
      <c r="F547" s="109" t="s">
        <v>785</v>
      </c>
      <c r="G547" s="109">
        <v>3</v>
      </c>
      <c r="H547" s="140">
        <v>1224225</v>
      </c>
      <c r="I547" s="140">
        <v>1252149</v>
      </c>
      <c r="J547" s="26">
        <f>IF(H547&lt;&gt;"",IF(AND(C547&lt;&gt;"",IFERROR(MATCH(C547,Table10[Serial No.],0),0)),0,1),0)</f>
        <v>0</v>
      </c>
      <c r="K547" s="21"/>
      <c r="L547" s="539" t="str">
        <f t="shared" ca="1" si="79"/>
        <v/>
      </c>
      <c r="S547" s="281">
        <v>2020054</v>
      </c>
      <c r="T547" s="278">
        <v>6.125</v>
      </c>
      <c r="U547" s="278" t="s">
        <v>784</v>
      </c>
      <c r="V547" s="25">
        <v>4</v>
      </c>
      <c r="W547" s="284">
        <v>871781</v>
      </c>
      <c r="X547" s="19" t="str">
        <f>IFERROR(INDEX(Table14[],MATCH($W547,Table14[SAPNo],0),3),"")</f>
        <v>Round 1313 CT200  0.018" (B)</v>
      </c>
      <c r="Y547" s="284">
        <v>5</v>
      </c>
      <c r="Z547" s="25">
        <f t="shared" si="88"/>
        <v>4</v>
      </c>
      <c r="AA547" s="25">
        <f t="shared" si="89"/>
        <v>20</v>
      </c>
      <c r="AB547" s="23">
        <f ca="1">IFERROR(INDEX('Cutters Inventory 12-30-2025'!A:W,MATCH($W547,'Cutters Inventory 12-30-2025'!B:B,0),14),0)</f>
        <v>843</v>
      </c>
      <c r="AC547" s="23">
        <f>SUMIF(Table1[LEVEL 5 MAT NO.],S547,Table1[Braze Plan])</f>
        <v>0</v>
      </c>
      <c r="AD547" s="23">
        <f>Table4[[#This Row],[Quantity]]*Table4[[#This Row],[Bits Braze Plan]]</f>
        <v>0</v>
      </c>
      <c r="AE547" s="23">
        <f ca="1">Table4[[#This Row],[INV. QTY]]-Table4[[#This Row],[Required For Braze Cutters Check]]</f>
        <v>843</v>
      </c>
      <c r="AF547" s="23">
        <f t="shared" ca="1" si="90"/>
        <v>843</v>
      </c>
      <c r="AG547" s="626"/>
    </row>
    <row r="548" spans="1:33" ht="24.75" customHeight="1" x14ac:dyDescent="0.25">
      <c r="A548" s="109">
        <v>20240277</v>
      </c>
      <c r="B548" s="608"/>
      <c r="C548" s="109">
        <v>14273125</v>
      </c>
      <c r="D548" s="109" t="s">
        <v>307</v>
      </c>
      <c r="E548" s="109" t="s">
        <v>308</v>
      </c>
      <c r="F548" s="109" t="s">
        <v>785</v>
      </c>
      <c r="G548" s="109">
        <v>3</v>
      </c>
      <c r="H548" s="140">
        <v>1224225</v>
      </c>
      <c r="I548" s="140">
        <v>1252149</v>
      </c>
      <c r="J548" s="26">
        <f>IF(H548&lt;&gt;"",IF(AND(C548&lt;&gt;"",IFERROR(MATCH(C548,Table10[Serial No.],0),0)),0,1),0)</f>
        <v>0</v>
      </c>
      <c r="K548" s="21"/>
      <c r="L548" s="539" t="str">
        <f t="shared" ca="1" si="79"/>
        <v/>
      </c>
      <c r="S548" s="281" t="s">
        <v>786</v>
      </c>
      <c r="T548" s="278">
        <v>8.375</v>
      </c>
      <c r="U548" s="278" t="s">
        <v>787</v>
      </c>
      <c r="V548" s="25">
        <v>1</v>
      </c>
      <c r="W548" s="284">
        <v>647435</v>
      </c>
      <c r="X548" s="19" t="str">
        <f>IFERROR(INDEX(Table14[],MATCH($W548,Table14[SAPNo],0),3),"")</f>
        <v>Round 1608 CT200  0.018" (B)</v>
      </c>
      <c r="Y548" s="284">
        <v>23</v>
      </c>
      <c r="Z548" s="25">
        <f t="shared" ref="Z548:Z553" si="91">IFERROR(INDEX($O$2:$P$400,MATCH($S548,$O$2:$O$93,0),2),0)</f>
        <v>4</v>
      </c>
      <c r="AA548" s="25">
        <f t="shared" ref="AA548:AA553" si="92">Y548*Z548</f>
        <v>92</v>
      </c>
      <c r="AB548" s="23">
        <f ca="1">IFERROR(INDEX('Cutters Inventory 12-30-2025'!A:W,MATCH($W548,'Cutters Inventory 12-30-2025'!B:B,0),14),0)</f>
        <v>284</v>
      </c>
      <c r="AC548" s="23">
        <f>SUMIF(Table1[LEVEL 5 MAT NO.],S548,Table1[Braze Plan])</f>
        <v>0</v>
      </c>
      <c r="AD548" s="23">
        <f>Table4[[#This Row],[Quantity]]*Table4[[#This Row],[Bits Braze Plan]]</f>
        <v>0</v>
      </c>
      <c r="AE548" s="23">
        <f ca="1">Table4[[#This Row],[INV. QTY]]-Table4[[#This Row],[Required For Braze Cutters Check]]</f>
        <v>284</v>
      </c>
      <c r="AF548" s="23">
        <f t="shared" ref="AF548:AF553" ca="1" si="93">IFERROR(INDEX($AJ$2:$AO$136,MATCH($W548,$AJ$2:$AJ$136,0),5),0)</f>
        <v>284</v>
      </c>
      <c r="AG548" s="626"/>
    </row>
    <row r="549" spans="1:33" ht="24.75" customHeight="1" x14ac:dyDescent="0.25">
      <c r="A549" s="109">
        <v>20240277</v>
      </c>
      <c r="B549" s="608"/>
      <c r="C549" s="109">
        <v>14273428</v>
      </c>
      <c r="D549" s="109" t="s">
        <v>309</v>
      </c>
      <c r="E549" s="109" t="s">
        <v>256</v>
      </c>
      <c r="F549" s="109" t="s">
        <v>710</v>
      </c>
      <c r="G549" s="109">
        <v>4</v>
      </c>
      <c r="H549" s="140">
        <v>1198387</v>
      </c>
      <c r="I549" s="140">
        <v>1160951</v>
      </c>
      <c r="J549" s="26">
        <f>IF(H549&lt;&gt;"",IF(AND(C549&lt;&gt;"",IFERROR(MATCH(C549,Table10[Serial No.],0),0)),0,1),0)</f>
        <v>0</v>
      </c>
      <c r="K549" s="21"/>
      <c r="L549" s="539" t="str">
        <f t="shared" ca="1" si="79"/>
        <v/>
      </c>
      <c r="S549" s="281" t="s">
        <v>786</v>
      </c>
      <c r="T549" s="278">
        <v>8.375</v>
      </c>
      <c r="U549" s="278" t="s">
        <v>787</v>
      </c>
      <c r="V549" s="25">
        <v>2</v>
      </c>
      <c r="W549" s="284">
        <v>1288783</v>
      </c>
      <c r="X549" s="19" t="str">
        <f>IFERROR(INDEX(Table14[],MATCH($W549,Table14[SAPNo],0),3),"")</f>
        <v>1613 CT179 18-60</v>
      </c>
      <c r="Y549" s="284">
        <v>14</v>
      </c>
      <c r="Z549" s="25">
        <f t="shared" si="91"/>
        <v>4</v>
      </c>
      <c r="AA549" s="25">
        <f t="shared" si="92"/>
        <v>56</v>
      </c>
      <c r="AB549" s="23">
        <f ca="1">IFERROR(INDEX('Cutters Inventory 12-30-2025'!A:W,MATCH($W549,'Cutters Inventory 12-30-2025'!B:B,0),14),0)</f>
        <v>813</v>
      </c>
      <c r="AC549" s="23">
        <f>SUMIF(Table1[LEVEL 5 MAT NO.],S549,Table1[Braze Plan])</f>
        <v>0</v>
      </c>
      <c r="AD549" s="23">
        <f>Table4[[#This Row],[Quantity]]*Table4[[#This Row],[Bits Braze Plan]]</f>
        <v>0</v>
      </c>
      <c r="AE549" s="23">
        <f ca="1">Table4[[#This Row],[INV. QTY]]-Table4[[#This Row],[Required For Braze Cutters Check]]</f>
        <v>813</v>
      </c>
      <c r="AF549" s="23">
        <f t="shared" ca="1" si="93"/>
        <v>813</v>
      </c>
      <c r="AG549" s="626"/>
    </row>
    <row r="550" spans="1:33" ht="24.75" customHeight="1" x14ac:dyDescent="0.25">
      <c r="A550" s="109">
        <v>20240277</v>
      </c>
      <c r="B550" s="608"/>
      <c r="C550" s="109">
        <v>14273127</v>
      </c>
      <c r="D550" s="109" t="s">
        <v>309</v>
      </c>
      <c r="E550" s="109" t="s">
        <v>256</v>
      </c>
      <c r="F550" s="109" t="s">
        <v>710</v>
      </c>
      <c r="G550" s="109">
        <v>4</v>
      </c>
      <c r="H550" s="140">
        <v>1198387</v>
      </c>
      <c r="I550" s="140">
        <v>1160951</v>
      </c>
      <c r="J550" s="26">
        <f>IF(H550&lt;&gt;"",IF(AND(C550&lt;&gt;"",IFERROR(MATCH(C550,Table10[Serial No.],0),0)),0,1),0)</f>
        <v>0</v>
      </c>
      <c r="K550" s="21"/>
      <c r="L550" s="539" t="str">
        <f t="shared" ca="1" si="79"/>
        <v/>
      </c>
      <c r="S550" s="281" t="s">
        <v>786</v>
      </c>
      <c r="T550" s="278">
        <v>8.375</v>
      </c>
      <c r="U550" s="278" t="s">
        <v>787</v>
      </c>
      <c r="V550" s="25">
        <v>3</v>
      </c>
      <c r="W550" s="284">
        <v>1146737</v>
      </c>
      <c r="X550" s="19" t="str">
        <f>IFERROR(INDEX(Table14[],MATCH($W550,Table14[SAPNo],0),3),"")</f>
        <v>1613 CT418 18-60</v>
      </c>
      <c r="Y550" s="284">
        <v>7</v>
      </c>
      <c r="Z550" s="25">
        <f t="shared" si="91"/>
        <v>4</v>
      </c>
      <c r="AA550" s="25">
        <f t="shared" si="92"/>
        <v>28</v>
      </c>
      <c r="AB550" s="23">
        <f ca="1">IFERROR(INDEX('Cutters Inventory 12-30-2025'!A:W,MATCH($W550,'Cutters Inventory 12-30-2025'!B:B,0),14),0)</f>
        <v>1281</v>
      </c>
      <c r="AC550" s="23">
        <f>SUMIF(Table1[LEVEL 5 MAT NO.],S550,Table1[Braze Plan])</f>
        <v>0</v>
      </c>
      <c r="AD550" s="23">
        <f>Table4[[#This Row],[Quantity]]*Table4[[#This Row],[Bits Braze Plan]]</f>
        <v>0</v>
      </c>
      <c r="AE550" s="23">
        <f ca="1">Table4[[#This Row],[INV. QTY]]-Table4[[#This Row],[Required For Braze Cutters Check]]</f>
        <v>1281</v>
      </c>
      <c r="AF550" s="23">
        <f t="shared" ca="1" si="93"/>
        <v>1281</v>
      </c>
      <c r="AG550" s="626"/>
    </row>
    <row r="551" spans="1:33" ht="24.75" customHeight="1" x14ac:dyDescent="0.25">
      <c r="A551" s="109">
        <v>20240277</v>
      </c>
      <c r="B551" s="608"/>
      <c r="C551" s="109">
        <v>14273430</v>
      </c>
      <c r="D551" s="109" t="s">
        <v>313</v>
      </c>
      <c r="E551" s="109" t="s">
        <v>314</v>
      </c>
      <c r="F551" s="109" t="s">
        <v>788</v>
      </c>
      <c r="G551" s="109">
        <v>3</v>
      </c>
      <c r="H551" s="140">
        <v>1246680</v>
      </c>
      <c r="I551" s="140" t="s">
        <v>763</v>
      </c>
      <c r="J551" s="26">
        <f>IF(H551&lt;&gt;"",IF(AND(C551&lt;&gt;"",IFERROR(MATCH(C551,Table10[Serial No.],0),0)),0,1),0)</f>
        <v>0</v>
      </c>
      <c r="K551" s="21"/>
      <c r="L551" s="539" t="str">
        <f t="shared" si="79"/>
        <v/>
      </c>
      <c r="S551" s="281" t="s">
        <v>786</v>
      </c>
      <c r="T551" s="278">
        <v>8.375</v>
      </c>
      <c r="U551" s="278" t="s">
        <v>787</v>
      </c>
      <c r="V551" s="25">
        <v>4</v>
      </c>
      <c r="W551" s="284">
        <v>871781</v>
      </c>
      <c r="X551" s="19" t="str">
        <f>IFERROR(INDEX(Table14[],MATCH($W551,Table14[SAPNo],0),3),"")</f>
        <v>Round 1313 CT200  0.018" (B)</v>
      </c>
      <c r="Y551" s="284">
        <v>6</v>
      </c>
      <c r="Z551" s="25">
        <f t="shared" si="91"/>
        <v>4</v>
      </c>
      <c r="AA551" s="25">
        <f t="shared" si="92"/>
        <v>24</v>
      </c>
      <c r="AB551" s="23">
        <f ca="1">IFERROR(INDEX('Cutters Inventory 12-30-2025'!A:W,MATCH($W551,'Cutters Inventory 12-30-2025'!B:B,0),14),0)</f>
        <v>843</v>
      </c>
      <c r="AC551" s="23">
        <f>SUMIF(Table1[LEVEL 5 MAT NO.],S551,Table1[Braze Plan])</f>
        <v>0</v>
      </c>
      <c r="AD551" s="23">
        <f>Table4[[#This Row],[Quantity]]*Table4[[#This Row],[Bits Braze Plan]]</f>
        <v>0</v>
      </c>
      <c r="AE551" s="23">
        <f ca="1">Table4[[#This Row],[INV. QTY]]-Table4[[#This Row],[Required For Braze Cutters Check]]</f>
        <v>843</v>
      </c>
      <c r="AF551" s="23">
        <f t="shared" ca="1" si="93"/>
        <v>843</v>
      </c>
      <c r="AG551" s="626"/>
    </row>
    <row r="552" spans="1:33" ht="24.75" customHeight="1" x14ac:dyDescent="0.25">
      <c r="A552" s="109">
        <v>20240277</v>
      </c>
      <c r="B552" s="608"/>
      <c r="C552" s="109">
        <v>14273431</v>
      </c>
      <c r="D552" s="109" t="s">
        <v>313</v>
      </c>
      <c r="E552" s="109" t="s">
        <v>314</v>
      </c>
      <c r="F552" s="109" t="s">
        <v>788</v>
      </c>
      <c r="G552" s="109">
        <v>3</v>
      </c>
      <c r="H552" s="140">
        <v>1246680</v>
      </c>
      <c r="I552" s="140" t="s">
        <v>763</v>
      </c>
      <c r="J552" s="26">
        <f>IF(H552&lt;&gt;"",IF(AND(C552&lt;&gt;"",IFERROR(MATCH(C552,Table10[Serial No.],0),0)),0,1),0)</f>
        <v>0</v>
      </c>
      <c r="K552" s="21"/>
      <c r="L552" s="539" t="str">
        <f t="shared" si="79"/>
        <v/>
      </c>
      <c r="S552" s="281" t="s">
        <v>786</v>
      </c>
      <c r="T552" s="278">
        <v>8.375</v>
      </c>
      <c r="U552" s="278" t="s">
        <v>787</v>
      </c>
      <c r="V552" s="25">
        <v>5</v>
      </c>
      <c r="W552" s="284">
        <v>1282370</v>
      </c>
      <c r="X552" s="19" t="str">
        <f>IFERROR(INDEX(Table14[],MATCH($W552,Table14[SAPNo],0),3),"")</f>
        <v>1613 CT436Mv3 U-60</v>
      </c>
      <c r="Y552" s="284">
        <v>6</v>
      </c>
      <c r="Z552" s="25">
        <f t="shared" si="91"/>
        <v>4</v>
      </c>
      <c r="AA552" s="25">
        <f t="shared" si="92"/>
        <v>24</v>
      </c>
      <c r="AB552" s="23">
        <f ca="1">IFERROR(INDEX('Cutters Inventory 12-30-2025'!A:W,MATCH($W552,'Cutters Inventory 12-30-2025'!B:B,0),14),0)</f>
        <v>193</v>
      </c>
      <c r="AC552" s="23">
        <f>SUMIF(Table1[LEVEL 5 MAT NO.],S552,Table1[Braze Plan])</f>
        <v>0</v>
      </c>
      <c r="AD552" s="23">
        <f>Table4[[#This Row],[Quantity]]*Table4[[#This Row],[Bits Braze Plan]]</f>
        <v>0</v>
      </c>
      <c r="AE552" s="23">
        <f ca="1">Table4[[#This Row],[INV. QTY]]-Table4[[#This Row],[Required For Braze Cutters Check]]</f>
        <v>193</v>
      </c>
      <c r="AF552" s="23">
        <f t="shared" ca="1" si="93"/>
        <v>193</v>
      </c>
      <c r="AG552" s="626"/>
    </row>
    <row r="553" spans="1:33" ht="24.75" customHeight="1" x14ac:dyDescent="0.25">
      <c r="A553" s="109">
        <v>20240277</v>
      </c>
      <c r="B553" s="608"/>
      <c r="C553" s="109">
        <v>14273429</v>
      </c>
      <c r="D553" s="109" t="s">
        <v>313</v>
      </c>
      <c r="E553" s="109" t="s">
        <v>314</v>
      </c>
      <c r="F553" s="109" t="s">
        <v>788</v>
      </c>
      <c r="G553" s="109">
        <v>3</v>
      </c>
      <c r="H553" s="140">
        <v>1246680</v>
      </c>
      <c r="I553" s="140" t="s">
        <v>763</v>
      </c>
      <c r="J553" s="26">
        <f>IF(H553&lt;&gt;"",IF(AND(C553&lt;&gt;"",IFERROR(MATCH(C553,Table10[Serial No.],0),0)),0,1),0)</f>
        <v>0</v>
      </c>
      <c r="K553" s="21"/>
      <c r="L553" s="539" t="str">
        <f t="shared" si="79"/>
        <v/>
      </c>
      <c r="S553" s="281" t="s">
        <v>786</v>
      </c>
      <c r="T553" s="278">
        <v>8.375</v>
      </c>
      <c r="U553" s="278" t="s">
        <v>787</v>
      </c>
      <c r="V553" s="25">
        <v>6</v>
      </c>
      <c r="W553" s="284">
        <v>1296685</v>
      </c>
      <c r="X553" s="19" t="str">
        <f>IFERROR(INDEX(Table14[],MATCH($W553,Table14[SAPNo],0),3),"")</f>
        <v>1613 CT179R U</v>
      </c>
      <c r="Y553" s="284">
        <v>6</v>
      </c>
      <c r="Z553" s="25">
        <f t="shared" si="91"/>
        <v>4</v>
      </c>
      <c r="AA553" s="25">
        <f t="shared" si="92"/>
        <v>24</v>
      </c>
      <c r="AB553" s="23">
        <f ca="1">IFERROR(INDEX('Cutters Inventory 12-30-2025'!A:W,MATCH($W553,'Cutters Inventory 12-30-2025'!B:B,0),14),0)</f>
        <v>196</v>
      </c>
      <c r="AC553" s="23">
        <f>SUMIF(Table1[LEVEL 5 MAT NO.],S553,Table1[Braze Plan])</f>
        <v>0</v>
      </c>
      <c r="AD553" s="23">
        <f>Table4[[#This Row],[Quantity]]*Table4[[#This Row],[Bits Braze Plan]]</f>
        <v>0</v>
      </c>
      <c r="AE553" s="23">
        <f ca="1">Table4[[#This Row],[INV. QTY]]-Table4[[#This Row],[Required For Braze Cutters Check]]</f>
        <v>196</v>
      </c>
      <c r="AF553" s="23">
        <f t="shared" ca="1" si="93"/>
        <v>196</v>
      </c>
      <c r="AG553" s="626"/>
    </row>
    <row r="554" spans="1:33" ht="24.75" customHeight="1" x14ac:dyDescent="0.25">
      <c r="A554" s="109">
        <v>20240277</v>
      </c>
      <c r="B554" s="709"/>
      <c r="C554" s="109">
        <v>14273434</v>
      </c>
      <c r="D554" s="109" t="s">
        <v>313</v>
      </c>
      <c r="E554" s="109" t="s">
        <v>645</v>
      </c>
      <c r="F554" s="109" t="s">
        <v>710</v>
      </c>
      <c r="G554" s="109">
        <v>4</v>
      </c>
      <c r="H554" s="140">
        <v>1267027</v>
      </c>
      <c r="I554" s="140">
        <v>1283630</v>
      </c>
      <c r="J554" s="26">
        <f>IF(H554&lt;&gt;"",IF(AND(C554&lt;&gt;"",IFERROR(MATCH(C554,Table10[Serial No.],0),0)),0,1),0)</f>
        <v>0</v>
      </c>
      <c r="K554" s="21"/>
      <c r="L554" s="539" t="str">
        <f t="shared" ca="1" si="79"/>
        <v/>
      </c>
      <c r="S554" s="281" t="s">
        <v>789</v>
      </c>
      <c r="T554" s="278">
        <v>12</v>
      </c>
      <c r="U554" s="278" t="s">
        <v>790</v>
      </c>
      <c r="V554" s="25">
        <v>1</v>
      </c>
      <c r="W554" s="284">
        <v>1146737</v>
      </c>
      <c r="X554" s="19" t="str">
        <f>IFERROR(INDEX(Table14[],MATCH($W554,Table14[SAPNo],0),3),"")</f>
        <v>1613 CT418 18-60</v>
      </c>
      <c r="Y554" s="284">
        <v>10</v>
      </c>
      <c r="Z554" s="25">
        <f t="shared" ref="Z554:Z560" si="94">IFERROR(INDEX($O$2:$P$400,MATCH($S554,$O$2:$O$93,0),2),0)</f>
        <v>0</v>
      </c>
      <c r="AA554" s="25">
        <f t="shared" ref="AA554:AA560" si="95">Y554*Z554</f>
        <v>0</v>
      </c>
      <c r="AB554" s="23">
        <f ca="1">IFERROR(INDEX('Cutters Inventory 12-30-2025'!A:W,MATCH($W554,'Cutters Inventory 12-30-2025'!B:B,0),14),0)</f>
        <v>1281</v>
      </c>
      <c r="AC554" s="23">
        <f>SUMIF(Table1[LEVEL 5 MAT NO.],S554,Table1[Braze Plan])</f>
        <v>0</v>
      </c>
      <c r="AD554" s="23">
        <f>Table4[[#This Row],[Quantity]]*Table4[[#This Row],[Bits Braze Plan]]</f>
        <v>0</v>
      </c>
      <c r="AE554" s="23">
        <f ca="1">Table4[[#This Row],[INV. QTY]]-Table4[[#This Row],[Required For Braze Cutters Check]]</f>
        <v>1281</v>
      </c>
      <c r="AF554" s="23">
        <f t="shared" ref="AF554:AF560" ca="1" si="96">IFERROR(INDEX($AJ$2:$AO$136,MATCH($W554,$AJ$2:$AJ$136,0),5),0)</f>
        <v>1281</v>
      </c>
      <c r="AG554" s="626"/>
    </row>
    <row r="555" spans="1:33" ht="24.75" customHeight="1" x14ac:dyDescent="0.25">
      <c r="A555" s="109">
        <v>20240277</v>
      </c>
      <c r="B555" s="709"/>
      <c r="C555" s="109">
        <v>14273437</v>
      </c>
      <c r="D555" s="109" t="s">
        <v>313</v>
      </c>
      <c r="E555" s="109" t="s">
        <v>645</v>
      </c>
      <c r="F555" s="109" t="s">
        <v>710</v>
      </c>
      <c r="G555" s="109">
        <v>4</v>
      </c>
      <c r="H555" s="140">
        <v>1267027</v>
      </c>
      <c r="I555" s="140">
        <v>1283630</v>
      </c>
      <c r="J555" s="26">
        <f>IF(H555&lt;&gt;"",IF(AND(C555&lt;&gt;"",IFERROR(MATCH(C555,Table10[Serial No.],0),0)),0,1),0)</f>
        <v>0</v>
      </c>
      <c r="K555" s="21"/>
      <c r="L555" s="539" t="str">
        <f t="shared" ca="1" si="79"/>
        <v/>
      </c>
      <c r="S555" s="281" t="s">
        <v>789</v>
      </c>
      <c r="T555" s="278">
        <v>12</v>
      </c>
      <c r="U555" s="278" t="s">
        <v>790</v>
      </c>
      <c r="V555" s="25">
        <v>2</v>
      </c>
      <c r="W555" s="284">
        <v>1282370</v>
      </c>
      <c r="X555" s="19" t="str">
        <f>IFERROR(INDEX(Table14[],MATCH($W555,Table14[SAPNo],0),3),"")</f>
        <v>1613 CT436Mv3 U-60</v>
      </c>
      <c r="Y555" s="284">
        <v>13</v>
      </c>
      <c r="Z555" s="25">
        <f t="shared" si="94"/>
        <v>0</v>
      </c>
      <c r="AA555" s="25">
        <f t="shared" si="95"/>
        <v>0</v>
      </c>
      <c r="AB555" s="23">
        <f ca="1">IFERROR(INDEX('Cutters Inventory 12-30-2025'!A:W,MATCH($W555,'Cutters Inventory 12-30-2025'!B:B,0),14),0)</f>
        <v>193</v>
      </c>
      <c r="AC555" s="23">
        <f>SUMIF(Table1[LEVEL 5 MAT NO.],S555,Table1[Braze Plan])</f>
        <v>0</v>
      </c>
      <c r="AD555" s="23">
        <f>Table4[[#This Row],[Quantity]]*Table4[[#This Row],[Bits Braze Plan]]</f>
        <v>0</v>
      </c>
      <c r="AE555" s="23">
        <f ca="1">Table4[[#This Row],[INV. QTY]]-Table4[[#This Row],[Required For Braze Cutters Check]]</f>
        <v>193</v>
      </c>
      <c r="AF555" s="23">
        <f t="shared" ca="1" si="96"/>
        <v>193</v>
      </c>
      <c r="AG555" s="626"/>
    </row>
    <row r="556" spans="1:33" ht="24.75" customHeight="1" x14ac:dyDescent="0.25">
      <c r="A556" s="109">
        <v>20240277</v>
      </c>
      <c r="B556" s="709"/>
      <c r="C556" s="109">
        <v>14273435</v>
      </c>
      <c r="D556" s="109" t="s">
        <v>313</v>
      </c>
      <c r="E556" s="109" t="s">
        <v>645</v>
      </c>
      <c r="F556" s="109" t="s">
        <v>710</v>
      </c>
      <c r="G556" s="109">
        <v>4</v>
      </c>
      <c r="H556" s="140">
        <v>1267027</v>
      </c>
      <c r="I556" s="140">
        <v>1283630</v>
      </c>
      <c r="J556" s="26">
        <f>IF(H556&lt;&gt;"",IF(AND(C556&lt;&gt;"",IFERROR(MATCH(C556,Table10[Serial No.],0),0)),0,1),0)</f>
        <v>0</v>
      </c>
      <c r="K556" s="21"/>
      <c r="L556" s="539" t="str">
        <f t="shared" ca="1" si="79"/>
        <v/>
      </c>
      <c r="S556" s="281" t="s">
        <v>789</v>
      </c>
      <c r="T556" s="278">
        <v>12</v>
      </c>
      <c r="U556" s="278" t="s">
        <v>790</v>
      </c>
      <c r="V556" s="25">
        <v>3</v>
      </c>
      <c r="W556" s="284">
        <v>1292498</v>
      </c>
      <c r="X556" s="19" t="str">
        <f>IFERROR(INDEX(Table14[],MATCH($W556,Table14[SAPNo],0),3),"")</f>
        <v>1613 CT186Mv3 U-60</v>
      </c>
      <c r="Y556" s="284">
        <v>5</v>
      </c>
      <c r="Z556" s="25">
        <f t="shared" si="94"/>
        <v>0</v>
      </c>
      <c r="AA556" s="25">
        <f t="shared" si="95"/>
        <v>0</v>
      </c>
      <c r="AB556" s="23">
        <f ca="1">IFERROR(INDEX('Cutters Inventory 12-30-2025'!A:W,MATCH($W556,'Cutters Inventory 12-30-2025'!B:B,0),14),0)</f>
        <v>5</v>
      </c>
      <c r="AC556" s="23">
        <f>SUMIF(Table1[LEVEL 5 MAT NO.],S556,Table1[Braze Plan])</f>
        <v>0</v>
      </c>
      <c r="AD556" s="23">
        <f>Table4[[#This Row],[Quantity]]*Table4[[#This Row],[Bits Braze Plan]]</f>
        <v>0</v>
      </c>
      <c r="AE556" s="23">
        <f ca="1">Table4[[#This Row],[INV. QTY]]-Table4[[#This Row],[Required For Braze Cutters Check]]</f>
        <v>5</v>
      </c>
      <c r="AF556" s="23">
        <f t="shared" ca="1" si="96"/>
        <v>5</v>
      </c>
      <c r="AG556" s="626"/>
    </row>
    <row r="557" spans="1:33" ht="24.75" customHeight="1" x14ac:dyDescent="0.25">
      <c r="A557" s="109">
        <v>20240277</v>
      </c>
      <c r="B557" s="709"/>
      <c r="C557" s="109">
        <v>14273436</v>
      </c>
      <c r="D557" s="109" t="s">
        <v>313</v>
      </c>
      <c r="E557" s="109" t="s">
        <v>645</v>
      </c>
      <c r="F557" s="109" t="s">
        <v>710</v>
      </c>
      <c r="G557" s="109">
        <v>4</v>
      </c>
      <c r="H557" s="140">
        <v>1267027</v>
      </c>
      <c r="I557" s="140">
        <v>1283630</v>
      </c>
      <c r="J557" s="26">
        <f>IF(H557&lt;&gt;"",IF(AND(C557&lt;&gt;"",IFERROR(MATCH(C557,Table10[Serial No.],0),0)),0,1),0)</f>
        <v>0</v>
      </c>
      <c r="K557" s="21"/>
      <c r="L557" s="539" t="str">
        <f t="shared" ca="1" si="79"/>
        <v/>
      </c>
      <c r="S557" s="281" t="s">
        <v>789</v>
      </c>
      <c r="T557" s="278">
        <v>12</v>
      </c>
      <c r="U557" s="278" t="s">
        <v>790</v>
      </c>
      <c r="V557" s="25">
        <v>4</v>
      </c>
      <c r="W557" s="284">
        <v>1126400</v>
      </c>
      <c r="X557" s="19" t="str">
        <f>IFERROR(INDEX(Table14[],MATCH($W557,Table14[SAPNo],0),3),"")</f>
        <v>1313 CT421 18-60</v>
      </c>
      <c r="Y557" s="284">
        <v>17</v>
      </c>
      <c r="Z557" s="25">
        <f t="shared" si="94"/>
        <v>0</v>
      </c>
      <c r="AA557" s="25">
        <f t="shared" si="95"/>
        <v>0</v>
      </c>
      <c r="AB557" s="23">
        <f ca="1">IFERROR(INDEX('Cutters Inventory 12-30-2025'!A:W,MATCH($W557,'Cutters Inventory 12-30-2025'!B:B,0),14),0)</f>
        <v>44</v>
      </c>
      <c r="AC557" s="23">
        <f>SUMIF(Table1[LEVEL 5 MAT NO.],S557,Table1[Braze Plan])</f>
        <v>0</v>
      </c>
      <c r="AD557" s="23">
        <f>Table4[[#This Row],[Quantity]]*Table4[[#This Row],[Bits Braze Plan]]</f>
        <v>0</v>
      </c>
      <c r="AE557" s="23">
        <f ca="1">Table4[[#This Row],[INV. QTY]]-Table4[[#This Row],[Required For Braze Cutters Check]]</f>
        <v>44</v>
      </c>
      <c r="AF557" s="23">
        <f t="shared" ca="1" si="96"/>
        <v>44</v>
      </c>
      <c r="AG557" s="626"/>
    </row>
    <row r="558" spans="1:33" ht="24.75" customHeight="1" x14ac:dyDescent="0.25">
      <c r="A558" s="109">
        <v>20240277</v>
      </c>
      <c r="B558" s="709"/>
      <c r="C558" s="109">
        <v>14273433</v>
      </c>
      <c r="D558" s="109" t="s">
        <v>313</v>
      </c>
      <c r="E558" s="109" t="s">
        <v>645</v>
      </c>
      <c r="F558" s="109" t="s">
        <v>710</v>
      </c>
      <c r="G558" s="109">
        <v>4</v>
      </c>
      <c r="H558" s="140">
        <v>1267027</v>
      </c>
      <c r="I558" s="140">
        <v>1283630</v>
      </c>
      <c r="J558" s="26">
        <f>IF(H558&lt;&gt;"",IF(AND(C558&lt;&gt;"",IFERROR(MATCH(C558,Table10[Serial No.],0),0)),0,1),0)</f>
        <v>0</v>
      </c>
      <c r="K558" s="21"/>
      <c r="L558" s="539" t="str">
        <f t="shared" ca="1" si="79"/>
        <v/>
      </c>
      <c r="S558" s="281" t="s">
        <v>789</v>
      </c>
      <c r="T558" s="278">
        <v>12</v>
      </c>
      <c r="U558" s="278" t="s">
        <v>790</v>
      </c>
      <c r="V558" s="25">
        <v>5</v>
      </c>
      <c r="W558" s="284">
        <v>1192901</v>
      </c>
      <c r="X558" s="19" t="str">
        <f>IFERROR(INDEX(Table14[],MATCH($W558,Table14[SAPNo],0),3),"")</f>
        <v xml:space="preserve">12MM WC­MAT400 </v>
      </c>
      <c r="Y558" s="284">
        <v>6</v>
      </c>
      <c r="Z558" s="25">
        <f t="shared" si="94"/>
        <v>0</v>
      </c>
      <c r="AA558" s="25">
        <f t="shared" si="95"/>
        <v>0</v>
      </c>
      <c r="AB558" s="23">
        <f ca="1">IFERROR(INDEX('Cutters Inventory 12-30-2025'!A:W,MATCH($W558,'Cutters Inventory 12-30-2025'!B:B,0),14),0)</f>
        <v>30</v>
      </c>
      <c r="AC558" s="23">
        <f>SUMIF(Table1[LEVEL 5 MAT NO.],S558,Table1[Braze Plan])</f>
        <v>0</v>
      </c>
      <c r="AD558" s="23">
        <f>Table4[[#This Row],[Quantity]]*Table4[[#This Row],[Bits Braze Plan]]</f>
        <v>0</v>
      </c>
      <c r="AE558" s="23">
        <f ca="1">Table4[[#This Row],[INV. QTY]]-Table4[[#This Row],[Required For Braze Cutters Check]]</f>
        <v>30</v>
      </c>
      <c r="AF558" s="23">
        <f t="shared" ca="1" si="96"/>
        <v>30</v>
      </c>
      <c r="AG558" s="626"/>
    </row>
    <row r="559" spans="1:33" ht="24.75" customHeight="1" x14ac:dyDescent="0.25">
      <c r="A559" s="109">
        <v>20240281</v>
      </c>
      <c r="B559" s="608"/>
      <c r="C559" s="109">
        <v>14280246</v>
      </c>
      <c r="D559" s="109" t="s">
        <v>624</v>
      </c>
      <c r="E559" s="109" t="s">
        <v>687</v>
      </c>
      <c r="F559" s="109" t="s">
        <v>710</v>
      </c>
      <c r="G559" s="109">
        <v>4</v>
      </c>
      <c r="H559" s="140">
        <v>2001502</v>
      </c>
      <c r="I559" s="140">
        <v>1254762</v>
      </c>
      <c r="J559" s="26">
        <f>IF(H559&lt;&gt;"",IF(AND(C559&lt;&gt;"",IFERROR(MATCH(C559,Table10[Serial No.],0),0)),0,1),0)</f>
        <v>0</v>
      </c>
      <c r="K559" s="21"/>
      <c r="L559" s="539" t="str">
        <f t="shared" ca="1" si="79"/>
        <v/>
      </c>
      <c r="S559" s="281" t="s">
        <v>789</v>
      </c>
      <c r="T559" s="278">
        <v>12</v>
      </c>
      <c r="U559" s="278" t="s">
        <v>790</v>
      </c>
      <c r="V559" s="25">
        <v>6</v>
      </c>
      <c r="W559" s="284">
        <v>2013427</v>
      </c>
      <c r="X559" s="19" t="str">
        <f>IFERROR(INDEX(Table14[],MATCH($W559,Table14[SAPNo],0),3),"")</f>
        <v>1218 UNI M3 Carbide NA</v>
      </c>
      <c r="Y559" s="284">
        <v>5</v>
      </c>
      <c r="Z559" s="25">
        <f t="shared" si="94"/>
        <v>0</v>
      </c>
      <c r="AA559" s="25">
        <f t="shared" si="95"/>
        <v>0</v>
      </c>
      <c r="AB559" s="23">
        <f ca="1">IFERROR(INDEX('Cutters Inventory 12-30-2025'!A:W,MATCH($W559,'Cutters Inventory 12-30-2025'!B:B,0),14),0)</f>
        <v>6</v>
      </c>
      <c r="AC559" s="23">
        <f>SUMIF(Table1[LEVEL 5 MAT NO.],S559,Table1[Braze Plan])</f>
        <v>0</v>
      </c>
      <c r="AD559" s="23">
        <f>Table4[[#This Row],[Quantity]]*Table4[[#This Row],[Bits Braze Plan]]</f>
        <v>0</v>
      </c>
      <c r="AE559" s="23">
        <f ca="1">Table4[[#This Row],[INV. QTY]]-Table4[[#This Row],[Required For Braze Cutters Check]]</f>
        <v>6</v>
      </c>
      <c r="AF559" s="23">
        <f t="shared" ca="1" si="96"/>
        <v>6</v>
      </c>
      <c r="AG559" s="626"/>
    </row>
    <row r="560" spans="1:33" ht="24.75" customHeight="1" x14ac:dyDescent="0.25">
      <c r="A560" s="132">
        <v>20240281</v>
      </c>
      <c r="B560" s="609"/>
      <c r="C560" s="132">
        <v>14280247</v>
      </c>
      <c r="D560" s="132" t="s">
        <v>624</v>
      </c>
      <c r="E560" s="132" t="s">
        <v>687</v>
      </c>
      <c r="F560" s="132" t="s">
        <v>710</v>
      </c>
      <c r="G560" s="132">
        <v>4</v>
      </c>
      <c r="H560" s="141">
        <v>2001502</v>
      </c>
      <c r="I560" s="141">
        <v>1254762</v>
      </c>
      <c r="J560" s="26">
        <f>IF(H560&lt;&gt;"",IF(AND(C560&lt;&gt;"",IFERROR(MATCH(C560,Table10[Serial No.],0),0)),0,1),0)</f>
        <v>0</v>
      </c>
      <c r="K560" s="21"/>
      <c r="L560" s="539" t="str">
        <f t="shared" ca="1" si="79"/>
        <v/>
      </c>
      <c r="S560" s="281" t="s">
        <v>789</v>
      </c>
      <c r="T560" s="278">
        <v>12</v>
      </c>
      <c r="U560" s="278" t="s">
        <v>790</v>
      </c>
      <c r="V560" s="25">
        <v>7</v>
      </c>
      <c r="W560" s="284">
        <v>871781</v>
      </c>
      <c r="X560" s="19" t="str">
        <f>IFERROR(INDEX(Table14[],MATCH($W560,Table14[SAPNo],0),3),"")</f>
        <v>Round 1313 CT200  0.018" (B)</v>
      </c>
      <c r="Y560" s="284">
        <v>6</v>
      </c>
      <c r="Z560" s="25">
        <f t="shared" si="94"/>
        <v>0</v>
      </c>
      <c r="AA560" s="25">
        <f t="shared" si="95"/>
        <v>0</v>
      </c>
      <c r="AB560" s="23">
        <f ca="1">IFERROR(INDEX('Cutters Inventory 12-30-2025'!A:W,MATCH($W560,'Cutters Inventory 12-30-2025'!B:B,0),14),0)</f>
        <v>843</v>
      </c>
      <c r="AC560" s="23">
        <f>SUMIF(Table1[LEVEL 5 MAT NO.],S560,Table1[Braze Plan])</f>
        <v>0</v>
      </c>
      <c r="AD560" s="23">
        <f>Table4[[#This Row],[Quantity]]*Table4[[#This Row],[Bits Braze Plan]]</f>
        <v>0</v>
      </c>
      <c r="AE560" s="23">
        <f ca="1">Table4[[#This Row],[INV. QTY]]-Table4[[#This Row],[Required For Braze Cutters Check]]</f>
        <v>843</v>
      </c>
      <c r="AF560" s="23">
        <f t="shared" ca="1" si="96"/>
        <v>843</v>
      </c>
      <c r="AG560" s="626"/>
    </row>
    <row r="561" spans="1:33" ht="24.75" customHeight="1" x14ac:dyDescent="0.25">
      <c r="A561" s="109">
        <v>20240285</v>
      </c>
      <c r="B561" s="709"/>
      <c r="C561" s="109">
        <v>14279671</v>
      </c>
      <c r="D561" s="109" t="s">
        <v>304</v>
      </c>
      <c r="E561" s="109" t="s">
        <v>630</v>
      </c>
      <c r="F561" s="109" t="s">
        <v>783</v>
      </c>
      <c r="G561" s="109">
        <v>3</v>
      </c>
      <c r="H561" s="140">
        <v>1228690</v>
      </c>
      <c r="I561" s="140">
        <v>960723</v>
      </c>
      <c r="J561" s="26">
        <f>IF(H561&lt;&gt;"",IF(AND(C561&lt;&gt;"",IFERROR(MATCH(C561,Table10[Serial No.],0),0)),0,1),0)</f>
        <v>0</v>
      </c>
      <c r="K561" s="21"/>
      <c r="L561" s="539" t="str">
        <f t="shared" ca="1" si="79"/>
        <v/>
      </c>
      <c r="S561" s="281" t="s">
        <v>791</v>
      </c>
      <c r="T561" s="278" t="s">
        <v>631</v>
      </c>
      <c r="U561" s="278" t="s">
        <v>792</v>
      </c>
      <c r="V561" s="25">
        <v>1</v>
      </c>
      <c r="W561" s="284">
        <v>1220554</v>
      </c>
      <c r="X561" s="19" t="str">
        <f>IFERROR(INDEX(Table14[],MATCH($W561,Table14[SAPNo],0),3),"")</f>
        <v xml:space="preserve">1618 CT182 U-60 Carbide </v>
      </c>
      <c r="Y561" s="284">
        <v>12</v>
      </c>
      <c r="Z561" s="25">
        <f t="shared" ref="Z561:Z568" si="97">IFERROR(INDEX($O$2:$P$400,MATCH($S561,$O$2:$O$93,0),2),0)</f>
        <v>1</v>
      </c>
      <c r="AA561" s="25">
        <f t="shared" ref="AA561:AA568" si="98">Y561*Z561</f>
        <v>12</v>
      </c>
      <c r="AB561" s="23">
        <f ca="1">IFERROR(INDEX('Cutters Inventory 12-30-2025'!A:W,MATCH($W561,'Cutters Inventory 12-30-2025'!B:B,0),14),0)</f>
        <v>392</v>
      </c>
      <c r="AC561" s="23">
        <f>SUMIF(Table1[LEVEL 5 MAT NO.],S561,Table1[Braze Plan])</f>
        <v>0</v>
      </c>
      <c r="AD561" s="23">
        <f>Table4[[#This Row],[Quantity]]*Table4[[#This Row],[Bits Braze Plan]]</f>
        <v>0</v>
      </c>
      <c r="AE561" s="23">
        <f ca="1">Table4[[#This Row],[INV. QTY]]-Table4[[#This Row],[Required For Braze Cutters Check]]</f>
        <v>392</v>
      </c>
      <c r="AF561" s="23">
        <f t="shared" ref="AF561:AF568" ca="1" si="99">IFERROR(INDEX($AJ$2:$AO$136,MATCH($W561,$AJ$2:$AJ$136,0),5),0)</f>
        <v>392</v>
      </c>
      <c r="AG561" s="626"/>
    </row>
    <row r="562" spans="1:33" ht="24.75" customHeight="1" x14ac:dyDescent="0.25">
      <c r="A562" s="109">
        <v>20240285</v>
      </c>
      <c r="B562" s="709"/>
      <c r="C562" s="109">
        <v>14279669</v>
      </c>
      <c r="D562" s="109" t="s">
        <v>304</v>
      </c>
      <c r="E562" s="109" t="s">
        <v>630</v>
      </c>
      <c r="F562" s="109" t="s">
        <v>783</v>
      </c>
      <c r="G562" s="109">
        <v>3</v>
      </c>
      <c r="H562" s="140">
        <v>1228690</v>
      </c>
      <c r="I562" s="140">
        <v>960723</v>
      </c>
      <c r="J562" s="26">
        <f>IF(H562&lt;&gt;"",IF(AND(C562&lt;&gt;"",IFERROR(MATCH(C562,Table10[Serial No.],0),0)),0,1),0)</f>
        <v>0</v>
      </c>
      <c r="K562" s="21"/>
      <c r="L562" s="539" t="str">
        <f t="shared" ca="1" si="79"/>
        <v/>
      </c>
      <c r="S562" s="281" t="s">
        <v>791</v>
      </c>
      <c r="T562" s="278" t="s">
        <v>631</v>
      </c>
      <c r="U562" s="278" t="s">
        <v>792</v>
      </c>
      <c r="V562" s="25">
        <v>2</v>
      </c>
      <c r="W562" s="284">
        <v>1228501</v>
      </c>
      <c r="X562" s="19" t="str">
        <f>IFERROR(INDEX(Table14[],MATCH($W562,Table14[SAPNo],0),3),"")</f>
        <v>1618 CT182 U-60 stator</v>
      </c>
      <c r="Y562" s="284">
        <v>12</v>
      </c>
      <c r="Z562" s="25">
        <f t="shared" si="97"/>
        <v>1</v>
      </c>
      <c r="AA562" s="25">
        <f t="shared" si="98"/>
        <v>12</v>
      </c>
      <c r="AB562" s="23">
        <f ca="1">IFERROR(INDEX('Cutters Inventory 12-30-2025'!A:W,MATCH($W562,'Cutters Inventory 12-30-2025'!B:B,0),14),0)</f>
        <v>659</v>
      </c>
      <c r="AC562" s="23">
        <f>SUMIF(Table1[LEVEL 5 MAT NO.],S562,Table1[Braze Plan])</f>
        <v>0</v>
      </c>
      <c r="AD562" s="23">
        <f>Table4[[#This Row],[Quantity]]*Table4[[#This Row],[Bits Braze Plan]]</f>
        <v>0</v>
      </c>
      <c r="AE562" s="23">
        <f ca="1">Table4[[#This Row],[INV. QTY]]-Table4[[#This Row],[Required For Braze Cutters Check]]</f>
        <v>659</v>
      </c>
      <c r="AF562" s="23">
        <f t="shared" ca="1" si="99"/>
        <v>659</v>
      </c>
      <c r="AG562" s="626"/>
    </row>
    <row r="563" spans="1:33" ht="24.75" customHeight="1" x14ac:dyDescent="0.25">
      <c r="A563" s="132">
        <v>20240285</v>
      </c>
      <c r="B563" s="709"/>
      <c r="C563" s="132">
        <v>14279670</v>
      </c>
      <c r="D563" s="132" t="s">
        <v>304</v>
      </c>
      <c r="E563" s="132" t="s">
        <v>630</v>
      </c>
      <c r="F563" s="132" t="s">
        <v>783</v>
      </c>
      <c r="G563" s="132">
        <v>3</v>
      </c>
      <c r="H563" s="141">
        <v>1228690</v>
      </c>
      <c r="I563" s="141">
        <v>960723</v>
      </c>
      <c r="J563" s="26">
        <f>IF(H563&lt;&gt;"",IF(AND(C563&lt;&gt;"",IFERROR(MATCH(C563,Table10[Serial No.],0),0)),0,1),0)</f>
        <v>0</v>
      </c>
      <c r="K563" s="21"/>
      <c r="L563" s="539" t="str">
        <f t="shared" ca="1" si="79"/>
        <v/>
      </c>
      <c r="S563" s="281" t="s">
        <v>791</v>
      </c>
      <c r="T563" s="278" t="s">
        <v>631</v>
      </c>
      <c r="U563" s="278" t="s">
        <v>792</v>
      </c>
      <c r="V563" s="25">
        <v>3</v>
      </c>
      <c r="W563" s="284">
        <v>1228503</v>
      </c>
      <c r="X563" s="19" t="str">
        <f>IFERROR(INDEX(Table14[],MATCH($W563,Table14[SAPNo],0),3),"")</f>
        <v>1618 CT182 U-60 Ring</v>
      </c>
      <c r="Y563" s="284">
        <v>12</v>
      </c>
      <c r="Z563" s="25">
        <f t="shared" si="97"/>
        <v>1</v>
      </c>
      <c r="AA563" s="25">
        <f t="shared" si="98"/>
        <v>12</v>
      </c>
      <c r="AB563" s="23">
        <f ca="1">IFERROR(INDEX('Cutters Inventory 12-30-2025'!A:W,MATCH($W563,'Cutters Inventory 12-30-2025'!B:B,0),14),0)</f>
        <v>397</v>
      </c>
      <c r="AC563" s="23">
        <f>SUMIF(Table1[LEVEL 5 MAT NO.],S563,Table1[Braze Plan])</f>
        <v>0</v>
      </c>
      <c r="AD563" s="23">
        <f>Table4[[#This Row],[Quantity]]*Table4[[#This Row],[Bits Braze Plan]]</f>
        <v>0</v>
      </c>
      <c r="AE563" s="23">
        <f ca="1">Table4[[#This Row],[INV. QTY]]-Table4[[#This Row],[Required For Braze Cutters Check]]</f>
        <v>397</v>
      </c>
      <c r="AF563" s="23">
        <f t="shared" ca="1" si="99"/>
        <v>397</v>
      </c>
      <c r="AG563" s="626"/>
    </row>
    <row r="564" spans="1:33" ht="24.75" customHeight="1" x14ac:dyDescent="0.25">
      <c r="A564" s="109">
        <v>20240285</v>
      </c>
      <c r="B564" s="608"/>
      <c r="C564" s="109">
        <v>14279672</v>
      </c>
      <c r="D564" s="109" t="s">
        <v>309</v>
      </c>
      <c r="E564" s="109" t="s">
        <v>256</v>
      </c>
      <c r="F564" s="109" t="s">
        <v>710</v>
      </c>
      <c r="G564" s="109">
        <v>4</v>
      </c>
      <c r="H564" s="140">
        <v>1198387</v>
      </c>
      <c r="I564" s="140">
        <v>1160951</v>
      </c>
      <c r="J564" s="26">
        <f>IF(H564&lt;&gt;"",IF(AND(C564&lt;&gt;"",IFERROR(MATCH(C564,Table10[Serial No.],0),0)),0,1),0)</f>
        <v>0</v>
      </c>
      <c r="K564" s="21"/>
      <c r="L564" s="539" t="str">
        <f t="shared" ca="1" si="79"/>
        <v/>
      </c>
      <c r="S564" s="281" t="s">
        <v>791</v>
      </c>
      <c r="T564" s="278" t="s">
        <v>631</v>
      </c>
      <c r="U564" s="278" t="s">
        <v>792</v>
      </c>
      <c r="V564" s="25">
        <v>4</v>
      </c>
      <c r="W564" s="284">
        <v>2004484</v>
      </c>
      <c r="X564" s="19" t="str">
        <f>IFERROR(INDEX(Table14[],MATCH($W564,Table14[SAPNo],0),3),"")</f>
        <v>1308 CT187 U-60</v>
      </c>
      <c r="Y564" s="284">
        <v>15</v>
      </c>
      <c r="Z564" s="25">
        <f t="shared" si="97"/>
        <v>1</v>
      </c>
      <c r="AA564" s="25">
        <f t="shared" si="98"/>
        <v>15</v>
      </c>
      <c r="AB564" s="23">
        <f ca="1">IFERROR(INDEX('Cutters Inventory 12-30-2025'!A:W,MATCH($W564,'Cutters Inventory 12-30-2025'!B:B,0),14),0)</f>
        <v>428</v>
      </c>
      <c r="AC564" s="23">
        <f>SUMIF(Table1[LEVEL 5 MAT NO.],S564,Table1[Braze Plan])</f>
        <v>0</v>
      </c>
      <c r="AD564" s="23">
        <f>Table4[[#This Row],[Quantity]]*Table4[[#This Row],[Bits Braze Plan]]</f>
        <v>0</v>
      </c>
      <c r="AE564" s="23">
        <f ca="1">Table4[[#This Row],[INV. QTY]]-Table4[[#This Row],[Required For Braze Cutters Check]]</f>
        <v>428</v>
      </c>
      <c r="AF564" s="23">
        <f t="shared" ca="1" si="99"/>
        <v>428</v>
      </c>
      <c r="AG564" s="626"/>
    </row>
    <row r="565" spans="1:33" ht="24.75" customHeight="1" x14ac:dyDescent="0.25">
      <c r="A565" s="132">
        <v>20240285</v>
      </c>
      <c r="B565" s="709"/>
      <c r="C565" s="132">
        <v>14279673</v>
      </c>
      <c r="D565" s="132" t="s">
        <v>309</v>
      </c>
      <c r="E565" s="132" t="s">
        <v>256</v>
      </c>
      <c r="F565" s="132" t="s">
        <v>710</v>
      </c>
      <c r="G565" s="132">
        <v>4</v>
      </c>
      <c r="H565" s="141">
        <v>1198387</v>
      </c>
      <c r="I565" s="141">
        <v>1160951</v>
      </c>
      <c r="J565" s="26">
        <f>IF(H565&lt;&gt;"",IF(AND(C565&lt;&gt;"",IFERROR(MATCH(C565,Table10[Serial No.],0),0)),0,1),0)</f>
        <v>0</v>
      </c>
      <c r="K565" s="21"/>
      <c r="L565" s="539" t="str">
        <f t="shared" ca="1" si="79"/>
        <v/>
      </c>
      <c r="S565" s="281" t="s">
        <v>791</v>
      </c>
      <c r="T565" s="278" t="s">
        <v>631</v>
      </c>
      <c r="U565" s="278" t="s">
        <v>792</v>
      </c>
      <c r="V565" s="25">
        <v>5</v>
      </c>
      <c r="W565" s="284">
        <v>2002186</v>
      </c>
      <c r="X565" s="19" t="str">
        <f>IFERROR(INDEX(Table14[],MATCH($W565,Table14[SAPNo],0),3),"")</f>
        <v>1313 CT187 U-60</v>
      </c>
      <c r="Y565" s="284">
        <v>16</v>
      </c>
      <c r="Z565" s="25">
        <f t="shared" si="97"/>
        <v>1</v>
      </c>
      <c r="AA565" s="25">
        <f t="shared" si="98"/>
        <v>16</v>
      </c>
      <c r="AB565" s="23">
        <f ca="1">IFERROR(INDEX('Cutters Inventory 12-30-2025'!A:W,MATCH($W565,'Cutters Inventory 12-30-2025'!B:B,0),14),0)</f>
        <v>330</v>
      </c>
      <c r="AC565" s="23">
        <f>SUMIF(Table1[LEVEL 5 MAT NO.],S565,Table1[Braze Plan])</f>
        <v>0</v>
      </c>
      <c r="AD565" s="23">
        <f>Table4[[#This Row],[Quantity]]*Table4[[#This Row],[Bits Braze Plan]]</f>
        <v>0</v>
      </c>
      <c r="AE565" s="23">
        <f ca="1">Table4[[#This Row],[INV. QTY]]-Table4[[#This Row],[Required For Braze Cutters Check]]</f>
        <v>330</v>
      </c>
      <c r="AF565" s="23">
        <f t="shared" ca="1" si="99"/>
        <v>330</v>
      </c>
      <c r="AG565" s="626"/>
    </row>
    <row r="566" spans="1:33" ht="24.75" customHeight="1" x14ac:dyDescent="0.25">
      <c r="A566" s="109">
        <v>20240323</v>
      </c>
      <c r="B566" s="608"/>
      <c r="C566" s="109">
        <v>14304768</v>
      </c>
      <c r="D566" s="109" t="s">
        <v>307</v>
      </c>
      <c r="E566" s="109" t="s">
        <v>308</v>
      </c>
      <c r="F566" s="109"/>
      <c r="G566" s="109" t="s">
        <v>681</v>
      </c>
      <c r="H566" s="140">
        <v>1224225</v>
      </c>
      <c r="I566" s="140">
        <v>1252149</v>
      </c>
      <c r="J566" s="26">
        <f>IF(H566&lt;&gt;"",IF(AND(C566&lt;&gt;"",IFERROR(MATCH(C566,Table10[Serial No.],0),0)),0,1),0)</f>
        <v>0</v>
      </c>
      <c r="K566" s="21"/>
      <c r="L566" s="539" t="str">
        <f t="shared" ca="1" si="79"/>
        <v/>
      </c>
      <c r="S566" s="281" t="s">
        <v>791</v>
      </c>
      <c r="T566" s="278" t="s">
        <v>631</v>
      </c>
      <c r="U566" s="278" t="s">
        <v>792</v>
      </c>
      <c r="V566" s="25">
        <v>6</v>
      </c>
      <c r="W566" s="284">
        <v>1228502</v>
      </c>
      <c r="X566" s="19" t="str">
        <f>IFERROR(INDEX(Table14[],MATCH($W566,Table14[SAPNo],0),3),"")</f>
        <v>1618 CT182 U-60 Rotor</v>
      </c>
      <c r="Y566" s="284">
        <v>12</v>
      </c>
      <c r="Z566" s="25">
        <f t="shared" si="97"/>
        <v>1</v>
      </c>
      <c r="AA566" s="25">
        <f t="shared" si="98"/>
        <v>12</v>
      </c>
      <c r="AB566" s="23">
        <f ca="1">IFERROR(INDEX('Cutters Inventory 12-30-2025'!A:W,MATCH($W566,'Cutters Inventory 12-30-2025'!B:B,0),14),0)</f>
        <v>655</v>
      </c>
      <c r="AC566" s="23">
        <f>SUMIF(Table1[LEVEL 5 MAT NO.],S566,Table1[Braze Plan])</f>
        <v>0</v>
      </c>
      <c r="AD566" s="23">
        <f>Table4[[#This Row],[Quantity]]*Table4[[#This Row],[Bits Braze Plan]]</f>
        <v>0</v>
      </c>
      <c r="AE566" s="23">
        <f ca="1">Table4[[#This Row],[INV. QTY]]-Table4[[#This Row],[Required For Braze Cutters Check]]</f>
        <v>655</v>
      </c>
      <c r="AF566" s="23">
        <f t="shared" ca="1" si="99"/>
        <v>655</v>
      </c>
      <c r="AG566" s="626"/>
    </row>
    <row r="567" spans="1:33" ht="24.75" customHeight="1" x14ac:dyDescent="0.25">
      <c r="A567" s="109">
        <v>20240323</v>
      </c>
      <c r="B567" s="608"/>
      <c r="C567" s="109">
        <v>14304767</v>
      </c>
      <c r="D567" s="109" t="s">
        <v>307</v>
      </c>
      <c r="E567" s="109" t="s">
        <v>308</v>
      </c>
      <c r="F567" s="109"/>
      <c r="G567" s="109" t="s">
        <v>681</v>
      </c>
      <c r="H567" s="140">
        <v>1224225</v>
      </c>
      <c r="I567" s="140">
        <v>1252149</v>
      </c>
      <c r="J567" s="26">
        <f>IF(H567&lt;&gt;"",IF(AND(C567&lt;&gt;"",IFERROR(MATCH(C567,Table10[Serial No.],0),0)),0,1),0)</f>
        <v>0</v>
      </c>
      <c r="K567" s="21"/>
      <c r="L567" s="539" t="str">
        <f t="shared" ca="1" si="79"/>
        <v/>
      </c>
      <c r="S567" s="281" t="s">
        <v>791</v>
      </c>
      <c r="T567" s="278" t="s">
        <v>631</v>
      </c>
      <c r="U567" s="278" t="s">
        <v>792</v>
      </c>
      <c r="V567" s="25">
        <v>7</v>
      </c>
      <c r="W567" s="284">
        <v>2002299</v>
      </c>
      <c r="X567" s="19" t="str">
        <f>IFERROR(INDEX(Table14[],MATCH($W567,Table14[SAPNo],0),3),"")</f>
        <v>1613 CT187 U-60</v>
      </c>
      <c r="Y567" s="284">
        <v>2</v>
      </c>
      <c r="Z567" s="25">
        <f t="shared" si="97"/>
        <v>1</v>
      </c>
      <c r="AA567" s="25">
        <f t="shared" si="98"/>
        <v>2</v>
      </c>
      <c r="AB567" s="23">
        <f ca="1">IFERROR(INDEX('Cutters Inventory 12-30-2025'!A:W,MATCH($W567,'Cutters Inventory 12-30-2025'!B:B,0),14),0)</f>
        <v>557</v>
      </c>
      <c r="AC567" s="23">
        <f>SUMIF(Table1[LEVEL 5 MAT NO.],S567,Table1[Braze Plan])</f>
        <v>0</v>
      </c>
      <c r="AD567" s="23">
        <f>Table4[[#This Row],[Quantity]]*Table4[[#This Row],[Bits Braze Plan]]</f>
        <v>0</v>
      </c>
      <c r="AE567" s="23">
        <f ca="1">Table4[[#This Row],[INV. QTY]]-Table4[[#This Row],[Required For Braze Cutters Check]]</f>
        <v>557</v>
      </c>
      <c r="AF567" s="23">
        <f t="shared" ca="1" si="99"/>
        <v>557</v>
      </c>
      <c r="AG567" s="626"/>
    </row>
    <row r="568" spans="1:33" ht="24.75" customHeight="1" x14ac:dyDescent="0.25">
      <c r="A568" s="109">
        <v>20240323</v>
      </c>
      <c r="B568" s="709"/>
      <c r="C568" s="109">
        <v>14304771</v>
      </c>
      <c r="D568" s="109" t="s">
        <v>309</v>
      </c>
      <c r="E568" s="109" t="s">
        <v>311</v>
      </c>
      <c r="F568" s="109" t="s">
        <v>793</v>
      </c>
      <c r="G568" s="109" t="s">
        <v>676</v>
      </c>
      <c r="H568" s="140">
        <v>1145824</v>
      </c>
      <c r="I568" s="140">
        <v>1137349</v>
      </c>
      <c r="J568" s="26">
        <f>IF(H568&lt;&gt;"",IF(AND(C568&lt;&gt;"",IFERROR(MATCH(C568,Table10[Serial No.],0),0)),0,1),0)</f>
        <v>0</v>
      </c>
      <c r="K568" s="21"/>
      <c r="L568" s="539" t="str">
        <f t="shared" ca="1" si="79"/>
        <v/>
      </c>
      <c r="S568" s="281" t="s">
        <v>791</v>
      </c>
      <c r="T568" s="278" t="s">
        <v>631</v>
      </c>
      <c r="U568" s="278" t="s">
        <v>792</v>
      </c>
      <c r="V568" s="25">
        <v>8</v>
      </c>
      <c r="W568" s="284">
        <v>871781</v>
      </c>
      <c r="X568" s="19" t="str">
        <f>IFERROR(INDEX(Table14[],MATCH($W568,Table14[SAPNo],0),3),"")</f>
        <v>Round 1313 CT200  0.018" (B)</v>
      </c>
      <c r="Y568" s="284">
        <v>6</v>
      </c>
      <c r="Z568" s="25">
        <f t="shared" si="97"/>
        <v>1</v>
      </c>
      <c r="AA568" s="25">
        <f t="shared" si="98"/>
        <v>6</v>
      </c>
      <c r="AB568" s="23">
        <f ca="1">IFERROR(INDEX('Cutters Inventory 12-30-2025'!A:W,MATCH($W568,'Cutters Inventory 12-30-2025'!B:B,0),14),0)</f>
        <v>843</v>
      </c>
      <c r="AC568" s="23">
        <f>SUMIF(Table1[LEVEL 5 MAT NO.],S568,Table1[Braze Plan])</f>
        <v>0</v>
      </c>
      <c r="AD568" s="23">
        <f>Table4[[#This Row],[Quantity]]*Table4[[#This Row],[Bits Braze Plan]]</f>
        <v>0</v>
      </c>
      <c r="AE568" s="23">
        <f ca="1">Table4[[#This Row],[INV. QTY]]-Table4[[#This Row],[Required For Braze Cutters Check]]</f>
        <v>843</v>
      </c>
      <c r="AF568" s="23">
        <f t="shared" ca="1" si="99"/>
        <v>843</v>
      </c>
      <c r="AG568" s="626"/>
    </row>
    <row r="569" spans="1:33" ht="24.75" customHeight="1" x14ac:dyDescent="0.25">
      <c r="A569" s="109">
        <v>20240323</v>
      </c>
      <c r="B569" s="709"/>
      <c r="C569" s="109">
        <v>14304770</v>
      </c>
      <c r="D569" s="109" t="s">
        <v>309</v>
      </c>
      <c r="E569" s="109" t="s">
        <v>311</v>
      </c>
      <c r="F569" s="109" t="s">
        <v>793</v>
      </c>
      <c r="G569" s="109" t="s">
        <v>676</v>
      </c>
      <c r="H569" s="140">
        <v>1145824</v>
      </c>
      <c r="I569" s="140">
        <v>1137349</v>
      </c>
      <c r="J569" s="26">
        <f>IF(H569&lt;&gt;"",IF(AND(C569&lt;&gt;"",IFERROR(MATCH(C569,Table10[Serial No.],0),0)),0,1),0)</f>
        <v>0</v>
      </c>
      <c r="K569" s="21"/>
      <c r="L569" s="539" t="str">
        <f t="shared" ca="1" si="79"/>
        <v/>
      </c>
      <c r="S569" s="281" t="s">
        <v>4254</v>
      </c>
      <c r="T569" s="278" t="s">
        <v>316</v>
      </c>
      <c r="U569" s="278" t="s">
        <v>4253</v>
      </c>
      <c r="V569" s="25">
        <v>1</v>
      </c>
      <c r="W569" s="284">
        <v>1146737</v>
      </c>
      <c r="X569" s="19" t="str">
        <f>IFERROR(INDEX(Table14[],MATCH($W569,Table14[SAPNo],0),3),"")</f>
        <v>1613 CT418 18-60</v>
      </c>
      <c r="Y569" s="284">
        <v>21</v>
      </c>
      <c r="Z569" s="25">
        <f t="shared" ref="Z569:Z577" si="100">IFERROR(INDEX($O$2:$P$400,MATCH($S569,$O$2:$O$93,0),2),0)</f>
        <v>1</v>
      </c>
      <c r="AA569" s="25">
        <f t="shared" ref="AA569:AA577" si="101">Y569*Z569</f>
        <v>21</v>
      </c>
      <c r="AB569" s="23">
        <f ca="1">IFERROR(INDEX('Cutters Inventory 12-30-2025'!A:W,MATCH($W569,'Cutters Inventory 12-30-2025'!B:B,0),14),0)</f>
        <v>1281</v>
      </c>
      <c r="AC569" s="23">
        <f>SUMIF(Table1[LEVEL 5 MAT NO.],S569,Table1[Braze Plan])</f>
        <v>0</v>
      </c>
      <c r="AD569" s="23">
        <f>Table4[[#This Row],[Quantity]]*Table4[[#This Row],[Bits Braze Plan]]</f>
        <v>0</v>
      </c>
      <c r="AE569" s="23">
        <f ca="1">Table4[[#This Row],[INV. QTY]]-Table4[[#This Row],[Required For Braze Cutters Check]]</f>
        <v>1281</v>
      </c>
      <c r="AF569" s="23">
        <f t="shared" ref="AF569:AF577" ca="1" si="102">IFERROR(INDEX($AJ$2:$AO$136,MATCH($W569,$AJ$2:$AJ$136,0),5),0)</f>
        <v>1281</v>
      </c>
      <c r="AG569" s="626"/>
    </row>
    <row r="570" spans="1:33" ht="24.75" customHeight="1" x14ac:dyDescent="0.25">
      <c r="A570" s="109">
        <v>20240323</v>
      </c>
      <c r="B570" s="709"/>
      <c r="C570" s="109">
        <v>14304769</v>
      </c>
      <c r="D570" s="109" t="s">
        <v>309</v>
      </c>
      <c r="E570" s="109" t="s">
        <v>311</v>
      </c>
      <c r="F570" s="109" t="s">
        <v>793</v>
      </c>
      <c r="G570" s="109" t="s">
        <v>676</v>
      </c>
      <c r="H570" s="140">
        <v>1145824</v>
      </c>
      <c r="I570" s="140">
        <v>1137349</v>
      </c>
      <c r="J570" s="26">
        <f>IF(H570&lt;&gt;"",IF(AND(C570&lt;&gt;"",IFERROR(MATCH(C570,Table10[Serial No.],0),0)),0,1),0)</f>
        <v>0</v>
      </c>
      <c r="K570" s="21"/>
      <c r="L570" s="539" t="str">
        <f t="shared" ca="1" si="79"/>
        <v/>
      </c>
      <c r="S570" s="281" t="s">
        <v>4254</v>
      </c>
      <c r="T570" s="278" t="s">
        <v>316</v>
      </c>
      <c r="U570" s="278" t="s">
        <v>4253</v>
      </c>
      <c r="V570" s="25">
        <v>2</v>
      </c>
      <c r="W570" s="284">
        <v>1282370</v>
      </c>
      <c r="X570" s="19" t="str">
        <f>IFERROR(INDEX(Table14[],MATCH($W570,Table14[SAPNo],0),3),"")</f>
        <v>1613 CT436Mv3 U-60</v>
      </c>
      <c r="Y570" s="284">
        <v>12</v>
      </c>
      <c r="Z570" s="25">
        <f t="shared" si="100"/>
        <v>1</v>
      </c>
      <c r="AA570" s="25">
        <f t="shared" si="101"/>
        <v>12</v>
      </c>
      <c r="AB570" s="23">
        <f ca="1">IFERROR(INDEX('Cutters Inventory 12-30-2025'!A:W,MATCH($W570,'Cutters Inventory 12-30-2025'!B:B,0),14),0)</f>
        <v>193</v>
      </c>
      <c r="AC570" s="23">
        <f>SUMIF(Table1[LEVEL 5 MAT NO.],S570,Table1[Braze Plan])</f>
        <v>0</v>
      </c>
      <c r="AD570" s="23">
        <f>Table4[[#This Row],[Quantity]]*Table4[[#This Row],[Bits Braze Plan]]</f>
        <v>0</v>
      </c>
      <c r="AE570" s="23">
        <f ca="1">Table4[[#This Row],[INV. QTY]]-Table4[[#This Row],[Required For Braze Cutters Check]]</f>
        <v>193</v>
      </c>
      <c r="AF570" s="23">
        <f t="shared" ca="1" si="102"/>
        <v>193</v>
      </c>
      <c r="AG570" s="626"/>
    </row>
    <row r="571" spans="1:33" ht="24.75" customHeight="1" x14ac:dyDescent="0.25">
      <c r="A571" s="109">
        <v>20240323</v>
      </c>
      <c r="B571" s="709"/>
      <c r="C571" s="109">
        <v>14304772</v>
      </c>
      <c r="D571" s="109" t="s">
        <v>309</v>
      </c>
      <c r="E571" s="109" t="s">
        <v>256</v>
      </c>
      <c r="F571" s="109"/>
      <c r="G571" s="109" t="s">
        <v>681</v>
      </c>
      <c r="H571" s="140">
        <v>1198387</v>
      </c>
      <c r="I571" s="140">
        <v>1160951</v>
      </c>
      <c r="J571" s="26">
        <f>IF(H571&lt;&gt;"",IF(AND(C571&lt;&gt;"",IFERROR(MATCH(C571,Table10[Serial No.],0),0)),0,1),0)</f>
        <v>0</v>
      </c>
      <c r="K571" s="21"/>
      <c r="L571" s="539" t="str">
        <f t="shared" ca="1" si="79"/>
        <v/>
      </c>
      <c r="S571" s="281" t="s">
        <v>4254</v>
      </c>
      <c r="T571" s="278" t="s">
        <v>316</v>
      </c>
      <c r="U571" s="278" t="s">
        <v>4253</v>
      </c>
      <c r="V571" s="25">
        <v>3</v>
      </c>
      <c r="W571" s="284">
        <v>2024642</v>
      </c>
      <c r="X571" s="19" t="str">
        <f>IFERROR(INDEX(Table14[],MATCH($W571,Table14[SAPNo],0),3),"")</f>
        <v>1613 CT179P 18-60</v>
      </c>
      <c r="Y571" s="284">
        <v>38</v>
      </c>
      <c r="Z571" s="25">
        <f t="shared" si="100"/>
        <v>1</v>
      </c>
      <c r="AA571" s="25">
        <f t="shared" si="101"/>
        <v>38</v>
      </c>
      <c r="AB571" s="23">
        <f ca="1">IFERROR(INDEX('Cutters Inventory 12-30-2025'!A:W,MATCH($W571,'Cutters Inventory 12-30-2025'!B:B,0),14),0)</f>
        <v>86</v>
      </c>
      <c r="AC571" s="23">
        <f>SUMIF(Table1[LEVEL 5 MAT NO.],S571,Table1[Braze Plan])</f>
        <v>0</v>
      </c>
      <c r="AD571" s="23">
        <f>Table4[[#This Row],[Quantity]]*Table4[[#This Row],[Bits Braze Plan]]</f>
        <v>0</v>
      </c>
      <c r="AE571" s="23">
        <f ca="1">Table4[[#This Row],[INV. QTY]]-Table4[[#This Row],[Required For Braze Cutters Check]]</f>
        <v>86</v>
      </c>
      <c r="AF571" s="23">
        <f t="shared" ca="1" si="102"/>
        <v>86</v>
      </c>
      <c r="AG571" s="626"/>
    </row>
    <row r="572" spans="1:33" ht="24.75" customHeight="1" x14ac:dyDescent="0.25">
      <c r="A572" s="109">
        <v>20240323</v>
      </c>
      <c r="B572" s="709"/>
      <c r="C572" s="109">
        <v>14304773</v>
      </c>
      <c r="D572" s="109" t="s">
        <v>309</v>
      </c>
      <c r="E572" s="109" t="s">
        <v>256</v>
      </c>
      <c r="F572" s="109"/>
      <c r="G572" s="109" t="s">
        <v>681</v>
      </c>
      <c r="H572" s="140">
        <v>1198387</v>
      </c>
      <c r="I572" s="140">
        <v>1160951</v>
      </c>
      <c r="J572" s="26">
        <f>IF(H572&lt;&gt;"",IF(AND(C572&lt;&gt;"",IFERROR(MATCH(C572,Table10[Serial No.],0),0)),0,1),0)</f>
        <v>0</v>
      </c>
      <c r="K572" s="21"/>
      <c r="L572" s="539" t="str">
        <f t="shared" ca="1" si="79"/>
        <v/>
      </c>
      <c r="S572" s="281" t="s">
        <v>4254</v>
      </c>
      <c r="T572" s="278" t="s">
        <v>316</v>
      </c>
      <c r="U572" s="278" t="s">
        <v>4253</v>
      </c>
      <c r="V572" s="25">
        <v>4</v>
      </c>
      <c r="W572" s="284">
        <v>647436</v>
      </c>
      <c r="X572" s="19" t="str">
        <f>IFERROR(INDEX(Table14[],MATCH($W572,Table14[SAPNo],0),3),"")</f>
        <v>Round 1613 CT200  0.018" (B)</v>
      </c>
      <c r="Y572" s="284">
        <v>32</v>
      </c>
      <c r="Z572" s="25">
        <f t="shared" si="100"/>
        <v>1</v>
      </c>
      <c r="AA572" s="25">
        <f t="shared" si="101"/>
        <v>32</v>
      </c>
      <c r="AB572" s="23">
        <f ca="1">IFERROR(INDEX('Cutters Inventory 12-30-2025'!A:W,MATCH($W572,'Cutters Inventory 12-30-2025'!B:B,0),14),0)</f>
        <v>412</v>
      </c>
      <c r="AC572" s="23">
        <f>SUMIF(Table1[LEVEL 5 MAT NO.],S572,Table1[Braze Plan])</f>
        <v>0</v>
      </c>
      <c r="AD572" s="23">
        <f>Table4[[#This Row],[Quantity]]*Table4[[#This Row],[Bits Braze Plan]]</f>
        <v>0</v>
      </c>
      <c r="AE572" s="23">
        <f ca="1">Table4[[#This Row],[INV. QTY]]-Table4[[#This Row],[Required For Braze Cutters Check]]</f>
        <v>412</v>
      </c>
      <c r="AF572" s="23">
        <f t="shared" ca="1" si="102"/>
        <v>412</v>
      </c>
      <c r="AG572" s="626"/>
    </row>
    <row r="573" spans="1:33" ht="24.75" customHeight="1" x14ac:dyDescent="0.25">
      <c r="A573" s="109">
        <v>20240323</v>
      </c>
      <c r="B573" s="709"/>
      <c r="C573" s="109">
        <v>14304776</v>
      </c>
      <c r="D573" s="109" t="s">
        <v>313</v>
      </c>
      <c r="E573" s="109" t="s">
        <v>273</v>
      </c>
      <c r="F573" s="109"/>
      <c r="G573" s="109" t="s">
        <v>681</v>
      </c>
      <c r="H573" s="140">
        <v>1246020</v>
      </c>
      <c r="I573" s="140">
        <v>2009246</v>
      </c>
      <c r="J573" s="26">
        <f>IF(H573&lt;&gt;"",IF(AND(C573&lt;&gt;"",IFERROR(MATCH(C573,Table10[Serial No.],0),0)),0,1),0)</f>
        <v>0</v>
      </c>
      <c r="K573" s="21"/>
      <c r="L573" s="539" t="str">
        <f t="shared" ca="1" si="79"/>
        <v/>
      </c>
      <c r="S573" s="281" t="s">
        <v>4254</v>
      </c>
      <c r="T573" s="278" t="s">
        <v>316</v>
      </c>
      <c r="U573" s="278" t="s">
        <v>4253</v>
      </c>
      <c r="V573" s="25">
        <v>5</v>
      </c>
      <c r="W573" s="284">
        <v>410851</v>
      </c>
      <c r="X573" s="19" t="str">
        <f>IFERROR(INDEX(Table14[],MATCH($W573,Table14[SAPNo],0),3),"")</f>
        <v>PDC Dome 1308 CT31   (B)</v>
      </c>
      <c r="Y573" s="284">
        <v>6</v>
      </c>
      <c r="Z573" s="25">
        <f t="shared" si="100"/>
        <v>1</v>
      </c>
      <c r="AA573" s="25">
        <f t="shared" si="101"/>
        <v>6</v>
      </c>
      <c r="AB573" s="23">
        <f ca="1">IFERROR(INDEX('Cutters Inventory 12-30-2025'!A:W,MATCH($W573,'Cutters Inventory 12-30-2025'!B:B,0),14),0)</f>
        <v>93</v>
      </c>
      <c r="AC573" s="23">
        <f>SUMIF(Table1[LEVEL 5 MAT NO.],S573,Table1[Braze Plan])</f>
        <v>0</v>
      </c>
      <c r="AD573" s="23">
        <f>Table4[[#This Row],[Quantity]]*Table4[[#This Row],[Bits Braze Plan]]</f>
        <v>0</v>
      </c>
      <c r="AE573" s="23">
        <f ca="1">Table4[[#This Row],[INV. QTY]]-Table4[[#This Row],[Required For Braze Cutters Check]]</f>
        <v>93</v>
      </c>
      <c r="AF573" s="23">
        <f t="shared" ca="1" si="102"/>
        <v>93</v>
      </c>
      <c r="AG573" s="626"/>
    </row>
    <row r="574" spans="1:33" ht="24.75" customHeight="1" x14ac:dyDescent="0.25">
      <c r="A574" s="109">
        <v>20240323</v>
      </c>
      <c r="B574" s="709"/>
      <c r="C574" s="109">
        <v>14304774</v>
      </c>
      <c r="D574" s="109" t="s">
        <v>313</v>
      </c>
      <c r="E574" s="109" t="s">
        <v>273</v>
      </c>
      <c r="F574" s="109"/>
      <c r="G574" s="109" t="s">
        <v>681</v>
      </c>
      <c r="H574" s="140">
        <v>1246020</v>
      </c>
      <c r="I574" s="140">
        <v>2009246</v>
      </c>
      <c r="J574" s="26">
        <f>IF(H574&lt;&gt;"",IF(AND(C574&lt;&gt;"",IFERROR(MATCH(C574,Table10[Serial No.],0),0)),0,1),0)</f>
        <v>0</v>
      </c>
      <c r="K574" s="21"/>
      <c r="L574" s="539" t="str">
        <f t="shared" ca="1" si="79"/>
        <v/>
      </c>
      <c r="S574" s="281" t="s">
        <v>4254</v>
      </c>
      <c r="T574" s="278" t="s">
        <v>316</v>
      </c>
      <c r="U574" s="278" t="s">
        <v>4253</v>
      </c>
      <c r="V574" s="25">
        <v>6</v>
      </c>
      <c r="W574" s="284">
        <v>418525</v>
      </c>
      <c r="X574" s="19" t="str">
        <f>IFERROR(INDEX(Table14[],MATCH($W574,Table14[SAPNo],0),3),"")</f>
        <v>Drop In 1308 CT31   (B)</v>
      </c>
      <c r="Y574" s="284">
        <v>6</v>
      </c>
      <c r="Z574" s="25">
        <f t="shared" si="100"/>
        <v>1</v>
      </c>
      <c r="AA574" s="25">
        <f t="shared" si="101"/>
        <v>6</v>
      </c>
      <c r="AB574" s="23">
        <f ca="1">IFERROR(INDEX('Cutters Inventory 12-30-2025'!A:W,MATCH($W574,'Cutters Inventory 12-30-2025'!B:B,0),14),0)</f>
        <v>933</v>
      </c>
      <c r="AC574" s="23">
        <f>SUMIF(Table1[LEVEL 5 MAT NO.],S574,Table1[Braze Plan])</f>
        <v>0</v>
      </c>
      <c r="AD574" s="23">
        <f>Table4[[#This Row],[Quantity]]*Table4[[#This Row],[Bits Braze Plan]]</f>
        <v>0</v>
      </c>
      <c r="AE574" s="23">
        <f ca="1">Table4[[#This Row],[INV. QTY]]-Table4[[#This Row],[Required For Braze Cutters Check]]</f>
        <v>933</v>
      </c>
      <c r="AF574" s="23">
        <f t="shared" ca="1" si="102"/>
        <v>933</v>
      </c>
      <c r="AG574" s="626"/>
    </row>
    <row r="575" spans="1:33" ht="24.75" customHeight="1" x14ac:dyDescent="0.25">
      <c r="A575" s="109">
        <v>20240323</v>
      </c>
      <c r="B575" s="709"/>
      <c r="C575" s="109">
        <v>14304775</v>
      </c>
      <c r="D575" s="109" t="s">
        <v>313</v>
      </c>
      <c r="E575" s="109" t="s">
        <v>273</v>
      </c>
      <c r="F575" s="109"/>
      <c r="G575" s="109" t="s">
        <v>681</v>
      </c>
      <c r="H575" s="140">
        <v>1246020</v>
      </c>
      <c r="I575" s="140" t="s">
        <v>737</v>
      </c>
      <c r="J575" s="26">
        <f>IF(H575&lt;&gt;"",IF(AND(C575&lt;&gt;"",IFERROR(MATCH(C575,Table10[Serial No.],0),0)),0,1),0)</f>
        <v>0</v>
      </c>
      <c r="K575" s="21"/>
      <c r="L575" s="539" t="str">
        <f t="shared" si="79"/>
        <v/>
      </c>
      <c r="S575" s="281" t="s">
        <v>4254</v>
      </c>
      <c r="T575" s="278" t="s">
        <v>316</v>
      </c>
      <c r="U575" s="278" t="s">
        <v>4253</v>
      </c>
      <c r="V575" s="25">
        <v>7</v>
      </c>
      <c r="W575" s="284">
        <v>1201518</v>
      </c>
      <c r="X575" s="19" t="str">
        <f>IFERROR(INDEX(Table14[],MATCH($W575,Table14[SAPNo],0),3),"")</f>
        <v>12MM WC­MAT404 NA</v>
      </c>
      <c r="Y575" s="284">
        <v>9</v>
      </c>
      <c r="Z575" s="25">
        <f t="shared" si="100"/>
        <v>1</v>
      </c>
      <c r="AA575" s="25">
        <f t="shared" si="101"/>
        <v>9</v>
      </c>
      <c r="AB575" s="23">
        <f ca="1">IFERROR(INDEX('Cutters Inventory 12-30-2025'!A:W,MATCH($W575,'Cutters Inventory 12-30-2025'!B:B,0),14),0)</f>
        <v>145</v>
      </c>
      <c r="AC575" s="23">
        <f>SUMIF(Table1[LEVEL 5 MAT NO.],S575,Table1[Braze Plan])</f>
        <v>0</v>
      </c>
      <c r="AD575" s="23">
        <f>Table4[[#This Row],[Quantity]]*Table4[[#This Row],[Bits Braze Plan]]</f>
        <v>0</v>
      </c>
      <c r="AE575" s="23">
        <f ca="1">Table4[[#This Row],[INV. QTY]]-Table4[[#This Row],[Required For Braze Cutters Check]]</f>
        <v>145</v>
      </c>
      <c r="AF575" s="23">
        <f t="shared" ca="1" si="102"/>
        <v>145</v>
      </c>
      <c r="AG575" s="626"/>
    </row>
    <row r="576" spans="1:33" ht="24.75" customHeight="1" x14ac:dyDescent="0.25">
      <c r="A576" s="109">
        <v>20240323</v>
      </c>
      <c r="B576" s="709"/>
      <c r="C576" s="109">
        <v>14305478</v>
      </c>
      <c r="D576" s="109" t="s">
        <v>313</v>
      </c>
      <c r="E576" s="109" t="s">
        <v>314</v>
      </c>
      <c r="F576" s="109" t="s">
        <v>715</v>
      </c>
      <c r="G576" s="109" t="s">
        <v>676</v>
      </c>
      <c r="H576" s="140">
        <v>1246680</v>
      </c>
      <c r="I576" s="140">
        <v>2009244</v>
      </c>
      <c r="J576" s="26">
        <f>IF(H576&lt;&gt;"",IF(AND(C576&lt;&gt;"",IFERROR(MATCH(C576,Table10[Serial No.],0),0)),0,1),0)</f>
        <v>0</v>
      </c>
      <c r="K576" s="21"/>
      <c r="L576" s="539" t="str">
        <f t="shared" ca="1" si="79"/>
        <v/>
      </c>
      <c r="S576" s="281" t="s">
        <v>4254</v>
      </c>
      <c r="T576" s="278" t="s">
        <v>316</v>
      </c>
      <c r="U576" s="278" t="s">
        <v>4253</v>
      </c>
      <c r="V576" s="25">
        <v>8</v>
      </c>
      <c r="W576" s="284">
        <v>1192902</v>
      </c>
      <c r="X576" s="19" t="str">
        <f>IFERROR(INDEX(Table14[],MATCH($W576,Table14[SAPNo],0),3),"")</f>
        <v>12MM CT200NL NA</v>
      </c>
      <c r="Y576" s="284">
        <v>12</v>
      </c>
      <c r="Z576" s="25">
        <f t="shared" si="100"/>
        <v>1</v>
      </c>
      <c r="AA576" s="25">
        <f t="shared" si="101"/>
        <v>12</v>
      </c>
      <c r="AB576" s="23">
        <f ca="1">IFERROR(INDEX('Cutters Inventory 12-30-2025'!A:W,MATCH($W576,'Cutters Inventory 12-30-2025'!B:B,0),14),0)</f>
        <v>63</v>
      </c>
      <c r="AC576" s="23">
        <f>SUMIF(Table1[LEVEL 5 MAT NO.],S576,Table1[Braze Plan])</f>
        <v>0</v>
      </c>
      <c r="AD576" s="23">
        <f>Table4[[#This Row],[Quantity]]*Table4[[#This Row],[Bits Braze Plan]]</f>
        <v>0</v>
      </c>
      <c r="AE576" s="23">
        <f ca="1">Table4[[#This Row],[INV. QTY]]-Table4[[#This Row],[Required For Braze Cutters Check]]</f>
        <v>63</v>
      </c>
      <c r="AF576" s="23">
        <f t="shared" ca="1" si="102"/>
        <v>63</v>
      </c>
      <c r="AG576" s="626"/>
    </row>
    <row r="577" spans="1:33" ht="24.75" customHeight="1" x14ac:dyDescent="0.25">
      <c r="A577" s="109">
        <v>20240323</v>
      </c>
      <c r="B577" s="709"/>
      <c r="C577" s="109">
        <v>14304777</v>
      </c>
      <c r="D577" s="109" t="s">
        <v>313</v>
      </c>
      <c r="E577" s="109" t="s">
        <v>314</v>
      </c>
      <c r="F577" s="109" t="s">
        <v>715</v>
      </c>
      <c r="G577" s="109" t="s">
        <v>676</v>
      </c>
      <c r="H577" s="140">
        <v>1246680</v>
      </c>
      <c r="I577" s="140" t="s">
        <v>763</v>
      </c>
      <c r="J577" s="26">
        <f>IF(H577&lt;&gt;"",IF(AND(C577&lt;&gt;"",IFERROR(MATCH(C577,Table10[Serial No.],0),0)),0,1),0)</f>
        <v>0</v>
      </c>
      <c r="K577" s="21"/>
      <c r="L577" s="539" t="str">
        <f t="shared" si="79"/>
        <v/>
      </c>
      <c r="S577" s="281" t="s">
        <v>4256</v>
      </c>
      <c r="T577" s="278" t="s">
        <v>4036</v>
      </c>
      <c r="U577" s="278" t="s">
        <v>4255</v>
      </c>
      <c r="V577" s="25">
        <v>1</v>
      </c>
      <c r="W577" s="284">
        <v>1126402</v>
      </c>
      <c r="X577" s="19" t="str">
        <f>IFERROR(INDEX(Table14[],MATCH($W577,Table14[SAPNo],0),3),"")</f>
        <v>1613 CT421 16-60</v>
      </c>
      <c r="Y577" s="284">
        <v>31</v>
      </c>
      <c r="Z577" s="25">
        <f t="shared" si="100"/>
        <v>1</v>
      </c>
      <c r="AA577" s="25">
        <f t="shared" si="101"/>
        <v>31</v>
      </c>
      <c r="AB577" s="23">
        <f ca="1">IFERROR(INDEX('Cutters Inventory 12-30-2025'!A:W,MATCH($W577,'Cutters Inventory 12-30-2025'!B:B,0),14),0)</f>
        <v>422</v>
      </c>
      <c r="AC577" s="23">
        <f>SUMIF(Table1[LEVEL 5 MAT NO.],S577,Table1[Braze Plan])</f>
        <v>0</v>
      </c>
      <c r="AD577" s="23">
        <f>Table4[[#This Row],[Quantity]]*Table4[[#This Row],[Bits Braze Plan]]</f>
        <v>0</v>
      </c>
      <c r="AE577" s="23">
        <f ca="1">Table4[[#This Row],[INV. QTY]]-Table4[[#This Row],[Required For Braze Cutters Check]]</f>
        <v>422</v>
      </c>
      <c r="AF577" s="23">
        <f t="shared" ca="1" si="102"/>
        <v>422</v>
      </c>
      <c r="AG577" s="626"/>
    </row>
    <row r="578" spans="1:33" ht="24.75" customHeight="1" x14ac:dyDescent="0.25">
      <c r="A578" s="109">
        <v>20240323</v>
      </c>
      <c r="B578" s="709"/>
      <c r="C578" s="109">
        <v>14305479</v>
      </c>
      <c r="D578" s="109" t="s">
        <v>315</v>
      </c>
      <c r="E578" s="109" t="s">
        <v>284</v>
      </c>
      <c r="F578" s="109" t="s">
        <v>794</v>
      </c>
      <c r="G578" s="109" t="s">
        <v>676</v>
      </c>
      <c r="H578" s="140">
        <v>1234376</v>
      </c>
      <c r="I578" s="140">
        <v>1249569</v>
      </c>
      <c r="J578" s="26">
        <f>IF(H578&lt;&gt;"",IF(AND(C578&lt;&gt;"",IFERROR(MATCH(C578,Table10[Serial No.],0),0)),0,1),0)</f>
        <v>0</v>
      </c>
      <c r="K578" s="21"/>
      <c r="L578" s="539" t="str">
        <f t="shared" ca="1" si="79"/>
        <v/>
      </c>
      <c r="S578" s="281">
        <v>2020054</v>
      </c>
      <c r="T578" s="278">
        <v>6.125</v>
      </c>
      <c r="U578" s="278" t="s">
        <v>4533</v>
      </c>
      <c r="V578" s="25">
        <v>1</v>
      </c>
      <c r="W578" s="284">
        <v>1146346</v>
      </c>
      <c r="X578" s="19" t="str">
        <f>IFERROR(INDEX(Table14[],MATCH($W578,Table14[SAPNo],0),3),"")</f>
        <v>1313 CT418 18-60</v>
      </c>
      <c r="Y578" s="284">
        <v>17</v>
      </c>
      <c r="Z578" s="25">
        <f t="shared" ref="Z578:Z581" si="103">IFERROR(INDEX($O$2:$P$400,MATCH($S578,$O$2:$O$93,0),2),0)</f>
        <v>4</v>
      </c>
      <c r="AA578" s="25">
        <f t="shared" ref="AA578:AA581" si="104">Y578*Z578</f>
        <v>68</v>
      </c>
      <c r="AB578" s="23">
        <f ca="1">IFERROR(INDEX('Cutters Inventory 12-30-2025'!A:W,MATCH($W578,'Cutters Inventory 12-30-2025'!B:B,0),14),0)</f>
        <v>558</v>
      </c>
      <c r="AC578" s="23">
        <f>SUMIF(Table1[LEVEL 5 MAT NO.],S578,Table1[Braze Plan])</f>
        <v>0</v>
      </c>
      <c r="AD578" s="23">
        <f>Table4[[#This Row],[Quantity]]*Table4[[#This Row],[Bits Braze Plan]]</f>
        <v>0</v>
      </c>
      <c r="AE578" s="23">
        <f ca="1">Table4[[#This Row],[INV. QTY]]-Table4[[#This Row],[Required For Braze Cutters Check]]</f>
        <v>558</v>
      </c>
      <c r="AF578" s="23">
        <f t="shared" ref="AF578:AF581" ca="1" si="105">IFERROR(INDEX($AJ$2:$AO$136,MATCH($W578,$AJ$2:$AJ$136,0),5),0)</f>
        <v>558</v>
      </c>
      <c r="AG578" s="626"/>
    </row>
    <row r="579" spans="1:33" ht="24.75" customHeight="1" x14ac:dyDescent="0.25">
      <c r="A579" s="109">
        <v>20240323</v>
      </c>
      <c r="B579" s="709"/>
      <c r="C579" s="109">
        <v>14305481</v>
      </c>
      <c r="D579" s="109" t="s">
        <v>315</v>
      </c>
      <c r="E579" s="109" t="s">
        <v>684</v>
      </c>
      <c r="F579" s="109" t="s">
        <v>794</v>
      </c>
      <c r="G579" s="109" t="s">
        <v>676</v>
      </c>
      <c r="H579" s="140">
        <v>1245431</v>
      </c>
      <c r="I579" s="140">
        <v>1251098</v>
      </c>
      <c r="J579" s="26">
        <f>IF(H579&lt;&gt;"",IF(AND(C579&lt;&gt;"",IFERROR(MATCH(C579,Table10[Serial No.],0),0)),0,1),0)</f>
        <v>0</v>
      </c>
      <c r="K579" s="21"/>
      <c r="L579" s="539" t="str">
        <f t="shared" ref="L579:L642" ca="1" si="106">IFERROR(INDEX($O$2:$Q$57,MATCH($I579,$O$2:$O$93,0),3),"")</f>
        <v/>
      </c>
      <c r="S579" s="281">
        <v>2020054</v>
      </c>
      <c r="T579" s="278">
        <v>6.125</v>
      </c>
      <c r="U579" s="278" t="s">
        <v>4533</v>
      </c>
      <c r="V579" s="25">
        <v>2</v>
      </c>
      <c r="W579" s="284">
        <v>649901</v>
      </c>
      <c r="X579" s="19" t="str">
        <f>IFERROR(INDEX(Table14[],MATCH($W579,Table14[SAPNo],0),3),"")</f>
        <v>Carbide IA 8    (C)</v>
      </c>
      <c r="Y579" s="284">
        <v>10</v>
      </c>
      <c r="Z579" s="25">
        <f t="shared" si="103"/>
        <v>4</v>
      </c>
      <c r="AA579" s="25">
        <f t="shared" si="104"/>
        <v>40</v>
      </c>
      <c r="AB579" s="23">
        <f ca="1">IFERROR(INDEX('Cutters Inventory 12-30-2025'!A:W,MATCH($W579,'Cutters Inventory 12-30-2025'!B:B,0),14),0)</f>
        <v>0</v>
      </c>
      <c r="AC579" s="23">
        <f>SUMIF(Table1[LEVEL 5 MAT NO.],S579,Table1[Braze Plan])</f>
        <v>0</v>
      </c>
      <c r="AD579" s="23">
        <f>Table4[[#This Row],[Quantity]]*Table4[[#This Row],[Bits Braze Plan]]</f>
        <v>0</v>
      </c>
      <c r="AE579" s="23">
        <f ca="1">Table4[[#This Row],[INV. QTY]]-Table4[[#This Row],[Required For Braze Cutters Check]]</f>
        <v>0</v>
      </c>
      <c r="AF579" s="23">
        <f t="shared" ca="1" si="105"/>
        <v>0</v>
      </c>
      <c r="AG579" s="626"/>
    </row>
    <row r="580" spans="1:33" ht="24.75" customHeight="1" x14ac:dyDescent="0.25">
      <c r="A580" s="109">
        <v>20240323</v>
      </c>
      <c r="B580" s="709"/>
      <c r="C580" s="109">
        <v>14305480</v>
      </c>
      <c r="D580" s="109" t="s">
        <v>315</v>
      </c>
      <c r="E580" s="109" t="s">
        <v>684</v>
      </c>
      <c r="F580" s="109" t="s">
        <v>794</v>
      </c>
      <c r="G580" s="109" t="s">
        <v>676</v>
      </c>
      <c r="H580" s="140">
        <v>1245431</v>
      </c>
      <c r="I580" s="140">
        <v>1251098</v>
      </c>
      <c r="J580" s="26">
        <f>IF(H580&lt;&gt;"",IF(AND(C580&lt;&gt;"",IFERROR(MATCH(C580,Table10[Serial No.],0),0)),0,1),0)</f>
        <v>0</v>
      </c>
      <c r="K580" s="21"/>
      <c r="L580" s="539" t="str">
        <f t="shared" ca="1" si="106"/>
        <v/>
      </c>
      <c r="S580" s="281">
        <v>2020054</v>
      </c>
      <c r="T580" s="278">
        <v>6.125</v>
      </c>
      <c r="U580" s="278" t="s">
        <v>4533</v>
      </c>
      <c r="V580" s="25">
        <v>3</v>
      </c>
      <c r="W580" s="284">
        <v>2001155</v>
      </c>
      <c r="X580" s="19" t="str">
        <f>IFERROR(INDEX(Table14[],MATCH($W580,Table14[SAPNo],0),3),"")</f>
        <v>1313 CT179T U-60</v>
      </c>
      <c r="Y580" s="284">
        <v>7</v>
      </c>
      <c r="Z580" s="25">
        <f t="shared" si="103"/>
        <v>4</v>
      </c>
      <c r="AA580" s="25">
        <f t="shared" si="104"/>
        <v>28</v>
      </c>
      <c r="AB580" s="23">
        <f ca="1">IFERROR(INDEX('Cutters Inventory 12-30-2025'!A:W,MATCH($W580,'Cutters Inventory 12-30-2025'!B:B,0),14),0)</f>
        <v>45</v>
      </c>
      <c r="AC580" s="23">
        <f>SUMIF(Table1[LEVEL 5 MAT NO.],S580,Table1[Braze Plan])</f>
        <v>0</v>
      </c>
      <c r="AD580" s="23">
        <f>Table4[[#This Row],[Quantity]]*Table4[[#This Row],[Bits Braze Plan]]</f>
        <v>0</v>
      </c>
      <c r="AE580" s="23">
        <f ca="1">Table4[[#This Row],[INV. QTY]]-Table4[[#This Row],[Required For Braze Cutters Check]]</f>
        <v>45</v>
      </c>
      <c r="AF580" s="23">
        <f t="shared" ca="1" si="105"/>
        <v>45</v>
      </c>
      <c r="AG580" s="626"/>
    </row>
    <row r="581" spans="1:33" ht="24.75" customHeight="1" x14ac:dyDescent="0.25">
      <c r="A581" s="109">
        <v>20240323</v>
      </c>
      <c r="B581" s="709"/>
      <c r="C581" s="109">
        <v>14305484</v>
      </c>
      <c r="D581" s="109" t="s">
        <v>637</v>
      </c>
      <c r="E581" s="109" t="s">
        <v>287</v>
      </c>
      <c r="F581" s="109"/>
      <c r="G581" s="109" t="s">
        <v>681</v>
      </c>
      <c r="H581" s="140">
        <v>1267122</v>
      </c>
      <c r="I581" s="140">
        <v>1257458</v>
      </c>
      <c r="J581" s="26">
        <f>IF(H581&lt;&gt;"",IF(AND(C581&lt;&gt;"",IFERROR(MATCH(C581,Table10[Serial No.],0),0)),0,1),0)</f>
        <v>0</v>
      </c>
      <c r="K581" s="21"/>
      <c r="L581" s="539" t="str">
        <f t="shared" ca="1" si="106"/>
        <v/>
      </c>
      <c r="S581" s="281">
        <v>2020054</v>
      </c>
      <c r="T581" s="278">
        <v>6.125</v>
      </c>
      <c r="U581" s="278" t="s">
        <v>4533</v>
      </c>
      <c r="V581" s="25">
        <v>4</v>
      </c>
      <c r="W581" s="284">
        <v>871781</v>
      </c>
      <c r="X581" s="19" t="str">
        <f>IFERROR(INDEX(Table14[],MATCH($W581,Table14[SAPNo],0),3),"")</f>
        <v>Round 1313 CT200  0.018" (B)</v>
      </c>
      <c r="Y581" s="284">
        <v>5</v>
      </c>
      <c r="Z581" s="25">
        <f t="shared" si="103"/>
        <v>4</v>
      </c>
      <c r="AA581" s="25">
        <f t="shared" si="104"/>
        <v>20</v>
      </c>
      <c r="AB581" s="23">
        <f ca="1">IFERROR(INDEX('Cutters Inventory 12-30-2025'!A:W,MATCH($W581,'Cutters Inventory 12-30-2025'!B:B,0),14),0)</f>
        <v>843</v>
      </c>
      <c r="AC581" s="23">
        <f>SUMIF(Table1[LEVEL 5 MAT NO.],S581,Table1[Braze Plan])</f>
        <v>0</v>
      </c>
      <c r="AD581" s="23">
        <f>Table4[[#This Row],[Quantity]]*Table4[[#This Row],[Bits Braze Plan]]</f>
        <v>0</v>
      </c>
      <c r="AE581" s="23">
        <f ca="1">Table4[[#This Row],[INV. QTY]]-Table4[[#This Row],[Required For Braze Cutters Check]]</f>
        <v>843</v>
      </c>
      <c r="AF581" s="23">
        <f t="shared" ca="1" si="105"/>
        <v>843</v>
      </c>
      <c r="AG581" s="626"/>
    </row>
    <row r="582" spans="1:33" ht="24.75" customHeight="1" x14ac:dyDescent="0.25">
      <c r="A582" s="109">
        <v>20240323</v>
      </c>
      <c r="B582" s="709"/>
      <c r="C582" s="109">
        <v>14305486</v>
      </c>
      <c r="D582" s="109" t="s">
        <v>637</v>
      </c>
      <c r="E582" s="109" t="s">
        <v>287</v>
      </c>
      <c r="F582" s="109"/>
      <c r="G582" s="109" t="s">
        <v>681</v>
      </c>
      <c r="H582" s="140">
        <v>1267122</v>
      </c>
      <c r="I582" s="140">
        <v>1257458</v>
      </c>
      <c r="J582" s="26">
        <f>IF(H582&lt;&gt;"",IF(AND(C582&lt;&gt;"",IFERROR(MATCH(C582,Table10[Serial No.],0),0)),0,1),0)</f>
        <v>0</v>
      </c>
      <c r="K582" s="21"/>
      <c r="L582" s="539" t="str">
        <f t="shared" ca="1" si="106"/>
        <v/>
      </c>
      <c r="S582" s="281">
        <v>1283277</v>
      </c>
      <c r="T582" s="278">
        <v>17</v>
      </c>
      <c r="U582" s="278" t="s">
        <v>320</v>
      </c>
      <c r="V582" s="25">
        <v>1</v>
      </c>
      <c r="W582" s="284">
        <v>1288783</v>
      </c>
      <c r="X582" s="19" t="str">
        <f>IFERROR(INDEX(Table14[],MATCH($W582,Table14[SAPNo],0),3),"")</f>
        <v>1613 CT179 18-60</v>
      </c>
      <c r="Y582" s="284">
        <v>47</v>
      </c>
      <c r="Z582" s="25">
        <f t="shared" ref="Z582:Z587" si="107">IFERROR(INDEX($O$2:$P$400,MATCH($S582,$O$2:$O$93,0),2),0)</f>
        <v>2</v>
      </c>
      <c r="AA582" s="25">
        <f t="shared" ref="AA582:AA587" si="108">Y582*Z582</f>
        <v>94</v>
      </c>
      <c r="AB582" s="23">
        <f ca="1">IFERROR(INDEX('Cutters Inventory 12-30-2025'!A:W,MATCH($W582,'Cutters Inventory 12-30-2025'!B:B,0),14),0)</f>
        <v>813</v>
      </c>
      <c r="AC582" s="23">
        <f>SUMIF(Table1[LEVEL 5 MAT NO.],S582,Table1[Braze Plan])</f>
        <v>0</v>
      </c>
      <c r="AD582" s="23">
        <f>Table4[[#This Row],[Quantity]]*Table4[[#This Row],[Bits Braze Plan]]</f>
        <v>0</v>
      </c>
      <c r="AE582" s="23">
        <f ca="1">Table4[[#This Row],[INV. QTY]]-Table4[[#This Row],[Required For Braze Cutters Check]]</f>
        <v>813</v>
      </c>
      <c r="AF582" s="23">
        <f t="shared" ref="AF582:AF587" ca="1" si="109">IFERROR(INDEX($AJ$2:$AO$136,MATCH($W582,$AJ$2:$AJ$136,0),5),0)</f>
        <v>813</v>
      </c>
      <c r="AG582" s="626"/>
    </row>
    <row r="583" spans="1:33" ht="24.75" customHeight="1" x14ac:dyDescent="0.25">
      <c r="A583" s="109">
        <v>20240323</v>
      </c>
      <c r="B583" s="608"/>
      <c r="C583" s="109">
        <v>14305485</v>
      </c>
      <c r="D583" s="109" t="s">
        <v>637</v>
      </c>
      <c r="E583" s="109" t="s">
        <v>287</v>
      </c>
      <c r="F583" s="109"/>
      <c r="G583" s="109" t="s">
        <v>681</v>
      </c>
      <c r="H583" s="140">
        <v>1267122</v>
      </c>
      <c r="I583" s="140">
        <v>1257458</v>
      </c>
      <c r="J583" s="26">
        <f>IF(H583&lt;&gt;"",IF(AND(C583&lt;&gt;"",IFERROR(MATCH(C583,Table10[Serial No.],0),0)),0,1),0)</f>
        <v>0</v>
      </c>
      <c r="K583" s="21"/>
      <c r="L583" s="539" t="str">
        <f t="shared" ca="1" si="106"/>
        <v/>
      </c>
      <c r="S583" s="281">
        <v>1283277</v>
      </c>
      <c r="T583" s="278">
        <v>17</v>
      </c>
      <c r="U583" s="278" t="s">
        <v>320</v>
      </c>
      <c r="V583" s="25">
        <v>2</v>
      </c>
      <c r="W583" s="284">
        <v>179734</v>
      </c>
      <c r="X583" s="19" t="str">
        <f>IFERROR(INDEX(Table14[],MATCH($W583,Table14[SAPNo],0),3),"")</f>
        <v>Long IPA 13    (C)</v>
      </c>
      <c r="Y583" s="284">
        <v>35</v>
      </c>
      <c r="Z583" s="25">
        <f t="shared" si="107"/>
        <v>2</v>
      </c>
      <c r="AA583" s="25">
        <f t="shared" si="108"/>
        <v>70</v>
      </c>
      <c r="AB583" s="23">
        <f ca="1">IFERROR(INDEX('Cutters Inventory 12-30-2025'!A:W,MATCH($W583,'Cutters Inventory 12-30-2025'!B:B,0),14),0)</f>
        <v>140</v>
      </c>
      <c r="AC583" s="23">
        <f>SUMIF(Table1[LEVEL 5 MAT NO.],S583,Table1[Braze Plan])</f>
        <v>0</v>
      </c>
      <c r="AD583" s="23">
        <f>Table4[[#This Row],[Quantity]]*Table4[[#This Row],[Bits Braze Plan]]</f>
        <v>0</v>
      </c>
      <c r="AE583" s="23">
        <f ca="1">Table4[[#This Row],[INV. QTY]]-Table4[[#This Row],[Required For Braze Cutters Check]]</f>
        <v>140</v>
      </c>
      <c r="AF583" s="23">
        <f t="shared" ca="1" si="109"/>
        <v>140</v>
      </c>
      <c r="AG583" s="626"/>
    </row>
    <row r="584" spans="1:33" ht="24.75" customHeight="1" x14ac:dyDescent="0.25">
      <c r="A584" s="109">
        <v>20240323</v>
      </c>
      <c r="B584" s="709"/>
      <c r="C584" s="109">
        <v>14305487</v>
      </c>
      <c r="D584" s="109" t="s">
        <v>316</v>
      </c>
      <c r="E584" s="109" t="s">
        <v>291</v>
      </c>
      <c r="F584" s="109" t="s">
        <v>795</v>
      </c>
      <c r="G584" s="109" t="s">
        <v>676</v>
      </c>
      <c r="H584" s="140">
        <v>1228782</v>
      </c>
      <c r="I584" s="140">
        <v>1058252</v>
      </c>
      <c r="J584" s="26">
        <f>IF(H584&lt;&gt;"",IF(AND(C584&lt;&gt;"",IFERROR(MATCH(C584,Table10[Serial No.],0),0)),0,1),0)</f>
        <v>0</v>
      </c>
      <c r="K584" s="21"/>
      <c r="L584" s="539" t="str">
        <f t="shared" ca="1" si="106"/>
        <v/>
      </c>
      <c r="S584" s="281">
        <v>1283277</v>
      </c>
      <c r="T584" s="278">
        <v>17</v>
      </c>
      <c r="U584" s="278" t="s">
        <v>320</v>
      </c>
      <c r="V584" s="25">
        <v>3</v>
      </c>
      <c r="W584" s="284">
        <v>1146737</v>
      </c>
      <c r="X584" s="19" t="str">
        <f>IFERROR(INDEX(Table14[],MATCH($W584,Table14[SAPNo],0),3),"")</f>
        <v>1613 CT418 18-60</v>
      </c>
      <c r="Y584" s="284">
        <v>33</v>
      </c>
      <c r="Z584" s="25">
        <f t="shared" si="107"/>
        <v>2</v>
      </c>
      <c r="AA584" s="25">
        <f t="shared" si="108"/>
        <v>66</v>
      </c>
      <c r="AB584" s="23">
        <f ca="1">IFERROR(INDEX('Cutters Inventory 12-30-2025'!A:W,MATCH($W584,'Cutters Inventory 12-30-2025'!B:B,0),14),0)</f>
        <v>1281</v>
      </c>
      <c r="AC584" s="23">
        <f>SUMIF(Table1[LEVEL 5 MAT NO.],S584,Table1[Braze Plan])</f>
        <v>0</v>
      </c>
      <c r="AD584" s="23">
        <f>Table4[[#This Row],[Quantity]]*Table4[[#This Row],[Bits Braze Plan]]</f>
        <v>0</v>
      </c>
      <c r="AE584" s="23">
        <f ca="1">Table4[[#This Row],[INV. QTY]]-Table4[[#This Row],[Required For Braze Cutters Check]]</f>
        <v>1281</v>
      </c>
      <c r="AF584" s="23">
        <f t="shared" ca="1" si="109"/>
        <v>1281</v>
      </c>
      <c r="AG584" s="626"/>
    </row>
    <row r="585" spans="1:33" ht="24.75" customHeight="1" x14ac:dyDescent="0.25">
      <c r="A585" s="109">
        <v>20240323</v>
      </c>
      <c r="B585" s="608"/>
      <c r="C585" s="109">
        <v>14305488</v>
      </c>
      <c r="D585" s="109" t="s">
        <v>316</v>
      </c>
      <c r="E585" s="109" t="s">
        <v>291</v>
      </c>
      <c r="F585" s="109" t="s">
        <v>795</v>
      </c>
      <c r="G585" s="109" t="s">
        <v>676</v>
      </c>
      <c r="H585" s="140">
        <v>1228782</v>
      </c>
      <c r="I585" s="140">
        <v>1058252</v>
      </c>
      <c r="J585" s="26">
        <f>IF(H585&lt;&gt;"",IF(AND(C585&lt;&gt;"",IFERROR(MATCH(C585,Table10[Serial No.],0),0)),0,1),0)</f>
        <v>0</v>
      </c>
      <c r="K585" s="21"/>
      <c r="L585" s="539" t="str">
        <f t="shared" ca="1" si="106"/>
        <v/>
      </c>
      <c r="S585" s="281">
        <v>1283277</v>
      </c>
      <c r="T585" s="278">
        <v>17</v>
      </c>
      <c r="U585" s="278" t="s">
        <v>320</v>
      </c>
      <c r="V585" s="25">
        <v>4</v>
      </c>
      <c r="W585" s="284">
        <v>410851</v>
      </c>
      <c r="X585" s="19" t="str">
        <f>IFERROR(INDEX(Table14[],MATCH($W585,Table14[SAPNo],0),3),"")</f>
        <v>PDC Dome 1308 CT31   (B)</v>
      </c>
      <c r="Y585" s="284">
        <v>28</v>
      </c>
      <c r="Z585" s="25">
        <f t="shared" si="107"/>
        <v>2</v>
      </c>
      <c r="AA585" s="25">
        <f t="shared" si="108"/>
        <v>56</v>
      </c>
      <c r="AB585" s="23">
        <f ca="1">IFERROR(INDEX('Cutters Inventory 12-30-2025'!A:W,MATCH($W585,'Cutters Inventory 12-30-2025'!B:B,0),14),0)</f>
        <v>93</v>
      </c>
      <c r="AC585" s="23">
        <f>SUMIF(Table1[LEVEL 5 MAT NO.],S585,Table1[Braze Plan])</f>
        <v>0</v>
      </c>
      <c r="AD585" s="23">
        <f>Table4[[#This Row],[Quantity]]*Table4[[#This Row],[Bits Braze Plan]]</f>
        <v>0</v>
      </c>
      <c r="AE585" s="23">
        <f ca="1">Table4[[#This Row],[INV. QTY]]-Table4[[#This Row],[Required For Braze Cutters Check]]</f>
        <v>93</v>
      </c>
      <c r="AF585" s="23">
        <f t="shared" ca="1" si="109"/>
        <v>93</v>
      </c>
      <c r="AG585" s="626"/>
    </row>
    <row r="586" spans="1:33" ht="24.75" customHeight="1" x14ac:dyDescent="0.25">
      <c r="A586" s="132">
        <v>20240323</v>
      </c>
      <c r="B586" s="609"/>
      <c r="C586" s="132">
        <v>14305489</v>
      </c>
      <c r="D586" s="132" t="s">
        <v>316</v>
      </c>
      <c r="E586" s="132" t="s">
        <v>291</v>
      </c>
      <c r="F586" s="132" t="s">
        <v>795</v>
      </c>
      <c r="G586" s="132" t="s">
        <v>676</v>
      </c>
      <c r="H586" s="141">
        <v>1228782</v>
      </c>
      <c r="I586" s="141">
        <v>1058252</v>
      </c>
      <c r="J586" s="26">
        <f>IF(H586&lt;&gt;"",IF(AND(C586&lt;&gt;"",IFERROR(MATCH(C586,Table10[Serial No.],0),0)),0,1),0)</f>
        <v>0</v>
      </c>
      <c r="K586" s="21"/>
      <c r="L586" s="539" t="str">
        <f t="shared" ca="1" si="106"/>
        <v/>
      </c>
      <c r="S586" s="281">
        <v>1283277</v>
      </c>
      <c r="T586" s="278">
        <v>17</v>
      </c>
      <c r="U586" s="278" t="s">
        <v>320</v>
      </c>
      <c r="V586" s="25">
        <v>5</v>
      </c>
      <c r="W586" s="284">
        <v>647436</v>
      </c>
      <c r="X586" s="19" t="str">
        <f>IFERROR(INDEX(Table14[],MATCH($W586,Table14[SAPNo],0),3),"")</f>
        <v>Round 1613 CT200  0.018" (B)</v>
      </c>
      <c r="Y586" s="284">
        <v>27</v>
      </c>
      <c r="Z586" s="25">
        <f t="shared" si="107"/>
        <v>2</v>
      </c>
      <c r="AA586" s="25">
        <f t="shared" si="108"/>
        <v>54</v>
      </c>
      <c r="AB586" s="23">
        <f ca="1">IFERROR(INDEX('Cutters Inventory 12-30-2025'!A:W,MATCH($W586,'Cutters Inventory 12-30-2025'!B:B,0),14),0)</f>
        <v>412</v>
      </c>
      <c r="AC586" s="23">
        <f>SUMIF(Table1[LEVEL 5 MAT NO.],S586,Table1[Braze Plan])</f>
        <v>0</v>
      </c>
      <c r="AD586" s="23">
        <f>Table4[[#This Row],[Quantity]]*Table4[[#This Row],[Bits Braze Plan]]</f>
        <v>0</v>
      </c>
      <c r="AE586" s="23">
        <f ca="1">Table4[[#This Row],[INV. QTY]]-Table4[[#This Row],[Required For Braze Cutters Check]]</f>
        <v>412</v>
      </c>
      <c r="AF586" s="23">
        <f t="shared" ca="1" si="109"/>
        <v>412</v>
      </c>
      <c r="AG586" s="626"/>
    </row>
    <row r="587" spans="1:33" ht="24.75" customHeight="1" x14ac:dyDescent="0.25">
      <c r="A587" s="109">
        <v>20240312</v>
      </c>
      <c r="B587" s="709"/>
      <c r="C587" s="109">
        <v>14293143</v>
      </c>
      <c r="D587" s="109" t="s">
        <v>304</v>
      </c>
      <c r="E587" s="109" t="s">
        <v>636</v>
      </c>
      <c r="F587" s="109" t="s">
        <v>785</v>
      </c>
      <c r="G587" s="109" t="s">
        <v>676</v>
      </c>
      <c r="H587" s="140">
        <v>1228848</v>
      </c>
      <c r="I587" s="140">
        <v>1016454</v>
      </c>
      <c r="J587" s="26">
        <f>IF(H587&lt;&gt;"",IF(AND(C587&lt;&gt;"",IFERROR(MATCH(C587,Table10[Serial No.],0),0)),0,1),0)</f>
        <v>0</v>
      </c>
      <c r="K587" s="21"/>
      <c r="L587" s="539" t="str">
        <f t="shared" ca="1" si="106"/>
        <v/>
      </c>
      <c r="S587" s="281">
        <v>1283277</v>
      </c>
      <c r="T587" s="278">
        <v>17</v>
      </c>
      <c r="U587" s="278" t="s">
        <v>320</v>
      </c>
      <c r="V587" s="25">
        <v>6</v>
      </c>
      <c r="W587" s="284">
        <v>418525</v>
      </c>
      <c r="X587" s="19" t="str">
        <f>IFERROR(INDEX(Table14[],MATCH($W587,Table14[SAPNo],0),3),"")</f>
        <v>Drop In 1308 CT31   (B)</v>
      </c>
      <c r="Y587" s="284">
        <v>14</v>
      </c>
      <c r="Z587" s="25">
        <f t="shared" si="107"/>
        <v>2</v>
      </c>
      <c r="AA587" s="25">
        <f t="shared" si="108"/>
        <v>28</v>
      </c>
      <c r="AB587" s="23">
        <f ca="1">IFERROR(INDEX('Cutters Inventory 12-30-2025'!A:W,MATCH($W587,'Cutters Inventory 12-30-2025'!B:B,0),14),0)</f>
        <v>933</v>
      </c>
      <c r="AC587" s="23">
        <f>SUMIF(Table1[LEVEL 5 MAT NO.],S587,Table1[Braze Plan])</f>
        <v>0</v>
      </c>
      <c r="AD587" s="23">
        <f>Table4[[#This Row],[Quantity]]*Table4[[#This Row],[Bits Braze Plan]]</f>
        <v>0</v>
      </c>
      <c r="AE587" s="23">
        <f ca="1">Table4[[#This Row],[INV. QTY]]-Table4[[#This Row],[Required For Braze Cutters Check]]</f>
        <v>933</v>
      </c>
      <c r="AF587" s="23">
        <f t="shared" ca="1" si="109"/>
        <v>933</v>
      </c>
      <c r="AG587" s="626"/>
    </row>
    <row r="588" spans="1:33" ht="24.75" customHeight="1" x14ac:dyDescent="0.35">
      <c r="A588" s="109">
        <v>20240312</v>
      </c>
      <c r="B588" s="709"/>
      <c r="C588" s="109">
        <v>14293144</v>
      </c>
      <c r="D588" s="109" t="s">
        <v>304</v>
      </c>
      <c r="E588" s="109" t="s">
        <v>636</v>
      </c>
      <c r="F588" s="109" t="s">
        <v>785</v>
      </c>
      <c r="G588" s="109" t="s">
        <v>676</v>
      </c>
      <c r="H588" s="140">
        <v>1228848</v>
      </c>
      <c r="I588" s="140">
        <v>1016454</v>
      </c>
      <c r="J588" s="26">
        <f>IF(H588&lt;&gt;"",IF(AND(C588&lt;&gt;"",IFERROR(MATCH(C588,Table10[Serial No.],0),0)),0,1),0)</f>
        <v>0</v>
      </c>
      <c r="K588" s="21"/>
      <c r="L588" s="539" t="str">
        <f t="shared" ca="1" si="106"/>
        <v/>
      </c>
    </row>
    <row r="589" spans="1:33" ht="24.75" customHeight="1" x14ac:dyDescent="0.35">
      <c r="A589" s="109">
        <v>20240312</v>
      </c>
      <c r="B589" s="709"/>
      <c r="C589" s="109">
        <v>14293145</v>
      </c>
      <c r="D589" s="109" t="s">
        <v>304</v>
      </c>
      <c r="E589" s="109" t="s">
        <v>636</v>
      </c>
      <c r="F589" s="109" t="s">
        <v>785</v>
      </c>
      <c r="G589" s="109" t="s">
        <v>676</v>
      </c>
      <c r="H589" s="140">
        <v>1228848</v>
      </c>
      <c r="I589" s="140">
        <v>1016454</v>
      </c>
      <c r="J589" s="26">
        <f>IF(H589&lt;&gt;"",IF(AND(C589&lt;&gt;"",IFERROR(MATCH(C589,Table10[Serial No.],0),0)),0,1),0)</f>
        <v>0</v>
      </c>
      <c r="K589" s="21"/>
      <c r="L589" s="539" t="str">
        <f t="shared" ca="1" si="106"/>
        <v/>
      </c>
    </row>
    <row r="590" spans="1:33" ht="24.75" customHeight="1" x14ac:dyDescent="0.35">
      <c r="A590" s="109">
        <v>20240312</v>
      </c>
      <c r="B590" s="709"/>
      <c r="C590" s="109">
        <v>14293147</v>
      </c>
      <c r="D590" s="109" t="s">
        <v>307</v>
      </c>
      <c r="E590" s="109" t="s">
        <v>308</v>
      </c>
      <c r="F590" s="109"/>
      <c r="G590" s="109" t="s">
        <v>681</v>
      </c>
      <c r="H590" s="140">
        <v>1224225</v>
      </c>
      <c r="I590" s="140">
        <v>1252149</v>
      </c>
      <c r="J590" s="26">
        <f>IF(H590&lt;&gt;"",IF(AND(C590&lt;&gt;"",IFERROR(MATCH(C590,Table10[Serial No.],0),0)),0,1),0)</f>
        <v>0</v>
      </c>
      <c r="K590" s="21"/>
      <c r="L590" s="539" t="str">
        <f t="shared" ca="1" si="106"/>
        <v/>
      </c>
    </row>
    <row r="591" spans="1:33" ht="24.75" customHeight="1" x14ac:dyDescent="0.35">
      <c r="A591" s="109">
        <v>20240312</v>
      </c>
      <c r="B591" s="709"/>
      <c r="C591" s="109">
        <v>14293146</v>
      </c>
      <c r="D591" s="109" t="s">
        <v>307</v>
      </c>
      <c r="E591" s="109" t="s">
        <v>308</v>
      </c>
      <c r="F591" s="109"/>
      <c r="G591" s="109" t="s">
        <v>681</v>
      </c>
      <c r="H591" s="140">
        <v>1224225</v>
      </c>
      <c r="I591" s="140">
        <v>1252149</v>
      </c>
      <c r="J591" s="26">
        <f>IF(H591&lt;&gt;"",IF(AND(C591&lt;&gt;"",IFERROR(MATCH(C591,Table10[Serial No.],0),0)),0,1),0)</f>
        <v>0</v>
      </c>
      <c r="K591" s="21"/>
      <c r="L591" s="539" t="str">
        <f t="shared" ca="1" si="106"/>
        <v/>
      </c>
    </row>
    <row r="592" spans="1:33" ht="24.75" customHeight="1" x14ac:dyDescent="0.35">
      <c r="A592" s="109">
        <v>20240312</v>
      </c>
      <c r="B592" s="709"/>
      <c r="C592" s="109">
        <v>14293148</v>
      </c>
      <c r="D592" s="109" t="s">
        <v>631</v>
      </c>
      <c r="E592" s="109" t="s">
        <v>645</v>
      </c>
      <c r="F592" s="109"/>
      <c r="G592" s="109" t="s">
        <v>681</v>
      </c>
      <c r="H592" s="140">
        <v>1262047</v>
      </c>
      <c r="I592" s="140">
        <v>1235768</v>
      </c>
      <c r="J592" s="26">
        <f>IF(H592&lt;&gt;"",IF(AND(C592&lt;&gt;"",IFERROR(MATCH(C592,Table10[Serial No.],0),0)),0,1),0)</f>
        <v>0</v>
      </c>
      <c r="K592" s="21"/>
      <c r="L592" s="539" t="str">
        <f t="shared" ca="1" si="106"/>
        <v/>
      </c>
    </row>
    <row r="593" spans="1:24" ht="24.75" customHeight="1" x14ac:dyDescent="0.35">
      <c r="A593" s="109">
        <v>20240312</v>
      </c>
      <c r="B593" s="709"/>
      <c r="C593" s="109">
        <v>14293151</v>
      </c>
      <c r="D593" s="109" t="s">
        <v>631</v>
      </c>
      <c r="E593" s="109" t="s">
        <v>645</v>
      </c>
      <c r="F593" s="109"/>
      <c r="G593" s="109" t="s">
        <v>681</v>
      </c>
      <c r="H593" s="140">
        <v>1262047</v>
      </c>
      <c r="I593" s="140">
        <v>1235768</v>
      </c>
      <c r="J593" s="26">
        <f>IF(H593&lt;&gt;"",IF(AND(C593&lt;&gt;"",IFERROR(MATCH(C593,Table10[Serial No.],0),0)),0,1),0)</f>
        <v>0</v>
      </c>
      <c r="K593" s="21"/>
      <c r="L593" s="539" t="str">
        <f t="shared" ca="1" si="106"/>
        <v/>
      </c>
    </row>
    <row r="594" spans="1:24" ht="24.75" customHeight="1" x14ac:dyDescent="0.35">
      <c r="A594" s="109">
        <v>20240312</v>
      </c>
      <c r="B594" s="709"/>
      <c r="C594" s="109">
        <v>14293149</v>
      </c>
      <c r="D594" s="109" t="s">
        <v>631</v>
      </c>
      <c r="E594" s="109" t="s">
        <v>645</v>
      </c>
      <c r="F594" s="109"/>
      <c r="G594" s="109" t="s">
        <v>681</v>
      </c>
      <c r="H594" s="140">
        <v>1262047</v>
      </c>
      <c r="I594" s="140">
        <v>1235768</v>
      </c>
      <c r="J594" s="26">
        <f>IF(H594&lt;&gt;"",IF(AND(C594&lt;&gt;"",IFERROR(MATCH(C594,Table10[Serial No.],0),0)),0,1),0)</f>
        <v>0</v>
      </c>
      <c r="K594" s="21"/>
      <c r="L594" s="539" t="str">
        <f t="shared" ca="1" si="106"/>
        <v/>
      </c>
    </row>
    <row r="595" spans="1:24" ht="24.75" customHeight="1" x14ac:dyDescent="0.35">
      <c r="A595" s="109">
        <v>20240312</v>
      </c>
      <c r="B595" s="709"/>
      <c r="C595" s="109">
        <v>14293150</v>
      </c>
      <c r="D595" s="109" t="s">
        <v>631</v>
      </c>
      <c r="E595" s="109" t="s">
        <v>645</v>
      </c>
      <c r="F595" s="109"/>
      <c r="G595" s="109" t="s">
        <v>681</v>
      </c>
      <c r="H595" s="140">
        <v>1262047</v>
      </c>
      <c r="I595" s="140">
        <v>1235768</v>
      </c>
      <c r="J595" s="26">
        <f>IF(H595&lt;&gt;"",IF(AND(C595&lt;&gt;"",IFERROR(MATCH(C595,Table10[Serial No.],0),0)),0,1),0)</f>
        <v>0</v>
      </c>
      <c r="K595" s="21"/>
      <c r="L595" s="539" t="str">
        <f t="shared" ca="1" si="106"/>
        <v/>
      </c>
    </row>
    <row r="596" spans="1:24" ht="24.75" customHeight="1" x14ac:dyDescent="0.35">
      <c r="A596" s="109">
        <v>20240312</v>
      </c>
      <c r="B596" s="709"/>
      <c r="C596" s="109">
        <v>14293152</v>
      </c>
      <c r="D596" s="109" t="s">
        <v>631</v>
      </c>
      <c r="E596" s="109" t="s">
        <v>645</v>
      </c>
      <c r="F596" s="109"/>
      <c r="G596" s="109" t="s">
        <v>681</v>
      </c>
      <c r="H596" s="140">
        <v>1262047</v>
      </c>
      <c r="I596" s="140">
        <v>1235768</v>
      </c>
      <c r="J596" s="26">
        <f>IF(H596&lt;&gt;"",IF(AND(C596&lt;&gt;"",IFERROR(MATCH(C596,Table10[Serial No.],0),0)),0,1),0)</f>
        <v>0</v>
      </c>
      <c r="K596" s="21"/>
      <c r="L596" s="539" t="str">
        <f t="shared" ca="1" si="106"/>
        <v/>
      </c>
    </row>
    <row r="597" spans="1:24" ht="24.75" customHeight="1" x14ac:dyDescent="0.25">
      <c r="A597" s="109">
        <v>20240312</v>
      </c>
      <c r="B597" s="709"/>
      <c r="C597" s="109">
        <v>14293153</v>
      </c>
      <c r="D597" s="109" t="s">
        <v>624</v>
      </c>
      <c r="E597" s="109" t="s">
        <v>640</v>
      </c>
      <c r="F597" s="109"/>
      <c r="G597" s="109" t="s">
        <v>681</v>
      </c>
      <c r="H597" s="140">
        <v>1255267</v>
      </c>
      <c r="I597" s="140" t="s">
        <v>641</v>
      </c>
      <c r="J597" s="26">
        <f>IF(H597&lt;&gt;"",IF(AND(C597&lt;&gt;"",IFERROR(MATCH(C597,Table10[Serial No.],0),0)),0,1),0)</f>
        <v>0</v>
      </c>
      <c r="K597" s="21"/>
      <c r="L597" s="539" t="str">
        <f t="shared" si="106"/>
        <v/>
      </c>
      <c r="S597" s="825"/>
      <c r="T597" s="825"/>
      <c r="U597" s="825"/>
      <c r="V597" s="825"/>
      <c r="W597" s="826"/>
    </row>
    <row r="598" spans="1:24" ht="24.75" customHeight="1" x14ac:dyDescent="0.35">
      <c r="A598" s="109">
        <v>20240312</v>
      </c>
      <c r="B598" s="709"/>
      <c r="C598" s="109">
        <v>14293155</v>
      </c>
      <c r="D598" s="109" t="s">
        <v>316</v>
      </c>
      <c r="E598" s="109" t="s">
        <v>292</v>
      </c>
      <c r="F598" s="109"/>
      <c r="G598" s="109" t="s">
        <v>681</v>
      </c>
      <c r="H598" s="140">
        <v>1258119</v>
      </c>
      <c r="I598" s="140">
        <v>1254482</v>
      </c>
      <c r="J598" s="26">
        <f>IF(H598&lt;&gt;"",IF(AND(C598&lt;&gt;"",IFERROR(MATCH(C598,Table10[Serial No.],0),0)),0,1),0)</f>
        <v>0</v>
      </c>
      <c r="K598" s="21"/>
      <c r="L598" s="539" t="str">
        <f t="shared" ca="1" si="106"/>
        <v/>
      </c>
    </row>
    <row r="599" spans="1:24" ht="24.75" customHeight="1" x14ac:dyDescent="0.35">
      <c r="A599" s="109">
        <v>20240312</v>
      </c>
      <c r="B599" s="709"/>
      <c r="C599" s="109">
        <v>14293154</v>
      </c>
      <c r="D599" s="109" t="s">
        <v>316</v>
      </c>
      <c r="E599" s="109" t="s">
        <v>292</v>
      </c>
      <c r="F599" s="109"/>
      <c r="G599" s="109" t="s">
        <v>681</v>
      </c>
      <c r="H599" s="140">
        <v>1258119</v>
      </c>
      <c r="I599" s="140">
        <v>1254482</v>
      </c>
      <c r="J599" s="26">
        <f>IF(H599&lt;&gt;"",IF(AND(C599&lt;&gt;"",IFERROR(MATCH(C599,Table10[Serial No.],0),0)),0,1),0)</f>
        <v>0</v>
      </c>
      <c r="K599" s="21"/>
      <c r="L599" s="539" t="str">
        <f t="shared" ca="1" si="106"/>
        <v/>
      </c>
    </row>
    <row r="600" spans="1:24" ht="24.75" customHeight="1" x14ac:dyDescent="0.35">
      <c r="A600" s="132">
        <v>20240312</v>
      </c>
      <c r="B600" s="609"/>
      <c r="C600" s="132">
        <v>14295361</v>
      </c>
      <c r="D600" s="132" t="s">
        <v>319</v>
      </c>
      <c r="E600" s="132" t="s">
        <v>320</v>
      </c>
      <c r="F600" s="132" t="s">
        <v>796</v>
      </c>
      <c r="G600" s="132" t="s">
        <v>676</v>
      </c>
      <c r="H600" s="141">
        <v>1153090</v>
      </c>
      <c r="I600" s="141">
        <v>1283277</v>
      </c>
      <c r="J600" s="26">
        <f>IF(H600&lt;&gt;"",IF(AND(C600&lt;&gt;"",IFERROR(MATCH(C600,Table10[Serial No.],0),0)),0,1),0)</f>
        <v>0</v>
      </c>
      <c r="K600" s="21"/>
      <c r="L600" s="539" t="str">
        <f t="shared" ca="1" si="106"/>
        <v/>
      </c>
    </row>
    <row r="601" spans="1:24" ht="24.75" customHeight="1" x14ac:dyDescent="0.35">
      <c r="A601" s="109">
        <v>20240298</v>
      </c>
      <c r="B601" s="608"/>
      <c r="C601" s="109">
        <v>14288930</v>
      </c>
      <c r="D601" s="109">
        <v>8.5</v>
      </c>
      <c r="E601" s="109" t="s">
        <v>687</v>
      </c>
      <c r="F601" s="109"/>
      <c r="G601" s="109" t="s">
        <v>681</v>
      </c>
      <c r="H601" s="140">
        <v>2001502</v>
      </c>
      <c r="I601" s="140">
        <v>1254762</v>
      </c>
      <c r="J601" s="26">
        <f>IF(H601&lt;&gt;"",IF(AND(C601&lt;&gt;"",IFERROR(MATCH(C601,Table10[Serial No.],0),0)),0,1),0)</f>
        <v>1</v>
      </c>
      <c r="K601" s="21"/>
      <c r="L601" s="539" t="str">
        <f t="shared" ca="1" si="106"/>
        <v/>
      </c>
    </row>
    <row r="602" spans="1:24" ht="24.75" customHeight="1" x14ac:dyDescent="0.35">
      <c r="A602" s="109">
        <v>20240298</v>
      </c>
      <c r="B602" s="709"/>
      <c r="C602" s="109">
        <v>14288928</v>
      </c>
      <c r="D602" s="109">
        <v>8.5</v>
      </c>
      <c r="E602" s="109" t="s">
        <v>687</v>
      </c>
      <c r="F602" s="109"/>
      <c r="G602" s="109" t="s">
        <v>681</v>
      </c>
      <c r="H602" s="140">
        <v>2001502</v>
      </c>
      <c r="I602" s="140">
        <v>1254762</v>
      </c>
      <c r="J602" s="26">
        <f>IF(H602&lt;&gt;"",IF(AND(C602&lt;&gt;"",IFERROR(MATCH(C602,Table10[Serial No.],0),0)),0,1),0)</f>
        <v>0</v>
      </c>
      <c r="K602" s="21"/>
      <c r="L602" s="539" t="str">
        <f t="shared" ca="1" si="106"/>
        <v/>
      </c>
    </row>
    <row r="603" spans="1:24" ht="24.75" customHeight="1" x14ac:dyDescent="0.35">
      <c r="A603" s="109">
        <v>20240298</v>
      </c>
      <c r="B603" s="709"/>
      <c r="C603" s="109">
        <v>14288929</v>
      </c>
      <c r="D603" s="109">
        <v>8.5</v>
      </c>
      <c r="E603" s="109" t="s">
        <v>687</v>
      </c>
      <c r="F603" s="109"/>
      <c r="G603" s="109" t="s">
        <v>681</v>
      </c>
      <c r="H603" s="140">
        <v>2001502</v>
      </c>
      <c r="I603" s="140">
        <v>1254762</v>
      </c>
      <c r="J603" s="26">
        <f>IF(H603&lt;&gt;"",IF(AND(C603&lt;&gt;"",IFERROR(MATCH(C603,Table10[Serial No.],0),0)),0,1),0)</f>
        <v>0</v>
      </c>
      <c r="K603" s="21"/>
      <c r="L603" s="539" t="str">
        <f t="shared" ca="1" si="106"/>
        <v/>
      </c>
    </row>
    <row r="604" spans="1:24" ht="24.75" customHeight="1" x14ac:dyDescent="0.35">
      <c r="A604" s="109">
        <v>20240298</v>
      </c>
      <c r="B604" s="709"/>
      <c r="C604" s="109">
        <v>14288931</v>
      </c>
      <c r="D604" s="109">
        <v>8.5</v>
      </c>
      <c r="E604" s="109" t="s">
        <v>687</v>
      </c>
      <c r="F604" s="109"/>
      <c r="G604" s="109" t="s">
        <v>681</v>
      </c>
      <c r="H604" s="140">
        <v>2001502</v>
      </c>
      <c r="I604" s="140">
        <v>1254762</v>
      </c>
      <c r="J604" s="26">
        <f>IF(H604&lt;&gt;"",IF(AND(C604&lt;&gt;"",IFERROR(MATCH(C604,Table10[Serial No.],0),0)),0,1),0)</f>
        <v>0</v>
      </c>
      <c r="K604" s="21"/>
      <c r="L604" s="539" t="str">
        <f t="shared" ca="1" si="106"/>
        <v/>
      </c>
    </row>
    <row r="605" spans="1:24" ht="24.75" customHeight="1" x14ac:dyDescent="0.35">
      <c r="A605" s="132">
        <v>20240329</v>
      </c>
      <c r="B605" s="712"/>
      <c r="C605" s="132">
        <v>14305787</v>
      </c>
      <c r="D605" s="132">
        <v>8.5</v>
      </c>
      <c r="E605" s="132" t="s">
        <v>797</v>
      </c>
      <c r="F605" s="132"/>
      <c r="G605" s="132" t="s">
        <v>681</v>
      </c>
      <c r="H605" s="141">
        <v>2001931</v>
      </c>
      <c r="I605" s="561">
        <v>1254762</v>
      </c>
      <c r="J605" s="26">
        <f>IF(H605&lt;&gt;"",IF(AND(C605&lt;&gt;"",IFERROR(MATCH(C605,Table10[Serial No.],0),0)),0,1),0)</f>
        <v>1</v>
      </c>
      <c r="K605" s="21"/>
      <c r="L605" s="539" t="str">
        <f t="shared" ca="1" si="106"/>
        <v/>
      </c>
    </row>
    <row r="606" spans="1:24" ht="24.75" customHeight="1" x14ac:dyDescent="0.35">
      <c r="A606" s="132">
        <v>20240329</v>
      </c>
      <c r="B606" s="710"/>
      <c r="C606" s="132">
        <v>14312302</v>
      </c>
      <c r="D606" s="109" t="s">
        <v>637</v>
      </c>
      <c r="E606" s="132" t="s">
        <v>673</v>
      </c>
      <c r="F606" s="132"/>
      <c r="G606" s="109" t="s">
        <v>681</v>
      </c>
      <c r="H606" s="141">
        <v>1270865</v>
      </c>
      <c r="I606" s="141">
        <v>2008912</v>
      </c>
      <c r="J606" s="26">
        <f>IF(H606&lt;&gt;"",IF(AND(C606&lt;&gt;"",IFERROR(MATCH(C606,Table10[Serial No.],0),0)),0,1),0)</f>
        <v>0</v>
      </c>
      <c r="K606" s="21"/>
      <c r="L606" s="539" t="str">
        <f t="shared" ca="1" si="106"/>
        <v/>
      </c>
    </row>
    <row r="607" spans="1:24" ht="24.75" customHeight="1" x14ac:dyDescent="0.35">
      <c r="A607" s="132">
        <v>20240329</v>
      </c>
      <c r="B607" s="710"/>
      <c r="C607" s="132">
        <v>14312303</v>
      </c>
      <c r="D607" s="132" t="s">
        <v>637</v>
      </c>
      <c r="E607" s="132" t="s">
        <v>673</v>
      </c>
      <c r="F607" s="132"/>
      <c r="G607" s="132" t="s">
        <v>681</v>
      </c>
      <c r="H607" s="141">
        <v>1270865</v>
      </c>
      <c r="I607" s="141">
        <v>2008912</v>
      </c>
      <c r="J607" s="26">
        <f>IF(H607&lt;&gt;"",IF(AND(C607&lt;&gt;"",IFERROR(MATCH(C607,Table10[Serial No.],0),0)),0,1),0)</f>
        <v>0</v>
      </c>
      <c r="K607" s="21"/>
      <c r="L607" s="539" t="str">
        <f t="shared" ca="1" si="106"/>
        <v/>
      </c>
    </row>
    <row r="608" spans="1:24" ht="24.75" customHeight="1" x14ac:dyDescent="0.35">
      <c r="A608" s="109">
        <v>20240361</v>
      </c>
      <c r="B608" s="608"/>
      <c r="C608" s="109">
        <v>14320423</v>
      </c>
      <c r="D608" s="109" t="s">
        <v>304</v>
      </c>
      <c r="E608" s="109" t="s">
        <v>636</v>
      </c>
      <c r="F608" s="109" t="s">
        <v>798</v>
      </c>
      <c r="G608" s="109" t="s">
        <v>676</v>
      </c>
      <c r="H608" s="140">
        <v>1228848</v>
      </c>
      <c r="I608" s="140">
        <v>1016454</v>
      </c>
      <c r="J608" s="26">
        <f>IF(H608&lt;&gt;"",IF(AND(C608&lt;&gt;"",IFERROR(MATCH(C608,Table10[Serial No.],0),0)),0,1),0)</f>
        <v>0</v>
      </c>
      <c r="K608" s="21"/>
      <c r="L608" s="539" t="str">
        <f t="shared" ca="1" si="106"/>
        <v/>
      </c>
      <c r="W608" s="19"/>
      <c r="X608" s="287"/>
    </row>
    <row r="609" spans="1:12" ht="24.75" customHeight="1" x14ac:dyDescent="0.35">
      <c r="A609" s="109">
        <v>20240361</v>
      </c>
      <c r="B609" s="608"/>
      <c r="C609" s="109">
        <v>14320424</v>
      </c>
      <c r="D609" s="109" t="s">
        <v>304</v>
      </c>
      <c r="E609" s="109" t="s">
        <v>636</v>
      </c>
      <c r="F609" s="109" t="s">
        <v>798</v>
      </c>
      <c r="G609" s="109" t="s">
        <v>676</v>
      </c>
      <c r="H609" s="140">
        <v>1228848</v>
      </c>
      <c r="I609" s="140">
        <v>1016454</v>
      </c>
      <c r="J609" s="26">
        <f>IF(H609&lt;&gt;"",IF(AND(C609&lt;&gt;"",IFERROR(MATCH(C609,Table10[Serial No.],0),0)),0,1),0)</f>
        <v>0</v>
      </c>
      <c r="K609" s="21"/>
      <c r="L609" s="539" t="str">
        <f t="shared" ca="1" si="106"/>
        <v/>
      </c>
    </row>
    <row r="610" spans="1:12" ht="24.75" customHeight="1" x14ac:dyDescent="0.35">
      <c r="A610" s="109">
        <v>20240361</v>
      </c>
      <c r="B610" s="608"/>
      <c r="C610" s="109">
        <v>14320422</v>
      </c>
      <c r="D610" s="109" t="s">
        <v>304</v>
      </c>
      <c r="E610" s="109" t="s">
        <v>636</v>
      </c>
      <c r="F610" s="109" t="s">
        <v>798</v>
      </c>
      <c r="G610" s="109" t="s">
        <v>676</v>
      </c>
      <c r="H610" s="140">
        <v>1228848</v>
      </c>
      <c r="I610" s="140">
        <v>1016454</v>
      </c>
      <c r="J610" s="26">
        <f>IF(H610&lt;&gt;"",IF(AND(C610&lt;&gt;"",IFERROR(MATCH(C610,Table10[Serial No.],0),0)),0,1),0)</f>
        <v>0</v>
      </c>
      <c r="K610" s="21"/>
      <c r="L610" s="539" t="str">
        <f t="shared" ca="1" si="106"/>
        <v/>
      </c>
    </row>
    <row r="611" spans="1:12" ht="24.75" customHeight="1" x14ac:dyDescent="0.35">
      <c r="A611" s="109">
        <v>20240361</v>
      </c>
      <c r="B611" s="709"/>
      <c r="C611" s="109">
        <v>14320851</v>
      </c>
      <c r="D611" s="109" t="s">
        <v>307</v>
      </c>
      <c r="E611" s="109" t="s">
        <v>308</v>
      </c>
      <c r="F611" s="109" t="s">
        <v>799</v>
      </c>
      <c r="G611" s="109" t="s">
        <v>681</v>
      </c>
      <c r="H611" s="140">
        <v>1224225</v>
      </c>
      <c r="I611" s="140">
        <v>1252149</v>
      </c>
      <c r="J611" s="26">
        <f>IF(H611&lt;&gt;"",IF(AND(C611&lt;&gt;"",IFERROR(MATCH(C611,Table10[Serial No.],0),0)),0,1),0)</f>
        <v>0</v>
      </c>
      <c r="K611" s="21"/>
      <c r="L611" s="539" t="str">
        <f t="shared" ca="1" si="106"/>
        <v/>
      </c>
    </row>
    <row r="612" spans="1:12" ht="24.75" customHeight="1" x14ac:dyDescent="0.35">
      <c r="A612" s="109">
        <v>20240361</v>
      </c>
      <c r="B612" s="709"/>
      <c r="C612" s="109">
        <v>14320850</v>
      </c>
      <c r="D612" s="109" t="s">
        <v>307</v>
      </c>
      <c r="E612" s="109" t="s">
        <v>308</v>
      </c>
      <c r="F612" s="109" t="s">
        <v>799</v>
      </c>
      <c r="G612" s="109" t="s">
        <v>681</v>
      </c>
      <c r="H612" s="140">
        <v>1224225</v>
      </c>
      <c r="I612" s="140">
        <v>1252149</v>
      </c>
      <c r="J612" s="26">
        <f>IF(H612&lt;&gt;"",IF(AND(C612&lt;&gt;"",IFERROR(MATCH(C612,Table10[Serial No.],0),0)),0,1),0)</f>
        <v>0</v>
      </c>
      <c r="K612" s="21"/>
      <c r="L612" s="539" t="str">
        <f t="shared" ca="1" si="106"/>
        <v/>
      </c>
    </row>
    <row r="613" spans="1:12" ht="24.75" customHeight="1" x14ac:dyDescent="0.35">
      <c r="A613" s="109">
        <v>20240362</v>
      </c>
      <c r="B613" s="608"/>
      <c r="C613" s="109">
        <v>14321490</v>
      </c>
      <c r="D613" s="109" t="s">
        <v>309</v>
      </c>
      <c r="E613" s="109" t="s">
        <v>722</v>
      </c>
      <c r="F613" s="109" t="s">
        <v>800</v>
      </c>
      <c r="G613" s="109" t="s">
        <v>681</v>
      </c>
      <c r="H613" s="140">
        <v>1282368</v>
      </c>
      <c r="I613" s="602">
        <v>2017803</v>
      </c>
      <c r="J613" s="26">
        <f>IF(H613&lt;&gt;"",IF(AND(C613&lt;&gt;"",IFERROR(MATCH(C613,Table10[Serial No.],0),0)),0,1),0)</f>
        <v>1</v>
      </c>
      <c r="K613" s="21"/>
      <c r="L613" s="539" t="str">
        <f t="shared" ca="1" si="106"/>
        <v/>
      </c>
    </row>
    <row r="614" spans="1:12" ht="24.75" customHeight="1" x14ac:dyDescent="0.35">
      <c r="A614" s="109">
        <v>20240362</v>
      </c>
      <c r="B614" s="709"/>
      <c r="C614" s="109">
        <v>14321011</v>
      </c>
      <c r="D614" s="109" t="s">
        <v>309</v>
      </c>
      <c r="E614" s="109" t="s">
        <v>679</v>
      </c>
      <c r="F614" s="109" t="s">
        <v>800</v>
      </c>
      <c r="G614" s="109" t="s">
        <v>681</v>
      </c>
      <c r="H614" s="140">
        <v>1261236</v>
      </c>
      <c r="I614" s="140">
        <v>1258557</v>
      </c>
      <c r="J614" s="26">
        <f>IF(H614&lt;&gt;"",IF(AND(C614&lt;&gt;"",IFERROR(MATCH(C614,Table10[Serial No.],0),0)),0,1),0)</f>
        <v>0</v>
      </c>
      <c r="K614" s="21"/>
      <c r="L614" s="539" t="str">
        <f t="shared" ca="1" si="106"/>
        <v/>
      </c>
    </row>
    <row r="615" spans="1:12" ht="24.75" customHeight="1" x14ac:dyDescent="0.35">
      <c r="A615" s="109">
        <v>20240362</v>
      </c>
      <c r="B615" s="709"/>
      <c r="C615" s="109">
        <v>14321012</v>
      </c>
      <c r="D615" s="109" t="s">
        <v>309</v>
      </c>
      <c r="E615" s="109" t="s">
        <v>679</v>
      </c>
      <c r="F615" s="109" t="s">
        <v>800</v>
      </c>
      <c r="G615" s="109" t="s">
        <v>681</v>
      </c>
      <c r="H615" s="140">
        <v>1261236</v>
      </c>
      <c r="I615" s="140">
        <v>1258557</v>
      </c>
      <c r="J615" s="26">
        <f>IF(H615&lt;&gt;"",IF(AND(C615&lt;&gt;"",IFERROR(MATCH(C615,Table10[Serial No.],0),0)),0,1),0)</f>
        <v>1</v>
      </c>
      <c r="K615" s="21"/>
      <c r="L615" s="539" t="str">
        <f t="shared" ca="1" si="106"/>
        <v/>
      </c>
    </row>
    <row r="616" spans="1:12" ht="24.75" customHeight="1" x14ac:dyDescent="0.35">
      <c r="A616" s="109">
        <v>20240361</v>
      </c>
      <c r="B616" s="608"/>
      <c r="C616" s="109">
        <v>14320872</v>
      </c>
      <c r="D616" s="109" t="s">
        <v>313</v>
      </c>
      <c r="E616" s="109" t="s">
        <v>645</v>
      </c>
      <c r="F616" s="109" t="s">
        <v>801</v>
      </c>
      <c r="G616" s="109" t="s">
        <v>681</v>
      </c>
      <c r="H616" s="140">
        <v>1267027</v>
      </c>
      <c r="I616" s="140">
        <v>1283630</v>
      </c>
      <c r="J616" s="26">
        <f>IF(H616&lt;&gt;"",IF(AND(C616&lt;&gt;"",IFERROR(MATCH(C616,Table10[Serial No.],0),0)),0,1),0)</f>
        <v>0</v>
      </c>
      <c r="K616" s="21"/>
      <c r="L616" s="539" t="str">
        <f t="shared" ca="1" si="106"/>
        <v/>
      </c>
    </row>
    <row r="617" spans="1:12" ht="24.75" customHeight="1" x14ac:dyDescent="0.35">
      <c r="A617" s="109">
        <v>20240361</v>
      </c>
      <c r="B617" s="608"/>
      <c r="C617" s="109">
        <v>14320871</v>
      </c>
      <c r="D617" s="109" t="s">
        <v>313</v>
      </c>
      <c r="E617" s="109" t="s">
        <v>645</v>
      </c>
      <c r="F617" s="109" t="s">
        <v>801</v>
      </c>
      <c r="G617" s="109" t="s">
        <v>681</v>
      </c>
      <c r="H617" s="140">
        <v>1267027</v>
      </c>
      <c r="I617" s="140">
        <v>1283630</v>
      </c>
      <c r="J617" s="26">
        <f>IF(H617&lt;&gt;"",IF(AND(C617&lt;&gt;"",IFERROR(MATCH(C617,Table10[Serial No.],0),0)),0,1),0)</f>
        <v>0</v>
      </c>
      <c r="K617" s="21"/>
      <c r="L617" s="539" t="str">
        <f t="shared" ca="1" si="106"/>
        <v/>
      </c>
    </row>
    <row r="618" spans="1:12" ht="24.75" customHeight="1" x14ac:dyDescent="0.35">
      <c r="A618" s="109">
        <v>20240361</v>
      </c>
      <c r="B618" s="709"/>
      <c r="C618" s="109">
        <v>14320852</v>
      </c>
      <c r="D618" s="109" t="s">
        <v>624</v>
      </c>
      <c r="E618" s="109" t="s">
        <v>797</v>
      </c>
      <c r="F618" s="109" t="s">
        <v>801</v>
      </c>
      <c r="G618" s="109" t="s">
        <v>681</v>
      </c>
      <c r="H618" s="140">
        <v>2001931</v>
      </c>
      <c r="I618" s="602">
        <v>1254762</v>
      </c>
      <c r="J618" s="26">
        <f>IF(H618&lt;&gt;"",IF(AND(C618&lt;&gt;"",IFERROR(MATCH(C618,Table10[Serial No.],0),0)),0,1),0)</f>
        <v>1</v>
      </c>
      <c r="K618" s="21"/>
      <c r="L618" s="539" t="str">
        <f t="shared" ca="1" si="106"/>
        <v/>
      </c>
    </row>
    <row r="619" spans="1:12" ht="24.75" customHeight="1" x14ac:dyDescent="0.35">
      <c r="A619" s="109">
        <v>20240361</v>
      </c>
      <c r="B619" s="709"/>
      <c r="C619" s="109">
        <v>14320853</v>
      </c>
      <c r="D619" s="109" t="s">
        <v>316</v>
      </c>
      <c r="E619" s="109" t="s">
        <v>291</v>
      </c>
      <c r="F619" s="109" t="s">
        <v>802</v>
      </c>
      <c r="G619" s="109" t="s">
        <v>676</v>
      </c>
      <c r="H619" s="140">
        <v>1228782</v>
      </c>
      <c r="I619" s="602">
        <v>1058252</v>
      </c>
      <c r="J619" s="26">
        <f>IF(H619&lt;&gt;"",IF(AND(C619&lt;&gt;"",IFERROR(MATCH(C619,Table10[Serial No.],0),0)),0,1),0)</f>
        <v>0</v>
      </c>
      <c r="K619" s="21"/>
      <c r="L619" s="539" t="str">
        <f t="shared" ca="1" si="106"/>
        <v/>
      </c>
    </row>
    <row r="620" spans="1:12" ht="24.75" customHeight="1" x14ac:dyDescent="0.35">
      <c r="A620" s="109">
        <v>20240361</v>
      </c>
      <c r="B620" s="709"/>
      <c r="C620" s="109">
        <v>14320856</v>
      </c>
      <c r="D620" s="109" t="s">
        <v>316</v>
      </c>
      <c r="E620" s="109" t="s">
        <v>292</v>
      </c>
      <c r="F620" s="109" t="s">
        <v>803</v>
      </c>
      <c r="G620" s="109" t="s">
        <v>681</v>
      </c>
      <c r="H620" s="140">
        <v>1258119</v>
      </c>
      <c r="I620" s="140">
        <v>1254482</v>
      </c>
      <c r="J620" s="26">
        <f>IF(H620&lt;&gt;"",IF(AND(C620&lt;&gt;"",IFERROR(MATCH(C620,Table10[Serial No.],0),0)),0,1),0)</f>
        <v>0</v>
      </c>
      <c r="K620" s="21"/>
      <c r="L620" s="539" t="str">
        <f t="shared" ca="1" si="106"/>
        <v/>
      </c>
    </row>
    <row r="621" spans="1:12" ht="24.75" customHeight="1" x14ac:dyDescent="0.35">
      <c r="A621" s="109">
        <v>20240361</v>
      </c>
      <c r="B621" s="709"/>
      <c r="C621" s="109">
        <v>14320854</v>
      </c>
      <c r="D621" s="109" t="s">
        <v>316</v>
      </c>
      <c r="E621" s="109" t="s">
        <v>292</v>
      </c>
      <c r="F621" s="109" t="s">
        <v>803</v>
      </c>
      <c r="G621" s="109" t="s">
        <v>681</v>
      </c>
      <c r="H621" s="140">
        <v>1258119</v>
      </c>
      <c r="I621" s="140">
        <v>1254482</v>
      </c>
      <c r="J621" s="26">
        <f>IF(H621&lt;&gt;"",IF(AND(C621&lt;&gt;"",IFERROR(MATCH(C621,Table10[Serial No.],0),0)),0,1),0)</f>
        <v>0</v>
      </c>
      <c r="K621" s="21"/>
      <c r="L621" s="539" t="str">
        <f t="shared" ca="1" si="106"/>
        <v/>
      </c>
    </row>
    <row r="622" spans="1:12" ht="24.75" customHeight="1" x14ac:dyDescent="0.35">
      <c r="A622" s="132">
        <v>20240361</v>
      </c>
      <c r="B622" s="709"/>
      <c r="C622" s="132">
        <v>14336291</v>
      </c>
      <c r="D622" s="132" t="s">
        <v>316</v>
      </c>
      <c r="E622" s="132" t="s">
        <v>292</v>
      </c>
      <c r="F622" s="132" t="s">
        <v>803</v>
      </c>
      <c r="G622" s="132" t="s">
        <v>681</v>
      </c>
      <c r="H622" s="141">
        <v>1258119</v>
      </c>
      <c r="I622" s="141">
        <v>1254482</v>
      </c>
      <c r="J622" s="26">
        <f>IF(H622&lt;&gt;"",IF(AND(C622&lt;&gt;"",IFERROR(MATCH(C622,Table10[Serial No.],0),0)),0,1),0)</f>
        <v>1</v>
      </c>
      <c r="K622" s="21"/>
      <c r="L622" s="539" t="str">
        <f t="shared" ca="1" si="106"/>
        <v/>
      </c>
    </row>
    <row r="623" spans="1:12" ht="24.75" customHeight="1" x14ac:dyDescent="0.35">
      <c r="A623" s="109">
        <v>20250018</v>
      </c>
      <c r="B623" s="709"/>
      <c r="C623" s="109">
        <v>14336282</v>
      </c>
      <c r="D623" s="109" t="s">
        <v>304</v>
      </c>
      <c r="E623" s="109" t="s">
        <v>636</v>
      </c>
      <c r="F623" s="109" t="s">
        <v>804</v>
      </c>
      <c r="G623" s="109" t="s">
        <v>676</v>
      </c>
      <c r="H623" s="140">
        <v>1228848</v>
      </c>
      <c r="I623" s="140">
        <v>1016454</v>
      </c>
      <c r="J623" s="26">
        <f>IF(H623&lt;&gt;"",IF(AND(C623&lt;&gt;"",IFERROR(MATCH(C623,Table10[Serial No.],0),0)),0,1),0)</f>
        <v>0</v>
      </c>
      <c r="K623" s="21"/>
      <c r="L623" s="539" t="str">
        <f t="shared" ca="1" si="106"/>
        <v/>
      </c>
    </row>
    <row r="624" spans="1:12" ht="24.75" customHeight="1" x14ac:dyDescent="0.35">
      <c r="A624" s="109">
        <v>20250018</v>
      </c>
      <c r="B624" s="709"/>
      <c r="C624" s="109">
        <v>14336283</v>
      </c>
      <c r="D624" s="109" t="s">
        <v>304</v>
      </c>
      <c r="E624" s="109" t="s">
        <v>636</v>
      </c>
      <c r="F624" s="109" t="s">
        <v>804</v>
      </c>
      <c r="G624" s="109" t="s">
        <v>676</v>
      </c>
      <c r="H624" s="140">
        <v>1228848</v>
      </c>
      <c r="I624" s="140">
        <v>1016454</v>
      </c>
      <c r="J624" s="26">
        <f>IF(H624&lt;&gt;"",IF(AND(C624&lt;&gt;"",IFERROR(MATCH(C624,Table10[Serial No.],0),0)),0,1),0)</f>
        <v>0</v>
      </c>
      <c r="K624" s="21"/>
      <c r="L624" s="539" t="str">
        <f t="shared" ca="1" si="106"/>
        <v/>
      </c>
    </row>
    <row r="625" spans="1:12" ht="24.75" customHeight="1" x14ac:dyDescent="0.35">
      <c r="A625" s="109">
        <v>20250027</v>
      </c>
      <c r="B625" s="709"/>
      <c r="C625" s="109">
        <v>14336413</v>
      </c>
      <c r="D625" s="109" t="s">
        <v>309</v>
      </c>
      <c r="E625" s="109" t="s">
        <v>722</v>
      </c>
      <c r="F625" s="109" t="s">
        <v>805</v>
      </c>
      <c r="G625" s="109" t="s">
        <v>681</v>
      </c>
      <c r="H625" s="140">
        <v>1282368</v>
      </c>
      <c r="I625" s="140" t="s">
        <v>806</v>
      </c>
      <c r="J625" s="26">
        <f>IF(H625&lt;&gt;"",IF(AND(C625&lt;&gt;"",IFERROR(MATCH(C625,Table10[Serial No.],0),0)),0,1),0)</f>
        <v>0</v>
      </c>
      <c r="K625" s="21"/>
      <c r="L625" s="539" t="str">
        <f t="shared" si="106"/>
        <v/>
      </c>
    </row>
    <row r="626" spans="1:12" ht="24.75" customHeight="1" x14ac:dyDescent="0.35">
      <c r="A626" s="109">
        <v>20250027</v>
      </c>
      <c r="B626" s="608"/>
      <c r="C626" s="109">
        <v>14337193</v>
      </c>
      <c r="D626" s="109" t="s">
        <v>309</v>
      </c>
      <c r="E626" s="109" t="s">
        <v>772</v>
      </c>
      <c r="F626" s="109" t="s">
        <v>807</v>
      </c>
      <c r="G626" s="109" t="s">
        <v>681</v>
      </c>
      <c r="H626" s="140">
        <v>1283567</v>
      </c>
      <c r="I626" s="140" t="s">
        <v>771</v>
      </c>
      <c r="J626" s="26">
        <f>IF(H626&lt;&gt;"",IF(AND(C626&lt;&gt;"",IFERROR(MATCH(C626,Table10[Serial No.],0),0)),0,1),0)</f>
        <v>0</v>
      </c>
      <c r="K626" s="21"/>
      <c r="L626" s="539" t="str">
        <f t="shared" si="106"/>
        <v/>
      </c>
    </row>
    <row r="627" spans="1:12" ht="24.75" customHeight="1" x14ac:dyDescent="0.35">
      <c r="A627" s="109">
        <v>20250027</v>
      </c>
      <c r="B627" s="608"/>
      <c r="C627" s="109">
        <v>14337194</v>
      </c>
      <c r="D627" s="109" t="s">
        <v>309</v>
      </c>
      <c r="E627" s="109" t="s">
        <v>772</v>
      </c>
      <c r="F627" s="109" t="s">
        <v>807</v>
      </c>
      <c r="G627" s="109" t="s">
        <v>681</v>
      </c>
      <c r="H627" s="140">
        <v>1283567</v>
      </c>
      <c r="I627" s="140" t="s">
        <v>771</v>
      </c>
      <c r="J627" s="26">
        <f>IF(H627&lt;&gt;"",IF(AND(C627&lt;&gt;"",IFERROR(MATCH(C627,Table10[Serial No.],0),0)),0,1),0)</f>
        <v>0</v>
      </c>
      <c r="K627" s="21"/>
      <c r="L627" s="539" t="str">
        <f t="shared" si="106"/>
        <v/>
      </c>
    </row>
    <row r="628" spans="1:12" ht="24.75" customHeight="1" x14ac:dyDescent="0.35">
      <c r="A628" s="109">
        <v>20250018</v>
      </c>
      <c r="B628" s="709"/>
      <c r="C628" s="109">
        <v>14336285</v>
      </c>
      <c r="D628" s="109" t="s">
        <v>313</v>
      </c>
      <c r="E628" s="109" t="s">
        <v>703</v>
      </c>
      <c r="F628" s="109" t="s">
        <v>808</v>
      </c>
      <c r="G628" s="109" t="s">
        <v>681</v>
      </c>
      <c r="H628" s="140">
        <v>1272920</v>
      </c>
      <c r="I628" s="140">
        <v>1283482</v>
      </c>
      <c r="J628" s="26">
        <f>IF(H628&lt;&gt;"",IF(AND(C628&lt;&gt;"",IFERROR(MATCH(C628,Table10[Serial No.],0),0)),0,1),0)</f>
        <v>0</v>
      </c>
      <c r="K628" s="21"/>
      <c r="L628" s="539" t="str">
        <f t="shared" ca="1" si="106"/>
        <v/>
      </c>
    </row>
    <row r="629" spans="1:12" ht="24.75" customHeight="1" x14ac:dyDescent="0.35">
      <c r="A629" s="109">
        <v>20250018</v>
      </c>
      <c r="B629" s="709"/>
      <c r="C629" s="109">
        <v>14336284</v>
      </c>
      <c r="D629" s="109" t="s">
        <v>313</v>
      </c>
      <c r="E629" s="109" t="s">
        <v>703</v>
      </c>
      <c r="F629" s="109" t="s">
        <v>808</v>
      </c>
      <c r="G629" s="109" t="s">
        <v>681</v>
      </c>
      <c r="H629" s="140">
        <v>1272920</v>
      </c>
      <c r="I629" s="140">
        <v>1283482</v>
      </c>
      <c r="J629" s="26">
        <f>IF(H629&lt;&gt;"",IF(AND(C629&lt;&gt;"",IFERROR(MATCH(C629,Table10[Serial No.],0),0)),0,1),0)</f>
        <v>0</v>
      </c>
      <c r="K629" s="21"/>
      <c r="L629" s="539" t="str">
        <f t="shared" ca="1" si="106"/>
        <v/>
      </c>
    </row>
    <row r="630" spans="1:12" ht="24.75" customHeight="1" x14ac:dyDescent="0.35">
      <c r="A630" s="109">
        <v>20250018</v>
      </c>
      <c r="B630" s="709"/>
      <c r="C630" s="109">
        <v>14340872</v>
      </c>
      <c r="D630" s="109" t="s">
        <v>624</v>
      </c>
      <c r="E630" s="109" t="s">
        <v>275</v>
      </c>
      <c r="F630" s="109" t="s">
        <v>809</v>
      </c>
      <c r="G630" s="109" t="s">
        <v>681</v>
      </c>
      <c r="H630" s="140">
        <v>1158011</v>
      </c>
      <c r="I630" s="140">
        <v>1267829</v>
      </c>
      <c r="J630" s="26">
        <f>IF(H630&lt;&gt;"",IF(AND(C630&lt;&gt;"",IFERROR(MATCH(C630,Table10[Serial No.],0),0)),0,1),0)</f>
        <v>0</v>
      </c>
      <c r="K630" s="21"/>
      <c r="L630" s="539" t="str">
        <f t="shared" ca="1" si="106"/>
        <v/>
      </c>
    </row>
    <row r="631" spans="1:12" ht="24.75" customHeight="1" x14ac:dyDescent="0.35">
      <c r="A631" s="109">
        <v>20250018</v>
      </c>
      <c r="B631" s="709"/>
      <c r="C631" s="109">
        <v>14340873</v>
      </c>
      <c r="D631" s="109" t="s">
        <v>624</v>
      </c>
      <c r="E631" s="109" t="s">
        <v>275</v>
      </c>
      <c r="F631" s="109" t="s">
        <v>809</v>
      </c>
      <c r="G631" s="109" t="s">
        <v>681</v>
      </c>
      <c r="H631" s="140">
        <v>1158011</v>
      </c>
      <c r="I631" s="140">
        <v>1267829</v>
      </c>
      <c r="J631" s="26">
        <f>IF(H631&lt;&gt;"",IF(AND(C631&lt;&gt;"",IFERROR(MATCH(C631,Table10[Serial No.],0),0)),0,1),0)</f>
        <v>0</v>
      </c>
      <c r="K631" s="21"/>
      <c r="L631" s="539" t="str">
        <f t="shared" ca="1" si="106"/>
        <v/>
      </c>
    </row>
    <row r="632" spans="1:12" ht="24.75" customHeight="1" x14ac:dyDescent="0.35">
      <c r="A632" s="109">
        <v>20250018</v>
      </c>
      <c r="B632" s="709"/>
      <c r="C632" s="109">
        <v>14340874</v>
      </c>
      <c r="D632" s="109" t="s">
        <v>624</v>
      </c>
      <c r="E632" s="109" t="s">
        <v>275</v>
      </c>
      <c r="F632" s="109" t="s">
        <v>809</v>
      </c>
      <c r="G632" s="109" t="s">
        <v>681</v>
      </c>
      <c r="H632" s="140">
        <v>1158011</v>
      </c>
      <c r="I632" s="140">
        <v>1267829</v>
      </c>
      <c r="J632" s="26">
        <f>IF(H632&lt;&gt;"",IF(AND(C632&lt;&gt;"",IFERROR(MATCH(C632,Table10[Serial No.],0),0)),0,1),0)</f>
        <v>0</v>
      </c>
      <c r="K632" s="21"/>
      <c r="L632" s="539" t="str">
        <f t="shared" ca="1" si="106"/>
        <v/>
      </c>
    </row>
    <row r="633" spans="1:12" ht="24.75" customHeight="1" x14ac:dyDescent="0.35">
      <c r="A633" s="109">
        <v>20250018</v>
      </c>
      <c r="B633" s="608"/>
      <c r="C633" s="109">
        <v>14340868</v>
      </c>
      <c r="D633" s="109" t="s">
        <v>624</v>
      </c>
      <c r="E633" s="109" t="s">
        <v>663</v>
      </c>
      <c r="F633" s="109" t="s">
        <v>810</v>
      </c>
      <c r="G633" s="109" t="s">
        <v>681</v>
      </c>
      <c r="H633" s="140">
        <v>1269498</v>
      </c>
      <c r="I633" s="140">
        <v>1276939</v>
      </c>
      <c r="J633" s="26">
        <f>IF(H633&lt;&gt;"",IF(AND(C633&lt;&gt;"",IFERROR(MATCH(C633,Table10[Serial No.],0),0)),0,1),0)</f>
        <v>0</v>
      </c>
      <c r="K633" s="21"/>
      <c r="L633" s="539" t="str">
        <f t="shared" ca="1" si="106"/>
        <v/>
      </c>
    </row>
    <row r="634" spans="1:12" ht="24.75" customHeight="1" x14ac:dyDescent="0.35">
      <c r="A634" s="109">
        <v>20250018</v>
      </c>
      <c r="B634" s="608"/>
      <c r="C634" s="109">
        <v>14340869</v>
      </c>
      <c r="D634" s="109" t="s">
        <v>624</v>
      </c>
      <c r="E634" s="109" t="s">
        <v>663</v>
      </c>
      <c r="F634" s="109" t="s">
        <v>810</v>
      </c>
      <c r="G634" s="109" t="s">
        <v>681</v>
      </c>
      <c r="H634" s="140">
        <v>1269498</v>
      </c>
      <c r="I634" s="140">
        <v>1276939</v>
      </c>
      <c r="J634" s="26">
        <f>IF(H634&lt;&gt;"",IF(AND(C634&lt;&gt;"",IFERROR(MATCH(C634,Table10[Serial No.],0),0)),0,1),0)</f>
        <v>0</v>
      </c>
      <c r="K634" s="21"/>
      <c r="L634" s="539" t="str">
        <f t="shared" ca="1" si="106"/>
        <v/>
      </c>
    </row>
    <row r="635" spans="1:12" ht="24.75" customHeight="1" x14ac:dyDescent="0.35">
      <c r="A635" s="109">
        <v>20250018</v>
      </c>
      <c r="B635" s="608"/>
      <c r="C635" s="109">
        <v>14340870</v>
      </c>
      <c r="D635" s="109" t="s">
        <v>624</v>
      </c>
      <c r="E635" s="109" t="s">
        <v>663</v>
      </c>
      <c r="F635" s="109" t="s">
        <v>810</v>
      </c>
      <c r="G635" s="109" t="s">
        <v>681</v>
      </c>
      <c r="H635" s="140">
        <v>1269498</v>
      </c>
      <c r="I635" s="140">
        <v>1276939</v>
      </c>
      <c r="J635" s="26">
        <f>IF(H635&lt;&gt;"",IF(AND(C635&lt;&gt;"",IFERROR(MATCH(C635,Table10[Serial No.],0),0)),0,1),0)</f>
        <v>0</v>
      </c>
      <c r="K635" s="21"/>
      <c r="L635" s="539" t="str">
        <f t="shared" ca="1" si="106"/>
        <v/>
      </c>
    </row>
    <row r="636" spans="1:12" ht="24.75" customHeight="1" x14ac:dyDescent="0.35">
      <c r="A636" s="109">
        <v>20250018</v>
      </c>
      <c r="B636" s="709"/>
      <c r="C636" s="109">
        <v>14336289</v>
      </c>
      <c r="D636" s="109" t="s">
        <v>315</v>
      </c>
      <c r="E636" s="109" t="s">
        <v>684</v>
      </c>
      <c r="F636" s="109" t="s">
        <v>811</v>
      </c>
      <c r="G636" s="109" t="s">
        <v>676</v>
      </c>
      <c r="H636" s="140">
        <v>1245431</v>
      </c>
      <c r="I636" s="140">
        <v>1251098</v>
      </c>
      <c r="J636" s="26">
        <f>IF(H636&lt;&gt;"",IF(AND(C636&lt;&gt;"",IFERROR(MATCH(C636,Table10[Serial No.],0),0)),0,1),0)</f>
        <v>1</v>
      </c>
      <c r="K636" s="21"/>
      <c r="L636" s="539" t="str">
        <f t="shared" ca="1" si="106"/>
        <v/>
      </c>
    </row>
    <row r="637" spans="1:12" ht="24.75" customHeight="1" x14ac:dyDescent="0.35">
      <c r="A637" s="109">
        <v>20250018</v>
      </c>
      <c r="B637" s="709"/>
      <c r="C637" s="109">
        <v>14336290</v>
      </c>
      <c r="D637" s="109" t="s">
        <v>315</v>
      </c>
      <c r="E637" s="109" t="s">
        <v>684</v>
      </c>
      <c r="F637" s="109" t="s">
        <v>811</v>
      </c>
      <c r="G637" s="109" t="s">
        <v>676</v>
      </c>
      <c r="H637" s="140">
        <v>1245431</v>
      </c>
      <c r="I637" s="140">
        <v>1251098</v>
      </c>
      <c r="J637" s="26">
        <f>IF(H637&lt;&gt;"",IF(AND(C637&lt;&gt;"",IFERROR(MATCH(C637,Table10[Serial No.],0),0)),0,1),0)</f>
        <v>0</v>
      </c>
      <c r="K637" s="21"/>
      <c r="L637" s="539" t="str">
        <f t="shared" ca="1" si="106"/>
        <v/>
      </c>
    </row>
    <row r="638" spans="1:12" ht="24.75" customHeight="1" x14ac:dyDescent="0.35">
      <c r="A638" s="132">
        <v>20250018</v>
      </c>
      <c r="B638" s="609"/>
      <c r="C638" s="132">
        <v>14320855</v>
      </c>
      <c r="D638" s="132" t="s">
        <v>316</v>
      </c>
      <c r="E638" s="132" t="s">
        <v>292</v>
      </c>
      <c r="F638" s="132" t="s">
        <v>812</v>
      </c>
      <c r="G638" s="132" t="s">
        <v>681</v>
      </c>
      <c r="H638" s="141">
        <v>1258119</v>
      </c>
      <c r="I638" s="141">
        <v>1254482</v>
      </c>
      <c r="J638" s="26">
        <f>IF(H638&lt;&gt;"",IF(AND(C638&lt;&gt;"",IFERROR(MATCH(C638,Table10[Serial No.],0),0)),0,1),0)</f>
        <v>1</v>
      </c>
      <c r="K638" s="21"/>
      <c r="L638" s="539" t="str">
        <f t="shared" ca="1" si="106"/>
        <v/>
      </c>
    </row>
    <row r="639" spans="1:12" ht="24.75" customHeight="1" x14ac:dyDescent="0.35">
      <c r="A639" s="109">
        <v>20250027</v>
      </c>
      <c r="B639" s="709"/>
      <c r="C639" s="109">
        <v>14336414</v>
      </c>
      <c r="D639" s="109" t="s">
        <v>624</v>
      </c>
      <c r="E639" s="109" t="s">
        <v>640</v>
      </c>
      <c r="F639" s="109"/>
      <c r="G639" s="109" t="s">
        <v>681</v>
      </c>
      <c r="H639" s="140">
        <v>1255267</v>
      </c>
      <c r="I639" s="140" t="s">
        <v>641</v>
      </c>
      <c r="J639" s="26">
        <f>IF(H639&lt;&gt;"",IF(AND(C639&lt;&gt;"",IFERROR(MATCH(C639,Table10[Serial No.],0),0)),0,1),0)</f>
        <v>0</v>
      </c>
      <c r="K639" s="21"/>
      <c r="L639" s="539" t="str">
        <f t="shared" si="106"/>
        <v/>
      </c>
    </row>
    <row r="640" spans="1:12" ht="24.75" customHeight="1" x14ac:dyDescent="0.35">
      <c r="A640" s="109">
        <v>20250027</v>
      </c>
      <c r="B640" s="709"/>
      <c r="C640" s="109">
        <v>14336416</v>
      </c>
      <c r="D640" s="109" t="s">
        <v>624</v>
      </c>
      <c r="E640" s="109" t="s">
        <v>640</v>
      </c>
      <c r="F640" s="109"/>
      <c r="G640" s="109" t="s">
        <v>681</v>
      </c>
      <c r="H640" s="140">
        <v>1255267</v>
      </c>
      <c r="I640" s="140" t="s">
        <v>641</v>
      </c>
      <c r="J640" s="26">
        <f>IF(H640&lt;&gt;"",IF(AND(C640&lt;&gt;"",IFERROR(MATCH(C640,Table10[Serial No.],0),0)),0,1),0)</f>
        <v>1</v>
      </c>
      <c r="K640" s="21"/>
      <c r="L640" s="539" t="str">
        <f t="shared" si="106"/>
        <v/>
      </c>
    </row>
    <row r="641" spans="1:12" ht="24.75" customHeight="1" x14ac:dyDescent="0.35">
      <c r="A641" s="109">
        <v>20250027</v>
      </c>
      <c r="B641" s="709"/>
      <c r="C641" s="109">
        <v>14336415</v>
      </c>
      <c r="D641" s="109" t="s">
        <v>624</v>
      </c>
      <c r="E641" s="109" t="s">
        <v>640</v>
      </c>
      <c r="F641" s="109"/>
      <c r="G641" s="109" t="s">
        <v>681</v>
      </c>
      <c r="H641" s="140">
        <v>1255267</v>
      </c>
      <c r="I641" s="140" t="s">
        <v>641</v>
      </c>
      <c r="J641" s="26">
        <f>IF(H641&lt;&gt;"",IF(AND(C641&lt;&gt;"",IFERROR(MATCH(C641,Table10[Serial No.],0),0)),0,1),0)</f>
        <v>1</v>
      </c>
      <c r="K641" s="21"/>
      <c r="L641" s="539" t="str">
        <f t="shared" si="106"/>
        <v/>
      </c>
    </row>
    <row r="642" spans="1:12" ht="24.75" customHeight="1" x14ac:dyDescent="0.35">
      <c r="A642" s="132">
        <v>20250027</v>
      </c>
      <c r="B642" s="709"/>
      <c r="C642" s="132">
        <v>14336417</v>
      </c>
      <c r="D642" s="132" t="s">
        <v>624</v>
      </c>
      <c r="E642" s="132" t="s">
        <v>717</v>
      </c>
      <c r="F642" s="132"/>
      <c r="G642" s="132" t="s">
        <v>681</v>
      </c>
      <c r="H642" s="141">
        <v>2009096</v>
      </c>
      <c r="I642" s="141" t="s">
        <v>773</v>
      </c>
      <c r="J642" s="26">
        <f>IF(H642&lt;&gt;"",IF(AND(C642&lt;&gt;"",IFERROR(MATCH(C642,Table10[Serial No.],0),0)),0,1),0)</f>
        <v>0</v>
      </c>
      <c r="K642" s="21"/>
      <c r="L642" s="539" t="str">
        <f t="shared" si="106"/>
        <v/>
      </c>
    </row>
    <row r="643" spans="1:12" ht="24.75" customHeight="1" x14ac:dyDescent="0.35">
      <c r="A643" s="109">
        <v>20250043</v>
      </c>
      <c r="B643" s="709"/>
      <c r="C643" s="109">
        <v>14336287</v>
      </c>
      <c r="D643" s="109" t="s">
        <v>624</v>
      </c>
      <c r="E643" s="109" t="s">
        <v>274</v>
      </c>
      <c r="F643" s="109"/>
      <c r="G643" s="109" t="s">
        <v>813</v>
      </c>
      <c r="H643" s="140">
        <v>1269498</v>
      </c>
      <c r="I643" s="140">
        <v>1276939</v>
      </c>
      <c r="J643" s="26">
        <f>IF(H643&lt;&gt;"",IF(AND(C643&lt;&gt;"",IFERROR(MATCH(C643,Table10[Serial No.],0),0)),0,1),0)</f>
        <v>0</v>
      </c>
      <c r="K643" s="21"/>
      <c r="L643" s="539" t="str">
        <f t="shared" ref="L643:L706" ca="1" si="110">IFERROR(INDEX($O$2:$Q$57,MATCH($I643,$O$2:$O$93,0),3),"")</f>
        <v/>
      </c>
    </row>
    <row r="644" spans="1:12" ht="24.75" customHeight="1" x14ac:dyDescent="0.35">
      <c r="A644" s="109">
        <v>20250043</v>
      </c>
      <c r="B644" s="709"/>
      <c r="C644" s="109">
        <v>14336286</v>
      </c>
      <c r="D644" s="109" t="s">
        <v>624</v>
      </c>
      <c r="E644" s="109" t="s">
        <v>274</v>
      </c>
      <c r="F644" s="109"/>
      <c r="G644" s="109" t="s">
        <v>813</v>
      </c>
      <c r="H644" s="140">
        <v>1269498</v>
      </c>
      <c r="I644" s="140">
        <v>1276939</v>
      </c>
      <c r="J644" s="26">
        <f>IF(H644&lt;&gt;"",IF(AND(C644&lt;&gt;"",IFERROR(MATCH(C644,Table10[Serial No.],0),0)),0,1),0)</f>
        <v>0</v>
      </c>
      <c r="K644" s="21"/>
      <c r="L644" s="539" t="str">
        <f t="shared" ca="1" si="110"/>
        <v/>
      </c>
    </row>
    <row r="645" spans="1:12" ht="24.75" customHeight="1" x14ac:dyDescent="0.35">
      <c r="A645" s="109">
        <v>20250043</v>
      </c>
      <c r="B645" s="608"/>
      <c r="C645" s="109">
        <v>14340871</v>
      </c>
      <c r="D645" s="109" t="s">
        <v>624</v>
      </c>
      <c r="E645" s="109" t="s">
        <v>274</v>
      </c>
      <c r="F645" s="109"/>
      <c r="G645" s="109" t="s">
        <v>813</v>
      </c>
      <c r="H645" s="140">
        <v>1269498</v>
      </c>
      <c r="I645" s="140">
        <v>1276939</v>
      </c>
      <c r="J645" s="26">
        <f>IF(H645&lt;&gt;"",IF(AND(C645&lt;&gt;"",IFERROR(MATCH(C645,Table10[Serial No.],0),0)),0,1),0)</f>
        <v>0</v>
      </c>
      <c r="K645" s="21"/>
      <c r="L645" s="539" t="str">
        <f t="shared" ca="1" si="110"/>
        <v/>
      </c>
    </row>
    <row r="646" spans="1:12" ht="24.75" customHeight="1" x14ac:dyDescent="0.35">
      <c r="A646" s="132">
        <v>20250043</v>
      </c>
      <c r="B646" s="609"/>
      <c r="C646" s="132">
        <v>14336288</v>
      </c>
      <c r="D646" s="132" t="s">
        <v>624</v>
      </c>
      <c r="E646" s="132" t="s">
        <v>274</v>
      </c>
      <c r="F646" s="132"/>
      <c r="G646" s="132" t="s">
        <v>813</v>
      </c>
      <c r="H646" s="141">
        <v>1269498</v>
      </c>
      <c r="I646" s="141">
        <v>1276939</v>
      </c>
      <c r="J646" s="26">
        <f>IF(H646&lt;&gt;"",IF(AND(C646&lt;&gt;"",IFERROR(MATCH(C646,Table10[Serial No.],0),0)),0,1),0)</f>
        <v>0</v>
      </c>
      <c r="K646" s="21"/>
      <c r="L646" s="539" t="str">
        <f t="shared" ca="1" si="110"/>
        <v/>
      </c>
    </row>
    <row r="647" spans="1:12" ht="24.75" customHeight="1" x14ac:dyDescent="0.35">
      <c r="A647" s="109">
        <v>20250043</v>
      </c>
      <c r="B647" s="709"/>
      <c r="C647" s="109">
        <v>14337192</v>
      </c>
      <c r="D647" s="109" t="s">
        <v>624</v>
      </c>
      <c r="E647" s="109" t="s">
        <v>274</v>
      </c>
      <c r="F647" s="109"/>
      <c r="G647" s="109" t="s">
        <v>813</v>
      </c>
      <c r="H647" s="140">
        <v>1158011</v>
      </c>
      <c r="I647" s="140">
        <v>1267829</v>
      </c>
      <c r="J647" s="26">
        <f>IF(H647&lt;&gt;"",IF(AND(C647&lt;&gt;"",IFERROR(MATCH(C647,Table10[Serial No.],0),0)),0,1),0)</f>
        <v>0</v>
      </c>
      <c r="K647" s="21"/>
      <c r="L647" s="539" t="str">
        <f t="shared" ca="1" si="110"/>
        <v/>
      </c>
    </row>
    <row r="648" spans="1:12" ht="24.75" customHeight="1" x14ac:dyDescent="0.35">
      <c r="A648" s="109">
        <v>20250043</v>
      </c>
      <c r="B648" s="608"/>
      <c r="C648" s="109">
        <v>14337191</v>
      </c>
      <c r="D648" s="109" t="s">
        <v>624</v>
      </c>
      <c r="E648" s="109" t="s">
        <v>274</v>
      </c>
      <c r="F648" s="109"/>
      <c r="G648" s="109" t="s">
        <v>813</v>
      </c>
      <c r="H648" s="140">
        <v>1158011</v>
      </c>
      <c r="I648" s="140">
        <v>1267829</v>
      </c>
      <c r="J648" s="26">
        <f>IF(H648&lt;&gt;"",IF(AND(C648&lt;&gt;"",IFERROR(MATCH(C648,Table10[Serial No.],0),0)),0,1),0)</f>
        <v>0</v>
      </c>
      <c r="K648" s="21"/>
      <c r="L648" s="539" t="str">
        <f t="shared" ca="1" si="110"/>
        <v/>
      </c>
    </row>
    <row r="649" spans="1:12" ht="24.75" customHeight="1" x14ac:dyDescent="0.35">
      <c r="A649" s="132">
        <v>20250043</v>
      </c>
      <c r="B649" s="609"/>
      <c r="C649" s="109">
        <v>14337190</v>
      </c>
      <c r="D649" s="132" t="s">
        <v>624</v>
      </c>
      <c r="E649" s="132" t="s">
        <v>274</v>
      </c>
      <c r="F649" s="132"/>
      <c r="G649" s="132" t="s">
        <v>813</v>
      </c>
      <c r="H649" s="141">
        <v>1158011</v>
      </c>
      <c r="I649" s="141">
        <v>1267829</v>
      </c>
      <c r="J649" s="26">
        <f>IF(H649&lt;&gt;"",IF(AND(C649&lt;&gt;"",IFERROR(MATCH(C649,Table10[Serial No.],0),0)),0,1),0)</f>
        <v>0</v>
      </c>
      <c r="K649" s="21"/>
      <c r="L649" s="539" t="str">
        <f t="shared" ca="1" si="110"/>
        <v/>
      </c>
    </row>
    <row r="650" spans="1:12" ht="24.75" customHeight="1" x14ac:dyDescent="0.35">
      <c r="A650" s="109">
        <v>20250049</v>
      </c>
      <c r="B650" s="608"/>
      <c r="C650" s="109">
        <v>14345123</v>
      </c>
      <c r="D650" s="109" t="s">
        <v>315</v>
      </c>
      <c r="E650" s="109" t="s">
        <v>687</v>
      </c>
      <c r="F650" s="109"/>
      <c r="G650" s="109" t="s">
        <v>814</v>
      </c>
      <c r="H650" s="140">
        <v>2013684</v>
      </c>
      <c r="I650" s="140">
        <v>2015327</v>
      </c>
      <c r="J650" s="26">
        <f>IF(H650&lt;&gt;"",IF(AND(C650&lt;&gt;"",IFERROR(MATCH(C650,Table10[Serial No.],0),0)),0,1),0)</f>
        <v>0</v>
      </c>
      <c r="K650" s="21"/>
      <c r="L650" s="539" t="str">
        <f t="shared" ca="1" si="110"/>
        <v/>
      </c>
    </row>
    <row r="651" spans="1:12" ht="24.75" customHeight="1" x14ac:dyDescent="0.35">
      <c r="A651" s="132">
        <v>20250052</v>
      </c>
      <c r="B651" s="609"/>
      <c r="C651" s="132">
        <v>14346619</v>
      </c>
      <c r="D651" s="132" t="s">
        <v>624</v>
      </c>
      <c r="E651" s="132" t="s">
        <v>719</v>
      </c>
      <c r="F651" s="132"/>
      <c r="G651" s="132" t="s">
        <v>813</v>
      </c>
      <c r="H651" s="141">
        <v>2013542</v>
      </c>
      <c r="I651" s="141" t="s">
        <v>815</v>
      </c>
      <c r="J651" s="26">
        <f>IF(H651&lt;&gt;"",IF(AND(C651&lt;&gt;"",IFERROR(MATCH(C651,Table10[Serial No.],0),0)),0,1),0)</f>
        <v>0</v>
      </c>
      <c r="K651" s="21"/>
      <c r="L651" s="539" t="str">
        <f t="shared" si="110"/>
        <v/>
      </c>
    </row>
    <row r="652" spans="1:12" ht="24.75" customHeight="1" x14ac:dyDescent="0.35">
      <c r="A652" s="109">
        <v>20250058</v>
      </c>
      <c r="B652" s="608">
        <v>45715</v>
      </c>
      <c r="C652" s="109">
        <v>14353129</v>
      </c>
      <c r="D652" s="109" t="s">
        <v>304</v>
      </c>
      <c r="E652" s="109" t="s">
        <v>636</v>
      </c>
      <c r="F652" s="109" t="s">
        <v>804</v>
      </c>
      <c r="G652" s="109" t="s">
        <v>676</v>
      </c>
      <c r="H652" s="140">
        <v>2013733</v>
      </c>
      <c r="I652" s="140">
        <v>1016454</v>
      </c>
      <c r="J652" s="26">
        <f>IF(H652&lt;&gt;"",IF(AND(C652&lt;&gt;"",IFERROR(MATCH(C652,Table10[Serial No.],0),0)),0,1),0)</f>
        <v>1</v>
      </c>
      <c r="K652" s="21"/>
      <c r="L652" s="539" t="str">
        <f t="shared" ca="1" si="110"/>
        <v/>
      </c>
    </row>
    <row r="653" spans="1:12" ht="24.75" customHeight="1" x14ac:dyDescent="0.35">
      <c r="A653" s="109">
        <v>20250058</v>
      </c>
      <c r="B653" s="608">
        <v>45715</v>
      </c>
      <c r="C653" s="109">
        <v>14353128</v>
      </c>
      <c r="D653" s="109" t="s">
        <v>304</v>
      </c>
      <c r="E653" s="109" t="s">
        <v>636</v>
      </c>
      <c r="F653" s="109" t="s">
        <v>804</v>
      </c>
      <c r="G653" s="109" t="s">
        <v>676</v>
      </c>
      <c r="H653" s="140">
        <v>2013733</v>
      </c>
      <c r="I653" s="140">
        <v>1016454</v>
      </c>
      <c r="J653" s="26">
        <f>IF(H653&lt;&gt;"",IF(AND(C653&lt;&gt;"",IFERROR(MATCH(C653,Table10[Serial No.],0),0)),0,1),0)</f>
        <v>1</v>
      </c>
      <c r="K653" s="21"/>
      <c r="L653" s="539" t="str">
        <f t="shared" ca="1" si="110"/>
        <v/>
      </c>
    </row>
    <row r="654" spans="1:12" ht="24.75" customHeight="1" x14ac:dyDescent="0.35">
      <c r="A654" s="109">
        <v>20250058</v>
      </c>
      <c r="B654" s="608">
        <v>45715</v>
      </c>
      <c r="C654" s="109">
        <v>14353130</v>
      </c>
      <c r="D654" s="109" t="s">
        <v>304</v>
      </c>
      <c r="E654" s="109" t="s">
        <v>636</v>
      </c>
      <c r="F654" s="109" t="s">
        <v>804</v>
      </c>
      <c r="G654" s="109" t="s">
        <v>676</v>
      </c>
      <c r="H654" s="140">
        <v>2013733</v>
      </c>
      <c r="I654" s="140">
        <v>1016454</v>
      </c>
      <c r="J654" s="26">
        <f>IF(H654&lt;&gt;"",IF(AND(C654&lt;&gt;"",IFERROR(MATCH(C654,Table10[Serial No.],0),0)),0,1),0)</f>
        <v>1</v>
      </c>
      <c r="K654" s="21"/>
      <c r="L654" s="539" t="str">
        <f t="shared" ca="1" si="110"/>
        <v/>
      </c>
    </row>
    <row r="655" spans="1:12" ht="24.75" customHeight="1" x14ac:dyDescent="0.35">
      <c r="A655" s="109">
        <v>20250058</v>
      </c>
      <c r="B655" s="608">
        <v>45715</v>
      </c>
      <c r="C655" s="109">
        <v>14353131</v>
      </c>
      <c r="D655" s="109" t="s">
        <v>304</v>
      </c>
      <c r="E655" s="109" t="s">
        <v>636</v>
      </c>
      <c r="F655" s="109" t="s">
        <v>804</v>
      </c>
      <c r="G655" s="109" t="s">
        <v>676</v>
      </c>
      <c r="H655" s="140">
        <v>2013733</v>
      </c>
      <c r="I655" s="140">
        <v>1016454</v>
      </c>
      <c r="J655" s="26">
        <f>IF(H655&lt;&gt;"",IF(AND(C655&lt;&gt;"",IFERROR(MATCH(C655,Table10[Serial No.],0),0)),0,1),0)</f>
        <v>1</v>
      </c>
      <c r="K655" s="21"/>
      <c r="L655" s="539" t="str">
        <f t="shared" ca="1" si="110"/>
        <v/>
      </c>
    </row>
    <row r="656" spans="1:12" ht="24.75" customHeight="1" x14ac:dyDescent="0.35">
      <c r="A656" s="109">
        <v>20250058</v>
      </c>
      <c r="B656" s="608">
        <v>45715</v>
      </c>
      <c r="C656" s="109">
        <v>14353132</v>
      </c>
      <c r="D656" s="109" t="s">
        <v>304</v>
      </c>
      <c r="E656" s="109" t="s">
        <v>636</v>
      </c>
      <c r="F656" s="109" t="s">
        <v>804</v>
      </c>
      <c r="G656" s="109" t="s">
        <v>676</v>
      </c>
      <c r="H656" s="140">
        <v>2013733</v>
      </c>
      <c r="I656" s="140">
        <v>1016454</v>
      </c>
      <c r="J656" s="26">
        <f>IF(H656&lt;&gt;"",IF(AND(C656&lt;&gt;"",IFERROR(MATCH(C656,Table10[Serial No.],0),0)),0,1),0)</f>
        <v>1</v>
      </c>
      <c r="K656" s="21"/>
      <c r="L656" s="539" t="str">
        <f t="shared" ca="1" si="110"/>
        <v/>
      </c>
    </row>
    <row r="657" spans="1:12" ht="24.75" customHeight="1" x14ac:dyDescent="0.35">
      <c r="A657" s="109">
        <v>20250058</v>
      </c>
      <c r="B657" s="608">
        <v>45715</v>
      </c>
      <c r="C657" s="109">
        <v>14353133</v>
      </c>
      <c r="D657" s="109" t="s">
        <v>304</v>
      </c>
      <c r="E657" s="109" t="s">
        <v>630</v>
      </c>
      <c r="F657" s="109" t="s">
        <v>816</v>
      </c>
      <c r="G657" s="109" t="s">
        <v>725</v>
      </c>
      <c r="H657" s="140">
        <v>1228690</v>
      </c>
      <c r="I657" s="140">
        <v>960723</v>
      </c>
      <c r="J657" s="26">
        <f>IF(H657&lt;&gt;"",IF(AND(C657&lt;&gt;"",IFERROR(MATCH(C657,Table10[Serial No.],0),0)),0,1),0)</f>
        <v>0</v>
      </c>
      <c r="K657" s="21"/>
      <c r="L657" s="539" t="str">
        <f t="shared" ca="1" si="110"/>
        <v/>
      </c>
    </row>
    <row r="658" spans="1:12" ht="24.75" customHeight="1" x14ac:dyDescent="0.35">
      <c r="A658" s="132">
        <v>20250058</v>
      </c>
      <c r="B658" s="609">
        <v>45715</v>
      </c>
      <c r="C658" s="132">
        <v>14353135</v>
      </c>
      <c r="D658" s="132" t="s">
        <v>624</v>
      </c>
      <c r="E658" s="132" t="s">
        <v>687</v>
      </c>
      <c r="F658" s="132" t="s">
        <v>808</v>
      </c>
      <c r="G658" s="132" t="s">
        <v>681</v>
      </c>
      <c r="H658" s="141">
        <v>2001502</v>
      </c>
      <c r="I658" s="141">
        <v>1254762</v>
      </c>
      <c r="J658" s="26">
        <f>IF(H658&lt;&gt;"",IF(AND(C658&lt;&gt;"",IFERROR(MATCH(C658,Table10[Serial No.],0),0)),0,1),0)</f>
        <v>1</v>
      </c>
      <c r="K658" s="21"/>
      <c r="L658" s="539" t="str">
        <f t="shared" ca="1" si="110"/>
        <v/>
      </c>
    </row>
    <row r="659" spans="1:12" ht="24.75" customHeight="1" x14ac:dyDescent="0.35">
      <c r="A659" s="109">
        <v>20250058</v>
      </c>
      <c r="B659" s="608">
        <v>45715</v>
      </c>
      <c r="C659" s="109">
        <v>14353134</v>
      </c>
      <c r="D659" s="109" t="s">
        <v>624</v>
      </c>
      <c r="E659" s="109" t="s">
        <v>687</v>
      </c>
      <c r="F659" s="109" t="s">
        <v>808</v>
      </c>
      <c r="G659" s="109" t="s">
        <v>681</v>
      </c>
      <c r="H659" s="140">
        <v>2001502</v>
      </c>
      <c r="I659" s="140">
        <v>1254762</v>
      </c>
      <c r="J659" s="26">
        <f>IF(H659&lt;&gt;"",IF(AND(C659&lt;&gt;"",IFERROR(MATCH(C659,Table10[Serial No.],0),0)),0,1),0)</f>
        <v>1</v>
      </c>
      <c r="K659" s="21"/>
      <c r="L659" s="539" t="str">
        <f t="shared" ca="1" si="110"/>
        <v/>
      </c>
    </row>
    <row r="660" spans="1:12" ht="24.75" customHeight="1" x14ac:dyDescent="0.35">
      <c r="A660" s="109">
        <v>20250058</v>
      </c>
      <c r="B660" s="608">
        <v>45715</v>
      </c>
      <c r="C660" s="109">
        <v>14353143</v>
      </c>
      <c r="D660" s="109" t="s">
        <v>624</v>
      </c>
      <c r="E660" s="109" t="s">
        <v>275</v>
      </c>
      <c r="F660" s="109" t="s">
        <v>809</v>
      </c>
      <c r="G660" s="109" t="s">
        <v>681</v>
      </c>
      <c r="H660" s="140">
        <v>1158011</v>
      </c>
      <c r="I660" s="140">
        <v>1267829</v>
      </c>
      <c r="J660" s="26">
        <f>IF(H660&lt;&gt;"",IF(AND(C660&lt;&gt;"",IFERROR(MATCH(C660,Table10[Serial No.],0),0)),0,1),0)</f>
        <v>0</v>
      </c>
      <c r="K660" s="21"/>
      <c r="L660" s="539" t="str">
        <f t="shared" ca="1" si="110"/>
        <v/>
      </c>
    </row>
    <row r="661" spans="1:12" ht="24.75" customHeight="1" x14ac:dyDescent="0.35">
      <c r="A661" s="109">
        <v>20250058</v>
      </c>
      <c r="B661" s="608">
        <v>45715</v>
      </c>
      <c r="C661" s="109">
        <v>14353145</v>
      </c>
      <c r="D661" s="109" t="s">
        <v>624</v>
      </c>
      <c r="E661" s="109" t="s">
        <v>275</v>
      </c>
      <c r="F661" s="109" t="s">
        <v>809</v>
      </c>
      <c r="G661" s="109" t="s">
        <v>681</v>
      </c>
      <c r="H661" s="140">
        <v>1158011</v>
      </c>
      <c r="I661" s="140">
        <v>1267829</v>
      </c>
      <c r="J661" s="26">
        <f>IF(H661&lt;&gt;"",IF(AND(C661&lt;&gt;"",IFERROR(MATCH(C661,Table10[Serial No.],0),0)),0,1),0)</f>
        <v>0</v>
      </c>
      <c r="K661" s="21"/>
      <c r="L661" s="539" t="str">
        <f t="shared" ca="1" si="110"/>
        <v/>
      </c>
    </row>
    <row r="662" spans="1:12" ht="24.75" customHeight="1" x14ac:dyDescent="0.35">
      <c r="A662" s="109">
        <v>20250058</v>
      </c>
      <c r="B662" s="608">
        <v>45715</v>
      </c>
      <c r="C662" s="109">
        <v>14353144</v>
      </c>
      <c r="D662" s="109" t="s">
        <v>624</v>
      </c>
      <c r="E662" s="109" t="s">
        <v>275</v>
      </c>
      <c r="F662" s="109" t="s">
        <v>809</v>
      </c>
      <c r="G662" s="109" t="s">
        <v>681</v>
      </c>
      <c r="H662" s="140">
        <v>1158011</v>
      </c>
      <c r="I662" s="140">
        <v>1267829</v>
      </c>
      <c r="J662" s="26">
        <f>IF(H662&lt;&gt;"",IF(AND(C662&lt;&gt;"",IFERROR(MATCH(C662,Table10[Serial No.],0),0)),0,1),0)</f>
        <v>1</v>
      </c>
      <c r="K662" s="21"/>
      <c r="L662" s="539" t="str">
        <f t="shared" ca="1" si="110"/>
        <v/>
      </c>
    </row>
    <row r="663" spans="1:12" ht="24.75" customHeight="1" x14ac:dyDescent="0.35">
      <c r="A663" s="109">
        <v>20250058</v>
      </c>
      <c r="B663" s="608">
        <v>45715</v>
      </c>
      <c r="C663" s="109">
        <v>14353146</v>
      </c>
      <c r="D663" s="109" t="s">
        <v>624</v>
      </c>
      <c r="E663" s="109" t="s">
        <v>275</v>
      </c>
      <c r="F663" s="109" t="s">
        <v>809</v>
      </c>
      <c r="G663" s="109" t="s">
        <v>681</v>
      </c>
      <c r="H663" s="140">
        <v>1158011</v>
      </c>
      <c r="I663" s="140">
        <v>1267829</v>
      </c>
      <c r="J663" s="26">
        <f>IF(H663&lt;&gt;"",IF(AND(C663&lt;&gt;"",IFERROR(MATCH(C663,Table10[Serial No.],0),0)),0,1),0)</f>
        <v>1</v>
      </c>
      <c r="K663" s="21"/>
      <c r="L663" s="539" t="str">
        <f t="shared" ca="1" si="110"/>
        <v/>
      </c>
    </row>
    <row r="664" spans="1:12" ht="24.75" customHeight="1" x14ac:dyDescent="0.35">
      <c r="A664" s="109">
        <v>20250058</v>
      </c>
      <c r="B664" s="608">
        <v>45715</v>
      </c>
      <c r="C664" s="109">
        <v>14353148</v>
      </c>
      <c r="D664" s="109" t="s">
        <v>624</v>
      </c>
      <c r="E664" s="109" t="s">
        <v>663</v>
      </c>
      <c r="F664" s="109" t="s">
        <v>810</v>
      </c>
      <c r="G664" s="109" t="s">
        <v>681</v>
      </c>
      <c r="H664" s="140">
        <v>1269498</v>
      </c>
      <c r="I664" s="140">
        <v>1276939</v>
      </c>
      <c r="J664" s="26">
        <f>IF(H664&lt;&gt;"",IF(AND(C664&lt;&gt;"",IFERROR(MATCH(C664,Table10[Serial No.],0),0)),0,1),0)</f>
        <v>0</v>
      </c>
      <c r="K664" s="21"/>
      <c r="L664" s="539" t="str">
        <f t="shared" ca="1" si="110"/>
        <v/>
      </c>
    </row>
    <row r="665" spans="1:12" ht="24.75" customHeight="1" x14ac:dyDescent="0.35">
      <c r="A665" s="109">
        <v>20250058</v>
      </c>
      <c r="B665" s="608">
        <v>45715</v>
      </c>
      <c r="C665" s="109">
        <v>14353147</v>
      </c>
      <c r="D665" s="109" t="s">
        <v>624</v>
      </c>
      <c r="E665" s="109" t="s">
        <v>663</v>
      </c>
      <c r="F665" s="109" t="s">
        <v>810</v>
      </c>
      <c r="G665" s="109" t="s">
        <v>681</v>
      </c>
      <c r="H665" s="140">
        <v>1269498</v>
      </c>
      <c r="I665" s="140">
        <v>1276939</v>
      </c>
      <c r="J665" s="26">
        <f>IF(H665&lt;&gt;"",IF(AND(C665&lt;&gt;"",IFERROR(MATCH(C665,Table10[Serial No.],0),0)),0,1),0)</f>
        <v>0</v>
      </c>
      <c r="K665" s="21"/>
      <c r="L665" s="539" t="str">
        <f t="shared" ca="1" si="110"/>
        <v/>
      </c>
    </row>
    <row r="666" spans="1:12" ht="24.75" customHeight="1" x14ac:dyDescent="0.35">
      <c r="A666" s="109">
        <v>20250058</v>
      </c>
      <c r="B666" s="608">
        <v>45715</v>
      </c>
      <c r="C666" s="109">
        <v>14353149</v>
      </c>
      <c r="D666" s="109" t="s">
        <v>624</v>
      </c>
      <c r="E666" s="109" t="s">
        <v>663</v>
      </c>
      <c r="F666" s="109" t="s">
        <v>810</v>
      </c>
      <c r="G666" s="109" t="s">
        <v>681</v>
      </c>
      <c r="H666" s="140">
        <v>1269498</v>
      </c>
      <c r="I666" s="140">
        <v>1276939</v>
      </c>
      <c r="J666" s="26">
        <f>IF(H666&lt;&gt;"",IF(AND(C666&lt;&gt;"",IFERROR(MATCH(C666,Table10[Serial No.],0),0)),0,1),0)</f>
        <v>0</v>
      </c>
      <c r="K666" s="21"/>
      <c r="L666" s="539" t="str">
        <f t="shared" ca="1" si="110"/>
        <v/>
      </c>
    </row>
    <row r="667" spans="1:12" ht="24.75" customHeight="1" x14ac:dyDescent="0.35">
      <c r="A667" s="109">
        <v>20250058</v>
      </c>
      <c r="B667" s="608">
        <v>45715</v>
      </c>
      <c r="C667" s="109">
        <v>14353136</v>
      </c>
      <c r="D667" s="109" t="s">
        <v>315</v>
      </c>
      <c r="E667" s="109" t="s">
        <v>684</v>
      </c>
      <c r="F667" s="109" t="s">
        <v>811</v>
      </c>
      <c r="G667" s="109" t="s">
        <v>676</v>
      </c>
      <c r="H667" s="140">
        <v>1245431</v>
      </c>
      <c r="I667" s="140">
        <v>1251098</v>
      </c>
      <c r="J667" s="26">
        <f>IF(H667&lt;&gt;"",IF(AND(C667&lt;&gt;"",IFERROR(MATCH(C667,Table10[Serial No.],0),0)),0,1),0)</f>
        <v>0</v>
      </c>
      <c r="K667" s="21"/>
      <c r="L667" s="539" t="str">
        <f t="shared" ca="1" si="110"/>
        <v/>
      </c>
    </row>
    <row r="668" spans="1:12" ht="24.75" customHeight="1" x14ac:dyDescent="0.35">
      <c r="A668" s="109">
        <v>20250058</v>
      </c>
      <c r="B668" s="608">
        <v>45715</v>
      </c>
      <c r="C668" s="109">
        <v>14353137</v>
      </c>
      <c r="D668" s="109" t="s">
        <v>315</v>
      </c>
      <c r="E668" s="109" t="s">
        <v>684</v>
      </c>
      <c r="F668" s="109" t="s">
        <v>811</v>
      </c>
      <c r="G668" s="109" t="s">
        <v>676</v>
      </c>
      <c r="H668" s="140">
        <v>1245431</v>
      </c>
      <c r="I668" s="140">
        <v>1251098</v>
      </c>
      <c r="J668" s="26">
        <f>IF(H668&lt;&gt;"",IF(AND(C668&lt;&gt;"",IFERROR(MATCH(C668,Table10[Serial No.],0),0)),0,1),0)</f>
        <v>0</v>
      </c>
      <c r="K668" s="21"/>
      <c r="L668" s="539" t="str">
        <f t="shared" ca="1" si="110"/>
        <v/>
      </c>
    </row>
    <row r="669" spans="1:12" ht="24.75" customHeight="1" x14ac:dyDescent="0.35">
      <c r="A669" s="109">
        <v>20250058</v>
      </c>
      <c r="B669" s="608">
        <v>45715</v>
      </c>
      <c r="C669" s="109">
        <v>14353138</v>
      </c>
      <c r="D669" s="109" t="s">
        <v>316</v>
      </c>
      <c r="E669" s="109" t="s">
        <v>291</v>
      </c>
      <c r="F669" s="109" t="s">
        <v>817</v>
      </c>
      <c r="G669" s="109" t="s">
        <v>676</v>
      </c>
      <c r="H669" s="140">
        <v>1228782</v>
      </c>
      <c r="I669" s="140">
        <v>1058252</v>
      </c>
      <c r="J669" s="26">
        <f>IF(H669&lt;&gt;"",IF(AND(C669&lt;&gt;"",IFERROR(MATCH(C669,Table10[Serial No.],0),0)),0,1),0)</f>
        <v>0</v>
      </c>
      <c r="K669" s="21"/>
      <c r="L669" s="539" t="str">
        <f t="shared" ca="1" si="110"/>
        <v/>
      </c>
    </row>
    <row r="670" spans="1:12" ht="24.75" customHeight="1" x14ac:dyDescent="0.35">
      <c r="A670" s="109">
        <v>20250058</v>
      </c>
      <c r="B670" s="608">
        <v>45715</v>
      </c>
      <c r="C670" s="109">
        <v>14353139</v>
      </c>
      <c r="D670" s="109" t="s">
        <v>316</v>
      </c>
      <c r="E670" s="109" t="s">
        <v>291</v>
      </c>
      <c r="F670" s="109" t="s">
        <v>817</v>
      </c>
      <c r="G670" s="109" t="s">
        <v>676</v>
      </c>
      <c r="H670" s="140">
        <v>1228782</v>
      </c>
      <c r="I670" s="140">
        <v>1058252</v>
      </c>
      <c r="J670" s="26">
        <f>IF(H670&lt;&gt;"",IF(AND(C670&lt;&gt;"",IFERROR(MATCH(C670,Table10[Serial No.],0),0)),0,1),0)</f>
        <v>0</v>
      </c>
      <c r="K670" s="21"/>
      <c r="L670" s="539" t="str">
        <f t="shared" ca="1" si="110"/>
        <v/>
      </c>
    </row>
    <row r="671" spans="1:12" ht="24.75" customHeight="1" x14ac:dyDescent="0.35">
      <c r="A671" s="109">
        <v>20250086</v>
      </c>
      <c r="B671" s="608">
        <v>45744</v>
      </c>
      <c r="C671" s="109">
        <v>14369041</v>
      </c>
      <c r="D671" s="109" t="s">
        <v>631</v>
      </c>
      <c r="E671" s="109" t="s">
        <v>645</v>
      </c>
      <c r="F671" s="109"/>
      <c r="G671" s="109" t="s">
        <v>813</v>
      </c>
      <c r="H671" s="140">
        <v>1262047</v>
      </c>
      <c r="I671" s="140">
        <v>1235768</v>
      </c>
      <c r="J671" s="26">
        <f>IF(H671&lt;&gt;"",IF(AND(C671&lt;&gt;"",IFERROR(MATCH(C671,Table10[Serial No.],0),0)),0,1),0)</f>
        <v>0</v>
      </c>
      <c r="K671" s="21"/>
      <c r="L671" s="539" t="str">
        <f t="shared" ca="1" si="110"/>
        <v/>
      </c>
    </row>
    <row r="672" spans="1:12" ht="24.75" customHeight="1" x14ac:dyDescent="0.35">
      <c r="A672" s="109">
        <v>20250086</v>
      </c>
      <c r="B672" s="608">
        <v>45744</v>
      </c>
      <c r="C672" s="109">
        <v>14369042</v>
      </c>
      <c r="D672" s="109" t="s">
        <v>631</v>
      </c>
      <c r="E672" s="109" t="s">
        <v>645</v>
      </c>
      <c r="F672" s="109"/>
      <c r="G672" s="109" t="s">
        <v>813</v>
      </c>
      <c r="H672" s="140">
        <v>1262047</v>
      </c>
      <c r="I672" s="140">
        <v>1235768</v>
      </c>
      <c r="J672" s="26">
        <f>IF(H672&lt;&gt;"",IF(AND(C672&lt;&gt;"",IFERROR(MATCH(C672,Table10[Serial No.],0),0)),0,1),0)</f>
        <v>0</v>
      </c>
      <c r="K672" s="21"/>
      <c r="L672" s="539" t="str">
        <f t="shared" ca="1" si="110"/>
        <v/>
      </c>
    </row>
    <row r="673" spans="1:12" ht="24.75" customHeight="1" x14ac:dyDescent="0.35">
      <c r="A673" s="109">
        <v>20250086</v>
      </c>
      <c r="B673" s="608">
        <v>45744</v>
      </c>
      <c r="C673" s="109">
        <v>14369044</v>
      </c>
      <c r="D673" s="109" t="s">
        <v>624</v>
      </c>
      <c r="E673" s="109" t="s">
        <v>274</v>
      </c>
      <c r="F673" s="109"/>
      <c r="G673" s="109" t="s">
        <v>813</v>
      </c>
      <c r="H673" s="140">
        <v>1158011</v>
      </c>
      <c r="I673" s="140">
        <v>1267829</v>
      </c>
      <c r="J673" s="26">
        <f>IF(H673&lt;&gt;"",IF(AND(C673&lt;&gt;"",IFERROR(MATCH(C673,Table10[Serial No.],0),0)),0,1),0)</f>
        <v>1</v>
      </c>
      <c r="K673" s="21"/>
      <c r="L673" s="539" t="str">
        <f t="shared" ca="1" si="110"/>
        <v/>
      </c>
    </row>
    <row r="674" spans="1:12" ht="24.75" customHeight="1" x14ac:dyDescent="0.35">
      <c r="A674" s="109">
        <v>20250086</v>
      </c>
      <c r="B674" s="608">
        <v>45744</v>
      </c>
      <c r="C674" s="109">
        <v>14369043</v>
      </c>
      <c r="D674" s="109" t="s">
        <v>624</v>
      </c>
      <c r="E674" s="109" t="s">
        <v>274</v>
      </c>
      <c r="F674" s="109"/>
      <c r="G674" s="109" t="s">
        <v>813</v>
      </c>
      <c r="H674" s="140">
        <v>1158011</v>
      </c>
      <c r="I674" s="140">
        <v>1267829</v>
      </c>
      <c r="J674" s="26">
        <f>IF(H674&lt;&gt;"",IF(AND(C674&lt;&gt;"",IFERROR(MATCH(C674,Table10[Serial No.],0),0)),0,1),0)</f>
        <v>1</v>
      </c>
      <c r="K674" s="21"/>
      <c r="L674" s="539" t="str">
        <f t="shared" ca="1" si="110"/>
        <v/>
      </c>
    </row>
    <row r="675" spans="1:12" ht="24.75" customHeight="1" x14ac:dyDescent="0.35">
      <c r="A675" s="109">
        <v>20250086</v>
      </c>
      <c r="B675" s="608">
        <v>45744</v>
      </c>
      <c r="C675" s="109">
        <v>14369045</v>
      </c>
      <c r="D675" s="109" t="s">
        <v>624</v>
      </c>
      <c r="E675" s="109" t="s">
        <v>274</v>
      </c>
      <c r="F675" s="109"/>
      <c r="G675" s="109" t="s">
        <v>813</v>
      </c>
      <c r="H675" s="140">
        <v>1158011</v>
      </c>
      <c r="I675" s="140">
        <v>1267829</v>
      </c>
      <c r="J675" s="26">
        <f>IF(H675&lt;&gt;"",IF(AND(C675&lt;&gt;"",IFERROR(MATCH(C675,Table10[Serial No.],0),0)),0,1),0)</f>
        <v>1</v>
      </c>
      <c r="K675" s="21"/>
      <c r="L675" s="539" t="str">
        <f t="shared" ca="1" si="110"/>
        <v/>
      </c>
    </row>
    <row r="676" spans="1:12" ht="24.75" customHeight="1" x14ac:dyDescent="0.35">
      <c r="A676" s="109">
        <v>20250086</v>
      </c>
      <c r="B676" s="608">
        <v>45744</v>
      </c>
      <c r="C676" s="109">
        <v>14369047</v>
      </c>
      <c r="D676" s="109" t="s">
        <v>624</v>
      </c>
      <c r="E676" s="109" t="s">
        <v>275</v>
      </c>
      <c r="F676" s="109"/>
      <c r="G676" s="109" t="s">
        <v>813</v>
      </c>
      <c r="H676" s="140">
        <v>1269498</v>
      </c>
      <c r="I676" s="140">
        <v>1276939</v>
      </c>
      <c r="J676" s="26">
        <f>IF(H676&lt;&gt;"",IF(AND(C676&lt;&gt;"",IFERROR(MATCH(C676,Table10[Serial No.],0),0)),0,1),0)</f>
        <v>0</v>
      </c>
      <c r="K676" s="21"/>
      <c r="L676" s="539" t="str">
        <f t="shared" ca="1" si="110"/>
        <v/>
      </c>
    </row>
    <row r="677" spans="1:12" ht="24.75" customHeight="1" x14ac:dyDescent="0.35">
      <c r="A677" s="109">
        <v>20250086</v>
      </c>
      <c r="B677" s="608">
        <v>45744</v>
      </c>
      <c r="C677" s="109">
        <v>14369053</v>
      </c>
      <c r="D677" s="109" t="s">
        <v>624</v>
      </c>
      <c r="E677" s="109" t="s">
        <v>275</v>
      </c>
      <c r="F677" s="109"/>
      <c r="G677" s="109" t="s">
        <v>813</v>
      </c>
      <c r="H677" s="140">
        <v>1269498</v>
      </c>
      <c r="I677" s="140">
        <v>1276939</v>
      </c>
      <c r="J677" s="26">
        <f>IF(H677&lt;&gt;"",IF(AND(C677&lt;&gt;"",IFERROR(MATCH(C677,Table10[Serial No.],0),0)),0,1),0)</f>
        <v>0</v>
      </c>
      <c r="K677" s="21"/>
      <c r="L677" s="539" t="str">
        <f t="shared" ca="1" si="110"/>
        <v/>
      </c>
    </row>
    <row r="678" spans="1:12" ht="24.75" customHeight="1" x14ac:dyDescent="0.35">
      <c r="A678" s="109">
        <v>20250086</v>
      </c>
      <c r="B678" s="608">
        <v>45744</v>
      </c>
      <c r="C678" s="109">
        <v>14369050</v>
      </c>
      <c r="D678" s="109" t="s">
        <v>624</v>
      </c>
      <c r="E678" s="109" t="s">
        <v>275</v>
      </c>
      <c r="F678" s="109"/>
      <c r="G678" s="109" t="s">
        <v>813</v>
      </c>
      <c r="H678" s="140">
        <v>1269498</v>
      </c>
      <c r="I678" s="140">
        <v>1276939</v>
      </c>
      <c r="J678" s="26">
        <f>IF(H678&lt;&gt;"",IF(AND(C678&lt;&gt;"",IFERROR(MATCH(C678,Table10[Serial No.],0),0)),0,1),0)</f>
        <v>0</v>
      </c>
      <c r="K678" s="21"/>
      <c r="L678" s="539" t="str">
        <f t="shared" ca="1" si="110"/>
        <v/>
      </c>
    </row>
    <row r="679" spans="1:12" ht="24.75" customHeight="1" x14ac:dyDescent="0.35">
      <c r="A679" s="109">
        <v>20250086</v>
      </c>
      <c r="B679" s="608">
        <v>45744</v>
      </c>
      <c r="C679" s="109">
        <v>14369046</v>
      </c>
      <c r="D679" s="109" t="s">
        <v>624</v>
      </c>
      <c r="E679" s="109" t="s">
        <v>275</v>
      </c>
      <c r="F679" s="109"/>
      <c r="G679" s="109" t="s">
        <v>813</v>
      </c>
      <c r="H679" s="140">
        <v>1269498</v>
      </c>
      <c r="I679" s="140">
        <v>1276939</v>
      </c>
      <c r="J679" s="26">
        <f>IF(H679&lt;&gt;"",IF(AND(C679&lt;&gt;"",IFERROR(MATCH(C679,Table10[Serial No.],0),0)),0,1),0)</f>
        <v>0</v>
      </c>
      <c r="K679" s="21"/>
      <c r="L679" s="539" t="str">
        <f t="shared" ca="1" si="110"/>
        <v/>
      </c>
    </row>
    <row r="680" spans="1:12" ht="24.75" customHeight="1" x14ac:dyDescent="0.35">
      <c r="A680" s="109">
        <v>20250086</v>
      </c>
      <c r="B680" s="608">
        <v>45744</v>
      </c>
      <c r="C680" s="109">
        <v>14369049</v>
      </c>
      <c r="D680" s="109" t="s">
        <v>624</v>
      </c>
      <c r="E680" s="109" t="s">
        <v>275</v>
      </c>
      <c r="F680" s="109"/>
      <c r="G680" s="109" t="s">
        <v>813</v>
      </c>
      <c r="H680" s="140">
        <v>1269498</v>
      </c>
      <c r="I680" s="140">
        <v>1276939</v>
      </c>
      <c r="J680" s="26">
        <f>IF(H680&lt;&gt;"",IF(AND(C680&lt;&gt;"",IFERROR(MATCH(C680,Table10[Serial No.],0),0)),0,1),0)</f>
        <v>0</v>
      </c>
      <c r="K680" s="21"/>
      <c r="L680" s="539" t="str">
        <f t="shared" ca="1" si="110"/>
        <v/>
      </c>
    </row>
    <row r="681" spans="1:12" ht="24.75" customHeight="1" x14ac:dyDescent="0.35">
      <c r="A681" s="109">
        <v>20250086</v>
      </c>
      <c r="B681" s="608">
        <v>45744</v>
      </c>
      <c r="C681" s="109">
        <v>14369051</v>
      </c>
      <c r="D681" s="109" t="s">
        <v>624</v>
      </c>
      <c r="E681" s="109" t="s">
        <v>275</v>
      </c>
      <c r="F681" s="109"/>
      <c r="G681" s="109" t="s">
        <v>813</v>
      </c>
      <c r="H681" s="140">
        <v>1269498</v>
      </c>
      <c r="I681" s="140">
        <v>1276939</v>
      </c>
      <c r="J681" s="26">
        <f>IF(H681&lt;&gt;"",IF(AND(C681&lt;&gt;"",IFERROR(MATCH(C681,Table10[Serial No.],0),0)),0,1),0)</f>
        <v>0</v>
      </c>
      <c r="K681" s="21"/>
      <c r="L681" s="539" t="str">
        <f t="shared" ca="1" si="110"/>
        <v/>
      </c>
    </row>
    <row r="682" spans="1:12" ht="24.75" customHeight="1" x14ac:dyDescent="0.35">
      <c r="A682" s="109">
        <v>20250086</v>
      </c>
      <c r="B682" s="608">
        <v>45744</v>
      </c>
      <c r="C682" s="109">
        <v>14369048</v>
      </c>
      <c r="D682" s="109" t="s">
        <v>624</v>
      </c>
      <c r="E682" s="109" t="s">
        <v>275</v>
      </c>
      <c r="F682" s="109"/>
      <c r="G682" s="109" t="s">
        <v>813</v>
      </c>
      <c r="H682" s="140">
        <v>1269498</v>
      </c>
      <c r="I682" s="140">
        <v>1276939</v>
      </c>
      <c r="J682" s="26">
        <f>IF(H682&lt;&gt;"",IF(AND(C682&lt;&gt;"",IFERROR(MATCH(C682,Table10[Serial No.],0),0)),0,1),0)</f>
        <v>0</v>
      </c>
      <c r="K682" s="21"/>
      <c r="L682" s="539" t="str">
        <f t="shared" ca="1" si="110"/>
        <v/>
      </c>
    </row>
    <row r="683" spans="1:12" ht="24.75" customHeight="1" x14ac:dyDescent="0.35">
      <c r="A683" s="109">
        <v>20250086</v>
      </c>
      <c r="B683" s="608">
        <v>45744</v>
      </c>
      <c r="C683" s="109">
        <v>14369052</v>
      </c>
      <c r="D683" s="109" t="s">
        <v>624</v>
      </c>
      <c r="E683" s="109" t="s">
        <v>275</v>
      </c>
      <c r="F683" s="109"/>
      <c r="G683" s="109" t="s">
        <v>813</v>
      </c>
      <c r="H683" s="140">
        <v>1269498</v>
      </c>
      <c r="I683" s="140">
        <v>1276939</v>
      </c>
      <c r="J683" s="26">
        <f>IF(H683&lt;&gt;"",IF(AND(C683&lt;&gt;"",IFERROR(MATCH(C683,Table10[Serial No.],0),0)),0,1),0)</f>
        <v>0</v>
      </c>
      <c r="K683" s="21"/>
      <c r="L683" s="539" t="str">
        <f t="shared" ca="1" si="110"/>
        <v/>
      </c>
    </row>
    <row r="684" spans="1:12" ht="24.75" customHeight="1" x14ac:dyDescent="0.35">
      <c r="A684" s="109">
        <v>20250086</v>
      </c>
      <c r="B684" s="608">
        <v>45744</v>
      </c>
      <c r="C684" s="109">
        <v>14369055</v>
      </c>
      <c r="D684" s="109" t="s">
        <v>315</v>
      </c>
      <c r="E684" s="109" t="s">
        <v>284</v>
      </c>
      <c r="F684" s="109"/>
      <c r="G684" s="109" t="s">
        <v>814</v>
      </c>
      <c r="H684" s="140">
        <v>1234376</v>
      </c>
      <c r="I684" s="140">
        <v>1249569</v>
      </c>
      <c r="J684" s="26">
        <f>IF(H684&lt;&gt;"",IF(AND(C684&lt;&gt;"",IFERROR(MATCH(C684,Table10[Serial No.],0),0)),0,1),0)</f>
        <v>0</v>
      </c>
      <c r="K684" s="21"/>
      <c r="L684" s="539" t="str">
        <f t="shared" ca="1" si="110"/>
        <v/>
      </c>
    </row>
    <row r="685" spans="1:12" ht="24.75" customHeight="1" x14ac:dyDescent="0.35">
      <c r="A685" s="109">
        <v>20250086</v>
      </c>
      <c r="B685" s="608">
        <v>45744</v>
      </c>
      <c r="C685" s="109">
        <v>14369054</v>
      </c>
      <c r="D685" s="109" t="s">
        <v>315</v>
      </c>
      <c r="E685" s="109" t="s">
        <v>284</v>
      </c>
      <c r="F685" s="109"/>
      <c r="G685" s="109" t="s">
        <v>814</v>
      </c>
      <c r="H685" s="140">
        <v>1234376</v>
      </c>
      <c r="I685" s="140">
        <v>1249569</v>
      </c>
      <c r="J685" s="26">
        <f>IF(H685&lt;&gt;"",IF(AND(C685&lt;&gt;"",IFERROR(MATCH(C685,Table10[Serial No.],0),0)),0,1),0)</f>
        <v>1</v>
      </c>
      <c r="K685" s="21"/>
      <c r="L685" s="539" t="str">
        <f t="shared" ca="1" si="110"/>
        <v/>
      </c>
    </row>
    <row r="686" spans="1:12" ht="24.75" customHeight="1" x14ac:dyDescent="0.35">
      <c r="A686" s="109">
        <v>20250086</v>
      </c>
      <c r="B686" s="608">
        <v>45744</v>
      </c>
      <c r="C686" s="109">
        <v>14369056</v>
      </c>
      <c r="D686" s="109" t="s">
        <v>315</v>
      </c>
      <c r="E686" s="109" t="s">
        <v>284</v>
      </c>
      <c r="F686" s="109"/>
      <c r="G686" s="109" t="s">
        <v>814</v>
      </c>
      <c r="H686" s="140">
        <v>1234376</v>
      </c>
      <c r="I686" s="140">
        <v>1249569</v>
      </c>
      <c r="J686" s="26">
        <f>IF(H686&lt;&gt;"",IF(AND(C686&lt;&gt;"",IFERROR(MATCH(C686,Table10[Serial No.],0),0)),0,1),0)</f>
        <v>1</v>
      </c>
      <c r="K686" s="21"/>
      <c r="L686" s="539" t="str">
        <f t="shared" ca="1" si="110"/>
        <v/>
      </c>
    </row>
    <row r="687" spans="1:12" ht="24.75" customHeight="1" x14ac:dyDescent="0.35">
      <c r="A687" s="109">
        <v>20250086</v>
      </c>
      <c r="B687" s="608">
        <v>45744</v>
      </c>
      <c r="C687" s="109">
        <v>14369057</v>
      </c>
      <c r="D687" s="109" t="s">
        <v>315</v>
      </c>
      <c r="E687" s="109" t="s">
        <v>684</v>
      </c>
      <c r="F687" s="109"/>
      <c r="G687" s="109" t="s">
        <v>814</v>
      </c>
      <c r="H687" s="140">
        <v>1245431</v>
      </c>
      <c r="I687" s="140">
        <v>1251098</v>
      </c>
      <c r="J687" s="26">
        <f>IF(H687&lt;&gt;"",IF(AND(C687&lt;&gt;"",IFERROR(MATCH(C687,Table10[Serial No.],0),0)),0,1),0)</f>
        <v>1</v>
      </c>
      <c r="K687" s="21"/>
      <c r="L687" s="539" t="str">
        <f t="shared" ca="1" si="110"/>
        <v/>
      </c>
    </row>
    <row r="688" spans="1:12" ht="24.75" customHeight="1" x14ac:dyDescent="0.35">
      <c r="A688" s="109">
        <v>20250086</v>
      </c>
      <c r="B688" s="608">
        <v>45744</v>
      </c>
      <c r="C688" s="109">
        <v>14370258</v>
      </c>
      <c r="D688" s="109" t="s">
        <v>316</v>
      </c>
      <c r="E688" s="109" t="s">
        <v>818</v>
      </c>
      <c r="F688" s="109"/>
      <c r="G688" s="109" t="s">
        <v>813</v>
      </c>
      <c r="H688" s="140">
        <v>1258119</v>
      </c>
      <c r="I688" s="140">
        <v>1254482</v>
      </c>
      <c r="J688" s="26">
        <f>IF(H688&lt;&gt;"",IF(AND(C688&lt;&gt;"",IFERROR(MATCH(C688,Table10[Serial No.],0),0)),0,1),0)</f>
        <v>1</v>
      </c>
      <c r="K688" s="21"/>
      <c r="L688" s="539" t="str">
        <f t="shared" ca="1" si="110"/>
        <v/>
      </c>
    </row>
    <row r="689" spans="1:12" ht="24.75" customHeight="1" x14ac:dyDescent="0.35">
      <c r="A689" s="132">
        <v>20250086</v>
      </c>
      <c r="B689" s="609">
        <v>45744</v>
      </c>
      <c r="C689" s="132">
        <v>14370260</v>
      </c>
      <c r="D689" s="132" t="s">
        <v>624</v>
      </c>
      <c r="E689" s="132" t="s">
        <v>819</v>
      </c>
      <c r="F689" s="132"/>
      <c r="G689" s="132" t="s">
        <v>813</v>
      </c>
      <c r="H689" s="141">
        <v>2013542</v>
      </c>
      <c r="I689" s="141">
        <v>2016764</v>
      </c>
      <c r="J689" s="26">
        <f>IF(H689&lt;&gt;"",IF(AND(C689&lt;&gt;"",IFERROR(MATCH(C689,Table10[Serial No.],0),0)),0,1),0)</f>
        <v>0</v>
      </c>
      <c r="K689" s="21"/>
      <c r="L689" s="539" t="str">
        <f t="shared" ca="1" si="110"/>
        <v/>
      </c>
    </row>
    <row r="690" spans="1:12" ht="24.75" customHeight="1" x14ac:dyDescent="0.35">
      <c r="A690" s="109">
        <v>20250112</v>
      </c>
      <c r="B690" s="608">
        <v>45774</v>
      </c>
      <c r="C690" s="109">
        <v>14386452</v>
      </c>
      <c r="D690" s="109" t="s">
        <v>307</v>
      </c>
      <c r="E690" s="109" t="s">
        <v>308</v>
      </c>
      <c r="F690" s="109"/>
      <c r="G690" s="109"/>
      <c r="H690" s="140">
        <v>1224225</v>
      </c>
      <c r="I690" s="140">
        <v>1252149</v>
      </c>
      <c r="J690" s="26">
        <f>IF(H690&lt;&gt;"",IF(AND(C690&lt;&gt;"",IFERROR(MATCH(C690,Table10[Serial No.],0),0)),0,1),0)</f>
        <v>1</v>
      </c>
      <c r="K690" s="21"/>
      <c r="L690" s="539" t="str">
        <f t="shared" ca="1" si="110"/>
        <v/>
      </c>
    </row>
    <row r="691" spans="1:12" ht="24.75" customHeight="1" x14ac:dyDescent="0.35">
      <c r="A691" s="109">
        <v>20250112</v>
      </c>
      <c r="B691" s="608">
        <v>45774</v>
      </c>
      <c r="C691" s="109">
        <v>14386453</v>
      </c>
      <c r="D691" s="109" t="s">
        <v>307</v>
      </c>
      <c r="E691" s="109" t="s">
        <v>308</v>
      </c>
      <c r="F691" s="109"/>
      <c r="G691" s="109"/>
      <c r="H691" s="140">
        <v>1224225</v>
      </c>
      <c r="I691" s="140">
        <v>1252149</v>
      </c>
      <c r="J691" s="26">
        <f>IF(H691&lt;&gt;"",IF(AND(C691&lt;&gt;"",IFERROR(MATCH(C691,Table10[Serial No.],0),0)),0,1),0)</f>
        <v>1</v>
      </c>
      <c r="K691" s="21"/>
      <c r="L691" s="539" t="str">
        <f t="shared" ca="1" si="110"/>
        <v/>
      </c>
    </row>
    <row r="692" spans="1:12" ht="24.75" customHeight="1" x14ac:dyDescent="0.35">
      <c r="A692" s="109">
        <v>20250112</v>
      </c>
      <c r="B692" s="608">
        <v>45774</v>
      </c>
      <c r="C692" s="109">
        <v>14386454</v>
      </c>
      <c r="D692" s="109" t="s">
        <v>624</v>
      </c>
      <c r="E692" s="109" t="s">
        <v>640</v>
      </c>
      <c r="F692" s="109"/>
      <c r="G692" s="109"/>
      <c r="H692" s="140">
        <v>1255267</v>
      </c>
      <c r="I692" s="140" t="s">
        <v>641</v>
      </c>
      <c r="J692" s="26">
        <f>IF(H692&lt;&gt;"",IF(AND(C692&lt;&gt;"",IFERROR(MATCH(C692,Table10[Serial No.],0),0)),0,1),0)</f>
        <v>1</v>
      </c>
      <c r="K692" s="21"/>
      <c r="L692" s="539" t="str">
        <f t="shared" si="110"/>
        <v/>
      </c>
    </row>
    <row r="693" spans="1:12" ht="24.75" customHeight="1" x14ac:dyDescent="0.35">
      <c r="A693" s="109">
        <v>20250112</v>
      </c>
      <c r="B693" s="608">
        <v>45774</v>
      </c>
      <c r="C693" s="109">
        <v>14387331</v>
      </c>
      <c r="D693" s="109" t="s">
        <v>624</v>
      </c>
      <c r="E693" s="109" t="s">
        <v>717</v>
      </c>
      <c r="F693" s="109"/>
      <c r="G693" s="109"/>
      <c r="H693" s="140">
        <v>2009096</v>
      </c>
      <c r="I693" s="140">
        <v>2015535</v>
      </c>
      <c r="J693" s="26">
        <f>IF(H693&lt;&gt;"",IF(AND(C693&lt;&gt;"",IFERROR(MATCH(C693,Table10[Serial No.],0),0)),0,1),0)</f>
        <v>0</v>
      </c>
      <c r="K693" s="21"/>
      <c r="L693" s="539" t="str">
        <f t="shared" ca="1" si="110"/>
        <v/>
      </c>
    </row>
    <row r="694" spans="1:12" ht="24.75" customHeight="1" x14ac:dyDescent="0.35">
      <c r="A694" s="109">
        <v>20250112</v>
      </c>
      <c r="B694" s="608">
        <v>45774</v>
      </c>
      <c r="C694" s="109">
        <v>14387332</v>
      </c>
      <c r="D694" s="109" t="s">
        <v>624</v>
      </c>
      <c r="E694" s="109" t="s">
        <v>717</v>
      </c>
      <c r="F694" s="109"/>
      <c r="G694" s="109"/>
      <c r="H694" s="140">
        <v>2009096</v>
      </c>
      <c r="I694" s="140">
        <v>2015535</v>
      </c>
      <c r="J694" s="26">
        <f>IF(H694&lt;&gt;"",IF(AND(C694&lt;&gt;"",IFERROR(MATCH(C694,Table10[Serial No.],0),0)),0,1),0)</f>
        <v>0</v>
      </c>
      <c r="K694" s="21"/>
      <c r="L694" s="539" t="str">
        <f t="shared" ca="1" si="110"/>
        <v/>
      </c>
    </row>
    <row r="695" spans="1:12" ht="24.75" customHeight="1" x14ac:dyDescent="0.35">
      <c r="A695" s="109">
        <v>20250112</v>
      </c>
      <c r="B695" s="608">
        <v>45774</v>
      </c>
      <c r="C695" s="109">
        <v>14386455</v>
      </c>
      <c r="D695" s="109" t="s">
        <v>315</v>
      </c>
      <c r="E695" s="109" t="s">
        <v>284</v>
      </c>
      <c r="F695" s="109"/>
      <c r="G695" s="109"/>
      <c r="H695" s="140">
        <v>1234376</v>
      </c>
      <c r="I695" s="140">
        <v>1249569</v>
      </c>
      <c r="J695" s="26">
        <f>IF(H695&lt;&gt;"",IF(AND(C695&lt;&gt;"",IFERROR(MATCH(C695,Table10[Serial No.],0),0)),0,1),0)</f>
        <v>1</v>
      </c>
      <c r="K695" s="21"/>
      <c r="L695" s="539" t="str">
        <f t="shared" ca="1" si="110"/>
        <v/>
      </c>
    </row>
    <row r="696" spans="1:12" ht="24.75" customHeight="1" x14ac:dyDescent="0.35">
      <c r="A696" s="109">
        <v>20250112</v>
      </c>
      <c r="B696" s="608">
        <v>45774</v>
      </c>
      <c r="C696" s="109">
        <v>14386456</v>
      </c>
      <c r="D696" s="109" t="s">
        <v>637</v>
      </c>
      <c r="E696" s="109" t="s">
        <v>673</v>
      </c>
      <c r="F696" s="109"/>
      <c r="G696" s="109"/>
      <c r="H696" s="140">
        <v>1270865</v>
      </c>
      <c r="I696" s="140" t="s">
        <v>674</v>
      </c>
      <c r="J696" s="26">
        <f>IF(H696&lt;&gt;"",IF(AND(C696&lt;&gt;"",IFERROR(MATCH(C696,Table10[Serial No.],0),0)),0,1),0)</f>
        <v>1</v>
      </c>
      <c r="K696" s="21"/>
      <c r="L696" s="539" t="str">
        <f t="shared" si="110"/>
        <v/>
      </c>
    </row>
    <row r="697" spans="1:12" ht="24.75" customHeight="1" x14ac:dyDescent="0.35">
      <c r="A697" s="109">
        <v>20250112</v>
      </c>
      <c r="B697" s="608">
        <v>45774</v>
      </c>
      <c r="C697" s="109">
        <v>14389174</v>
      </c>
      <c r="D697" s="109" t="s">
        <v>316</v>
      </c>
      <c r="E697" s="109" t="s">
        <v>318</v>
      </c>
      <c r="F697" s="109"/>
      <c r="G697" s="109"/>
      <c r="H697" s="140">
        <v>1145823</v>
      </c>
      <c r="I697" s="140">
        <v>1033011</v>
      </c>
      <c r="J697" s="26">
        <f>IF(H697&lt;&gt;"",IF(AND(C697&lt;&gt;"",IFERROR(MATCH(C697,Table10[Serial No.],0),0)),0,1),0)</f>
        <v>1</v>
      </c>
      <c r="K697" s="21"/>
      <c r="L697" s="539" t="str">
        <f t="shared" ca="1" si="110"/>
        <v/>
      </c>
    </row>
    <row r="698" spans="1:12" ht="24.75" customHeight="1" x14ac:dyDescent="0.35">
      <c r="A698" s="109">
        <v>20250112</v>
      </c>
      <c r="B698" s="608">
        <v>45774</v>
      </c>
      <c r="C698" s="109">
        <v>14394097</v>
      </c>
      <c r="D698" s="109" t="s">
        <v>316</v>
      </c>
      <c r="E698" s="109" t="s">
        <v>820</v>
      </c>
      <c r="F698" s="109"/>
      <c r="G698" s="109"/>
      <c r="H698" s="140">
        <v>1239258</v>
      </c>
      <c r="I698" s="140">
        <v>1058252</v>
      </c>
      <c r="J698" s="26">
        <f>IF(H698&lt;&gt;"",IF(AND(C698&lt;&gt;"",IFERROR(MATCH(C698,Table10[Serial No.],0),0)),0,1),0)</f>
        <v>1</v>
      </c>
      <c r="K698" s="21"/>
      <c r="L698" s="539" t="str">
        <f t="shared" ca="1" si="110"/>
        <v/>
      </c>
    </row>
    <row r="699" spans="1:12" ht="24.75" customHeight="1" x14ac:dyDescent="0.35">
      <c r="A699" s="109">
        <v>20250112</v>
      </c>
      <c r="B699" s="608">
        <v>45774</v>
      </c>
      <c r="C699" s="109">
        <v>14386958</v>
      </c>
      <c r="D699" s="109" t="s">
        <v>316</v>
      </c>
      <c r="E699" s="109" t="s">
        <v>292</v>
      </c>
      <c r="F699" s="109"/>
      <c r="G699" s="109"/>
      <c r="H699" s="140">
        <v>1258119</v>
      </c>
      <c r="I699" s="140">
        <v>1254482</v>
      </c>
      <c r="J699" s="26">
        <f>IF(H699&lt;&gt;"",IF(AND(C699&lt;&gt;"",IFERROR(MATCH(C699,Table10[Serial No.],0),0)),0,1),0)</f>
        <v>1</v>
      </c>
      <c r="K699" s="21"/>
      <c r="L699" s="539" t="str">
        <f t="shared" ca="1" si="110"/>
        <v/>
      </c>
    </row>
    <row r="700" spans="1:12" ht="24.75" customHeight="1" x14ac:dyDescent="0.35">
      <c r="A700" s="109">
        <v>20250112</v>
      </c>
      <c r="B700" s="608">
        <v>45774</v>
      </c>
      <c r="C700" s="109">
        <v>14386959</v>
      </c>
      <c r="D700" s="109" t="s">
        <v>316</v>
      </c>
      <c r="E700" s="109" t="s">
        <v>292</v>
      </c>
      <c r="F700" s="109"/>
      <c r="G700" s="109"/>
      <c r="H700" s="140">
        <v>1258119</v>
      </c>
      <c r="I700" s="140">
        <v>1254482</v>
      </c>
      <c r="J700" s="26">
        <f>IF(H700&lt;&gt;"",IF(AND(C700&lt;&gt;"",IFERROR(MATCH(C700,Table10[Serial No.],0),0)),0,1),0)</f>
        <v>1</v>
      </c>
      <c r="K700" s="21"/>
      <c r="L700" s="539" t="str">
        <f t="shared" ca="1" si="110"/>
        <v/>
      </c>
    </row>
    <row r="701" spans="1:12" ht="24.75" customHeight="1" x14ac:dyDescent="0.35">
      <c r="A701" s="109">
        <v>20250112</v>
      </c>
      <c r="B701" s="608">
        <v>45774</v>
      </c>
      <c r="C701" s="109">
        <v>14386457</v>
      </c>
      <c r="D701" s="109" t="s">
        <v>316</v>
      </c>
      <c r="E701" s="109" t="s">
        <v>292</v>
      </c>
      <c r="F701" s="109"/>
      <c r="G701" s="109"/>
      <c r="H701" s="140">
        <v>1258119</v>
      </c>
      <c r="I701" s="140">
        <v>1254482</v>
      </c>
      <c r="J701" s="26">
        <f>IF(H701&lt;&gt;"",IF(AND(C701&lt;&gt;"",IFERROR(MATCH(C701,Table10[Serial No.],0),0)),0,1),0)</f>
        <v>1</v>
      </c>
      <c r="K701" s="21"/>
      <c r="L701" s="539" t="str">
        <f t="shared" ca="1" si="110"/>
        <v/>
      </c>
    </row>
    <row r="702" spans="1:12" ht="24.75" customHeight="1" x14ac:dyDescent="0.35">
      <c r="A702" s="109">
        <v>20250114</v>
      </c>
      <c r="B702" s="608">
        <v>45774</v>
      </c>
      <c r="C702" s="109">
        <v>14386447</v>
      </c>
      <c r="D702" s="109" t="s">
        <v>631</v>
      </c>
      <c r="E702" s="109" t="s">
        <v>645</v>
      </c>
      <c r="F702" s="109"/>
      <c r="G702" s="109"/>
      <c r="H702" s="140">
        <v>2017993</v>
      </c>
      <c r="I702" s="140" t="s">
        <v>821</v>
      </c>
      <c r="J702" s="26">
        <f>IF(H702&lt;&gt;"",IF(AND(C702&lt;&gt;"",IFERROR(MATCH(C702,Table10[Serial No.],0),0)),0,1),0)</f>
        <v>0</v>
      </c>
      <c r="K702" s="21"/>
      <c r="L702" s="539" t="str">
        <f t="shared" si="110"/>
        <v/>
      </c>
    </row>
    <row r="703" spans="1:12" ht="24.75" customHeight="1" x14ac:dyDescent="0.35">
      <c r="A703" s="109">
        <v>20250114</v>
      </c>
      <c r="B703" s="608">
        <v>45774</v>
      </c>
      <c r="C703" s="109">
        <v>14386449</v>
      </c>
      <c r="D703" s="109" t="s">
        <v>631</v>
      </c>
      <c r="E703" s="109" t="s">
        <v>645</v>
      </c>
      <c r="F703" s="109"/>
      <c r="G703" s="109"/>
      <c r="H703" s="140">
        <v>2017993</v>
      </c>
      <c r="I703" s="140" t="s">
        <v>821</v>
      </c>
      <c r="J703" s="26">
        <f>IF(H703&lt;&gt;"",IF(AND(C703&lt;&gt;"",IFERROR(MATCH(C703,Table10[Serial No.],0),0)),0,1),0)</f>
        <v>0</v>
      </c>
      <c r="K703" s="21"/>
      <c r="L703" s="539" t="str">
        <f t="shared" si="110"/>
        <v/>
      </c>
    </row>
    <row r="704" spans="1:12" ht="24.75" customHeight="1" x14ac:dyDescent="0.35">
      <c r="A704" s="109">
        <v>20250114</v>
      </c>
      <c r="B704" s="608">
        <v>45774</v>
      </c>
      <c r="C704" s="109">
        <v>14386448</v>
      </c>
      <c r="D704" s="109" t="s">
        <v>631</v>
      </c>
      <c r="E704" s="109" t="s">
        <v>645</v>
      </c>
      <c r="F704" s="109"/>
      <c r="G704" s="109"/>
      <c r="H704" s="140">
        <v>2017993</v>
      </c>
      <c r="I704" s="140" t="s">
        <v>821</v>
      </c>
      <c r="J704" s="26">
        <f>IF(H704&lt;&gt;"",IF(AND(C704&lt;&gt;"",IFERROR(MATCH(C704,Table10[Serial No.],0),0)),0,1),0)</f>
        <v>0</v>
      </c>
      <c r="K704" s="21"/>
      <c r="L704" s="539" t="str">
        <f t="shared" si="110"/>
        <v/>
      </c>
    </row>
    <row r="705" spans="1:12" ht="24.75" customHeight="1" x14ac:dyDescent="0.35">
      <c r="A705" s="109">
        <v>20250114</v>
      </c>
      <c r="B705" s="608">
        <v>45774</v>
      </c>
      <c r="C705" s="109">
        <v>14386451</v>
      </c>
      <c r="D705" s="109" t="s">
        <v>313</v>
      </c>
      <c r="E705" s="109" t="s">
        <v>314</v>
      </c>
      <c r="F705" s="109"/>
      <c r="G705" s="109"/>
      <c r="H705" s="140">
        <v>2016137</v>
      </c>
      <c r="I705" s="140">
        <v>2009244</v>
      </c>
      <c r="J705" s="26">
        <f>IF(H705&lt;&gt;"",IF(AND(C705&lt;&gt;"",IFERROR(MATCH(C705,Table10[Serial No.],0),0)),0,1),0)</f>
        <v>0</v>
      </c>
      <c r="K705" s="21"/>
      <c r="L705" s="539" t="str">
        <f t="shared" ca="1" si="110"/>
        <v/>
      </c>
    </row>
    <row r="706" spans="1:12" ht="24.75" customHeight="1" x14ac:dyDescent="0.35">
      <c r="A706" s="132">
        <v>20250114</v>
      </c>
      <c r="B706" s="609">
        <v>45774</v>
      </c>
      <c r="C706" s="132">
        <v>14386450</v>
      </c>
      <c r="D706" s="132" t="s">
        <v>313</v>
      </c>
      <c r="E706" s="132" t="s">
        <v>314</v>
      </c>
      <c r="F706" s="132"/>
      <c r="G706" s="132"/>
      <c r="H706" s="141">
        <v>2016137</v>
      </c>
      <c r="I706" s="141">
        <v>2009244</v>
      </c>
      <c r="J706" s="26">
        <f>IF(H706&lt;&gt;"",IF(AND(C706&lt;&gt;"",IFERROR(MATCH(C706,Table10[Serial No.],0),0)),0,1),0)</f>
        <v>0</v>
      </c>
      <c r="K706" s="21"/>
      <c r="L706" s="539" t="str">
        <f t="shared" ca="1" si="110"/>
        <v/>
      </c>
    </row>
    <row r="707" spans="1:12" ht="24.75" customHeight="1" x14ac:dyDescent="0.35">
      <c r="A707" s="132">
        <v>20250135</v>
      </c>
      <c r="B707" s="609">
        <v>45788</v>
      </c>
      <c r="C707" s="132">
        <v>14389947</v>
      </c>
      <c r="D707" s="132" t="s">
        <v>316</v>
      </c>
      <c r="E707" s="132" t="s">
        <v>695</v>
      </c>
      <c r="F707" s="132"/>
      <c r="G707" s="132"/>
      <c r="H707" s="141">
        <v>2018214</v>
      </c>
      <c r="I707" s="141">
        <v>2021073</v>
      </c>
      <c r="J707" s="26">
        <f>IF(H707&lt;&gt;"",IF(AND(C707&lt;&gt;"",IFERROR(MATCH(C707,Table10[Serial No.],0),0)),0,1),0)</f>
        <v>1</v>
      </c>
      <c r="K707" s="21"/>
      <c r="L707" s="539" t="str">
        <f t="shared" ref="L707:L760" si="111">IFERROR(INDEX($O$2:$Q$57,MATCH($I707,$O$2:$O$93,0),3),"")</f>
        <v/>
      </c>
    </row>
    <row r="708" spans="1:12" ht="24.75" customHeight="1" x14ac:dyDescent="0.35">
      <c r="A708" s="109">
        <v>20250141</v>
      </c>
      <c r="B708" s="609">
        <v>45790</v>
      </c>
      <c r="C708" s="109">
        <v>14390151</v>
      </c>
      <c r="D708" s="109" t="s">
        <v>631</v>
      </c>
      <c r="E708" s="109" t="s">
        <v>645</v>
      </c>
      <c r="F708" s="109"/>
      <c r="G708" s="109"/>
      <c r="H708" s="140">
        <v>2017993</v>
      </c>
      <c r="I708" s="140" t="s">
        <v>821</v>
      </c>
      <c r="J708" s="26">
        <f>IF(H708&lt;&gt;"",IF(AND(C708&lt;&gt;"",IFERROR(MATCH(C708,Table10[Serial No.],0),0)),0,1),0)</f>
        <v>0</v>
      </c>
      <c r="K708" s="21"/>
      <c r="L708" s="539" t="str">
        <f t="shared" si="111"/>
        <v/>
      </c>
    </row>
    <row r="709" spans="1:12" ht="24.75" customHeight="1" x14ac:dyDescent="0.35">
      <c r="A709" s="109">
        <v>20250141</v>
      </c>
      <c r="B709" s="609">
        <v>45790</v>
      </c>
      <c r="C709" s="109">
        <v>14390152</v>
      </c>
      <c r="D709" s="109" t="s">
        <v>631</v>
      </c>
      <c r="E709" s="109" t="s">
        <v>645</v>
      </c>
      <c r="F709" s="109"/>
      <c r="G709" s="109"/>
      <c r="H709" s="140">
        <v>2017993</v>
      </c>
      <c r="I709" s="140" t="s">
        <v>821</v>
      </c>
      <c r="J709" s="26">
        <f>IF(H709&lt;&gt;"",IF(AND(C709&lt;&gt;"",IFERROR(MATCH(C709,Table10[Serial No.],0),0)),0,1),0)</f>
        <v>0</v>
      </c>
      <c r="K709" s="21"/>
      <c r="L709" s="539" t="str">
        <f t="shared" si="111"/>
        <v/>
      </c>
    </row>
    <row r="710" spans="1:12" ht="24.75" customHeight="1" x14ac:dyDescent="0.35">
      <c r="A710" s="109">
        <v>20250141</v>
      </c>
      <c r="B710" s="609">
        <v>45790</v>
      </c>
      <c r="C710" s="109">
        <v>14390150</v>
      </c>
      <c r="D710" s="109" t="s">
        <v>631</v>
      </c>
      <c r="E710" s="109" t="s">
        <v>645</v>
      </c>
      <c r="F710" s="109"/>
      <c r="G710" s="109"/>
      <c r="H710" s="140">
        <v>2017993</v>
      </c>
      <c r="I710" s="140" t="s">
        <v>821</v>
      </c>
      <c r="J710" s="26">
        <f>IF(H710&lt;&gt;"",IF(AND(C710&lt;&gt;"",IFERROR(MATCH(C710,Table10[Serial No.],0),0)),0,1),0)</f>
        <v>0</v>
      </c>
      <c r="K710" s="21"/>
      <c r="L710" s="539" t="str">
        <f t="shared" si="111"/>
        <v/>
      </c>
    </row>
    <row r="711" spans="1:12" ht="24.75" customHeight="1" x14ac:dyDescent="0.35">
      <c r="A711" s="132">
        <v>20250141</v>
      </c>
      <c r="B711" s="609">
        <v>45790</v>
      </c>
      <c r="C711" s="132">
        <v>14390153</v>
      </c>
      <c r="D711" s="132" t="s">
        <v>631</v>
      </c>
      <c r="E711" s="132" t="s">
        <v>645</v>
      </c>
      <c r="F711" s="132"/>
      <c r="G711" s="132"/>
      <c r="H711" s="141">
        <v>2017993</v>
      </c>
      <c r="I711" s="141" t="s">
        <v>821</v>
      </c>
      <c r="J711" s="26">
        <f>IF(H711&lt;&gt;"",IF(AND(C711&lt;&gt;"",IFERROR(MATCH(C711,Table10[Serial No.],0),0)),0,1),0)</f>
        <v>0</v>
      </c>
      <c r="K711" s="21"/>
      <c r="L711" s="539" t="str">
        <f t="shared" si="111"/>
        <v/>
      </c>
    </row>
    <row r="712" spans="1:12" ht="24.75" customHeight="1" x14ac:dyDescent="0.35">
      <c r="A712" s="132">
        <v>20250147</v>
      </c>
      <c r="B712" s="609">
        <v>45798</v>
      </c>
      <c r="C712" s="132">
        <v>14396645</v>
      </c>
      <c r="D712" s="132" t="s">
        <v>631</v>
      </c>
      <c r="E712" s="132" t="s">
        <v>645</v>
      </c>
      <c r="F712" s="132"/>
      <c r="G712" s="132"/>
      <c r="H712" s="141">
        <v>2017993</v>
      </c>
      <c r="I712" s="141" t="s">
        <v>821</v>
      </c>
      <c r="J712" s="26">
        <f>IF(H712&lt;&gt;"",IF(AND(C712&lt;&gt;"",IFERROR(MATCH(C712,Table10[Serial No.],0),0)),0,1),0)</f>
        <v>0</v>
      </c>
      <c r="K712" s="21"/>
      <c r="L712" s="539" t="str">
        <f t="shared" si="111"/>
        <v/>
      </c>
    </row>
    <row r="713" spans="1:12" ht="24.75" customHeight="1" x14ac:dyDescent="0.35">
      <c r="A713" s="109">
        <v>20250147</v>
      </c>
      <c r="B713" s="609">
        <v>45798</v>
      </c>
      <c r="C713" s="109">
        <v>14396644</v>
      </c>
      <c r="D713" s="109" t="s">
        <v>631</v>
      </c>
      <c r="E713" s="109" t="s">
        <v>645</v>
      </c>
      <c r="F713" s="109"/>
      <c r="G713" s="109"/>
      <c r="H713" s="140">
        <v>2017993</v>
      </c>
      <c r="I713" s="140" t="s">
        <v>821</v>
      </c>
      <c r="J713" s="26">
        <f>IF(H713&lt;&gt;"",IF(AND(C713&lt;&gt;"",IFERROR(MATCH(C713,Table10[Serial No.],0),0)),0,1),0)</f>
        <v>0</v>
      </c>
      <c r="K713" s="21"/>
      <c r="L713" s="539" t="str">
        <f t="shared" si="111"/>
        <v/>
      </c>
    </row>
    <row r="714" spans="1:12" ht="24.75" customHeight="1" x14ac:dyDescent="0.35">
      <c r="A714" s="132">
        <v>20250147</v>
      </c>
      <c r="B714" s="609">
        <v>45798</v>
      </c>
      <c r="C714" s="132">
        <v>14396646</v>
      </c>
      <c r="D714" s="132" t="s">
        <v>631</v>
      </c>
      <c r="E714" s="132" t="s">
        <v>645</v>
      </c>
      <c r="F714" s="132"/>
      <c r="G714" s="132"/>
      <c r="H714" s="141">
        <v>2017993</v>
      </c>
      <c r="I714" s="141" t="s">
        <v>821</v>
      </c>
      <c r="J714" s="26">
        <f>IF(H714&lt;&gt;"",IF(AND(C714&lt;&gt;"",IFERROR(MATCH(C714,Table10[Serial No.],0),0)),0,1),0)</f>
        <v>0</v>
      </c>
      <c r="K714" s="21"/>
      <c r="L714" s="539" t="str">
        <f t="shared" si="111"/>
        <v/>
      </c>
    </row>
    <row r="715" spans="1:12" ht="24.75" customHeight="1" x14ac:dyDescent="0.35">
      <c r="A715" s="109">
        <v>20250153</v>
      </c>
      <c r="B715" s="609">
        <v>45805</v>
      </c>
      <c r="C715" s="109">
        <v>14403080</v>
      </c>
      <c r="D715" s="109" t="s">
        <v>304</v>
      </c>
      <c r="E715" s="109" t="s">
        <v>630</v>
      </c>
      <c r="F715" s="109" t="s">
        <v>822</v>
      </c>
      <c r="G715" s="109" t="s">
        <v>676</v>
      </c>
      <c r="H715" s="140">
        <v>1228690</v>
      </c>
      <c r="I715" s="140">
        <v>960723</v>
      </c>
      <c r="J715" s="26">
        <f>IF(H715&lt;&gt;"",IF(AND(C715&lt;&gt;"",IFERROR(MATCH(C715,Table10[Serial No.],0),0)),0,1),0)</f>
        <v>0</v>
      </c>
      <c r="K715" s="21"/>
      <c r="L715" s="539" t="str">
        <f t="shared" ca="1" si="111"/>
        <v/>
      </c>
    </row>
    <row r="716" spans="1:12" ht="24.75" customHeight="1" x14ac:dyDescent="0.35">
      <c r="A716" s="109">
        <v>20250153</v>
      </c>
      <c r="B716" s="609">
        <v>45805</v>
      </c>
      <c r="C716" s="109">
        <v>14403079</v>
      </c>
      <c r="D716" s="109" t="s">
        <v>304</v>
      </c>
      <c r="E716" s="109" t="s">
        <v>630</v>
      </c>
      <c r="F716" s="109" t="s">
        <v>822</v>
      </c>
      <c r="G716" s="109" t="s">
        <v>676</v>
      </c>
      <c r="H716" s="140">
        <v>1228690</v>
      </c>
      <c r="I716" s="140">
        <v>960723</v>
      </c>
      <c r="J716" s="26">
        <f>IF(H716&lt;&gt;"",IF(AND(C716&lt;&gt;"",IFERROR(MATCH(C716,Table10[Serial No.],0),0)),0,1),0)</f>
        <v>0</v>
      </c>
      <c r="K716" s="21"/>
      <c r="L716" s="539" t="str">
        <f t="shared" ca="1" si="111"/>
        <v/>
      </c>
    </row>
    <row r="717" spans="1:12" ht="24.75" customHeight="1" x14ac:dyDescent="0.35">
      <c r="A717" s="109">
        <v>20250153</v>
      </c>
      <c r="B717" s="609">
        <v>45805</v>
      </c>
      <c r="C717" s="109">
        <v>14403082</v>
      </c>
      <c r="D717" s="109" t="s">
        <v>313</v>
      </c>
      <c r="E717" s="109" t="s">
        <v>273</v>
      </c>
      <c r="F717" s="109" t="s">
        <v>808</v>
      </c>
      <c r="G717" s="109" t="s">
        <v>681</v>
      </c>
      <c r="H717" s="140">
        <v>1246020</v>
      </c>
      <c r="I717" s="140">
        <v>2009246</v>
      </c>
      <c r="J717" s="26">
        <f>IF(H717&lt;&gt;"",IF(AND(C717&lt;&gt;"",IFERROR(MATCH(C717,Table10[Serial No.],0),0)),0,1),0)</f>
        <v>0</v>
      </c>
      <c r="K717" s="21"/>
      <c r="L717" s="539" t="str">
        <f t="shared" ca="1" si="111"/>
        <v/>
      </c>
    </row>
    <row r="718" spans="1:12" ht="24.75" customHeight="1" x14ac:dyDescent="0.35">
      <c r="A718" s="109">
        <v>20250153</v>
      </c>
      <c r="B718" s="609">
        <v>45805</v>
      </c>
      <c r="C718" s="109">
        <v>14403083</v>
      </c>
      <c r="D718" s="109" t="s">
        <v>313</v>
      </c>
      <c r="E718" s="109" t="s">
        <v>273</v>
      </c>
      <c r="F718" s="109" t="s">
        <v>808</v>
      </c>
      <c r="G718" s="109" t="s">
        <v>681</v>
      </c>
      <c r="H718" s="140">
        <v>1246020</v>
      </c>
      <c r="I718" s="140">
        <v>2009246</v>
      </c>
      <c r="J718" s="26">
        <f>IF(H718&lt;&gt;"",IF(AND(C718&lt;&gt;"",IFERROR(MATCH(C718,Table10[Serial No.],0),0)),0,1),0)</f>
        <v>0</v>
      </c>
      <c r="K718" s="21"/>
      <c r="L718" s="539" t="str">
        <f t="shared" ca="1" si="111"/>
        <v/>
      </c>
    </row>
    <row r="719" spans="1:12" ht="24.75" customHeight="1" x14ac:dyDescent="0.35">
      <c r="A719" s="109">
        <v>20250153</v>
      </c>
      <c r="B719" s="609">
        <v>45805</v>
      </c>
      <c r="C719" s="109">
        <v>14403084</v>
      </c>
      <c r="D719" s="109" t="s">
        <v>313</v>
      </c>
      <c r="E719" s="109" t="s">
        <v>273</v>
      </c>
      <c r="F719" s="109" t="s">
        <v>808</v>
      </c>
      <c r="G719" s="109" t="s">
        <v>681</v>
      </c>
      <c r="H719" s="140">
        <v>1246020</v>
      </c>
      <c r="I719" s="140">
        <v>2009246</v>
      </c>
      <c r="J719" s="26">
        <f>IF(H719&lt;&gt;"",IF(AND(C719&lt;&gt;"",IFERROR(MATCH(C719,Table10[Serial No.],0),0)),0,1),0)</f>
        <v>0</v>
      </c>
      <c r="K719" s="21"/>
      <c r="L719" s="539" t="str">
        <f t="shared" ca="1" si="111"/>
        <v/>
      </c>
    </row>
    <row r="720" spans="1:12" ht="24.75" customHeight="1" x14ac:dyDescent="0.35">
      <c r="A720" s="109">
        <v>20250153</v>
      </c>
      <c r="B720" s="609">
        <v>45805</v>
      </c>
      <c r="C720" s="109">
        <v>14403081</v>
      </c>
      <c r="D720" s="109" t="s">
        <v>313</v>
      </c>
      <c r="E720" s="109" t="s">
        <v>273</v>
      </c>
      <c r="F720" s="109" t="s">
        <v>808</v>
      </c>
      <c r="G720" s="109" t="s">
        <v>681</v>
      </c>
      <c r="H720" s="140">
        <v>1246020</v>
      </c>
      <c r="I720" s="140">
        <v>2009246</v>
      </c>
      <c r="J720" s="26">
        <f>IF(H720&lt;&gt;"",IF(AND(C720&lt;&gt;"",IFERROR(MATCH(C720,Table10[Serial No.],0),0)),0,1),0)</f>
        <v>0</v>
      </c>
      <c r="K720" s="21"/>
      <c r="L720" s="539" t="str">
        <f t="shared" ca="1" si="111"/>
        <v/>
      </c>
    </row>
    <row r="721" spans="1:12" ht="24.75" customHeight="1" x14ac:dyDescent="0.35">
      <c r="A721" s="109">
        <v>20250153</v>
      </c>
      <c r="B721" s="609">
        <v>45805</v>
      </c>
      <c r="C721" s="109">
        <v>14403085</v>
      </c>
      <c r="D721" s="109" t="s">
        <v>313</v>
      </c>
      <c r="E721" s="109" t="s">
        <v>314</v>
      </c>
      <c r="F721" s="109" t="s">
        <v>823</v>
      </c>
      <c r="G721" s="109" t="s">
        <v>676</v>
      </c>
      <c r="H721" s="140">
        <v>2016137</v>
      </c>
      <c r="I721" s="140">
        <v>2009244</v>
      </c>
      <c r="J721" s="26">
        <f>IF(H721&lt;&gt;"",IF(AND(C721&lt;&gt;"",IFERROR(MATCH(C721,Table10[Serial No.],0),0)),0,1),0)</f>
        <v>0</v>
      </c>
      <c r="K721" s="21"/>
      <c r="L721" s="539" t="str">
        <f t="shared" ca="1" si="111"/>
        <v/>
      </c>
    </row>
    <row r="722" spans="1:12" ht="24.75" customHeight="1" x14ac:dyDescent="0.35">
      <c r="A722" s="109">
        <v>20250153</v>
      </c>
      <c r="B722" s="609">
        <v>45805</v>
      </c>
      <c r="C722" s="109">
        <v>14403086</v>
      </c>
      <c r="D722" s="109" t="s">
        <v>313</v>
      </c>
      <c r="E722" s="109" t="s">
        <v>314</v>
      </c>
      <c r="F722" s="109" t="s">
        <v>823</v>
      </c>
      <c r="G722" s="109" t="s">
        <v>676</v>
      </c>
      <c r="H722" s="140">
        <v>2016137</v>
      </c>
      <c r="I722" s="140">
        <v>2009244</v>
      </c>
      <c r="J722" s="26">
        <f>IF(H722&lt;&gt;"",IF(AND(C722&lt;&gt;"",IFERROR(MATCH(C722,Table10[Serial No.],0),0)),0,1),0)</f>
        <v>0</v>
      </c>
      <c r="K722" s="21"/>
      <c r="L722" s="539" t="str">
        <f t="shared" ca="1" si="111"/>
        <v/>
      </c>
    </row>
    <row r="723" spans="1:12" ht="24.75" customHeight="1" x14ac:dyDescent="0.35">
      <c r="A723" s="109">
        <v>20250153</v>
      </c>
      <c r="B723" s="609">
        <v>45805</v>
      </c>
      <c r="C723" s="109">
        <v>14403088</v>
      </c>
      <c r="D723" s="109" t="s">
        <v>313</v>
      </c>
      <c r="E723" s="109" t="s">
        <v>645</v>
      </c>
      <c r="F723" s="109" t="s">
        <v>808</v>
      </c>
      <c r="G723" s="109" t="s">
        <v>681</v>
      </c>
      <c r="H723" s="140">
        <v>1267027</v>
      </c>
      <c r="I723" s="140">
        <v>1283630</v>
      </c>
      <c r="J723" s="26">
        <f>IF(H723&lt;&gt;"",IF(AND(C723&lt;&gt;"",IFERROR(MATCH(C723,Table10[Serial No.],0),0)),0,1),0)</f>
        <v>0</v>
      </c>
      <c r="K723" s="21"/>
      <c r="L723" s="539" t="str">
        <f t="shared" ca="1" si="111"/>
        <v/>
      </c>
    </row>
    <row r="724" spans="1:12" ht="24.75" customHeight="1" x14ac:dyDescent="0.35">
      <c r="A724" s="109">
        <v>20250153</v>
      </c>
      <c r="B724" s="609">
        <v>45805</v>
      </c>
      <c r="C724" s="109">
        <v>14403087</v>
      </c>
      <c r="D724" s="109" t="s">
        <v>313</v>
      </c>
      <c r="E724" s="109" t="s">
        <v>645</v>
      </c>
      <c r="F724" s="109" t="s">
        <v>808</v>
      </c>
      <c r="G724" s="109" t="s">
        <v>681</v>
      </c>
      <c r="H724" s="140">
        <v>1267027</v>
      </c>
      <c r="I724" s="140">
        <v>1283630</v>
      </c>
      <c r="J724" s="26">
        <f>IF(H724&lt;&gt;"",IF(AND(C724&lt;&gt;"",IFERROR(MATCH(C724,Table10[Serial No.],0),0)),0,1),0)</f>
        <v>0</v>
      </c>
      <c r="K724" s="21"/>
      <c r="L724" s="539" t="str">
        <f t="shared" ca="1" si="111"/>
        <v/>
      </c>
    </row>
    <row r="725" spans="1:12" ht="24.75" customHeight="1" x14ac:dyDescent="0.35">
      <c r="A725" s="109">
        <v>20250153</v>
      </c>
      <c r="B725" s="609">
        <v>45805</v>
      </c>
      <c r="C725" s="109">
        <v>14403089</v>
      </c>
      <c r="D725" s="109" t="s">
        <v>315</v>
      </c>
      <c r="E725" s="109" t="s">
        <v>284</v>
      </c>
      <c r="F725" s="109" t="s">
        <v>824</v>
      </c>
      <c r="G725" s="109" t="s">
        <v>676</v>
      </c>
      <c r="H725" s="140">
        <v>1234376</v>
      </c>
      <c r="I725" s="140">
        <v>1249569</v>
      </c>
      <c r="J725" s="26">
        <f>IF(H725&lt;&gt;"",IF(AND(C725&lt;&gt;"",IFERROR(MATCH(C725,Table10[Serial No.],0),0)),0,1),0)</f>
        <v>1</v>
      </c>
      <c r="K725" s="21"/>
      <c r="L725" s="539" t="str">
        <f t="shared" ca="1" si="111"/>
        <v/>
      </c>
    </row>
    <row r="726" spans="1:12" ht="24.75" customHeight="1" x14ac:dyDescent="0.35">
      <c r="A726" s="109">
        <v>20250153</v>
      </c>
      <c r="B726" s="609">
        <v>45805</v>
      </c>
      <c r="C726" s="109">
        <v>14403090</v>
      </c>
      <c r="D726" s="109" t="s">
        <v>315</v>
      </c>
      <c r="E726" s="109" t="s">
        <v>684</v>
      </c>
      <c r="F726" s="109" t="s">
        <v>811</v>
      </c>
      <c r="G726" s="109" t="s">
        <v>676</v>
      </c>
      <c r="H726" s="140">
        <v>1245431</v>
      </c>
      <c r="I726" s="140">
        <v>1251098</v>
      </c>
      <c r="J726" s="26">
        <f>IF(H726&lt;&gt;"",IF(AND(C726&lt;&gt;"",IFERROR(MATCH(C726,Table10[Serial No.],0),0)),0,1),0)</f>
        <v>1</v>
      </c>
      <c r="K726" s="21"/>
      <c r="L726" s="539" t="str">
        <f t="shared" ca="1" si="111"/>
        <v/>
      </c>
    </row>
    <row r="727" spans="1:12" ht="24.75" customHeight="1" x14ac:dyDescent="0.35">
      <c r="A727" s="109">
        <v>20250153</v>
      </c>
      <c r="B727" s="609">
        <v>45805</v>
      </c>
      <c r="C727" s="109">
        <v>14403091</v>
      </c>
      <c r="D727" s="109" t="s">
        <v>316</v>
      </c>
      <c r="E727" s="109" t="s">
        <v>291</v>
      </c>
      <c r="F727" s="109" t="s">
        <v>825</v>
      </c>
      <c r="G727" s="109" t="s">
        <v>676</v>
      </c>
      <c r="H727" s="140">
        <v>1228782</v>
      </c>
      <c r="I727" s="140">
        <v>1058252</v>
      </c>
      <c r="J727" s="26">
        <f>IF(H727&lt;&gt;"",IF(AND(C727&lt;&gt;"",IFERROR(MATCH(C727,Table10[Serial No.],0),0)),0,1),0)</f>
        <v>1</v>
      </c>
      <c r="K727" s="21"/>
      <c r="L727" s="539" t="str">
        <f t="shared" ca="1" si="111"/>
        <v/>
      </c>
    </row>
    <row r="728" spans="1:12" ht="24.75" customHeight="1" x14ac:dyDescent="0.35">
      <c r="A728" s="109">
        <v>20250153</v>
      </c>
      <c r="B728" s="609">
        <v>45805</v>
      </c>
      <c r="C728" s="109">
        <v>14403092</v>
      </c>
      <c r="D728" s="109" t="s">
        <v>316</v>
      </c>
      <c r="E728" s="109" t="s">
        <v>820</v>
      </c>
      <c r="F728" s="109" t="s">
        <v>826</v>
      </c>
      <c r="G728" s="109" t="s">
        <v>681</v>
      </c>
      <c r="H728" s="140">
        <v>1239258</v>
      </c>
      <c r="I728" s="140">
        <v>1058252</v>
      </c>
      <c r="J728" s="26">
        <f>IF(H728&lt;&gt;"",IF(AND(C728&lt;&gt;"",IFERROR(MATCH(C728,Table10[Serial No.],0),0)),0,1),0)</f>
        <v>1</v>
      </c>
      <c r="K728" s="21"/>
      <c r="L728" s="539" t="str">
        <f t="shared" ca="1" si="111"/>
        <v/>
      </c>
    </row>
    <row r="729" spans="1:12" ht="24.75" customHeight="1" x14ac:dyDescent="0.35">
      <c r="A729" s="109">
        <v>20250153</v>
      </c>
      <c r="B729" s="609">
        <v>45805</v>
      </c>
      <c r="C729" s="109">
        <v>14407334</v>
      </c>
      <c r="D729" s="109" t="s">
        <v>319</v>
      </c>
      <c r="E729" s="109" t="s">
        <v>665</v>
      </c>
      <c r="F729" s="109" t="s">
        <v>817</v>
      </c>
      <c r="G729" s="109" t="s">
        <v>676</v>
      </c>
      <c r="H729" s="140">
        <v>1231398</v>
      </c>
      <c r="I729" s="140">
        <v>1207425</v>
      </c>
      <c r="J729" s="26">
        <f>IF(H729&lt;&gt;"",IF(AND(C729&lt;&gt;"",IFERROR(MATCH(C729,Table10[Serial No.],0),0)),0,1),0)</f>
        <v>1</v>
      </c>
      <c r="K729" s="21"/>
      <c r="L729" s="539" t="str">
        <f t="shared" ca="1" si="111"/>
        <v/>
      </c>
    </row>
    <row r="730" spans="1:12" ht="24.75" customHeight="1" x14ac:dyDescent="0.35">
      <c r="A730" s="132">
        <v>20250153</v>
      </c>
      <c r="B730" s="609">
        <v>45805</v>
      </c>
      <c r="C730" s="132">
        <v>14403803</v>
      </c>
      <c r="D730" s="132" t="s">
        <v>316</v>
      </c>
      <c r="E730" s="132" t="s">
        <v>721</v>
      </c>
      <c r="F730" s="132" t="s">
        <v>827</v>
      </c>
      <c r="G730" s="132" t="s">
        <v>681</v>
      </c>
      <c r="H730" s="141">
        <v>2019988</v>
      </c>
      <c r="I730" s="141">
        <v>1266749</v>
      </c>
      <c r="J730" s="26">
        <f>IF(H730&lt;&gt;"",IF(AND(C730&lt;&gt;"",IFERROR(MATCH(C730,Table10[Serial No.],0),0)),0,1),0)</f>
        <v>0</v>
      </c>
      <c r="K730" s="21"/>
      <c r="L730" s="539" t="str">
        <f t="shared" ca="1" si="111"/>
        <v/>
      </c>
    </row>
    <row r="731" spans="1:12" ht="24.75" customHeight="1" x14ac:dyDescent="0.35">
      <c r="A731" s="132">
        <v>20250172</v>
      </c>
      <c r="B731" s="609">
        <v>45827</v>
      </c>
      <c r="C731" s="132">
        <v>14414031</v>
      </c>
      <c r="D731" s="132" t="s">
        <v>624</v>
      </c>
      <c r="E731" s="132" t="s">
        <v>275</v>
      </c>
      <c r="F731" s="132"/>
      <c r="G731" s="132"/>
      <c r="H731" s="141">
        <v>1269498</v>
      </c>
      <c r="I731" s="141">
        <v>1276939</v>
      </c>
      <c r="J731" s="26">
        <f>IF(H731&lt;&gt;"",IF(AND(C731&lt;&gt;"",IFERROR(MATCH(C731,Table10[Serial No.],0),0)),0,1),0)</f>
        <v>0</v>
      </c>
      <c r="K731" s="21"/>
      <c r="L731" s="539" t="str">
        <f t="shared" ca="1" si="111"/>
        <v/>
      </c>
    </row>
    <row r="732" spans="1:12" ht="24.75" customHeight="1" x14ac:dyDescent="0.35">
      <c r="A732" s="109">
        <v>20250172</v>
      </c>
      <c r="B732" s="608">
        <v>45827</v>
      </c>
      <c r="C732" s="109">
        <v>14414023</v>
      </c>
      <c r="D732" s="109" t="s">
        <v>624</v>
      </c>
      <c r="E732" s="109" t="s">
        <v>275</v>
      </c>
      <c r="F732" s="109"/>
      <c r="G732" s="109"/>
      <c r="H732" s="140">
        <v>1269498</v>
      </c>
      <c r="I732" s="140">
        <v>1276939</v>
      </c>
      <c r="J732" s="26">
        <f>IF(H732&lt;&gt;"",IF(AND(C732&lt;&gt;"",IFERROR(MATCH(C732,Table10[Serial No.],0),0)),0,1),0)</f>
        <v>0</v>
      </c>
      <c r="K732" s="21"/>
      <c r="L732" s="539" t="str">
        <f t="shared" ca="1" si="111"/>
        <v/>
      </c>
    </row>
    <row r="733" spans="1:12" ht="24.75" customHeight="1" x14ac:dyDescent="0.35">
      <c r="A733" s="109">
        <v>20250172</v>
      </c>
      <c r="B733" s="608">
        <v>45827</v>
      </c>
      <c r="C733" s="109">
        <v>14414024</v>
      </c>
      <c r="D733" s="109" t="s">
        <v>624</v>
      </c>
      <c r="E733" s="109" t="s">
        <v>275</v>
      </c>
      <c r="F733" s="109"/>
      <c r="G733" s="109"/>
      <c r="H733" s="140">
        <v>1269498</v>
      </c>
      <c r="I733" s="140">
        <v>1276939</v>
      </c>
      <c r="J733" s="26">
        <f>IF(H733&lt;&gt;"",IF(AND(C733&lt;&gt;"",IFERROR(MATCH(C733,Table10[Serial No.],0),0)),0,1),0)</f>
        <v>0</v>
      </c>
      <c r="K733" s="21"/>
      <c r="L733" s="539" t="str">
        <f t="shared" ca="1" si="111"/>
        <v/>
      </c>
    </row>
    <row r="734" spans="1:12" ht="24.75" customHeight="1" x14ac:dyDescent="0.35">
      <c r="A734" s="109">
        <v>20250172</v>
      </c>
      <c r="B734" s="608">
        <v>45827</v>
      </c>
      <c r="C734" s="109">
        <v>14414025</v>
      </c>
      <c r="D734" s="109" t="s">
        <v>624</v>
      </c>
      <c r="E734" s="109" t="s">
        <v>275</v>
      </c>
      <c r="F734" s="109"/>
      <c r="G734" s="109"/>
      <c r="H734" s="140">
        <v>1269498</v>
      </c>
      <c r="I734" s="140">
        <v>1276939</v>
      </c>
      <c r="J734" s="26">
        <f>IF(H734&lt;&gt;"",IF(AND(C734&lt;&gt;"",IFERROR(MATCH(C734,Table10[Serial No.],0),0)),0,1),0)</f>
        <v>0</v>
      </c>
      <c r="K734" s="21"/>
      <c r="L734" s="539" t="str">
        <f t="shared" ca="1" si="111"/>
        <v/>
      </c>
    </row>
    <row r="735" spans="1:12" ht="24.75" customHeight="1" x14ac:dyDescent="0.35">
      <c r="A735" s="109">
        <v>20250172</v>
      </c>
      <c r="B735" s="608">
        <v>45827</v>
      </c>
      <c r="C735" s="109">
        <v>14414026</v>
      </c>
      <c r="D735" s="109" t="s">
        <v>624</v>
      </c>
      <c r="E735" s="109" t="s">
        <v>275</v>
      </c>
      <c r="F735" s="109"/>
      <c r="G735" s="109"/>
      <c r="H735" s="140">
        <v>1269498</v>
      </c>
      <c r="I735" s="140">
        <v>1276939</v>
      </c>
      <c r="J735" s="26">
        <f>IF(H735&lt;&gt;"",IF(AND(C735&lt;&gt;"",IFERROR(MATCH(C735,Table10[Serial No.],0),0)),0,1),0)</f>
        <v>0</v>
      </c>
      <c r="K735" s="21"/>
      <c r="L735" s="539" t="str">
        <f t="shared" ca="1" si="111"/>
        <v/>
      </c>
    </row>
    <row r="736" spans="1:12" ht="24.75" customHeight="1" x14ac:dyDescent="0.35">
      <c r="A736" s="109">
        <v>20250172</v>
      </c>
      <c r="B736" s="608">
        <v>45827</v>
      </c>
      <c r="C736" s="109">
        <v>14414028</v>
      </c>
      <c r="D736" s="109" t="s">
        <v>624</v>
      </c>
      <c r="E736" s="109" t="s">
        <v>275</v>
      </c>
      <c r="F736" s="109"/>
      <c r="G736" s="109"/>
      <c r="H736" s="140">
        <v>1269498</v>
      </c>
      <c r="I736" s="140">
        <v>1276939</v>
      </c>
      <c r="J736" s="26">
        <f>IF(H736&lt;&gt;"",IF(AND(C736&lt;&gt;"",IFERROR(MATCH(C736,Table10[Serial No.],0),0)),0,1),0)</f>
        <v>0</v>
      </c>
      <c r="K736" s="21"/>
      <c r="L736" s="539" t="str">
        <f t="shared" ca="1" si="111"/>
        <v/>
      </c>
    </row>
    <row r="737" spans="1:12" ht="24.75" customHeight="1" x14ac:dyDescent="0.35">
      <c r="A737" s="109">
        <v>20250172</v>
      </c>
      <c r="B737" s="608">
        <v>45827</v>
      </c>
      <c r="C737" s="109">
        <v>14414029</v>
      </c>
      <c r="D737" s="109" t="s">
        <v>624</v>
      </c>
      <c r="E737" s="109" t="s">
        <v>275</v>
      </c>
      <c r="F737" s="109"/>
      <c r="G737" s="109"/>
      <c r="H737" s="140">
        <v>1269498</v>
      </c>
      <c r="I737" s="140">
        <v>1276939</v>
      </c>
      <c r="J737" s="26">
        <f>IF(H737&lt;&gt;"",IF(AND(C737&lt;&gt;"",IFERROR(MATCH(C737,Table10[Serial No.],0),0)),0,1),0)</f>
        <v>0</v>
      </c>
      <c r="K737" s="21"/>
      <c r="L737" s="539" t="str">
        <f t="shared" ca="1" si="111"/>
        <v/>
      </c>
    </row>
    <row r="738" spans="1:12" ht="24.75" customHeight="1" x14ac:dyDescent="0.35">
      <c r="A738" s="109">
        <v>20250172</v>
      </c>
      <c r="B738" s="608">
        <v>45827</v>
      </c>
      <c r="C738" s="109">
        <v>14414027</v>
      </c>
      <c r="D738" s="109" t="s">
        <v>624</v>
      </c>
      <c r="E738" s="109" t="s">
        <v>275</v>
      </c>
      <c r="F738" s="109"/>
      <c r="G738" s="109"/>
      <c r="H738" s="140">
        <v>1269498</v>
      </c>
      <c r="I738" s="140">
        <v>1276939</v>
      </c>
      <c r="J738" s="26">
        <f>IF(H738&lt;&gt;"",IF(AND(C738&lt;&gt;"",IFERROR(MATCH(C738,Table10[Serial No.],0),0)),0,1),0)</f>
        <v>0</v>
      </c>
      <c r="K738" s="21"/>
      <c r="L738" s="539" t="str">
        <f t="shared" ca="1" si="111"/>
        <v/>
      </c>
    </row>
    <row r="739" spans="1:12" ht="24.75" customHeight="1" x14ac:dyDescent="0.35">
      <c r="A739" s="109">
        <v>20250172</v>
      </c>
      <c r="B739" s="608">
        <v>45827</v>
      </c>
      <c r="C739" s="109">
        <v>14414032</v>
      </c>
      <c r="D739" s="109" t="s">
        <v>624</v>
      </c>
      <c r="E739" s="109" t="s">
        <v>275</v>
      </c>
      <c r="F739" s="109"/>
      <c r="G739" s="109"/>
      <c r="H739" s="140">
        <v>1269498</v>
      </c>
      <c r="I739" s="140">
        <v>1276939</v>
      </c>
      <c r="J739" s="26">
        <f>IF(H739&lt;&gt;"",IF(AND(C739&lt;&gt;"",IFERROR(MATCH(C739,Table10[Serial No.],0),0)),0,1),0)</f>
        <v>0</v>
      </c>
      <c r="K739" s="21"/>
      <c r="L739" s="539" t="str">
        <f t="shared" ca="1" si="111"/>
        <v/>
      </c>
    </row>
    <row r="740" spans="1:12" ht="24.75" customHeight="1" x14ac:dyDescent="0.35">
      <c r="A740" s="132">
        <v>20250172</v>
      </c>
      <c r="B740" s="608">
        <v>45827</v>
      </c>
      <c r="C740" s="132">
        <v>14414030</v>
      </c>
      <c r="D740" s="132" t="s">
        <v>624</v>
      </c>
      <c r="E740" s="132" t="s">
        <v>275</v>
      </c>
      <c r="F740" s="132"/>
      <c r="G740" s="132"/>
      <c r="H740" s="141">
        <v>1269498</v>
      </c>
      <c r="I740" s="141">
        <v>1276939</v>
      </c>
      <c r="J740" s="26">
        <f>IF(H740&lt;&gt;"",IF(AND(C740&lt;&gt;"",IFERROR(MATCH(C740,Table10[Serial No.],0),0)),0,1),0)</f>
        <v>0</v>
      </c>
      <c r="K740" s="21"/>
      <c r="L740" s="539" t="str">
        <f t="shared" ca="1" si="111"/>
        <v/>
      </c>
    </row>
    <row r="741" spans="1:12" ht="24.75" customHeight="1" x14ac:dyDescent="0.35">
      <c r="A741" s="132">
        <v>20250172</v>
      </c>
      <c r="B741" s="609">
        <v>45827</v>
      </c>
      <c r="C741" s="132">
        <v>14414769</v>
      </c>
      <c r="D741" s="132" t="s">
        <v>631</v>
      </c>
      <c r="E741" s="132" t="s">
        <v>645</v>
      </c>
      <c r="F741" s="132"/>
      <c r="G741" s="132"/>
      <c r="H741" s="141">
        <v>2017993</v>
      </c>
      <c r="I741" s="141">
        <v>2021865</v>
      </c>
      <c r="J741" s="26">
        <f>IF(H741&lt;&gt;"",IF(AND(C741&lt;&gt;"",IFERROR(MATCH(C741,Table10[Serial No.],0),0)),0,1),0)</f>
        <v>0</v>
      </c>
      <c r="K741" s="21"/>
      <c r="L741" s="539" t="str">
        <f t="shared" si="111"/>
        <v/>
      </c>
    </row>
    <row r="742" spans="1:12" ht="24.75" customHeight="1" x14ac:dyDescent="0.35">
      <c r="A742" s="109">
        <v>20250172</v>
      </c>
      <c r="B742" s="608">
        <v>45827</v>
      </c>
      <c r="C742" s="109">
        <v>14414768</v>
      </c>
      <c r="D742" s="109" t="s">
        <v>631</v>
      </c>
      <c r="E742" s="109" t="s">
        <v>645</v>
      </c>
      <c r="F742" s="109"/>
      <c r="G742" s="109"/>
      <c r="H742" s="140">
        <v>2017993</v>
      </c>
      <c r="I742" s="140">
        <v>2021865</v>
      </c>
      <c r="J742" s="26">
        <f>IF(H742&lt;&gt;"",IF(AND(C742&lt;&gt;"",IFERROR(MATCH(C742,Table10[Serial No.],0),0)),0,1),0)</f>
        <v>0</v>
      </c>
      <c r="K742" s="21"/>
      <c r="L742" s="539" t="str">
        <f t="shared" si="111"/>
        <v/>
      </c>
    </row>
    <row r="743" spans="1:12" ht="24.75" customHeight="1" x14ac:dyDescent="0.35">
      <c r="A743" s="109">
        <v>20250172</v>
      </c>
      <c r="B743" s="609">
        <v>45827</v>
      </c>
      <c r="C743" s="109">
        <v>14414770</v>
      </c>
      <c r="D743" s="109" t="s">
        <v>631</v>
      </c>
      <c r="E743" s="109" t="s">
        <v>645</v>
      </c>
      <c r="F743" s="109"/>
      <c r="G743" s="109"/>
      <c r="H743" s="140">
        <v>2017993</v>
      </c>
      <c r="I743" s="140">
        <v>2021865</v>
      </c>
      <c r="J743" s="26">
        <f>IF(H743&lt;&gt;"",IF(AND(C743&lt;&gt;"",IFERROR(MATCH(C743,Table10[Serial No.],0),0)),0,1),0)</f>
        <v>0</v>
      </c>
      <c r="K743" s="21"/>
      <c r="L743" s="539" t="str">
        <f t="shared" si="111"/>
        <v/>
      </c>
    </row>
    <row r="744" spans="1:12" ht="24.75" customHeight="1" x14ac:dyDescent="0.35">
      <c r="A744" s="132">
        <v>20250172</v>
      </c>
      <c r="B744" s="608">
        <v>45827</v>
      </c>
      <c r="C744" s="132">
        <v>14414771</v>
      </c>
      <c r="D744" s="132" t="s">
        <v>631</v>
      </c>
      <c r="E744" s="132" t="s">
        <v>645</v>
      </c>
      <c r="F744" s="132"/>
      <c r="G744" s="132"/>
      <c r="H744" s="141">
        <v>2017993</v>
      </c>
      <c r="I744" s="141">
        <v>2021865</v>
      </c>
      <c r="J744" s="26">
        <f>IF(H744&lt;&gt;"",IF(AND(C744&lt;&gt;"",IFERROR(MATCH(C744,Table10[Serial No.],0),0)),0,1),0)</f>
        <v>0</v>
      </c>
      <c r="K744" s="21"/>
      <c r="L744" s="539" t="str">
        <f t="shared" si="111"/>
        <v/>
      </c>
    </row>
    <row r="745" spans="1:12" ht="24.75" customHeight="1" x14ac:dyDescent="0.35">
      <c r="A745" s="109">
        <v>20250178</v>
      </c>
      <c r="B745" s="608">
        <v>45833</v>
      </c>
      <c r="C745" s="109">
        <v>14418428</v>
      </c>
      <c r="D745" s="109" t="s">
        <v>304</v>
      </c>
      <c r="E745" s="109" t="s">
        <v>630</v>
      </c>
      <c r="F745" s="109" t="s">
        <v>828</v>
      </c>
      <c r="G745" s="109" t="s">
        <v>676</v>
      </c>
      <c r="H745" s="140">
        <v>1228690</v>
      </c>
      <c r="I745" s="140">
        <v>960723</v>
      </c>
      <c r="J745" s="26">
        <f>IF(H745&lt;&gt;"",IF(AND(C745&lt;&gt;"",IFERROR(MATCH(C745,Table10[Serial No.],0),0)),0,1),0)</f>
        <v>1</v>
      </c>
      <c r="K745" s="21"/>
      <c r="L745" s="539" t="str">
        <f t="shared" ca="1" si="111"/>
        <v/>
      </c>
    </row>
    <row r="746" spans="1:12" ht="24.75" customHeight="1" x14ac:dyDescent="0.35">
      <c r="A746" s="109">
        <v>20250178</v>
      </c>
      <c r="B746" s="608">
        <v>45833</v>
      </c>
      <c r="C746" s="109">
        <v>14418426</v>
      </c>
      <c r="D746" s="109" t="s">
        <v>304</v>
      </c>
      <c r="E746" s="109" t="s">
        <v>630</v>
      </c>
      <c r="F746" s="109" t="s">
        <v>828</v>
      </c>
      <c r="G746" s="109" t="s">
        <v>676</v>
      </c>
      <c r="H746" s="140">
        <v>1228690</v>
      </c>
      <c r="I746" s="140">
        <v>960723</v>
      </c>
      <c r="J746" s="26">
        <f>IF(H746&lt;&gt;"",IF(AND(C746&lt;&gt;"",IFERROR(MATCH(C746,Table10[Serial No.],0),0)),0,1),0)</f>
        <v>1</v>
      </c>
      <c r="K746" s="21"/>
      <c r="L746" s="539" t="str">
        <f t="shared" ca="1" si="111"/>
        <v/>
      </c>
    </row>
    <row r="747" spans="1:12" ht="24.75" customHeight="1" x14ac:dyDescent="0.35">
      <c r="A747" s="109">
        <v>20250178</v>
      </c>
      <c r="B747" s="608">
        <v>45833</v>
      </c>
      <c r="C747" s="109">
        <v>14418429</v>
      </c>
      <c r="D747" s="109" t="s">
        <v>304</v>
      </c>
      <c r="E747" s="109" t="s">
        <v>630</v>
      </c>
      <c r="F747" s="109" t="s">
        <v>828</v>
      </c>
      <c r="G747" s="109" t="s">
        <v>676</v>
      </c>
      <c r="H747" s="140">
        <v>1228690</v>
      </c>
      <c r="I747" s="140">
        <v>960723</v>
      </c>
      <c r="J747" s="26">
        <f>IF(H747&lt;&gt;"",IF(AND(C747&lt;&gt;"",IFERROR(MATCH(C747,Table10[Serial No.],0),0)),0,1),0)</f>
        <v>1</v>
      </c>
      <c r="K747" s="21"/>
      <c r="L747" s="539" t="str">
        <f t="shared" ca="1" si="111"/>
        <v/>
      </c>
    </row>
    <row r="748" spans="1:12" ht="24.75" customHeight="1" x14ac:dyDescent="0.35">
      <c r="A748" s="109">
        <v>20250178</v>
      </c>
      <c r="B748" s="608">
        <v>45833</v>
      </c>
      <c r="C748" s="109">
        <v>14418427</v>
      </c>
      <c r="D748" s="109" t="s">
        <v>304</v>
      </c>
      <c r="E748" s="109" t="s">
        <v>630</v>
      </c>
      <c r="F748" s="109" t="s">
        <v>828</v>
      </c>
      <c r="G748" s="109" t="s">
        <v>676</v>
      </c>
      <c r="H748" s="140">
        <v>1228690</v>
      </c>
      <c r="I748" s="140">
        <v>960723</v>
      </c>
      <c r="J748" s="26">
        <f>IF(H748&lt;&gt;"",IF(AND(C748&lt;&gt;"",IFERROR(MATCH(C748,Table10[Serial No.],0),0)),0,1),0)</f>
        <v>1</v>
      </c>
      <c r="K748" s="21"/>
      <c r="L748" s="539" t="str">
        <f t="shared" ca="1" si="111"/>
        <v/>
      </c>
    </row>
    <row r="749" spans="1:12" ht="24.75" customHeight="1" x14ac:dyDescent="0.35">
      <c r="A749" s="109">
        <v>20250178</v>
      </c>
      <c r="B749" s="608">
        <v>45833</v>
      </c>
      <c r="C749" s="109">
        <v>14418431</v>
      </c>
      <c r="D749" s="109" t="s">
        <v>631</v>
      </c>
      <c r="E749" s="109" t="s">
        <v>645</v>
      </c>
      <c r="F749" s="109" t="s">
        <v>829</v>
      </c>
      <c r="G749" s="109" t="s">
        <v>681</v>
      </c>
      <c r="H749" s="140">
        <v>2017993</v>
      </c>
      <c r="I749" s="140">
        <v>2021865</v>
      </c>
      <c r="J749" s="26">
        <f>IF(H749&lt;&gt;"",IF(AND(C749&lt;&gt;"",IFERROR(MATCH(C749,Table10[Serial No.],0),0)),0,1),0)</f>
        <v>0</v>
      </c>
      <c r="K749" s="21"/>
      <c r="L749" s="539" t="str">
        <f t="shared" si="111"/>
        <v/>
      </c>
    </row>
    <row r="750" spans="1:12" ht="24.75" customHeight="1" x14ac:dyDescent="0.35">
      <c r="A750" s="109">
        <v>20250178</v>
      </c>
      <c r="B750" s="608">
        <v>45833</v>
      </c>
      <c r="C750" s="109">
        <v>14418433</v>
      </c>
      <c r="D750" s="109" t="s">
        <v>631</v>
      </c>
      <c r="E750" s="109" t="s">
        <v>645</v>
      </c>
      <c r="F750" s="109" t="s">
        <v>829</v>
      </c>
      <c r="G750" s="109" t="s">
        <v>681</v>
      </c>
      <c r="H750" s="140">
        <v>2017993</v>
      </c>
      <c r="I750" s="140">
        <v>2021865</v>
      </c>
      <c r="J750" s="26">
        <f>IF(H750&lt;&gt;"",IF(AND(C750&lt;&gt;"",IFERROR(MATCH(C750,Table10[Serial No.],0),0)),0,1),0)</f>
        <v>0</v>
      </c>
      <c r="K750" s="21"/>
      <c r="L750" s="539" t="str">
        <f t="shared" si="111"/>
        <v/>
      </c>
    </row>
    <row r="751" spans="1:12" ht="24.75" customHeight="1" x14ac:dyDescent="0.35">
      <c r="A751" s="109">
        <v>20250178</v>
      </c>
      <c r="B751" s="608">
        <v>45833</v>
      </c>
      <c r="C751" s="109">
        <v>14418430</v>
      </c>
      <c r="D751" s="109" t="s">
        <v>631</v>
      </c>
      <c r="E751" s="109" t="s">
        <v>645</v>
      </c>
      <c r="F751" s="109" t="s">
        <v>829</v>
      </c>
      <c r="G751" s="109" t="s">
        <v>681</v>
      </c>
      <c r="H751" s="140">
        <v>2017993</v>
      </c>
      <c r="I751" s="140">
        <v>2021865</v>
      </c>
      <c r="J751" s="26">
        <f>IF(H751&lt;&gt;"",IF(AND(C751&lt;&gt;"",IFERROR(MATCH(C751,Table10[Serial No.],0),0)),0,1),0)</f>
        <v>0</v>
      </c>
      <c r="K751" s="21"/>
      <c r="L751" s="539" t="str">
        <f t="shared" si="111"/>
        <v/>
      </c>
    </row>
    <row r="752" spans="1:12" ht="24.75" customHeight="1" x14ac:dyDescent="0.35">
      <c r="A752" s="109">
        <v>20250178</v>
      </c>
      <c r="B752" s="608">
        <v>45833</v>
      </c>
      <c r="C752" s="109">
        <v>14418432</v>
      </c>
      <c r="D752" s="109" t="s">
        <v>631</v>
      </c>
      <c r="E752" s="109" t="s">
        <v>645</v>
      </c>
      <c r="F752" s="109" t="s">
        <v>829</v>
      </c>
      <c r="G752" s="109" t="s">
        <v>681</v>
      </c>
      <c r="H752" s="140">
        <v>2017993</v>
      </c>
      <c r="I752" s="140">
        <v>2021865</v>
      </c>
      <c r="J752" s="26">
        <f>IF(H752&lt;&gt;"",IF(AND(C752&lt;&gt;"",IFERROR(MATCH(C752,Table10[Serial No.],0),0)),0,1),0)</f>
        <v>0</v>
      </c>
      <c r="K752" s="21"/>
      <c r="L752" s="539" t="str">
        <f t="shared" si="111"/>
        <v/>
      </c>
    </row>
    <row r="753" spans="1:12" ht="24.75" customHeight="1" x14ac:dyDescent="0.35">
      <c r="A753" s="109">
        <v>20250178</v>
      </c>
      <c r="B753" s="608">
        <v>45833</v>
      </c>
      <c r="C753" s="109">
        <v>14418435</v>
      </c>
      <c r="D753" s="109" t="s">
        <v>631</v>
      </c>
      <c r="E753" s="109" t="s">
        <v>645</v>
      </c>
      <c r="F753" s="109" t="s">
        <v>829</v>
      </c>
      <c r="G753" s="109" t="s">
        <v>681</v>
      </c>
      <c r="H753" s="140">
        <v>2017993</v>
      </c>
      <c r="I753" s="140">
        <v>2021865</v>
      </c>
      <c r="J753" s="26">
        <f>IF(H753&lt;&gt;"",IF(AND(C753&lt;&gt;"",IFERROR(MATCH(C753,Table10[Serial No.],0),0)),0,1),0)</f>
        <v>0</v>
      </c>
      <c r="K753" s="21"/>
      <c r="L753" s="539" t="str">
        <f t="shared" si="111"/>
        <v/>
      </c>
    </row>
    <row r="754" spans="1:12" ht="24.75" customHeight="1" x14ac:dyDescent="0.35">
      <c r="A754" s="109">
        <v>20250178</v>
      </c>
      <c r="B754" s="608">
        <v>45833</v>
      </c>
      <c r="C754" s="109">
        <v>14418434</v>
      </c>
      <c r="D754" s="109" t="s">
        <v>631</v>
      </c>
      <c r="E754" s="109" t="s">
        <v>645</v>
      </c>
      <c r="F754" s="109" t="s">
        <v>829</v>
      </c>
      <c r="G754" s="109" t="s">
        <v>681</v>
      </c>
      <c r="H754" s="140">
        <v>2017993</v>
      </c>
      <c r="I754" s="140">
        <v>2021865</v>
      </c>
      <c r="J754" s="26">
        <f>IF(H754&lt;&gt;"",IF(AND(C754&lt;&gt;"",IFERROR(MATCH(C754,Table10[Serial No.],0),0)),0,1),0)</f>
        <v>0</v>
      </c>
      <c r="K754" s="21"/>
      <c r="L754" s="539" t="str">
        <f t="shared" si="111"/>
        <v/>
      </c>
    </row>
    <row r="755" spans="1:12" ht="24.75" customHeight="1" x14ac:dyDescent="0.35">
      <c r="A755" s="109">
        <v>20250178</v>
      </c>
      <c r="B755" s="608">
        <v>45833</v>
      </c>
      <c r="C755" s="109">
        <v>14418436</v>
      </c>
      <c r="D755" s="109" t="s">
        <v>631</v>
      </c>
      <c r="E755" s="109" t="s">
        <v>645</v>
      </c>
      <c r="F755" s="109" t="s">
        <v>829</v>
      </c>
      <c r="G755" s="109" t="s">
        <v>681</v>
      </c>
      <c r="H755" s="140">
        <v>2017993</v>
      </c>
      <c r="I755" s="140">
        <v>2021865</v>
      </c>
      <c r="J755" s="26">
        <f>IF(H755&lt;&gt;"",IF(AND(C755&lt;&gt;"",IFERROR(MATCH(C755,Table10[Serial No.],0),0)),0,1),0)</f>
        <v>0</v>
      </c>
      <c r="K755" s="21"/>
      <c r="L755" s="539" t="str">
        <f t="shared" si="111"/>
        <v/>
      </c>
    </row>
    <row r="756" spans="1:12" ht="24.75" customHeight="1" x14ac:dyDescent="0.35">
      <c r="A756" s="109">
        <v>20250178</v>
      </c>
      <c r="B756" s="608">
        <v>45833</v>
      </c>
      <c r="C756" s="109">
        <v>14418437</v>
      </c>
      <c r="D756" s="109" t="s">
        <v>313</v>
      </c>
      <c r="E756" s="109" t="s">
        <v>273</v>
      </c>
      <c r="F756" s="109" t="s">
        <v>830</v>
      </c>
      <c r="G756" s="109" t="s">
        <v>681</v>
      </c>
      <c r="H756" s="140">
        <v>1246020</v>
      </c>
      <c r="I756" s="140">
        <v>2009246</v>
      </c>
      <c r="J756" s="26">
        <f>IF(H756&lt;&gt;"",IF(AND(C756&lt;&gt;"",IFERROR(MATCH(C756,Table10[Serial No.],0),0)),0,1),0)</f>
        <v>0</v>
      </c>
      <c r="K756" s="21"/>
      <c r="L756" s="539" t="str">
        <f t="shared" ca="1" si="111"/>
        <v/>
      </c>
    </row>
    <row r="757" spans="1:12" ht="24.75" customHeight="1" x14ac:dyDescent="0.35">
      <c r="A757" s="109">
        <v>20250178</v>
      </c>
      <c r="B757" s="608">
        <v>45833</v>
      </c>
      <c r="C757" s="109">
        <v>14418439</v>
      </c>
      <c r="D757" s="109" t="s">
        <v>313</v>
      </c>
      <c r="E757" s="109" t="s">
        <v>314</v>
      </c>
      <c r="F757" s="109" t="s">
        <v>831</v>
      </c>
      <c r="G757" s="109" t="s">
        <v>676</v>
      </c>
      <c r="H757" s="140">
        <v>2016137</v>
      </c>
      <c r="I757" s="140" t="s">
        <v>775</v>
      </c>
      <c r="J757" s="26">
        <f>IF(H757&lt;&gt;"",IF(AND(C757&lt;&gt;"",IFERROR(MATCH(C757,Table10[Serial No.],0),0)),0,1),0)</f>
        <v>0</v>
      </c>
      <c r="K757" s="21"/>
      <c r="L757" s="539" t="str">
        <f t="shared" si="111"/>
        <v/>
      </c>
    </row>
    <row r="758" spans="1:12" ht="24.75" customHeight="1" x14ac:dyDescent="0.35">
      <c r="A758" s="109">
        <v>20250178</v>
      </c>
      <c r="B758" s="608">
        <v>45833</v>
      </c>
      <c r="C758" s="109">
        <v>14418440</v>
      </c>
      <c r="D758" s="109" t="s">
        <v>313</v>
      </c>
      <c r="E758" s="109" t="s">
        <v>314</v>
      </c>
      <c r="F758" s="109" t="s">
        <v>831</v>
      </c>
      <c r="G758" s="109" t="s">
        <v>676</v>
      </c>
      <c r="H758" s="140">
        <v>2016137</v>
      </c>
      <c r="I758" s="140" t="s">
        <v>775</v>
      </c>
      <c r="J758" s="26">
        <f>IF(H758&lt;&gt;"",IF(AND(C758&lt;&gt;"",IFERROR(MATCH(C758,Table10[Serial No.],0),0)),0,1),0)</f>
        <v>0</v>
      </c>
      <c r="K758" s="21"/>
      <c r="L758" s="539" t="str">
        <f t="shared" si="111"/>
        <v/>
      </c>
    </row>
    <row r="759" spans="1:12" ht="24.75" customHeight="1" x14ac:dyDescent="0.35">
      <c r="A759" s="109">
        <v>20250178</v>
      </c>
      <c r="B759" s="608">
        <v>45833</v>
      </c>
      <c r="C759" s="109">
        <v>14418438</v>
      </c>
      <c r="D759" s="109" t="s">
        <v>313</v>
      </c>
      <c r="E759" s="109" t="s">
        <v>314</v>
      </c>
      <c r="F759" s="109" t="s">
        <v>831</v>
      </c>
      <c r="G759" s="109" t="s">
        <v>676</v>
      </c>
      <c r="H759" s="140">
        <v>2016137</v>
      </c>
      <c r="I759" s="140" t="s">
        <v>775</v>
      </c>
      <c r="J759" s="26">
        <f>IF(H759&lt;&gt;"",IF(AND(C759&lt;&gt;"",IFERROR(MATCH(C759,Table10[Serial No.],0),0)),0,1),0)</f>
        <v>1</v>
      </c>
      <c r="K759" s="21"/>
      <c r="L759" s="539" t="str">
        <f t="shared" si="111"/>
        <v/>
      </c>
    </row>
    <row r="760" spans="1:12" ht="24.75" customHeight="1" x14ac:dyDescent="0.35">
      <c r="A760" s="109">
        <v>20250178</v>
      </c>
      <c r="B760" s="608">
        <v>45833</v>
      </c>
      <c r="C760" s="109">
        <v>14418441</v>
      </c>
      <c r="D760" s="109" t="s">
        <v>313</v>
      </c>
      <c r="E760" s="109" t="s">
        <v>645</v>
      </c>
      <c r="F760" s="109" t="s">
        <v>830</v>
      </c>
      <c r="G760" s="109" t="s">
        <v>681</v>
      </c>
      <c r="H760" s="140">
        <v>1267027</v>
      </c>
      <c r="I760" s="140">
        <v>1283630</v>
      </c>
      <c r="J760" s="26">
        <f>IF(H760&lt;&gt;"",IF(AND(C760&lt;&gt;"",IFERROR(MATCH(C760,Table10[Serial No.],0),0)),0,1),0)</f>
        <v>0</v>
      </c>
      <c r="K760" s="21"/>
      <c r="L760" s="539" t="str">
        <f t="shared" ca="1" si="111"/>
        <v/>
      </c>
    </row>
    <row r="761" spans="1:12" ht="24.75" customHeight="1" x14ac:dyDescent="0.35">
      <c r="A761" s="109">
        <v>20250178</v>
      </c>
      <c r="B761" s="608">
        <v>45833</v>
      </c>
      <c r="C761" s="109">
        <v>14418442</v>
      </c>
      <c r="D761" s="109" t="s">
        <v>315</v>
      </c>
      <c r="E761" s="109" t="s">
        <v>284</v>
      </c>
      <c r="F761" s="109" t="s">
        <v>832</v>
      </c>
      <c r="G761" s="109" t="s">
        <v>676</v>
      </c>
      <c r="H761" s="140">
        <v>1234376</v>
      </c>
      <c r="I761" s="140">
        <v>1249569</v>
      </c>
      <c r="J761" s="26">
        <f>IF(H761&lt;&gt;"",IF(AND(C761&lt;&gt;"",IFERROR(MATCH(C761,Table10[Serial No.],0),0)),0,1),0)</f>
        <v>1</v>
      </c>
      <c r="K761" s="21"/>
      <c r="L761" s="539" t="str">
        <f t="shared" ref="L761:L824" ca="1" si="112">IFERROR(INDEX($O$2:$Q$57,MATCH($I761,$O$2:$O$93,0),3),"")</f>
        <v/>
      </c>
    </row>
    <row r="762" spans="1:12" ht="24.75" customHeight="1" x14ac:dyDescent="0.35">
      <c r="A762" s="109">
        <v>20250178</v>
      </c>
      <c r="B762" s="608">
        <v>45833</v>
      </c>
      <c r="C762" s="109">
        <v>14418443</v>
      </c>
      <c r="D762" s="109" t="s">
        <v>315</v>
      </c>
      <c r="E762" s="109" t="s">
        <v>684</v>
      </c>
      <c r="F762" s="109" t="s">
        <v>833</v>
      </c>
      <c r="G762" s="109" t="s">
        <v>676</v>
      </c>
      <c r="H762" s="140">
        <v>1245431</v>
      </c>
      <c r="I762" s="140">
        <v>1251098</v>
      </c>
      <c r="J762" s="26">
        <f>IF(H762&lt;&gt;"",IF(AND(C762&lt;&gt;"",IFERROR(MATCH(C762,Table10[Serial No.],0),0)),0,1),0)</f>
        <v>1</v>
      </c>
      <c r="K762" s="21"/>
      <c r="L762" s="539" t="str">
        <f t="shared" ca="1" si="112"/>
        <v/>
      </c>
    </row>
    <row r="763" spans="1:12" ht="24.75" customHeight="1" x14ac:dyDescent="0.35">
      <c r="A763" s="109">
        <v>20250178</v>
      </c>
      <c r="B763" s="608">
        <v>45833</v>
      </c>
      <c r="C763" s="109">
        <v>14418444</v>
      </c>
      <c r="D763" s="109" t="s">
        <v>316</v>
      </c>
      <c r="E763" s="109" t="s">
        <v>291</v>
      </c>
      <c r="F763" s="109" t="s">
        <v>834</v>
      </c>
      <c r="G763" s="109" t="s">
        <v>676</v>
      </c>
      <c r="H763" s="140">
        <v>1228782</v>
      </c>
      <c r="I763" s="140">
        <v>1058252</v>
      </c>
      <c r="J763" s="26">
        <f>IF(H763&lt;&gt;"",IF(AND(C763&lt;&gt;"",IFERROR(MATCH(C763,Table10[Serial No.],0),0)),0,1),0)</f>
        <v>1</v>
      </c>
      <c r="K763" s="21"/>
      <c r="L763" s="539" t="str">
        <f t="shared" ca="1" si="112"/>
        <v/>
      </c>
    </row>
    <row r="764" spans="1:12" ht="24.75" customHeight="1" x14ac:dyDescent="0.35">
      <c r="A764" s="132">
        <v>20250178</v>
      </c>
      <c r="B764" s="608">
        <v>45833</v>
      </c>
      <c r="C764" s="132">
        <v>14418425</v>
      </c>
      <c r="D764" s="132" t="s">
        <v>315</v>
      </c>
      <c r="E764" s="132" t="s">
        <v>695</v>
      </c>
      <c r="F764" s="132" t="s">
        <v>835</v>
      </c>
      <c r="G764" s="132" t="s">
        <v>681</v>
      </c>
      <c r="H764" s="141">
        <v>2021071</v>
      </c>
      <c r="I764" s="141" t="s">
        <v>718</v>
      </c>
      <c r="J764" s="26">
        <f>IF(H764&lt;&gt;"",IF(AND(C764&lt;&gt;"",IFERROR(MATCH(C764,Table10[Serial No.],0),0)),0,1),0)</f>
        <v>1</v>
      </c>
      <c r="K764" s="21"/>
      <c r="L764" s="539" t="str">
        <f t="shared" si="112"/>
        <v/>
      </c>
    </row>
    <row r="765" spans="1:12" ht="24.75" customHeight="1" x14ac:dyDescent="0.35">
      <c r="A765" s="109">
        <v>20250178</v>
      </c>
      <c r="B765" s="608">
        <v>45833</v>
      </c>
      <c r="C765" s="109">
        <v>14418560</v>
      </c>
      <c r="D765" s="109" t="s">
        <v>315</v>
      </c>
      <c r="E765" s="109" t="s">
        <v>728</v>
      </c>
      <c r="F765" s="109"/>
      <c r="G765" s="109" t="s">
        <v>813</v>
      </c>
      <c r="H765" s="140">
        <v>1239239</v>
      </c>
      <c r="I765" s="140">
        <v>2021865</v>
      </c>
      <c r="J765" s="26">
        <f>IF(H765&lt;&gt;"",IF(AND(C765&lt;&gt;"",IFERROR(MATCH(C765,Table10[Serial No.],0),0)),0,1),0)</f>
        <v>0</v>
      </c>
      <c r="K765" s="21"/>
      <c r="L765" s="539" t="str">
        <f t="shared" si="112"/>
        <v/>
      </c>
    </row>
    <row r="766" spans="1:12" ht="24.75" customHeight="1" x14ac:dyDescent="0.35">
      <c r="A766" s="132">
        <v>20250178</v>
      </c>
      <c r="B766" s="608">
        <v>45833</v>
      </c>
      <c r="C766" s="132">
        <v>14418445</v>
      </c>
      <c r="D766" s="132" t="s">
        <v>315</v>
      </c>
      <c r="E766" s="132" t="s">
        <v>728</v>
      </c>
      <c r="F766" s="132"/>
      <c r="G766" s="132" t="s">
        <v>813</v>
      </c>
      <c r="H766" s="141">
        <v>1239239</v>
      </c>
      <c r="I766" s="141">
        <v>2021865</v>
      </c>
      <c r="J766" s="26">
        <f>IF(H766&lt;&gt;"",IF(AND(C766&lt;&gt;"",IFERROR(MATCH(C766,Table10[Serial No.],0),0)),0,1),0)</f>
        <v>1</v>
      </c>
      <c r="K766" s="21"/>
      <c r="L766" s="539" t="str">
        <f t="shared" si="112"/>
        <v/>
      </c>
    </row>
    <row r="767" spans="1:12" ht="24.75" customHeight="1" x14ac:dyDescent="0.35">
      <c r="A767" s="132">
        <v>20250178</v>
      </c>
      <c r="B767" s="608">
        <v>45833</v>
      </c>
      <c r="C767" s="132">
        <v>14418446</v>
      </c>
      <c r="D767" s="132" t="s">
        <v>304</v>
      </c>
      <c r="E767" s="132" t="s">
        <v>636</v>
      </c>
      <c r="F767" s="132"/>
      <c r="G767" s="132" t="s">
        <v>814</v>
      </c>
      <c r="H767" s="141">
        <v>2016920</v>
      </c>
      <c r="I767" s="141">
        <v>1016454</v>
      </c>
      <c r="J767" s="26">
        <f>IF(H767&lt;&gt;"",IF(AND(C767&lt;&gt;"",IFERROR(MATCH(C767,Table10[Serial No.],0),0)),0,1),0)</f>
        <v>0</v>
      </c>
      <c r="K767" s="21"/>
      <c r="L767" s="539" t="str">
        <f t="shared" ca="1" si="112"/>
        <v/>
      </c>
    </row>
    <row r="768" spans="1:12" ht="24.75" customHeight="1" x14ac:dyDescent="0.35">
      <c r="A768" s="109">
        <v>20250190</v>
      </c>
      <c r="B768" s="608">
        <v>45840</v>
      </c>
      <c r="C768" s="109">
        <v>14420347</v>
      </c>
      <c r="D768" s="109" t="s">
        <v>631</v>
      </c>
      <c r="E768" s="109" t="s">
        <v>645</v>
      </c>
      <c r="F768" s="109"/>
      <c r="G768" s="109" t="s">
        <v>813</v>
      </c>
      <c r="H768" s="140">
        <v>2017993</v>
      </c>
      <c r="I768" s="140">
        <v>2021865</v>
      </c>
      <c r="J768" s="26">
        <f>IF(H768&lt;&gt;"",IF(AND(C768&lt;&gt;"",IFERROR(MATCH(C768,Table10[Serial No.],0),0)),0,1),0)</f>
        <v>0</v>
      </c>
      <c r="K768" s="21"/>
      <c r="L768" s="539" t="str">
        <f t="shared" si="112"/>
        <v/>
      </c>
    </row>
    <row r="769" spans="1:12" ht="24.75" customHeight="1" x14ac:dyDescent="0.35">
      <c r="A769" s="109">
        <v>20250190</v>
      </c>
      <c r="B769" s="608">
        <v>45840</v>
      </c>
      <c r="C769" s="109">
        <v>14420346</v>
      </c>
      <c r="D769" s="109" t="s">
        <v>631</v>
      </c>
      <c r="E769" s="109" t="s">
        <v>645</v>
      </c>
      <c r="F769" s="109"/>
      <c r="G769" s="109" t="s">
        <v>813</v>
      </c>
      <c r="H769" s="140">
        <v>2017993</v>
      </c>
      <c r="I769" s="140">
        <v>2021865</v>
      </c>
      <c r="J769" s="26">
        <f>IF(H769&lt;&gt;"",IF(AND(C769&lt;&gt;"",IFERROR(MATCH(C769,Table10[Serial No.],0),0)),0,1),0)</f>
        <v>0</v>
      </c>
      <c r="K769" s="21"/>
      <c r="L769" s="539" t="str">
        <f t="shared" si="112"/>
        <v/>
      </c>
    </row>
    <row r="770" spans="1:12" ht="24.75" customHeight="1" x14ac:dyDescent="0.35">
      <c r="A770" s="132">
        <v>20250190</v>
      </c>
      <c r="B770" s="608">
        <v>45840</v>
      </c>
      <c r="C770" s="132">
        <v>14420348</v>
      </c>
      <c r="D770" s="132" t="s">
        <v>631</v>
      </c>
      <c r="E770" s="132" t="s">
        <v>645</v>
      </c>
      <c r="F770" s="132"/>
      <c r="G770" s="132" t="s">
        <v>813</v>
      </c>
      <c r="H770" s="141">
        <v>2017993</v>
      </c>
      <c r="I770" s="141">
        <v>2021865</v>
      </c>
      <c r="J770" s="26">
        <f>IF(H770&lt;&gt;"",IF(AND(C770&lt;&gt;"",IFERROR(MATCH(C770,Table10[Serial No.],0),0)),0,1),0)</f>
        <v>0</v>
      </c>
      <c r="K770" s="21"/>
      <c r="L770" s="539" t="str">
        <f t="shared" si="112"/>
        <v/>
      </c>
    </row>
    <row r="771" spans="1:12" ht="24.75" customHeight="1" x14ac:dyDescent="0.35">
      <c r="A771" s="109">
        <v>20250201</v>
      </c>
      <c r="B771" s="608">
        <v>45851</v>
      </c>
      <c r="C771" s="109">
        <v>14426670</v>
      </c>
      <c r="D771" s="109" t="s">
        <v>304</v>
      </c>
      <c r="E771" s="109" t="s">
        <v>636</v>
      </c>
      <c r="F771" s="109"/>
      <c r="G771" s="109" t="s">
        <v>814</v>
      </c>
      <c r="H771" s="140">
        <v>2016920</v>
      </c>
      <c r="I771" s="140">
        <v>1016454</v>
      </c>
      <c r="J771" s="26">
        <f>IF(H771&lt;&gt;"",IF(AND(C771&lt;&gt;"",IFERROR(MATCH(C771,Table10[Serial No.],0),0)),0,1),0)</f>
        <v>0</v>
      </c>
      <c r="K771" s="21"/>
      <c r="L771" s="539" t="str">
        <f t="shared" ca="1" si="112"/>
        <v/>
      </c>
    </row>
    <row r="772" spans="1:12" ht="24.75" customHeight="1" x14ac:dyDescent="0.35">
      <c r="A772" s="109">
        <v>20250201</v>
      </c>
      <c r="B772" s="608">
        <v>45851</v>
      </c>
      <c r="C772" s="109">
        <v>14426669</v>
      </c>
      <c r="D772" s="109" t="s">
        <v>304</v>
      </c>
      <c r="E772" s="109" t="s">
        <v>636</v>
      </c>
      <c r="F772" s="109"/>
      <c r="G772" s="109" t="s">
        <v>814</v>
      </c>
      <c r="H772" s="140">
        <v>2016920</v>
      </c>
      <c r="I772" s="140">
        <v>1016454</v>
      </c>
      <c r="J772" s="26">
        <f>IF(H772&lt;&gt;"",IF(AND(C772&lt;&gt;"",IFERROR(MATCH(C772,Table10[Serial No.],0),0)),0,1),0)</f>
        <v>0</v>
      </c>
      <c r="K772" s="21"/>
      <c r="L772" s="539" t="str">
        <f t="shared" ca="1" si="112"/>
        <v/>
      </c>
    </row>
    <row r="773" spans="1:12" ht="24.75" customHeight="1" x14ac:dyDescent="0.35">
      <c r="A773" s="109">
        <v>20250201</v>
      </c>
      <c r="B773" s="608">
        <v>45851</v>
      </c>
      <c r="C773" s="109">
        <v>14426671</v>
      </c>
      <c r="D773" s="109" t="s">
        <v>307</v>
      </c>
      <c r="E773" s="109" t="s">
        <v>308</v>
      </c>
      <c r="F773" s="109"/>
      <c r="G773" s="109" t="s">
        <v>814</v>
      </c>
      <c r="H773" s="140">
        <v>1224225</v>
      </c>
      <c r="I773" s="140">
        <v>1252149</v>
      </c>
      <c r="J773" s="26">
        <f>IF(H773&lt;&gt;"",IF(AND(C773&lt;&gt;"",IFERROR(MATCH(C773,Table10[Serial No.],0),0)),0,1),0)</f>
        <v>1</v>
      </c>
      <c r="K773" s="21"/>
      <c r="L773" s="539" t="str">
        <f t="shared" ca="1" si="112"/>
        <v/>
      </c>
    </row>
    <row r="774" spans="1:12" ht="24.75" customHeight="1" x14ac:dyDescent="0.35">
      <c r="A774" s="109">
        <v>20250201</v>
      </c>
      <c r="B774" s="608">
        <v>45851</v>
      </c>
      <c r="C774" s="109">
        <v>14426672</v>
      </c>
      <c r="D774" s="109" t="s">
        <v>307</v>
      </c>
      <c r="E774" s="109" t="s">
        <v>308</v>
      </c>
      <c r="F774" s="109"/>
      <c r="G774" s="109" t="s">
        <v>814</v>
      </c>
      <c r="H774" s="140">
        <v>1224225</v>
      </c>
      <c r="I774" s="140">
        <v>1252149</v>
      </c>
      <c r="J774" s="26">
        <f>IF(H774&lt;&gt;"",IF(AND(C774&lt;&gt;"",IFERROR(MATCH(C774,Table10[Serial No.],0),0)),0,1),0)</f>
        <v>1</v>
      </c>
      <c r="K774" s="21"/>
      <c r="L774" s="539" t="str">
        <f t="shared" ca="1" si="112"/>
        <v/>
      </c>
    </row>
    <row r="775" spans="1:12" ht="24.75" customHeight="1" x14ac:dyDescent="0.35">
      <c r="A775" s="109">
        <v>20250201</v>
      </c>
      <c r="B775" s="608">
        <v>45851</v>
      </c>
      <c r="C775" s="109">
        <v>14426674</v>
      </c>
      <c r="D775" s="109" t="s">
        <v>631</v>
      </c>
      <c r="E775" s="109" t="s">
        <v>645</v>
      </c>
      <c r="F775" s="109"/>
      <c r="G775" s="109" t="s">
        <v>813</v>
      </c>
      <c r="H775" s="140">
        <v>2017993</v>
      </c>
      <c r="I775" s="140">
        <v>2021865</v>
      </c>
      <c r="J775" s="26">
        <f>IF(H775&lt;&gt;"",IF(AND(C775&lt;&gt;"",IFERROR(MATCH(C775,Table10[Serial No.],0),0)),0,1),0)</f>
        <v>0</v>
      </c>
      <c r="K775" s="21"/>
      <c r="L775" s="539" t="str">
        <f t="shared" si="112"/>
        <v/>
      </c>
    </row>
    <row r="776" spans="1:12" ht="24.75" customHeight="1" x14ac:dyDescent="0.35">
      <c r="A776" s="109">
        <v>20250201</v>
      </c>
      <c r="B776" s="608">
        <v>45851</v>
      </c>
      <c r="C776" s="109">
        <v>14426675</v>
      </c>
      <c r="D776" s="109" t="s">
        <v>631</v>
      </c>
      <c r="E776" s="109" t="s">
        <v>645</v>
      </c>
      <c r="F776" s="109"/>
      <c r="G776" s="109" t="s">
        <v>813</v>
      </c>
      <c r="H776" s="140">
        <v>2017993</v>
      </c>
      <c r="I776" s="140">
        <v>2021865</v>
      </c>
      <c r="J776" s="26">
        <f>IF(H776&lt;&gt;"",IF(AND(C776&lt;&gt;"",IFERROR(MATCH(C776,Table10[Serial No.],0),0)),0,1),0)</f>
        <v>0</v>
      </c>
      <c r="K776" s="21"/>
      <c r="L776" s="539" t="str">
        <f t="shared" si="112"/>
        <v/>
      </c>
    </row>
    <row r="777" spans="1:12" ht="24.75" customHeight="1" x14ac:dyDescent="0.35">
      <c r="A777" s="109">
        <v>20250201</v>
      </c>
      <c r="B777" s="608">
        <v>45851</v>
      </c>
      <c r="C777" s="109">
        <v>14426673</v>
      </c>
      <c r="D777" s="109" t="s">
        <v>631</v>
      </c>
      <c r="E777" s="109" t="s">
        <v>645</v>
      </c>
      <c r="F777" s="109"/>
      <c r="G777" s="109" t="s">
        <v>813</v>
      </c>
      <c r="H777" s="140">
        <v>2017993</v>
      </c>
      <c r="I777" s="140">
        <v>2021865</v>
      </c>
      <c r="J777" s="26">
        <f>IF(H777&lt;&gt;"",IF(AND(C777&lt;&gt;"",IFERROR(MATCH(C777,Table10[Serial No.],0),0)),0,1),0)</f>
        <v>0</v>
      </c>
      <c r="K777" s="21"/>
      <c r="L777" s="539" t="str">
        <f t="shared" si="112"/>
        <v/>
      </c>
    </row>
    <row r="778" spans="1:12" ht="24.75" customHeight="1" x14ac:dyDescent="0.35">
      <c r="A778" s="109">
        <v>20250201</v>
      </c>
      <c r="B778" s="608">
        <v>45851</v>
      </c>
      <c r="C778" s="109">
        <v>14426676</v>
      </c>
      <c r="D778" s="109" t="s">
        <v>631</v>
      </c>
      <c r="E778" s="109" t="s">
        <v>645</v>
      </c>
      <c r="F778" s="109"/>
      <c r="G778" s="109" t="s">
        <v>813</v>
      </c>
      <c r="H778" s="140">
        <v>2017993</v>
      </c>
      <c r="I778" s="140">
        <v>2021865</v>
      </c>
      <c r="J778" s="26">
        <f>IF(H778&lt;&gt;"",IF(AND(C778&lt;&gt;"",IFERROR(MATCH(C778,Table10[Serial No.],0),0)),0,1),0)</f>
        <v>1</v>
      </c>
      <c r="K778" s="21"/>
      <c r="L778" s="539" t="str">
        <f t="shared" si="112"/>
        <v/>
      </c>
    </row>
    <row r="779" spans="1:12" ht="24.75" customHeight="1" x14ac:dyDescent="0.35">
      <c r="A779" s="109">
        <v>20250201</v>
      </c>
      <c r="B779" s="608">
        <v>45851</v>
      </c>
      <c r="C779" s="109">
        <v>14426677</v>
      </c>
      <c r="D779" s="109" t="s">
        <v>631</v>
      </c>
      <c r="E779" s="109" t="s">
        <v>645</v>
      </c>
      <c r="F779" s="109"/>
      <c r="G779" s="109" t="s">
        <v>813</v>
      </c>
      <c r="H779" s="140">
        <v>2017993</v>
      </c>
      <c r="I779" s="140">
        <v>2021865</v>
      </c>
      <c r="J779" s="26">
        <f>IF(H779&lt;&gt;"",IF(AND(C779&lt;&gt;"",IFERROR(MATCH(C779,Table10[Serial No.],0),0)),0,1),0)</f>
        <v>0</v>
      </c>
      <c r="K779" s="21"/>
      <c r="L779" s="539" t="str">
        <f t="shared" si="112"/>
        <v/>
      </c>
    </row>
    <row r="780" spans="1:12" ht="24.75" customHeight="1" x14ac:dyDescent="0.35">
      <c r="A780" s="109">
        <v>20250201</v>
      </c>
      <c r="B780" s="608">
        <v>45851</v>
      </c>
      <c r="C780" s="109">
        <v>14426678</v>
      </c>
      <c r="D780" s="109" t="s">
        <v>631</v>
      </c>
      <c r="E780" s="109" t="s">
        <v>645</v>
      </c>
      <c r="F780" s="109"/>
      <c r="G780" s="109" t="s">
        <v>813</v>
      </c>
      <c r="H780" s="140">
        <v>2017993</v>
      </c>
      <c r="I780" s="140">
        <v>2021865</v>
      </c>
      <c r="J780" s="26">
        <f>IF(H780&lt;&gt;"",IF(AND(C780&lt;&gt;"",IFERROR(MATCH(C780,Table10[Serial No.],0),0)),0,1),0)</f>
        <v>0</v>
      </c>
      <c r="K780" s="21"/>
      <c r="L780" s="539" t="str">
        <f t="shared" si="112"/>
        <v/>
      </c>
    </row>
    <row r="781" spans="1:12" ht="24.75" customHeight="1" x14ac:dyDescent="0.35">
      <c r="A781" s="109">
        <v>20250201</v>
      </c>
      <c r="B781" s="608">
        <v>45851</v>
      </c>
      <c r="C781" s="109">
        <v>14429719</v>
      </c>
      <c r="D781" s="109" t="s">
        <v>313</v>
      </c>
      <c r="E781" s="109" t="s">
        <v>836</v>
      </c>
      <c r="F781" s="109"/>
      <c r="G781" s="109" t="s">
        <v>813</v>
      </c>
      <c r="H781" s="140">
        <v>1239176</v>
      </c>
      <c r="I781" s="140" t="s">
        <v>269</v>
      </c>
      <c r="J781" s="26">
        <f>IF(H781&lt;&gt;"",IF(AND(C781&lt;&gt;"",IFERROR(MATCH(C781,Table10[Serial No.],0),0)),0,1),0)</f>
        <v>1</v>
      </c>
      <c r="K781" s="21"/>
      <c r="L781" s="539" t="str">
        <f t="shared" si="112"/>
        <v/>
      </c>
    </row>
    <row r="782" spans="1:12" ht="24.75" customHeight="1" x14ac:dyDescent="0.35">
      <c r="A782" s="109">
        <v>20250201</v>
      </c>
      <c r="B782" s="608">
        <v>45851</v>
      </c>
      <c r="C782" s="109">
        <v>14426679</v>
      </c>
      <c r="D782" s="109" t="s">
        <v>313</v>
      </c>
      <c r="E782" s="109" t="s">
        <v>703</v>
      </c>
      <c r="F782" s="109"/>
      <c r="G782" s="109" t="s">
        <v>813</v>
      </c>
      <c r="H782" s="140">
        <v>1272920</v>
      </c>
      <c r="I782" s="140">
        <v>1283482</v>
      </c>
      <c r="J782" s="26">
        <f>IF(H782&lt;&gt;"",IF(AND(C782&lt;&gt;"",IFERROR(MATCH(C782,Table10[Serial No.],0),0)),0,1),0)</f>
        <v>0</v>
      </c>
      <c r="K782" s="21"/>
      <c r="L782" s="539" t="str">
        <f t="shared" ca="1" si="112"/>
        <v/>
      </c>
    </row>
    <row r="783" spans="1:12" ht="24.75" customHeight="1" x14ac:dyDescent="0.35">
      <c r="A783" s="109">
        <v>20250201</v>
      </c>
      <c r="B783" s="608">
        <v>45851</v>
      </c>
      <c r="C783" s="109">
        <v>14426680</v>
      </c>
      <c r="D783" s="109" t="s">
        <v>313</v>
      </c>
      <c r="E783" s="109" t="s">
        <v>645</v>
      </c>
      <c r="F783" s="109"/>
      <c r="G783" s="109" t="s">
        <v>813</v>
      </c>
      <c r="H783" s="140">
        <v>1267027</v>
      </c>
      <c r="I783" s="140">
        <v>1283630</v>
      </c>
      <c r="J783" s="26">
        <f>IF(H783&lt;&gt;"",IF(AND(C783&lt;&gt;"",IFERROR(MATCH(C783,Table10[Serial No.],0),0)),0,1),0)</f>
        <v>0</v>
      </c>
      <c r="K783" s="21"/>
      <c r="L783" s="539" t="str">
        <f t="shared" ca="1" si="112"/>
        <v/>
      </c>
    </row>
    <row r="784" spans="1:12" ht="24.75" customHeight="1" x14ac:dyDescent="0.35">
      <c r="A784" s="109">
        <v>20250201</v>
      </c>
      <c r="B784" s="608">
        <v>45851</v>
      </c>
      <c r="C784" s="109">
        <v>14426681</v>
      </c>
      <c r="D784" s="109" t="s">
        <v>313</v>
      </c>
      <c r="E784" s="109" t="s">
        <v>645</v>
      </c>
      <c r="F784" s="109"/>
      <c r="G784" s="109" t="s">
        <v>813</v>
      </c>
      <c r="H784" s="140">
        <v>1267027</v>
      </c>
      <c r="I784" s="140">
        <v>1283630</v>
      </c>
      <c r="J784" s="26">
        <f>IF(H784&lt;&gt;"",IF(AND(C784&lt;&gt;"",IFERROR(MATCH(C784,Table10[Serial No.],0),0)),0,1),0)</f>
        <v>0</v>
      </c>
      <c r="K784" s="21"/>
      <c r="L784" s="539" t="str">
        <f t="shared" ca="1" si="112"/>
        <v/>
      </c>
    </row>
    <row r="785" spans="1:17" ht="24.75" customHeight="1" x14ac:dyDescent="0.35">
      <c r="A785" s="109">
        <v>20250201</v>
      </c>
      <c r="B785" s="608">
        <v>45851</v>
      </c>
      <c r="C785" s="109">
        <v>14429720</v>
      </c>
      <c r="D785" s="109" t="s">
        <v>315</v>
      </c>
      <c r="E785" s="109" t="s">
        <v>660</v>
      </c>
      <c r="F785" s="109"/>
      <c r="G785" s="109" t="s">
        <v>814</v>
      </c>
      <c r="H785" s="140">
        <v>1186940</v>
      </c>
      <c r="I785" s="140">
        <v>1176003</v>
      </c>
      <c r="J785" s="26">
        <f>IF(H785&lt;&gt;"",IF(AND(C785&lt;&gt;"",IFERROR(MATCH(C785,Table10[Serial No.],0),0)),0,1),0)</f>
        <v>0</v>
      </c>
      <c r="K785" s="21"/>
      <c r="L785" s="539" t="str">
        <f t="shared" ca="1" si="112"/>
        <v/>
      </c>
    </row>
    <row r="786" spans="1:17" ht="24.75" customHeight="1" x14ac:dyDescent="0.35">
      <c r="A786" s="109">
        <v>20250201</v>
      </c>
      <c r="B786" s="608">
        <v>45851</v>
      </c>
      <c r="C786" s="109">
        <v>14426682</v>
      </c>
      <c r="D786" s="109" t="s">
        <v>637</v>
      </c>
      <c r="E786" s="109" t="s">
        <v>287</v>
      </c>
      <c r="F786" s="109"/>
      <c r="G786" s="109" t="s">
        <v>813</v>
      </c>
      <c r="H786" s="140">
        <v>1267122</v>
      </c>
      <c r="I786" s="140">
        <v>1257458</v>
      </c>
      <c r="J786" s="26">
        <f>IF(H786&lt;&gt;"",IF(AND(C786&lt;&gt;"",IFERROR(MATCH(C786,Table10[Serial No.],0),0)),0,1),0)</f>
        <v>0</v>
      </c>
      <c r="K786" s="21"/>
      <c r="L786" s="539" t="str">
        <f t="shared" ca="1" si="112"/>
        <v/>
      </c>
    </row>
    <row r="787" spans="1:17" ht="24.75" customHeight="1" x14ac:dyDescent="0.35">
      <c r="A787" s="109">
        <v>20250201</v>
      </c>
      <c r="B787" s="608">
        <v>45851</v>
      </c>
      <c r="C787" s="109">
        <v>14426685</v>
      </c>
      <c r="D787" s="109" t="s">
        <v>637</v>
      </c>
      <c r="E787" s="109" t="s">
        <v>287</v>
      </c>
      <c r="F787" s="109"/>
      <c r="G787" s="109" t="s">
        <v>813</v>
      </c>
      <c r="H787" s="140">
        <v>1267122</v>
      </c>
      <c r="I787" s="140">
        <v>1257458</v>
      </c>
      <c r="J787" s="26">
        <f>IF(H787&lt;&gt;"",IF(AND(C787&lt;&gt;"",IFERROR(MATCH(C787,Table10[Serial No.],0),0)),0,1),0)</f>
        <v>0</v>
      </c>
      <c r="K787" s="21"/>
      <c r="L787" s="539" t="str">
        <f t="shared" ca="1" si="112"/>
        <v/>
      </c>
    </row>
    <row r="788" spans="1:17" ht="24.75" customHeight="1" x14ac:dyDescent="0.35">
      <c r="A788" s="109">
        <v>20250201</v>
      </c>
      <c r="B788" s="608">
        <v>45851</v>
      </c>
      <c r="C788" s="109">
        <v>14426683</v>
      </c>
      <c r="D788" s="109" t="s">
        <v>637</v>
      </c>
      <c r="E788" s="109" t="s">
        <v>287</v>
      </c>
      <c r="F788" s="109"/>
      <c r="G788" s="109" t="s">
        <v>813</v>
      </c>
      <c r="H788" s="140">
        <v>1267122</v>
      </c>
      <c r="I788" s="140">
        <v>1257458</v>
      </c>
      <c r="J788" s="26">
        <f>IF(H788&lt;&gt;"",IF(AND(C788&lt;&gt;"",IFERROR(MATCH(C788,Table10[Serial No.],0),0)),0,1),0)</f>
        <v>0</v>
      </c>
      <c r="K788" s="21"/>
      <c r="L788" s="539" t="str">
        <f t="shared" ca="1" si="112"/>
        <v/>
      </c>
    </row>
    <row r="789" spans="1:17" ht="24.75" customHeight="1" x14ac:dyDescent="0.35">
      <c r="A789" s="132">
        <v>20250201</v>
      </c>
      <c r="B789" s="608">
        <v>45851</v>
      </c>
      <c r="C789" s="132">
        <v>14426684</v>
      </c>
      <c r="D789" s="132" t="s">
        <v>637</v>
      </c>
      <c r="E789" s="132" t="s">
        <v>287</v>
      </c>
      <c r="F789" s="132"/>
      <c r="G789" s="132" t="s">
        <v>813</v>
      </c>
      <c r="H789" s="141">
        <v>1267122</v>
      </c>
      <c r="I789" s="141">
        <v>1257458</v>
      </c>
      <c r="J789" s="26">
        <f>IF(H789&lt;&gt;"",IF(AND(C789&lt;&gt;"",IFERROR(MATCH(C789,Table10[Serial No.],0),0)),0,1),0)</f>
        <v>0</v>
      </c>
      <c r="K789" s="21"/>
      <c r="L789" s="539" t="str">
        <f t="shared" ca="1" si="112"/>
        <v/>
      </c>
    </row>
    <row r="790" spans="1:17" ht="24.75" customHeight="1" x14ac:dyDescent="0.35">
      <c r="A790" s="697">
        <v>20250219</v>
      </c>
      <c r="B790" s="698">
        <v>45861</v>
      </c>
      <c r="C790" s="109">
        <v>14431432</v>
      </c>
      <c r="D790" s="109" t="s">
        <v>309</v>
      </c>
      <c r="E790" s="109" t="s">
        <v>311</v>
      </c>
      <c r="F790" s="109"/>
      <c r="G790" s="109" t="s">
        <v>814</v>
      </c>
      <c r="H790" s="140">
        <v>1145824</v>
      </c>
      <c r="I790" s="140">
        <v>1137349</v>
      </c>
      <c r="J790" s="26">
        <f>IF(H790&lt;&gt;"",IF(AND(C790&lt;&gt;"",IFERROR(MATCH(C790,Table10[Serial No.],0),0)),0,1),0)</f>
        <v>0</v>
      </c>
      <c r="K790" s="21"/>
      <c r="L790" s="539" t="str">
        <f t="shared" ca="1" si="112"/>
        <v/>
      </c>
    </row>
    <row r="791" spans="1:17" ht="24.75" customHeight="1" x14ac:dyDescent="0.35">
      <c r="A791" s="697">
        <v>20250219</v>
      </c>
      <c r="B791" s="698">
        <v>45861</v>
      </c>
      <c r="C791" s="109">
        <v>14431431</v>
      </c>
      <c r="D791" s="109" t="s">
        <v>309</v>
      </c>
      <c r="E791" s="109" t="s">
        <v>311</v>
      </c>
      <c r="F791" s="109"/>
      <c r="G791" s="109" t="s">
        <v>814</v>
      </c>
      <c r="H791" s="140">
        <v>1145824</v>
      </c>
      <c r="I791" s="140">
        <v>1137349</v>
      </c>
      <c r="J791" s="26">
        <f>IF(H791&lt;&gt;"",IF(AND(C791&lt;&gt;"",IFERROR(MATCH(C791,Table10[Serial No.],0),0)),0,1),0)</f>
        <v>0</v>
      </c>
      <c r="K791" s="21"/>
      <c r="L791" s="539" t="str">
        <f t="shared" ca="1" si="112"/>
        <v/>
      </c>
    </row>
    <row r="792" spans="1:17" ht="24.75" customHeight="1" x14ac:dyDescent="0.35">
      <c r="A792" s="697">
        <v>20250219</v>
      </c>
      <c r="B792" s="698">
        <v>45861</v>
      </c>
      <c r="C792" s="109">
        <v>14431434</v>
      </c>
      <c r="D792" s="109" t="s">
        <v>309</v>
      </c>
      <c r="E792" s="109" t="s">
        <v>311</v>
      </c>
      <c r="F792" s="109"/>
      <c r="G792" s="109" t="s">
        <v>814</v>
      </c>
      <c r="H792" s="140">
        <v>1145824</v>
      </c>
      <c r="I792" s="140">
        <v>1137349</v>
      </c>
      <c r="J792" s="26">
        <f>IF(H792&lt;&gt;"",IF(AND(C792&lt;&gt;"",IFERROR(MATCH(C792,Table10[Serial No.],0),0)),0,1),0)</f>
        <v>1</v>
      </c>
      <c r="K792" s="21"/>
      <c r="L792" s="539" t="str">
        <f t="shared" ca="1" si="112"/>
        <v/>
      </c>
    </row>
    <row r="793" spans="1:17" ht="24.75" customHeight="1" x14ac:dyDescent="0.35">
      <c r="A793" s="697">
        <v>20250219</v>
      </c>
      <c r="B793" s="698">
        <v>45861</v>
      </c>
      <c r="C793" s="109">
        <v>14431435</v>
      </c>
      <c r="D793" s="109" t="s">
        <v>309</v>
      </c>
      <c r="E793" s="109" t="s">
        <v>311</v>
      </c>
      <c r="F793" s="109"/>
      <c r="G793" s="109" t="s">
        <v>814</v>
      </c>
      <c r="H793" s="140">
        <v>1145824</v>
      </c>
      <c r="I793" s="140">
        <v>1137349</v>
      </c>
      <c r="J793" s="26">
        <f>IF(H793&lt;&gt;"",IF(AND(C793&lt;&gt;"",IFERROR(MATCH(C793,Table10[Serial No.],0),0)),0,1),0)</f>
        <v>1</v>
      </c>
      <c r="K793" s="21"/>
      <c r="L793" s="539" t="str">
        <f t="shared" ca="1" si="112"/>
        <v/>
      </c>
    </row>
    <row r="794" spans="1:17" ht="24.75" customHeight="1" x14ac:dyDescent="0.35">
      <c r="A794" s="697">
        <v>20250219</v>
      </c>
      <c r="B794" s="698">
        <v>45861</v>
      </c>
      <c r="C794" s="109">
        <v>14431433</v>
      </c>
      <c r="D794" s="109" t="s">
        <v>309</v>
      </c>
      <c r="E794" s="109" t="s">
        <v>311</v>
      </c>
      <c r="F794" s="109"/>
      <c r="G794" s="109" t="s">
        <v>814</v>
      </c>
      <c r="H794" s="140">
        <v>1145824</v>
      </c>
      <c r="I794" s="140">
        <v>1137349</v>
      </c>
      <c r="J794" s="26">
        <f>IF(H794&lt;&gt;"",IF(AND(C794&lt;&gt;"",IFERROR(MATCH(C794,Table10[Serial No.],0),0)),0,1),0)</f>
        <v>0</v>
      </c>
      <c r="K794" s="21"/>
      <c r="L794" s="539" t="str">
        <f t="shared" ca="1" si="112"/>
        <v/>
      </c>
      <c r="Q794"/>
    </row>
    <row r="795" spans="1:17" ht="24.75" customHeight="1" x14ac:dyDescent="0.35">
      <c r="A795" s="697">
        <v>20250219</v>
      </c>
      <c r="B795" s="698">
        <v>45861</v>
      </c>
      <c r="C795" s="109">
        <v>14431438</v>
      </c>
      <c r="D795" s="109" t="s">
        <v>307</v>
      </c>
      <c r="E795" s="109" t="s">
        <v>308</v>
      </c>
      <c r="F795" s="109"/>
      <c r="G795" s="109" t="s">
        <v>813</v>
      </c>
      <c r="H795" s="140">
        <v>1224225</v>
      </c>
      <c r="I795" s="140">
        <v>1252149</v>
      </c>
      <c r="J795" s="26">
        <f>IF(H795&lt;&gt;"",IF(AND(C795&lt;&gt;"",IFERROR(MATCH(C795,Table10[Serial No.],0),0)),0,1),0)</f>
        <v>1</v>
      </c>
      <c r="K795" s="21"/>
      <c r="L795" s="539" t="str">
        <f t="shared" ca="1" si="112"/>
        <v/>
      </c>
      <c r="Q795"/>
    </row>
    <row r="796" spans="1:17" ht="24.75" customHeight="1" x14ac:dyDescent="0.35">
      <c r="A796" s="697">
        <v>20250219</v>
      </c>
      <c r="B796" s="698">
        <v>45861</v>
      </c>
      <c r="C796" s="109">
        <v>14431436</v>
      </c>
      <c r="D796" s="109" t="s">
        <v>307</v>
      </c>
      <c r="E796" s="109" t="s">
        <v>308</v>
      </c>
      <c r="F796" s="109"/>
      <c r="G796" s="109" t="s">
        <v>813</v>
      </c>
      <c r="H796" s="140">
        <v>1224225</v>
      </c>
      <c r="I796" s="140">
        <v>1252149</v>
      </c>
      <c r="J796" s="26">
        <f>IF(H796&lt;&gt;"",IF(AND(C796&lt;&gt;"",IFERROR(MATCH(C796,Table10[Serial No.],0),0)),0,1),0)</f>
        <v>1</v>
      </c>
      <c r="K796" s="21"/>
      <c r="L796" s="539" t="str">
        <f t="shared" ca="1" si="112"/>
        <v/>
      </c>
      <c r="Q796"/>
    </row>
    <row r="797" spans="1:17" ht="24.75" customHeight="1" x14ac:dyDescent="0.35">
      <c r="A797" s="697">
        <v>20250219</v>
      </c>
      <c r="B797" s="698">
        <v>45861</v>
      </c>
      <c r="C797" s="109">
        <v>14431439</v>
      </c>
      <c r="D797" s="109" t="s">
        <v>307</v>
      </c>
      <c r="E797" s="109" t="s">
        <v>308</v>
      </c>
      <c r="F797" s="109"/>
      <c r="G797" s="109" t="s">
        <v>813</v>
      </c>
      <c r="H797" s="140">
        <v>1224225</v>
      </c>
      <c r="I797" s="140">
        <v>1252149</v>
      </c>
      <c r="J797" s="26">
        <f>IF(H797&lt;&gt;"",IF(AND(C797&lt;&gt;"",IFERROR(MATCH(C797,Table10[Serial No.],0),0)),0,1),0)</f>
        <v>1</v>
      </c>
      <c r="K797" s="21"/>
      <c r="L797" s="539" t="str">
        <f t="shared" ca="1" si="112"/>
        <v/>
      </c>
      <c r="Q797"/>
    </row>
    <row r="798" spans="1:17" ht="24.75" customHeight="1" x14ac:dyDescent="0.35">
      <c r="A798" s="699">
        <v>20250219</v>
      </c>
      <c r="B798" s="700">
        <v>45861</v>
      </c>
      <c r="C798" s="132">
        <v>14431437</v>
      </c>
      <c r="D798" s="132" t="s">
        <v>307</v>
      </c>
      <c r="E798" s="132" t="s">
        <v>308</v>
      </c>
      <c r="F798" s="132"/>
      <c r="G798" s="132" t="s">
        <v>813</v>
      </c>
      <c r="H798" s="141">
        <v>1224225</v>
      </c>
      <c r="I798" s="141">
        <v>1252149</v>
      </c>
      <c r="J798" s="26">
        <f>IF(H798&lt;&gt;"",IF(AND(C798&lt;&gt;"",IFERROR(MATCH(C798,Table10[Serial No.],0),0)),0,1),0)</f>
        <v>1</v>
      </c>
      <c r="K798" s="21"/>
      <c r="L798" s="539" t="str">
        <f t="shared" ca="1" si="112"/>
        <v/>
      </c>
      <c r="Q798"/>
    </row>
    <row r="799" spans="1:17" ht="24.75" customHeight="1" x14ac:dyDescent="0.35">
      <c r="A799" s="132">
        <v>20250213</v>
      </c>
      <c r="B799" s="700">
        <v>45855</v>
      </c>
      <c r="C799" s="132">
        <v>14425802</v>
      </c>
      <c r="D799" s="132">
        <v>16</v>
      </c>
      <c r="E799" s="132" t="s">
        <v>642</v>
      </c>
      <c r="F799" s="132"/>
      <c r="G799" s="132" t="s">
        <v>813</v>
      </c>
      <c r="H799" s="141">
        <v>2000401</v>
      </c>
      <c r="I799" s="141">
        <v>1287241</v>
      </c>
      <c r="J799" s="26">
        <f>IF(H799&lt;&gt;"",IF(AND(C799&lt;&gt;"",IFERROR(MATCH(C799,Table10[Serial No.],0),0)),0,1),0)</f>
        <v>0</v>
      </c>
      <c r="K799" s="21"/>
      <c r="L799" s="539" t="str">
        <f t="shared" ca="1" si="112"/>
        <v/>
      </c>
      <c r="Q799"/>
    </row>
    <row r="800" spans="1:17" ht="24.75" customHeight="1" x14ac:dyDescent="0.35">
      <c r="A800" s="109">
        <v>20250241</v>
      </c>
      <c r="B800" s="608">
        <v>45896</v>
      </c>
      <c r="C800" s="109">
        <v>14442323</v>
      </c>
      <c r="D800" s="109">
        <v>5.875</v>
      </c>
      <c r="E800" s="109" t="s">
        <v>645</v>
      </c>
      <c r="F800" s="109"/>
      <c r="G800" s="109" t="s">
        <v>813</v>
      </c>
      <c r="H800" s="140">
        <v>2017993</v>
      </c>
      <c r="I800" s="140">
        <v>2021865</v>
      </c>
      <c r="J800" s="26">
        <f>IF(H800&lt;&gt;"",IF(AND(C800&lt;&gt;"",IFERROR(MATCH(C800,Table10[Serial No.],0),0)),0,1),0)</f>
        <v>0</v>
      </c>
      <c r="K800" s="21"/>
      <c r="L800" s="539" t="str">
        <f t="shared" si="112"/>
        <v/>
      </c>
      <c r="Q800"/>
    </row>
    <row r="801" spans="1:17" ht="24.75" customHeight="1" x14ac:dyDescent="0.35">
      <c r="A801" s="109">
        <v>20250241</v>
      </c>
      <c r="B801" s="608">
        <v>45896</v>
      </c>
      <c r="C801" s="109">
        <v>14442324</v>
      </c>
      <c r="D801" s="109">
        <v>5.875</v>
      </c>
      <c r="E801" s="109" t="s">
        <v>645</v>
      </c>
      <c r="F801" s="109"/>
      <c r="G801" s="109" t="s">
        <v>813</v>
      </c>
      <c r="H801" s="140">
        <v>2017993</v>
      </c>
      <c r="I801" s="140">
        <v>2021865</v>
      </c>
      <c r="J801" s="26">
        <f>IF(H801&lt;&gt;"",IF(AND(C801&lt;&gt;"",IFERROR(MATCH(C801,Table10[Serial No.],0),0)),0,1),0)</f>
        <v>0</v>
      </c>
      <c r="K801" s="21"/>
      <c r="L801" s="539" t="str">
        <f t="shared" si="112"/>
        <v/>
      </c>
      <c r="Q801"/>
    </row>
    <row r="802" spans="1:17" ht="24.75" customHeight="1" x14ac:dyDescent="0.35">
      <c r="A802" s="109">
        <v>20250241</v>
      </c>
      <c r="B802" s="608">
        <v>45896</v>
      </c>
      <c r="C802" s="109">
        <v>14442326</v>
      </c>
      <c r="D802" s="109">
        <v>8.375</v>
      </c>
      <c r="E802" s="109" t="s">
        <v>272</v>
      </c>
      <c r="F802" s="109"/>
      <c r="G802" s="109" t="s">
        <v>813</v>
      </c>
      <c r="H802" s="140">
        <v>1246020</v>
      </c>
      <c r="I802" s="140">
        <v>2009246</v>
      </c>
      <c r="J802" s="26">
        <f>IF(H802&lt;&gt;"",IF(AND(C802&lt;&gt;"",IFERROR(MATCH(C802,Table10[Serial No.],0),0)),0,1),0)</f>
        <v>0</v>
      </c>
      <c r="K802" s="21"/>
      <c r="L802" s="539" t="str">
        <f t="shared" ca="1" si="112"/>
        <v/>
      </c>
      <c r="Q802"/>
    </row>
    <row r="803" spans="1:17" ht="24.75" customHeight="1" x14ac:dyDescent="0.35">
      <c r="A803" s="109">
        <v>20250241</v>
      </c>
      <c r="B803" s="608">
        <v>45896</v>
      </c>
      <c r="C803" s="109">
        <v>14442325</v>
      </c>
      <c r="D803" s="109">
        <v>8.375</v>
      </c>
      <c r="E803" s="109" t="s">
        <v>272</v>
      </c>
      <c r="F803" s="109"/>
      <c r="G803" s="109" t="s">
        <v>813</v>
      </c>
      <c r="H803" s="140">
        <v>1246020</v>
      </c>
      <c r="I803" s="140">
        <v>2009246</v>
      </c>
      <c r="J803" s="26">
        <f>IF(H803&lt;&gt;"",IF(AND(C803&lt;&gt;"",IFERROR(MATCH(C803,Table10[Serial No.],0),0)),0,1),0)</f>
        <v>0</v>
      </c>
      <c r="K803" s="21"/>
      <c r="L803" s="539" t="str">
        <f t="shared" ca="1" si="112"/>
        <v/>
      </c>
      <c r="Q803"/>
    </row>
    <row r="804" spans="1:17" ht="24.75" customHeight="1" x14ac:dyDescent="0.35">
      <c r="A804" s="109">
        <v>20250241</v>
      </c>
      <c r="B804" s="608">
        <v>45896</v>
      </c>
      <c r="C804" s="109">
        <v>14442328</v>
      </c>
      <c r="D804" s="109">
        <v>8.5</v>
      </c>
      <c r="E804" s="109" t="s">
        <v>719</v>
      </c>
      <c r="F804" s="109"/>
      <c r="G804" s="109" t="s">
        <v>813</v>
      </c>
      <c r="H804" s="140">
        <v>2013542</v>
      </c>
      <c r="I804" s="140">
        <v>2019412</v>
      </c>
      <c r="J804" s="26">
        <f>IF(H804&lt;&gt;"",IF(AND(C804&lt;&gt;"",IFERROR(MATCH(C804,Table10[Serial No.],0),0)),0,1),0)</f>
        <v>0</v>
      </c>
      <c r="K804" s="21"/>
      <c r="L804" s="539" t="str">
        <f t="shared" si="112"/>
        <v/>
      </c>
      <c r="Q804"/>
    </row>
    <row r="805" spans="1:17" ht="24.75" customHeight="1" x14ac:dyDescent="0.35">
      <c r="A805" s="109">
        <v>20250241</v>
      </c>
      <c r="B805" s="608">
        <v>45896</v>
      </c>
      <c r="C805" s="109">
        <v>14442327</v>
      </c>
      <c r="D805" s="109">
        <v>8.5</v>
      </c>
      <c r="E805" s="109" t="s">
        <v>719</v>
      </c>
      <c r="F805" s="109"/>
      <c r="G805" s="109" t="s">
        <v>813</v>
      </c>
      <c r="H805" s="140">
        <v>2013542</v>
      </c>
      <c r="I805" s="140">
        <v>2019412</v>
      </c>
      <c r="J805" s="26">
        <f>IF(H805&lt;&gt;"",IF(AND(C805&lt;&gt;"",IFERROR(MATCH(C805,Table10[Serial No.],0),0)),0,1),0)</f>
        <v>0</v>
      </c>
      <c r="K805" s="21"/>
      <c r="L805" s="539" t="str">
        <f t="shared" si="112"/>
        <v/>
      </c>
      <c r="Q805"/>
    </row>
    <row r="806" spans="1:17" ht="24.75" customHeight="1" x14ac:dyDescent="0.35">
      <c r="A806" s="109">
        <v>20250241</v>
      </c>
      <c r="B806" s="608">
        <v>45896</v>
      </c>
      <c r="C806" s="109">
        <v>14446145</v>
      </c>
      <c r="D806" s="109">
        <v>12</v>
      </c>
      <c r="E806" s="109" t="s">
        <v>286</v>
      </c>
      <c r="F806" s="109"/>
      <c r="G806" s="109" t="s">
        <v>814</v>
      </c>
      <c r="H806" s="140">
        <v>1245350</v>
      </c>
      <c r="I806" s="140">
        <v>1269308</v>
      </c>
      <c r="J806" s="26">
        <f>IF(H806&lt;&gt;"",IF(AND(C806&lt;&gt;"",IFERROR(MATCH(C806,Table10[Serial No.],0),0)),0,1),0)</f>
        <v>0</v>
      </c>
      <c r="K806" s="21"/>
      <c r="L806" s="539" t="str">
        <f t="shared" ca="1" si="112"/>
        <v/>
      </c>
      <c r="Q806"/>
    </row>
    <row r="807" spans="1:17" ht="24.75" customHeight="1" x14ac:dyDescent="0.35">
      <c r="A807" s="109">
        <v>20250241</v>
      </c>
      <c r="B807" s="608">
        <v>45896</v>
      </c>
      <c r="C807" s="109">
        <v>14451066</v>
      </c>
      <c r="D807" s="109">
        <v>12</v>
      </c>
      <c r="E807" s="109" t="s">
        <v>286</v>
      </c>
      <c r="F807" s="109"/>
      <c r="G807" s="109" t="s">
        <v>814</v>
      </c>
      <c r="H807" s="140">
        <v>1245350</v>
      </c>
      <c r="I807" s="140">
        <v>1269308</v>
      </c>
      <c r="J807" s="26">
        <f>IF(H807&lt;&gt;"",IF(AND(C807&lt;&gt;"",IFERROR(MATCH(C807,Table10[Serial No.],0),0)),0,1),0)</f>
        <v>1</v>
      </c>
      <c r="K807" s="21"/>
      <c r="L807" s="539" t="str">
        <f t="shared" ca="1" si="112"/>
        <v/>
      </c>
      <c r="Q807"/>
    </row>
    <row r="808" spans="1:17" ht="24.75" customHeight="1" x14ac:dyDescent="0.35">
      <c r="A808" s="109">
        <v>20250241</v>
      </c>
      <c r="B808" s="608">
        <v>45896</v>
      </c>
      <c r="C808" s="109">
        <v>14451064</v>
      </c>
      <c r="D808" s="109">
        <v>12</v>
      </c>
      <c r="E808" s="109" t="s">
        <v>286</v>
      </c>
      <c r="F808" s="109"/>
      <c r="G808" s="109" t="s">
        <v>814</v>
      </c>
      <c r="H808" s="140">
        <v>1245350</v>
      </c>
      <c r="I808" s="140">
        <v>1269308</v>
      </c>
      <c r="J808" s="26">
        <f>IF(H808&lt;&gt;"",IF(AND(C808&lt;&gt;"",IFERROR(MATCH(C808,Table10[Serial No.],0),0)),0,1),0)</f>
        <v>0</v>
      </c>
      <c r="K808" s="21"/>
      <c r="L808" s="539" t="str">
        <f t="shared" ca="1" si="112"/>
        <v/>
      </c>
      <c r="Q808"/>
    </row>
    <row r="809" spans="1:17" ht="24.75" customHeight="1" x14ac:dyDescent="0.35">
      <c r="A809" s="109">
        <v>20250241</v>
      </c>
      <c r="B809" s="608">
        <v>45896</v>
      </c>
      <c r="C809" s="109">
        <v>14451065</v>
      </c>
      <c r="D809" s="109">
        <v>12</v>
      </c>
      <c r="E809" s="109" t="s">
        <v>286</v>
      </c>
      <c r="F809" s="109"/>
      <c r="G809" s="109" t="s">
        <v>814</v>
      </c>
      <c r="H809" s="140">
        <v>1245350</v>
      </c>
      <c r="I809" s="140">
        <v>1269308</v>
      </c>
      <c r="J809" s="26">
        <f>IF(H809&lt;&gt;"",IF(AND(C809&lt;&gt;"",IFERROR(MATCH(C809,Table10[Serial No.],0),0)),0,1),0)</f>
        <v>0</v>
      </c>
      <c r="K809" s="21"/>
      <c r="L809" s="539" t="str">
        <f t="shared" ca="1" si="112"/>
        <v/>
      </c>
    </row>
    <row r="810" spans="1:17" ht="24.75" customHeight="1" x14ac:dyDescent="0.35">
      <c r="A810" s="109">
        <v>20250241</v>
      </c>
      <c r="B810" s="608">
        <v>45896</v>
      </c>
      <c r="C810" s="109">
        <v>14451067</v>
      </c>
      <c r="D810" s="109">
        <v>12</v>
      </c>
      <c r="E810" s="109" t="s">
        <v>286</v>
      </c>
      <c r="F810" s="109"/>
      <c r="G810" s="109" t="s">
        <v>813</v>
      </c>
      <c r="H810" s="140">
        <v>1290130</v>
      </c>
      <c r="I810" s="140" t="s">
        <v>761</v>
      </c>
      <c r="J810" s="26">
        <f>IF(H810&lt;&gt;"",IF(AND(C810&lt;&gt;"",IFERROR(MATCH(C810,Table10[Serial No.],0),0)),0,1),0)</f>
        <v>1</v>
      </c>
      <c r="K810" s="21"/>
      <c r="L810" s="539" t="str">
        <f t="shared" si="112"/>
        <v/>
      </c>
    </row>
    <row r="811" spans="1:17" ht="24.75" customHeight="1" x14ac:dyDescent="0.35">
      <c r="A811" s="109">
        <v>20250241</v>
      </c>
      <c r="B811" s="608">
        <v>45896</v>
      </c>
      <c r="C811" s="109">
        <v>14442330</v>
      </c>
      <c r="D811" s="109">
        <v>12.25</v>
      </c>
      <c r="E811" s="109" t="s">
        <v>673</v>
      </c>
      <c r="F811" s="109"/>
      <c r="G811" s="109" t="s">
        <v>813</v>
      </c>
      <c r="H811" s="140">
        <v>1270865</v>
      </c>
      <c r="I811" s="140">
        <v>2008912</v>
      </c>
      <c r="J811" s="26">
        <f>IF(H811&lt;&gt;"",IF(AND(C811&lt;&gt;"",IFERROR(MATCH(C811,Table10[Serial No.],0),0)),0,1),0)</f>
        <v>1</v>
      </c>
      <c r="K811" s="21"/>
      <c r="L811" s="539" t="str">
        <f t="shared" ca="1" si="112"/>
        <v/>
      </c>
    </row>
    <row r="812" spans="1:17" ht="24.75" customHeight="1" x14ac:dyDescent="0.35">
      <c r="A812" s="109">
        <v>20250241</v>
      </c>
      <c r="B812" s="608">
        <v>45896</v>
      </c>
      <c r="C812" s="109">
        <v>14442329</v>
      </c>
      <c r="D812" s="109">
        <v>12.25</v>
      </c>
      <c r="E812" s="109" t="s">
        <v>673</v>
      </c>
      <c r="F812" s="109"/>
      <c r="G812" s="109" t="s">
        <v>813</v>
      </c>
      <c r="H812" s="140">
        <v>1270865</v>
      </c>
      <c r="I812" s="140">
        <v>2008912</v>
      </c>
      <c r="J812" s="26">
        <f>IF(H812&lt;&gt;"",IF(AND(C812&lt;&gt;"",IFERROR(MATCH(C812,Table10[Serial No.],0),0)),0,1),0)</f>
        <v>1</v>
      </c>
      <c r="K812" s="21"/>
      <c r="L812" s="539" t="str">
        <f t="shared" ca="1" si="112"/>
        <v/>
      </c>
    </row>
    <row r="813" spans="1:17" ht="24.75" customHeight="1" x14ac:dyDescent="0.35">
      <c r="A813" s="109">
        <v>20250241</v>
      </c>
      <c r="B813" s="608">
        <v>45896</v>
      </c>
      <c r="C813" s="109">
        <v>14442331</v>
      </c>
      <c r="D813" s="109">
        <v>12.25</v>
      </c>
      <c r="E813" s="109" t="s">
        <v>287</v>
      </c>
      <c r="F813" s="109"/>
      <c r="G813" s="109" t="s">
        <v>813</v>
      </c>
      <c r="H813" s="140">
        <v>1267122</v>
      </c>
      <c r="I813" s="140">
        <v>1257458</v>
      </c>
      <c r="J813" s="26">
        <f>IF(H813&lt;&gt;"",IF(AND(C813&lt;&gt;"",IFERROR(MATCH(C813,Table10[Serial No.],0),0)),0,1),0)</f>
        <v>0</v>
      </c>
      <c r="K813" s="21"/>
      <c r="L813" s="539" t="str">
        <f t="shared" ca="1" si="112"/>
        <v/>
      </c>
    </row>
    <row r="814" spans="1:17" ht="24.75" customHeight="1" x14ac:dyDescent="0.35">
      <c r="A814" s="109">
        <v>20250241</v>
      </c>
      <c r="B814" s="608">
        <v>45896</v>
      </c>
      <c r="C814" s="109">
        <v>14442332</v>
      </c>
      <c r="D814" s="109">
        <v>12.25</v>
      </c>
      <c r="E814" s="109" t="s">
        <v>287</v>
      </c>
      <c r="F814" s="109"/>
      <c r="G814" s="109" t="s">
        <v>813</v>
      </c>
      <c r="H814" s="140">
        <v>1267122</v>
      </c>
      <c r="I814" s="140">
        <v>1257458</v>
      </c>
      <c r="J814" s="26">
        <f>IF(H814&lt;&gt;"",IF(AND(C814&lt;&gt;"",IFERROR(MATCH(C814,Table10[Serial No.],0),0)),0,1),0)</f>
        <v>1</v>
      </c>
      <c r="K814" s="21"/>
      <c r="L814" s="539" t="str">
        <f t="shared" ca="1" si="112"/>
        <v/>
      </c>
    </row>
    <row r="815" spans="1:17" ht="24.75" customHeight="1" x14ac:dyDescent="0.35">
      <c r="A815" s="109">
        <v>20250241</v>
      </c>
      <c r="B815" s="608">
        <v>45896</v>
      </c>
      <c r="C815" s="109">
        <v>14445760</v>
      </c>
      <c r="D815" s="109">
        <v>17</v>
      </c>
      <c r="E815" s="109" t="s">
        <v>320</v>
      </c>
      <c r="F815" s="109"/>
      <c r="G815" s="109" t="s">
        <v>814</v>
      </c>
      <c r="H815" s="140">
        <v>1248668</v>
      </c>
      <c r="I815" s="140" t="s">
        <v>688</v>
      </c>
      <c r="J815" s="26">
        <f>IF(H815&lt;&gt;"",IF(AND(C815&lt;&gt;"",IFERROR(MATCH(C815,Table10[Serial No.],0),0)),0,1),0)</f>
        <v>1</v>
      </c>
      <c r="K815" s="21"/>
      <c r="L815" s="539" t="str">
        <f t="shared" si="112"/>
        <v/>
      </c>
    </row>
    <row r="816" spans="1:17" ht="24.75" customHeight="1" x14ac:dyDescent="0.35">
      <c r="A816" s="109">
        <v>20250241</v>
      </c>
      <c r="B816" s="608">
        <v>45896</v>
      </c>
      <c r="C816" s="109">
        <v>14442333</v>
      </c>
      <c r="D816" s="109">
        <v>17</v>
      </c>
      <c r="E816" s="109" t="s">
        <v>665</v>
      </c>
      <c r="F816" s="109"/>
      <c r="G816" s="109" t="s">
        <v>814</v>
      </c>
      <c r="H816" s="140">
        <v>1231398</v>
      </c>
      <c r="I816" s="140" t="s">
        <v>776</v>
      </c>
      <c r="J816" s="26">
        <f>IF(H816&lt;&gt;"",IF(AND(C816&lt;&gt;"",IFERROR(MATCH(C816,Table10[Serial No.],0),0)),0,1),0)</f>
        <v>1</v>
      </c>
      <c r="K816" s="21"/>
      <c r="L816" s="539" t="str">
        <f t="shared" si="112"/>
        <v/>
      </c>
    </row>
    <row r="817" spans="1:12" ht="24.75" customHeight="1" x14ac:dyDescent="0.35">
      <c r="A817" s="132">
        <v>20250241</v>
      </c>
      <c r="B817" s="608">
        <v>45896</v>
      </c>
      <c r="C817" s="132">
        <v>14442334</v>
      </c>
      <c r="D817" s="132">
        <v>17</v>
      </c>
      <c r="E817" s="132" t="s">
        <v>665</v>
      </c>
      <c r="F817" s="132"/>
      <c r="G817" s="132" t="s">
        <v>814</v>
      </c>
      <c r="H817" s="141">
        <v>1231398</v>
      </c>
      <c r="I817" s="141" t="s">
        <v>776</v>
      </c>
      <c r="J817" s="26">
        <f>IF(H817&lt;&gt;"",IF(AND(C817&lt;&gt;"",IFERROR(MATCH(C817,Table10[Serial No.],0),0)),0,1),0)</f>
        <v>1</v>
      </c>
      <c r="K817" s="21"/>
      <c r="L817" s="539" t="str">
        <f t="shared" si="112"/>
        <v/>
      </c>
    </row>
    <row r="818" spans="1:12" ht="24.75" customHeight="1" x14ac:dyDescent="0.35">
      <c r="A818" s="132">
        <v>20250248</v>
      </c>
      <c r="B818" s="609">
        <v>45903</v>
      </c>
      <c r="C818" s="132">
        <v>14447590</v>
      </c>
      <c r="D818" s="714">
        <v>6.125</v>
      </c>
      <c r="E818" s="132" t="s">
        <v>256</v>
      </c>
      <c r="F818" s="132"/>
      <c r="G818" s="132" t="s">
        <v>681</v>
      </c>
      <c r="H818" s="141">
        <v>1198387</v>
      </c>
      <c r="I818" s="141">
        <v>1160951</v>
      </c>
      <c r="J818" s="26">
        <f>IF(H818&lt;&gt;"",IF(AND(C818&lt;&gt;"",IFERROR(MATCH(C818,Table10[Serial No.],0),0)),0,1),0)</f>
        <v>0</v>
      </c>
      <c r="K818" s="21"/>
      <c r="L818" s="539" t="str">
        <f t="shared" ca="1" si="112"/>
        <v/>
      </c>
    </row>
    <row r="819" spans="1:12" ht="24.75" customHeight="1" x14ac:dyDescent="0.35">
      <c r="A819" s="132">
        <v>20250248</v>
      </c>
      <c r="B819" s="609">
        <v>45903</v>
      </c>
      <c r="C819" s="132">
        <v>14451069</v>
      </c>
      <c r="D819" s="714">
        <v>6.125</v>
      </c>
      <c r="E819" s="132" t="s">
        <v>256</v>
      </c>
      <c r="F819" s="132"/>
      <c r="G819" s="132" t="s">
        <v>681</v>
      </c>
      <c r="H819" s="141">
        <v>1198387</v>
      </c>
      <c r="I819" s="141">
        <v>1160951</v>
      </c>
      <c r="J819" s="26">
        <f>IF(H819&lt;&gt;"",IF(AND(C819&lt;&gt;"",IFERROR(MATCH(C819,Table10[Serial No.],0),0)),0,1),0)</f>
        <v>0</v>
      </c>
      <c r="K819" s="21"/>
      <c r="L819" s="539" t="str">
        <f t="shared" ca="1" si="112"/>
        <v/>
      </c>
    </row>
    <row r="820" spans="1:12" ht="24.75" customHeight="1" x14ac:dyDescent="0.35">
      <c r="A820" s="132">
        <v>20250248</v>
      </c>
      <c r="B820" s="609">
        <v>45903</v>
      </c>
      <c r="C820" s="132">
        <v>14447949</v>
      </c>
      <c r="D820" s="132">
        <v>12</v>
      </c>
      <c r="E820" s="132" t="s">
        <v>660</v>
      </c>
      <c r="F820" s="132"/>
      <c r="G820" s="132" t="s">
        <v>676</v>
      </c>
      <c r="H820" s="141">
        <v>1186940</v>
      </c>
      <c r="I820" s="141">
        <v>1176003</v>
      </c>
      <c r="J820" s="26">
        <f>IF(H820&lt;&gt;"",IF(AND(C820&lt;&gt;"",IFERROR(MATCH(C820,Table10[Serial No.],0),0)),0,1),0)</f>
        <v>0</v>
      </c>
      <c r="K820" s="21"/>
      <c r="L820" s="539" t="str">
        <f t="shared" ca="1" si="112"/>
        <v/>
      </c>
    </row>
    <row r="821" spans="1:12" ht="24.75" customHeight="1" x14ac:dyDescent="0.35">
      <c r="A821" s="132">
        <v>20250248</v>
      </c>
      <c r="B821" s="609">
        <v>45903</v>
      </c>
      <c r="C821" s="132">
        <v>14447950</v>
      </c>
      <c r="D821" s="132">
        <v>12</v>
      </c>
      <c r="E821" s="132" t="s">
        <v>660</v>
      </c>
      <c r="F821" s="132"/>
      <c r="G821" s="132" t="s">
        <v>676</v>
      </c>
      <c r="H821" s="141">
        <v>1186940</v>
      </c>
      <c r="I821" s="141">
        <v>1176003</v>
      </c>
      <c r="J821" s="26">
        <f>IF(H821&lt;&gt;"",IF(AND(C821&lt;&gt;"",IFERROR(MATCH(C821,Table10[Serial No.],0),0)),0,1),0)</f>
        <v>1</v>
      </c>
      <c r="K821" s="21"/>
      <c r="L821" s="539" t="str">
        <f t="shared" ca="1" si="112"/>
        <v/>
      </c>
    </row>
    <row r="822" spans="1:12" ht="24.75" customHeight="1" x14ac:dyDescent="0.35">
      <c r="A822" s="109">
        <v>20250277</v>
      </c>
      <c r="B822" s="608">
        <v>45925</v>
      </c>
      <c r="C822" s="109">
        <v>14460271</v>
      </c>
      <c r="D822" s="109">
        <v>3.625</v>
      </c>
      <c r="E822" s="109" t="s">
        <v>636</v>
      </c>
      <c r="F822" s="109"/>
      <c r="G822" s="109" t="s">
        <v>814</v>
      </c>
      <c r="H822" s="140">
        <v>2016920</v>
      </c>
      <c r="I822" s="140">
        <v>1016454</v>
      </c>
      <c r="J822" s="26">
        <f>IF(H822&lt;&gt;"",IF(AND(C822&lt;&gt;"",IFERROR(MATCH(C822,Table10[Serial No.],0),0)),0,1),0)</f>
        <v>0</v>
      </c>
      <c r="K822" s="21"/>
      <c r="L822" s="539" t="str">
        <f t="shared" ca="1" si="112"/>
        <v/>
      </c>
    </row>
    <row r="823" spans="1:12" ht="24.75" customHeight="1" x14ac:dyDescent="0.35">
      <c r="A823" s="109">
        <v>20250277</v>
      </c>
      <c r="B823" s="608">
        <v>45925</v>
      </c>
      <c r="C823" s="109">
        <v>14459842</v>
      </c>
      <c r="D823" s="109">
        <v>3.625</v>
      </c>
      <c r="E823" s="109" t="s">
        <v>636</v>
      </c>
      <c r="F823" s="109"/>
      <c r="G823" s="109" t="s">
        <v>813</v>
      </c>
      <c r="H823" s="140">
        <v>2025595</v>
      </c>
      <c r="I823" s="140">
        <v>960723</v>
      </c>
      <c r="J823" s="26">
        <f>IF(H823&lt;&gt;"",IF(AND(C823&lt;&gt;"",IFERROR(MATCH(C823,Table10[Serial No.],0),0)),0,1),0)</f>
        <v>0</v>
      </c>
      <c r="K823" s="21"/>
      <c r="L823" s="539" t="str">
        <f t="shared" ca="1" si="112"/>
        <v/>
      </c>
    </row>
    <row r="824" spans="1:12" ht="24.75" customHeight="1" x14ac:dyDescent="0.35">
      <c r="A824" s="109">
        <v>20250277</v>
      </c>
      <c r="B824" s="608">
        <v>45925</v>
      </c>
      <c r="C824" s="109">
        <v>14459843</v>
      </c>
      <c r="D824" s="109">
        <v>3.625</v>
      </c>
      <c r="E824" s="109" t="s">
        <v>636</v>
      </c>
      <c r="F824" s="109"/>
      <c r="G824" s="109" t="s">
        <v>813</v>
      </c>
      <c r="H824" s="140">
        <v>2025595</v>
      </c>
      <c r="I824" s="140">
        <v>960723</v>
      </c>
      <c r="J824" s="26">
        <f>IF(H824&lt;&gt;"",IF(AND(C824&lt;&gt;"",IFERROR(MATCH(C824,Table10[Serial No.],0),0)),0,1),0)</f>
        <v>0</v>
      </c>
      <c r="K824" s="21"/>
      <c r="L824" s="539" t="str">
        <f t="shared" ca="1" si="112"/>
        <v/>
      </c>
    </row>
    <row r="825" spans="1:12" ht="24.75" customHeight="1" x14ac:dyDescent="0.35">
      <c r="A825" s="109">
        <v>20250277</v>
      </c>
      <c r="B825" s="608">
        <v>45925</v>
      </c>
      <c r="C825" s="109">
        <v>14460272</v>
      </c>
      <c r="D825" s="109">
        <v>5.875</v>
      </c>
      <c r="E825" s="109" t="s">
        <v>632</v>
      </c>
      <c r="F825" s="109"/>
      <c r="G825" s="109" t="s">
        <v>813</v>
      </c>
      <c r="H825" s="140">
        <v>2022350</v>
      </c>
      <c r="I825" s="140">
        <v>1138943</v>
      </c>
      <c r="J825" s="26">
        <f>IF(H825&lt;&gt;"",IF(AND(C825&lt;&gt;"",IFERROR(MATCH(C825,Table10[Serial No.],0),0)),0,1),0)</f>
        <v>0</v>
      </c>
      <c r="K825" s="21"/>
      <c r="L825" s="539" t="str">
        <f t="shared" ref="L825:L867" ca="1" si="113">IFERROR(INDEX($O$2:$Q$57,MATCH($I825,$O$2:$O$93,0),3),"")</f>
        <v/>
      </c>
    </row>
    <row r="826" spans="1:12" ht="24.75" customHeight="1" x14ac:dyDescent="0.35">
      <c r="A826" s="109">
        <v>20250277</v>
      </c>
      <c r="B826" s="608">
        <v>45925</v>
      </c>
      <c r="C826" s="109">
        <v>14460273</v>
      </c>
      <c r="D826" s="109">
        <v>5.875</v>
      </c>
      <c r="E826" s="109" t="s">
        <v>632</v>
      </c>
      <c r="F826" s="109"/>
      <c r="G826" s="109" t="s">
        <v>813</v>
      </c>
      <c r="H826" s="140">
        <v>2022350</v>
      </c>
      <c r="I826" s="140">
        <v>1138943</v>
      </c>
      <c r="J826" s="26">
        <f>IF(H826&lt;&gt;"",IF(AND(C826&lt;&gt;"",IFERROR(MATCH(C826,Table10[Serial No.],0),0)),0,1),0)</f>
        <v>1</v>
      </c>
      <c r="K826" s="21"/>
      <c r="L826" s="539" t="str">
        <f t="shared" ca="1" si="113"/>
        <v/>
      </c>
    </row>
    <row r="827" spans="1:12" ht="24.75" customHeight="1" x14ac:dyDescent="0.35">
      <c r="A827" s="109">
        <v>20250277</v>
      </c>
      <c r="B827" s="608">
        <v>45925</v>
      </c>
      <c r="C827" s="109">
        <v>14460085</v>
      </c>
      <c r="D827" s="109">
        <v>6.125</v>
      </c>
      <c r="E827" s="109" t="s">
        <v>256</v>
      </c>
      <c r="F827" s="109"/>
      <c r="G827" s="109" t="s">
        <v>813</v>
      </c>
      <c r="H827" s="140">
        <v>1198387</v>
      </c>
      <c r="I827" s="140" t="s">
        <v>782</v>
      </c>
      <c r="J827" s="26">
        <f>IF(H827&lt;&gt;"",IF(AND(C827&lt;&gt;"",IFERROR(MATCH(C827,Table10[Serial No.],0),0)),0,1),0)</f>
        <v>0</v>
      </c>
      <c r="K827" s="21"/>
      <c r="L827" s="539" t="str">
        <f t="shared" si="113"/>
        <v/>
      </c>
    </row>
    <row r="828" spans="1:12" ht="24.75" customHeight="1" x14ac:dyDescent="0.35">
      <c r="A828" s="109">
        <v>20250277</v>
      </c>
      <c r="B828" s="608">
        <v>45925</v>
      </c>
      <c r="C828" s="109">
        <v>14460088</v>
      </c>
      <c r="D828" s="109">
        <v>6.125</v>
      </c>
      <c r="E828" s="109" t="s">
        <v>256</v>
      </c>
      <c r="F828" s="109"/>
      <c r="G828" s="109" t="s">
        <v>813</v>
      </c>
      <c r="H828" s="140">
        <v>1198387</v>
      </c>
      <c r="I828" s="140" t="s">
        <v>782</v>
      </c>
      <c r="J828" s="26">
        <f>IF(H828&lt;&gt;"",IF(AND(C828&lt;&gt;"",IFERROR(MATCH(C828,Table10[Serial No.],0),0)),0,1),0)</f>
        <v>0</v>
      </c>
      <c r="K828" s="21"/>
      <c r="L828" s="539" t="str">
        <f t="shared" si="113"/>
        <v/>
      </c>
    </row>
    <row r="829" spans="1:12" ht="24.75" customHeight="1" x14ac:dyDescent="0.35">
      <c r="A829" s="109">
        <v>20250277</v>
      </c>
      <c r="B829" s="608">
        <v>45925</v>
      </c>
      <c r="C829" s="109">
        <v>14460086</v>
      </c>
      <c r="D829" s="109">
        <v>6.125</v>
      </c>
      <c r="E829" s="109" t="s">
        <v>256</v>
      </c>
      <c r="F829" s="109"/>
      <c r="G829" s="109" t="s">
        <v>813</v>
      </c>
      <c r="H829" s="140">
        <v>1198387</v>
      </c>
      <c r="I829" s="140" t="s">
        <v>782</v>
      </c>
      <c r="J829" s="26">
        <f>IF(H829&lt;&gt;"",IF(AND(C829&lt;&gt;"",IFERROR(MATCH(C829,Table10[Serial No.],0),0)),0,1),0)</f>
        <v>0</v>
      </c>
      <c r="K829" s="21"/>
      <c r="L829" s="539" t="str">
        <f t="shared" si="113"/>
        <v/>
      </c>
    </row>
    <row r="830" spans="1:12" ht="24.75" customHeight="1" x14ac:dyDescent="0.35">
      <c r="A830" s="109">
        <v>20250277</v>
      </c>
      <c r="B830" s="608">
        <v>45925</v>
      </c>
      <c r="C830" s="109">
        <v>14460087</v>
      </c>
      <c r="D830" s="109">
        <v>6.125</v>
      </c>
      <c r="E830" s="109" t="s">
        <v>256</v>
      </c>
      <c r="F830" s="109"/>
      <c r="G830" s="109" t="s">
        <v>813</v>
      </c>
      <c r="H830" s="140">
        <v>1198387</v>
      </c>
      <c r="I830" s="140" t="s">
        <v>782</v>
      </c>
      <c r="J830" s="26">
        <f>IF(H830&lt;&gt;"",IF(AND(C830&lt;&gt;"",IFERROR(MATCH(C830,Table10[Serial No.],0),0)),0,1),0)</f>
        <v>0</v>
      </c>
      <c r="K830" s="21"/>
      <c r="L830" s="539" t="str">
        <f t="shared" si="113"/>
        <v/>
      </c>
    </row>
    <row r="831" spans="1:12" ht="24.75" customHeight="1" x14ac:dyDescent="0.35">
      <c r="A831" s="109">
        <v>20250277</v>
      </c>
      <c r="B831" s="608">
        <v>45925</v>
      </c>
      <c r="C831" s="109">
        <v>14460274</v>
      </c>
      <c r="D831" s="109">
        <v>8.375</v>
      </c>
      <c r="E831" s="109" t="s">
        <v>272</v>
      </c>
      <c r="F831" s="109"/>
      <c r="G831" s="109" t="s">
        <v>814</v>
      </c>
      <c r="H831" s="140">
        <v>2016137</v>
      </c>
      <c r="I831" s="140" t="s">
        <v>775</v>
      </c>
      <c r="J831" s="26">
        <f>IF(H831&lt;&gt;"",IF(AND(C831&lt;&gt;"",IFERROR(MATCH(C831,Table10[Serial No.],0),0)),0,1),0)</f>
        <v>1</v>
      </c>
      <c r="K831" s="21"/>
      <c r="L831" s="539" t="str">
        <f t="shared" si="113"/>
        <v/>
      </c>
    </row>
    <row r="832" spans="1:12" ht="24.75" customHeight="1" x14ac:dyDescent="0.35">
      <c r="A832" s="109">
        <v>20250277</v>
      </c>
      <c r="B832" s="608">
        <v>45925</v>
      </c>
      <c r="C832" s="109">
        <v>14462147</v>
      </c>
      <c r="D832" s="109">
        <v>8.375</v>
      </c>
      <c r="E832" s="109" t="s">
        <v>703</v>
      </c>
      <c r="F832" s="109"/>
      <c r="G832" s="109" t="s">
        <v>813</v>
      </c>
      <c r="H832" s="140">
        <v>1272920</v>
      </c>
      <c r="I832" s="140">
        <v>1283482</v>
      </c>
      <c r="J832" s="26">
        <f>IF(H832&lt;&gt;"",IF(AND(C832&lt;&gt;"",IFERROR(MATCH(C832,Table10[Serial No.],0),0)),0,1),0)</f>
        <v>0</v>
      </c>
      <c r="K832" s="21"/>
      <c r="L832" s="539" t="str">
        <f t="shared" ca="1" si="113"/>
        <v/>
      </c>
    </row>
    <row r="833" spans="1:12" ht="24.75" customHeight="1" x14ac:dyDescent="0.35">
      <c r="A833" s="109">
        <v>20250277</v>
      </c>
      <c r="B833" s="608">
        <v>45925</v>
      </c>
      <c r="C833" s="109">
        <v>14462148</v>
      </c>
      <c r="D833" s="109">
        <v>8.375</v>
      </c>
      <c r="E833" s="109" t="s">
        <v>703</v>
      </c>
      <c r="F833" s="109"/>
      <c r="G833" s="109" t="s">
        <v>813</v>
      </c>
      <c r="H833" s="140">
        <v>1272920</v>
      </c>
      <c r="I833" s="140">
        <v>1283482</v>
      </c>
      <c r="J833" s="26">
        <f>IF(H833&lt;&gt;"",IF(AND(C833&lt;&gt;"",IFERROR(MATCH(C833,Table10[Serial No.],0),0)),0,1),0)</f>
        <v>0</v>
      </c>
      <c r="K833" s="21"/>
      <c r="L833" s="539" t="str">
        <f t="shared" ca="1" si="113"/>
        <v/>
      </c>
    </row>
    <row r="834" spans="1:12" ht="24.75" customHeight="1" x14ac:dyDescent="0.35">
      <c r="A834" s="109">
        <v>20250277</v>
      </c>
      <c r="B834" s="608">
        <v>45925</v>
      </c>
      <c r="C834" s="109">
        <v>14462149</v>
      </c>
      <c r="D834" s="109">
        <v>8.375</v>
      </c>
      <c r="E834" s="109" t="s">
        <v>645</v>
      </c>
      <c r="F834" s="109"/>
      <c r="G834" s="109" t="s">
        <v>813</v>
      </c>
      <c r="H834" s="140">
        <v>1267027</v>
      </c>
      <c r="I834" s="140">
        <v>1283630</v>
      </c>
      <c r="J834" s="26">
        <f>IF(H834&lt;&gt;"",IF(AND(C834&lt;&gt;"",IFERROR(MATCH(C834,Table10[Serial No.],0),0)),0,1),0)</f>
        <v>0</v>
      </c>
      <c r="K834" s="21"/>
      <c r="L834" s="539" t="str">
        <f t="shared" ca="1" si="113"/>
        <v/>
      </c>
    </row>
    <row r="835" spans="1:12" ht="24.75" customHeight="1" x14ac:dyDescent="0.35">
      <c r="A835" s="109">
        <v>20250277</v>
      </c>
      <c r="B835" s="608">
        <v>45925</v>
      </c>
      <c r="C835" s="109">
        <v>14462150</v>
      </c>
      <c r="D835" s="109">
        <v>8.375</v>
      </c>
      <c r="E835" s="109" t="s">
        <v>645</v>
      </c>
      <c r="F835" s="109"/>
      <c r="G835" s="109" t="s">
        <v>813</v>
      </c>
      <c r="H835" s="140">
        <v>1267027</v>
      </c>
      <c r="I835" s="140">
        <v>1283630</v>
      </c>
      <c r="J835" s="26">
        <f>IF(H835&lt;&gt;"",IF(AND(C835&lt;&gt;"",IFERROR(MATCH(C835,Table10[Serial No.],0),0)),0,1),0)</f>
        <v>0</v>
      </c>
      <c r="K835" s="21"/>
      <c r="L835" s="539" t="str">
        <f t="shared" ca="1" si="113"/>
        <v/>
      </c>
    </row>
    <row r="836" spans="1:12" ht="24.75" customHeight="1" x14ac:dyDescent="0.35">
      <c r="A836" s="109">
        <v>20250277</v>
      </c>
      <c r="B836" s="608">
        <v>45925</v>
      </c>
      <c r="C836" s="109">
        <v>14462154</v>
      </c>
      <c r="D836" s="109">
        <v>8.5</v>
      </c>
      <c r="E836" s="109" t="s">
        <v>717</v>
      </c>
      <c r="F836" s="109"/>
      <c r="G836" s="109" t="s">
        <v>813</v>
      </c>
      <c r="H836" s="140">
        <v>2009096</v>
      </c>
      <c r="I836" s="140">
        <v>2015535</v>
      </c>
      <c r="J836" s="26">
        <f>IF(H836&lt;&gt;"",IF(AND(C836&lt;&gt;"",IFERROR(MATCH(C836,Table10[Serial No.],0),0)),0,1),0)</f>
        <v>1</v>
      </c>
      <c r="K836" s="21"/>
      <c r="L836" s="539" t="str">
        <f t="shared" ca="1" si="113"/>
        <v/>
      </c>
    </row>
    <row r="837" spans="1:12" ht="24.75" customHeight="1" x14ac:dyDescent="0.35">
      <c r="A837" s="109">
        <v>20250277</v>
      </c>
      <c r="B837" s="608">
        <v>45926</v>
      </c>
      <c r="C837" s="109">
        <v>14462156</v>
      </c>
      <c r="D837" s="109">
        <v>8.5</v>
      </c>
      <c r="E837" s="109" t="s">
        <v>719</v>
      </c>
      <c r="F837" s="109"/>
      <c r="G837" s="109" t="s">
        <v>813</v>
      </c>
      <c r="H837" s="140">
        <v>2013542</v>
      </c>
      <c r="I837" s="140">
        <v>2019412</v>
      </c>
      <c r="J837" s="26">
        <f>IF(H837&lt;&gt;"",IF(AND(C837&lt;&gt;"",IFERROR(MATCH(C837,Table10[Serial No.],0),0)),0,1),0)</f>
        <v>1</v>
      </c>
      <c r="K837" s="21"/>
      <c r="L837" s="539" t="str">
        <f t="shared" si="113"/>
        <v/>
      </c>
    </row>
    <row r="838" spans="1:12" ht="24.75" customHeight="1" x14ac:dyDescent="0.35">
      <c r="A838" s="109">
        <v>20250277</v>
      </c>
      <c r="B838" s="608">
        <v>45927</v>
      </c>
      <c r="C838" s="109">
        <v>14462155</v>
      </c>
      <c r="D838" s="109">
        <v>8.5</v>
      </c>
      <c r="E838" s="109" t="s">
        <v>719</v>
      </c>
      <c r="F838" s="109"/>
      <c r="G838" s="109" t="s">
        <v>813</v>
      </c>
      <c r="H838" s="140">
        <v>2013542</v>
      </c>
      <c r="I838" s="140">
        <v>2019412</v>
      </c>
      <c r="J838" s="26">
        <f>IF(H838&lt;&gt;"",IF(AND(C838&lt;&gt;"",IFERROR(MATCH(C838,Table10[Serial No.],0),0)),0,1),0)</f>
        <v>1</v>
      </c>
      <c r="K838" s="21"/>
      <c r="L838" s="539" t="str">
        <f t="shared" si="113"/>
        <v/>
      </c>
    </row>
    <row r="839" spans="1:12" ht="24.75" customHeight="1" x14ac:dyDescent="0.35">
      <c r="A839" s="109">
        <v>20250277</v>
      </c>
      <c r="B839" s="608">
        <v>45925</v>
      </c>
      <c r="C839" s="109">
        <v>14462157</v>
      </c>
      <c r="D839" s="109">
        <v>12</v>
      </c>
      <c r="E839" s="109" t="s">
        <v>660</v>
      </c>
      <c r="F839" s="109"/>
      <c r="G839" s="109" t="s">
        <v>814</v>
      </c>
      <c r="H839" s="140">
        <v>1186940</v>
      </c>
      <c r="I839" s="140">
        <v>1176003</v>
      </c>
      <c r="J839" s="26">
        <f>IF(H839&lt;&gt;"",IF(AND(C839&lt;&gt;"",IFERROR(MATCH(C839,Table10[Serial No.],0),0)),0,1),0)</f>
        <v>1</v>
      </c>
      <c r="K839" s="21"/>
      <c r="L839" s="539" t="str">
        <f t="shared" ca="1" si="113"/>
        <v/>
      </c>
    </row>
    <row r="840" spans="1:12" ht="24.75" customHeight="1" x14ac:dyDescent="0.35">
      <c r="A840" s="109">
        <v>20250277</v>
      </c>
      <c r="B840" s="608">
        <v>45925</v>
      </c>
      <c r="C840" s="109">
        <v>14462458</v>
      </c>
      <c r="D840" s="109">
        <v>12.25</v>
      </c>
      <c r="E840" s="109" t="s">
        <v>673</v>
      </c>
      <c r="F840" s="109"/>
      <c r="G840" s="109" t="s">
        <v>813</v>
      </c>
      <c r="H840" s="140">
        <v>1270865</v>
      </c>
      <c r="I840" s="140">
        <v>2008912</v>
      </c>
      <c r="J840" s="26">
        <f>IF(H840&lt;&gt;"",IF(AND(C840&lt;&gt;"",IFERROR(MATCH(C840,Table10[Serial No.],0),0)),0,1),0)</f>
        <v>1</v>
      </c>
      <c r="K840" s="21"/>
      <c r="L840" s="539" t="str">
        <f t="shared" ca="1" si="113"/>
        <v/>
      </c>
    </row>
    <row r="841" spans="1:12" ht="24.75" customHeight="1" x14ac:dyDescent="0.35">
      <c r="A841" s="109">
        <v>20250277</v>
      </c>
      <c r="B841" s="608">
        <v>45925</v>
      </c>
      <c r="C841" s="109">
        <v>14462459</v>
      </c>
      <c r="D841" s="109">
        <v>12.25</v>
      </c>
      <c r="E841" s="109" t="s">
        <v>287</v>
      </c>
      <c r="F841" s="109"/>
      <c r="G841" s="109" t="s">
        <v>813</v>
      </c>
      <c r="H841" s="140">
        <v>1267122</v>
      </c>
      <c r="I841" s="140">
        <v>1257458</v>
      </c>
      <c r="J841" s="26">
        <f>IF(H841&lt;&gt;"",IF(AND(C841&lt;&gt;"",IFERROR(MATCH(C841,Table10[Serial No.],0),0)),0,1),0)</f>
        <v>1</v>
      </c>
      <c r="K841" s="21"/>
      <c r="L841" s="539" t="str">
        <f t="shared" ca="1" si="113"/>
        <v/>
      </c>
    </row>
    <row r="842" spans="1:12" ht="24.75" customHeight="1" x14ac:dyDescent="0.35">
      <c r="A842" s="109">
        <v>20250277</v>
      </c>
      <c r="B842" s="608">
        <v>45925</v>
      </c>
      <c r="C842" s="109">
        <v>14462461</v>
      </c>
      <c r="D842" s="109">
        <v>12.25</v>
      </c>
      <c r="E842" s="109" t="s">
        <v>287</v>
      </c>
      <c r="F842" s="109"/>
      <c r="G842" s="109" t="s">
        <v>813</v>
      </c>
      <c r="H842" s="140">
        <v>1267122</v>
      </c>
      <c r="I842" s="140">
        <v>1257458</v>
      </c>
      <c r="J842" s="26">
        <f>IF(H842&lt;&gt;"",IF(AND(C842&lt;&gt;"",IFERROR(MATCH(C842,Table10[Serial No.],0),0)),0,1),0)</f>
        <v>1</v>
      </c>
      <c r="K842" s="21"/>
      <c r="L842" s="539" t="str">
        <f t="shared" ca="1" si="113"/>
        <v/>
      </c>
    </row>
    <row r="843" spans="1:12" ht="24.75" customHeight="1" x14ac:dyDescent="0.35">
      <c r="A843" s="109">
        <v>20250277</v>
      </c>
      <c r="B843" s="608">
        <v>45925</v>
      </c>
      <c r="C843" s="109">
        <v>14462460</v>
      </c>
      <c r="D843" s="109">
        <v>12.25</v>
      </c>
      <c r="E843" s="109" t="s">
        <v>287</v>
      </c>
      <c r="F843" s="109"/>
      <c r="G843" s="109" t="s">
        <v>813</v>
      </c>
      <c r="H843" s="140">
        <v>1267122</v>
      </c>
      <c r="I843" s="140">
        <v>1257458</v>
      </c>
      <c r="J843" s="26">
        <f>IF(H843&lt;&gt;"",IF(AND(C843&lt;&gt;"",IFERROR(MATCH(C843,Table10[Serial No.],0),0)),0,1),0)</f>
        <v>1</v>
      </c>
      <c r="K843" s="21"/>
      <c r="L843" s="539" t="str">
        <f t="shared" ca="1" si="113"/>
        <v/>
      </c>
    </row>
    <row r="844" spans="1:12" ht="24.75" customHeight="1" x14ac:dyDescent="0.35">
      <c r="A844" s="109">
        <v>20250277</v>
      </c>
      <c r="B844" s="608">
        <v>45925</v>
      </c>
      <c r="C844" s="109">
        <v>14460275</v>
      </c>
      <c r="D844" s="109">
        <v>8.375</v>
      </c>
      <c r="E844" s="109" t="s">
        <v>272</v>
      </c>
      <c r="F844" s="109"/>
      <c r="G844" s="109" t="s">
        <v>813</v>
      </c>
      <c r="H844" s="140">
        <v>1246020</v>
      </c>
      <c r="I844" s="140">
        <v>2009246</v>
      </c>
      <c r="J844" s="26">
        <f>IF(H844&lt;&gt;"",IF(AND(C844&lt;&gt;"",IFERROR(MATCH(C844,Table10[Serial No.],0),0)),0,1),0)</f>
        <v>0</v>
      </c>
      <c r="K844" s="21"/>
      <c r="L844" s="539" t="str">
        <f t="shared" ca="1" si="113"/>
        <v/>
      </c>
    </row>
    <row r="845" spans="1:12" ht="24.75" customHeight="1" x14ac:dyDescent="0.35">
      <c r="A845" s="109">
        <v>20250277</v>
      </c>
      <c r="B845" s="608">
        <v>45925</v>
      </c>
      <c r="C845" s="109">
        <v>14462462</v>
      </c>
      <c r="D845" s="109">
        <v>6.125</v>
      </c>
      <c r="E845" s="109" t="s">
        <v>837</v>
      </c>
      <c r="F845" s="109"/>
      <c r="G845" s="109" t="s">
        <v>813</v>
      </c>
      <c r="H845" s="140">
        <v>2027359</v>
      </c>
      <c r="I845" s="140" t="s">
        <v>780</v>
      </c>
      <c r="J845" s="26">
        <f>IF(H845&lt;&gt;"",IF(AND(C845&lt;&gt;"",IFERROR(MATCH(C845,Table10[Serial No.],0),0)),0,1),0)</f>
        <v>0</v>
      </c>
      <c r="K845" s="21"/>
      <c r="L845" s="539" t="str">
        <f t="shared" si="113"/>
        <v/>
      </c>
    </row>
    <row r="846" spans="1:12" ht="24.75" customHeight="1" x14ac:dyDescent="0.35">
      <c r="A846" s="109">
        <v>20250277</v>
      </c>
      <c r="B846" s="608">
        <v>45925</v>
      </c>
      <c r="C846" s="109">
        <v>14462463</v>
      </c>
      <c r="D846" s="109">
        <v>6.125</v>
      </c>
      <c r="E846" s="109" t="s">
        <v>837</v>
      </c>
      <c r="F846" s="109"/>
      <c r="G846" s="109" t="s">
        <v>813</v>
      </c>
      <c r="H846" s="140">
        <v>2027359</v>
      </c>
      <c r="I846" s="140" t="s">
        <v>780</v>
      </c>
      <c r="J846" s="26">
        <f>IF(H846&lt;&gt;"",IF(AND(C846&lt;&gt;"",IFERROR(MATCH(C846,Table10[Serial No.],0),0)),0,1),0)</f>
        <v>0</v>
      </c>
      <c r="K846" s="21"/>
      <c r="L846" s="539" t="str">
        <f t="shared" si="113"/>
        <v/>
      </c>
    </row>
    <row r="847" spans="1:12" ht="24.75" customHeight="1" x14ac:dyDescent="0.35">
      <c r="A847" s="109">
        <v>20250313</v>
      </c>
      <c r="B847" s="608">
        <v>45957</v>
      </c>
      <c r="C847" s="109">
        <v>14478089</v>
      </c>
      <c r="D847" s="109">
        <v>3.625</v>
      </c>
      <c r="E847" s="109" t="s">
        <v>636</v>
      </c>
      <c r="F847" s="109"/>
      <c r="G847" s="109" t="s">
        <v>813</v>
      </c>
      <c r="H847" s="140">
        <v>2025595</v>
      </c>
      <c r="I847" s="140">
        <v>960723</v>
      </c>
      <c r="J847" s="26">
        <f>IF(H847&lt;&gt;"",IF(AND(C847&lt;&gt;"",IFERROR(MATCH(C847,Table10[Serial No.],0),0)),0,1),0)</f>
        <v>1</v>
      </c>
      <c r="K847" s="21"/>
      <c r="L847" s="539" t="str">
        <f t="shared" ca="1" si="113"/>
        <v/>
      </c>
    </row>
    <row r="848" spans="1:12" ht="24.75" customHeight="1" x14ac:dyDescent="0.35">
      <c r="A848" s="109">
        <v>20250313</v>
      </c>
      <c r="B848" s="608">
        <v>45957</v>
      </c>
      <c r="C848" s="109">
        <v>14478088</v>
      </c>
      <c r="D848" s="109">
        <v>3.625</v>
      </c>
      <c r="E848" s="109" t="s">
        <v>636</v>
      </c>
      <c r="F848" s="109"/>
      <c r="G848" s="109" t="s">
        <v>813</v>
      </c>
      <c r="H848" s="140">
        <v>2025595</v>
      </c>
      <c r="I848" s="140">
        <v>960723</v>
      </c>
      <c r="J848" s="26">
        <f>IF(H848&lt;&gt;"",IF(AND(C848&lt;&gt;"",IFERROR(MATCH(C848,Table10[Serial No.],0),0)),0,1),0)</f>
        <v>1</v>
      </c>
      <c r="K848" s="21"/>
      <c r="L848" s="539" t="str">
        <f t="shared" ca="1" si="113"/>
        <v/>
      </c>
    </row>
    <row r="849" spans="1:12" ht="24.75" customHeight="1" x14ac:dyDescent="0.35">
      <c r="A849" s="109">
        <v>20250313</v>
      </c>
      <c r="B849" s="608">
        <v>45957</v>
      </c>
      <c r="C849" s="109">
        <v>14478092</v>
      </c>
      <c r="D849" s="109">
        <v>5.875</v>
      </c>
      <c r="E849" s="109" t="s">
        <v>645</v>
      </c>
      <c r="F849" s="109"/>
      <c r="G849" s="109" t="s">
        <v>813</v>
      </c>
      <c r="H849" s="140">
        <v>2017993</v>
      </c>
      <c r="I849" s="140">
        <v>2021865</v>
      </c>
      <c r="J849" s="26">
        <f>IF(H849&lt;&gt;"",IF(AND(C849&lt;&gt;"",IFERROR(MATCH(C849,Table10[Serial No.],0),0)),0,1),0)</f>
        <v>1</v>
      </c>
      <c r="K849" s="21"/>
      <c r="L849" s="539" t="str">
        <f t="shared" si="113"/>
        <v/>
      </c>
    </row>
    <row r="850" spans="1:12" ht="24.75" customHeight="1" x14ac:dyDescent="0.35">
      <c r="A850" s="109">
        <v>20250313</v>
      </c>
      <c r="B850" s="608">
        <v>45957</v>
      </c>
      <c r="C850" s="109">
        <v>14478091</v>
      </c>
      <c r="D850" s="109">
        <v>5.875</v>
      </c>
      <c r="E850" s="109" t="s">
        <v>645</v>
      </c>
      <c r="F850" s="109"/>
      <c r="G850" s="109" t="s">
        <v>813</v>
      </c>
      <c r="H850" s="140">
        <v>2017993</v>
      </c>
      <c r="I850" s="140">
        <v>2021865</v>
      </c>
      <c r="J850" s="26">
        <f>IF(H850&lt;&gt;"",IF(AND(C850&lt;&gt;"",IFERROR(MATCH(C850,Table10[Serial No.],0),0)),0,1),0)</f>
        <v>0</v>
      </c>
      <c r="K850" s="21"/>
      <c r="L850" s="539" t="str">
        <f t="shared" si="113"/>
        <v/>
      </c>
    </row>
    <row r="851" spans="1:12" ht="24.75" customHeight="1" x14ac:dyDescent="0.35">
      <c r="A851" s="109">
        <v>20250313</v>
      </c>
      <c r="B851" s="608">
        <v>45957</v>
      </c>
      <c r="C851" s="109">
        <v>14478090</v>
      </c>
      <c r="D851" s="109">
        <v>5.875</v>
      </c>
      <c r="E851" s="109" t="s">
        <v>645</v>
      </c>
      <c r="F851" s="109"/>
      <c r="G851" s="109" t="s">
        <v>813</v>
      </c>
      <c r="H851" s="140">
        <v>2017993</v>
      </c>
      <c r="I851" s="140">
        <v>2021865</v>
      </c>
      <c r="J851" s="26">
        <f>IF(H851&lt;&gt;"",IF(AND(C851&lt;&gt;"",IFERROR(MATCH(C851,Table10[Serial No.],0),0)),0,1),0)</f>
        <v>0</v>
      </c>
      <c r="K851" s="21"/>
      <c r="L851" s="539" t="str">
        <f t="shared" si="113"/>
        <v/>
      </c>
    </row>
    <row r="852" spans="1:12" ht="24.75" customHeight="1" x14ac:dyDescent="0.35">
      <c r="A852" s="109">
        <v>20250313</v>
      </c>
      <c r="B852" s="608">
        <v>45957</v>
      </c>
      <c r="C852" s="109">
        <v>14476926</v>
      </c>
      <c r="D852" s="109">
        <v>6.125</v>
      </c>
      <c r="E852" s="109" t="s">
        <v>256</v>
      </c>
      <c r="F852" s="109"/>
      <c r="G852" s="109" t="s">
        <v>813</v>
      </c>
      <c r="H852" s="140">
        <v>1198387</v>
      </c>
      <c r="I852" s="140">
        <v>1160951</v>
      </c>
      <c r="J852" s="26">
        <f>IF(H852&lt;&gt;"",IF(AND(C852&lt;&gt;"",IFERROR(MATCH(C852,Table10[Serial No.],0),0)),0,1),0)</f>
        <v>1</v>
      </c>
      <c r="K852" s="21"/>
      <c r="L852" s="539" t="str">
        <f t="shared" ca="1" si="113"/>
        <v/>
      </c>
    </row>
    <row r="853" spans="1:12" ht="24.75" customHeight="1" x14ac:dyDescent="0.35">
      <c r="A853" s="109">
        <v>20250313</v>
      </c>
      <c r="B853" s="608">
        <v>45957</v>
      </c>
      <c r="C853" s="109">
        <v>14476923</v>
      </c>
      <c r="D853" s="109">
        <v>6.125</v>
      </c>
      <c r="E853" s="109" t="s">
        <v>256</v>
      </c>
      <c r="F853" s="109"/>
      <c r="G853" s="109" t="s">
        <v>813</v>
      </c>
      <c r="H853" s="140">
        <v>1198387</v>
      </c>
      <c r="I853" s="140">
        <v>1160951</v>
      </c>
      <c r="J853" s="26">
        <f>IF(H853&lt;&gt;"",IF(AND(C853&lt;&gt;"",IFERROR(MATCH(C853,Table10[Serial No.],0),0)),0,1),0)</f>
        <v>1</v>
      </c>
      <c r="K853" s="21"/>
      <c r="L853" s="539" t="str">
        <f t="shared" ca="1" si="113"/>
        <v/>
      </c>
    </row>
    <row r="854" spans="1:12" ht="24.75" customHeight="1" x14ac:dyDescent="0.35">
      <c r="A854" s="109">
        <v>20250313</v>
      </c>
      <c r="B854" s="608">
        <v>45957</v>
      </c>
      <c r="C854" s="109">
        <v>14476922</v>
      </c>
      <c r="D854" s="109">
        <v>6.125</v>
      </c>
      <c r="E854" s="109" t="s">
        <v>256</v>
      </c>
      <c r="F854" s="109"/>
      <c r="G854" s="109" t="s">
        <v>813</v>
      </c>
      <c r="H854" s="140">
        <v>1198387</v>
      </c>
      <c r="I854" s="140">
        <v>1160951</v>
      </c>
      <c r="J854" s="26">
        <f>IF(H854&lt;&gt;"",IF(AND(C854&lt;&gt;"",IFERROR(MATCH(C854,Table10[Serial No.],0),0)),0,1),0)</f>
        <v>0</v>
      </c>
      <c r="K854" s="21"/>
      <c r="L854" s="539" t="str">
        <f t="shared" ca="1" si="113"/>
        <v/>
      </c>
    </row>
    <row r="855" spans="1:12" ht="24.75" customHeight="1" x14ac:dyDescent="0.35">
      <c r="A855" s="109">
        <v>20250313</v>
      </c>
      <c r="B855" s="608">
        <v>45957</v>
      </c>
      <c r="C855" s="109">
        <v>14476924</v>
      </c>
      <c r="D855" s="109">
        <v>6.125</v>
      </c>
      <c r="E855" s="109" t="s">
        <v>256</v>
      </c>
      <c r="F855" s="109"/>
      <c r="G855" s="109" t="s">
        <v>813</v>
      </c>
      <c r="H855" s="140">
        <v>1198387</v>
      </c>
      <c r="I855" s="140">
        <v>1160951</v>
      </c>
      <c r="J855" s="26">
        <f>IF(H855&lt;&gt;"",IF(AND(C855&lt;&gt;"",IFERROR(MATCH(C855,Table10[Serial No.],0),0)),0,1),0)</f>
        <v>1</v>
      </c>
      <c r="K855" s="21"/>
      <c r="L855" s="539" t="str">
        <f t="shared" ca="1" si="113"/>
        <v/>
      </c>
    </row>
    <row r="856" spans="1:12" ht="24.75" customHeight="1" x14ac:dyDescent="0.35">
      <c r="A856" s="109">
        <v>20250313</v>
      </c>
      <c r="B856" s="608">
        <v>45957</v>
      </c>
      <c r="C856" s="109">
        <v>14476921</v>
      </c>
      <c r="D856" s="109">
        <v>6.125</v>
      </c>
      <c r="E856" s="109" t="s">
        <v>256</v>
      </c>
      <c r="F856" s="109"/>
      <c r="G856" s="109" t="s">
        <v>813</v>
      </c>
      <c r="H856" s="140">
        <v>1198387</v>
      </c>
      <c r="I856" s="140">
        <v>1160951</v>
      </c>
      <c r="J856" s="26">
        <f>IF(H856&lt;&gt;"",IF(AND(C856&lt;&gt;"",IFERROR(MATCH(C856,Table10[Serial No.],0),0)),0,1),0)</f>
        <v>0</v>
      </c>
      <c r="K856" s="21"/>
      <c r="L856" s="539" t="str">
        <f t="shared" ca="1" si="113"/>
        <v/>
      </c>
    </row>
    <row r="857" spans="1:12" ht="24.75" customHeight="1" x14ac:dyDescent="0.35">
      <c r="A857" s="109">
        <v>20250313</v>
      </c>
      <c r="B857" s="608">
        <v>45957</v>
      </c>
      <c r="C857" s="109">
        <v>14476925</v>
      </c>
      <c r="D857" s="109">
        <v>6.125</v>
      </c>
      <c r="E857" s="109" t="s">
        <v>256</v>
      </c>
      <c r="F857" s="109"/>
      <c r="G857" s="109" t="s">
        <v>813</v>
      </c>
      <c r="H857" s="140">
        <v>1198387</v>
      </c>
      <c r="I857" s="140">
        <v>1160951</v>
      </c>
      <c r="J857" s="26">
        <f>IF(H857&lt;&gt;"",IF(AND(C857&lt;&gt;"",IFERROR(MATCH(C857,Table10[Serial No.],0),0)),0,1),0)</f>
        <v>1</v>
      </c>
      <c r="K857" s="21"/>
      <c r="L857" s="539" t="str">
        <f t="shared" ca="1" si="113"/>
        <v/>
      </c>
    </row>
    <row r="858" spans="1:12" ht="24.75" customHeight="1" x14ac:dyDescent="0.35">
      <c r="A858" s="109">
        <v>20250313</v>
      </c>
      <c r="B858" s="608">
        <v>45957</v>
      </c>
      <c r="C858" s="109">
        <v>14478093</v>
      </c>
      <c r="D858" s="109">
        <v>8.375</v>
      </c>
      <c r="E858" s="109" t="s">
        <v>703</v>
      </c>
      <c r="F858" s="109"/>
      <c r="G858" s="109" t="s">
        <v>813</v>
      </c>
      <c r="H858" s="140">
        <v>1272920</v>
      </c>
      <c r="I858" s="140">
        <v>1283482</v>
      </c>
      <c r="J858" s="26">
        <f>IF(H858&lt;&gt;"",IF(AND(C858&lt;&gt;"",IFERROR(MATCH(C858,Table10[Serial No.],0),0)),0,1),0)</f>
        <v>1</v>
      </c>
      <c r="K858" s="21"/>
      <c r="L858" s="539" t="str">
        <f t="shared" ca="1" si="113"/>
        <v/>
      </c>
    </row>
    <row r="859" spans="1:12" ht="24.75" customHeight="1" x14ac:dyDescent="0.35">
      <c r="A859" s="109">
        <v>20250313</v>
      </c>
      <c r="B859" s="608">
        <v>45957</v>
      </c>
      <c r="C859" s="109">
        <v>14478094</v>
      </c>
      <c r="D859" s="109">
        <v>8.375</v>
      </c>
      <c r="E859" s="109" t="s">
        <v>703</v>
      </c>
      <c r="F859" s="109"/>
      <c r="G859" s="109" t="s">
        <v>813</v>
      </c>
      <c r="H859" s="140">
        <v>1272920</v>
      </c>
      <c r="I859" s="140">
        <v>1283482</v>
      </c>
      <c r="J859" s="26">
        <f>IF(H859&lt;&gt;"",IF(AND(C859&lt;&gt;"",IFERROR(MATCH(C859,Table10[Serial No.],0),0)),0,1),0)</f>
        <v>1</v>
      </c>
      <c r="K859" s="21"/>
      <c r="L859" s="539" t="str">
        <f t="shared" ca="1" si="113"/>
        <v/>
      </c>
    </row>
    <row r="860" spans="1:12" ht="24.75" customHeight="1" x14ac:dyDescent="0.35">
      <c r="A860" s="109">
        <v>20250313</v>
      </c>
      <c r="B860" s="608">
        <v>45957</v>
      </c>
      <c r="C860" s="109">
        <v>14478095</v>
      </c>
      <c r="D860" s="109">
        <v>8.375</v>
      </c>
      <c r="E860" s="109" t="s">
        <v>645</v>
      </c>
      <c r="F860" s="109"/>
      <c r="G860" s="109" t="s">
        <v>813</v>
      </c>
      <c r="H860" s="140">
        <v>1267027</v>
      </c>
      <c r="I860" s="140">
        <v>1283630</v>
      </c>
      <c r="J860" s="26">
        <f>IF(H860&lt;&gt;"",IF(AND(C860&lt;&gt;"",IFERROR(MATCH(C860,Table10[Serial No.],0),0)),0,1),0)</f>
        <v>0</v>
      </c>
      <c r="K860" s="21"/>
      <c r="L860" s="539" t="str">
        <f t="shared" ca="1" si="113"/>
        <v/>
      </c>
    </row>
    <row r="861" spans="1:12" ht="24.75" customHeight="1" x14ac:dyDescent="0.35">
      <c r="A861" s="109">
        <v>20250313</v>
      </c>
      <c r="B861" s="608">
        <v>45957</v>
      </c>
      <c r="C861" s="109"/>
      <c r="D861" s="109">
        <v>16</v>
      </c>
      <c r="E861" s="109" t="s">
        <v>838</v>
      </c>
      <c r="F861" s="109"/>
      <c r="G861" s="109" t="s">
        <v>813</v>
      </c>
      <c r="H861" s="140">
        <v>1255451</v>
      </c>
      <c r="I861" s="140">
        <v>1241180</v>
      </c>
      <c r="J861" s="26">
        <f>IF(H861&lt;&gt;"",IF(AND(C861&lt;&gt;"",IFERROR(MATCH(C861,Table10[Serial No.],0),0)),0,1),0)</f>
        <v>1</v>
      </c>
      <c r="K861" s="21"/>
      <c r="L861" s="539" t="str">
        <f t="shared" ca="1" si="113"/>
        <v/>
      </c>
    </row>
    <row r="862" spans="1:12" ht="24.75" customHeight="1" x14ac:dyDescent="0.35">
      <c r="A862" s="109">
        <v>20250313</v>
      </c>
      <c r="B862" s="608">
        <v>45957</v>
      </c>
      <c r="C862" s="109">
        <v>14478096</v>
      </c>
      <c r="D862" s="109">
        <v>16</v>
      </c>
      <c r="E862" s="109" t="s">
        <v>721</v>
      </c>
      <c r="F862" s="109"/>
      <c r="G862" s="109" t="s">
        <v>813</v>
      </c>
      <c r="H862" s="140">
        <v>2019988</v>
      </c>
      <c r="I862" s="140">
        <v>1266749</v>
      </c>
      <c r="J862" s="26">
        <f>IF(H862&lt;&gt;"",IF(AND(C862&lt;&gt;"",IFERROR(MATCH(C862,Table10[Serial No.],0),0)),0,1),0)</f>
        <v>0</v>
      </c>
      <c r="K862" s="21"/>
      <c r="L862" s="539" t="str">
        <f t="shared" ca="1" si="113"/>
        <v/>
      </c>
    </row>
    <row r="863" spans="1:12" ht="24.75" customHeight="1" x14ac:dyDescent="0.35">
      <c r="A863" s="109">
        <v>20250313</v>
      </c>
      <c r="B863" s="608">
        <v>45957</v>
      </c>
      <c r="C863" s="109">
        <v>14476930</v>
      </c>
      <c r="D863" s="109">
        <v>8.375</v>
      </c>
      <c r="E863" s="109" t="s">
        <v>787</v>
      </c>
      <c r="F863" s="109"/>
      <c r="G863" s="109" t="s">
        <v>813</v>
      </c>
      <c r="H863" s="140">
        <v>2028515</v>
      </c>
      <c r="I863" s="140" t="s">
        <v>786</v>
      </c>
      <c r="J863" s="26">
        <f>IF(H863&lt;&gt;"",IF(AND(C863&lt;&gt;"",IFERROR(MATCH(C863,Table10[Serial No.],0),0)),0,1),0)</f>
        <v>1</v>
      </c>
      <c r="K863" s="21"/>
      <c r="L863" s="539" t="str">
        <f t="shared" si="113"/>
        <v/>
      </c>
    </row>
    <row r="864" spans="1:12" ht="24.75" customHeight="1" x14ac:dyDescent="0.35">
      <c r="A864" s="109">
        <v>20250313</v>
      </c>
      <c r="B864" s="608">
        <v>45957</v>
      </c>
      <c r="C864" s="109">
        <v>14476931</v>
      </c>
      <c r="D864" s="109">
        <v>8.375</v>
      </c>
      <c r="E864" s="109" t="s">
        <v>787</v>
      </c>
      <c r="F864" s="109"/>
      <c r="G864" s="109" t="s">
        <v>813</v>
      </c>
      <c r="H864" s="140">
        <v>2028515</v>
      </c>
      <c r="I864" s="140" t="s">
        <v>786</v>
      </c>
      <c r="J864" s="26">
        <f>IF(H864&lt;&gt;"",IF(AND(C864&lt;&gt;"",IFERROR(MATCH(C864,Table10[Serial No.],0),0)),0,1),0)</f>
        <v>1</v>
      </c>
      <c r="K864" s="21"/>
      <c r="L864" s="539" t="str">
        <f t="shared" si="113"/>
        <v/>
      </c>
    </row>
    <row r="865" spans="1:12" ht="24.75" customHeight="1" x14ac:dyDescent="0.35">
      <c r="A865" s="132">
        <v>20250313</v>
      </c>
      <c r="B865" s="609">
        <v>45957</v>
      </c>
      <c r="C865" s="132">
        <v>14476929</v>
      </c>
      <c r="D865" s="132">
        <v>8.375</v>
      </c>
      <c r="E865" s="132" t="s">
        <v>787</v>
      </c>
      <c r="F865" s="132"/>
      <c r="G865" s="132" t="s">
        <v>813</v>
      </c>
      <c r="H865" s="141">
        <v>2028515</v>
      </c>
      <c r="I865" s="141" t="s">
        <v>786</v>
      </c>
      <c r="J865" s="26">
        <f>IF(H865&lt;&gt;"",IF(AND(C865&lt;&gt;"",IFERROR(MATCH(C865,Table10[Serial No.],0),0)),0,1),0)</f>
        <v>1</v>
      </c>
      <c r="K865" s="21"/>
      <c r="L865" s="539" t="str">
        <f t="shared" si="113"/>
        <v/>
      </c>
    </row>
    <row r="866" spans="1:12" ht="24.75" customHeight="1" x14ac:dyDescent="0.35">
      <c r="A866" s="109">
        <v>20250313</v>
      </c>
      <c r="B866" s="608">
        <v>45957</v>
      </c>
      <c r="C866" s="109">
        <v>14476927</v>
      </c>
      <c r="D866" s="109">
        <v>8.375</v>
      </c>
      <c r="E866" s="109" t="s">
        <v>787</v>
      </c>
      <c r="F866" s="109"/>
      <c r="G866" s="109" t="s">
        <v>813</v>
      </c>
      <c r="H866" s="140">
        <v>2028515</v>
      </c>
      <c r="I866" s="140" t="s">
        <v>786</v>
      </c>
      <c r="J866" s="26">
        <f>IF(H866&lt;&gt;"",IF(AND(C866&lt;&gt;"",IFERROR(MATCH(C866,Table10[Serial No.],0),0)),0,1),0)</f>
        <v>0</v>
      </c>
      <c r="K866" s="21"/>
      <c r="L866" s="539" t="str">
        <f t="shared" si="113"/>
        <v/>
      </c>
    </row>
    <row r="867" spans="1:12" ht="24.75" customHeight="1" x14ac:dyDescent="0.35">
      <c r="A867" s="132">
        <v>20250313</v>
      </c>
      <c r="B867" s="609">
        <v>45957</v>
      </c>
      <c r="C867" s="132">
        <v>14476928</v>
      </c>
      <c r="D867" s="132">
        <v>8.375</v>
      </c>
      <c r="E867" s="132" t="s">
        <v>787</v>
      </c>
      <c r="F867" s="132"/>
      <c r="G867" s="132" t="s">
        <v>813</v>
      </c>
      <c r="H867" s="141">
        <v>2028515</v>
      </c>
      <c r="I867" s="141" t="s">
        <v>786</v>
      </c>
      <c r="J867" s="26">
        <f>IF(H867&lt;&gt;"",IF(AND(C867&lt;&gt;"",IFERROR(MATCH(C867,Table10[Serial No.],0),0)),0,1),0)</f>
        <v>1</v>
      </c>
      <c r="K867" s="21"/>
      <c r="L867" s="539" t="str">
        <f t="shared" si="113"/>
        <v/>
      </c>
    </row>
    <row r="868" spans="1:12" ht="24.75" customHeight="1" x14ac:dyDescent="0.35">
      <c r="A868" s="109">
        <v>20250326</v>
      </c>
      <c r="B868" s="608">
        <v>45964</v>
      </c>
      <c r="C868" s="109">
        <v>14478099</v>
      </c>
      <c r="D868" s="109">
        <v>12</v>
      </c>
      <c r="E868" s="109" t="s">
        <v>790</v>
      </c>
      <c r="F868" s="109"/>
      <c r="G868" s="109" t="s">
        <v>813</v>
      </c>
      <c r="H868" s="140">
        <v>2028159</v>
      </c>
      <c r="I868" s="140" t="s">
        <v>789</v>
      </c>
      <c r="J868" s="26">
        <f>IF(H868&lt;&gt;"",IF(AND(C868&lt;&gt;"",IFERROR(MATCH(C868,Table10[Serial No.],0),0)),0,1),0)</f>
        <v>0</v>
      </c>
      <c r="K868" s="21"/>
      <c r="L868" s="740" t="str">
        <f t="shared" ref="L868:L893" si="114">IFERROR(INDEX($O$2:$Q$57,MATCH($I868,$O$2:$O$93,0),3),"")</f>
        <v/>
      </c>
    </row>
    <row r="869" spans="1:12" ht="24.75" customHeight="1" x14ac:dyDescent="0.35">
      <c r="A869" s="109">
        <v>20250326</v>
      </c>
      <c r="B869" s="608" t="s">
        <v>4171</v>
      </c>
      <c r="C869" s="109">
        <v>14488517</v>
      </c>
      <c r="D869" s="109">
        <v>8.5</v>
      </c>
      <c r="E869" s="109" t="s">
        <v>274</v>
      </c>
      <c r="F869" s="109"/>
      <c r="G869" s="109" t="s">
        <v>839</v>
      </c>
      <c r="H869" s="140">
        <v>2022318</v>
      </c>
      <c r="I869" s="140">
        <v>1276939</v>
      </c>
      <c r="J869" s="26">
        <f>IF(H869&lt;&gt;"",IF(AND(C869&lt;&gt;"",IFERROR(MATCH(C869,Table10[Serial No.],0),0)),0,1),0)</f>
        <v>1</v>
      </c>
      <c r="K869" s="21"/>
      <c r="L869" s="740" t="str">
        <f t="shared" ca="1" si="114"/>
        <v/>
      </c>
    </row>
    <row r="870" spans="1:12" ht="24.75" customHeight="1" x14ac:dyDescent="0.35">
      <c r="A870" s="109">
        <v>20250326</v>
      </c>
      <c r="B870" s="608" t="s">
        <v>4171</v>
      </c>
      <c r="C870" s="109">
        <v>14488518</v>
      </c>
      <c r="D870" s="109">
        <v>8.5</v>
      </c>
      <c r="E870" s="109" t="s">
        <v>274</v>
      </c>
      <c r="F870" s="109"/>
      <c r="G870" s="109" t="s">
        <v>839</v>
      </c>
      <c r="H870" s="140">
        <v>2022318</v>
      </c>
      <c r="I870" s="140">
        <v>1276939</v>
      </c>
      <c r="J870" s="26">
        <f>IF(H870&lt;&gt;"",IF(AND(C870&lt;&gt;"",IFERROR(MATCH(C870,Table10[Serial No.],0),0)),0,1),0)</f>
        <v>1</v>
      </c>
      <c r="K870" s="21"/>
      <c r="L870" s="740" t="str">
        <f t="shared" ca="1" si="114"/>
        <v/>
      </c>
    </row>
    <row r="871" spans="1:12" ht="24.75" customHeight="1" x14ac:dyDescent="0.35">
      <c r="A871" s="109">
        <v>20250326</v>
      </c>
      <c r="B871" s="608" t="s">
        <v>4171</v>
      </c>
      <c r="C871" s="109">
        <v>14488519</v>
      </c>
      <c r="D871" s="109">
        <v>8.5</v>
      </c>
      <c r="E871" s="109" t="s">
        <v>274</v>
      </c>
      <c r="F871" s="109"/>
      <c r="G871" s="109" t="s">
        <v>839</v>
      </c>
      <c r="H871" s="140">
        <v>2022318</v>
      </c>
      <c r="I871" s="140">
        <v>1276939</v>
      </c>
      <c r="J871" s="26">
        <f>IF(H871&lt;&gt;"",IF(AND(C871&lt;&gt;"",IFERROR(MATCH(C871,Table10[Serial No.],0),0)),0,1),0)</f>
        <v>1</v>
      </c>
      <c r="K871" s="21"/>
      <c r="L871" s="740" t="str">
        <f t="shared" ca="1" si="114"/>
        <v/>
      </c>
    </row>
    <row r="872" spans="1:12" ht="24.75" customHeight="1" x14ac:dyDescent="0.35">
      <c r="A872" s="109">
        <v>20250326</v>
      </c>
      <c r="B872" s="608">
        <v>45964</v>
      </c>
      <c r="C872" s="109"/>
      <c r="D872" s="109">
        <v>8.5</v>
      </c>
      <c r="E872" s="109" t="s">
        <v>274</v>
      </c>
      <c r="F872" s="109"/>
      <c r="G872" s="109" t="s">
        <v>839</v>
      </c>
      <c r="H872" s="140">
        <v>2022318</v>
      </c>
      <c r="I872" s="140">
        <v>1276939</v>
      </c>
      <c r="J872" s="26">
        <f>IF(H872&lt;&gt;"",IF(AND(C872&lt;&gt;"",IFERROR(MATCH(C872,Table10[Serial No.],0),0)),0,1),0)</f>
        <v>1</v>
      </c>
      <c r="K872" s="21"/>
      <c r="L872" s="740" t="str">
        <f t="shared" ca="1" si="114"/>
        <v/>
      </c>
    </row>
    <row r="873" spans="1:12" ht="24.75" customHeight="1" x14ac:dyDescent="0.35">
      <c r="A873" s="109">
        <v>20250346</v>
      </c>
      <c r="B873" s="608" t="s">
        <v>4172</v>
      </c>
      <c r="C873" s="109">
        <v>14489758</v>
      </c>
      <c r="D873" s="109">
        <v>3.625</v>
      </c>
      <c r="E873" s="109" t="s">
        <v>636</v>
      </c>
      <c r="F873" s="109"/>
      <c r="G873" s="109" t="s">
        <v>814</v>
      </c>
      <c r="H873" s="140">
        <v>2016920</v>
      </c>
      <c r="I873" s="140">
        <v>1016454</v>
      </c>
      <c r="J873" s="26">
        <f>IF(H873&lt;&gt;"",IF(AND(C873&lt;&gt;"",IFERROR(MATCH(C873,Table10[Serial No.],0),0)),0,1),0)</f>
        <v>1</v>
      </c>
      <c r="K873" s="21"/>
      <c r="L873" s="740" t="str">
        <f t="shared" ca="1" si="114"/>
        <v/>
      </c>
    </row>
    <row r="874" spans="1:12" ht="24.75" customHeight="1" x14ac:dyDescent="0.35">
      <c r="A874" s="109">
        <v>20250346</v>
      </c>
      <c r="B874" s="608" t="s">
        <v>4172</v>
      </c>
      <c r="C874" s="109">
        <v>14489759</v>
      </c>
      <c r="D874" s="109">
        <v>3.625</v>
      </c>
      <c r="E874" s="109" t="s">
        <v>636</v>
      </c>
      <c r="F874" s="109"/>
      <c r="G874" s="109" t="s">
        <v>814</v>
      </c>
      <c r="H874" s="140">
        <v>2016920</v>
      </c>
      <c r="I874" s="140">
        <v>1016454</v>
      </c>
      <c r="J874" s="26">
        <f>IF(H874&lt;&gt;"",IF(AND(C874&lt;&gt;"",IFERROR(MATCH(C874,Table10[Serial No.],0),0)),0,1),0)</f>
        <v>1</v>
      </c>
      <c r="K874" s="21"/>
      <c r="L874" s="740" t="str">
        <f t="shared" ca="1" si="114"/>
        <v/>
      </c>
    </row>
    <row r="875" spans="1:12" ht="24.75" customHeight="1" x14ac:dyDescent="0.35">
      <c r="A875" s="109">
        <v>20250346</v>
      </c>
      <c r="B875" s="608" t="s">
        <v>4172</v>
      </c>
      <c r="C875" s="109">
        <v>14489655</v>
      </c>
      <c r="D875" s="109">
        <v>3.625</v>
      </c>
      <c r="E875" s="109" t="s">
        <v>636</v>
      </c>
      <c r="F875" s="109"/>
      <c r="G875" s="109" t="s">
        <v>814</v>
      </c>
      <c r="H875" s="140">
        <v>2016920</v>
      </c>
      <c r="I875" s="140">
        <v>1016454</v>
      </c>
      <c r="J875" s="26">
        <f>IF(H875&lt;&gt;"",IF(AND(C875&lt;&gt;"",IFERROR(MATCH(C875,Table10[Serial No.],0),0)),0,1),0)</f>
        <v>1</v>
      </c>
      <c r="K875" s="21"/>
      <c r="L875" s="740" t="str">
        <f t="shared" ca="1" si="114"/>
        <v/>
      </c>
    </row>
    <row r="876" spans="1:12" ht="24.75" customHeight="1" x14ac:dyDescent="0.35">
      <c r="A876" s="109">
        <v>20250346</v>
      </c>
      <c r="B876" s="608" t="s">
        <v>4172</v>
      </c>
      <c r="C876" s="109">
        <v>14489657</v>
      </c>
      <c r="D876" s="109">
        <v>3.625</v>
      </c>
      <c r="E876" s="109" t="s">
        <v>636</v>
      </c>
      <c r="F876" s="109"/>
      <c r="G876" s="109" t="s">
        <v>814</v>
      </c>
      <c r="H876" s="140">
        <v>2016920</v>
      </c>
      <c r="I876" s="140">
        <v>1016454</v>
      </c>
      <c r="J876" s="26">
        <f>IF(H876&lt;&gt;"",IF(AND(C876&lt;&gt;"",IFERROR(MATCH(C876,Table10[Serial No.],0),0)),0,1),0)</f>
        <v>1</v>
      </c>
      <c r="K876" s="21"/>
      <c r="L876" s="740" t="str">
        <f t="shared" ca="1" si="114"/>
        <v/>
      </c>
    </row>
    <row r="877" spans="1:12" ht="24.75" customHeight="1" x14ac:dyDescent="0.35">
      <c r="A877" s="109">
        <v>20250346</v>
      </c>
      <c r="B877" s="608">
        <v>45986</v>
      </c>
      <c r="C877" s="109"/>
      <c r="D877" s="109">
        <v>3.625</v>
      </c>
      <c r="E877" s="109" t="s">
        <v>636</v>
      </c>
      <c r="F877" s="109"/>
      <c r="G877" s="109" t="s">
        <v>814</v>
      </c>
      <c r="H877" s="140">
        <v>2016920</v>
      </c>
      <c r="I877" s="140">
        <v>1016454</v>
      </c>
      <c r="J877" s="26">
        <f>IF(H877&lt;&gt;"",IF(AND(C877&lt;&gt;"",IFERROR(MATCH(C877,Table10[Serial No.],0),0)),0,1),0)</f>
        <v>1</v>
      </c>
      <c r="K877" s="21"/>
      <c r="L877" s="740" t="str">
        <f t="shared" ca="1" si="114"/>
        <v/>
      </c>
    </row>
    <row r="878" spans="1:12" ht="24.75" customHeight="1" x14ac:dyDescent="0.35">
      <c r="A878" s="109">
        <v>20250346</v>
      </c>
      <c r="B878" s="608" t="s">
        <v>4172</v>
      </c>
      <c r="C878" s="109">
        <v>14489486</v>
      </c>
      <c r="D878" s="109">
        <v>3.625</v>
      </c>
      <c r="E878" s="109" t="s">
        <v>636</v>
      </c>
      <c r="F878" s="109"/>
      <c r="G878" s="109" t="s">
        <v>813</v>
      </c>
      <c r="H878" s="140">
        <v>2025595</v>
      </c>
      <c r="I878" s="140">
        <v>960723</v>
      </c>
      <c r="J878" s="26">
        <f>IF(H878&lt;&gt;"",IF(AND(C878&lt;&gt;"",IFERROR(MATCH(C878,Table10[Serial No.],0),0)),0,1),0)</f>
        <v>1</v>
      </c>
      <c r="K878" s="21"/>
      <c r="L878" s="740" t="str">
        <f t="shared" ca="1" si="114"/>
        <v/>
      </c>
    </row>
    <row r="879" spans="1:12" ht="24.75" customHeight="1" x14ac:dyDescent="0.35">
      <c r="A879" s="109">
        <v>20250346</v>
      </c>
      <c r="B879" s="608" t="s">
        <v>4172</v>
      </c>
      <c r="C879" s="109">
        <v>14489487</v>
      </c>
      <c r="D879" s="109">
        <v>3.625</v>
      </c>
      <c r="E879" s="109" t="s">
        <v>636</v>
      </c>
      <c r="F879" s="109"/>
      <c r="G879" s="109" t="s">
        <v>813</v>
      </c>
      <c r="H879" s="140">
        <v>2025595</v>
      </c>
      <c r="I879" s="140">
        <v>960723</v>
      </c>
      <c r="J879" s="26">
        <f>IF(H879&lt;&gt;"",IF(AND(C879&lt;&gt;"",IFERROR(MATCH(C879,Table10[Serial No.],0),0)),0,1),0)</f>
        <v>1</v>
      </c>
      <c r="K879" s="21"/>
      <c r="L879" s="740" t="str">
        <f t="shared" ca="1" si="114"/>
        <v/>
      </c>
    </row>
    <row r="880" spans="1:12" ht="24.75" customHeight="1" x14ac:dyDescent="0.35">
      <c r="A880" s="109">
        <v>20250346</v>
      </c>
      <c r="B880" s="608" t="s">
        <v>4172</v>
      </c>
      <c r="C880" s="109">
        <v>14489762</v>
      </c>
      <c r="D880" s="109">
        <v>5.875</v>
      </c>
      <c r="E880" s="109" t="s">
        <v>645</v>
      </c>
      <c r="F880" s="109"/>
      <c r="G880" s="109" t="s">
        <v>813</v>
      </c>
      <c r="H880" s="140">
        <v>2017993</v>
      </c>
      <c r="I880" s="140">
        <v>2021865</v>
      </c>
      <c r="J880" s="26">
        <f>IF(H880&lt;&gt;"",IF(AND(C880&lt;&gt;"",IFERROR(MATCH(C880,Table10[Serial No.],0),0)),0,1),0)</f>
        <v>1</v>
      </c>
      <c r="K880" s="21"/>
      <c r="L880" s="740" t="str">
        <f t="shared" si="114"/>
        <v/>
      </c>
    </row>
    <row r="881" spans="1:12" ht="24.75" customHeight="1" x14ac:dyDescent="0.35">
      <c r="A881" s="109">
        <v>20250346</v>
      </c>
      <c r="B881" s="608" t="s">
        <v>4172</v>
      </c>
      <c r="C881" s="109">
        <v>14489760</v>
      </c>
      <c r="D881" s="109">
        <v>5.875</v>
      </c>
      <c r="E881" s="109" t="s">
        <v>645</v>
      </c>
      <c r="F881" s="109"/>
      <c r="G881" s="109" t="s">
        <v>813</v>
      </c>
      <c r="H881" s="140">
        <v>2017993</v>
      </c>
      <c r="I881" s="140">
        <v>2021865</v>
      </c>
      <c r="J881" s="26">
        <f>IF(H881&lt;&gt;"",IF(AND(C881&lt;&gt;"",IFERROR(MATCH(C881,Table10[Serial No.],0),0)),0,1),0)</f>
        <v>1</v>
      </c>
      <c r="K881" s="21"/>
      <c r="L881" s="740" t="str">
        <f t="shared" si="114"/>
        <v/>
      </c>
    </row>
    <row r="882" spans="1:12" ht="24.75" customHeight="1" x14ac:dyDescent="0.35">
      <c r="A882" s="109">
        <v>20250346</v>
      </c>
      <c r="B882" s="608" t="s">
        <v>4172</v>
      </c>
      <c r="C882" s="109">
        <v>14489763</v>
      </c>
      <c r="D882" s="109">
        <v>5.875</v>
      </c>
      <c r="E882" s="109" t="s">
        <v>645</v>
      </c>
      <c r="F882" s="109"/>
      <c r="G882" s="109" t="s">
        <v>813</v>
      </c>
      <c r="H882" s="140">
        <v>2017993</v>
      </c>
      <c r="I882" s="140">
        <v>2021865</v>
      </c>
      <c r="J882" s="26">
        <f>IF(H882&lt;&gt;"",IF(AND(C882&lt;&gt;"",IFERROR(MATCH(C882,Table10[Serial No.],0),0)),0,1),0)</f>
        <v>1</v>
      </c>
      <c r="K882" s="21"/>
      <c r="L882" s="740" t="str">
        <f t="shared" si="114"/>
        <v/>
      </c>
    </row>
    <row r="883" spans="1:12" ht="24.75" customHeight="1" x14ac:dyDescent="0.35">
      <c r="A883" s="109">
        <v>20250346</v>
      </c>
      <c r="B883" s="608" t="s">
        <v>4172</v>
      </c>
      <c r="C883" s="109">
        <v>14489761</v>
      </c>
      <c r="D883" s="109">
        <v>5.875</v>
      </c>
      <c r="E883" s="109" t="s">
        <v>645</v>
      </c>
      <c r="F883" s="109"/>
      <c r="G883" s="109" t="s">
        <v>813</v>
      </c>
      <c r="H883" s="140">
        <v>2017993</v>
      </c>
      <c r="I883" s="140">
        <v>2021865</v>
      </c>
      <c r="J883" s="26">
        <f>IF(H883&lt;&gt;"",IF(AND(C883&lt;&gt;"",IFERROR(MATCH(C883,Table10[Serial No.],0),0)),0,1),0)</f>
        <v>1</v>
      </c>
      <c r="K883" s="21"/>
      <c r="L883" s="740" t="str">
        <f t="shared" si="114"/>
        <v/>
      </c>
    </row>
    <row r="884" spans="1:12" ht="24.75" customHeight="1" x14ac:dyDescent="0.35">
      <c r="A884" s="109">
        <v>20250346</v>
      </c>
      <c r="B884" s="608">
        <v>45986</v>
      </c>
      <c r="C884" s="109"/>
      <c r="D884" s="109">
        <v>5.875</v>
      </c>
      <c r="E884" s="109" t="s">
        <v>645</v>
      </c>
      <c r="F884" s="109"/>
      <c r="G884" s="109" t="s">
        <v>813</v>
      </c>
      <c r="H884" s="140">
        <v>2017993</v>
      </c>
      <c r="I884" s="140">
        <v>2021865</v>
      </c>
      <c r="J884" s="26">
        <f>IF(H884&lt;&gt;"",IF(AND(C884&lt;&gt;"",IFERROR(MATCH(C884,Table10[Serial No.],0),0)),0,1),0)</f>
        <v>1</v>
      </c>
      <c r="K884" s="21"/>
      <c r="L884" s="740" t="str">
        <f t="shared" si="114"/>
        <v/>
      </c>
    </row>
    <row r="885" spans="1:12" ht="24.75" customHeight="1" x14ac:dyDescent="0.35">
      <c r="A885" s="109">
        <v>20250346</v>
      </c>
      <c r="B885" s="608" t="s">
        <v>4172</v>
      </c>
      <c r="C885" s="109">
        <v>14489488</v>
      </c>
      <c r="D885" s="109">
        <v>5.875</v>
      </c>
      <c r="E885" s="109" t="s">
        <v>792</v>
      </c>
      <c r="F885" s="109"/>
      <c r="G885" s="109" t="s">
        <v>813</v>
      </c>
      <c r="H885" s="140">
        <v>2021067</v>
      </c>
      <c r="I885" s="140" t="s">
        <v>791</v>
      </c>
      <c r="J885" s="26">
        <f>IF(H885&lt;&gt;"",IF(AND(C885&lt;&gt;"",IFERROR(MATCH(C885,Table10[Serial No.],0),0)),0,1),0)</f>
        <v>1</v>
      </c>
      <c r="K885" s="21"/>
      <c r="L885" s="740" t="str">
        <f t="shared" si="114"/>
        <v/>
      </c>
    </row>
    <row r="886" spans="1:12" ht="24.75" customHeight="1" x14ac:dyDescent="0.35">
      <c r="A886" s="109">
        <v>20250346</v>
      </c>
      <c r="B886" s="608" t="s">
        <v>4172</v>
      </c>
      <c r="C886" s="109">
        <v>14489490</v>
      </c>
      <c r="D886" s="109">
        <v>6.125</v>
      </c>
      <c r="E886" s="109" t="s">
        <v>311</v>
      </c>
      <c r="F886" s="109"/>
      <c r="G886" s="109" t="s">
        <v>814</v>
      </c>
      <c r="H886" s="140">
        <v>1145824</v>
      </c>
      <c r="I886" s="140">
        <v>1137349</v>
      </c>
      <c r="J886" s="26">
        <f>IF(H886&lt;&gt;"",IF(AND(C886&lt;&gt;"",IFERROR(MATCH(C886,Table10[Serial No.],0),0)),0,1),0)</f>
        <v>1</v>
      </c>
      <c r="K886" s="21"/>
      <c r="L886" s="740" t="str">
        <f t="shared" ca="1" si="114"/>
        <v/>
      </c>
    </row>
    <row r="887" spans="1:12" ht="24.75" customHeight="1" x14ac:dyDescent="0.35">
      <c r="A887" s="109">
        <v>20250346</v>
      </c>
      <c r="B887" s="608" t="s">
        <v>4172</v>
      </c>
      <c r="C887" s="109">
        <v>14489489</v>
      </c>
      <c r="D887" s="109">
        <v>6.125</v>
      </c>
      <c r="E887" s="109" t="s">
        <v>311</v>
      </c>
      <c r="F887" s="109"/>
      <c r="G887" s="109" t="s">
        <v>814</v>
      </c>
      <c r="H887" s="140">
        <v>1145824</v>
      </c>
      <c r="I887" s="140">
        <v>1137349</v>
      </c>
      <c r="J887" s="26">
        <f>IF(H887&lt;&gt;"",IF(AND(C887&lt;&gt;"",IFERROR(MATCH(C887,Table10[Serial No.],0),0)),0,1),0)</f>
        <v>1</v>
      </c>
      <c r="K887" s="21"/>
      <c r="L887" s="740" t="str">
        <f t="shared" ca="1" si="114"/>
        <v/>
      </c>
    </row>
    <row r="888" spans="1:12" ht="24.75" customHeight="1" x14ac:dyDescent="0.35">
      <c r="A888" s="109">
        <v>20250346</v>
      </c>
      <c r="B888" s="608" t="s">
        <v>4172</v>
      </c>
      <c r="C888" s="109">
        <v>14489492</v>
      </c>
      <c r="D888" s="109">
        <v>6.125</v>
      </c>
      <c r="E888" s="109" t="s">
        <v>256</v>
      </c>
      <c r="F888" s="109"/>
      <c r="G888" s="109" t="s">
        <v>813</v>
      </c>
      <c r="H888" s="140">
        <v>1198387</v>
      </c>
      <c r="I888" s="140">
        <v>1160951</v>
      </c>
      <c r="J888" s="26">
        <f>IF(H888&lt;&gt;"",IF(AND(C888&lt;&gt;"",IFERROR(MATCH(C888,Table10[Serial No.],0),0)),0,1),0)</f>
        <v>1</v>
      </c>
      <c r="K888" s="21"/>
      <c r="L888" s="740" t="str">
        <f t="shared" ca="1" si="114"/>
        <v/>
      </c>
    </row>
    <row r="889" spans="1:12" ht="24.75" customHeight="1" x14ac:dyDescent="0.35">
      <c r="A889" s="109">
        <v>20250346</v>
      </c>
      <c r="B889" s="608" t="s">
        <v>4172</v>
      </c>
      <c r="C889" s="109">
        <v>14489491</v>
      </c>
      <c r="D889" s="109">
        <v>6.125</v>
      </c>
      <c r="E889" s="109" t="s">
        <v>256</v>
      </c>
      <c r="F889" s="109"/>
      <c r="G889" s="109" t="s">
        <v>813</v>
      </c>
      <c r="H889" s="140">
        <v>1198387</v>
      </c>
      <c r="I889" s="140">
        <v>1160951</v>
      </c>
      <c r="J889" s="26">
        <f>IF(H889&lt;&gt;"",IF(AND(C889&lt;&gt;"",IFERROR(MATCH(C889,Table10[Serial No.],0),0)),0,1),0)</f>
        <v>1</v>
      </c>
      <c r="K889" s="21"/>
      <c r="L889" s="740" t="str">
        <f t="shared" ca="1" si="114"/>
        <v/>
      </c>
    </row>
    <row r="890" spans="1:12" ht="24.75" customHeight="1" x14ac:dyDescent="0.35">
      <c r="A890" s="109">
        <v>20250346</v>
      </c>
      <c r="B890" s="608" t="s">
        <v>4172</v>
      </c>
      <c r="C890" s="109">
        <v>14489493</v>
      </c>
      <c r="D890" s="109">
        <v>8.375</v>
      </c>
      <c r="E890" s="109" t="s">
        <v>272</v>
      </c>
      <c r="F890" s="109"/>
      <c r="G890" s="109" t="s">
        <v>813</v>
      </c>
      <c r="H890" s="140">
        <v>1246020</v>
      </c>
      <c r="I890" s="140">
        <v>2009246</v>
      </c>
      <c r="J890" s="26">
        <f>IF(H890&lt;&gt;"",IF(AND(C890&lt;&gt;"",IFERROR(MATCH(C890,Table10[Serial No.],0),0)),0,1),0)</f>
        <v>1</v>
      </c>
      <c r="K890" s="21"/>
      <c r="L890" s="740" t="str">
        <f t="shared" ca="1" si="114"/>
        <v/>
      </c>
    </row>
    <row r="891" spans="1:12" ht="24.75" customHeight="1" x14ac:dyDescent="0.35">
      <c r="A891" s="109">
        <v>20250346</v>
      </c>
      <c r="B891" s="608" t="s">
        <v>4172</v>
      </c>
      <c r="C891" s="109">
        <v>14489495</v>
      </c>
      <c r="D891" s="109">
        <v>8.375</v>
      </c>
      <c r="E891" s="109" t="s">
        <v>703</v>
      </c>
      <c r="F891" s="109"/>
      <c r="G891" s="109" t="s">
        <v>813</v>
      </c>
      <c r="H891" s="140">
        <v>1272920</v>
      </c>
      <c r="I891" s="140">
        <v>1283482</v>
      </c>
      <c r="J891" s="26">
        <f>IF(H891&lt;&gt;"",IF(AND(C891&lt;&gt;"",IFERROR(MATCH(C891,Table10[Serial No.],0),0)),0,1),0)</f>
        <v>1</v>
      </c>
      <c r="K891" s="21"/>
      <c r="L891" s="740" t="str">
        <f t="shared" ca="1" si="114"/>
        <v/>
      </c>
    </row>
    <row r="892" spans="1:12" ht="24.75" customHeight="1" x14ac:dyDescent="0.35">
      <c r="A892" s="109">
        <v>20250346</v>
      </c>
      <c r="B892" s="608" t="s">
        <v>4172</v>
      </c>
      <c r="C892" s="109">
        <v>14489494</v>
      </c>
      <c r="D892" s="109">
        <v>8.375</v>
      </c>
      <c r="E892" s="109" t="s">
        <v>703</v>
      </c>
      <c r="F892" s="109"/>
      <c r="G892" s="109" t="s">
        <v>813</v>
      </c>
      <c r="H892" s="140">
        <v>1272920</v>
      </c>
      <c r="I892" s="140">
        <v>1283482</v>
      </c>
      <c r="J892" s="26">
        <f>IF(H892&lt;&gt;"",IF(AND(C892&lt;&gt;"",IFERROR(MATCH(C892,Table10[Serial No.],0),0)),0,1),0)</f>
        <v>1</v>
      </c>
      <c r="K892" s="21"/>
      <c r="L892" s="740" t="str">
        <f t="shared" ca="1" si="114"/>
        <v/>
      </c>
    </row>
    <row r="893" spans="1:12" ht="24.75" customHeight="1" x14ac:dyDescent="0.35">
      <c r="A893" s="109">
        <v>20250346</v>
      </c>
      <c r="B893" s="608">
        <v>45986</v>
      </c>
      <c r="C893" s="109"/>
      <c r="D893" s="109">
        <v>8.5</v>
      </c>
      <c r="E893" s="109" t="s">
        <v>274</v>
      </c>
      <c r="F893" s="109"/>
      <c r="G893" s="109" t="s">
        <v>813</v>
      </c>
      <c r="H893" s="140">
        <v>2022318</v>
      </c>
      <c r="I893" s="140">
        <v>1276939</v>
      </c>
      <c r="J893" s="26">
        <f>IF(H893&lt;&gt;"",IF(AND(C893&lt;&gt;"",IFERROR(MATCH(C893,Table10[Serial No.],0),0)),0,1),0)</f>
        <v>1</v>
      </c>
      <c r="K893" s="21"/>
      <c r="L893" s="740" t="str">
        <f t="shared" ca="1" si="114"/>
        <v/>
      </c>
    </row>
    <row r="894" spans="1:12" ht="24.75" customHeight="1" x14ac:dyDescent="0.35">
      <c r="A894" s="109">
        <v>20250346</v>
      </c>
      <c r="B894" s="608">
        <v>45986</v>
      </c>
      <c r="C894" s="109"/>
      <c r="D894" s="109">
        <v>8.5</v>
      </c>
      <c r="E894" s="109" t="s">
        <v>274</v>
      </c>
      <c r="F894" s="109"/>
      <c r="G894" s="109" t="s">
        <v>813</v>
      </c>
      <c r="H894" s="140">
        <v>2022318</v>
      </c>
      <c r="I894" s="140">
        <v>1276939</v>
      </c>
      <c r="J894" s="26">
        <f>IF(H894&lt;&gt;"",IF(AND(C894&lt;&gt;"",IFERROR(MATCH(C894,Table10[Serial No.],0),0)),0,1),0)</f>
        <v>1</v>
      </c>
      <c r="K894" s="21"/>
      <c r="L894" s="740" t="str">
        <f t="shared" ref="L894:L925" ca="1" si="115">IFERROR(INDEX($O$2:$Q$57,MATCH($I894,$O$2:$O$93,0),3),"")</f>
        <v/>
      </c>
    </row>
    <row r="895" spans="1:12" ht="24.75" customHeight="1" x14ac:dyDescent="0.35">
      <c r="A895" s="109">
        <v>20250346</v>
      </c>
      <c r="B895" s="608">
        <v>45986</v>
      </c>
      <c r="C895" s="109"/>
      <c r="D895" s="109">
        <v>8.5</v>
      </c>
      <c r="E895" s="109" t="s">
        <v>274</v>
      </c>
      <c r="F895" s="109"/>
      <c r="G895" s="109" t="s">
        <v>813</v>
      </c>
      <c r="H895" s="140">
        <v>2022318</v>
      </c>
      <c r="I895" s="140">
        <v>1276939</v>
      </c>
      <c r="J895" s="26">
        <f>IF(H895&lt;&gt;"",IF(AND(C895&lt;&gt;"",IFERROR(MATCH(C895,Table10[Serial No.],0),0)),0,1),0)</f>
        <v>1</v>
      </c>
      <c r="K895" s="21"/>
      <c r="L895" s="740" t="str">
        <f t="shared" ca="1" si="115"/>
        <v/>
      </c>
    </row>
    <row r="896" spans="1:12" ht="24.75" customHeight="1" x14ac:dyDescent="0.35">
      <c r="A896" s="109">
        <v>20250346</v>
      </c>
      <c r="B896" s="608">
        <v>45986</v>
      </c>
      <c r="C896" s="109"/>
      <c r="D896" s="109">
        <v>8.5</v>
      </c>
      <c r="E896" s="109" t="s">
        <v>274</v>
      </c>
      <c r="F896" s="109"/>
      <c r="G896" s="109" t="s">
        <v>813</v>
      </c>
      <c r="H896" s="140">
        <v>2022318</v>
      </c>
      <c r="I896" s="140">
        <v>1276939</v>
      </c>
      <c r="J896" s="26">
        <f>IF(H896&lt;&gt;"",IF(AND(C896&lt;&gt;"",IFERROR(MATCH(C896,Table10[Serial No.],0),0)),0,1),0)</f>
        <v>1</v>
      </c>
      <c r="K896" s="21"/>
      <c r="L896" s="740" t="str">
        <f t="shared" ca="1" si="115"/>
        <v/>
      </c>
    </row>
    <row r="897" spans="1:12" ht="24.75" customHeight="1" x14ac:dyDescent="0.35">
      <c r="A897" s="109">
        <v>20250346</v>
      </c>
      <c r="B897" s="608">
        <v>45986</v>
      </c>
      <c r="C897" s="109"/>
      <c r="D897" s="109">
        <v>8.5</v>
      </c>
      <c r="E897" s="109" t="s">
        <v>274</v>
      </c>
      <c r="F897" s="109"/>
      <c r="G897" s="109" t="s">
        <v>813</v>
      </c>
      <c r="H897" s="140">
        <v>2022318</v>
      </c>
      <c r="I897" s="140">
        <v>1276939</v>
      </c>
      <c r="J897" s="26">
        <f>IF(H897&lt;&gt;"",IF(AND(C897&lt;&gt;"",IFERROR(MATCH(C897,Table10[Serial No.],0),0)),0,1),0)</f>
        <v>1</v>
      </c>
      <c r="K897" s="21"/>
      <c r="L897" s="740" t="str">
        <f t="shared" ca="1" si="115"/>
        <v/>
      </c>
    </row>
    <row r="898" spans="1:12" ht="24.75" customHeight="1" x14ac:dyDescent="0.35">
      <c r="A898" s="109">
        <v>20250346</v>
      </c>
      <c r="B898" s="608">
        <v>45986</v>
      </c>
      <c r="C898" s="109"/>
      <c r="D898" s="109">
        <v>12.25</v>
      </c>
      <c r="E898" s="109" t="s">
        <v>673</v>
      </c>
      <c r="F898" s="109"/>
      <c r="G898" s="109" t="s">
        <v>813</v>
      </c>
      <c r="H898" s="140">
        <v>1270865</v>
      </c>
      <c r="I898" s="140">
        <v>2008912</v>
      </c>
      <c r="J898" s="26">
        <f>IF(H898&lt;&gt;"",IF(AND(C898&lt;&gt;"",IFERROR(MATCH(C898,Table10[Serial No.],0),0)),0,1),0)</f>
        <v>1</v>
      </c>
      <c r="K898" s="21"/>
      <c r="L898" s="740" t="str">
        <f t="shared" ca="1" si="115"/>
        <v/>
      </c>
    </row>
    <row r="899" spans="1:12" ht="24.75" customHeight="1" x14ac:dyDescent="0.35">
      <c r="A899" s="109">
        <v>20250346</v>
      </c>
      <c r="B899" s="608">
        <v>45986</v>
      </c>
      <c r="C899" s="109"/>
      <c r="D899" s="109">
        <v>16</v>
      </c>
      <c r="E899" s="109" t="s">
        <v>721</v>
      </c>
      <c r="F899" s="109"/>
      <c r="G899" s="109" t="s">
        <v>813</v>
      </c>
      <c r="H899" s="140">
        <v>2019988</v>
      </c>
      <c r="I899" s="140">
        <v>1266749</v>
      </c>
      <c r="J899" s="26">
        <f>IF(H899&lt;&gt;"",IF(AND(C899&lt;&gt;"",IFERROR(MATCH(C899,Table10[Serial No.],0),0)),0,1),0)</f>
        <v>1</v>
      </c>
      <c r="K899" s="21"/>
      <c r="L899" s="740" t="str">
        <f t="shared" ca="1" si="115"/>
        <v/>
      </c>
    </row>
    <row r="900" spans="1:12" ht="24.75" customHeight="1" x14ac:dyDescent="0.35">
      <c r="A900" s="109">
        <v>20250358</v>
      </c>
      <c r="B900" s="608">
        <v>45987</v>
      </c>
      <c r="C900" s="109"/>
      <c r="D900" s="109">
        <v>8.375</v>
      </c>
      <c r="E900" s="109" t="s">
        <v>4173</v>
      </c>
      <c r="F900" s="109"/>
      <c r="G900" s="109" t="s">
        <v>813</v>
      </c>
      <c r="H900" s="140">
        <v>2022829</v>
      </c>
      <c r="I900" s="140" t="s">
        <v>4256</v>
      </c>
      <c r="J900" s="26">
        <f>IF(H900&lt;&gt;"",IF(AND(C900&lt;&gt;"",IFERROR(MATCH(C900,Table10[Serial No.],0),0)),0,1),0)</f>
        <v>1</v>
      </c>
      <c r="K900" s="21"/>
      <c r="L900" s="740" t="str">
        <f t="shared" si="115"/>
        <v/>
      </c>
    </row>
    <row r="901" spans="1:12" ht="24.75" customHeight="1" x14ac:dyDescent="0.35">
      <c r="A901" s="109">
        <v>20250358</v>
      </c>
      <c r="B901" s="608">
        <v>45987</v>
      </c>
      <c r="C901" s="109"/>
      <c r="D901" s="109">
        <v>16</v>
      </c>
      <c r="E901" s="109" t="s">
        <v>721</v>
      </c>
      <c r="F901" s="109"/>
      <c r="G901" s="109" t="s">
        <v>813</v>
      </c>
      <c r="H901" s="140">
        <v>2019988</v>
      </c>
      <c r="I901" s="140">
        <v>1266749</v>
      </c>
      <c r="J901" s="26">
        <f>IF(H901&lt;&gt;"",IF(AND(C901&lt;&gt;"",IFERROR(MATCH(C901,Table10[Serial No.],0),0)),0,1),0)</f>
        <v>1</v>
      </c>
      <c r="K901" s="21"/>
      <c r="L901" s="740" t="str">
        <f t="shared" ca="1" si="115"/>
        <v/>
      </c>
    </row>
    <row r="902" spans="1:12" ht="24.75" customHeight="1" x14ac:dyDescent="0.35">
      <c r="A902" s="109">
        <v>20250358</v>
      </c>
      <c r="B902" s="608">
        <v>45987</v>
      </c>
      <c r="C902" s="109">
        <v>14491277</v>
      </c>
      <c r="D902" s="109">
        <v>8.375</v>
      </c>
      <c r="E902" s="109" t="s">
        <v>649</v>
      </c>
      <c r="F902" s="109"/>
      <c r="G902" s="109" t="s">
        <v>814</v>
      </c>
      <c r="H902" s="140">
        <v>1192119</v>
      </c>
      <c r="I902" s="140">
        <v>1134878</v>
      </c>
      <c r="J902" s="26">
        <f>IF(H902&lt;&gt;"",IF(AND(C902&lt;&gt;"",IFERROR(MATCH(C902,Table10[Serial No.],0),0)),0,1),0)</f>
        <v>0</v>
      </c>
      <c r="K902" s="21"/>
      <c r="L902" s="740" t="str">
        <f t="shared" ca="1" si="115"/>
        <v/>
      </c>
    </row>
    <row r="903" spans="1:12" ht="24.75" customHeight="1" x14ac:dyDescent="0.35">
      <c r="A903" s="132">
        <v>20250358</v>
      </c>
      <c r="B903" s="609">
        <v>45987</v>
      </c>
      <c r="C903" s="109">
        <v>14491278</v>
      </c>
      <c r="D903" s="132">
        <v>8.375</v>
      </c>
      <c r="E903" s="132" t="s">
        <v>649</v>
      </c>
      <c r="F903" s="132"/>
      <c r="G903" s="132" t="s">
        <v>814</v>
      </c>
      <c r="H903" s="141">
        <v>1192119</v>
      </c>
      <c r="I903" s="141">
        <v>1134878</v>
      </c>
      <c r="J903" s="26">
        <f>IF(H903&lt;&gt;"",IF(AND(C903&lt;&gt;"",IFERROR(MATCH(C903,Table10[Serial No.],0),0)),0,1),0)</f>
        <v>1</v>
      </c>
      <c r="K903" s="21"/>
      <c r="L903" s="740" t="str">
        <f t="shared" ca="1" si="115"/>
        <v/>
      </c>
    </row>
    <row r="904" spans="1:12" ht="24.75" customHeight="1" x14ac:dyDescent="0.35">
      <c r="A904" s="109">
        <v>20250369</v>
      </c>
      <c r="B904" s="608">
        <v>45998</v>
      </c>
      <c r="C904" s="109">
        <v>14492188</v>
      </c>
      <c r="D904" s="109">
        <v>8.375</v>
      </c>
      <c r="E904" s="109" t="s">
        <v>645</v>
      </c>
      <c r="F904" s="109"/>
      <c r="G904" s="109" t="s">
        <v>813</v>
      </c>
      <c r="H904" s="140">
        <v>1267027</v>
      </c>
      <c r="I904" s="140">
        <v>1283630</v>
      </c>
      <c r="J904" s="26">
        <f>IF(H904&lt;&gt;"",IF(AND(C904&lt;&gt;"",IFERROR(MATCH(C904,Table10[Serial No.],0),0)),0,1),0)</f>
        <v>0</v>
      </c>
      <c r="K904" s="21"/>
      <c r="L904" s="740" t="str">
        <f t="shared" ca="1" si="115"/>
        <v/>
      </c>
    </row>
    <row r="905" spans="1:12" ht="24.75" customHeight="1" x14ac:dyDescent="0.35">
      <c r="A905" s="109">
        <v>20250369</v>
      </c>
      <c r="B905" s="608">
        <v>45998</v>
      </c>
      <c r="C905" s="109">
        <v>14492189</v>
      </c>
      <c r="D905" s="109">
        <v>8.375</v>
      </c>
      <c r="E905" s="109" t="s">
        <v>645</v>
      </c>
      <c r="F905" s="109"/>
      <c r="G905" s="109" t="s">
        <v>813</v>
      </c>
      <c r="H905" s="140">
        <v>1267027</v>
      </c>
      <c r="I905" s="140">
        <v>1283630</v>
      </c>
      <c r="J905" s="26">
        <f>IF(H905&lt;&gt;"",IF(AND(C905&lt;&gt;"",IFERROR(MATCH(C905,Table10[Serial No.],0),0)),0,1),0)</f>
        <v>0</v>
      </c>
      <c r="K905" s="21"/>
      <c r="L905" s="740" t="str">
        <f t="shared" ca="1" si="115"/>
        <v/>
      </c>
    </row>
    <row r="906" spans="1:12" ht="24.75" customHeight="1" x14ac:dyDescent="0.35">
      <c r="A906" s="132">
        <v>20250369</v>
      </c>
      <c r="B906" s="609">
        <v>45998</v>
      </c>
      <c r="C906" s="132">
        <v>14492190</v>
      </c>
      <c r="D906" s="132">
        <v>8.375</v>
      </c>
      <c r="E906" s="132" t="s">
        <v>645</v>
      </c>
      <c r="F906" s="132"/>
      <c r="G906" s="109" t="s">
        <v>813</v>
      </c>
      <c r="H906" s="141">
        <v>1267027</v>
      </c>
      <c r="I906" s="141">
        <v>1283630</v>
      </c>
      <c r="J906" s="26">
        <f>IF(H906&lt;&gt;"",IF(AND(C906&lt;&gt;"",IFERROR(MATCH(C906,Table10[Serial No.],0),0)),0,1),0)</f>
        <v>0</v>
      </c>
      <c r="K906" s="21"/>
      <c r="L906" s="740" t="str">
        <f t="shared" ca="1" si="115"/>
        <v/>
      </c>
    </row>
    <row r="907" spans="1:12" ht="24.75" customHeight="1" x14ac:dyDescent="0.35">
      <c r="A907" s="109">
        <v>20250369</v>
      </c>
      <c r="B907" s="608">
        <v>45998</v>
      </c>
      <c r="C907" s="132">
        <v>14492191</v>
      </c>
      <c r="D907" s="132">
        <v>8.375</v>
      </c>
      <c r="E907" s="132" t="s">
        <v>645</v>
      </c>
      <c r="F907" s="132"/>
      <c r="G907" s="109" t="s">
        <v>813</v>
      </c>
      <c r="H907" s="141">
        <v>1267027</v>
      </c>
      <c r="I907" s="141">
        <v>1283630</v>
      </c>
      <c r="J907" s="26">
        <f>IF(H907&lt;&gt;"",IF(AND(C907&lt;&gt;"",IFERROR(MATCH(C907,Table10[Serial No.],0),0)),0,1),0)</f>
        <v>1</v>
      </c>
      <c r="K907" s="21"/>
      <c r="L907" s="740" t="str">
        <f t="shared" ca="1" si="115"/>
        <v/>
      </c>
    </row>
    <row r="908" spans="1:12" ht="24.75" customHeight="1" x14ac:dyDescent="0.35">
      <c r="A908" s="132">
        <v>20250369</v>
      </c>
      <c r="B908" s="609">
        <v>45998</v>
      </c>
      <c r="C908" s="132">
        <v>14492192</v>
      </c>
      <c r="D908" s="132">
        <v>8.375</v>
      </c>
      <c r="E908" s="132" t="s">
        <v>645</v>
      </c>
      <c r="F908" s="132"/>
      <c r="G908" s="109" t="s">
        <v>813</v>
      </c>
      <c r="H908" s="141">
        <v>1267027</v>
      </c>
      <c r="I908" s="141">
        <v>1283630</v>
      </c>
      <c r="J908" s="26">
        <f>IF(H908&lt;&gt;"",IF(AND(C908&lt;&gt;"",IFERROR(MATCH(C908,Table10[Serial No.],0),0)),0,1),0)</f>
        <v>1</v>
      </c>
      <c r="K908" s="21"/>
      <c r="L908" s="740" t="str">
        <f t="shared" ca="1" si="115"/>
        <v/>
      </c>
    </row>
    <row r="909" spans="1:12" ht="24.75" customHeight="1" x14ac:dyDescent="0.35">
      <c r="A909" s="109">
        <v>20250369</v>
      </c>
      <c r="B909" s="608">
        <v>45998</v>
      </c>
      <c r="C909" s="109"/>
      <c r="D909" s="109">
        <v>16</v>
      </c>
      <c r="E909" s="109" t="s">
        <v>4174</v>
      </c>
      <c r="F909" s="109"/>
      <c r="G909" s="109" t="s">
        <v>813</v>
      </c>
      <c r="H909" s="140">
        <v>2030214</v>
      </c>
      <c r="I909" s="140" t="s">
        <v>4254</v>
      </c>
      <c r="J909" s="26">
        <f>IF(H909&lt;&gt;"",IF(AND(C909&lt;&gt;"",IFERROR(MATCH(C909,Table10[Serial No.],0),0)),0,1),0)</f>
        <v>1</v>
      </c>
      <c r="K909" s="21"/>
      <c r="L909" s="740" t="str">
        <f t="shared" si="115"/>
        <v/>
      </c>
    </row>
    <row r="910" spans="1:12" ht="24.75" customHeight="1" x14ac:dyDescent="0.35">
      <c r="A910" s="132">
        <v>20250277</v>
      </c>
      <c r="B910" s="609">
        <v>45925</v>
      </c>
      <c r="C910" s="132">
        <v>14462151</v>
      </c>
      <c r="D910" s="132">
        <v>8.5</v>
      </c>
      <c r="E910" s="132" t="s">
        <v>274</v>
      </c>
      <c r="F910" s="132"/>
      <c r="G910" s="132" t="s">
        <v>813</v>
      </c>
      <c r="H910" s="141">
        <v>2022318</v>
      </c>
      <c r="I910" s="141">
        <v>1276939</v>
      </c>
      <c r="J910" s="26">
        <f>IF(H910&lt;&gt;"",IF(AND(C910&lt;&gt;"",IFERROR(MATCH(C910,Table10[Serial No.],0),0)),0,1),0)</f>
        <v>0</v>
      </c>
      <c r="K910" s="21"/>
      <c r="L910" s="740" t="str">
        <f t="shared" ca="1" si="115"/>
        <v/>
      </c>
    </row>
    <row r="911" spans="1:12" ht="24.75" customHeight="1" x14ac:dyDescent="0.35">
      <c r="A911" s="109">
        <v>20250277</v>
      </c>
      <c r="B911" s="608">
        <v>45925</v>
      </c>
      <c r="C911" s="132">
        <v>14462152</v>
      </c>
      <c r="D911" s="109">
        <v>8.5</v>
      </c>
      <c r="E911" s="109" t="s">
        <v>274</v>
      </c>
      <c r="F911" s="109"/>
      <c r="G911" s="109" t="s">
        <v>813</v>
      </c>
      <c r="H911" s="140">
        <v>2022318</v>
      </c>
      <c r="I911" s="140">
        <v>1276939</v>
      </c>
      <c r="J911" s="26">
        <f>IF(H911&lt;&gt;"",IF(AND(C911&lt;&gt;"",IFERROR(MATCH(C911,Table10[Serial No.],0),0)),0,1),0)</f>
        <v>0</v>
      </c>
      <c r="K911" s="21"/>
      <c r="L911" s="740" t="str">
        <f t="shared" ca="1" si="115"/>
        <v/>
      </c>
    </row>
    <row r="912" spans="1:12" ht="24.75" customHeight="1" x14ac:dyDescent="0.35">
      <c r="A912" s="109">
        <v>20250277</v>
      </c>
      <c r="B912" s="608">
        <v>45925</v>
      </c>
      <c r="C912" s="132">
        <v>14462153</v>
      </c>
      <c r="D912" s="109">
        <v>8.5</v>
      </c>
      <c r="E912" s="109" t="s">
        <v>274</v>
      </c>
      <c r="F912" s="109"/>
      <c r="G912" s="109" t="s">
        <v>813</v>
      </c>
      <c r="H912" s="140">
        <v>2022318</v>
      </c>
      <c r="I912" s="140">
        <v>1276939</v>
      </c>
      <c r="J912" s="26">
        <f>IF(H912&lt;&gt;"",IF(AND(C912&lt;&gt;"",IFERROR(MATCH(C912,Table10[Serial No.],0),0)),0,1),0)</f>
        <v>0</v>
      </c>
      <c r="K912" s="21"/>
      <c r="L912" s="740" t="str">
        <f t="shared" ca="1" si="115"/>
        <v/>
      </c>
    </row>
    <row r="913" spans="1:12" ht="24.75" customHeight="1" x14ac:dyDescent="0.35">
      <c r="A913" s="109">
        <v>20250402</v>
      </c>
      <c r="B913" s="608">
        <v>46016</v>
      </c>
      <c r="C913" s="109"/>
      <c r="D913" s="109">
        <v>6.125</v>
      </c>
      <c r="E913" s="109" t="s">
        <v>4533</v>
      </c>
      <c r="F913" s="109">
        <v>0</v>
      </c>
      <c r="G913" s="109" t="s">
        <v>813</v>
      </c>
      <c r="H913" s="140">
        <v>2029409</v>
      </c>
      <c r="I913" s="140">
        <v>2020054</v>
      </c>
      <c r="J913" s="26">
        <f>IF(H913&lt;&gt;"",IF(AND(C913&lt;&gt;"",IFERROR(MATCH(C913,Table10[Serial No.],0),0)),0,1),0)</f>
        <v>1</v>
      </c>
      <c r="K913" s="21"/>
      <c r="L913" s="740" t="str">
        <f t="shared" si="115"/>
        <v/>
      </c>
    </row>
    <row r="914" spans="1:12" ht="24.75" customHeight="1" x14ac:dyDescent="0.35">
      <c r="A914" s="109">
        <v>20250402</v>
      </c>
      <c r="B914" s="608">
        <v>46016</v>
      </c>
      <c r="C914" s="109"/>
      <c r="D914" s="109">
        <v>6.125</v>
      </c>
      <c r="E914" s="109" t="s">
        <v>4533</v>
      </c>
      <c r="F914" s="109">
        <v>0</v>
      </c>
      <c r="G914" s="109" t="s">
        <v>813</v>
      </c>
      <c r="H914" s="140">
        <v>2029409</v>
      </c>
      <c r="I914" s="140">
        <v>2020054</v>
      </c>
      <c r="J914" s="26">
        <f>IF(H914&lt;&gt;"",IF(AND(C914&lt;&gt;"",IFERROR(MATCH(C914,Table10[Serial No.],0),0)),0,1),0)</f>
        <v>1</v>
      </c>
      <c r="K914" s="21"/>
      <c r="L914" s="740" t="str">
        <f t="shared" si="115"/>
        <v/>
      </c>
    </row>
    <row r="915" spans="1:12" ht="24.75" customHeight="1" x14ac:dyDescent="0.35">
      <c r="A915" s="109">
        <v>20250402</v>
      </c>
      <c r="B915" s="608">
        <v>46016</v>
      </c>
      <c r="C915" s="109"/>
      <c r="D915" s="109">
        <v>6.125</v>
      </c>
      <c r="E915" s="109" t="s">
        <v>4533</v>
      </c>
      <c r="F915" s="109">
        <v>0</v>
      </c>
      <c r="G915" s="109" t="s">
        <v>813</v>
      </c>
      <c r="H915" s="140">
        <v>2029409</v>
      </c>
      <c r="I915" s="140">
        <v>2020054</v>
      </c>
      <c r="J915" s="26">
        <f>IF(H915&lt;&gt;"",IF(AND(C915&lt;&gt;"",IFERROR(MATCH(C915,Table10[Serial No.],0),0)),0,1),0)</f>
        <v>1</v>
      </c>
      <c r="K915" s="21"/>
      <c r="L915" s="740" t="str">
        <f t="shared" si="115"/>
        <v/>
      </c>
    </row>
    <row r="916" spans="1:12" ht="24.75" customHeight="1" x14ac:dyDescent="0.35">
      <c r="A916" s="132">
        <v>20250402</v>
      </c>
      <c r="B916" s="609">
        <v>46016</v>
      </c>
      <c r="C916" s="132"/>
      <c r="D916" s="132">
        <v>6.125</v>
      </c>
      <c r="E916" s="132" t="s">
        <v>4533</v>
      </c>
      <c r="F916" s="132">
        <v>0</v>
      </c>
      <c r="G916" s="132" t="s">
        <v>813</v>
      </c>
      <c r="H916" s="141">
        <v>2029409</v>
      </c>
      <c r="I916" s="141">
        <v>2020054</v>
      </c>
      <c r="J916" s="26">
        <f>IF(H916&lt;&gt;"",IF(AND(C916&lt;&gt;"",IFERROR(MATCH(C916,Table10[Serial No.],0),0)),0,1),0)</f>
        <v>1</v>
      </c>
      <c r="K916" s="21"/>
      <c r="L916" s="740" t="str">
        <f t="shared" si="115"/>
        <v/>
      </c>
    </row>
    <row r="917" spans="1:12" ht="24.75" customHeight="1" x14ac:dyDescent="0.35">
      <c r="A917" s="109">
        <v>20250402</v>
      </c>
      <c r="B917" s="608">
        <v>46016</v>
      </c>
      <c r="C917" s="109"/>
      <c r="D917" s="109">
        <v>8.375</v>
      </c>
      <c r="E917" s="109" t="s">
        <v>649</v>
      </c>
      <c r="F917" s="109">
        <v>0</v>
      </c>
      <c r="G917" s="109" t="s">
        <v>813</v>
      </c>
      <c r="H917" s="140">
        <v>1192119</v>
      </c>
      <c r="I917" s="140">
        <v>1134878</v>
      </c>
      <c r="J917" s="26">
        <f>IF(H917&lt;&gt;"",IF(AND(C917&lt;&gt;"",IFERROR(MATCH(C917,Table10[Serial No.],0),0)),0,1),0)</f>
        <v>1</v>
      </c>
      <c r="K917" s="21"/>
      <c r="L917" s="740" t="str">
        <f t="shared" ca="1" si="115"/>
        <v/>
      </c>
    </row>
    <row r="918" spans="1:12" ht="24.75" customHeight="1" x14ac:dyDescent="0.35">
      <c r="A918" s="109">
        <v>20250402</v>
      </c>
      <c r="B918" s="608">
        <v>46016</v>
      </c>
      <c r="C918" s="109"/>
      <c r="D918" s="109">
        <v>8.375</v>
      </c>
      <c r="E918" s="109" t="s">
        <v>649</v>
      </c>
      <c r="F918" s="109">
        <v>0</v>
      </c>
      <c r="G918" s="109" t="s">
        <v>813</v>
      </c>
      <c r="H918" s="140">
        <v>1192119</v>
      </c>
      <c r="I918" s="140">
        <v>1134878</v>
      </c>
      <c r="J918" s="26">
        <f>IF(H918&lt;&gt;"",IF(AND(C918&lt;&gt;"",IFERROR(MATCH(C918,Table10[Serial No.],0),0)),0,1),0)</f>
        <v>1</v>
      </c>
      <c r="K918" s="21"/>
      <c r="L918" s="740" t="str">
        <f t="shared" ca="1" si="115"/>
        <v/>
      </c>
    </row>
    <row r="919" spans="1:12" ht="24.75" customHeight="1" x14ac:dyDescent="0.35">
      <c r="A919" s="109">
        <v>20250402</v>
      </c>
      <c r="B919" s="608">
        <v>46016</v>
      </c>
      <c r="C919" s="109"/>
      <c r="D919" s="109">
        <v>8.375</v>
      </c>
      <c r="E919" s="109" t="s">
        <v>645</v>
      </c>
      <c r="F919" s="109">
        <v>0</v>
      </c>
      <c r="G919" s="109" t="s">
        <v>813</v>
      </c>
      <c r="H919" s="140">
        <v>1267027</v>
      </c>
      <c r="I919" s="140">
        <v>1283630</v>
      </c>
      <c r="J919" s="26">
        <f>IF(H919&lt;&gt;"",IF(AND(C919&lt;&gt;"",IFERROR(MATCH(C919,Table10[Serial No.],0),0)),0,1),0)</f>
        <v>1</v>
      </c>
      <c r="K919" s="21"/>
      <c r="L919" s="740" t="str">
        <f t="shared" ca="1" si="115"/>
        <v/>
      </c>
    </row>
    <row r="920" spans="1:12" ht="24.75" customHeight="1" x14ac:dyDescent="0.35">
      <c r="A920" s="132">
        <v>20250402</v>
      </c>
      <c r="B920" s="609">
        <v>46016</v>
      </c>
      <c r="C920" s="132"/>
      <c r="D920" s="132">
        <v>8.375</v>
      </c>
      <c r="E920" s="132" t="s">
        <v>645</v>
      </c>
      <c r="F920" s="132">
        <v>0</v>
      </c>
      <c r="G920" s="132" t="s">
        <v>813</v>
      </c>
      <c r="H920" s="141">
        <v>1267027</v>
      </c>
      <c r="I920" s="141">
        <v>1283630</v>
      </c>
      <c r="J920" s="26">
        <f>IF(H920&lt;&gt;"",IF(AND(C920&lt;&gt;"",IFERROR(MATCH(C920,Table10[Serial No.],0),0)),0,1),0)</f>
        <v>1</v>
      </c>
      <c r="K920" s="21"/>
      <c r="L920" s="740" t="str">
        <f t="shared" ca="1" si="115"/>
        <v/>
      </c>
    </row>
    <row r="921" spans="1:12" ht="24.75" customHeight="1" x14ac:dyDescent="0.35">
      <c r="A921" s="109">
        <v>20250402</v>
      </c>
      <c r="B921" s="608">
        <v>46016</v>
      </c>
      <c r="C921" s="109"/>
      <c r="D921" s="109">
        <v>8.375</v>
      </c>
      <c r="E921" s="109" t="s">
        <v>645</v>
      </c>
      <c r="F921" s="109">
        <v>0</v>
      </c>
      <c r="G921" s="109" t="s">
        <v>813</v>
      </c>
      <c r="H921" s="140">
        <v>1267027</v>
      </c>
      <c r="I921" s="140">
        <v>1283630</v>
      </c>
      <c r="J921" s="26">
        <f>IF(H921&lt;&gt;"",IF(AND(C921&lt;&gt;"",IFERROR(MATCH(C921,Table10[Serial No.],0),0)),0,1),0)</f>
        <v>1</v>
      </c>
      <c r="K921" s="21"/>
      <c r="L921" s="740" t="str">
        <f t="shared" ca="1" si="115"/>
        <v/>
      </c>
    </row>
    <row r="922" spans="1:12" ht="24.75" customHeight="1" x14ac:dyDescent="0.35">
      <c r="A922" s="109">
        <v>20250402</v>
      </c>
      <c r="B922" s="608">
        <v>46016</v>
      </c>
      <c r="C922" s="109"/>
      <c r="D922" s="109">
        <v>8.375</v>
      </c>
      <c r="E922" s="109" t="s">
        <v>645</v>
      </c>
      <c r="F922" s="109">
        <v>0</v>
      </c>
      <c r="G922" s="109" t="s">
        <v>813</v>
      </c>
      <c r="H922" s="140">
        <v>1267027</v>
      </c>
      <c r="I922" s="140">
        <v>1283630</v>
      </c>
      <c r="J922" s="26">
        <f>IF(H922&lt;&gt;"",IF(AND(C922&lt;&gt;"",IFERROR(MATCH(C922,Table10[Serial No.],0),0)),0,1),0)</f>
        <v>1</v>
      </c>
      <c r="K922" s="21"/>
      <c r="L922" s="740" t="str">
        <f t="shared" ca="1" si="115"/>
        <v/>
      </c>
    </row>
    <row r="923" spans="1:12" ht="24.75" customHeight="1" x14ac:dyDescent="0.35">
      <c r="A923" s="109">
        <v>20250402</v>
      </c>
      <c r="B923" s="608">
        <v>46016</v>
      </c>
      <c r="C923" s="109"/>
      <c r="D923" s="109">
        <v>8.375</v>
      </c>
      <c r="E923" s="109" t="s">
        <v>645</v>
      </c>
      <c r="F923" s="109">
        <v>0</v>
      </c>
      <c r="G923" s="109" t="s">
        <v>813</v>
      </c>
      <c r="H923" s="140">
        <v>1267027</v>
      </c>
      <c r="I923" s="140">
        <v>1283630</v>
      </c>
      <c r="J923" s="26">
        <f>IF(H923&lt;&gt;"",IF(AND(C923&lt;&gt;"",IFERROR(MATCH(C923,Table10[Serial No.],0),0)),0,1),0)</f>
        <v>1</v>
      </c>
      <c r="K923" s="21"/>
      <c r="L923" s="740" t="str">
        <f t="shared" ca="1" si="115"/>
        <v/>
      </c>
    </row>
    <row r="924" spans="1:12" ht="24.75" customHeight="1" x14ac:dyDescent="0.35">
      <c r="A924" s="132">
        <v>20250402</v>
      </c>
      <c r="B924" s="609">
        <v>46016</v>
      </c>
      <c r="C924" s="132"/>
      <c r="D924" s="132">
        <v>17</v>
      </c>
      <c r="E924" s="132" t="s">
        <v>320</v>
      </c>
      <c r="F924" s="132">
        <v>0</v>
      </c>
      <c r="G924" s="132" t="s">
        <v>814</v>
      </c>
      <c r="H924" s="141">
        <v>1153090</v>
      </c>
      <c r="I924" s="140">
        <v>1283277</v>
      </c>
      <c r="J924" s="26">
        <f>IF(H924&lt;&gt;"",IF(AND(C924&lt;&gt;"",IFERROR(MATCH(C924,Table10[Serial No.],0),0)),0,1),0)</f>
        <v>1</v>
      </c>
      <c r="K924" s="21"/>
      <c r="L924" s="740" t="str">
        <f t="shared" ca="1" si="115"/>
        <v/>
      </c>
    </row>
    <row r="925" spans="1:12" ht="24.75" customHeight="1" x14ac:dyDescent="0.35">
      <c r="A925" s="132">
        <v>20250402</v>
      </c>
      <c r="B925" s="609">
        <v>46016</v>
      </c>
      <c r="C925" s="132"/>
      <c r="D925" s="132">
        <v>17</v>
      </c>
      <c r="E925" s="132" t="s">
        <v>320</v>
      </c>
      <c r="F925" s="132">
        <v>0</v>
      </c>
      <c r="G925" s="132" t="s">
        <v>814</v>
      </c>
      <c r="H925" s="141">
        <v>1153090</v>
      </c>
      <c r="I925" s="141">
        <v>1283277</v>
      </c>
      <c r="J925" s="26">
        <f>IF(H925&lt;&gt;"",IF(AND(C925&lt;&gt;"",IFERROR(MATCH(C925,Table10[Serial No.],0),0)),0,1),0)</f>
        <v>1</v>
      </c>
      <c r="K925" s="21"/>
      <c r="L925" s="740" t="str">
        <f t="shared" ca="1" si="115"/>
        <v/>
      </c>
    </row>
  </sheetData>
  <phoneticPr fontId="21" type="noConversion"/>
  <conditionalFormatting sqref="A1">
    <cfRule type="duplicateValues" dxfId="709" priority="474"/>
    <cfRule type="duplicateValues" dxfId="708" priority="476"/>
    <cfRule type="duplicateValues" dxfId="707" priority="477"/>
  </conditionalFormatting>
  <conditionalFormatting sqref="A865:A866">
    <cfRule type="expression" dxfId="706" priority="12653">
      <formula>COUNTIF($L905,"&lt;0")</formula>
    </cfRule>
  </conditionalFormatting>
  <conditionalFormatting sqref="A867:A899">
    <cfRule type="expression" dxfId="705" priority="12986">
      <formula>COUNTIF($L919,"&lt;0")</formula>
    </cfRule>
  </conditionalFormatting>
  <conditionalFormatting sqref="A900:A903">
    <cfRule type="expression" dxfId="704" priority="12272">
      <formula>COUNTIF($L951,"&lt;0")</formula>
    </cfRule>
  </conditionalFormatting>
  <conditionalFormatting sqref="A1:B1">
    <cfRule type="duplicateValues" dxfId="703" priority="475"/>
  </conditionalFormatting>
  <conditionalFormatting sqref="A2:K2 A3:J426 C467:K470 A471:K472 C473:K481 A482:K493 A498:K605 C606:K607 A608:K610 C611:K612 A613:K613 C614:K615 A616:K617 L1:L925 J427:J429 A473:A481 A606:A607 A611:A612 A614:A615 K623:K817 A623:A858 K818:L821 K822:K860 K919:K925 A920:A1558 K926:L1558">
    <cfRule type="expression" dxfId="702" priority="185">
      <formula>COUNTIF($L1,"&lt;0")</formula>
    </cfRule>
  </conditionalFormatting>
  <conditionalFormatting sqref="B1">
    <cfRule type="duplicateValues" dxfId="701" priority="459"/>
    <cfRule type="duplicateValues" dxfId="700" priority="460"/>
    <cfRule type="duplicateValues" dxfId="699" priority="461"/>
    <cfRule type="duplicateValues" dxfId="698" priority="472"/>
    <cfRule type="duplicateValues" dxfId="697" priority="473"/>
    <cfRule type="duplicateValues" dxfId="696" priority="478"/>
    <cfRule type="duplicateValues" dxfId="695" priority="479"/>
    <cfRule type="duplicateValues" dxfId="694" priority="480"/>
    <cfRule type="duplicateValues" dxfId="693" priority="481"/>
    <cfRule type="duplicateValues" dxfId="692" priority="482"/>
    <cfRule type="duplicateValues" dxfId="691" priority="483"/>
  </conditionalFormatting>
  <conditionalFormatting sqref="B427:B428">
    <cfRule type="expression" dxfId="690" priority="181">
      <formula>COUNTIF($L427,"&lt;0")</formula>
    </cfRule>
  </conditionalFormatting>
  <conditionalFormatting sqref="B436:B437">
    <cfRule type="expression" dxfId="689" priority="180">
      <formula>COUNTIF($L436,"&lt;0")</formula>
    </cfRule>
  </conditionalFormatting>
  <conditionalFormatting sqref="B447:B452">
    <cfRule type="expression" dxfId="688" priority="179">
      <formula>COUNTIF($L447,"&lt;0")</formula>
    </cfRule>
  </conditionalFormatting>
  <conditionalFormatting sqref="B458:B460">
    <cfRule type="expression" dxfId="687" priority="174">
      <formula>COUNTIF($L458,"&lt;0")</formula>
    </cfRule>
  </conditionalFormatting>
  <conditionalFormatting sqref="B462:B470">
    <cfRule type="expression" dxfId="686" priority="173">
      <formula>COUNTIF($L462,"&lt;0")</formula>
    </cfRule>
  </conditionalFormatting>
  <conditionalFormatting sqref="B473:B481">
    <cfRule type="expression" dxfId="685" priority="172">
      <formula>COUNTIF($L473,"&lt;0")</formula>
    </cfRule>
  </conditionalFormatting>
  <conditionalFormatting sqref="B496:B497">
    <cfRule type="expression" dxfId="684" priority="171">
      <formula>COUNTIF($L496,"&lt;0")</formula>
    </cfRule>
  </conditionalFormatting>
  <conditionalFormatting sqref="B857:H857 C1014:C1555 J857 A864 K916">
    <cfRule type="expression" dxfId="683" priority="10078">
      <formula>COUNTIF($L860,"&lt;0")</formula>
    </cfRule>
  </conditionalFormatting>
  <conditionalFormatting sqref="B858:H858 J858 B859:B860 K862">
    <cfRule type="expression" dxfId="682" priority="11086">
      <formula>COUNTIF($L862,"&lt;0")</formula>
    </cfRule>
  </conditionalFormatting>
  <conditionalFormatting sqref="B863:I864">
    <cfRule type="expression" dxfId="681" priority="12650">
      <formula>COUNTIF($L905,"&lt;0")</formula>
    </cfRule>
  </conditionalFormatting>
  <conditionalFormatting sqref="B865:I865">
    <cfRule type="expression" dxfId="680" priority="12638">
      <formula>COUNTIF($L910,"&lt;0")</formula>
    </cfRule>
  </conditionalFormatting>
  <conditionalFormatting sqref="B866:I866">
    <cfRule type="expression" dxfId="679" priority="13222">
      <formula>COUNTIF($L913,"&lt;0")</formula>
    </cfRule>
  </conditionalFormatting>
  <conditionalFormatting sqref="B657:J670 J889:J892">
    <cfRule type="expression" dxfId="678" priority="9654">
      <formula>COUNTIF($L671,"&lt;0")</formula>
    </cfRule>
  </conditionalFormatting>
  <conditionalFormatting sqref="B759:J760 B834:J834 C860:H860 B861:J861 B867:I906 A907:I909 B910:J917 J860 A862:A863 K863:K864 A904:A906 K905:K909 A910:A919 K914:K915 K917:K918">
    <cfRule type="expression" dxfId="677" priority="10901">
      <formula>COUNTIF(#REF!,"&lt;0")</formula>
    </cfRule>
  </conditionalFormatting>
  <conditionalFormatting sqref="B835:J835">
    <cfRule type="expression" dxfId="676" priority="12071">
      <formula>COUNTIF($L847,"&lt;0")</formula>
    </cfRule>
  </conditionalFormatting>
  <conditionalFormatting sqref="B836:J846">
    <cfRule type="expression" dxfId="675" priority="12078">
      <formula>COUNTIF($L851,"&lt;0")</formula>
    </cfRule>
  </conditionalFormatting>
  <conditionalFormatting sqref="B862:J862 A861 J863:J888">
    <cfRule type="expression" dxfId="674" priority="11672">
      <formula>COUNTIF($L866,"&lt;0")</formula>
    </cfRule>
  </conditionalFormatting>
  <conditionalFormatting sqref="C1:C42 C44:C59 C404:C617 C623:C653 C655:C1048576">
    <cfRule type="duplicateValues" dxfId="673" priority="1086"/>
    <cfRule type="duplicateValues" dxfId="672" priority="1090"/>
    <cfRule type="duplicateValues" dxfId="671" priority="1091"/>
  </conditionalFormatting>
  <conditionalFormatting sqref="C1:C42 C44:C255 C404:C617 C623:C653 C655:C1048576">
    <cfRule type="duplicateValues" dxfId="670" priority="4014"/>
    <cfRule type="duplicateValues" dxfId="669" priority="4015"/>
    <cfRule type="duplicateValues" dxfId="668" priority="4025"/>
  </conditionalFormatting>
  <conditionalFormatting sqref="C1:C306 C324:C617 C623:C653 C655:C1048576">
    <cfRule type="duplicateValues" dxfId="667" priority="188"/>
  </conditionalFormatting>
  <conditionalFormatting sqref="C1:C306 C404:C617 C623:C653 C655:C1048576">
    <cfRule type="duplicateValues" dxfId="666" priority="189"/>
    <cfRule type="duplicateValues" dxfId="665" priority="193"/>
    <cfRule type="duplicateValues" dxfId="664" priority="194"/>
    <cfRule type="duplicateValues" dxfId="663" priority="208"/>
    <cfRule type="duplicateValues" dxfId="662" priority="209"/>
    <cfRule type="duplicateValues" dxfId="661" priority="210"/>
    <cfRule type="duplicateValues" dxfId="660" priority="211"/>
    <cfRule type="duplicateValues" dxfId="659" priority="212"/>
    <cfRule type="duplicateValues" dxfId="658" priority="213"/>
    <cfRule type="duplicateValues" dxfId="657" priority="214"/>
  </conditionalFormatting>
  <conditionalFormatting sqref="C1:C617 C623:C653 C655:C1048576">
    <cfRule type="duplicateValues" dxfId="656" priority="170"/>
    <cfRule type="duplicateValues" dxfId="655" priority="183"/>
    <cfRule type="duplicateValues" dxfId="654" priority="184"/>
    <cfRule type="duplicateValues" dxfId="653" priority="187"/>
    <cfRule type="duplicateValues" dxfId="652" priority="215"/>
    <cfRule type="duplicateValues" dxfId="651" priority="248"/>
    <cfRule type="duplicateValues" dxfId="650" priority="249"/>
    <cfRule type="duplicateValues" dxfId="649" priority="284"/>
    <cfRule type="duplicateValues" dxfId="648" priority="285"/>
    <cfRule type="duplicateValues" dxfId="647" priority="286"/>
    <cfRule type="duplicateValues" dxfId="646" priority="287"/>
    <cfRule type="duplicateValues" dxfId="645" priority="288"/>
    <cfRule type="duplicateValues" dxfId="644" priority="289"/>
    <cfRule type="duplicateValues" dxfId="643" priority="290"/>
    <cfRule type="duplicateValues" dxfId="642" priority="2891"/>
    <cfRule type="duplicateValues" dxfId="641" priority="2892"/>
    <cfRule type="duplicateValues" dxfId="640" priority="2897"/>
    <cfRule type="duplicateValues" dxfId="639" priority="2900"/>
    <cfRule type="duplicateValues" dxfId="638" priority="2901"/>
    <cfRule type="duplicateValues" dxfId="637" priority="2902"/>
    <cfRule type="duplicateValues" dxfId="636" priority="4005"/>
    <cfRule type="duplicateValues" dxfId="635" priority="4006"/>
    <cfRule type="duplicateValues" dxfId="634" priority="4007"/>
    <cfRule type="duplicateValues" dxfId="633" priority="4022"/>
    <cfRule type="duplicateValues" dxfId="632" priority="4041"/>
    <cfRule type="duplicateValues" dxfId="631" priority="4042"/>
    <cfRule type="duplicateValues" dxfId="630" priority="4043"/>
    <cfRule type="duplicateValues" dxfId="629" priority="4044"/>
    <cfRule type="duplicateValues" dxfId="628" priority="4045"/>
  </conditionalFormatting>
  <conditionalFormatting sqref="C1:C653 C655:C1048576">
    <cfRule type="duplicateValues" dxfId="627" priority="46"/>
  </conditionalFormatting>
  <conditionalFormatting sqref="C1:C1048576">
    <cfRule type="duplicateValues" dxfId="626" priority="1"/>
    <cfRule type="duplicateValues" dxfId="625" priority="41"/>
  </conditionalFormatting>
  <conditionalFormatting sqref="C43">
    <cfRule type="duplicateValues" dxfId="624" priority="352"/>
    <cfRule type="duplicateValues" dxfId="623" priority="353"/>
    <cfRule type="duplicateValues" dxfId="622" priority="354"/>
    <cfRule type="duplicateValues" dxfId="621" priority="355"/>
    <cfRule type="duplicateValues" dxfId="620" priority="356"/>
  </conditionalFormatting>
  <conditionalFormatting sqref="C60:C74">
    <cfRule type="duplicateValues" dxfId="619" priority="8030"/>
  </conditionalFormatting>
  <conditionalFormatting sqref="C60:C255">
    <cfRule type="duplicateValues" dxfId="618" priority="9281"/>
    <cfRule type="duplicateValues" dxfId="617" priority="9282"/>
    <cfRule type="duplicateValues" dxfId="616" priority="9283"/>
    <cfRule type="duplicateValues" dxfId="615" priority="9284"/>
    <cfRule type="duplicateValues" dxfId="614" priority="9285"/>
    <cfRule type="duplicateValues" dxfId="613" priority="9286"/>
  </conditionalFormatting>
  <conditionalFormatting sqref="C259:C266">
    <cfRule type="duplicateValues" dxfId="612" priority="190"/>
    <cfRule type="duplicateValues" dxfId="611" priority="191"/>
    <cfRule type="duplicateValues" dxfId="610" priority="192"/>
  </conditionalFormatting>
  <conditionalFormatting sqref="C404:C617 C623:C653 C655:C1048576">
    <cfRule type="duplicateValues" dxfId="609" priority="1071"/>
    <cfRule type="duplicateValues" dxfId="608" priority="1072"/>
    <cfRule type="duplicateValues" dxfId="607" priority="1085"/>
  </conditionalFormatting>
  <conditionalFormatting sqref="C655 A859 K861">
    <cfRule type="expression" dxfId="606" priority="9648">
      <formula>COUNTIF($L656,"&lt;0")</formula>
    </cfRule>
  </conditionalFormatting>
  <conditionalFormatting sqref="C859:H859 J859">
    <cfRule type="expression" dxfId="605" priority="11281">
      <formula>COUNTIF($L866,"&lt;0")</formula>
    </cfRule>
  </conditionalFormatting>
  <conditionalFormatting sqref="C427:I428 A429:I429 A430:J435 C436:J437 A438:J446 C447:J452 A453:J457 C458:J460 A461:J461 C461:C463 C462:J466 A494:K495 C496:K497 K3:K466 A427:A428 A436:A437 A447:A452 A458:A460 A462:A470 A496:A497">
    <cfRule type="expression" dxfId="604" priority="182">
      <formula>COUNTIF($L3,"&lt;0")</formula>
    </cfRule>
  </conditionalFormatting>
  <conditionalFormatting sqref="C749:I753">
    <cfRule type="expression" dxfId="603" priority="10415">
      <formula>COUNTIF($L754,"&lt;0")</formula>
    </cfRule>
  </conditionalFormatting>
  <conditionalFormatting sqref="C623:J625 B626:J627 C628:J632 B633:J635 C636:J637 B638:J638 C639:J642 B643:J648 B649:I653 B656:I656 B671:J744 C745:J747 C748:I748 C754:I758 C761:J770 B771:J833 B847:J847 C848:J850 C851:H851 B852:H856 B918:J1013 J649:J656 B654:B655 D654:I655 B742:B758 J748:J758 B761:B789 B848:B851 J851:J856 A860 K865 B1014:B1556 D1014:J1556">
    <cfRule type="expression" dxfId="602" priority="9429">
      <formula>COUNTIF($L625,"&lt;0")</formula>
    </cfRule>
  </conditionalFormatting>
  <conditionalFormatting sqref="F1 H1">
    <cfRule type="duplicateValues" dxfId="601" priority="471"/>
  </conditionalFormatting>
  <conditionalFormatting sqref="F1">
    <cfRule type="duplicateValues" dxfId="600" priority="468"/>
    <cfRule type="duplicateValues" dxfId="599" priority="469"/>
    <cfRule type="duplicateValues" dxfId="598" priority="470"/>
  </conditionalFormatting>
  <conditionalFormatting sqref="G1">
    <cfRule type="duplicateValues" dxfId="597" priority="449"/>
    <cfRule type="duplicateValues" dxfId="596" priority="450"/>
    <cfRule type="duplicateValues" dxfId="595" priority="451"/>
    <cfRule type="duplicateValues" dxfId="594" priority="452"/>
  </conditionalFormatting>
  <conditionalFormatting sqref="I1">
    <cfRule type="duplicateValues" dxfId="593" priority="453"/>
    <cfRule type="duplicateValues" dxfId="592" priority="454"/>
    <cfRule type="duplicateValues" dxfId="591" priority="455"/>
    <cfRule type="duplicateValues" dxfId="590" priority="456"/>
  </conditionalFormatting>
  <conditionalFormatting sqref="I851:I860">
    <cfRule type="expression" dxfId="589" priority="2">
      <formula>COUNTIF(#REF!,"&lt;0")</formula>
    </cfRule>
  </conditionalFormatting>
  <conditionalFormatting sqref="J893:J894 J909">
    <cfRule type="expression" dxfId="588" priority="13224">
      <formula>COUNTIF($L909,"&lt;0")</formula>
    </cfRule>
  </conditionalFormatting>
  <conditionalFormatting sqref="J895:J908">
    <cfRule type="expression" dxfId="587" priority="13682">
      <formula>COUNTIF($L913,"&lt;0")</formula>
    </cfRule>
  </conditionalFormatting>
  <conditionalFormatting sqref="K866">
    <cfRule type="expression" dxfId="586" priority="11475">
      <formula>COUNTIF($L905,"&lt;0")</formula>
    </cfRule>
  </conditionalFormatting>
  <conditionalFormatting sqref="K867:K900">
    <cfRule type="expression" dxfId="585" priority="13218">
      <formula>COUNTIF($L917,"&lt;0")</formula>
    </cfRule>
  </conditionalFormatting>
  <conditionalFormatting sqref="K901:K903">
    <cfRule type="expression" dxfId="584" priority="12878">
      <formula>COUNTIF($L950,"&lt;0")</formula>
    </cfRule>
  </conditionalFormatting>
  <conditionalFormatting sqref="K904">
    <cfRule type="expression" dxfId="583" priority="11872">
      <formula>COUNTIF($L919,"&lt;0")</formula>
    </cfRule>
  </conditionalFormatting>
  <conditionalFormatting sqref="K910:K912">
    <cfRule type="expression" dxfId="582" priority="13453">
      <formula>COUNTIF($L919,"&lt;0")</formula>
    </cfRule>
  </conditionalFormatting>
  <conditionalFormatting sqref="K913">
    <cfRule type="expression" dxfId="581" priority="11463">
      <formula>COUNTIF($L919,"&lt;0")</formula>
    </cfRule>
  </conditionalFormatting>
  <conditionalFormatting sqref="O78:O80">
    <cfRule type="duplicateValues" dxfId="580" priority="448"/>
  </conditionalFormatting>
  <conditionalFormatting sqref="O81">
    <cfRule type="duplicateValues" dxfId="579" priority="1111"/>
  </conditionalFormatting>
  <conditionalFormatting sqref="O853:O854 O1:O845 O861:O862 O864:O866 O869 O858 O856 O849 O847 O871:O1048576">
    <cfRule type="duplicateValues" dxfId="578" priority="4"/>
  </conditionalFormatting>
  <conditionalFormatting sqref="S478:S481">
    <cfRule type="expression" dxfId="577" priority="39">
      <formula>COUNTIF($L497,"&lt;0")</formula>
    </cfRule>
  </conditionalFormatting>
  <conditionalFormatting sqref="W2:W146 X2:Y147 S2:V447 W148:Y165 Y166:Y167 W168:Y185 Y186 W187:Y189 Y190 W191:W225 X191:Y257 Z206:AF450 W227:W232 W234:W256 W258:Y268 Y269 W270:Y277 Y278:Y279 W280:Y286 Y287:Y288 W289:W360 X289:Y361 W362:Y367 Y368 W369:W431 X369:Y432 W433:Y451 T448:V451 S448:S453 Z451:AG451 W455:X455 W462:X462">
    <cfRule type="expression" dxfId="576" priority="40">
      <formula>AND(COUNTIF($AF2,"&lt;0"),$Z2&lt;&gt;0)</formula>
    </cfRule>
  </conditionalFormatting>
  <conditionalFormatting sqref="Z2:AG205">
    <cfRule type="expression" dxfId="575" priority="38">
      <formula>AND(COUNTIF($AF2,"&lt;0"),$Z2&lt;&gt;0)</formula>
    </cfRule>
  </conditionalFormatting>
  <conditionalFormatting sqref="AG210">
    <cfRule type="expression" dxfId="574" priority="186">
      <formula>AND(COUNTIF($AF210,"&lt;0"),$Z210&lt;&gt;0)</formula>
    </cfRule>
  </conditionalFormatting>
  <conditionalFormatting sqref="AG215:AG450">
    <cfRule type="expression" dxfId="573" priority="7">
      <formula>AND(COUNTIF($AF215,"&lt;0"),$Z215&lt;&gt;0)</formula>
    </cfRule>
  </conditionalFormatting>
  <conditionalFormatting sqref="AG454">
    <cfRule type="expression" dxfId="572" priority="6">
      <formula>AND(COUNTIF($AF454,"&lt;0"),$Z454&lt;&gt;0)</formula>
    </cfRule>
  </conditionalFormatting>
  <conditionalFormatting sqref="AG465">
    <cfRule type="expression" dxfId="571" priority="5">
      <formula>AND(COUNTIF($AF465,"&lt;0"),$Z465&lt;&gt;0)</formula>
    </cfRule>
  </conditionalFormatting>
  <conditionalFormatting sqref="AJ2:AJ145">
    <cfRule type="expression" dxfId="570" priority="206">
      <formula>COUNTIF($AN2,"&lt;0")</formula>
    </cfRule>
  </conditionalFormatting>
  <conditionalFormatting sqref="AN2:AN145">
    <cfRule type="cellIs" dxfId="569" priority="207" operator="lessThan">
      <formula>0</formula>
    </cfRule>
  </conditionalFormatting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01238-88AD-4D4C-92B6-111113E1E5AC}">
  <dimension ref="A1:I98"/>
  <sheetViews>
    <sheetView zoomScale="70" zoomScaleNormal="70" workbookViewId="0">
      <selection activeCell="N100" sqref="N100"/>
    </sheetView>
  </sheetViews>
  <sheetFormatPr defaultRowHeight="12.5" x14ac:dyDescent="0.25"/>
  <cols>
    <col min="1" max="1" width="11.7265625" bestFit="1" customWidth="1"/>
    <col min="2" max="2" width="7.453125" bestFit="1" customWidth="1"/>
    <col min="3" max="3" width="11.453125" bestFit="1" customWidth="1"/>
    <col min="4" max="4" width="8.54296875" bestFit="1" customWidth="1"/>
    <col min="5" max="5" width="9.26953125" bestFit="1" customWidth="1"/>
    <col min="6" max="6" width="30.453125" bestFit="1" customWidth="1"/>
    <col min="7" max="7" width="10.1796875" bestFit="1" customWidth="1"/>
    <col min="12" max="12" width="18.1796875" bestFit="1" customWidth="1"/>
    <col min="13" max="13" width="12.26953125" bestFit="1" customWidth="1"/>
    <col min="14" max="14" width="27.453125" bestFit="1" customWidth="1"/>
  </cols>
  <sheetData>
    <row r="1" spans="1:7" ht="15" thickBot="1" x14ac:dyDescent="0.3">
      <c r="A1" s="603"/>
    </row>
    <row r="2" spans="1:7" ht="16" thickBot="1" x14ac:dyDescent="0.3">
      <c r="A2" s="717" t="s">
        <v>840</v>
      </c>
      <c r="B2" s="718" t="s">
        <v>2</v>
      </c>
      <c r="C2" s="718" t="s">
        <v>3</v>
      </c>
      <c r="D2" s="718" t="s">
        <v>4</v>
      </c>
      <c r="E2" s="718" t="s">
        <v>5</v>
      </c>
      <c r="F2" s="718" t="s">
        <v>7</v>
      </c>
      <c r="G2" s="718" t="s">
        <v>841</v>
      </c>
    </row>
    <row r="3" spans="1:7" ht="16" thickBot="1" x14ac:dyDescent="0.3">
      <c r="A3" s="719">
        <v>1176639</v>
      </c>
      <c r="B3" s="720" t="s">
        <v>26</v>
      </c>
      <c r="C3" s="720">
        <v>1308</v>
      </c>
      <c r="D3" s="721" t="s">
        <v>145</v>
      </c>
      <c r="E3" s="721" t="s">
        <v>31</v>
      </c>
      <c r="F3" s="720" t="s">
        <v>146</v>
      </c>
      <c r="G3" s="720" t="s">
        <v>842</v>
      </c>
    </row>
    <row r="4" spans="1:7" ht="16" thickBot="1" x14ac:dyDescent="0.3">
      <c r="A4" s="722">
        <v>1162516</v>
      </c>
      <c r="B4" s="721" t="s">
        <v>26</v>
      </c>
      <c r="C4" s="721">
        <v>1308</v>
      </c>
      <c r="D4" s="721" t="s">
        <v>153</v>
      </c>
      <c r="E4" s="721" t="s">
        <v>31</v>
      </c>
      <c r="F4" s="720" t="s">
        <v>146</v>
      </c>
      <c r="G4" s="720" t="s">
        <v>842</v>
      </c>
    </row>
    <row r="5" spans="1:7" ht="16" thickBot="1" x14ac:dyDescent="0.3">
      <c r="A5" s="722">
        <v>1162508</v>
      </c>
      <c r="B5" s="721" t="s">
        <v>26</v>
      </c>
      <c r="C5" s="721">
        <v>1308</v>
      </c>
      <c r="D5" s="721" t="s">
        <v>153</v>
      </c>
      <c r="E5" s="721" t="s">
        <v>31</v>
      </c>
      <c r="F5" s="720" t="s">
        <v>146</v>
      </c>
      <c r="G5" s="720" t="s">
        <v>842</v>
      </c>
    </row>
    <row r="6" spans="1:7" ht="16" thickBot="1" x14ac:dyDescent="0.3">
      <c r="A6" s="127">
        <v>1261319</v>
      </c>
      <c r="B6" s="721" t="s">
        <v>26</v>
      </c>
      <c r="C6" s="721">
        <v>1308</v>
      </c>
      <c r="D6" s="721" t="s">
        <v>145</v>
      </c>
      <c r="E6" s="721" t="s">
        <v>170</v>
      </c>
      <c r="F6" s="720" t="s">
        <v>146</v>
      </c>
      <c r="G6" s="720" t="s">
        <v>842</v>
      </c>
    </row>
    <row r="7" spans="1:7" ht="16" thickBot="1" x14ac:dyDescent="0.3">
      <c r="A7" s="127">
        <v>2002243</v>
      </c>
      <c r="B7" s="721" t="s">
        <v>26</v>
      </c>
      <c r="C7" s="721">
        <v>1308</v>
      </c>
      <c r="D7" s="721" t="s">
        <v>215</v>
      </c>
      <c r="E7" s="721" t="s">
        <v>170</v>
      </c>
      <c r="F7" s="721" t="s">
        <v>146</v>
      </c>
      <c r="G7" s="720" t="s">
        <v>842</v>
      </c>
    </row>
    <row r="8" spans="1:7" ht="16" thickBot="1" x14ac:dyDescent="0.3">
      <c r="A8" s="594">
        <v>2004484</v>
      </c>
      <c r="B8" s="723" t="s">
        <v>26</v>
      </c>
      <c r="C8" s="723">
        <v>1308</v>
      </c>
      <c r="D8" s="723" t="s">
        <v>225</v>
      </c>
      <c r="E8" s="723" t="s">
        <v>170</v>
      </c>
      <c r="F8" s="723" t="s">
        <v>146</v>
      </c>
      <c r="G8" s="723" t="s">
        <v>843</v>
      </c>
    </row>
    <row r="9" spans="1:7" ht="15" thickBot="1" x14ac:dyDescent="0.3">
      <c r="A9" s="603"/>
    </row>
    <row r="10" spans="1:7" ht="16" thickBot="1" x14ac:dyDescent="0.3">
      <c r="A10" s="717" t="s">
        <v>840</v>
      </c>
      <c r="B10" s="718" t="s">
        <v>2</v>
      </c>
      <c r="C10" s="718" t="s">
        <v>3</v>
      </c>
      <c r="D10" s="718" t="s">
        <v>4</v>
      </c>
      <c r="E10" s="718" t="s">
        <v>5</v>
      </c>
      <c r="F10" s="718" t="s">
        <v>7</v>
      </c>
      <c r="G10" s="718" t="s">
        <v>841</v>
      </c>
    </row>
    <row r="11" spans="1:7" ht="16" thickBot="1" x14ac:dyDescent="0.3">
      <c r="A11" s="127">
        <v>1261320</v>
      </c>
      <c r="B11" s="721" t="s">
        <v>26</v>
      </c>
      <c r="C11" s="721">
        <v>1313</v>
      </c>
      <c r="D11" s="721" t="s">
        <v>145</v>
      </c>
      <c r="E11" s="721" t="s">
        <v>170</v>
      </c>
      <c r="F11" s="720" t="s">
        <v>146</v>
      </c>
      <c r="G11" s="720" t="s">
        <v>842</v>
      </c>
    </row>
    <row r="12" spans="1:7" ht="16" thickBot="1" x14ac:dyDescent="0.3">
      <c r="A12" s="130">
        <v>1162285</v>
      </c>
      <c r="B12" s="721" t="s">
        <v>26</v>
      </c>
      <c r="C12" s="720">
        <v>1313</v>
      </c>
      <c r="D12" s="720" t="s">
        <v>153</v>
      </c>
      <c r="E12" s="720" t="s">
        <v>109</v>
      </c>
      <c r="F12" s="721" t="s">
        <v>146</v>
      </c>
      <c r="G12" s="720" t="s">
        <v>842</v>
      </c>
    </row>
    <row r="13" spans="1:7" ht="16" thickBot="1" x14ac:dyDescent="0.3">
      <c r="A13" s="130">
        <v>1255772</v>
      </c>
      <c r="B13" s="721" t="s">
        <v>26</v>
      </c>
      <c r="C13" s="720">
        <v>1313</v>
      </c>
      <c r="D13" s="720" t="s">
        <v>153</v>
      </c>
      <c r="E13" s="720" t="s">
        <v>170</v>
      </c>
      <c r="F13" s="721" t="s">
        <v>146</v>
      </c>
      <c r="G13" s="720" t="s">
        <v>842</v>
      </c>
    </row>
    <row r="14" spans="1:7" ht="16" thickBot="1" x14ac:dyDescent="0.3">
      <c r="A14" s="130">
        <v>2002244</v>
      </c>
      <c r="B14" s="721" t="s">
        <v>26</v>
      </c>
      <c r="C14" s="721">
        <v>1313</v>
      </c>
      <c r="D14" s="721" t="s">
        <v>215</v>
      </c>
      <c r="E14" s="721" t="s">
        <v>234</v>
      </c>
      <c r="F14" s="721" t="s">
        <v>146</v>
      </c>
      <c r="G14" s="720" t="s">
        <v>842</v>
      </c>
    </row>
    <row r="15" spans="1:7" ht="16" thickBot="1" x14ac:dyDescent="0.3">
      <c r="A15" s="130">
        <v>2008253</v>
      </c>
      <c r="B15" s="721" t="s">
        <v>26</v>
      </c>
      <c r="C15" s="721">
        <v>1313</v>
      </c>
      <c r="D15" s="721" t="s">
        <v>225</v>
      </c>
      <c r="E15" s="721" t="s">
        <v>109</v>
      </c>
      <c r="F15" s="721" t="s">
        <v>146</v>
      </c>
      <c r="G15" s="720" t="s">
        <v>842</v>
      </c>
    </row>
    <row r="16" spans="1:7" ht="16" thickBot="1" x14ac:dyDescent="0.3">
      <c r="A16" s="594">
        <v>2002186</v>
      </c>
      <c r="B16" s="723" t="s">
        <v>26</v>
      </c>
      <c r="C16" s="723">
        <v>1313</v>
      </c>
      <c r="D16" s="723" t="s">
        <v>225</v>
      </c>
      <c r="E16" s="723" t="s">
        <v>170</v>
      </c>
      <c r="F16" s="723" t="s">
        <v>146</v>
      </c>
      <c r="G16" s="723" t="s">
        <v>843</v>
      </c>
    </row>
    <row r="17" spans="1:7" ht="14.5" x14ac:dyDescent="0.25">
      <c r="A17" s="603"/>
    </row>
    <row r="18" spans="1:7" ht="15" thickBot="1" x14ac:dyDescent="0.3">
      <c r="A18" s="603"/>
    </row>
    <row r="19" spans="1:7" ht="16" thickBot="1" x14ac:dyDescent="0.3">
      <c r="A19" s="717" t="s">
        <v>840</v>
      </c>
      <c r="B19" s="718" t="s">
        <v>2</v>
      </c>
      <c r="C19" s="718" t="s">
        <v>3</v>
      </c>
      <c r="D19" s="718" t="s">
        <v>4</v>
      </c>
      <c r="E19" s="718" t="s">
        <v>5</v>
      </c>
      <c r="F19" s="718" t="s">
        <v>7</v>
      </c>
      <c r="G19" s="718" t="s">
        <v>841</v>
      </c>
    </row>
    <row r="20" spans="1:7" ht="16" thickBot="1" x14ac:dyDescent="0.3">
      <c r="A20" s="722">
        <v>1176641</v>
      </c>
      <c r="B20" s="721" t="s">
        <v>26</v>
      </c>
      <c r="C20" s="721">
        <v>1613</v>
      </c>
      <c r="D20" s="721" t="s">
        <v>145</v>
      </c>
      <c r="E20" s="721" t="s">
        <v>31</v>
      </c>
      <c r="F20" s="720" t="s">
        <v>146</v>
      </c>
      <c r="G20" s="720" t="s">
        <v>842</v>
      </c>
    </row>
    <row r="21" spans="1:7" ht="16" thickBot="1" x14ac:dyDescent="0.3">
      <c r="A21" s="127">
        <v>1255773</v>
      </c>
      <c r="B21" s="721" t="s">
        <v>26</v>
      </c>
      <c r="C21" s="721">
        <v>1613</v>
      </c>
      <c r="D21" s="721" t="s">
        <v>153</v>
      </c>
      <c r="E21" s="721" t="s">
        <v>170</v>
      </c>
      <c r="F21" s="721" t="s">
        <v>146</v>
      </c>
      <c r="G21" s="720" t="s">
        <v>842</v>
      </c>
    </row>
    <row r="22" spans="1:7" ht="16" thickBot="1" x14ac:dyDescent="0.3">
      <c r="A22" s="127">
        <v>1261321</v>
      </c>
      <c r="B22" s="721" t="s">
        <v>26</v>
      </c>
      <c r="C22" s="721">
        <v>1613</v>
      </c>
      <c r="D22" s="721" t="s">
        <v>145</v>
      </c>
      <c r="E22" s="721" t="s">
        <v>170</v>
      </c>
      <c r="F22" s="720" t="s">
        <v>146</v>
      </c>
      <c r="G22" s="720" t="s">
        <v>842</v>
      </c>
    </row>
    <row r="23" spans="1:7" ht="16" thickBot="1" x14ac:dyDescent="0.3">
      <c r="A23" s="130">
        <v>2002245</v>
      </c>
      <c r="B23" s="721" t="s">
        <v>26</v>
      </c>
      <c r="C23" s="721">
        <v>1613</v>
      </c>
      <c r="D23" s="721" t="s">
        <v>215</v>
      </c>
      <c r="E23" s="721" t="s">
        <v>170</v>
      </c>
      <c r="F23" s="721" t="s">
        <v>146</v>
      </c>
      <c r="G23" s="720" t="s">
        <v>842</v>
      </c>
    </row>
    <row r="24" spans="1:7" ht="16" thickBot="1" x14ac:dyDescent="0.3">
      <c r="A24" s="594">
        <v>2002299</v>
      </c>
      <c r="B24" s="723" t="s">
        <v>26</v>
      </c>
      <c r="C24" s="723">
        <v>1613</v>
      </c>
      <c r="D24" s="723" t="s">
        <v>225</v>
      </c>
      <c r="E24" s="723" t="s">
        <v>170</v>
      </c>
      <c r="F24" s="723" t="s">
        <v>146</v>
      </c>
      <c r="G24" s="723" t="s">
        <v>843</v>
      </c>
    </row>
    <row r="25" spans="1:7" ht="15" thickBot="1" x14ac:dyDescent="0.3">
      <c r="A25" s="603"/>
    </row>
    <row r="26" spans="1:7" ht="16" thickBot="1" x14ac:dyDescent="0.3">
      <c r="A26" s="717" t="s">
        <v>840</v>
      </c>
      <c r="B26" s="718" t="s">
        <v>2</v>
      </c>
      <c r="C26" s="718" t="s">
        <v>3</v>
      </c>
      <c r="D26" s="718" t="s">
        <v>4</v>
      </c>
      <c r="E26" s="718" t="s">
        <v>5</v>
      </c>
      <c r="F26" s="718" t="s">
        <v>7</v>
      </c>
      <c r="G26" s="718" t="s">
        <v>841</v>
      </c>
    </row>
    <row r="27" spans="1:7" ht="16" thickBot="1" x14ac:dyDescent="0.3">
      <c r="A27" s="127">
        <v>1141583</v>
      </c>
      <c r="B27" s="721" t="s">
        <v>26</v>
      </c>
      <c r="C27" s="128">
        <v>1613</v>
      </c>
      <c r="D27" s="721" t="s">
        <v>178</v>
      </c>
      <c r="E27" s="721" t="s">
        <v>109</v>
      </c>
      <c r="F27" s="720" t="s">
        <v>161</v>
      </c>
      <c r="G27" s="720" t="s">
        <v>842</v>
      </c>
    </row>
    <row r="28" spans="1:7" ht="16" thickBot="1" x14ac:dyDescent="0.3">
      <c r="A28" s="127">
        <v>1112229</v>
      </c>
      <c r="B28" s="721" t="s">
        <v>26</v>
      </c>
      <c r="C28" s="721">
        <v>1613</v>
      </c>
      <c r="D28" s="721" t="s">
        <v>178</v>
      </c>
      <c r="E28" s="721" t="s">
        <v>31</v>
      </c>
      <c r="F28" s="720" t="s">
        <v>161</v>
      </c>
      <c r="G28" s="720" t="s">
        <v>842</v>
      </c>
    </row>
    <row r="29" spans="1:7" ht="16" thickBot="1" x14ac:dyDescent="0.3">
      <c r="A29" s="127">
        <v>1175118</v>
      </c>
      <c r="B29" s="721" t="s">
        <v>26</v>
      </c>
      <c r="C29" s="721">
        <v>1613</v>
      </c>
      <c r="D29" s="721" t="s">
        <v>178</v>
      </c>
      <c r="E29" s="721" t="s">
        <v>177</v>
      </c>
      <c r="F29" s="720" t="s">
        <v>161</v>
      </c>
      <c r="G29" s="720" t="s">
        <v>842</v>
      </c>
    </row>
    <row r="30" spans="1:7" ht="16" thickBot="1" x14ac:dyDescent="0.3">
      <c r="A30" s="127">
        <v>1263281</v>
      </c>
      <c r="B30" s="721" t="s">
        <v>26</v>
      </c>
      <c r="C30" s="721">
        <v>1613</v>
      </c>
      <c r="D30" s="721" t="s">
        <v>178</v>
      </c>
      <c r="E30" s="721" t="s">
        <v>170</v>
      </c>
      <c r="F30" s="720" t="s">
        <v>161</v>
      </c>
      <c r="G30" s="720" t="s">
        <v>842</v>
      </c>
    </row>
    <row r="31" spans="1:7" ht="16" thickBot="1" x14ac:dyDescent="0.3">
      <c r="A31" s="127">
        <v>1271790</v>
      </c>
      <c r="B31" s="721" t="s">
        <v>26</v>
      </c>
      <c r="C31" s="721">
        <v>1613</v>
      </c>
      <c r="D31" s="721" t="s">
        <v>195</v>
      </c>
      <c r="E31" s="721" t="s">
        <v>177</v>
      </c>
      <c r="F31" s="720" t="s">
        <v>161</v>
      </c>
      <c r="G31" s="720" t="s">
        <v>842</v>
      </c>
    </row>
    <row r="32" spans="1:7" ht="16" thickBot="1" x14ac:dyDescent="0.3">
      <c r="A32" s="594">
        <v>1288783</v>
      </c>
      <c r="B32" s="723" t="s">
        <v>26</v>
      </c>
      <c r="C32" s="723">
        <v>1613</v>
      </c>
      <c r="D32" s="723" t="s">
        <v>214</v>
      </c>
      <c r="E32" s="723" t="s">
        <v>177</v>
      </c>
      <c r="F32" s="723" t="s">
        <v>161</v>
      </c>
      <c r="G32" s="723" t="s">
        <v>843</v>
      </c>
    </row>
    <row r="33" spans="1:9" ht="14.5" x14ac:dyDescent="0.25">
      <c r="A33" s="603"/>
    </row>
    <row r="34" spans="1:9" ht="15" thickBot="1" x14ac:dyDescent="0.3">
      <c r="A34" s="603"/>
    </row>
    <row r="35" spans="1:9" ht="16" thickBot="1" x14ac:dyDescent="0.3">
      <c r="A35" s="717" t="s">
        <v>840</v>
      </c>
      <c r="B35" s="718" t="s">
        <v>2</v>
      </c>
      <c r="C35" s="718" t="s">
        <v>3</v>
      </c>
      <c r="D35" s="718" t="s">
        <v>4</v>
      </c>
      <c r="E35" s="718" t="s">
        <v>5</v>
      </c>
      <c r="F35" s="718" t="s">
        <v>7</v>
      </c>
      <c r="G35" s="718" t="s">
        <v>841</v>
      </c>
    </row>
    <row r="36" spans="1:9" ht="16" thickBot="1" x14ac:dyDescent="0.3">
      <c r="A36" s="127">
        <v>1233855</v>
      </c>
      <c r="B36" s="721" t="s">
        <v>26</v>
      </c>
      <c r="C36" s="128">
        <v>1613</v>
      </c>
      <c r="D36" s="721" t="s">
        <v>168</v>
      </c>
      <c r="E36" s="721" t="s">
        <v>109</v>
      </c>
      <c r="F36" s="720" t="s">
        <v>169</v>
      </c>
      <c r="G36" s="720" t="s">
        <v>842</v>
      </c>
    </row>
    <row r="37" spans="1:9" ht="16" thickBot="1" x14ac:dyDescent="0.3">
      <c r="A37" s="127">
        <v>1231982</v>
      </c>
      <c r="B37" s="721" t="s">
        <v>26</v>
      </c>
      <c r="C37" s="721">
        <v>1613</v>
      </c>
      <c r="D37" s="721" t="s">
        <v>193</v>
      </c>
      <c r="E37" s="721" t="s">
        <v>109</v>
      </c>
      <c r="F37" s="720" t="s">
        <v>169</v>
      </c>
      <c r="G37" s="720" t="s">
        <v>842</v>
      </c>
    </row>
    <row r="38" spans="1:9" ht="16" thickBot="1" x14ac:dyDescent="0.3">
      <c r="A38" s="127">
        <v>1263929</v>
      </c>
      <c r="B38" s="721" t="s">
        <v>26</v>
      </c>
      <c r="C38" s="721">
        <v>1613</v>
      </c>
      <c r="D38" s="721" t="s">
        <v>212</v>
      </c>
      <c r="E38" s="721" t="s">
        <v>177</v>
      </c>
      <c r="F38" s="721" t="s">
        <v>169</v>
      </c>
      <c r="G38" s="720" t="s">
        <v>842</v>
      </c>
    </row>
    <row r="39" spans="1:9" ht="16" thickBot="1" x14ac:dyDescent="0.3">
      <c r="A39" s="127">
        <v>2002235</v>
      </c>
      <c r="B39" s="721" t="s">
        <v>26</v>
      </c>
      <c r="C39" s="721">
        <v>1613</v>
      </c>
      <c r="D39" s="721" t="s">
        <v>221</v>
      </c>
      <c r="E39" s="721" t="s">
        <v>177</v>
      </c>
      <c r="F39" s="721" t="s">
        <v>169</v>
      </c>
      <c r="G39" s="720" t="s">
        <v>842</v>
      </c>
    </row>
    <row r="40" spans="1:9" ht="16" thickBot="1" x14ac:dyDescent="0.3">
      <c r="A40" s="130">
        <v>1274176</v>
      </c>
      <c r="B40" s="721" t="s">
        <v>26</v>
      </c>
      <c r="C40" s="721">
        <v>1613</v>
      </c>
      <c r="D40" s="721" t="s">
        <v>228</v>
      </c>
      <c r="E40" s="721" t="s">
        <v>177</v>
      </c>
      <c r="F40" s="721" t="s">
        <v>169</v>
      </c>
      <c r="G40" s="720" t="s">
        <v>842</v>
      </c>
    </row>
    <row r="41" spans="1:9" ht="16" thickBot="1" x14ac:dyDescent="0.3">
      <c r="A41" s="130">
        <v>2002126</v>
      </c>
      <c r="B41" s="721" t="s">
        <v>26</v>
      </c>
      <c r="C41" s="721">
        <v>1613</v>
      </c>
      <c r="D41" s="721" t="s">
        <v>235</v>
      </c>
      <c r="E41" s="721" t="s">
        <v>170</v>
      </c>
      <c r="F41" s="721" t="s">
        <v>169</v>
      </c>
      <c r="G41" s="720" t="s">
        <v>842</v>
      </c>
    </row>
    <row r="42" spans="1:9" ht="16" thickBot="1" x14ac:dyDescent="0.3">
      <c r="A42" s="594">
        <v>1291870</v>
      </c>
      <c r="B42" s="723" t="s">
        <v>26</v>
      </c>
      <c r="C42" s="723">
        <v>1613</v>
      </c>
      <c r="D42" s="723" t="s">
        <v>235</v>
      </c>
      <c r="E42" s="723" t="s">
        <v>177</v>
      </c>
      <c r="F42" s="723" t="s">
        <v>169</v>
      </c>
      <c r="G42" s="723" t="s">
        <v>843</v>
      </c>
    </row>
    <row r="43" spans="1:9" ht="15" thickBot="1" x14ac:dyDescent="0.3">
      <c r="A43" s="603"/>
    </row>
    <row r="44" spans="1:9" ht="16" thickBot="1" x14ac:dyDescent="0.3">
      <c r="A44" s="717" t="s">
        <v>840</v>
      </c>
      <c r="B44" s="718" t="s">
        <v>2</v>
      </c>
      <c r="C44" s="718" t="s">
        <v>3</v>
      </c>
      <c r="D44" s="718" t="s">
        <v>4</v>
      </c>
      <c r="E44" s="718" t="s">
        <v>5</v>
      </c>
      <c r="F44" s="718" t="s">
        <v>7</v>
      </c>
      <c r="G44" s="718" t="s">
        <v>841</v>
      </c>
    </row>
    <row r="45" spans="1:9" ht="16" thickBot="1" x14ac:dyDescent="0.3">
      <c r="A45" s="127">
        <v>1219562</v>
      </c>
      <c r="B45" s="721" t="s">
        <v>172</v>
      </c>
      <c r="C45" s="128">
        <v>1613</v>
      </c>
      <c r="D45" s="721" t="s">
        <v>174</v>
      </c>
      <c r="E45" s="721" t="s">
        <v>109</v>
      </c>
      <c r="F45" s="720" t="s">
        <v>161</v>
      </c>
      <c r="G45" s="720" t="s">
        <v>842</v>
      </c>
    </row>
    <row r="46" spans="1:9" ht="16" thickBot="1" x14ac:dyDescent="0.3">
      <c r="A46" s="127">
        <v>1263823</v>
      </c>
      <c r="B46" s="721" t="s">
        <v>172</v>
      </c>
      <c r="C46" s="721">
        <v>1613</v>
      </c>
      <c r="D46" s="721" t="s">
        <v>210</v>
      </c>
      <c r="E46" s="721" t="s">
        <v>109</v>
      </c>
      <c r="F46" s="721" t="s">
        <v>161</v>
      </c>
      <c r="G46" s="720" t="s">
        <v>842</v>
      </c>
    </row>
    <row r="47" spans="1:9" ht="16" thickBot="1" x14ac:dyDescent="0.3">
      <c r="A47" s="127">
        <v>1296685</v>
      </c>
      <c r="B47" s="721" t="s">
        <v>172</v>
      </c>
      <c r="C47" s="721">
        <v>1613</v>
      </c>
      <c r="D47" s="721" t="s">
        <v>218</v>
      </c>
      <c r="E47" s="721" t="s">
        <v>109</v>
      </c>
      <c r="F47" s="721" t="s">
        <v>161</v>
      </c>
      <c r="G47" s="720" t="s">
        <v>842</v>
      </c>
    </row>
    <row r="48" spans="1:9" ht="26.5" thickBot="1" x14ac:dyDescent="0.3">
      <c r="A48" s="594">
        <v>2022731</v>
      </c>
      <c r="B48" s="723" t="s">
        <v>172</v>
      </c>
      <c r="C48" s="723">
        <v>1613</v>
      </c>
      <c r="D48" s="723" t="s">
        <v>218</v>
      </c>
      <c r="E48" s="723" t="s">
        <v>170</v>
      </c>
      <c r="F48" s="723" t="s">
        <v>161</v>
      </c>
      <c r="G48" s="723" t="s">
        <v>843</v>
      </c>
      <c r="I48" s="730" t="s">
        <v>844</v>
      </c>
    </row>
    <row r="49" spans="1:7" ht="14.5" x14ac:dyDescent="0.25">
      <c r="A49" s="603"/>
    </row>
    <row r="50" spans="1:7" ht="15" thickBot="1" x14ac:dyDescent="0.3">
      <c r="A50" s="603"/>
    </row>
    <row r="51" spans="1:7" ht="16" thickBot="1" x14ac:dyDescent="0.3">
      <c r="A51" s="717" t="s">
        <v>840</v>
      </c>
      <c r="B51" s="718" t="s">
        <v>2</v>
      </c>
      <c r="C51" s="718" t="s">
        <v>3</v>
      </c>
      <c r="D51" s="718" t="s">
        <v>4</v>
      </c>
      <c r="E51" s="718" t="s">
        <v>5</v>
      </c>
      <c r="F51" s="718" t="s">
        <v>7</v>
      </c>
      <c r="G51" s="718" t="s">
        <v>841</v>
      </c>
    </row>
    <row r="52" spans="1:7" ht="16" thickBot="1" x14ac:dyDescent="0.3">
      <c r="A52" s="127">
        <v>1235963</v>
      </c>
      <c r="B52" s="721" t="s">
        <v>172</v>
      </c>
      <c r="C52" s="128">
        <v>1613</v>
      </c>
      <c r="D52" s="721" t="s">
        <v>173</v>
      </c>
      <c r="E52" s="721" t="s">
        <v>109</v>
      </c>
      <c r="F52" s="720" t="s">
        <v>169</v>
      </c>
      <c r="G52" s="720" t="s">
        <v>842</v>
      </c>
    </row>
    <row r="53" spans="1:7" ht="16" thickBot="1" x14ac:dyDescent="0.3">
      <c r="A53" s="127">
        <v>1234679</v>
      </c>
      <c r="B53" s="721" t="s">
        <v>172</v>
      </c>
      <c r="C53" s="632">
        <v>1613</v>
      </c>
      <c r="D53" s="724" t="s">
        <v>176</v>
      </c>
      <c r="E53" s="725" t="s">
        <v>109</v>
      </c>
      <c r="F53" s="720" t="s">
        <v>169</v>
      </c>
      <c r="G53" s="720" t="s">
        <v>842</v>
      </c>
    </row>
    <row r="54" spans="1:7" ht="16" thickBot="1" x14ac:dyDescent="0.3">
      <c r="A54" s="127">
        <v>1261615</v>
      </c>
      <c r="B54" s="721" t="s">
        <v>172</v>
      </c>
      <c r="C54" s="721">
        <v>1613</v>
      </c>
      <c r="D54" s="721" t="s">
        <v>202</v>
      </c>
      <c r="E54" s="721" t="s">
        <v>109</v>
      </c>
      <c r="F54" s="721" t="s">
        <v>169</v>
      </c>
      <c r="G54" s="720" t="s">
        <v>842</v>
      </c>
    </row>
    <row r="55" spans="1:7" ht="16" thickBot="1" x14ac:dyDescent="0.3">
      <c r="A55" s="127">
        <v>1290837</v>
      </c>
      <c r="B55" s="721" t="s">
        <v>172</v>
      </c>
      <c r="C55" s="721">
        <v>1613</v>
      </c>
      <c r="D55" s="721" t="s">
        <v>219</v>
      </c>
      <c r="E55" s="721" t="s">
        <v>109</v>
      </c>
      <c r="F55" s="721" t="s">
        <v>169</v>
      </c>
      <c r="G55" s="720" t="s">
        <v>842</v>
      </c>
    </row>
    <row r="56" spans="1:7" ht="16" thickBot="1" x14ac:dyDescent="0.3">
      <c r="A56" s="594">
        <v>1291852</v>
      </c>
      <c r="B56" s="723" t="s">
        <v>172</v>
      </c>
      <c r="C56" s="723" t="s">
        <v>236</v>
      </c>
      <c r="D56" s="723" t="s">
        <v>237</v>
      </c>
      <c r="E56" s="723" t="s">
        <v>109</v>
      </c>
      <c r="F56" s="723" t="s">
        <v>169</v>
      </c>
      <c r="G56" s="723" t="s">
        <v>843</v>
      </c>
    </row>
    <row r="57" spans="1:7" ht="14.5" x14ac:dyDescent="0.25">
      <c r="A57" s="603"/>
    </row>
    <row r="58" spans="1:7" ht="14.5" x14ac:dyDescent="0.25">
      <c r="A58" s="603"/>
    </row>
    <row r="59" spans="1:7" ht="15" thickBot="1" x14ac:dyDescent="0.3">
      <c r="A59" s="603"/>
    </row>
    <row r="60" spans="1:7" ht="16" thickBot="1" x14ac:dyDescent="0.3">
      <c r="A60" s="717" t="s">
        <v>840</v>
      </c>
      <c r="B60" s="718" t="s">
        <v>2</v>
      </c>
      <c r="C60" s="718" t="s">
        <v>3</v>
      </c>
      <c r="D60" s="718" t="s">
        <v>4</v>
      </c>
      <c r="E60" s="718" t="s">
        <v>5</v>
      </c>
      <c r="F60" s="718" t="s">
        <v>7</v>
      </c>
      <c r="G60" s="718" t="s">
        <v>841</v>
      </c>
    </row>
    <row r="61" spans="1:7" ht="16" thickBot="1" x14ac:dyDescent="0.3">
      <c r="A61" s="719">
        <v>467367</v>
      </c>
      <c r="B61" s="720" t="s">
        <v>26</v>
      </c>
      <c r="C61" s="720">
        <v>1613</v>
      </c>
      <c r="D61" s="720" t="s">
        <v>48</v>
      </c>
      <c r="E61" s="720" t="s">
        <v>31</v>
      </c>
      <c r="F61" s="720" t="s">
        <v>49</v>
      </c>
      <c r="G61" s="720" t="s">
        <v>842</v>
      </c>
    </row>
    <row r="62" spans="1:7" ht="16" thickBot="1" x14ac:dyDescent="0.3">
      <c r="A62" s="719">
        <v>638561</v>
      </c>
      <c r="B62" s="720" t="s">
        <v>26</v>
      </c>
      <c r="C62" s="720">
        <v>1613</v>
      </c>
      <c r="D62" s="720" t="s">
        <v>61</v>
      </c>
      <c r="E62" s="720" t="s">
        <v>31</v>
      </c>
      <c r="F62" s="720" t="s">
        <v>49</v>
      </c>
      <c r="G62" s="720" t="s">
        <v>842</v>
      </c>
    </row>
    <row r="63" spans="1:7" ht="16" thickBot="1" x14ac:dyDescent="0.3">
      <c r="A63" s="726">
        <v>729691</v>
      </c>
      <c r="B63" s="720" t="s">
        <v>26</v>
      </c>
      <c r="C63" s="720">
        <v>1613</v>
      </c>
      <c r="D63" s="720" t="s">
        <v>62</v>
      </c>
      <c r="E63" s="720" t="s">
        <v>31</v>
      </c>
      <c r="F63" s="720" t="s">
        <v>49</v>
      </c>
      <c r="G63" s="720" t="s">
        <v>842</v>
      </c>
    </row>
    <row r="64" spans="1:7" ht="16" thickBot="1" x14ac:dyDescent="0.3">
      <c r="A64" s="719">
        <v>1039060</v>
      </c>
      <c r="B64" s="720" t="s">
        <v>26</v>
      </c>
      <c r="C64" s="720">
        <v>1613</v>
      </c>
      <c r="D64" s="720" t="s">
        <v>88</v>
      </c>
      <c r="E64" s="720" t="s">
        <v>31</v>
      </c>
      <c r="F64" s="720" t="s">
        <v>49</v>
      </c>
      <c r="G64" s="720" t="s">
        <v>842</v>
      </c>
    </row>
    <row r="65" spans="1:7" ht="16" thickBot="1" x14ac:dyDescent="0.3">
      <c r="A65" s="719">
        <v>983150</v>
      </c>
      <c r="B65" s="720" t="s">
        <v>26</v>
      </c>
      <c r="C65" s="720">
        <v>1613</v>
      </c>
      <c r="D65" s="720" t="s">
        <v>79</v>
      </c>
      <c r="E65" s="720" t="s">
        <v>31</v>
      </c>
      <c r="F65" s="720" t="s">
        <v>49</v>
      </c>
      <c r="G65" s="720" t="s">
        <v>842</v>
      </c>
    </row>
    <row r="66" spans="1:7" ht="16" thickBot="1" x14ac:dyDescent="0.3">
      <c r="A66" s="719">
        <v>853551</v>
      </c>
      <c r="B66" s="720" t="s">
        <v>26</v>
      </c>
      <c r="C66" s="720">
        <v>1613</v>
      </c>
      <c r="D66" s="720" t="s">
        <v>92</v>
      </c>
      <c r="E66" s="720" t="s">
        <v>31</v>
      </c>
      <c r="F66" s="720" t="s">
        <v>49</v>
      </c>
      <c r="G66" s="720" t="s">
        <v>842</v>
      </c>
    </row>
    <row r="67" spans="1:7" ht="16" thickBot="1" x14ac:dyDescent="0.3">
      <c r="A67" s="719">
        <v>1130198</v>
      </c>
      <c r="B67" s="720" t="s">
        <v>26</v>
      </c>
      <c r="C67" s="720">
        <v>1613</v>
      </c>
      <c r="D67" s="720" t="s">
        <v>114</v>
      </c>
      <c r="E67" s="720" t="s">
        <v>31</v>
      </c>
      <c r="F67" s="720" t="s">
        <v>49</v>
      </c>
      <c r="G67" s="720" t="s">
        <v>842</v>
      </c>
    </row>
    <row r="68" spans="1:7" ht="16" thickBot="1" x14ac:dyDescent="0.3">
      <c r="A68" s="719">
        <v>1014941</v>
      </c>
      <c r="B68" s="720" t="s">
        <v>26</v>
      </c>
      <c r="C68" s="720">
        <v>1613</v>
      </c>
      <c r="D68" s="720" t="s">
        <v>91</v>
      </c>
      <c r="E68" s="720" t="s">
        <v>31</v>
      </c>
      <c r="F68" s="720" t="s">
        <v>49</v>
      </c>
      <c r="G68" s="720" t="s">
        <v>842</v>
      </c>
    </row>
    <row r="69" spans="1:7" ht="16" thickBot="1" x14ac:dyDescent="0.3">
      <c r="A69" s="719">
        <v>1100755</v>
      </c>
      <c r="B69" s="720" t="s">
        <v>26</v>
      </c>
      <c r="C69" s="720">
        <v>1613</v>
      </c>
      <c r="D69" s="720" t="s">
        <v>133</v>
      </c>
      <c r="E69" s="720" t="s">
        <v>31</v>
      </c>
      <c r="F69" s="720" t="s">
        <v>49</v>
      </c>
      <c r="G69" s="720" t="s">
        <v>842</v>
      </c>
    </row>
    <row r="70" spans="1:7" ht="16" thickBot="1" x14ac:dyDescent="0.3">
      <c r="A70" s="722">
        <v>1163820</v>
      </c>
      <c r="B70" s="721" t="s">
        <v>26</v>
      </c>
      <c r="C70" s="721">
        <v>1613</v>
      </c>
      <c r="D70" s="721" t="s">
        <v>154</v>
      </c>
      <c r="E70" s="721" t="s">
        <v>31</v>
      </c>
      <c r="F70" s="720" t="s">
        <v>49</v>
      </c>
      <c r="G70" s="720" t="s">
        <v>842</v>
      </c>
    </row>
    <row r="71" spans="1:7" ht="16" thickBot="1" x14ac:dyDescent="0.3">
      <c r="A71" s="722">
        <v>1199265</v>
      </c>
      <c r="B71" s="721" t="s">
        <v>26</v>
      </c>
      <c r="C71" s="721">
        <v>1613</v>
      </c>
      <c r="D71" s="721" t="s">
        <v>139</v>
      </c>
      <c r="E71" s="721" t="s">
        <v>31</v>
      </c>
      <c r="F71" s="720" t="s">
        <v>49</v>
      </c>
      <c r="G71" s="720" t="s">
        <v>842</v>
      </c>
    </row>
    <row r="72" spans="1:7" ht="16" thickBot="1" x14ac:dyDescent="0.3">
      <c r="A72" s="127">
        <v>1165786</v>
      </c>
      <c r="B72" s="721" t="s">
        <v>26</v>
      </c>
      <c r="C72" s="128">
        <v>1613</v>
      </c>
      <c r="D72" s="721" t="s">
        <v>297</v>
      </c>
      <c r="E72" s="721" t="s">
        <v>31</v>
      </c>
      <c r="F72" s="720" t="s">
        <v>49</v>
      </c>
      <c r="G72" s="720" t="s">
        <v>842</v>
      </c>
    </row>
    <row r="73" spans="1:7" ht="16" thickBot="1" x14ac:dyDescent="0.3">
      <c r="A73" s="127">
        <v>1168064</v>
      </c>
      <c r="B73" s="721" t="s">
        <v>26</v>
      </c>
      <c r="C73" s="721">
        <v>1613</v>
      </c>
      <c r="D73" s="721" t="s">
        <v>297</v>
      </c>
      <c r="E73" s="721" t="s">
        <v>177</v>
      </c>
      <c r="F73" s="721" t="s">
        <v>49</v>
      </c>
      <c r="G73" s="720" t="s">
        <v>842</v>
      </c>
    </row>
    <row r="74" spans="1:7" ht="16" thickBot="1" x14ac:dyDescent="0.3">
      <c r="A74" s="127">
        <v>1288721</v>
      </c>
      <c r="B74" s="721" t="s">
        <v>26</v>
      </c>
      <c r="C74" s="721">
        <v>1613</v>
      </c>
      <c r="D74" s="721" t="s">
        <v>211</v>
      </c>
      <c r="E74" s="721" t="s">
        <v>177</v>
      </c>
      <c r="F74" s="721" t="s">
        <v>49</v>
      </c>
      <c r="G74" s="720" t="s">
        <v>842</v>
      </c>
    </row>
    <row r="75" spans="1:7" ht="16" thickBot="1" x14ac:dyDescent="0.3">
      <c r="A75" s="594">
        <v>1126402</v>
      </c>
      <c r="B75" s="723" t="s">
        <v>26</v>
      </c>
      <c r="C75" s="723">
        <v>1613</v>
      </c>
      <c r="D75" s="723" t="s">
        <v>133</v>
      </c>
      <c r="E75" s="723" t="s">
        <v>177</v>
      </c>
      <c r="F75" s="723" t="s">
        <v>49</v>
      </c>
      <c r="G75" s="723" t="s">
        <v>843</v>
      </c>
    </row>
    <row r="76" spans="1:7" ht="14.5" x14ac:dyDescent="0.25">
      <c r="A76" s="603"/>
    </row>
    <row r="77" spans="1:7" ht="15" thickBot="1" x14ac:dyDescent="0.3">
      <c r="A77" s="603"/>
    </row>
    <row r="78" spans="1:7" ht="16" thickBot="1" x14ac:dyDescent="0.3">
      <c r="A78" s="717" t="s">
        <v>840</v>
      </c>
      <c r="B78" s="718" t="s">
        <v>2</v>
      </c>
      <c r="C78" s="718" t="s">
        <v>3</v>
      </c>
      <c r="D78" s="718" t="s">
        <v>4</v>
      </c>
      <c r="E78" s="718" t="s">
        <v>5</v>
      </c>
      <c r="F78" s="718" t="s">
        <v>7</v>
      </c>
      <c r="G78" s="718" t="s">
        <v>841</v>
      </c>
    </row>
    <row r="79" spans="1:7" ht="16" thickBot="1" x14ac:dyDescent="0.3">
      <c r="A79" s="719">
        <v>1100741</v>
      </c>
      <c r="B79" s="720" t="s">
        <v>26</v>
      </c>
      <c r="C79" s="720">
        <v>1613</v>
      </c>
      <c r="D79" s="720" t="s">
        <v>111</v>
      </c>
      <c r="E79" s="720" t="s">
        <v>31</v>
      </c>
      <c r="F79" s="720" t="s">
        <v>49</v>
      </c>
      <c r="G79" s="720" t="s">
        <v>842</v>
      </c>
    </row>
    <row r="80" spans="1:7" ht="16" thickBot="1" x14ac:dyDescent="0.3">
      <c r="A80" s="594">
        <v>1146737</v>
      </c>
      <c r="B80" s="723" t="s">
        <v>26</v>
      </c>
      <c r="C80" s="595">
        <v>1613</v>
      </c>
      <c r="D80" s="723" t="s">
        <v>111</v>
      </c>
      <c r="E80" s="723" t="s">
        <v>177</v>
      </c>
      <c r="F80" s="723" t="s">
        <v>49</v>
      </c>
      <c r="G80" s="723" t="s">
        <v>843</v>
      </c>
    </row>
    <row r="81" spans="1:9" ht="15" thickBot="1" x14ac:dyDescent="0.3">
      <c r="A81" s="603"/>
    </row>
    <row r="82" spans="1:9" ht="16" thickBot="1" x14ac:dyDescent="0.3">
      <c r="A82" s="717" t="s">
        <v>840</v>
      </c>
      <c r="B82" s="718" t="s">
        <v>2</v>
      </c>
      <c r="C82" s="718" t="s">
        <v>3</v>
      </c>
      <c r="D82" s="718" t="s">
        <v>4</v>
      </c>
      <c r="E82" s="718" t="s">
        <v>5</v>
      </c>
      <c r="F82" s="718" t="s">
        <v>7</v>
      </c>
      <c r="G82" s="718" t="s">
        <v>841</v>
      </c>
    </row>
    <row r="83" spans="1:9" ht="16" thickBot="1" x14ac:dyDescent="0.3">
      <c r="A83" s="719">
        <v>643435</v>
      </c>
      <c r="B83" s="720" t="s">
        <v>26</v>
      </c>
      <c r="C83" s="720">
        <v>1913</v>
      </c>
      <c r="D83" s="720" t="s">
        <v>61</v>
      </c>
      <c r="E83" s="720" t="s">
        <v>31</v>
      </c>
      <c r="F83" s="720" t="s">
        <v>49</v>
      </c>
      <c r="G83" s="720" t="s">
        <v>842</v>
      </c>
    </row>
    <row r="84" spans="1:9" ht="16" thickBot="1" x14ac:dyDescent="0.3">
      <c r="A84" s="719">
        <v>745576</v>
      </c>
      <c r="B84" s="720" t="s">
        <v>26</v>
      </c>
      <c r="C84" s="720">
        <v>1913</v>
      </c>
      <c r="D84" s="720" t="s">
        <v>62</v>
      </c>
      <c r="E84" s="720" t="s">
        <v>31</v>
      </c>
      <c r="F84" s="720" t="s">
        <v>49</v>
      </c>
      <c r="G84" s="720" t="s">
        <v>842</v>
      </c>
    </row>
    <row r="85" spans="1:9" ht="16" thickBot="1" x14ac:dyDescent="0.3">
      <c r="A85" s="719">
        <v>794672</v>
      </c>
      <c r="B85" s="720" t="s">
        <v>26</v>
      </c>
      <c r="C85" s="720">
        <v>1913</v>
      </c>
      <c r="D85" s="720" t="s">
        <v>27</v>
      </c>
      <c r="E85" s="720" t="s">
        <v>31</v>
      </c>
      <c r="F85" s="720" t="s">
        <v>49</v>
      </c>
      <c r="G85" s="720" t="s">
        <v>842</v>
      </c>
    </row>
    <row r="86" spans="1:9" ht="16" thickBot="1" x14ac:dyDescent="0.3">
      <c r="A86" s="719">
        <v>853552</v>
      </c>
      <c r="B86" s="720" t="s">
        <v>26</v>
      </c>
      <c r="C86" s="720">
        <v>1913</v>
      </c>
      <c r="D86" s="720" t="s">
        <v>92</v>
      </c>
      <c r="E86" s="720" t="s">
        <v>31</v>
      </c>
      <c r="F86" s="720" t="s">
        <v>49</v>
      </c>
      <c r="G86" s="720" t="s">
        <v>842</v>
      </c>
    </row>
    <row r="87" spans="1:9" ht="16" thickBot="1" x14ac:dyDescent="0.3">
      <c r="A87" s="719">
        <v>983152</v>
      </c>
      <c r="B87" s="720" t="s">
        <v>26</v>
      </c>
      <c r="C87" s="720">
        <v>1913</v>
      </c>
      <c r="D87" s="720" t="s">
        <v>79</v>
      </c>
      <c r="E87" s="720" t="s">
        <v>31</v>
      </c>
      <c r="F87" s="720" t="s">
        <v>49</v>
      </c>
      <c r="G87" s="720" t="s">
        <v>842</v>
      </c>
    </row>
    <row r="88" spans="1:9" ht="16" thickBot="1" x14ac:dyDescent="0.3">
      <c r="A88" s="719">
        <v>1039064</v>
      </c>
      <c r="B88" s="720" t="s">
        <v>26</v>
      </c>
      <c r="C88" s="720">
        <v>1913</v>
      </c>
      <c r="D88" s="720" t="s">
        <v>88</v>
      </c>
      <c r="E88" s="720" t="s">
        <v>31</v>
      </c>
      <c r="F88" s="720" t="s">
        <v>49</v>
      </c>
      <c r="G88" s="720" t="s">
        <v>842</v>
      </c>
    </row>
    <row r="89" spans="1:9" ht="16" thickBot="1" x14ac:dyDescent="0.3">
      <c r="A89" s="127">
        <v>1165788</v>
      </c>
      <c r="B89" s="721" t="s">
        <v>26</v>
      </c>
      <c r="C89" s="128">
        <v>1913</v>
      </c>
      <c r="D89" s="721" t="s">
        <v>297</v>
      </c>
      <c r="E89" s="721" t="s">
        <v>31</v>
      </c>
      <c r="F89" s="720" t="s">
        <v>49</v>
      </c>
      <c r="G89" s="720" t="s">
        <v>842</v>
      </c>
    </row>
    <row r="90" spans="1:9" ht="16" thickBot="1" x14ac:dyDescent="0.3">
      <c r="A90" s="722">
        <v>1199266</v>
      </c>
      <c r="B90" s="721" t="s">
        <v>26</v>
      </c>
      <c r="C90" s="721">
        <v>1913</v>
      </c>
      <c r="D90" s="721" t="s">
        <v>162</v>
      </c>
      <c r="E90" s="721" t="s">
        <v>31</v>
      </c>
      <c r="F90" s="720" t="s">
        <v>49</v>
      </c>
      <c r="G90" s="720" t="s">
        <v>842</v>
      </c>
    </row>
    <row r="91" spans="1:9" ht="16" thickBot="1" x14ac:dyDescent="0.3">
      <c r="A91" s="719">
        <v>1130200</v>
      </c>
      <c r="B91" s="720" t="s">
        <v>26</v>
      </c>
      <c r="C91" s="720">
        <v>1913</v>
      </c>
      <c r="D91" s="720" t="s">
        <v>114</v>
      </c>
      <c r="E91" s="720" t="s">
        <v>31</v>
      </c>
      <c r="F91" s="720" t="s">
        <v>49</v>
      </c>
      <c r="G91" s="720" t="s">
        <v>842</v>
      </c>
    </row>
    <row r="92" spans="1:9" ht="26.5" thickBot="1" x14ac:dyDescent="0.3">
      <c r="A92" s="727">
        <v>1100759</v>
      </c>
      <c r="B92" s="723" t="s">
        <v>26</v>
      </c>
      <c r="C92" s="723">
        <v>1913</v>
      </c>
      <c r="D92" s="723" t="s">
        <v>133</v>
      </c>
      <c r="E92" s="723" t="s">
        <v>31</v>
      </c>
      <c r="F92" s="723" t="s">
        <v>49</v>
      </c>
      <c r="G92" s="723" t="s">
        <v>845</v>
      </c>
      <c r="I92" s="730" t="s">
        <v>846</v>
      </c>
    </row>
    <row r="93" spans="1:9" ht="16" thickBot="1" x14ac:dyDescent="0.3">
      <c r="A93" s="728">
        <v>1126404</v>
      </c>
      <c r="B93" s="729" t="s">
        <v>26</v>
      </c>
      <c r="C93" s="729">
        <v>1913</v>
      </c>
      <c r="D93" s="729" t="s">
        <v>133</v>
      </c>
      <c r="E93" s="729" t="s">
        <v>177</v>
      </c>
      <c r="F93" s="729" t="s">
        <v>169</v>
      </c>
      <c r="G93" s="729" t="s">
        <v>843</v>
      </c>
    </row>
    <row r="94" spans="1:9" ht="14.5" x14ac:dyDescent="0.25">
      <c r="A94" s="603"/>
    </row>
    <row r="95" spans="1:9" ht="15" thickBot="1" x14ac:dyDescent="0.3">
      <c r="A95" s="603"/>
    </row>
    <row r="96" spans="1:9" ht="16" thickBot="1" x14ac:dyDescent="0.3">
      <c r="A96" s="717" t="s">
        <v>840</v>
      </c>
      <c r="B96" s="718" t="s">
        <v>2</v>
      </c>
      <c r="C96" s="718" t="s">
        <v>3</v>
      </c>
      <c r="D96" s="718" t="s">
        <v>4</v>
      </c>
      <c r="E96" s="718" t="s">
        <v>5</v>
      </c>
      <c r="F96" s="718" t="s">
        <v>7</v>
      </c>
      <c r="G96" s="718" t="s">
        <v>841</v>
      </c>
    </row>
    <row r="97" spans="1:7" ht="16" thickBot="1" x14ac:dyDescent="0.3">
      <c r="A97" s="719">
        <v>1100745</v>
      </c>
      <c r="B97" s="720" t="s">
        <v>26</v>
      </c>
      <c r="C97" s="720">
        <v>1913</v>
      </c>
      <c r="D97" s="720" t="s">
        <v>111</v>
      </c>
      <c r="E97" s="720" t="s">
        <v>31</v>
      </c>
      <c r="F97" s="720" t="s">
        <v>49</v>
      </c>
      <c r="G97" s="720" t="s">
        <v>842</v>
      </c>
    </row>
    <row r="98" spans="1:7" ht="16" thickBot="1" x14ac:dyDescent="0.3">
      <c r="A98" s="594">
        <v>1146738</v>
      </c>
      <c r="B98" s="723" t="s">
        <v>26</v>
      </c>
      <c r="C98" s="723">
        <v>1913</v>
      </c>
      <c r="D98" s="723" t="s">
        <v>111</v>
      </c>
      <c r="E98" s="723" t="s">
        <v>177</v>
      </c>
      <c r="F98" s="723" t="s">
        <v>49</v>
      </c>
      <c r="G98" s="723" t="s">
        <v>843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5">
    <tabColor rgb="FF00B0F0"/>
  </sheetPr>
  <dimension ref="A1:AA804"/>
  <sheetViews>
    <sheetView zoomScale="80" zoomScaleNormal="80" workbookViewId="0">
      <pane ySplit="1" topLeftCell="A736" activePane="bottomLeft" state="frozen"/>
      <selection pane="bottomLeft" activeCell="B749" sqref="B749:D749"/>
    </sheetView>
  </sheetViews>
  <sheetFormatPr defaultRowHeight="12.5" x14ac:dyDescent="0.25"/>
  <cols>
    <col min="1" max="1" width="15" customWidth="1"/>
    <col min="2" max="2" width="31.7265625" customWidth="1"/>
    <col min="3" max="3" width="15" customWidth="1"/>
    <col min="4" max="4" width="28.26953125" bestFit="1" customWidth="1"/>
    <col min="5" max="5" width="15" customWidth="1"/>
    <col min="6" max="6" width="16.54296875" customWidth="1"/>
    <col min="7" max="7" width="15" style="300" customWidth="1"/>
    <col min="8" max="9" width="15" customWidth="1"/>
    <col min="10" max="10" width="10" customWidth="1"/>
    <col min="11" max="11" width="30.453125" bestFit="1" customWidth="1"/>
    <col min="14" max="14" width="10.26953125" bestFit="1" customWidth="1"/>
    <col min="17" max="17" width="14.54296875" bestFit="1" customWidth="1"/>
    <col min="18" max="18" width="12.7265625" bestFit="1" customWidth="1"/>
    <col min="19" max="19" width="7.7265625" bestFit="1" customWidth="1"/>
    <col min="23" max="23" width="15" customWidth="1"/>
  </cols>
  <sheetData>
    <row r="1" spans="1:27" ht="41.25" customHeight="1" thickBot="1" x14ac:dyDescent="0.3">
      <c r="A1" s="301" t="s">
        <v>847</v>
      </c>
      <c r="B1" s="301" t="s">
        <v>848</v>
      </c>
      <c r="C1" s="301" t="s">
        <v>5</v>
      </c>
      <c r="D1" s="301" t="s">
        <v>849</v>
      </c>
      <c r="E1" s="301" t="s">
        <v>850</v>
      </c>
      <c r="F1" s="301" t="s">
        <v>851</v>
      </c>
      <c r="G1" s="302" t="s">
        <v>852</v>
      </c>
      <c r="H1" s="301" t="s">
        <v>853</v>
      </c>
      <c r="I1" s="301" t="s">
        <v>854</v>
      </c>
      <c r="J1" s="301" t="s">
        <v>855</v>
      </c>
      <c r="K1" s="299" t="s">
        <v>19</v>
      </c>
      <c r="M1" s="309" t="s">
        <v>856</v>
      </c>
      <c r="Q1" s="842" t="s">
        <v>857</v>
      </c>
      <c r="R1" s="843"/>
      <c r="S1" s="844"/>
      <c r="W1" s="301" t="s">
        <v>854</v>
      </c>
      <c r="AA1" t="s">
        <v>850</v>
      </c>
    </row>
    <row r="2" spans="1:27" ht="15.5" x14ac:dyDescent="0.35">
      <c r="A2" s="325"/>
      <c r="B2" s="363" t="s">
        <v>34</v>
      </c>
      <c r="C2" s="363"/>
      <c r="D2" s="363" t="s">
        <v>35</v>
      </c>
      <c r="E2" s="326">
        <v>179734</v>
      </c>
      <c r="F2" s="326">
        <f>105-105+100</f>
        <v>100</v>
      </c>
      <c r="G2" s="591">
        <v>45161</v>
      </c>
      <c r="H2" s="327" t="s">
        <v>858</v>
      </c>
      <c r="I2" s="294">
        <f>SUM(W2,SUMIFS('Cutters Consumption Updates'!$F:$F,'Cutters Consumption Updates'!$G:$G,"NEW",'Cutters Consumption Updates'!$J:$J,Table7[[#This Row],[PO'#]],'Cutters Consumption Updates'!$B:$B,Table7[[#This Row],[Cutter Mat'#]]))</f>
        <v>100</v>
      </c>
      <c r="J2" s="294">
        <f t="shared" ref="J2:J65" si="0">F2-I2</f>
        <v>0</v>
      </c>
      <c r="K2" s="319"/>
      <c r="N2" cm="1">
        <f t="array" ref="N2:N143">_xlfn._xlws.SORT(_xlfn.UNIQUE(E:E))</f>
        <v>179733</v>
      </c>
      <c r="O2">
        <f t="shared" ref="O2:O33" si="1">SUMIF($E:$E,N2,$I:$I)</f>
        <v>356</v>
      </c>
      <c r="Q2" s="367" t="s">
        <v>851</v>
      </c>
      <c r="R2" s="368" t="s">
        <v>854</v>
      </c>
      <c r="S2" s="369" t="s">
        <v>855</v>
      </c>
      <c r="W2" s="294">
        <v>100</v>
      </c>
      <c r="AA2">
        <v>179734</v>
      </c>
    </row>
    <row r="3" spans="1:27" ht="16" thickBot="1" x14ac:dyDescent="0.4">
      <c r="A3" s="328"/>
      <c r="B3" s="363">
        <v>1010</v>
      </c>
      <c r="C3" s="363" t="s">
        <v>31</v>
      </c>
      <c r="D3" s="363" t="s">
        <v>51</v>
      </c>
      <c r="E3" s="326">
        <v>717748</v>
      </c>
      <c r="F3" s="326">
        <f>50-50+92+46-92-46+46+100-100+30-46+20-30+38-20+161-38+115-161</f>
        <v>115</v>
      </c>
      <c r="G3" s="591">
        <v>45170</v>
      </c>
      <c r="H3" s="327" t="s">
        <v>859</v>
      </c>
      <c r="I3" s="294">
        <f>SUM(W3,SUMIFS('Cutters Consumption Updates'!$F:$F,'Cutters Consumption Updates'!$G:$G,"NEW",'Cutters Consumption Updates'!$J:$J,Table7[[#This Row],[PO'#]],'Cutters Consumption Updates'!$B:$B,Table7[[#This Row],[Cutter Mat'#]]))</f>
        <v>115</v>
      </c>
      <c r="J3" s="294">
        <f t="shared" si="0"/>
        <v>0</v>
      </c>
      <c r="K3" s="319"/>
      <c r="N3">
        <v>179734</v>
      </c>
      <c r="O3">
        <f t="shared" si="1"/>
        <v>443</v>
      </c>
      <c r="Q3" s="370">
        <f>SUM(Table7[Final Order Qty])</f>
        <v>66663</v>
      </c>
      <c r="R3" s="371">
        <f>SUM(Table7[Received Qty])</f>
        <v>63968</v>
      </c>
      <c r="S3" s="372">
        <f>SUM(Table7[Balance])</f>
        <v>2695</v>
      </c>
      <c r="W3" s="294">
        <v>115</v>
      </c>
      <c r="AA3">
        <v>717748</v>
      </c>
    </row>
    <row r="4" spans="1:27" ht="15.5" x14ac:dyDescent="0.35">
      <c r="A4" s="325"/>
      <c r="B4" s="363">
        <v>1308</v>
      </c>
      <c r="C4" s="363"/>
      <c r="D4" s="363" t="s">
        <v>71</v>
      </c>
      <c r="E4" s="326">
        <v>418525</v>
      </c>
      <c r="F4" s="326">
        <f>68+1000-68+44+200-1000-44-200+224+200-224+105-200-105+80-80+100+100-100+40+69-100-40+84-69+36-84</f>
        <v>36</v>
      </c>
      <c r="G4" s="591">
        <v>45188</v>
      </c>
      <c r="H4" s="327" t="s">
        <v>860</v>
      </c>
      <c r="I4" s="294">
        <f>SUM(W4,SUMIFS('Cutters Consumption Updates'!$F:$F,'Cutters Consumption Updates'!$G:$G,"NEW",'Cutters Consumption Updates'!$J:$J,Table7[[#This Row],[PO'#]],'Cutters Consumption Updates'!$B:$B,Table7[[#This Row],[Cutter Mat'#]]))</f>
        <v>36</v>
      </c>
      <c r="J4" s="294">
        <f t="shared" si="0"/>
        <v>0</v>
      </c>
      <c r="K4" s="319"/>
      <c r="N4">
        <v>410851</v>
      </c>
      <c r="O4">
        <f t="shared" si="1"/>
        <v>1103</v>
      </c>
      <c r="W4" s="294">
        <v>36</v>
      </c>
      <c r="AA4">
        <v>418525</v>
      </c>
    </row>
    <row r="5" spans="1:27" ht="15.5" x14ac:dyDescent="0.25">
      <c r="A5" s="329"/>
      <c r="B5" s="363" t="s">
        <v>73</v>
      </c>
      <c r="C5" s="363" t="s">
        <v>31</v>
      </c>
      <c r="D5" s="363" t="s">
        <v>53</v>
      </c>
      <c r="E5" s="326">
        <v>882800</v>
      </c>
      <c r="F5" s="326">
        <f>53+60-53+50-28-32-26+72+20-24-26-46-20+30-30+60+40-60+50-40+170-50+50-15-155</f>
        <v>50</v>
      </c>
      <c r="G5" s="591"/>
      <c r="H5" s="327"/>
      <c r="I5" s="294">
        <f>SUM(W5,SUMIFS('Cutters Consumption Updates'!$F:$F,'Cutters Consumption Updates'!$G:$G,"NEW",'Cutters Consumption Updates'!$J:$J,Table7[[#This Row],[PO'#]],'Cutters Consumption Updates'!$B:$B,Table7[[#This Row],[Cutter Mat'#]]))</f>
        <v>50</v>
      </c>
      <c r="J5" s="294">
        <f t="shared" si="0"/>
        <v>0</v>
      </c>
      <c r="N5">
        <v>418525</v>
      </c>
      <c r="O5">
        <f t="shared" si="1"/>
        <v>3428</v>
      </c>
      <c r="W5" s="294">
        <v>50</v>
      </c>
      <c r="AA5">
        <v>882800</v>
      </c>
    </row>
    <row r="6" spans="1:27" ht="15.5" x14ac:dyDescent="0.25">
      <c r="A6" s="329"/>
      <c r="B6" s="363">
        <v>1613</v>
      </c>
      <c r="C6" s="363" t="s">
        <v>31</v>
      </c>
      <c r="D6" s="363" t="s">
        <v>51</v>
      </c>
      <c r="E6" s="326">
        <v>647436</v>
      </c>
      <c r="F6" s="326">
        <f>140+128-140+192+438-192+128-128+200-438+35-128-100-35+366+300-100-366+256-300+200-256-200+100+75-100-75+256</f>
        <v>256</v>
      </c>
      <c r="G6" s="591"/>
      <c r="H6" s="327"/>
      <c r="I6" s="294">
        <f>SUM(W6,SUMIFS('Cutters Consumption Updates'!$F:$F,'Cutters Consumption Updates'!$G:$G,"NEW",'Cutters Consumption Updates'!$J:$J,Table7[[#This Row],[PO'#]],'Cutters Consumption Updates'!$B:$B,Table7[[#This Row],[Cutter Mat'#]]))</f>
        <v>256</v>
      </c>
      <c r="J6" s="294">
        <f t="shared" si="0"/>
        <v>0</v>
      </c>
      <c r="N6">
        <v>625854</v>
      </c>
      <c r="O6">
        <f t="shared" si="1"/>
        <v>222</v>
      </c>
      <c r="W6" s="294">
        <v>256</v>
      </c>
      <c r="AA6">
        <v>647436</v>
      </c>
    </row>
    <row r="7" spans="1:27" ht="15.5" x14ac:dyDescent="0.25">
      <c r="A7" s="329"/>
      <c r="B7" s="363">
        <v>1313</v>
      </c>
      <c r="C7" s="363" t="s">
        <v>31</v>
      </c>
      <c r="D7" s="363" t="s">
        <v>51</v>
      </c>
      <c r="E7" s="326">
        <v>871781</v>
      </c>
      <c r="F7" s="326">
        <f>40+30-40+52-30+20-52+25-20+40-25+6+39-6-40+50-39+20-50-20+63+30-63+20-30-20+8-8+16-16+50+41+9-50</f>
        <v>50</v>
      </c>
      <c r="G7" s="591"/>
      <c r="H7" s="327"/>
      <c r="I7" s="294">
        <f>SUM(W7,SUMIFS('Cutters Consumption Updates'!$F:$F,'Cutters Consumption Updates'!$G:$G,"NEW",'Cutters Consumption Updates'!$J:$J,Table7[[#This Row],[PO'#]],'Cutters Consumption Updates'!$B:$B,Table7[[#This Row],[Cutter Mat'#]]))</f>
        <v>50</v>
      </c>
      <c r="J7" s="294">
        <f t="shared" si="0"/>
        <v>0</v>
      </c>
      <c r="N7">
        <v>647435</v>
      </c>
      <c r="O7">
        <f t="shared" si="1"/>
        <v>1826</v>
      </c>
      <c r="W7" s="294">
        <v>50</v>
      </c>
      <c r="AA7">
        <v>871781</v>
      </c>
    </row>
    <row r="8" spans="1:27" ht="15.5" x14ac:dyDescent="0.25">
      <c r="A8" s="329"/>
      <c r="B8" s="363">
        <v>1318</v>
      </c>
      <c r="C8" s="363"/>
      <c r="D8" s="363" t="s">
        <v>35</v>
      </c>
      <c r="E8" s="326">
        <v>625854</v>
      </c>
      <c r="F8" s="326">
        <f>17+62-17-62+51+50-51+36-50-36+36-36+6-6</f>
        <v>0</v>
      </c>
      <c r="G8" s="591"/>
      <c r="H8" s="327"/>
      <c r="I8" s="294">
        <f>SUM(W8,SUMIFS('Cutters Consumption Updates'!$F:$F,'Cutters Consumption Updates'!$G:$G,"NEW",'Cutters Consumption Updates'!$J:$J,Table7[[#This Row],[PO'#]],'Cutters Consumption Updates'!$B:$B,Table7[[#This Row],[Cutter Mat'#]]))</f>
        <v>0</v>
      </c>
      <c r="J8" s="294">
        <f t="shared" si="0"/>
        <v>0</v>
      </c>
      <c r="N8">
        <v>647436</v>
      </c>
      <c r="O8">
        <f t="shared" si="1"/>
        <v>2742</v>
      </c>
      <c r="W8" s="294"/>
      <c r="AA8">
        <v>625854</v>
      </c>
    </row>
    <row r="9" spans="1:27" ht="15.5" x14ac:dyDescent="0.25">
      <c r="A9" s="329"/>
      <c r="B9" s="363">
        <v>1005</v>
      </c>
      <c r="C9" s="363" t="s">
        <v>31</v>
      </c>
      <c r="D9" s="363" t="s">
        <v>51</v>
      </c>
      <c r="E9" s="326">
        <v>773384</v>
      </c>
      <c r="F9" s="326">
        <f>20-20+40+20-40-20+20+30-30+10-20-10+70+50-70</f>
        <v>50</v>
      </c>
      <c r="G9" s="591"/>
      <c r="H9" s="327"/>
      <c r="I9" s="294">
        <f>SUM(W9,SUMIFS('Cutters Consumption Updates'!$F:$F,'Cutters Consumption Updates'!$G:$G,"NEW",'Cutters Consumption Updates'!$J:$J,Table7[[#This Row],[PO'#]],'Cutters Consumption Updates'!$B:$B,Table7[[#This Row],[Cutter Mat'#]]))</f>
        <v>50</v>
      </c>
      <c r="J9" s="294">
        <f t="shared" si="0"/>
        <v>0</v>
      </c>
      <c r="N9">
        <v>649901</v>
      </c>
      <c r="O9">
        <f t="shared" si="1"/>
        <v>50</v>
      </c>
      <c r="W9" s="294">
        <v>50</v>
      </c>
      <c r="AA9">
        <v>773384</v>
      </c>
    </row>
    <row r="10" spans="1:27" ht="15.5" x14ac:dyDescent="0.25">
      <c r="A10" s="329"/>
      <c r="B10" s="363">
        <v>1613</v>
      </c>
      <c r="C10" s="363" t="s">
        <v>31</v>
      </c>
      <c r="D10" s="363" t="s">
        <v>92</v>
      </c>
      <c r="E10" s="326">
        <v>853551</v>
      </c>
      <c r="F10" s="326">
        <v>0</v>
      </c>
      <c r="G10" s="591"/>
      <c r="H10" s="327"/>
      <c r="I10" s="294">
        <f>SUM(W10,SUMIFS('Cutters Consumption Updates'!$F:$F,'Cutters Consumption Updates'!$G:$G,"NEW",'Cutters Consumption Updates'!$J:$J,Table7[[#This Row],[PO'#]],'Cutters Consumption Updates'!$B:$B,Table7[[#This Row],[Cutter Mat'#]]))</f>
        <v>0</v>
      </c>
      <c r="J10" s="294">
        <f t="shared" si="0"/>
        <v>0</v>
      </c>
      <c r="K10" t="s">
        <v>861</v>
      </c>
      <c r="N10">
        <v>653400</v>
      </c>
      <c r="O10">
        <f t="shared" si="1"/>
        <v>74</v>
      </c>
      <c r="W10" s="294"/>
      <c r="AA10">
        <v>853551</v>
      </c>
    </row>
    <row r="11" spans="1:27" ht="15.5" x14ac:dyDescent="0.25">
      <c r="A11" s="329"/>
      <c r="B11" s="363">
        <v>1608</v>
      </c>
      <c r="C11" s="363" t="s">
        <v>31</v>
      </c>
      <c r="D11" s="363" t="s">
        <v>51</v>
      </c>
      <c r="E11" s="326">
        <v>647435</v>
      </c>
      <c r="F11" s="326">
        <v>64</v>
      </c>
      <c r="G11" s="591"/>
      <c r="H11" s="327"/>
      <c r="I11" s="294">
        <f>SUM(W11,SUMIFS('Cutters Consumption Updates'!$F:$F,'Cutters Consumption Updates'!$G:$G,"NEW",'Cutters Consumption Updates'!$J:$J,Table7[[#This Row],[PO'#]],'Cutters Consumption Updates'!$B:$B,Table7[[#This Row],[Cutter Mat'#]]))</f>
        <v>64</v>
      </c>
      <c r="J11" s="294">
        <f t="shared" si="0"/>
        <v>0</v>
      </c>
      <c r="N11">
        <v>708306</v>
      </c>
      <c r="O11">
        <f t="shared" si="1"/>
        <v>1617</v>
      </c>
      <c r="W11" s="294">
        <v>64</v>
      </c>
      <c r="AA11">
        <v>647435</v>
      </c>
    </row>
    <row r="12" spans="1:27" ht="15.5" x14ac:dyDescent="0.25">
      <c r="A12" s="329"/>
      <c r="B12" s="363">
        <v>1313</v>
      </c>
      <c r="C12" s="363" t="s">
        <v>248</v>
      </c>
      <c r="D12" s="363" t="s">
        <v>111</v>
      </c>
      <c r="E12" s="326">
        <v>1100696</v>
      </c>
      <c r="F12" s="326">
        <f>191+60-69-40+200-40-42-18-42-35-55-34+80-76+125+144-50-40-35-80+48-80-64-48+120-120+20-20+254+120-100+132+36-100</f>
        <v>342</v>
      </c>
      <c r="G12" s="591"/>
      <c r="H12" s="327"/>
      <c r="I12" s="294">
        <f>SUM(W12,SUMIFS('Cutters Consumption Updates'!$F:$F,'Cutters Consumption Updates'!$G:$G,"NEW",'Cutters Consumption Updates'!$J:$J,Table7[[#This Row],[PO'#]],'Cutters Consumption Updates'!$B:$B,Table7[[#This Row],[Cutter Mat'#]]))</f>
        <v>342</v>
      </c>
      <c r="J12" s="294">
        <f t="shared" si="0"/>
        <v>0</v>
      </c>
      <c r="N12">
        <v>717748</v>
      </c>
      <c r="O12">
        <f t="shared" si="1"/>
        <v>1134</v>
      </c>
      <c r="W12" s="294">
        <v>342</v>
      </c>
      <c r="AA12">
        <v>1100696</v>
      </c>
    </row>
    <row r="13" spans="1:27" ht="15.5" x14ac:dyDescent="0.25">
      <c r="A13" s="329"/>
      <c r="B13" s="363">
        <v>1613</v>
      </c>
      <c r="C13" s="363" t="s">
        <v>31</v>
      </c>
      <c r="D13" s="363" t="s">
        <v>114</v>
      </c>
      <c r="E13" s="326">
        <v>1130198</v>
      </c>
      <c r="F13" s="326">
        <f>2190-70-2+194-359-141-200+879-284+569-266-493-194-479-400+304-150-100+847-99-119-200-204+678-705-139-1+1372-100-100-70-3+558-3-599+1040-58-473-124-350-155-54-502-18+339-550-2+636-489+2714+934-273-339-363-1+1900-286-20-1394+985-1-864-148-300+2526-1+1700-838-500-985-296-766-134-333-1649+1133-500-43-660-495-82-375-458+442-400-733-442-6+350</f>
        <v>350</v>
      </c>
      <c r="G13" s="591"/>
      <c r="H13" s="327"/>
      <c r="I13" s="294">
        <f>SUM(W13,SUMIFS('Cutters Consumption Updates'!$F:$F,'Cutters Consumption Updates'!$G:$G,"NEW",'Cutters Consumption Updates'!$J:$J,Table7[[#This Row],[PO'#]],'Cutters Consumption Updates'!$B:$B,Table7[[#This Row],[Cutter Mat'#]]))</f>
        <v>350</v>
      </c>
      <c r="J13" s="294">
        <f t="shared" si="0"/>
        <v>0</v>
      </c>
      <c r="N13">
        <v>717751</v>
      </c>
      <c r="O13">
        <f t="shared" si="1"/>
        <v>701</v>
      </c>
      <c r="W13" s="294">
        <v>350</v>
      </c>
      <c r="AA13">
        <v>1130198</v>
      </c>
    </row>
    <row r="14" spans="1:27" ht="15.5" x14ac:dyDescent="0.25">
      <c r="A14" s="329"/>
      <c r="B14" s="363">
        <v>1313</v>
      </c>
      <c r="C14" s="363" t="s">
        <v>31</v>
      </c>
      <c r="D14" s="363" t="s">
        <v>114</v>
      </c>
      <c r="E14" s="326">
        <v>1130196</v>
      </c>
      <c r="F14" s="326">
        <f>40+40-40-40+130+30-50-80+36-30+15-36+18-15-18+40+18-17+54</f>
        <v>95</v>
      </c>
      <c r="G14" s="591"/>
      <c r="H14" s="327"/>
      <c r="I14" s="294">
        <f>SUM(W14,SUMIFS('Cutters Consumption Updates'!$F:$F,'Cutters Consumption Updates'!$G:$G,"NEW",'Cutters Consumption Updates'!$J:$J,Table7[[#This Row],[PO'#]],'Cutters Consumption Updates'!$B:$B,Table7[[#This Row],[Cutter Mat'#]]))</f>
        <v>95</v>
      </c>
      <c r="J14" s="294">
        <f t="shared" si="0"/>
        <v>0</v>
      </c>
      <c r="N14">
        <v>773384</v>
      </c>
      <c r="O14">
        <f t="shared" si="1"/>
        <v>245</v>
      </c>
      <c r="W14" s="294">
        <v>95</v>
      </c>
      <c r="AA14">
        <v>1130196</v>
      </c>
    </row>
    <row r="15" spans="1:27" ht="15.5" x14ac:dyDescent="0.25">
      <c r="A15" s="329"/>
      <c r="B15" s="363">
        <v>1913</v>
      </c>
      <c r="C15" s="363" t="s">
        <v>31</v>
      </c>
      <c r="D15" s="363" t="s">
        <v>114</v>
      </c>
      <c r="E15" s="326">
        <v>1130200</v>
      </c>
      <c r="F15" s="326">
        <v>0</v>
      </c>
      <c r="G15" s="591"/>
      <c r="H15" s="327"/>
      <c r="I15" s="294">
        <f>SUM(W15,SUMIFS('Cutters Consumption Updates'!$F:$F,'Cutters Consumption Updates'!$G:$G,"NEW",'Cutters Consumption Updates'!$J:$J,Table7[[#This Row],[PO'#]],'Cutters Consumption Updates'!$B:$B,Table7[[#This Row],[Cutter Mat'#]]))</f>
        <v>0</v>
      </c>
      <c r="J15" s="294">
        <f t="shared" si="0"/>
        <v>0</v>
      </c>
      <c r="K15" t="s">
        <v>862</v>
      </c>
      <c r="N15">
        <v>853551</v>
      </c>
      <c r="O15">
        <f t="shared" si="1"/>
        <v>0</v>
      </c>
      <c r="W15" s="294"/>
      <c r="AA15">
        <v>1130200</v>
      </c>
    </row>
    <row r="16" spans="1:27" ht="15.5" x14ac:dyDescent="0.25">
      <c r="A16" s="329"/>
      <c r="B16" s="363">
        <v>1313</v>
      </c>
      <c r="C16" s="363" t="s">
        <v>248</v>
      </c>
      <c r="D16" s="363" t="s">
        <v>125</v>
      </c>
      <c r="E16" s="326">
        <v>1136984</v>
      </c>
      <c r="F16" s="326">
        <f>15+26-15-26+30-30+15+40+52-15+39-40-52</f>
        <v>39</v>
      </c>
      <c r="G16" s="591"/>
      <c r="H16" s="327"/>
      <c r="I16" s="294">
        <f>SUM(W16,SUMIFS('Cutters Consumption Updates'!$F:$F,'Cutters Consumption Updates'!$G:$G,"NEW",'Cutters Consumption Updates'!$J:$J,Table7[[#This Row],[PO'#]],'Cutters Consumption Updates'!$B:$B,Table7[[#This Row],[Cutter Mat'#]]))</f>
        <v>39</v>
      </c>
      <c r="J16" s="294">
        <f t="shared" si="0"/>
        <v>0</v>
      </c>
      <c r="N16">
        <v>871781</v>
      </c>
      <c r="O16">
        <f t="shared" si="1"/>
        <v>2718</v>
      </c>
      <c r="W16" s="294">
        <v>39</v>
      </c>
      <c r="AA16">
        <v>1136984</v>
      </c>
    </row>
    <row r="17" spans="1:27" ht="15.5" x14ac:dyDescent="0.25">
      <c r="A17" s="329"/>
      <c r="B17" s="363" t="s">
        <v>137</v>
      </c>
      <c r="C17" s="363"/>
      <c r="D17" s="363" t="s">
        <v>35</v>
      </c>
      <c r="E17" s="326">
        <v>1101509</v>
      </c>
      <c r="F17" s="326">
        <f>200-100</f>
        <v>100</v>
      </c>
      <c r="G17" s="591"/>
      <c r="H17" s="327"/>
      <c r="I17" s="294">
        <f>SUM(W17,SUMIFS('Cutters Consumption Updates'!$F:$F,'Cutters Consumption Updates'!$G:$G,"NEW",'Cutters Consumption Updates'!$J:$J,Table7[[#This Row],[PO'#]],'Cutters Consumption Updates'!$B:$B,Table7[[#This Row],[Cutter Mat'#]]))</f>
        <v>100</v>
      </c>
      <c r="J17" s="294">
        <f t="shared" si="0"/>
        <v>0</v>
      </c>
      <c r="N17">
        <v>882800</v>
      </c>
      <c r="O17">
        <f t="shared" si="1"/>
        <v>204</v>
      </c>
      <c r="W17" s="294">
        <v>100</v>
      </c>
      <c r="AA17">
        <v>1101509</v>
      </c>
    </row>
    <row r="18" spans="1:27" ht="15.5" x14ac:dyDescent="0.25">
      <c r="A18" s="329"/>
      <c r="B18" s="363">
        <v>1613</v>
      </c>
      <c r="C18" s="363" t="s">
        <v>31</v>
      </c>
      <c r="D18" s="363" t="s">
        <v>133</v>
      </c>
      <c r="E18" s="326">
        <v>1100755</v>
      </c>
      <c r="F18" s="326">
        <f>210-210+315-315+100-100+180+100-180</f>
        <v>100</v>
      </c>
      <c r="G18" s="591"/>
      <c r="H18" s="327"/>
      <c r="I18" s="294">
        <f>SUM(W18,SUMIFS('Cutters Consumption Updates'!$F:$F,'Cutters Consumption Updates'!$G:$G,"NEW",'Cutters Consumption Updates'!$J:$J,Table7[[#This Row],[PO'#]],'Cutters Consumption Updates'!$B:$B,Table7[[#This Row],[Cutter Mat'#]]))</f>
        <v>100</v>
      </c>
      <c r="J18" s="294">
        <f t="shared" si="0"/>
        <v>0</v>
      </c>
      <c r="N18">
        <v>971055</v>
      </c>
      <c r="O18">
        <f t="shared" si="1"/>
        <v>30</v>
      </c>
      <c r="W18" s="294">
        <v>100</v>
      </c>
      <c r="AA18">
        <v>1100755</v>
      </c>
    </row>
    <row r="19" spans="1:27" ht="15.5" x14ac:dyDescent="0.25">
      <c r="A19" s="329"/>
      <c r="B19" s="363">
        <v>1005</v>
      </c>
      <c r="C19" s="363" t="s">
        <v>31</v>
      </c>
      <c r="D19" s="363" t="s">
        <v>114</v>
      </c>
      <c r="E19" s="326">
        <v>1130193</v>
      </c>
      <c r="F19" s="326">
        <f>31+30-28-3+10-2+18-7-3-18-28+10+40-10-40+32-32+40+80-40-80</f>
        <v>0</v>
      </c>
      <c r="G19" s="591"/>
      <c r="H19" s="327"/>
      <c r="I19" s="294">
        <f>SUM(W19,SUMIFS('Cutters Consumption Updates'!$F:$F,'Cutters Consumption Updates'!$G:$G,"NEW",'Cutters Consumption Updates'!$J:$J,Table7[[#This Row],[PO'#]],'Cutters Consumption Updates'!$B:$B,Table7[[#This Row],[Cutter Mat'#]]))</f>
        <v>0</v>
      </c>
      <c r="J19" s="294">
        <f t="shared" si="0"/>
        <v>0</v>
      </c>
      <c r="N19">
        <v>1078377</v>
      </c>
      <c r="O19">
        <f t="shared" si="1"/>
        <v>2280</v>
      </c>
      <c r="W19" s="294"/>
      <c r="AA19">
        <v>1130193</v>
      </c>
    </row>
    <row r="20" spans="1:27" ht="15.5" x14ac:dyDescent="0.25">
      <c r="A20" s="329"/>
      <c r="B20" s="363" t="s">
        <v>38</v>
      </c>
      <c r="C20" s="363" t="s">
        <v>151</v>
      </c>
      <c r="D20" s="363" t="s">
        <v>149</v>
      </c>
      <c r="E20" s="326">
        <v>1078377</v>
      </c>
      <c r="F20" s="326">
        <f>75+30-18-48+45+20-9-30+30-20-20-25-25-5+30+90-30-56-34+45-45+60+45+75+75-105</f>
        <v>150</v>
      </c>
      <c r="G20" s="591"/>
      <c r="H20" s="327"/>
      <c r="I20" s="294">
        <f>SUM(W20,SUMIFS('Cutters Consumption Updates'!$F:$F,'Cutters Consumption Updates'!$G:$G,"NEW",'Cutters Consumption Updates'!$J:$J,Table7[[#This Row],[PO'#]],'Cutters Consumption Updates'!$B:$B,Table7[[#This Row],[Cutter Mat'#]]))</f>
        <v>150</v>
      </c>
      <c r="J20" s="294">
        <f t="shared" si="0"/>
        <v>0</v>
      </c>
      <c r="N20">
        <v>1100696</v>
      </c>
      <c r="O20">
        <f t="shared" si="1"/>
        <v>732</v>
      </c>
      <c r="W20" s="294">
        <v>150</v>
      </c>
      <c r="AA20">
        <v>1078377</v>
      </c>
    </row>
    <row r="21" spans="1:27" ht="15.5" x14ac:dyDescent="0.25">
      <c r="A21" s="329"/>
      <c r="B21" s="363">
        <v>1613</v>
      </c>
      <c r="C21" s="363" t="s">
        <v>31</v>
      </c>
      <c r="D21" s="363" t="s">
        <v>145</v>
      </c>
      <c r="E21" s="326">
        <v>1176641</v>
      </c>
      <c r="F21" s="326">
        <v>0</v>
      </c>
      <c r="G21" s="591">
        <v>44607</v>
      </c>
      <c r="H21" s="327" t="s">
        <v>863</v>
      </c>
      <c r="I21" s="294">
        <f>SUM(W21,SUMIFS('Cutters Consumption Updates'!$F:$F,'Cutters Consumption Updates'!$G:$G,"NEW",'Cutters Consumption Updates'!$J:$J,Table7[[#This Row],[PO'#]],'Cutters Consumption Updates'!$B:$B,Table7[[#This Row],[Cutter Mat'#]]))</f>
        <v>0</v>
      </c>
      <c r="J21" s="294">
        <f t="shared" si="0"/>
        <v>0</v>
      </c>
      <c r="K21" t="s">
        <v>864</v>
      </c>
      <c r="N21">
        <v>1100739</v>
      </c>
      <c r="O21">
        <f t="shared" si="1"/>
        <v>209</v>
      </c>
      <c r="W21" s="294"/>
      <c r="AA21">
        <v>1176641</v>
      </c>
    </row>
    <row r="22" spans="1:27" ht="15.5" x14ac:dyDescent="0.25">
      <c r="A22" s="329"/>
      <c r="B22" s="363">
        <v>1608</v>
      </c>
      <c r="C22" s="363" t="s">
        <v>31</v>
      </c>
      <c r="D22" s="363" t="s">
        <v>153</v>
      </c>
      <c r="E22" s="326">
        <v>1162518</v>
      </c>
      <c r="F22" s="326">
        <v>0</v>
      </c>
      <c r="G22" s="591"/>
      <c r="H22" s="327"/>
      <c r="I22" s="294">
        <f>SUM(W22,SUMIFS('Cutters Consumption Updates'!$F:$F,'Cutters Consumption Updates'!$G:$G,"NEW",'Cutters Consumption Updates'!$J:$J,Table7[[#This Row],[PO'#]],'Cutters Consumption Updates'!$B:$B,Table7[[#This Row],[Cutter Mat'#]]))</f>
        <v>0</v>
      </c>
      <c r="J22" s="294">
        <f t="shared" si="0"/>
        <v>0</v>
      </c>
      <c r="K22" t="s">
        <v>865</v>
      </c>
      <c r="N22">
        <v>1100741</v>
      </c>
      <c r="O22">
        <f t="shared" si="1"/>
        <v>30</v>
      </c>
      <c r="W22" s="294"/>
      <c r="AA22">
        <v>1162518</v>
      </c>
    </row>
    <row r="23" spans="1:27" ht="15.5" x14ac:dyDescent="0.25">
      <c r="A23" s="329"/>
      <c r="B23" s="363">
        <v>1613</v>
      </c>
      <c r="C23" s="363" t="s">
        <v>109</v>
      </c>
      <c r="D23" s="363" t="s">
        <v>157</v>
      </c>
      <c r="E23" s="326">
        <v>1209410</v>
      </c>
      <c r="F23" s="326">
        <f>138-138+10-10+35+10+20+30-35</f>
        <v>60</v>
      </c>
      <c r="G23" s="591"/>
      <c r="H23" s="327"/>
      <c r="I23" s="294">
        <f>SUM(W23,SUMIFS('Cutters Consumption Updates'!$F:$F,'Cutters Consumption Updates'!$G:$G,"NEW",'Cutters Consumption Updates'!$J:$J,Table7[[#This Row],[PO'#]],'Cutters Consumption Updates'!$B:$B,Table7[[#This Row],[Cutter Mat'#]]))</f>
        <v>60</v>
      </c>
      <c r="J23" s="294">
        <f t="shared" si="0"/>
        <v>0</v>
      </c>
      <c r="N23">
        <v>1100749</v>
      </c>
      <c r="O23">
        <f t="shared" si="1"/>
        <v>10</v>
      </c>
      <c r="W23" s="294">
        <v>60</v>
      </c>
      <c r="AA23">
        <v>1209410</v>
      </c>
    </row>
    <row r="24" spans="1:27" ht="15.5" x14ac:dyDescent="0.25">
      <c r="A24" s="329"/>
      <c r="B24" s="363">
        <v>1613</v>
      </c>
      <c r="C24" s="363" t="s">
        <v>109</v>
      </c>
      <c r="D24" s="363" t="s">
        <v>163</v>
      </c>
      <c r="E24" s="326">
        <v>1165840</v>
      </c>
      <c r="F24" s="326">
        <v>0</v>
      </c>
      <c r="G24" s="591"/>
      <c r="H24" s="327"/>
      <c r="I24" s="294">
        <f>SUM(W24,SUMIFS('Cutters Consumption Updates'!$F:$F,'Cutters Consumption Updates'!$G:$G,"NEW",'Cutters Consumption Updates'!$J:$J,Table7[[#This Row],[PO'#]],'Cutters Consumption Updates'!$B:$B,Table7[[#This Row],[Cutter Mat'#]]))</f>
        <v>0</v>
      </c>
      <c r="J24" s="294">
        <f t="shared" si="0"/>
        <v>0</v>
      </c>
      <c r="K24" t="s">
        <v>866</v>
      </c>
      <c r="N24">
        <v>1100751</v>
      </c>
      <c r="O24">
        <f t="shared" si="1"/>
        <v>480</v>
      </c>
      <c r="W24" s="294"/>
      <c r="AA24">
        <v>1165840</v>
      </c>
    </row>
    <row r="25" spans="1:27" ht="15.5" x14ac:dyDescent="0.25">
      <c r="A25" s="329"/>
      <c r="B25" s="363">
        <v>1010</v>
      </c>
      <c r="C25" s="363" t="s">
        <v>253</v>
      </c>
      <c r="D25" s="363" t="s">
        <v>114</v>
      </c>
      <c r="E25" s="326">
        <v>1130194</v>
      </c>
      <c r="F25" s="326">
        <f>101+100-101+30-100-4+57-41-14-2+85+104-85+100-26+260-104-100</f>
        <v>260</v>
      </c>
      <c r="G25" s="591"/>
      <c r="H25" s="327"/>
      <c r="I25" s="294">
        <f>SUM(W25,SUMIFS('Cutters Consumption Updates'!$F:$F,'Cutters Consumption Updates'!$G:$G,"NEW",'Cutters Consumption Updates'!$J:$J,Table7[[#This Row],[PO'#]],'Cutters Consumption Updates'!$B:$B,Table7[[#This Row],[Cutter Mat'#]]))</f>
        <v>260</v>
      </c>
      <c r="J25" s="294">
        <f t="shared" si="0"/>
        <v>0</v>
      </c>
      <c r="N25">
        <v>1100753</v>
      </c>
      <c r="O25">
        <f t="shared" si="1"/>
        <v>55</v>
      </c>
      <c r="W25" s="294">
        <v>260</v>
      </c>
      <c r="AA25">
        <v>1130194</v>
      </c>
    </row>
    <row r="26" spans="1:27" ht="15.5" x14ac:dyDescent="0.25">
      <c r="A26" s="329"/>
      <c r="B26" s="363">
        <v>1613</v>
      </c>
      <c r="C26" s="363" t="s">
        <v>867</v>
      </c>
      <c r="D26" s="363" t="s">
        <v>160</v>
      </c>
      <c r="E26" s="326">
        <v>1209333</v>
      </c>
      <c r="F26" s="326">
        <v>0</v>
      </c>
      <c r="G26" s="591">
        <v>45090</v>
      </c>
      <c r="H26" s="327" t="s">
        <v>868</v>
      </c>
      <c r="I26" s="294">
        <f>SUM(W26,SUMIFS('Cutters Consumption Updates'!$F:$F,'Cutters Consumption Updates'!$G:$G,"NEW",'Cutters Consumption Updates'!$J:$J,Table7[[#This Row],[PO'#]],'Cutters Consumption Updates'!$B:$B,Table7[[#This Row],[Cutter Mat'#]]))</f>
        <v>0</v>
      </c>
      <c r="J26" s="294">
        <f t="shared" si="0"/>
        <v>0</v>
      </c>
      <c r="K26" t="s">
        <v>869</v>
      </c>
      <c r="N26">
        <v>1100755</v>
      </c>
      <c r="O26">
        <f t="shared" si="1"/>
        <v>2225</v>
      </c>
      <c r="W26" s="294"/>
      <c r="AA26">
        <v>1209333</v>
      </c>
    </row>
    <row r="27" spans="1:27" ht="15.5" x14ac:dyDescent="0.25">
      <c r="A27" s="329"/>
      <c r="B27" s="363">
        <v>1613</v>
      </c>
      <c r="C27" s="363" t="s">
        <v>109</v>
      </c>
      <c r="D27" s="363" t="s">
        <v>168</v>
      </c>
      <c r="E27" s="326">
        <v>1233855</v>
      </c>
      <c r="F27" s="326">
        <v>0</v>
      </c>
      <c r="G27" s="591"/>
      <c r="H27" s="327"/>
      <c r="I27" s="294">
        <f>SUM(W27,SUMIFS('Cutters Consumption Updates'!$F:$F,'Cutters Consumption Updates'!$G:$G,"NEW",'Cutters Consumption Updates'!$J:$J,Table7[[#This Row],[PO'#]],'Cutters Consumption Updates'!$B:$B,Table7[[#This Row],[Cutter Mat'#]]))</f>
        <v>0</v>
      </c>
      <c r="J27" s="294">
        <f t="shared" si="0"/>
        <v>0</v>
      </c>
      <c r="K27" t="s">
        <v>870</v>
      </c>
      <c r="N27">
        <v>1100759</v>
      </c>
      <c r="O27">
        <f t="shared" si="1"/>
        <v>1615</v>
      </c>
      <c r="W27" s="294"/>
      <c r="AA27">
        <v>1233855</v>
      </c>
    </row>
    <row r="28" spans="1:27" ht="15.5" x14ac:dyDescent="0.25">
      <c r="A28" s="329"/>
      <c r="B28" s="363">
        <v>1613</v>
      </c>
      <c r="C28" s="363" t="s">
        <v>170</v>
      </c>
      <c r="D28" s="363" t="s">
        <v>111</v>
      </c>
      <c r="E28" s="326">
        <v>1208601</v>
      </c>
      <c r="F28" s="326">
        <f>20-20+98-28+33-28+109-42</f>
        <v>142</v>
      </c>
      <c r="G28" s="591"/>
      <c r="H28" s="327"/>
      <c r="I28" s="294">
        <f>SUM(W28,SUMIFS('Cutters Consumption Updates'!$F:$F,'Cutters Consumption Updates'!$G:$G,"NEW",'Cutters Consumption Updates'!$J:$J,Table7[[#This Row],[PO'#]],'Cutters Consumption Updates'!$B:$B,Table7[[#This Row],[Cutter Mat'#]]))</f>
        <v>142</v>
      </c>
      <c r="J28" s="294">
        <f t="shared" si="0"/>
        <v>0</v>
      </c>
      <c r="N28">
        <v>1101509</v>
      </c>
      <c r="O28">
        <f t="shared" si="1"/>
        <v>210</v>
      </c>
      <c r="W28" s="294">
        <v>142</v>
      </c>
      <c r="AA28">
        <v>1208601</v>
      </c>
    </row>
    <row r="29" spans="1:27" ht="15.5" x14ac:dyDescent="0.25">
      <c r="A29" s="329"/>
      <c r="B29" s="363">
        <v>1313</v>
      </c>
      <c r="C29" s="363" t="s">
        <v>170</v>
      </c>
      <c r="D29" s="363" t="s">
        <v>111</v>
      </c>
      <c r="E29" s="326">
        <v>1152018</v>
      </c>
      <c r="F29" s="326">
        <f>11-11+20-20</f>
        <v>0</v>
      </c>
      <c r="G29" s="591"/>
      <c r="H29" s="327"/>
      <c r="I29" s="294">
        <f>SUM(W29,SUMIFS('Cutters Consumption Updates'!$F:$F,'Cutters Consumption Updates'!$G:$G,"NEW",'Cutters Consumption Updates'!$J:$J,Table7[[#This Row],[PO'#]],'Cutters Consumption Updates'!$B:$B,Table7[[#This Row],[Cutter Mat'#]]))</f>
        <v>0</v>
      </c>
      <c r="J29" s="294">
        <f t="shared" si="0"/>
        <v>0</v>
      </c>
      <c r="N29">
        <v>1104083</v>
      </c>
      <c r="O29">
        <f t="shared" si="1"/>
        <v>12</v>
      </c>
      <c r="W29" s="294"/>
      <c r="AA29">
        <v>1152018</v>
      </c>
    </row>
    <row r="30" spans="1:27" ht="15.5" x14ac:dyDescent="0.25">
      <c r="A30" s="329"/>
      <c r="B30" s="363">
        <v>1613</v>
      </c>
      <c r="C30" s="363" t="s">
        <v>109</v>
      </c>
      <c r="D30" s="363" t="s">
        <v>174</v>
      </c>
      <c r="E30" s="326">
        <v>1219562</v>
      </c>
      <c r="F30" s="326">
        <v>0</v>
      </c>
      <c r="G30" s="591"/>
      <c r="H30" s="327"/>
      <c r="I30" s="294">
        <f>SUM(W30,SUMIFS('Cutters Consumption Updates'!$F:$F,'Cutters Consumption Updates'!$G:$G,"NEW",'Cutters Consumption Updates'!$J:$J,Table7[[#This Row],[PO'#]],'Cutters Consumption Updates'!$B:$B,Table7[[#This Row],[Cutter Mat'#]]))</f>
        <v>0</v>
      </c>
      <c r="J30" s="294">
        <f t="shared" si="0"/>
        <v>0</v>
      </c>
      <c r="K30" t="s">
        <v>871</v>
      </c>
      <c r="N30">
        <v>1104086</v>
      </c>
      <c r="O30">
        <f t="shared" si="1"/>
        <v>0</v>
      </c>
      <c r="W30" s="294"/>
      <c r="AA30">
        <v>1219562</v>
      </c>
    </row>
    <row r="31" spans="1:27" ht="15.5" x14ac:dyDescent="0.25">
      <c r="A31" s="329"/>
      <c r="B31" s="363">
        <v>1613</v>
      </c>
      <c r="C31" s="363" t="s">
        <v>109</v>
      </c>
      <c r="D31" s="363" t="s">
        <v>176</v>
      </c>
      <c r="E31" s="326">
        <v>1234679</v>
      </c>
      <c r="F31" s="326">
        <v>0</v>
      </c>
      <c r="G31" s="591"/>
      <c r="H31" s="327"/>
      <c r="I31" s="294">
        <f>SUM(W31,SUMIFS('Cutters Consumption Updates'!$F:$F,'Cutters Consumption Updates'!$G:$G,"NEW",'Cutters Consumption Updates'!$J:$J,Table7[[#This Row],[PO'#]],'Cutters Consumption Updates'!$B:$B,Table7[[#This Row],[Cutter Mat'#]]))</f>
        <v>0</v>
      </c>
      <c r="J31" s="294">
        <f t="shared" si="0"/>
        <v>0</v>
      </c>
      <c r="N31">
        <v>1112229</v>
      </c>
      <c r="O31">
        <f t="shared" si="1"/>
        <v>290</v>
      </c>
      <c r="W31" s="294"/>
      <c r="AA31">
        <v>1234679</v>
      </c>
    </row>
    <row r="32" spans="1:27" ht="15.5" x14ac:dyDescent="0.25">
      <c r="A32" s="329"/>
      <c r="B32" s="363">
        <v>1313</v>
      </c>
      <c r="C32" s="363" t="s">
        <v>109</v>
      </c>
      <c r="D32" s="363" t="s">
        <v>180</v>
      </c>
      <c r="E32" s="326">
        <v>1244299</v>
      </c>
      <c r="F32" s="326">
        <v>18</v>
      </c>
      <c r="G32" s="591"/>
      <c r="H32" s="327"/>
      <c r="I32" s="294">
        <f>SUM(W32,SUMIFS('Cutters Consumption Updates'!$F:$F,'Cutters Consumption Updates'!$G:$G,"NEW",'Cutters Consumption Updates'!$J:$J,Table7[[#This Row],[PO'#]],'Cutters Consumption Updates'!$B:$B,Table7[[#This Row],[Cutter Mat'#]]))</f>
        <v>18</v>
      </c>
      <c r="J32" s="294">
        <f t="shared" si="0"/>
        <v>0</v>
      </c>
      <c r="N32">
        <v>1126398</v>
      </c>
      <c r="O32">
        <f t="shared" si="1"/>
        <v>20</v>
      </c>
      <c r="W32" s="294">
        <v>18</v>
      </c>
      <c r="AA32">
        <v>1244299</v>
      </c>
    </row>
    <row r="33" spans="1:27" ht="15.5" x14ac:dyDescent="0.25">
      <c r="A33" s="329"/>
      <c r="B33" s="363">
        <v>1613</v>
      </c>
      <c r="C33" s="363" t="s">
        <v>253</v>
      </c>
      <c r="D33" s="363" t="s">
        <v>178</v>
      </c>
      <c r="E33" s="326">
        <v>1112229</v>
      </c>
      <c r="F33" s="326">
        <f>119-55+51-64+85+205-51</f>
        <v>290</v>
      </c>
      <c r="G33" s="591"/>
      <c r="H33" s="327"/>
      <c r="I33" s="294">
        <f>SUM(W33,SUMIFS('Cutters Consumption Updates'!$F:$F,'Cutters Consumption Updates'!$G:$G,"NEW",'Cutters Consumption Updates'!$J:$J,Table7[[#This Row],[PO'#]],'Cutters Consumption Updates'!$B:$B,Table7[[#This Row],[Cutter Mat'#]]))</f>
        <v>290</v>
      </c>
      <c r="J33" s="294">
        <f t="shared" si="0"/>
        <v>0</v>
      </c>
      <c r="N33">
        <v>1126400</v>
      </c>
      <c r="O33">
        <f t="shared" si="1"/>
        <v>70</v>
      </c>
      <c r="W33" s="294">
        <v>290</v>
      </c>
      <c r="AA33">
        <v>1112229</v>
      </c>
    </row>
    <row r="34" spans="1:27" ht="15.5" x14ac:dyDescent="0.25">
      <c r="A34" s="329"/>
      <c r="B34" s="363">
        <v>1618</v>
      </c>
      <c r="C34" s="363"/>
      <c r="D34" s="363" t="s">
        <v>872</v>
      </c>
      <c r="E34" s="326">
        <v>1228501</v>
      </c>
      <c r="F34" s="326">
        <v>60</v>
      </c>
      <c r="G34" s="591"/>
      <c r="H34" s="327"/>
      <c r="I34" s="294">
        <f>SUM(W34,SUMIFS('Cutters Consumption Updates'!$F:$F,'Cutters Consumption Updates'!$G:$G,"NEW",'Cutters Consumption Updates'!$J:$J,Table7[[#This Row],[PO'#]],'Cutters Consumption Updates'!$B:$B,Table7[[#This Row],[Cutter Mat'#]]))</f>
        <v>60</v>
      </c>
      <c r="J34" s="294">
        <f t="shared" si="0"/>
        <v>0</v>
      </c>
      <c r="N34">
        <v>1126402</v>
      </c>
      <c r="O34">
        <f t="shared" ref="O34:O65" si="2">SUMIF($E:$E,N34,$I:$I)</f>
        <v>1275</v>
      </c>
      <c r="W34" s="294">
        <v>60</v>
      </c>
      <c r="AA34">
        <v>1228501</v>
      </c>
    </row>
    <row r="35" spans="1:27" ht="15.5" x14ac:dyDescent="0.25">
      <c r="A35" s="329"/>
      <c r="B35" s="363">
        <v>1618</v>
      </c>
      <c r="C35" s="363" t="s">
        <v>170</v>
      </c>
      <c r="D35" s="363" t="s">
        <v>873</v>
      </c>
      <c r="E35" s="326">
        <v>1228502</v>
      </c>
      <c r="F35" s="326">
        <f>60-39</f>
        <v>21</v>
      </c>
      <c r="G35" s="591"/>
      <c r="H35" s="327"/>
      <c r="I35" s="294">
        <f>SUM(W35,SUMIFS('Cutters Consumption Updates'!$F:$F,'Cutters Consumption Updates'!$G:$G,"NEW",'Cutters Consumption Updates'!$J:$J,Table7[[#This Row],[PO'#]],'Cutters Consumption Updates'!$B:$B,Table7[[#This Row],[Cutter Mat'#]]))</f>
        <v>21</v>
      </c>
      <c r="J35" s="294">
        <f t="shared" si="0"/>
        <v>0</v>
      </c>
      <c r="N35">
        <v>1126404</v>
      </c>
      <c r="O35">
        <f t="shared" si="2"/>
        <v>100</v>
      </c>
      <c r="W35" s="294">
        <v>21</v>
      </c>
      <c r="AA35">
        <v>1228502</v>
      </c>
    </row>
    <row r="36" spans="1:27" ht="15.5" x14ac:dyDescent="0.25">
      <c r="A36" s="329"/>
      <c r="B36" s="363">
        <v>1308</v>
      </c>
      <c r="C36" s="363" t="s">
        <v>170</v>
      </c>
      <c r="D36" s="363" t="s">
        <v>145</v>
      </c>
      <c r="E36" s="326">
        <v>1261319</v>
      </c>
      <c r="F36" s="326">
        <v>120</v>
      </c>
      <c r="G36" s="591"/>
      <c r="H36" s="327"/>
      <c r="I36" s="294">
        <f>SUM(W36,SUMIFS('Cutters Consumption Updates'!$F:$F,'Cutters Consumption Updates'!$G:$G,"NEW",'Cutters Consumption Updates'!$J:$J,Table7[[#This Row],[PO'#]],'Cutters Consumption Updates'!$B:$B,Table7[[#This Row],[Cutter Mat'#]]))</f>
        <v>120</v>
      </c>
      <c r="J36" s="294">
        <f t="shared" si="0"/>
        <v>0</v>
      </c>
      <c r="N36">
        <v>1130193</v>
      </c>
      <c r="O36">
        <f t="shared" si="2"/>
        <v>75</v>
      </c>
      <c r="W36" s="294">
        <v>120</v>
      </c>
      <c r="AA36">
        <v>1261319</v>
      </c>
    </row>
    <row r="37" spans="1:27" ht="15.5" x14ac:dyDescent="0.25">
      <c r="A37" s="329"/>
      <c r="B37" s="363">
        <v>1313</v>
      </c>
      <c r="C37" s="363" t="s">
        <v>186</v>
      </c>
      <c r="D37" s="363" t="s">
        <v>111</v>
      </c>
      <c r="E37" s="326">
        <v>1238831</v>
      </c>
      <c r="F37" s="326">
        <v>14</v>
      </c>
      <c r="G37" s="591"/>
      <c r="H37" s="327"/>
      <c r="I37" s="294">
        <f>SUM(W37,SUMIFS('Cutters Consumption Updates'!$F:$F,'Cutters Consumption Updates'!$G:$G,"NEW",'Cutters Consumption Updates'!$J:$J,Table7[[#This Row],[PO'#]],'Cutters Consumption Updates'!$B:$B,Table7[[#This Row],[Cutter Mat'#]]))</f>
        <v>14</v>
      </c>
      <c r="J37" s="294">
        <f t="shared" si="0"/>
        <v>0</v>
      </c>
      <c r="N37">
        <v>1130194</v>
      </c>
      <c r="O37">
        <f t="shared" si="2"/>
        <v>545</v>
      </c>
      <c r="W37" s="294">
        <v>14</v>
      </c>
      <c r="AA37">
        <v>1238831</v>
      </c>
    </row>
    <row r="38" spans="1:27" ht="15.5" x14ac:dyDescent="0.25">
      <c r="A38" s="329"/>
      <c r="B38" s="363">
        <v>1313</v>
      </c>
      <c r="C38" s="363" t="s">
        <v>170</v>
      </c>
      <c r="D38" s="363" t="s">
        <v>145</v>
      </c>
      <c r="E38" s="326">
        <v>1261320</v>
      </c>
      <c r="F38" s="326">
        <v>30</v>
      </c>
      <c r="G38" s="591"/>
      <c r="H38" s="327"/>
      <c r="I38" s="294">
        <f>SUM(W38,SUMIFS('Cutters Consumption Updates'!$F:$F,'Cutters Consumption Updates'!$G:$G,"NEW",'Cutters Consumption Updates'!$J:$J,Table7[[#This Row],[PO'#]],'Cutters Consumption Updates'!$B:$B,Table7[[#This Row],[Cutter Mat'#]]))</f>
        <v>30</v>
      </c>
      <c r="J38" s="294">
        <f t="shared" si="0"/>
        <v>0</v>
      </c>
      <c r="N38">
        <v>1130196</v>
      </c>
      <c r="O38">
        <f t="shared" si="2"/>
        <v>95</v>
      </c>
      <c r="W38" s="294">
        <v>30</v>
      </c>
      <c r="AA38">
        <v>1261320</v>
      </c>
    </row>
    <row r="39" spans="1:27" ht="15.5" x14ac:dyDescent="0.25">
      <c r="A39" s="329"/>
      <c r="B39" s="363">
        <v>1613</v>
      </c>
      <c r="C39" s="363" t="s">
        <v>177</v>
      </c>
      <c r="D39" s="363" t="s">
        <v>178</v>
      </c>
      <c r="E39" s="326">
        <v>1175118</v>
      </c>
      <c r="F39" s="326">
        <v>95</v>
      </c>
      <c r="G39" s="591"/>
      <c r="H39" s="327"/>
      <c r="I39" s="294">
        <f>SUM(W39,SUMIFS('Cutters Consumption Updates'!$F:$F,'Cutters Consumption Updates'!$G:$G,"NEW",'Cutters Consumption Updates'!$J:$J,Table7[[#This Row],[PO'#]],'Cutters Consumption Updates'!$B:$B,Table7[[#This Row],[Cutter Mat'#]]))</f>
        <v>95</v>
      </c>
      <c r="J39" s="294">
        <f t="shared" si="0"/>
        <v>0</v>
      </c>
      <c r="N39">
        <v>1130198</v>
      </c>
      <c r="O39">
        <f t="shared" si="2"/>
        <v>500</v>
      </c>
      <c r="W39" s="294">
        <v>95</v>
      </c>
      <c r="AA39">
        <v>1175118</v>
      </c>
    </row>
    <row r="40" spans="1:27" ht="15.5" x14ac:dyDescent="0.25">
      <c r="A40" s="329"/>
      <c r="B40" s="363">
        <v>1613</v>
      </c>
      <c r="C40" s="363" t="s">
        <v>186</v>
      </c>
      <c r="D40" s="363" t="s">
        <v>111</v>
      </c>
      <c r="E40" s="326">
        <v>1238832</v>
      </c>
      <c r="F40" s="326">
        <v>40</v>
      </c>
      <c r="G40" s="591"/>
      <c r="H40" s="327"/>
      <c r="I40" s="294">
        <f>SUM(W40,SUMIFS('Cutters Consumption Updates'!$F:$F,'Cutters Consumption Updates'!$G:$G,"NEW",'Cutters Consumption Updates'!$J:$J,Table7[[#This Row],[PO'#]],'Cutters Consumption Updates'!$B:$B,Table7[[#This Row],[Cutter Mat'#]]))</f>
        <v>40</v>
      </c>
      <c r="J40" s="294">
        <f t="shared" si="0"/>
        <v>0</v>
      </c>
      <c r="N40">
        <v>1130200</v>
      </c>
      <c r="O40">
        <f t="shared" si="2"/>
        <v>0</v>
      </c>
      <c r="W40" s="294">
        <v>40</v>
      </c>
      <c r="AA40">
        <v>1238832</v>
      </c>
    </row>
    <row r="41" spans="1:27" ht="15.5" x14ac:dyDescent="0.25">
      <c r="A41" s="329"/>
      <c r="B41" s="363">
        <v>1613</v>
      </c>
      <c r="C41" s="363" t="s">
        <v>170</v>
      </c>
      <c r="D41" s="363" t="s">
        <v>145</v>
      </c>
      <c r="E41" s="326">
        <v>1261321</v>
      </c>
      <c r="F41" s="326">
        <v>20</v>
      </c>
      <c r="G41" s="591"/>
      <c r="H41" s="327"/>
      <c r="I41" s="294">
        <f>SUM(W41,SUMIFS('Cutters Consumption Updates'!$F:$F,'Cutters Consumption Updates'!$G:$G,"NEW",'Cutters Consumption Updates'!$J:$J,Table7[[#This Row],[PO'#]],'Cutters Consumption Updates'!$B:$B,Table7[[#This Row],[Cutter Mat'#]]))</f>
        <v>20</v>
      </c>
      <c r="J41" s="294">
        <f t="shared" si="0"/>
        <v>0</v>
      </c>
      <c r="N41">
        <v>1136983</v>
      </c>
      <c r="O41">
        <f t="shared" si="2"/>
        <v>15</v>
      </c>
      <c r="W41" s="294">
        <v>20</v>
      </c>
      <c r="AA41">
        <v>1261321</v>
      </c>
    </row>
    <row r="42" spans="1:27" ht="15.5" x14ac:dyDescent="0.35">
      <c r="A42" s="325"/>
      <c r="B42" s="363">
        <v>1613</v>
      </c>
      <c r="C42" s="363" t="s">
        <v>253</v>
      </c>
      <c r="D42" s="363" t="s">
        <v>111</v>
      </c>
      <c r="E42" s="326">
        <v>1100741</v>
      </c>
      <c r="F42" s="326">
        <v>30</v>
      </c>
      <c r="G42" s="591"/>
      <c r="H42" s="327"/>
      <c r="I42" s="294">
        <f>SUM(W42,SUMIFS('Cutters Consumption Updates'!$F:$F,'Cutters Consumption Updates'!$G:$G,"NEW",'Cutters Consumption Updates'!$J:$J,Table7[[#This Row],[PO'#]],'Cutters Consumption Updates'!$B:$B,Table7[[#This Row],[Cutter Mat'#]]))</f>
        <v>30</v>
      </c>
      <c r="J42" s="294">
        <f t="shared" si="0"/>
        <v>0</v>
      </c>
      <c r="K42" s="319"/>
      <c r="N42">
        <v>1136984</v>
      </c>
      <c r="O42">
        <f t="shared" si="2"/>
        <v>457</v>
      </c>
      <c r="W42" s="294">
        <v>30</v>
      </c>
      <c r="AA42">
        <v>1100741</v>
      </c>
    </row>
    <row r="43" spans="1:27" ht="15.5" x14ac:dyDescent="0.25">
      <c r="B43" s="364">
        <v>1613</v>
      </c>
      <c r="C43" s="364" t="s">
        <v>170</v>
      </c>
      <c r="D43" s="364" t="s">
        <v>145</v>
      </c>
      <c r="E43" s="8">
        <v>1228503</v>
      </c>
      <c r="F43" s="8">
        <v>200</v>
      </c>
      <c r="G43" s="475">
        <v>45161</v>
      </c>
      <c r="H43" s="303" t="s">
        <v>858</v>
      </c>
      <c r="I43" s="294">
        <f>SUM(W43,SUMIFS('Cutters Consumption Updates'!$F:$F,'Cutters Consumption Updates'!$G:$G,"NEW",'Cutters Consumption Updates'!$J:$J,Table7[[#This Row],[PO'#]],'Cutters Consumption Updates'!$B:$B,Table7[[#This Row],[Cutter Mat'#]]))</f>
        <v>200</v>
      </c>
      <c r="J43" s="294">
        <f t="shared" si="0"/>
        <v>0</v>
      </c>
      <c r="N43">
        <v>1142710</v>
      </c>
      <c r="O43">
        <f t="shared" si="2"/>
        <v>20</v>
      </c>
      <c r="W43" s="294">
        <v>200</v>
      </c>
      <c r="AA43">
        <v>1228503</v>
      </c>
    </row>
    <row r="44" spans="1:27" ht="15.5" x14ac:dyDescent="0.25">
      <c r="B44" s="364">
        <v>1613</v>
      </c>
      <c r="C44" s="364" t="s">
        <v>170</v>
      </c>
      <c r="D44" s="364" t="s">
        <v>145</v>
      </c>
      <c r="E44" s="8">
        <v>1220554</v>
      </c>
      <c r="F44" s="8">
        <v>60</v>
      </c>
      <c r="G44" s="475">
        <v>45161</v>
      </c>
      <c r="H44" s="303" t="s">
        <v>858</v>
      </c>
      <c r="I44" s="294">
        <f>SUM(W44,SUMIFS('Cutters Consumption Updates'!$F:$F,'Cutters Consumption Updates'!$G:$G,"NEW",'Cutters Consumption Updates'!$J:$J,Table7[[#This Row],[PO'#]],'Cutters Consumption Updates'!$B:$B,Table7[[#This Row],[Cutter Mat'#]]))</f>
        <v>60</v>
      </c>
      <c r="J44" s="294">
        <f t="shared" si="0"/>
        <v>0</v>
      </c>
      <c r="N44">
        <v>1142711</v>
      </c>
      <c r="O44">
        <f t="shared" si="2"/>
        <v>140</v>
      </c>
      <c r="W44" s="294">
        <v>60</v>
      </c>
      <c r="AA44">
        <v>1220554</v>
      </c>
    </row>
    <row r="45" spans="1:27" ht="15.5" x14ac:dyDescent="0.25">
      <c r="B45" s="364">
        <v>1308</v>
      </c>
      <c r="C45" s="364" t="s">
        <v>65</v>
      </c>
      <c r="D45" s="364" t="s">
        <v>71</v>
      </c>
      <c r="E45" s="304">
        <v>418525</v>
      </c>
      <c r="F45" s="8">
        <v>100</v>
      </c>
      <c r="G45" s="475">
        <v>45203</v>
      </c>
      <c r="H45" s="303" t="s">
        <v>874</v>
      </c>
      <c r="I45" s="294">
        <f>SUM(W45,SUMIFS('Cutters Consumption Updates'!$F:$F,'Cutters Consumption Updates'!$G:$G,"NEW",'Cutters Consumption Updates'!$J:$J,Table7[[#This Row],[PO'#]],'Cutters Consumption Updates'!$B:$B,Table7[[#This Row],[Cutter Mat'#]]))</f>
        <v>100</v>
      </c>
      <c r="J45" s="294">
        <f t="shared" si="0"/>
        <v>0</v>
      </c>
      <c r="N45">
        <v>1146345</v>
      </c>
      <c r="O45">
        <f t="shared" si="2"/>
        <v>20</v>
      </c>
      <c r="W45" s="294">
        <v>100</v>
      </c>
      <c r="AA45">
        <v>410851</v>
      </c>
    </row>
    <row r="46" spans="1:27" ht="15.5" x14ac:dyDescent="0.25">
      <c r="B46" s="364">
        <v>1308</v>
      </c>
      <c r="C46" s="364" t="s">
        <v>103</v>
      </c>
      <c r="D46" s="364" t="s">
        <v>71</v>
      </c>
      <c r="E46" s="304">
        <v>410851</v>
      </c>
      <c r="F46" s="8">
        <v>140</v>
      </c>
      <c r="G46" s="475">
        <v>45203</v>
      </c>
      <c r="H46" s="303" t="s">
        <v>874</v>
      </c>
      <c r="I46" s="294">
        <f>SUM(W46,SUMIFS('Cutters Consumption Updates'!$F:$F,'Cutters Consumption Updates'!$G:$G,"NEW",'Cutters Consumption Updates'!$J:$J,Table7[[#This Row],[PO'#]],'Cutters Consumption Updates'!$B:$B,Table7[[#This Row],[Cutter Mat'#]]))</f>
        <v>140</v>
      </c>
      <c r="J46" s="294">
        <f t="shared" si="0"/>
        <v>0</v>
      </c>
      <c r="N46">
        <v>1146346</v>
      </c>
      <c r="O46">
        <f t="shared" si="2"/>
        <v>744</v>
      </c>
      <c r="W46" s="294">
        <v>140</v>
      </c>
      <c r="AA46">
        <v>1100759</v>
      </c>
    </row>
    <row r="47" spans="1:27" ht="15.5" x14ac:dyDescent="0.25">
      <c r="B47" s="364" t="s">
        <v>875</v>
      </c>
      <c r="C47" s="364" t="s">
        <v>170</v>
      </c>
      <c r="D47" s="364" t="s">
        <v>145</v>
      </c>
      <c r="E47" s="304">
        <v>1261319</v>
      </c>
      <c r="F47" s="8">
        <v>130</v>
      </c>
      <c r="G47" s="475">
        <v>45203</v>
      </c>
      <c r="H47" s="303" t="s">
        <v>874</v>
      </c>
      <c r="I47" s="294">
        <f>SUM(W47,SUMIFS('Cutters Consumption Updates'!$F:$F,'Cutters Consumption Updates'!$G:$G,"NEW",'Cutters Consumption Updates'!$J:$J,Table7[[#This Row],[PO'#]],'Cutters Consumption Updates'!$B:$B,Table7[[#This Row],[Cutter Mat'#]]))</f>
        <v>130</v>
      </c>
      <c r="J47" s="294">
        <f t="shared" si="0"/>
        <v>0</v>
      </c>
      <c r="N47">
        <v>1146737</v>
      </c>
      <c r="O47">
        <f t="shared" si="2"/>
        <v>4773</v>
      </c>
      <c r="W47" s="294">
        <v>130</v>
      </c>
      <c r="AA47">
        <v>1146737</v>
      </c>
    </row>
    <row r="48" spans="1:27" ht="15.5" x14ac:dyDescent="0.25">
      <c r="B48" s="364" t="s">
        <v>876</v>
      </c>
      <c r="C48" s="364" t="s">
        <v>248</v>
      </c>
      <c r="D48" s="364" t="s">
        <v>125</v>
      </c>
      <c r="E48" s="304">
        <v>1136984</v>
      </c>
      <c r="F48" s="8">
        <v>26</v>
      </c>
      <c r="G48" s="475">
        <v>45203</v>
      </c>
      <c r="H48" s="303" t="s">
        <v>874</v>
      </c>
      <c r="I48" s="294">
        <f>SUM(W48,SUMIFS('Cutters Consumption Updates'!$F:$F,'Cutters Consumption Updates'!$G:$G,"NEW",'Cutters Consumption Updates'!$J:$J,Table7[[#This Row],[PO'#]],'Cutters Consumption Updates'!$B:$B,Table7[[#This Row],[Cutter Mat'#]]))</f>
        <v>26</v>
      </c>
      <c r="J48" s="294">
        <f t="shared" si="0"/>
        <v>0</v>
      </c>
      <c r="N48">
        <v>1146738</v>
      </c>
      <c r="O48">
        <f t="shared" si="2"/>
        <v>90</v>
      </c>
      <c r="W48" s="294">
        <v>26</v>
      </c>
      <c r="AA48">
        <v>1100751</v>
      </c>
    </row>
    <row r="49" spans="2:27" ht="15.5" x14ac:dyDescent="0.25">
      <c r="B49" s="364" t="s">
        <v>876</v>
      </c>
      <c r="C49" s="364" t="s">
        <v>248</v>
      </c>
      <c r="D49" s="364" t="s">
        <v>111</v>
      </c>
      <c r="E49" s="304">
        <v>1100696</v>
      </c>
      <c r="F49" s="8">
        <v>24</v>
      </c>
      <c r="G49" s="475">
        <v>45203</v>
      </c>
      <c r="H49" s="303" t="s">
        <v>874</v>
      </c>
      <c r="I49" s="294">
        <f>SUM(W49,SUMIFS('Cutters Consumption Updates'!$F:$F,'Cutters Consumption Updates'!$G:$G,"NEW",'Cutters Consumption Updates'!$J:$J,Table7[[#This Row],[PO'#]],'Cutters Consumption Updates'!$B:$B,Table7[[#This Row],[Cutter Mat'#]]))</f>
        <v>24</v>
      </c>
      <c r="J49" s="294">
        <f t="shared" si="0"/>
        <v>0</v>
      </c>
      <c r="N49">
        <v>1146742</v>
      </c>
      <c r="O49">
        <f t="shared" si="2"/>
        <v>55</v>
      </c>
      <c r="W49" s="294">
        <v>24</v>
      </c>
      <c r="AA49">
        <v>1234189</v>
      </c>
    </row>
    <row r="50" spans="2:27" ht="15.5" x14ac:dyDescent="0.25">
      <c r="B50" s="364" t="s">
        <v>877</v>
      </c>
      <c r="C50" s="364" t="s">
        <v>253</v>
      </c>
      <c r="D50" s="364" t="s">
        <v>51</v>
      </c>
      <c r="E50" s="304">
        <v>871781</v>
      </c>
      <c r="F50" s="8">
        <v>200</v>
      </c>
      <c r="G50" s="475">
        <v>45203</v>
      </c>
      <c r="H50" s="303" t="s">
        <v>874</v>
      </c>
      <c r="I50" s="294">
        <f>SUM(W50,SUMIFS('Cutters Consumption Updates'!$F:$F,'Cutters Consumption Updates'!$G:$G,"NEW",'Cutters Consumption Updates'!$J:$J,Table7[[#This Row],[PO'#]],'Cutters Consumption Updates'!$B:$B,Table7[[#This Row],[Cutter Mat'#]]))</f>
        <v>200</v>
      </c>
      <c r="J50" s="294">
        <f t="shared" si="0"/>
        <v>0</v>
      </c>
      <c r="N50">
        <v>1152018</v>
      </c>
      <c r="O50">
        <f t="shared" si="2"/>
        <v>51</v>
      </c>
      <c r="W50" s="294">
        <v>200</v>
      </c>
      <c r="AA50">
        <v>1231982</v>
      </c>
    </row>
    <row r="51" spans="2:27" ht="15.5" x14ac:dyDescent="0.25">
      <c r="B51" s="364" t="s">
        <v>878</v>
      </c>
      <c r="C51" s="364" t="s">
        <v>170</v>
      </c>
      <c r="D51" s="364" t="s">
        <v>145</v>
      </c>
      <c r="E51" s="304">
        <v>1261320</v>
      </c>
      <c r="F51" s="8">
        <v>40</v>
      </c>
      <c r="G51" s="475">
        <v>45203</v>
      </c>
      <c r="H51" s="303" t="s">
        <v>874</v>
      </c>
      <c r="I51" s="294">
        <f>SUM(W51,SUMIFS('Cutters Consumption Updates'!$F:$F,'Cutters Consumption Updates'!$G:$G,"NEW",'Cutters Consumption Updates'!$J:$J,Table7[[#This Row],[PO'#]],'Cutters Consumption Updates'!$B:$B,Table7[[#This Row],[Cutter Mat'#]]))</f>
        <v>40</v>
      </c>
      <c r="J51" s="294">
        <f t="shared" si="0"/>
        <v>0</v>
      </c>
      <c r="N51">
        <v>1162285</v>
      </c>
      <c r="O51">
        <f t="shared" si="2"/>
        <v>15</v>
      </c>
      <c r="W51" s="294">
        <v>40</v>
      </c>
      <c r="AA51">
        <v>1142711</v>
      </c>
    </row>
    <row r="52" spans="2:27" ht="15.5" x14ac:dyDescent="0.25">
      <c r="B52" s="364" t="s">
        <v>879</v>
      </c>
      <c r="C52" s="364" t="s">
        <v>253</v>
      </c>
      <c r="D52" s="364" t="s">
        <v>51</v>
      </c>
      <c r="E52" s="304">
        <v>647435</v>
      </c>
      <c r="F52" s="8">
        <v>50</v>
      </c>
      <c r="G52" s="475">
        <v>45203</v>
      </c>
      <c r="H52" s="303" t="s">
        <v>874</v>
      </c>
      <c r="I52" s="294">
        <f>SUM(W52,SUMIFS('Cutters Consumption Updates'!$F:$F,'Cutters Consumption Updates'!$G:$G,"NEW",'Cutters Consumption Updates'!$J:$J,Table7[[#This Row],[PO'#]],'Cutters Consumption Updates'!$B:$B,Table7[[#This Row],[Cutter Mat'#]]))</f>
        <v>50</v>
      </c>
      <c r="J52" s="294">
        <f t="shared" si="0"/>
        <v>0</v>
      </c>
      <c r="N52">
        <v>1162518</v>
      </c>
      <c r="O52">
        <f t="shared" si="2"/>
        <v>0</v>
      </c>
      <c r="W52" s="294">
        <v>50</v>
      </c>
      <c r="AA52">
        <v>1263281</v>
      </c>
    </row>
    <row r="53" spans="2:27" ht="15.5" x14ac:dyDescent="0.25">
      <c r="B53" s="364" t="s">
        <v>880</v>
      </c>
      <c r="C53" s="364" t="s">
        <v>253</v>
      </c>
      <c r="D53" s="364" t="s">
        <v>51</v>
      </c>
      <c r="E53" s="304">
        <v>647436</v>
      </c>
      <c r="F53" s="8">
        <v>256</v>
      </c>
      <c r="G53" s="475">
        <v>45203</v>
      </c>
      <c r="H53" s="303" t="s">
        <v>874</v>
      </c>
      <c r="I53" s="294">
        <f>SUM(W53,SUMIFS('Cutters Consumption Updates'!$F:$F,'Cutters Consumption Updates'!$G:$G,"NEW",'Cutters Consumption Updates'!$J:$J,Table7[[#This Row],[PO'#]],'Cutters Consumption Updates'!$B:$B,Table7[[#This Row],[Cutter Mat'#]]))</f>
        <v>256</v>
      </c>
      <c r="J53" s="294">
        <f t="shared" si="0"/>
        <v>0</v>
      </c>
      <c r="N53">
        <v>1165840</v>
      </c>
      <c r="O53">
        <f t="shared" si="2"/>
        <v>0</v>
      </c>
      <c r="W53" s="294">
        <v>256</v>
      </c>
      <c r="AA53">
        <v>1200972</v>
      </c>
    </row>
    <row r="54" spans="2:27" ht="15.5" x14ac:dyDescent="0.25">
      <c r="B54" s="364" t="s">
        <v>236</v>
      </c>
      <c r="C54" s="364" t="s">
        <v>109</v>
      </c>
      <c r="D54" s="364" t="s">
        <v>174</v>
      </c>
      <c r="E54" s="304">
        <v>1219562</v>
      </c>
      <c r="F54" s="8">
        <v>150</v>
      </c>
      <c r="G54" s="475">
        <v>45203</v>
      </c>
      <c r="H54" s="303" t="s">
        <v>874</v>
      </c>
      <c r="I54" s="294">
        <f>SUM(W54,SUMIFS('Cutters Consumption Updates'!$F:$F,'Cutters Consumption Updates'!$G:$G,"NEW",'Cutters Consumption Updates'!$J:$J,Table7[[#This Row],[PO'#]],'Cutters Consumption Updates'!$B:$B,Table7[[#This Row],[Cutter Mat'#]]))</f>
        <v>150</v>
      </c>
      <c r="J54" s="294">
        <f t="shared" si="0"/>
        <v>0</v>
      </c>
      <c r="N54">
        <v>1172481</v>
      </c>
      <c r="O54">
        <f t="shared" si="2"/>
        <v>25</v>
      </c>
      <c r="W54" s="294">
        <v>150</v>
      </c>
      <c r="AA54">
        <v>1104083</v>
      </c>
    </row>
    <row r="55" spans="2:27" ht="15.5" x14ac:dyDescent="0.25">
      <c r="B55" s="364" t="s">
        <v>881</v>
      </c>
      <c r="C55" s="364" t="s">
        <v>170</v>
      </c>
      <c r="D55" s="364" t="s">
        <v>145</v>
      </c>
      <c r="E55" s="304">
        <v>1261321</v>
      </c>
      <c r="F55" s="8">
        <v>50</v>
      </c>
      <c r="G55" s="475">
        <v>45203</v>
      </c>
      <c r="H55" s="303" t="s">
        <v>874</v>
      </c>
      <c r="I55" s="294">
        <f>SUM(W55,SUMIFS('Cutters Consumption Updates'!$F:$F,'Cutters Consumption Updates'!$G:$G,"NEW",'Cutters Consumption Updates'!$J:$J,Table7[[#This Row],[PO'#]],'Cutters Consumption Updates'!$B:$B,Table7[[#This Row],[Cutter Mat'#]]))</f>
        <v>50</v>
      </c>
      <c r="J55" s="294">
        <f t="shared" si="0"/>
        <v>0</v>
      </c>
      <c r="N55">
        <v>1175118</v>
      </c>
      <c r="O55">
        <f t="shared" si="2"/>
        <v>495</v>
      </c>
      <c r="W55" s="294">
        <v>50</v>
      </c>
      <c r="AA55">
        <v>1146346</v>
      </c>
    </row>
    <row r="56" spans="2:27" ht="15.5" x14ac:dyDescent="0.25">
      <c r="B56" s="364" t="s">
        <v>881</v>
      </c>
      <c r="C56" s="364" t="s">
        <v>170</v>
      </c>
      <c r="D56" s="364" t="s">
        <v>111</v>
      </c>
      <c r="E56" s="304">
        <v>1208601</v>
      </c>
      <c r="F56" s="8">
        <v>70</v>
      </c>
      <c r="G56" s="475">
        <v>45203</v>
      </c>
      <c r="H56" s="303" t="s">
        <v>874</v>
      </c>
      <c r="I56" s="294">
        <f>SUM(W56,SUMIFS('Cutters Consumption Updates'!$F:$F,'Cutters Consumption Updates'!$G:$G,"NEW",'Cutters Consumption Updates'!$J:$J,Table7[[#This Row],[PO'#]],'Cutters Consumption Updates'!$B:$B,Table7[[#This Row],[Cutter Mat'#]]))</f>
        <v>70</v>
      </c>
      <c r="J56" s="294">
        <f t="shared" si="0"/>
        <v>0</v>
      </c>
      <c r="N56">
        <v>1176641</v>
      </c>
      <c r="O56">
        <f t="shared" si="2"/>
        <v>0</v>
      </c>
      <c r="W56" s="294">
        <v>70</v>
      </c>
      <c r="AA56">
        <v>1271790</v>
      </c>
    </row>
    <row r="57" spans="2:27" ht="15.5" x14ac:dyDescent="0.25">
      <c r="B57" s="364" t="s">
        <v>882</v>
      </c>
      <c r="C57" s="364"/>
      <c r="D57" s="364"/>
      <c r="E57" s="304">
        <v>1228501</v>
      </c>
      <c r="F57" s="8">
        <v>60</v>
      </c>
      <c r="G57" s="475">
        <v>45203</v>
      </c>
      <c r="H57" s="303" t="s">
        <v>874</v>
      </c>
      <c r="I57" s="294">
        <f>SUM(W57,SUMIFS('Cutters Consumption Updates'!$F:$F,'Cutters Consumption Updates'!$G:$G,"NEW",'Cutters Consumption Updates'!$J:$J,Table7[[#This Row],[PO'#]],'Cutters Consumption Updates'!$B:$B,Table7[[#This Row],[Cutter Mat'#]]))</f>
        <v>60</v>
      </c>
      <c r="J57" s="294">
        <f t="shared" si="0"/>
        <v>0</v>
      </c>
      <c r="N57">
        <v>1180935</v>
      </c>
      <c r="O57">
        <f t="shared" si="2"/>
        <v>4</v>
      </c>
      <c r="W57" s="294">
        <v>60</v>
      </c>
      <c r="AA57">
        <v>1220688</v>
      </c>
    </row>
    <row r="58" spans="2:27" ht="15.5" x14ac:dyDescent="0.25">
      <c r="B58" s="364" t="s">
        <v>883</v>
      </c>
      <c r="C58" s="364" t="s">
        <v>170</v>
      </c>
      <c r="D58" s="364" t="s">
        <v>873</v>
      </c>
      <c r="E58" s="304">
        <v>1228502</v>
      </c>
      <c r="F58" s="8">
        <v>60</v>
      </c>
      <c r="G58" s="475">
        <v>45203</v>
      </c>
      <c r="H58" s="303" t="s">
        <v>874</v>
      </c>
      <c r="I58" s="294">
        <f>SUM(W58,SUMIFS('Cutters Consumption Updates'!$F:$F,'Cutters Consumption Updates'!$G:$G,"NEW",'Cutters Consumption Updates'!$J:$J,Table7[[#This Row],[PO'#]],'Cutters Consumption Updates'!$B:$B,Table7[[#This Row],[Cutter Mat'#]]))</f>
        <v>60</v>
      </c>
      <c r="J58" s="294">
        <f t="shared" si="0"/>
        <v>0</v>
      </c>
      <c r="N58">
        <v>1186963</v>
      </c>
      <c r="O58">
        <f t="shared" si="2"/>
        <v>12</v>
      </c>
      <c r="W58" s="294">
        <v>60</v>
      </c>
      <c r="AA58">
        <v>717751</v>
      </c>
    </row>
    <row r="59" spans="2:27" ht="15.5" x14ac:dyDescent="0.25">
      <c r="B59" s="364" t="s">
        <v>884</v>
      </c>
      <c r="C59" s="364" t="s">
        <v>253</v>
      </c>
      <c r="D59" s="364" t="s">
        <v>133</v>
      </c>
      <c r="E59" s="304">
        <v>1100759</v>
      </c>
      <c r="F59" s="8">
        <v>50</v>
      </c>
      <c r="G59" s="475">
        <v>45203</v>
      </c>
      <c r="H59" s="303" t="s">
        <v>874</v>
      </c>
      <c r="I59" s="294">
        <f>SUM(W59,SUMIFS('Cutters Consumption Updates'!$F:$F,'Cutters Consumption Updates'!$G:$G,"NEW",'Cutters Consumption Updates'!$J:$J,Table7[[#This Row],[PO'#]],'Cutters Consumption Updates'!$B:$B,Table7[[#This Row],[Cutter Mat'#]]))</f>
        <v>50</v>
      </c>
      <c r="J59" s="294">
        <f t="shared" si="0"/>
        <v>0</v>
      </c>
      <c r="N59">
        <v>1187117</v>
      </c>
      <c r="O59">
        <f t="shared" si="2"/>
        <v>15</v>
      </c>
      <c r="W59" s="294">
        <v>50</v>
      </c>
      <c r="AA59">
        <v>179733</v>
      </c>
    </row>
    <row r="60" spans="2:27" ht="15.5" x14ac:dyDescent="0.25">
      <c r="B60" s="364" t="s">
        <v>885</v>
      </c>
      <c r="C60" s="364"/>
      <c r="D60" s="364" t="s">
        <v>886</v>
      </c>
      <c r="E60" s="304">
        <v>1228503</v>
      </c>
      <c r="F60" s="8">
        <v>150</v>
      </c>
      <c r="G60" s="475">
        <v>45203</v>
      </c>
      <c r="H60" s="303" t="s">
        <v>874</v>
      </c>
      <c r="I60" s="294">
        <f>SUM(W60,SUMIFS('Cutters Consumption Updates'!$F:$F,'Cutters Consumption Updates'!$G:$G,"NEW",'Cutters Consumption Updates'!$J:$J,Table7[[#This Row],[PO'#]],'Cutters Consumption Updates'!$B:$B,Table7[[#This Row],[Cutter Mat'#]]))</f>
        <v>150</v>
      </c>
      <c r="J60" s="294">
        <f t="shared" si="0"/>
        <v>0</v>
      </c>
      <c r="N60">
        <v>1192901</v>
      </c>
      <c r="O60">
        <f t="shared" si="2"/>
        <v>30</v>
      </c>
      <c r="W60" s="294">
        <v>150</v>
      </c>
      <c r="AA60">
        <v>708306</v>
      </c>
    </row>
    <row r="61" spans="2:27" ht="15.5" x14ac:dyDescent="0.25">
      <c r="B61" s="364" t="s">
        <v>887</v>
      </c>
      <c r="C61" s="364"/>
      <c r="D61" s="364" t="s">
        <v>886</v>
      </c>
      <c r="E61" s="304">
        <v>1220554</v>
      </c>
      <c r="F61" s="8">
        <v>60</v>
      </c>
      <c r="G61" s="475">
        <v>45203</v>
      </c>
      <c r="H61" s="303" t="s">
        <v>874</v>
      </c>
      <c r="I61" s="294">
        <f>SUM(W61,SUMIFS('Cutters Consumption Updates'!$F:$F,'Cutters Consumption Updates'!$G:$G,"NEW",'Cutters Consumption Updates'!$J:$J,Table7[[#This Row],[PO'#]],'Cutters Consumption Updates'!$B:$B,Table7[[#This Row],[Cutter Mat'#]]))</f>
        <v>60</v>
      </c>
      <c r="J61" s="294">
        <f t="shared" si="0"/>
        <v>0</v>
      </c>
      <c r="N61">
        <v>1192902</v>
      </c>
      <c r="O61">
        <f t="shared" si="2"/>
        <v>20</v>
      </c>
      <c r="W61" s="294">
        <v>60</v>
      </c>
      <c r="AA61">
        <v>1244957</v>
      </c>
    </row>
    <row r="62" spans="2:27" ht="15.5" x14ac:dyDescent="0.25">
      <c r="B62" s="364">
        <v>1613</v>
      </c>
      <c r="C62" s="364" t="s">
        <v>177</v>
      </c>
      <c r="D62" s="364" t="s">
        <v>178</v>
      </c>
      <c r="E62" s="304">
        <v>1175118</v>
      </c>
      <c r="F62" s="8">
        <v>200</v>
      </c>
      <c r="G62" s="475">
        <v>45215</v>
      </c>
      <c r="H62" s="303" t="s">
        <v>888</v>
      </c>
      <c r="I62" s="294">
        <f>SUM(W62,SUMIFS('Cutters Consumption Updates'!$F:$F,'Cutters Consumption Updates'!$G:$G,"NEW",'Cutters Consumption Updates'!$J:$J,Table7[[#This Row],[PO'#]],'Cutters Consumption Updates'!$B:$B,Table7[[#This Row],[Cutter Mat'#]]))</f>
        <v>200</v>
      </c>
      <c r="J62" s="294">
        <f t="shared" si="0"/>
        <v>0</v>
      </c>
      <c r="N62">
        <v>1199247</v>
      </c>
      <c r="O62">
        <f t="shared" si="2"/>
        <v>170</v>
      </c>
      <c r="W62" s="294">
        <v>200</v>
      </c>
      <c r="AA62">
        <v>1126402</v>
      </c>
    </row>
    <row r="63" spans="2:27" ht="15.5" x14ac:dyDescent="0.25">
      <c r="B63" s="364">
        <v>1613</v>
      </c>
      <c r="C63" s="364" t="s">
        <v>186</v>
      </c>
      <c r="D63" s="364" t="s">
        <v>111</v>
      </c>
      <c r="E63" s="304">
        <v>1146737</v>
      </c>
      <c r="F63" s="8">
        <v>30</v>
      </c>
      <c r="G63" s="475">
        <v>45215</v>
      </c>
      <c r="H63" s="303" t="s">
        <v>889</v>
      </c>
      <c r="I63" s="294">
        <f>SUM(W63,SUMIFS('Cutters Consumption Updates'!$F:$F,'Cutters Consumption Updates'!$G:$G,"NEW",'Cutters Consumption Updates'!$J:$J,Table7[[#This Row],[PO'#]],'Cutters Consumption Updates'!$B:$B,Table7[[#This Row],[Cutter Mat'#]]))</f>
        <v>30</v>
      </c>
      <c r="J63" s="294">
        <f t="shared" si="0"/>
        <v>0</v>
      </c>
      <c r="N63">
        <v>1199261</v>
      </c>
      <c r="O63">
        <f t="shared" si="2"/>
        <v>247</v>
      </c>
      <c r="W63" s="294">
        <v>30</v>
      </c>
      <c r="AA63">
        <v>1250971</v>
      </c>
    </row>
    <row r="64" spans="2:27" ht="15.5" x14ac:dyDescent="0.25">
      <c r="B64" s="364" t="s">
        <v>875</v>
      </c>
      <c r="C64" s="364" t="s">
        <v>170</v>
      </c>
      <c r="D64" s="364" t="s">
        <v>145</v>
      </c>
      <c r="E64" s="304">
        <v>1261319</v>
      </c>
      <c r="F64" s="8">
        <v>144</v>
      </c>
      <c r="G64" s="475">
        <v>45217</v>
      </c>
      <c r="H64" s="303" t="s">
        <v>890</v>
      </c>
      <c r="I64" s="294">
        <f>SUM(W64,SUMIFS('Cutters Consumption Updates'!$F:$F,'Cutters Consumption Updates'!$G:$G,"NEW",'Cutters Consumption Updates'!$J:$J,Table7[[#This Row],[PO'#]],'Cutters Consumption Updates'!$B:$B,Table7[[#This Row],[Cutter Mat'#]]))</f>
        <v>144</v>
      </c>
      <c r="J64" s="294">
        <f t="shared" si="0"/>
        <v>0</v>
      </c>
      <c r="N64">
        <v>1199265</v>
      </c>
      <c r="O64">
        <f t="shared" si="2"/>
        <v>202</v>
      </c>
      <c r="W64" s="294">
        <v>144</v>
      </c>
      <c r="AA64">
        <v>1199247</v>
      </c>
    </row>
    <row r="65" spans="2:27" ht="15.5" x14ac:dyDescent="0.25">
      <c r="B65" s="364" t="s">
        <v>883</v>
      </c>
      <c r="C65" s="364" t="s">
        <v>170</v>
      </c>
      <c r="D65" s="364" t="s">
        <v>114</v>
      </c>
      <c r="E65" s="304">
        <v>1228502</v>
      </c>
      <c r="F65" s="8">
        <v>60</v>
      </c>
      <c r="G65" s="475">
        <v>45217</v>
      </c>
      <c r="H65" s="303" t="s">
        <v>890</v>
      </c>
      <c r="I65" s="294">
        <f>SUM(W65,SUMIFS('Cutters Consumption Updates'!$F:$F,'Cutters Consumption Updates'!$G:$G,"NEW",'Cutters Consumption Updates'!$J:$J,Table7[[#This Row],[PO'#]],'Cutters Consumption Updates'!$B:$B,Table7[[#This Row],[Cutter Mat'#]]))</f>
        <v>60</v>
      </c>
      <c r="J65" s="294">
        <f t="shared" si="0"/>
        <v>0</v>
      </c>
      <c r="N65">
        <v>1200972</v>
      </c>
      <c r="O65">
        <f t="shared" si="2"/>
        <v>55</v>
      </c>
      <c r="W65" s="294">
        <v>60</v>
      </c>
      <c r="AA65">
        <v>1266910</v>
      </c>
    </row>
    <row r="66" spans="2:27" ht="15.5" x14ac:dyDescent="0.25">
      <c r="B66" s="364" t="s">
        <v>877</v>
      </c>
      <c r="C66" s="364" t="s">
        <v>253</v>
      </c>
      <c r="D66" s="364" t="s">
        <v>51</v>
      </c>
      <c r="E66" s="304">
        <v>871781</v>
      </c>
      <c r="F66" s="8">
        <v>36</v>
      </c>
      <c r="G66" s="475">
        <v>45217</v>
      </c>
      <c r="H66" s="303" t="s">
        <v>890</v>
      </c>
      <c r="I66" s="294">
        <f>SUM(W66,SUMIFS('Cutters Consumption Updates'!$F:$F,'Cutters Consumption Updates'!$G:$G,"NEW",'Cutters Consumption Updates'!$J:$J,Table7[[#This Row],[PO'#]],'Cutters Consumption Updates'!$B:$B,Table7[[#This Row],[Cutter Mat'#]]))</f>
        <v>36</v>
      </c>
      <c r="J66" s="294">
        <f t="shared" ref="J66:J129" si="3">F66-I66</f>
        <v>0</v>
      </c>
      <c r="N66">
        <v>1201518</v>
      </c>
      <c r="O66">
        <f t="shared" ref="O66:O76" si="4">SUMIF($E:$E,N66,$I:$I)</f>
        <v>99</v>
      </c>
      <c r="W66" s="294">
        <v>36</v>
      </c>
      <c r="AA66">
        <v>1261615</v>
      </c>
    </row>
    <row r="67" spans="2:27" ht="15.5" x14ac:dyDescent="0.25">
      <c r="B67" s="364" t="s">
        <v>878</v>
      </c>
      <c r="C67" s="364" t="s">
        <v>170</v>
      </c>
      <c r="D67" s="364" t="s">
        <v>145</v>
      </c>
      <c r="E67" s="304">
        <v>1261320</v>
      </c>
      <c r="F67" s="8">
        <v>36</v>
      </c>
      <c r="G67" s="475">
        <v>45217</v>
      </c>
      <c r="H67" s="303" t="s">
        <v>890</v>
      </c>
      <c r="I67" s="294">
        <f>SUM(W67,SUMIFS('Cutters Consumption Updates'!$F:$F,'Cutters Consumption Updates'!$G:$G,"NEW",'Cutters Consumption Updates'!$J:$J,Table7[[#This Row],[PO'#]],'Cutters Consumption Updates'!$B:$B,Table7[[#This Row],[Cutter Mat'#]]))</f>
        <v>36</v>
      </c>
      <c r="J67" s="294">
        <f t="shared" si="3"/>
        <v>0</v>
      </c>
      <c r="N67">
        <v>1208601</v>
      </c>
      <c r="O67">
        <f t="shared" si="4"/>
        <v>1811</v>
      </c>
      <c r="W67" s="294">
        <v>36</v>
      </c>
      <c r="AA67">
        <v>1201518</v>
      </c>
    </row>
    <row r="68" spans="2:27" ht="15.5" x14ac:dyDescent="0.25">
      <c r="B68" s="364" t="s">
        <v>881</v>
      </c>
      <c r="C68" s="364" t="s">
        <v>170</v>
      </c>
      <c r="D68" s="364" t="s">
        <v>145</v>
      </c>
      <c r="E68" s="304">
        <v>1261321</v>
      </c>
      <c r="F68" s="8">
        <v>20</v>
      </c>
      <c r="G68" s="475">
        <v>45217</v>
      </c>
      <c r="H68" s="303" t="s">
        <v>890</v>
      </c>
      <c r="I68" s="294">
        <f>SUM(W68,SUMIFS('Cutters Consumption Updates'!$F:$F,'Cutters Consumption Updates'!$G:$G,"NEW",'Cutters Consumption Updates'!$J:$J,Table7[[#This Row],[PO'#]],'Cutters Consumption Updates'!$B:$B,Table7[[#This Row],[Cutter Mat'#]]))</f>
        <v>20</v>
      </c>
      <c r="J68" s="294">
        <f t="shared" si="3"/>
        <v>0</v>
      </c>
      <c r="N68">
        <v>1209333</v>
      </c>
      <c r="O68">
        <f t="shared" si="4"/>
        <v>165</v>
      </c>
      <c r="W68" s="294">
        <v>20</v>
      </c>
      <c r="AA68">
        <v>653400</v>
      </c>
    </row>
    <row r="69" spans="2:27" ht="15.5" x14ac:dyDescent="0.25">
      <c r="B69" s="364" t="s">
        <v>887</v>
      </c>
      <c r="C69" s="364"/>
      <c r="D69" s="364"/>
      <c r="E69" s="304">
        <v>1220554</v>
      </c>
      <c r="F69" s="8">
        <v>80</v>
      </c>
      <c r="G69" s="475">
        <v>45217</v>
      </c>
      <c r="H69" s="303" t="s">
        <v>890</v>
      </c>
      <c r="I69" s="294">
        <f>SUM(W69,SUMIFS('Cutters Consumption Updates'!$F:$F,'Cutters Consumption Updates'!$G:$G,"NEW",'Cutters Consumption Updates'!$J:$J,Table7[[#This Row],[PO'#]],'Cutters Consumption Updates'!$B:$B,Table7[[#This Row],[Cutter Mat'#]]))</f>
        <v>80</v>
      </c>
      <c r="J69" s="294">
        <f t="shared" si="3"/>
        <v>0</v>
      </c>
      <c r="N69">
        <v>1209410</v>
      </c>
      <c r="O69">
        <f t="shared" si="4"/>
        <v>449</v>
      </c>
      <c r="W69" s="294">
        <v>80</v>
      </c>
      <c r="AA69">
        <v>1100739</v>
      </c>
    </row>
    <row r="70" spans="2:27" ht="15.5" x14ac:dyDescent="0.25">
      <c r="B70" s="364" t="s">
        <v>882</v>
      </c>
      <c r="C70" s="364"/>
      <c r="D70" s="364"/>
      <c r="E70" s="304">
        <v>1228501</v>
      </c>
      <c r="F70" s="8">
        <v>80</v>
      </c>
      <c r="G70" s="475">
        <v>45217</v>
      </c>
      <c r="H70" s="303" t="s">
        <v>890</v>
      </c>
      <c r="I70" s="294">
        <f>SUM(W70,SUMIFS('Cutters Consumption Updates'!$F:$F,'Cutters Consumption Updates'!$G:$G,"NEW",'Cutters Consumption Updates'!$J:$J,Table7[[#This Row],[PO'#]],'Cutters Consumption Updates'!$B:$B,Table7[[#This Row],[Cutter Mat'#]]))</f>
        <v>80</v>
      </c>
      <c r="J70" s="294">
        <f t="shared" si="3"/>
        <v>0</v>
      </c>
      <c r="N70">
        <v>1219562</v>
      </c>
      <c r="O70">
        <f t="shared" si="4"/>
        <v>258</v>
      </c>
      <c r="W70" s="294">
        <v>80</v>
      </c>
      <c r="AA70">
        <v>1255773</v>
      </c>
    </row>
    <row r="71" spans="2:27" ht="15.5" x14ac:dyDescent="0.25">
      <c r="B71" s="364" t="s">
        <v>885</v>
      </c>
      <c r="C71" s="364"/>
      <c r="D71" s="364"/>
      <c r="E71" s="304">
        <v>1228503</v>
      </c>
      <c r="F71" s="8">
        <v>150</v>
      </c>
      <c r="G71" s="475">
        <v>45217</v>
      </c>
      <c r="H71" s="303" t="s">
        <v>890</v>
      </c>
      <c r="I71" s="294">
        <f>SUM(W71,SUMIFS('Cutters Consumption Updates'!$F:$F,'Cutters Consumption Updates'!$G:$G,"NEW",'Cutters Consumption Updates'!$J:$J,Table7[[#This Row],[PO'#]],'Cutters Consumption Updates'!$B:$B,Table7[[#This Row],[Cutter Mat'#]]))</f>
        <v>150</v>
      </c>
      <c r="J71" s="294">
        <f t="shared" si="3"/>
        <v>0</v>
      </c>
      <c r="N71">
        <v>1220334</v>
      </c>
      <c r="O71">
        <f t="shared" si="4"/>
        <v>0</v>
      </c>
      <c r="W71" s="294">
        <v>150</v>
      </c>
      <c r="AA71">
        <v>1263823</v>
      </c>
    </row>
    <row r="72" spans="2:27" ht="15.5" x14ac:dyDescent="0.25">
      <c r="B72" s="364" t="s">
        <v>881</v>
      </c>
      <c r="C72" s="364" t="s">
        <v>170</v>
      </c>
      <c r="D72" s="364" t="s">
        <v>145</v>
      </c>
      <c r="E72" s="304">
        <v>1261321</v>
      </c>
      <c r="F72" s="8">
        <v>24</v>
      </c>
      <c r="G72" s="475">
        <v>45217</v>
      </c>
      <c r="H72" s="303" t="s">
        <v>890</v>
      </c>
      <c r="I72" s="294">
        <f>SUM(W72,SUMIFS('Cutters Consumption Updates'!$F:$F,'Cutters Consumption Updates'!$G:$G,"NEW",'Cutters Consumption Updates'!$J:$J,Table7[[#This Row],[PO'#]],'Cutters Consumption Updates'!$B:$B,Table7[[#This Row],[Cutter Mat'#]]))</f>
        <v>24</v>
      </c>
      <c r="J72" s="294">
        <f t="shared" si="3"/>
        <v>0</v>
      </c>
      <c r="N72">
        <v>1220479</v>
      </c>
      <c r="O72">
        <f t="shared" si="4"/>
        <v>5</v>
      </c>
      <c r="W72" s="294">
        <v>24</v>
      </c>
      <c r="AA72">
        <v>1180935</v>
      </c>
    </row>
    <row r="73" spans="2:27" ht="15.5" x14ac:dyDescent="0.25">
      <c r="B73" s="364">
        <v>1613</v>
      </c>
      <c r="C73" s="364" t="s">
        <v>109</v>
      </c>
      <c r="D73" s="364" t="s">
        <v>157</v>
      </c>
      <c r="E73" s="304">
        <v>1209410</v>
      </c>
      <c r="F73" s="8">
        <v>9</v>
      </c>
      <c r="G73" s="475"/>
      <c r="H73" s="355" t="s">
        <v>891</v>
      </c>
      <c r="I73" s="294">
        <f>SUM(W73,SUMIFS('Cutters Consumption Updates'!$F:$F,'Cutters Consumption Updates'!$G:$G,"NEW",'Cutters Consumption Updates'!$J:$J,Table7[[#This Row],[PO'#]],'Cutters Consumption Updates'!$B:$B,Table7[[#This Row],[Cutter Mat'#]]))</f>
        <v>9</v>
      </c>
      <c r="J73" s="294">
        <f t="shared" si="3"/>
        <v>0</v>
      </c>
      <c r="K73" t="s">
        <v>892</v>
      </c>
      <c r="L73" s="300"/>
      <c r="N73">
        <v>1220554</v>
      </c>
      <c r="O73">
        <f t="shared" si="4"/>
        <v>1835</v>
      </c>
      <c r="W73" s="294">
        <v>9</v>
      </c>
      <c r="AA73">
        <v>1282370</v>
      </c>
    </row>
    <row r="74" spans="2:27" ht="15.5" x14ac:dyDescent="0.25">
      <c r="B74" s="364">
        <v>1308</v>
      </c>
      <c r="C74" s="364" t="s">
        <v>65</v>
      </c>
      <c r="D74" s="364" t="s">
        <v>71</v>
      </c>
      <c r="E74" s="304">
        <v>418525</v>
      </c>
      <c r="F74" s="8">
        <v>50</v>
      </c>
      <c r="G74" s="475">
        <v>45222</v>
      </c>
      <c r="H74" s="303" t="s">
        <v>893</v>
      </c>
      <c r="I74" s="294">
        <f>SUM(W74,SUMIFS('Cutters Consumption Updates'!$F:$F,'Cutters Consumption Updates'!$G:$G,"NEW",'Cutters Consumption Updates'!$J:$J,Table7[[#This Row],[PO'#]],'Cutters Consumption Updates'!$B:$B,Table7[[#This Row],[Cutter Mat'#]]))</f>
        <v>50</v>
      </c>
      <c r="J74" s="294">
        <f t="shared" si="3"/>
        <v>0</v>
      </c>
      <c r="N74">
        <v>1220688</v>
      </c>
      <c r="O74">
        <f t="shared" si="4"/>
        <v>865</v>
      </c>
      <c r="W74" s="294">
        <v>50</v>
      </c>
      <c r="AA74">
        <v>1272309</v>
      </c>
    </row>
    <row r="75" spans="2:27" ht="15.5" x14ac:dyDescent="0.25">
      <c r="B75" s="364" t="s">
        <v>877</v>
      </c>
      <c r="C75" s="364" t="s">
        <v>253</v>
      </c>
      <c r="D75" s="364" t="s">
        <v>133</v>
      </c>
      <c r="E75" s="304">
        <v>1100751</v>
      </c>
      <c r="F75" s="8">
        <v>20</v>
      </c>
      <c r="G75" s="475">
        <v>45222</v>
      </c>
      <c r="H75" s="303" t="s">
        <v>893</v>
      </c>
      <c r="I75" s="294">
        <f>SUM(W75,SUMIFS('Cutters Consumption Updates'!$F:$F,'Cutters Consumption Updates'!$G:$G,"NEW",'Cutters Consumption Updates'!$J:$J,Table7[[#This Row],[PO'#]],'Cutters Consumption Updates'!$B:$B,Table7[[#This Row],[Cutter Mat'#]]))</f>
        <v>20</v>
      </c>
      <c r="J75" s="294">
        <f t="shared" si="3"/>
        <v>0</v>
      </c>
      <c r="N75">
        <v>1228501</v>
      </c>
      <c r="O75">
        <f t="shared" si="4"/>
        <v>1746</v>
      </c>
      <c r="W75" s="294">
        <v>20</v>
      </c>
      <c r="AA75">
        <v>1199261</v>
      </c>
    </row>
    <row r="76" spans="2:27" ht="15.5" x14ac:dyDescent="0.25">
      <c r="B76" s="364" t="s">
        <v>877</v>
      </c>
      <c r="C76" s="364" t="s">
        <v>253</v>
      </c>
      <c r="D76" s="364" t="s">
        <v>51</v>
      </c>
      <c r="E76" s="304">
        <v>871781</v>
      </c>
      <c r="F76" s="8">
        <v>80</v>
      </c>
      <c r="G76" s="475">
        <v>45222</v>
      </c>
      <c r="H76" s="303" t="s">
        <v>893</v>
      </c>
      <c r="I76" s="294">
        <f>SUM(W76,SUMIFS('Cutters Consumption Updates'!$F:$F,'Cutters Consumption Updates'!$G:$G,"NEW",'Cutters Consumption Updates'!$J:$J,Table7[[#This Row],[PO'#]],'Cutters Consumption Updates'!$B:$B,Table7[[#This Row],[Cutter Mat'#]]))</f>
        <v>80</v>
      </c>
      <c r="J76" s="294">
        <f t="shared" si="3"/>
        <v>0</v>
      </c>
      <c r="N76">
        <v>1228502</v>
      </c>
      <c r="O76">
        <f t="shared" si="4"/>
        <v>1715</v>
      </c>
      <c r="W76" s="294">
        <v>80</v>
      </c>
      <c r="AA76">
        <v>1230916</v>
      </c>
    </row>
    <row r="77" spans="2:27" ht="15.5" x14ac:dyDescent="0.25">
      <c r="B77" s="364" t="s">
        <v>38</v>
      </c>
      <c r="C77" s="364" t="s">
        <v>151</v>
      </c>
      <c r="D77" s="364" t="s">
        <v>149</v>
      </c>
      <c r="E77" s="304">
        <v>1078377</v>
      </c>
      <c r="F77" s="8">
        <v>85</v>
      </c>
      <c r="G77" s="475">
        <v>45222</v>
      </c>
      <c r="H77" s="303" t="s">
        <v>893</v>
      </c>
      <c r="I77" s="294">
        <f>SUM(W77,SUMIFS('Cutters Consumption Updates'!$F:$F,'Cutters Consumption Updates'!$G:$G,"NEW",'Cutters Consumption Updates'!$J:$J,Table7[[#This Row],[PO'#]],'Cutters Consumption Updates'!$B:$B,Table7[[#This Row],[Cutter Mat'#]]))</f>
        <v>85</v>
      </c>
      <c r="J77" s="294">
        <f t="shared" si="3"/>
        <v>0</v>
      </c>
      <c r="N77">
        <v>1228503</v>
      </c>
      <c r="W77" s="294">
        <v>85</v>
      </c>
      <c r="AA77">
        <v>1288721</v>
      </c>
    </row>
    <row r="78" spans="2:27" ht="15.5" x14ac:dyDescent="0.25">
      <c r="B78" s="364" t="s">
        <v>38</v>
      </c>
      <c r="C78" s="364" t="s">
        <v>243</v>
      </c>
      <c r="D78" s="364" t="s">
        <v>192</v>
      </c>
      <c r="E78" s="304">
        <v>1234189</v>
      </c>
      <c r="F78" s="8">
        <v>18</v>
      </c>
      <c r="G78" s="475">
        <v>45222</v>
      </c>
      <c r="H78" s="303" t="s">
        <v>893</v>
      </c>
      <c r="I78" s="294">
        <f>SUM(W78,SUMIFS('Cutters Consumption Updates'!$F:$F,'Cutters Consumption Updates'!$G:$G,"NEW",'Cutters Consumption Updates'!$J:$J,Table7[[#This Row],[PO'#]],'Cutters Consumption Updates'!$B:$B,Table7[[#This Row],[Cutter Mat'#]]))</f>
        <v>18</v>
      </c>
      <c r="J78" s="294">
        <f t="shared" si="3"/>
        <v>0</v>
      </c>
      <c r="N78">
        <v>1230916</v>
      </c>
      <c r="W78" s="294">
        <v>18</v>
      </c>
      <c r="AA78">
        <v>1282746</v>
      </c>
    </row>
    <row r="79" spans="2:27" ht="15.5" x14ac:dyDescent="0.25">
      <c r="B79" s="364" t="s">
        <v>38</v>
      </c>
      <c r="C79" s="364" t="s">
        <v>243</v>
      </c>
      <c r="D79" s="364" t="s">
        <v>192</v>
      </c>
      <c r="E79" s="304">
        <v>625854</v>
      </c>
      <c r="F79" s="8">
        <v>10</v>
      </c>
      <c r="G79" s="475">
        <v>45222</v>
      </c>
      <c r="H79" s="303" t="s">
        <v>893</v>
      </c>
      <c r="I79" s="294">
        <f>SUM(W79,SUMIFS('Cutters Consumption Updates'!$F:$F,'Cutters Consumption Updates'!$G:$G,"NEW",'Cutters Consumption Updates'!$J:$J,Table7[[#This Row],[PO'#]],'Cutters Consumption Updates'!$B:$B,Table7[[#This Row],[Cutter Mat'#]]))</f>
        <v>10</v>
      </c>
      <c r="J79" s="294">
        <f t="shared" si="3"/>
        <v>0</v>
      </c>
      <c r="N79">
        <v>1231982</v>
      </c>
      <c r="W79" s="294">
        <v>10</v>
      </c>
      <c r="AA79">
        <v>1263929</v>
      </c>
    </row>
    <row r="80" spans="2:27" ht="15.5" x14ac:dyDescent="0.25">
      <c r="B80" s="364" t="s">
        <v>894</v>
      </c>
      <c r="C80" s="364" t="s">
        <v>177</v>
      </c>
      <c r="D80" s="364" t="s">
        <v>111</v>
      </c>
      <c r="E80" s="304">
        <v>1146737</v>
      </c>
      <c r="F80" s="8">
        <v>104</v>
      </c>
      <c r="G80" s="475">
        <v>45222</v>
      </c>
      <c r="H80" s="303" t="s">
        <v>893</v>
      </c>
      <c r="I80" s="294">
        <f>SUM(W80,SUMIFS('Cutters Consumption Updates'!$F:$F,'Cutters Consumption Updates'!$G:$G,"NEW",'Cutters Consumption Updates'!$J:$J,Table7[[#This Row],[PO'#]],'Cutters Consumption Updates'!$B:$B,Table7[[#This Row],[Cutter Mat'#]]))</f>
        <v>104</v>
      </c>
      <c r="J80" s="294">
        <f t="shared" si="3"/>
        <v>0</v>
      </c>
      <c r="N80">
        <v>1232092</v>
      </c>
      <c r="W80" s="294">
        <v>104</v>
      </c>
      <c r="AA80">
        <v>1199265</v>
      </c>
    </row>
    <row r="81" spans="2:27" ht="15.5" x14ac:dyDescent="0.25">
      <c r="B81" s="364" t="s">
        <v>236</v>
      </c>
      <c r="C81" s="364" t="s">
        <v>109</v>
      </c>
      <c r="D81" s="364" t="s">
        <v>174</v>
      </c>
      <c r="E81" s="304">
        <v>1219562</v>
      </c>
      <c r="F81" s="8">
        <v>108</v>
      </c>
      <c r="G81" s="475">
        <v>45222</v>
      </c>
      <c r="H81" s="303" t="s">
        <v>893</v>
      </c>
      <c r="I81" s="294">
        <f>SUM(W81,SUMIFS('Cutters Consumption Updates'!$F:$F,'Cutters Consumption Updates'!$G:$G,"NEW",'Cutters Consumption Updates'!$J:$J,Table7[[#This Row],[PO'#]],'Cutters Consumption Updates'!$B:$B,Table7[[#This Row],[Cutter Mat'#]]))</f>
        <v>108</v>
      </c>
      <c r="J81" s="294">
        <f t="shared" si="3"/>
        <v>0</v>
      </c>
      <c r="N81">
        <v>1233855</v>
      </c>
      <c r="W81" s="294">
        <v>108</v>
      </c>
      <c r="AA81">
        <v>1146742</v>
      </c>
    </row>
    <row r="82" spans="2:27" ht="15.5" x14ac:dyDescent="0.25">
      <c r="B82" s="364" t="s">
        <v>236</v>
      </c>
      <c r="C82" s="364" t="s">
        <v>109</v>
      </c>
      <c r="D82" s="364" t="s">
        <v>193</v>
      </c>
      <c r="E82" s="304">
        <v>1231982</v>
      </c>
      <c r="F82" s="8">
        <v>10</v>
      </c>
      <c r="G82" s="475">
        <v>45222</v>
      </c>
      <c r="H82" s="303" t="s">
        <v>893</v>
      </c>
      <c r="I82" s="294">
        <f>SUM(W82,SUMIFS('Cutters Consumption Updates'!$F:$F,'Cutters Consumption Updates'!$G:$G,"NEW",'Cutters Consumption Updates'!$J:$J,Table7[[#This Row],[PO'#]],'Cutters Consumption Updates'!$B:$B,Table7[[#This Row],[Cutter Mat'#]]))</f>
        <v>10</v>
      </c>
      <c r="J82" s="294">
        <f t="shared" si="3"/>
        <v>0</v>
      </c>
      <c r="N82">
        <v>1234189</v>
      </c>
      <c r="W82" s="294">
        <v>10</v>
      </c>
      <c r="AA82">
        <v>1186963</v>
      </c>
    </row>
    <row r="83" spans="2:27" ht="15.5" x14ac:dyDescent="0.25">
      <c r="B83" s="364" t="s">
        <v>236</v>
      </c>
      <c r="C83" s="364" t="s">
        <v>109</v>
      </c>
      <c r="D83" s="364" t="s">
        <v>895</v>
      </c>
      <c r="E83" s="304">
        <v>1209410</v>
      </c>
      <c r="F83" s="8">
        <v>20</v>
      </c>
      <c r="G83" s="475">
        <v>45222</v>
      </c>
      <c r="H83" s="303" t="s">
        <v>893</v>
      </c>
      <c r="I83" s="294">
        <f>SUM(W83,SUMIFS('Cutters Consumption Updates'!$F:$F,'Cutters Consumption Updates'!$G:$G,"NEW",'Cutters Consumption Updates'!$J:$J,Table7[[#This Row],[PO'#]],'Cutters Consumption Updates'!$B:$B,Table7[[#This Row],[Cutter Mat'#]]))</f>
        <v>20</v>
      </c>
      <c r="J83" s="294">
        <f t="shared" si="3"/>
        <v>0</v>
      </c>
      <c r="N83">
        <v>1234679</v>
      </c>
      <c r="W83" s="294">
        <v>20</v>
      </c>
      <c r="AA83">
        <v>1288783</v>
      </c>
    </row>
    <row r="84" spans="2:27" ht="15.5" x14ac:dyDescent="0.25">
      <c r="B84" s="364" t="s">
        <v>236</v>
      </c>
      <c r="C84" s="364" t="s">
        <v>109</v>
      </c>
      <c r="D84" s="364" t="s">
        <v>133</v>
      </c>
      <c r="E84" s="304">
        <v>1142711</v>
      </c>
      <c r="F84" s="8">
        <v>95</v>
      </c>
      <c r="G84" s="475">
        <v>45222</v>
      </c>
      <c r="H84" s="303" t="s">
        <v>893</v>
      </c>
      <c r="I84" s="294">
        <f>SUM(W84,SUMIFS('Cutters Consumption Updates'!$F:$F,'Cutters Consumption Updates'!$G:$G,"NEW",'Cutters Consumption Updates'!$J:$J,Table7[[#This Row],[PO'#]],'Cutters Consumption Updates'!$B:$B,Table7[[#This Row],[Cutter Mat'#]]))</f>
        <v>95</v>
      </c>
      <c r="J84" s="294">
        <f t="shared" si="3"/>
        <v>0</v>
      </c>
      <c r="N84">
        <v>1238831</v>
      </c>
      <c r="W84" s="294">
        <v>95</v>
      </c>
      <c r="AA84">
        <v>2002243</v>
      </c>
    </row>
    <row r="85" spans="2:27" ht="15.5" x14ac:dyDescent="0.25">
      <c r="B85" s="364" t="s">
        <v>881</v>
      </c>
      <c r="C85" s="364" t="s">
        <v>170</v>
      </c>
      <c r="D85" s="364" t="s">
        <v>111</v>
      </c>
      <c r="E85" s="304">
        <v>1208601</v>
      </c>
      <c r="F85" s="8">
        <v>75</v>
      </c>
      <c r="G85" s="475">
        <v>45222</v>
      </c>
      <c r="H85" s="303" t="s">
        <v>893</v>
      </c>
      <c r="I85" s="294">
        <f>SUM(W85,SUMIFS('Cutters Consumption Updates'!$F:$F,'Cutters Consumption Updates'!$G:$G,"NEW",'Cutters Consumption Updates'!$J:$J,Table7[[#This Row],[PO'#]],'Cutters Consumption Updates'!$B:$B,Table7[[#This Row],[Cutter Mat'#]]))</f>
        <v>75</v>
      </c>
      <c r="J85" s="294">
        <f t="shared" si="3"/>
        <v>0</v>
      </c>
      <c r="N85">
        <v>1238832</v>
      </c>
      <c r="W85" s="294">
        <v>75</v>
      </c>
      <c r="AA85">
        <v>1266417</v>
      </c>
    </row>
    <row r="86" spans="2:27" ht="15.5" x14ac:dyDescent="0.25">
      <c r="B86" s="364" t="s">
        <v>881</v>
      </c>
      <c r="C86" s="364" t="s">
        <v>170</v>
      </c>
      <c r="D86" s="364" t="s">
        <v>178</v>
      </c>
      <c r="E86" s="304">
        <v>1263281</v>
      </c>
      <c r="F86" s="8">
        <v>20</v>
      </c>
      <c r="G86" s="475">
        <v>45222</v>
      </c>
      <c r="H86" s="303" t="s">
        <v>893</v>
      </c>
      <c r="I86" s="294">
        <f>SUM(W86,SUMIFS('Cutters Consumption Updates'!$F:$F,'Cutters Consumption Updates'!$G:$G,"NEW",'Cutters Consumption Updates'!$J:$J,Table7[[#This Row],[PO'#]],'Cutters Consumption Updates'!$B:$B,Table7[[#This Row],[Cutter Mat'#]]))</f>
        <v>20</v>
      </c>
      <c r="J86" s="294">
        <f t="shared" si="3"/>
        <v>0</v>
      </c>
      <c r="N86">
        <v>1244299</v>
      </c>
      <c r="W86" s="294">
        <v>20</v>
      </c>
      <c r="AA86">
        <v>971055</v>
      </c>
    </row>
    <row r="87" spans="2:27" ht="15.5" x14ac:dyDescent="0.25">
      <c r="B87" s="364" t="s">
        <v>266</v>
      </c>
      <c r="C87" s="364" t="s">
        <v>243</v>
      </c>
      <c r="D87" s="364" t="s">
        <v>192</v>
      </c>
      <c r="E87" s="304">
        <v>1200972</v>
      </c>
      <c r="F87" s="8">
        <v>20</v>
      </c>
      <c r="G87" s="475">
        <v>45222</v>
      </c>
      <c r="H87" s="303" t="s">
        <v>893</v>
      </c>
      <c r="I87" s="294">
        <f>SUM(W87,SUMIFS('Cutters Consumption Updates'!$F:$F,'Cutters Consumption Updates'!$G:$G,"NEW",'Cutters Consumption Updates'!$J:$J,Table7[[#This Row],[PO'#]],'Cutters Consumption Updates'!$B:$B,Table7[[#This Row],[Cutter Mat'#]]))</f>
        <v>20</v>
      </c>
      <c r="J87" s="294">
        <f t="shared" si="3"/>
        <v>0</v>
      </c>
      <c r="N87">
        <v>1244957</v>
      </c>
      <c r="W87" s="294">
        <v>20</v>
      </c>
      <c r="AA87">
        <v>1296685</v>
      </c>
    </row>
    <row r="88" spans="2:27" ht="15.5" x14ac:dyDescent="0.25">
      <c r="B88" s="365" t="s">
        <v>894</v>
      </c>
      <c r="C88" s="365" t="s">
        <v>177</v>
      </c>
      <c r="D88" s="365" t="s">
        <v>896</v>
      </c>
      <c r="E88" s="361">
        <v>1175118</v>
      </c>
      <c r="F88" s="362">
        <v>200</v>
      </c>
      <c r="G88" s="475">
        <v>45228</v>
      </c>
      <c r="H88" s="303" t="s">
        <v>897</v>
      </c>
      <c r="I88" s="294">
        <f>SUM(W88,SUMIFS('Cutters Consumption Updates'!$F:$F,'Cutters Consumption Updates'!$G:$G,"NEW",'Cutters Consumption Updates'!$J:$J,Table7[[#This Row],[PO'#]],'Cutters Consumption Updates'!$B:$B,Table7[[#This Row],[Cutter Mat'#]]))</f>
        <v>200</v>
      </c>
      <c r="J88" s="294">
        <f t="shared" si="3"/>
        <v>0</v>
      </c>
      <c r="N88">
        <v>1244960</v>
      </c>
      <c r="W88" s="294">
        <v>200</v>
      </c>
      <c r="AA88">
        <v>1290837</v>
      </c>
    </row>
    <row r="89" spans="2:27" ht="15.5" x14ac:dyDescent="0.25">
      <c r="B89" s="364" t="s">
        <v>894</v>
      </c>
      <c r="C89" s="364" t="s">
        <v>177</v>
      </c>
      <c r="D89" s="364" t="s">
        <v>111</v>
      </c>
      <c r="E89" s="304">
        <v>1146737</v>
      </c>
      <c r="F89" s="8">
        <v>100</v>
      </c>
      <c r="G89" s="475">
        <v>45228</v>
      </c>
      <c r="H89" s="303" t="s">
        <v>897</v>
      </c>
      <c r="I89" s="294">
        <f>SUM(W89,SUMIFS('Cutters Consumption Updates'!$F:$F,'Cutters Consumption Updates'!$G:$G,"NEW",'Cutters Consumption Updates'!$J:$J,Table7[[#This Row],[PO'#]],'Cutters Consumption Updates'!$B:$B,Table7[[#This Row],[Cutter Mat'#]]))</f>
        <v>100</v>
      </c>
      <c r="J89" s="294">
        <f t="shared" si="3"/>
        <v>0</v>
      </c>
      <c r="N89">
        <v>1247589</v>
      </c>
      <c r="W89" s="294">
        <v>100</v>
      </c>
      <c r="AA89">
        <v>1272937</v>
      </c>
    </row>
    <row r="90" spans="2:27" ht="15.5" x14ac:dyDescent="0.25">
      <c r="B90" s="364">
        <v>1308</v>
      </c>
      <c r="C90" s="364" t="s">
        <v>65</v>
      </c>
      <c r="D90" s="364" t="s">
        <v>71</v>
      </c>
      <c r="E90" s="304">
        <v>418525</v>
      </c>
      <c r="F90" s="8">
        <v>150</v>
      </c>
      <c r="G90" s="475">
        <v>45232</v>
      </c>
      <c r="H90" s="303" t="s">
        <v>898</v>
      </c>
      <c r="I90" s="294">
        <f>SUM(W90,SUMIFS('Cutters Consumption Updates'!$F:$F,'Cutters Consumption Updates'!$G:$G,"NEW",'Cutters Consumption Updates'!$J:$J,Table7[[#This Row],[PO'#]],'Cutters Consumption Updates'!$B:$B,Table7[[#This Row],[Cutter Mat'#]]))</f>
        <v>150</v>
      </c>
      <c r="J90" s="294">
        <f t="shared" si="3"/>
        <v>0</v>
      </c>
      <c r="N90">
        <v>1250971</v>
      </c>
      <c r="W90" s="294">
        <v>150</v>
      </c>
      <c r="AA90">
        <v>1282369</v>
      </c>
    </row>
    <row r="91" spans="2:27" ht="15.5" x14ac:dyDescent="0.25">
      <c r="B91" s="364" t="s">
        <v>875</v>
      </c>
      <c r="C91" s="364" t="s">
        <v>170</v>
      </c>
      <c r="D91" s="364" t="s">
        <v>145</v>
      </c>
      <c r="E91" s="304">
        <v>1261319</v>
      </c>
      <c r="F91" s="8">
        <v>130</v>
      </c>
      <c r="G91" s="475">
        <v>45232</v>
      </c>
      <c r="H91" s="303" t="s">
        <v>898</v>
      </c>
      <c r="I91" s="294">
        <f>SUM(W91,SUMIFS('Cutters Consumption Updates'!$F:$F,'Cutters Consumption Updates'!$G:$G,"NEW",'Cutters Consumption Updates'!$J:$J,Table7[[#This Row],[PO'#]],'Cutters Consumption Updates'!$B:$B,Table7[[#This Row],[Cutter Mat'#]]))</f>
        <v>130</v>
      </c>
      <c r="J91" s="294">
        <f t="shared" si="3"/>
        <v>0</v>
      </c>
      <c r="N91">
        <v>1255772</v>
      </c>
      <c r="W91" s="294">
        <v>130</v>
      </c>
      <c r="AA91">
        <v>1162285</v>
      </c>
    </row>
    <row r="92" spans="2:27" ht="15.5" x14ac:dyDescent="0.25">
      <c r="B92" s="364" t="s">
        <v>876</v>
      </c>
      <c r="C92" s="364" t="s">
        <v>248</v>
      </c>
      <c r="D92" s="364" t="s">
        <v>125</v>
      </c>
      <c r="E92" s="304">
        <v>1136984</v>
      </c>
      <c r="F92" s="8">
        <v>100</v>
      </c>
      <c r="G92" s="475">
        <v>45232</v>
      </c>
      <c r="H92" s="303" t="s">
        <v>898</v>
      </c>
      <c r="I92" s="294">
        <f>SUM(W92,SUMIFS('Cutters Consumption Updates'!$F:$F,'Cutters Consumption Updates'!$G:$G,"NEW",'Cutters Consumption Updates'!$J:$J,Table7[[#This Row],[PO'#]],'Cutters Consumption Updates'!$B:$B,Table7[[#This Row],[Cutter Mat'#]]))</f>
        <v>100</v>
      </c>
      <c r="J92" s="294">
        <f t="shared" si="3"/>
        <v>0</v>
      </c>
      <c r="N92">
        <v>1255773</v>
      </c>
      <c r="W92" s="294">
        <v>100</v>
      </c>
      <c r="AA92">
        <v>1255772</v>
      </c>
    </row>
    <row r="93" spans="2:27" ht="15.5" x14ac:dyDescent="0.25">
      <c r="B93" s="364" t="s">
        <v>876</v>
      </c>
      <c r="C93" s="364" t="s">
        <v>248</v>
      </c>
      <c r="D93" s="364" t="s">
        <v>111</v>
      </c>
      <c r="E93" s="304">
        <v>1100696</v>
      </c>
      <c r="F93" s="8">
        <v>40</v>
      </c>
      <c r="G93" s="475">
        <v>45232</v>
      </c>
      <c r="H93" s="303" t="s">
        <v>898</v>
      </c>
      <c r="I93" s="294">
        <f>SUM(W93,SUMIFS('Cutters Consumption Updates'!$F:$F,'Cutters Consumption Updates'!$G:$G,"NEW",'Cutters Consumption Updates'!$J:$J,Table7[[#This Row],[PO'#]],'Cutters Consumption Updates'!$B:$B,Table7[[#This Row],[Cutter Mat'#]]))</f>
        <v>40</v>
      </c>
      <c r="J93" s="294">
        <f t="shared" si="3"/>
        <v>0</v>
      </c>
      <c r="N93">
        <v>1261319</v>
      </c>
      <c r="W93" s="294">
        <v>40</v>
      </c>
      <c r="AA93">
        <v>2002235</v>
      </c>
    </row>
    <row r="94" spans="2:27" ht="15.5" x14ac:dyDescent="0.25">
      <c r="B94" s="364" t="s">
        <v>876</v>
      </c>
      <c r="C94" s="364" t="s">
        <v>248</v>
      </c>
      <c r="D94" s="364" t="s">
        <v>134</v>
      </c>
      <c r="E94" s="304">
        <v>1104083</v>
      </c>
      <c r="F94" s="8">
        <v>10</v>
      </c>
      <c r="G94" s="475">
        <v>45232</v>
      </c>
      <c r="H94" s="303" t="s">
        <v>898</v>
      </c>
      <c r="I94" s="294">
        <f>SUM(W94,SUMIFS('Cutters Consumption Updates'!$F:$F,'Cutters Consumption Updates'!$G:$G,"NEW",'Cutters Consumption Updates'!$J:$J,Table7[[#This Row],[PO'#]],'Cutters Consumption Updates'!$B:$B,Table7[[#This Row],[Cutter Mat'#]]))</f>
        <v>10</v>
      </c>
      <c r="J94" s="294">
        <f t="shared" si="3"/>
        <v>0</v>
      </c>
      <c r="N94">
        <v>1261320</v>
      </c>
      <c r="W94" s="294">
        <v>10</v>
      </c>
      <c r="AA94">
        <v>1136983</v>
      </c>
    </row>
    <row r="95" spans="2:27" ht="15.5" x14ac:dyDescent="0.25">
      <c r="B95" s="364" t="s">
        <v>877</v>
      </c>
      <c r="C95" s="364" t="s">
        <v>253</v>
      </c>
      <c r="D95" s="364" t="s">
        <v>51</v>
      </c>
      <c r="E95" s="304">
        <v>871781</v>
      </c>
      <c r="F95" s="8">
        <v>60</v>
      </c>
      <c r="G95" s="475">
        <v>45232</v>
      </c>
      <c r="H95" s="303" t="s">
        <v>898</v>
      </c>
      <c r="I95" s="294">
        <f>SUM(W95,SUMIFS('Cutters Consumption Updates'!$F:$F,'Cutters Consumption Updates'!$G:$G,"NEW",'Cutters Consumption Updates'!$J:$J,Table7[[#This Row],[PO'#]],'Cutters Consumption Updates'!$B:$B,Table7[[#This Row],[Cutter Mat'#]]))</f>
        <v>60</v>
      </c>
      <c r="J95" s="294">
        <f t="shared" si="3"/>
        <v>0</v>
      </c>
      <c r="N95">
        <v>1261321</v>
      </c>
      <c r="W95" s="294">
        <v>60</v>
      </c>
      <c r="AA95">
        <v>2004484</v>
      </c>
    </row>
    <row r="96" spans="2:27" ht="15.5" x14ac:dyDescent="0.25">
      <c r="B96" s="364" t="s">
        <v>877</v>
      </c>
      <c r="C96" s="364" t="s">
        <v>253</v>
      </c>
      <c r="D96" s="364" t="s">
        <v>133</v>
      </c>
      <c r="E96" s="304">
        <v>1100751</v>
      </c>
      <c r="F96" s="8">
        <v>100</v>
      </c>
      <c r="G96" s="475">
        <v>45232</v>
      </c>
      <c r="H96" s="303" t="s">
        <v>898</v>
      </c>
      <c r="I96" s="294">
        <f>SUM(W96,SUMIFS('Cutters Consumption Updates'!$F:$F,'Cutters Consumption Updates'!$G:$G,"NEW",'Cutters Consumption Updates'!$J:$J,Table7[[#This Row],[PO'#]],'Cutters Consumption Updates'!$B:$B,Table7[[#This Row],[Cutter Mat'#]]))</f>
        <v>100</v>
      </c>
      <c r="J96" s="294">
        <f t="shared" si="3"/>
        <v>0</v>
      </c>
      <c r="N96">
        <v>1261615</v>
      </c>
      <c r="W96" s="294">
        <v>100</v>
      </c>
      <c r="AA96">
        <v>2000450</v>
      </c>
    </row>
    <row r="97" spans="2:27" ht="15.5" x14ac:dyDescent="0.25">
      <c r="B97" s="364" t="s">
        <v>899</v>
      </c>
      <c r="C97" s="364" t="s">
        <v>177</v>
      </c>
      <c r="D97" s="364" t="s">
        <v>111</v>
      </c>
      <c r="E97" s="304">
        <v>1146346</v>
      </c>
      <c r="F97" s="8">
        <v>42</v>
      </c>
      <c r="G97" s="475">
        <v>45232</v>
      </c>
      <c r="H97" s="303" t="s">
        <v>898</v>
      </c>
      <c r="I97" s="294">
        <f>SUM(W97,SUMIFS('Cutters Consumption Updates'!$F:$F,'Cutters Consumption Updates'!$G:$G,"NEW",'Cutters Consumption Updates'!$J:$J,Table7[[#This Row],[PO'#]],'Cutters Consumption Updates'!$B:$B,Table7[[#This Row],[Cutter Mat'#]]))</f>
        <v>42</v>
      </c>
      <c r="J97" s="294">
        <f t="shared" si="3"/>
        <v>0</v>
      </c>
      <c r="N97">
        <v>1263281</v>
      </c>
      <c r="W97" s="294">
        <v>42</v>
      </c>
      <c r="AA97">
        <v>2013726</v>
      </c>
    </row>
    <row r="98" spans="2:27" ht="15.5" x14ac:dyDescent="0.25">
      <c r="B98" s="364" t="s">
        <v>878</v>
      </c>
      <c r="C98" s="364" t="s">
        <v>170</v>
      </c>
      <c r="D98" s="364" t="s">
        <v>145</v>
      </c>
      <c r="E98" s="304">
        <v>1261320</v>
      </c>
      <c r="F98" s="8">
        <v>35</v>
      </c>
      <c r="G98" s="475">
        <v>45232</v>
      </c>
      <c r="H98" s="303" t="s">
        <v>898</v>
      </c>
      <c r="I98" s="294">
        <f>SUM(W98,SUMIFS('Cutters Consumption Updates'!$F:$F,'Cutters Consumption Updates'!$G:$G,"NEW",'Cutters Consumption Updates'!$J:$J,Table7[[#This Row],[PO'#]],'Cutters Consumption Updates'!$B:$B,Table7[[#This Row],[Cutter Mat'#]]))</f>
        <v>35</v>
      </c>
      <c r="J98" s="294">
        <f t="shared" si="3"/>
        <v>0</v>
      </c>
      <c r="N98">
        <v>1263823</v>
      </c>
      <c r="W98" s="294">
        <v>35</v>
      </c>
      <c r="AA98">
        <v>2002299</v>
      </c>
    </row>
    <row r="99" spans="2:27" ht="15.5" x14ac:dyDescent="0.25">
      <c r="B99" s="364" t="s">
        <v>38</v>
      </c>
      <c r="C99" s="364" t="s">
        <v>151</v>
      </c>
      <c r="D99" s="364" t="s">
        <v>149</v>
      </c>
      <c r="E99" s="304">
        <v>1078377</v>
      </c>
      <c r="F99" s="8">
        <v>100</v>
      </c>
      <c r="G99" s="475">
        <v>45232</v>
      </c>
      <c r="H99" s="303" t="s">
        <v>898</v>
      </c>
      <c r="I99" s="294">
        <f>SUM(W99,SUMIFS('Cutters Consumption Updates'!$F:$F,'Cutters Consumption Updates'!$G:$G,"NEW",'Cutters Consumption Updates'!$J:$J,Table7[[#This Row],[PO'#]],'Cutters Consumption Updates'!$B:$B,Table7[[#This Row],[Cutter Mat'#]]))</f>
        <v>100</v>
      </c>
      <c r="J99" s="294">
        <f t="shared" si="3"/>
        <v>0</v>
      </c>
      <c r="N99">
        <v>1263929</v>
      </c>
      <c r="W99" s="294">
        <v>100</v>
      </c>
      <c r="AA99">
        <v>1293118</v>
      </c>
    </row>
    <row r="100" spans="2:27" ht="15.5" x14ac:dyDescent="0.25">
      <c r="B100" s="364" t="s">
        <v>894</v>
      </c>
      <c r="C100" s="364" t="s">
        <v>177</v>
      </c>
      <c r="D100" s="364" t="s">
        <v>178</v>
      </c>
      <c r="E100" s="304">
        <v>1271790</v>
      </c>
      <c r="F100" s="8">
        <v>175</v>
      </c>
      <c r="G100" s="475">
        <v>45232</v>
      </c>
      <c r="H100" s="303" t="s">
        <v>898</v>
      </c>
      <c r="I100" s="294">
        <f>SUM(W100,SUMIFS('Cutters Consumption Updates'!$F:$F,'Cutters Consumption Updates'!$G:$G,"NEW",'Cutters Consumption Updates'!$J:$J,Table7[[#This Row],[PO'#]],'Cutters Consumption Updates'!$B:$B,Table7[[#This Row],[Cutter Mat'#]]))</f>
        <v>175</v>
      </c>
      <c r="J100" s="294">
        <f t="shared" si="3"/>
        <v>0</v>
      </c>
      <c r="K100" t="s">
        <v>900</v>
      </c>
      <c r="N100">
        <v>1266417</v>
      </c>
      <c r="W100" s="294">
        <v>175</v>
      </c>
      <c r="AA100">
        <v>2001060</v>
      </c>
    </row>
    <row r="101" spans="2:27" ht="15.5" x14ac:dyDescent="0.25">
      <c r="B101" s="364" t="s">
        <v>894</v>
      </c>
      <c r="C101" s="364" t="s">
        <v>177</v>
      </c>
      <c r="D101" s="364" t="s">
        <v>111</v>
      </c>
      <c r="E101" s="304">
        <v>1146737</v>
      </c>
      <c r="F101" s="8">
        <v>60</v>
      </c>
      <c r="G101" s="475">
        <v>45232</v>
      </c>
      <c r="H101" s="303" t="s">
        <v>898</v>
      </c>
      <c r="I101" s="294">
        <f>SUM(W101,SUMIFS('Cutters Consumption Updates'!$F:$F,'Cutters Consumption Updates'!$G:$G,"NEW",'Cutters Consumption Updates'!$J:$J,Table7[[#This Row],[PO'#]],'Cutters Consumption Updates'!$B:$B,Table7[[#This Row],[Cutter Mat'#]]))</f>
        <v>60</v>
      </c>
      <c r="J101" s="294">
        <f t="shared" si="3"/>
        <v>0</v>
      </c>
      <c r="N101">
        <v>1266910</v>
      </c>
      <c r="W101" s="294">
        <v>60</v>
      </c>
      <c r="AA101">
        <v>1274176</v>
      </c>
    </row>
    <row r="102" spans="2:27" ht="15.5" x14ac:dyDescent="0.25">
      <c r="B102" s="364" t="s">
        <v>236</v>
      </c>
      <c r="C102" s="364" t="s">
        <v>109</v>
      </c>
      <c r="D102" s="364" t="s">
        <v>895</v>
      </c>
      <c r="E102" s="304">
        <v>1209410</v>
      </c>
      <c r="F102" s="8">
        <v>40</v>
      </c>
      <c r="G102" s="475">
        <v>45232</v>
      </c>
      <c r="H102" s="303" t="s">
        <v>898</v>
      </c>
      <c r="I102" s="294">
        <f>SUM(W102,SUMIFS('Cutters Consumption Updates'!$F:$F,'Cutters Consumption Updates'!$G:$G,"NEW",'Cutters Consumption Updates'!$J:$J,Table7[[#This Row],[PO'#]],'Cutters Consumption Updates'!$B:$B,Table7[[#This Row],[Cutter Mat'#]]))</f>
        <v>40</v>
      </c>
      <c r="J102" s="294">
        <f t="shared" si="3"/>
        <v>0</v>
      </c>
      <c r="N102">
        <v>1271790</v>
      </c>
      <c r="W102" s="294">
        <v>40</v>
      </c>
      <c r="AA102">
        <v>2001155</v>
      </c>
    </row>
    <row r="103" spans="2:27" ht="15.5" x14ac:dyDescent="0.25">
      <c r="B103" s="364" t="s">
        <v>881</v>
      </c>
      <c r="C103" s="364" t="s">
        <v>170</v>
      </c>
      <c r="D103" s="364" t="s">
        <v>145</v>
      </c>
      <c r="E103" s="304">
        <v>1261321</v>
      </c>
      <c r="F103" s="8">
        <v>25</v>
      </c>
      <c r="G103" s="475">
        <v>45232</v>
      </c>
      <c r="H103" s="303" t="s">
        <v>898</v>
      </c>
      <c r="I103" s="294">
        <f>SUM(W103,SUMIFS('Cutters Consumption Updates'!$F:$F,'Cutters Consumption Updates'!$G:$G,"NEW",'Cutters Consumption Updates'!$J:$J,Table7[[#This Row],[PO'#]],'Cutters Consumption Updates'!$B:$B,Table7[[#This Row],[Cutter Mat'#]]))</f>
        <v>25</v>
      </c>
      <c r="J103" s="294">
        <f t="shared" si="3"/>
        <v>0</v>
      </c>
      <c r="N103">
        <v>1272309</v>
      </c>
      <c r="W103" s="294">
        <v>25</v>
      </c>
      <c r="AA103">
        <v>2002244</v>
      </c>
    </row>
    <row r="104" spans="2:27" ht="15.5" x14ac:dyDescent="0.25">
      <c r="B104" s="364" t="s">
        <v>881</v>
      </c>
      <c r="C104" s="364" t="s">
        <v>170</v>
      </c>
      <c r="D104" s="364" t="s">
        <v>111</v>
      </c>
      <c r="E104" s="304">
        <v>1208601</v>
      </c>
      <c r="F104" s="8">
        <v>40</v>
      </c>
      <c r="G104" s="475">
        <v>45232</v>
      </c>
      <c r="H104" s="303" t="s">
        <v>898</v>
      </c>
      <c r="I104" s="294">
        <f>SUM(W104,SUMIFS('Cutters Consumption Updates'!$F:$F,'Cutters Consumption Updates'!$G:$G,"NEW",'Cutters Consumption Updates'!$J:$J,Table7[[#This Row],[PO'#]],'Cutters Consumption Updates'!$B:$B,Table7[[#This Row],[Cutter Mat'#]]))</f>
        <v>40</v>
      </c>
      <c r="J104" s="294">
        <f t="shared" si="3"/>
        <v>0</v>
      </c>
      <c r="N104">
        <v>1272937</v>
      </c>
      <c r="W104" s="294">
        <v>40</v>
      </c>
    </row>
    <row r="105" spans="2:27" ht="15.5" x14ac:dyDescent="0.25">
      <c r="B105" s="364" t="s">
        <v>884</v>
      </c>
      <c r="C105" s="364" t="s">
        <v>253</v>
      </c>
      <c r="D105" s="364" t="s">
        <v>133</v>
      </c>
      <c r="E105" s="304">
        <v>1100759</v>
      </c>
      <c r="F105" s="8">
        <v>100</v>
      </c>
      <c r="G105" s="475">
        <v>45232</v>
      </c>
      <c r="H105" s="303" t="s">
        <v>898</v>
      </c>
      <c r="I105" s="294">
        <f>SUM(W105,SUMIFS('Cutters Consumption Updates'!$F:$F,'Cutters Consumption Updates'!$G:$G,"NEW",'Cutters Consumption Updates'!$J:$J,Table7[[#This Row],[PO'#]],'Cutters Consumption Updates'!$B:$B,Table7[[#This Row],[Cutter Mat'#]]))</f>
        <v>100</v>
      </c>
      <c r="J105" s="294">
        <f t="shared" si="3"/>
        <v>0</v>
      </c>
      <c r="N105">
        <v>1274176</v>
      </c>
      <c r="W105" s="294">
        <v>100</v>
      </c>
    </row>
    <row r="106" spans="2:27" ht="15.5" x14ac:dyDescent="0.25">
      <c r="B106" s="364" t="s">
        <v>266</v>
      </c>
      <c r="C106" s="364" t="s">
        <v>103</v>
      </c>
      <c r="D106" s="364" t="s">
        <v>267</v>
      </c>
      <c r="E106" s="304">
        <v>1101509</v>
      </c>
      <c r="F106" s="8">
        <v>20</v>
      </c>
      <c r="G106" s="475">
        <v>45232</v>
      </c>
      <c r="H106" s="303" t="s">
        <v>898</v>
      </c>
      <c r="I106" s="294">
        <f>SUM(W106,SUMIFS('Cutters Consumption Updates'!$F:$F,'Cutters Consumption Updates'!$G:$G,"NEW",'Cutters Consumption Updates'!$J:$J,Table7[[#This Row],[PO'#]],'Cutters Consumption Updates'!$B:$B,Table7[[#This Row],[Cutter Mat'#]]))</f>
        <v>20</v>
      </c>
      <c r="J106" s="294">
        <f t="shared" si="3"/>
        <v>0</v>
      </c>
      <c r="N106">
        <v>1282369</v>
      </c>
      <c r="W106" s="294">
        <v>20</v>
      </c>
    </row>
    <row r="107" spans="2:27" ht="15.5" x14ac:dyDescent="0.25">
      <c r="B107" s="364" t="s">
        <v>901</v>
      </c>
      <c r="C107" s="364" t="s">
        <v>170</v>
      </c>
      <c r="D107" s="364" t="s">
        <v>114</v>
      </c>
      <c r="E107" s="304">
        <v>1228502</v>
      </c>
      <c r="F107" s="8">
        <v>60</v>
      </c>
      <c r="G107" s="475">
        <v>45232</v>
      </c>
      <c r="H107" s="303" t="s">
        <v>898</v>
      </c>
      <c r="I107" s="294">
        <f>SUM(W107,SUMIFS('Cutters Consumption Updates'!$F:$F,'Cutters Consumption Updates'!$G:$G,"NEW",'Cutters Consumption Updates'!$J:$J,Table7[[#This Row],[PO'#]],'Cutters Consumption Updates'!$B:$B,Table7[[#This Row],[Cutter Mat'#]]))</f>
        <v>60</v>
      </c>
      <c r="J107" s="294">
        <f t="shared" si="3"/>
        <v>0</v>
      </c>
      <c r="N107">
        <v>1282370</v>
      </c>
      <c r="W107" s="294">
        <v>60</v>
      </c>
    </row>
    <row r="108" spans="2:27" ht="15.5" x14ac:dyDescent="0.25">
      <c r="B108" s="364" t="s">
        <v>902</v>
      </c>
      <c r="C108" s="364"/>
      <c r="D108" s="364"/>
      <c r="E108" s="304">
        <v>1220554</v>
      </c>
      <c r="F108" s="8">
        <v>80</v>
      </c>
      <c r="G108" s="475">
        <v>45232</v>
      </c>
      <c r="H108" s="303" t="s">
        <v>898</v>
      </c>
      <c r="I108" s="294">
        <f>SUM(W108,SUMIFS('Cutters Consumption Updates'!$F:$F,'Cutters Consumption Updates'!$G:$G,"NEW",'Cutters Consumption Updates'!$J:$J,Table7[[#This Row],[PO'#]],'Cutters Consumption Updates'!$B:$B,Table7[[#This Row],[Cutter Mat'#]]))</f>
        <v>80</v>
      </c>
      <c r="J108" s="294">
        <f t="shared" si="3"/>
        <v>0</v>
      </c>
      <c r="N108">
        <v>1282746</v>
      </c>
      <c r="W108" s="294">
        <v>80</v>
      </c>
    </row>
    <row r="109" spans="2:27" ht="15.5" x14ac:dyDescent="0.25">
      <c r="B109" s="364" t="s">
        <v>903</v>
      </c>
      <c r="C109" s="364"/>
      <c r="D109" s="364"/>
      <c r="E109" s="304">
        <v>1228501</v>
      </c>
      <c r="F109" s="8">
        <v>80</v>
      </c>
      <c r="G109" s="475">
        <v>45232</v>
      </c>
      <c r="H109" s="303" t="s">
        <v>898</v>
      </c>
      <c r="I109" s="294">
        <f>SUM(W109,SUMIFS('Cutters Consumption Updates'!$F:$F,'Cutters Consumption Updates'!$G:$G,"NEW",'Cutters Consumption Updates'!$J:$J,Table7[[#This Row],[PO'#]],'Cutters Consumption Updates'!$B:$B,Table7[[#This Row],[Cutter Mat'#]]))</f>
        <v>80</v>
      </c>
      <c r="J109" s="294">
        <f t="shared" si="3"/>
        <v>0</v>
      </c>
      <c r="N109">
        <v>1288721</v>
      </c>
      <c r="W109" s="294">
        <v>80</v>
      </c>
    </row>
    <row r="110" spans="2:27" ht="15.5" x14ac:dyDescent="0.25">
      <c r="B110" s="364" t="s">
        <v>904</v>
      </c>
      <c r="C110" s="364"/>
      <c r="D110" s="364"/>
      <c r="E110" s="304">
        <v>1228503</v>
      </c>
      <c r="F110" s="8">
        <v>50</v>
      </c>
      <c r="G110" s="475">
        <v>45232</v>
      </c>
      <c r="H110" s="303" t="s">
        <v>898</v>
      </c>
      <c r="I110" s="294">
        <f>SUM(W110,SUMIFS('Cutters Consumption Updates'!$F:$F,'Cutters Consumption Updates'!$G:$G,"NEW",'Cutters Consumption Updates'!$J:$J,Table7[[#This Row],[PO'#]],'Cutters Consumption Updates'!$B:$B,Table7[[#This Row],[Cutter Mat'#]]))</f>
        <v>50</v>
      </c>
      <c r="J110" s="294">
        <f t="shared" si="3"/>
        <v>0</v>
      </c>
      <c r="N110">
        <v>1288783</v>
      </c>
      <c r="W110" s="294">
        <v>50</v>
      </c>
    </row>
    <row r="111" spans="2:27" ht="15.5" x14ac:dyDescent="0.25">
      <c r="B111" s="364">
        <v>1613</v>
      </c>
      <c r="C111" s="364" t="s">
        <v>177</v>
      </c>
      <c r="D111" s="364" t="s">
        <v>111</v>
      </c>
      <c r="E111" s="304">
        <v>1146737</v>
      </c>
      <c r="F111" s="8">
        <v>195</v>
      </c>
      <c r="G111" s="475">
        <v>45235</v>
      </c>
      <c r="H111" s="303" t="s">
        <v>905</v>
      </c>
      <c r="I111" s="294">
        <f>SUM(W111,SUMIFS('Cutters Consumption Updates'!$F:$F,'Cutters Consumption Updates'!$G:$G,"NEW",'Cutters Consumption Updates'!$J:$J,Table7[[#This Row],[PO'#]],'Cutters Consumption Updates'!$B:$B,Table7[[#This Row],[Cutter Mat'#]]))</f>
        <v>195</v>
      </c>
      <c r="J111" s="294">
        <f t="shared" si="3"/>
        <v>0</v>
      </c>
      <c r="N111">
        <v>1290837</v>
      </c>
      <c r="W111" s="294">
        <v>195</v>
      </c>
    </row>
    <row r="112" spans="2:27" ht="15.5" x14ac:dyDescent="0.25">
      <c r="B112" s="364">
        <v>1613</v>
      </c>
      <c r="C112" s="364" t="s">
        <v>177</v>
      </c>
      <c r="D112" s="364" t="s">
        <v>178</v>
      </c>
      <c r="E112" s="304">
        <v>1271790</v>
      </c>
      <c r="F112" s="8">
        <v>265</v>
      </c>
      <c r="G112" s="475">
        <v>45235</v>
      </c>
      <c r="H112" s="303" t="s">
        <v>905</v>
      </c>
      <c r="I112" s="294">
        <f>SUM(W112,SUMIFS('Cutters Consumption Updates'!$F:$F,'Cutters Consumption Updates'!$G:$G,"NEW",'Cutters Consumption Updates'!$J:$J,Table7[[#This Row],[PO'#]],'Cutters Consumption Updates'!$B:$B,Table7[[#This Row],[Cutter Mat'#]]))</f>
        <v>265</v>
      </c>
      <c r="J112" s="294">
        <f t="shared" si="3"/>
        <v>0</v>
      </c>
      <c r="K112" t="s">
        <v>900</v>
      </c>
      <c r="N112">
        <v>1291852</v>
      </c>
      <c r="W112" s="294">
        <v>265</v>
      </c>
    </row>
    <row r="113" spans="2:23" ht="15.5" x14ac:dyDescent="0.25">
      <c r="B113" s="364" t="s">
        <v>875</v>
      </c>
      <c r="C113" s="364" t="s">
        <v>170</v>
      </c>
      <c r="D113" s="364" t="s">
        <v>145</v>
      </c>
      <c r="E113" s="304">
        <v>1261319</v>
      </c>
      <c r="F113" s="8">
        <v>100</v>
      </c>
      <c r="G113" s="475">
        <v>45244</v>
      </c>
      <c r="H113" s="303" t="s">
        <v>906</v>
      </c>
      <c r="I113" s="294">
        <f>SUM(W113,SUMIFS('Cutters Consumption Updates'!$F:$F,'Cutters Consumption Updates'!$G:$G,"NEW",'Cutters Consumption Updates'!$J:$J,Table7[[#This Row],[PO'#]],'Cutters Consumption Updates'!$B:$B,Table7[[#This Row],[Cutter Mat'#]]))</f>
        <v>100</v>
      </c>
      <c r="J113" s="294">
        <f t="shared" si="3"/>
        <v>0</v>
      </c>
      <c r="N113">
        <v>1291870</v>
      </c>
      <c r="W113" s="294">
        <v>100</v>
      </c>
    </row>
    <row r="114" spans="2:23" ht="15.5" x14ac:dyDescent="0.25">
      <c r="B114" s="364" t="s">
        <v>901</v>
      </c>
      <c r="C114" s="364" t="s">
        <v>170</v>
      </c>
      <c r="D114" s="364" t="s">
        <v>114</v>
      </c>
      <c r="E114" s="304">
        <v>1228502</v>
      </c>
      <c r="F114" s="8">
        <v>25</v>
      </c>
      <c r="G114" s="475">
        <v>45244</v>
      </c>
      <c r="H114" s="303" t="s">
        <v>906</v>
      </c>
      <c r="I114" s="294">
        <f>SUM(W114,SUMIFS('Cutters Consumption Updates'!$F:$F,'Cutters Consumption Updates'!$G:$G,"NEW",'Cutters Consumption Updates'!$J:$J,Table7[[#This Row],[PO'#]],'Cutters Consumption Updates'!$B:$B,Table7[[#This Row],[Cutter Mat'#]]))</f>
        <v>25</v>
      </c>
      <c r="J114" s="294">
        <f t="shared" si="3"/>
        <v>0</v>
      </c>
      <c r="N114">
        <v>1292498</v>
      </c>
      <c r="W114" s="294">
        <v>25</v>
      </c>
    </row>
    <row r="115" spans="2:23" ht="15.5" x14ac:dyDescent="0.25">
      <c r="B115" s="364" t="s">
        <v>877</v>
      </c>
      <c r="C115" s="364" t="s">
        <v>253</v>
      </c>
      <c r="D115" s="364" t="s">
        <v>51</v>
      </c>
      <c r="E115" s="304">
        <v>871781</v>
      </c>
      <c r="F115" s="8">
        <v>50</v>
      </c>
      <c r="G115" s="475">
        <v>45244</v>
      </c>
      <c r="H115" s="303" t="s">
        <v>906</v>
      </c>
      <c r="I115" s="294">
        <f>SUM(W115,SUMIFS('Cutters Consumption Updates'!$F:$F,'Cutters Consumption Updates'!$G:$G,"NEW",'Cutters Consumption Updates'!$J:$J,Table7[[#This Row],[PO'#]],'Cutters Consumption Updates'!$B:$B,Table7[[#This Row],[Cutter Mat'#]]))</f>
        <v>50</v>
      </c>
      <c r="J115" s="294">
        <f t="shared" si="3"/>
        <v>0</v>
      </c>
      <c r="N115">
        <v>1293118</v>
      </c>
      <c r="W115" s="294">
        <v>50</v>
      </c>
    </row>
    <row r="116" spans="2:23" ht="15.5" x14ac:dyDescent="0.25">
      <c r="B116" s="364" t="s">
        <v>878</v>
      </c>
      <c r="C116" s="364" t="s">
        <v>170</v>
      </c>
      <c r="D116" s="364" t="s">
        <v>145</v>
      </c>
      <c r="E116" s="304">
        <v>1261320</v>
      </c>
      <c r="F116" s="8">
        <v>25</v>
      </c>
      <c r="G116" s="475">
        <v>45244</v>
      </c>
      <c r="H116" s="303" t="s">
        <v>906</v>
      </c>
      <c r="I116" s="294">
        <f>SUM(W116,SUMIFS('Cutters Consumption Updates'!$F:$F,'Cutters Consumption Updates'!$G:$G,"NEW",'Cutters Consumption Updates'!$J:$J,Table7[[#This Row],[PO'#]],'Cutters Consumption Updates'!$B:$B,Table7[[#This Row],[Cutter Mat'#]]))</f>
        <v>25</v>
      </c>
      <c r="J116" s="294">
        <f t="shared" si="3"/>
        <v>0</v>
      </c>
      <c r="N116">
        <v>1296685</v>
      </c>
      <c r="W116" s="294">
        <v>25</v>
      </c>
    </row>
    <row r="117" spans="2:23" ht="15.5" x14ac:dyDescent="0.25">
      <c r="B117" s="364" t="s">
        <v>881</v>
      </c>
      <c r="C117" s="364" t="s">
        <v>170</v>
      </c>
      <c r="D117" s="364" t="s">
        <v>145</v>
      </c>
      <c r="E117" s="304">
        <v>1261321</v>
      </c>
      <c r="F117" s="8">
        <v>25</v>
      </c>
      <c r="G117" s="475">
        <v>45244</v>
      </c>
      <c r="H117" s="303" t="s">
        <v>906</v>
      </c>
      <c r="I117" s="294">
        <f>SUM(W117,SUMIFS('Cutters Consumption Updates'!$F:$F,'Cutters Consumption Updates'!$G:$G,"NEW",'Cutters Consumption Updates'!$J:$J,Table7[[#This Row],[PO'#]],'Cutters Consumption Updates'!$B:$B,Table7[[#This Row],[Cutter Mat'#]]))</f>
        <v>25</v>
      </c>
      <c r="J117" s="294">
        <f t="shared" si="3"/>
        <v>0</v>
      </c>
      <c r="N117">
        <v>2000450</v>
      </c>
      <c r="W117" s="294">
        <v>25</v>
      </c>
    </row>
    <row r="118" spans="2:23" ht="15.5" x14ac:dyDescent="0.25">
      <c r="B118" s="364" t="s">
        <v>902</v>
      </c>
      <c r="C118" s="364"/>
      <c r="D118" s="364"/>
      <c r="E118" s="304">
        <v>1220554</v>
      </c>
      <c r="F118" s="8">
        <v>30</v>
      </c>
      <c r="G118" s="475">
        <v>45244</v>
      </c>
      <c r="H118" s="303" t="s">
        <v>906</v>
      </c>
      <c r="I118" s="294">
        <f>SUM(W118,SUMIFS('Cutters Consumption Updates'!$F:$F,'Cutters Consumption Updates'!$G:$G,"NEW",'Cutters Consumption Updates'!$J:$J,Table7[[#This Row],[PO'#]],'Cutters Consumption Updates'!$B:$B,Table7[[#This Row],[Cutter Mat'#]]))</f>
        <v>30</v>
      </c>
      <c r="J118" s="294">
        <f t="shared" si="3"/>
        <v>0</v>
      </c>
      <c r="N118">
        <v>2001060</v>
      </c>
      <c r="W118" s="294">
        <v>30</v>
      </c>
    </row>
    <row r="119" spans="2:23" ht="15.5" x14ac:dyDescent="0.25">
      <c r="B119" s="364" t="s">
        <v>903</v>
      </c>
      <c r="C119" s="364"/>
      <c r="D119" s="364"/>
      <c r="E119" s="304">
        <v>1228501</v>
      </c>
      <c r="F119" s="8">
        <v>20</v>
      </c>
      <c r="G119" s="475">
        <v>45244</v>
      </c>
      <c r="H119" s="303" t="s">
        <v>906</v>
      </c>
      <c r="I119" s="294">
        <f>SUM(W119,SUMIFS('Cutters Consumption Updates'!$F:$F,'Cutters Consumption Updates'!$G:$G,"NEW",'Cutters Consumption Updates'!$J:$J,Table7[[#This Row],[PO'#]],'Cutters Consumption Updates'!$B:$B,Table7[[#This Row],[Cutter Mat'#]]))</f>
        <v>20</v>
      </c>
      <c r="J119" s="294">
        <f t="shared" si="3"/>
        <v>0</v>
      </c>
      <c r="N119">
        <v>2001155</v>
      </c>
      <c r="W119" s="294">
        <v>20</v>
      </c>
    </row>
    <row r="120" spans="2:23" ht="15.5" x14ac:dyDescent="0.25">
      <c r="B120" s="364">
        <v>1308</v>
      </c>
      <c r="C120" s="364" t="s">
        <v>65</v>
      </c>
      <c r="D120" s="364" t="s">
        <v>71</v>
      </c>
      <c r="E120" s="304">
        <v>418525</v>
      </c>
      <c r="F120" s="8">
        <v>114</v>
      </c>
      <c r="G120" s="475">
        <v>45260</v>
      </c>
      <c r="H120" s="303" t="s">
        <v>907</v>
      </c>
      <c r="I120" s="294">
        <f>SUM(W120,SUMIFS('Cutters Consumption Updates'!$F:$F,'Cutters Consumption Updates'!$G:$G,"NEW",'Cutters Consumption Updates'!$J:$J,Table7[[#This Row],[PO'#]],'Cutters Consumption Updates'!$B:$B,Table7[[#This Row],[Cutter Mat'#]]))</f>
        <v>114</v>
      </c>
      <c r="J120" s="294">
        <f t="shared" si="3"/>
        <v>0</v>
      </c>
      <c r="N120">
        <v>2001657</v>
      </c>
      <c r="W120" s="294">
        <v>114</v>
      </c>
    </row>
    <row r="121" spans="2:23" ht="15.5" x14ac:dyDescent="0.25">
      <c r="B121" s="364">
        <v>1308</v>
      </c>
      <c r="C121" s="364" t="s">
        <v>908</v>
      </c>
      <c r="D121" s="364" t="s">
        <v>71</v>
      </c>
      <c r="E121" s="304">
        <v>410851</v>
      </c>
      <c r="F121" s="8">
        <v>64</v>
      </c>
      <c r="G121" s="475">
        <v>45260</v>
      </c>
      <c r="H121" s="303" t="s">
        <v>907</v>
      </c>
      <c r="I121" s="294">
        <f>SUM(W121,SUMIFS('Cutters Consumption Updates'!$F:$F,'Cutters Consumption Updates'!$G:$G,"NEW",'Cutters Consumption Updates'!$J:$J,Table7[[#This Row],[PO'#]],'Cutters Consumption Updates'!$B:$B,Table7[[#This Row],[Cutter Mat'#]]))</f>
        <v>64</v>
      </c>
      <c r="J121" s="294">
        <f t="shared" si="3"/>
        <v>0</v>
      </c>
      <c r="N121">
        <v>2002126</v>
      </c>
      <c r="W121" s="294">
        <v>64</v>
      </c>
    </row>
    <row r="122" spans="2:23" ht="15.5" x14ac:dyDescent="0.25">
      <c r="B122" s="364" t="s">
        <v>909</v>
      </c>
      <c r="C122" s="364" t="s">
        <v>170</v>
      </c>
      <c r="D122" s="364" t="s">
        <v>145</v>
      </c>
      <c r="E122" s="304">
        <v>1220688</v>
      </c>
      <c r="F122" s="8">
        <v>209</v>
      </c>
      <c r="G122" s="475">
        <v>45260</v>
      </c>
      <c r="H122" s="303" t="s">
        <v>907</v>
      </c>
      <c r="I122" s="294">
        <f>SUM(W122,SUMIFS('Cutters Consumption Updates'!$F:$F,'Cutters Consumption Updates'!$G:$G,"NEW",'Cutters Consumption Updates'!$J:$J,Table7[[#This Row],[PO'#]],'Cutters Consumption Updates'!$B:$B,Table7[[#This Row],[Cutter Mat'#]]))</f>
        <v>209</v>
      </c>
      <c r="J122" s="294">
        <f t="shared" si="3"/>
        <v>0</v>
      </c>
      <c r="N122">
        <v>2002186</v>
      </c>
      <c r="W122" s="294">
        <v>209</v>
      </c>
    </row>
    <row r="123" spans="2:23" ht="15.5" x14ac:dyDescent="0.25">
      <c r="B123" s="364" t="s">
        <v>910</v>
      </c>
      <c r="C123" s="364" t="s">
        <v>253</v>
      </c>
      <c r="D123" s="364" t="s">
        <v>51</v>
      </c>
      <c r="E123" s="304">
        <v>717751</v>
      </c>
      <c r="F123" s="8">
        <v>78</v>
      </c>
      <c r="G123" s="475">
        <v>45260</v>
      </c>
      <c r="H123" s="303" t="s">
        <v>907</v>
      </c>
      <c r="I123" s="294">
        <f>SUM(W123,SUMIFS('Cutters Consumption Updates'!$F:$F,'Cutters Consumption Updates'!$G:$G,"NEW",'Cutters Consumption Updates'!$J:$J,Table7[[#This Row],[PO'#]],'Cutters Consumption Updates'!$B:$B,Table7[[#This Row],[Cutter Mat'#]]))</f>
        <v>78</v>
      </c>
      <c r="J123" s="294">
        <f t="shared" si="3"/>
        <v>0</v>
      </c>
      <c r="N123">
        <v>2002235</v>
      </c>
      <c r="W123" s="294">
        <v>78</v>
      </c>
    </row>
    <row r="124" spans="2:23" ht="15.5" x14ac:dyDescent="0.25">
      <c r="B124" s="364" t="s">
        <v>877</v>
      </c>
      <c r="C124" s="364" t="s">
        <v>253</v>
      </c>
      <c r="D124" s="364" t="s">
        <v>51</v>
      </c>
      <c r="E124" s="304">
        <v>871781</v>
      </c>
      <c r="F124" s="8">
        <v>70</v>
      </c>
      <c r="G124" s="475">
        <v>45260</v>
      </c>
      <c r="H124" s="303" t="s">
        <v>907</v>
      </c>
      <c r="I124" s="294">
        <f>SUM(W124,SUMIFS('Cutters Consumption Updates'!$F:$F,'Cutters Consumption Updates'!$G:$G,"NEW",'Cutters Consumption Updates'!$J:$J,Table7[[#This Row],[PO'#]],'Cutters Consumption Updates'!$B:$B,Table7[[#This Row],[Cutter Mat'#]]))</f>
        <v>70</v>
      </c>
      <c r="J124" s="294">
        <f t="shared" si="3"/>
        <v>0</v>
      </c>
      <c r="N124">
        <v>2002243</v>
      </c>
      <c r="W124" s="294">
        <v>70</v>
      </c>
    </row>
    <row r="125" spans="2:23" ht="15.5" x14ac:dyDescent="0.25">
      <c r="B125" s="364" t="s">
        <v>38</v>
      </c>
      <c r="C125" s="364" t="s">
        <v>151</v>
      </c>
      <c r="D125" s="364" t="s">
        <v>149</v>
      </c>
      <c r="E125" s="304">
        <v>1078377</v>
      </c>
      <c r="F125" s="8">
        <v>75</v>
      </c>
      <c r="G125" s="475">
        <v>45260</v>
      </c>
      <c r="H125" s="303" t="s">
        <v>907</v>
      </c>
      <c r="I125" s="294">
        <f>SUM(W125,SUMIFS('Cutters Consumption Updates'!$F:$F,'Cutters Consumption Updates'!$G:$G,"NEW",'Cutters Consumption Updates'!$J:$J,Table7[[#This Row],[PO'#]],'Cutters Consumption Updates'!$B:$B,Table7[[#This Row],[Cutter Mat'#]]))</f>
        <v>75</v>
      </c>
      <c r="J125" s="294">
        <f t="shared" si="3"/>
        <v>0</v>
      </c>
      <c r="N125">
        <v>2002244</v>
      </c>
      <c r="W125" s="294">
        <v>75</v>
      </c>
    </row>
    <row r="126" spans="2:23" ht="15.5" x14ac:dyDescent="0.25">
      <c r="B126" s="364" t="s">
        <v>911</v>
      </c>
      <c r="C126" s="364" t="s">
        <v>103</v>
      </c>
      <c r="D126" s="364" t="s">
        <v>192</v>
      </c>
      <c r="E126" s="304">
        <v>179733</v>
      </c>
      <c r="F126" s="8">
        <v>46</v>
      </c>
      <c r="G126" s="475">
        <v>45260</v>
      </c>
      <c r="H126" s="303" t="s">
        <v>907</v>
      </c>
      <c r="I126" s="294">
        <f>SUM(W126,SUMIFS('Cutters Consumption Updates'!$F:$F,'Cutters Consumption Updates'!$G:$G,"NEW",'Cutters Consumption Updates'!$J:$J,Table7[[#This Row],[PO'#]],'Cutters Consumption Updates'!$B:$B,Table7[[#This Row],[Cutter Mat'#]]))</f>
        <v>46</v>
      </c>
      <c r="J126" s="294">
        <f t="shared" si="3"/>
        <v>0</v>
      </c>
      <c r="N126">
        <v>2002245</v>
      </c>
      <c r="W126" s="294">
        <v>46</v>
      </c>
    </row>
    <row r="127" spans="2:23" ht="15.5" x14ac:dyDescent="0.25">
      <c r="B127" s="364" t="s">
        <v>879</v>
      </c>
      <c r="C127" s="364" t="s">
        <v>253</v>
      </c>
      <c r="D127" s="364" t="s">
        <v>51</v>
      </c>
      <c r="E127" s="304">
        <v>647435</v>
      </c>
      <c r="F127" s="8">
        <v>40</v>
      </c>
      <c r="G127" s="475">
        <v>45260</v>
      </c>
      <c r="H127" s="303" t="s">
        <v>907</v>
      </c>
      <c r="I127" s="294">
        <f>SUM(W127,SUMIFS('Cutters Consumption Updates'!$F:$F,'Cutters Consumption Updates'!$G:$G,"NEW",'Cutters Consumption Updates'!$J:$J,Table7[[#This Row],[PO'#]],'Cutters Consumption Updates'!$B:$B,Table7[[#This Row],[Cutter Mat'#]]))</f>
        <v>40</v>
      </c>
      <c r="J127" s="294">
        <f t="shared" si="3"/>
        <v>0</v>
      </c>
      <c r="N127">
        <v>2002299</v>
      </c>
      <c r="W127" s="294">
        <v>40</v>
      </c>
    </row>
    <row r="128" spans="2:23" ht="15.5" x14ac:dyDescent="0.25">
      <c r="B128" s="364" t="s">
        <v>880</v>
      </c>
      <c r="C128" s="364" t="s">
        <v>253</v>
      </c>
      <c r="D128" s="364" t="s">
        <v>51</v>
      </c>
      <c r="E128" s="304">
        <v>647436</v>
      </c>
      <c r="F128" s="8">
        <v>320</v>
      </c>
      <c r="G128" s="475">
        <v>45260</v>
      </c>
      <c r="H128" s="303" t="s">
        <v>907</v>
      </c>
      <c r="I128" s="294">
        <f>SUM(W128,SUMIFS('Cutters Consumption Updates'!$F:$F,'Cutters Consumption Updates'!$G:$G,"NEW",'Cutters Consumption Updates'!$J:$J,Table7[[#This Row],[PO'#]],'Cutters Consumption Updates'!$B:$B,Table7[[#This Row],[Cutter Mat'#]]))</f>
        <v>320</v>
      </c>
      <c r="J128" s="294">
        <f t="shared" si="3"/>
        <v>0</v>
      </c>
      <c r="N128">
        <v>2004484</v>
      </c>
      <c r="W128" s="294">
        <v>320</v>
      </c>
    </row>
    <row r="129" spans="2:23" ht="15.5" x14ac:dyDescent="0.25">
      <c r="B129" s="364" t="s">
        <v>894</v>
      </c>
      <c r="C129" s="364" t="s">
        <v>177</v>
      </c>
      <c r="D129" s="364" t="s">
        <v>195</v>
      </c>
      <c r="E129" s="304">
        <v>1271790</v>
      </c>
      <c r="F129" s="8">
        <v>350</v>
      </c>
      <c r="G129" s="475">
        <v>45260</v>
      </c>
      <c r="H129" s="303" t="s">
        <v>907</v>
      </c>
      <c r="I129" s="294">
        <f>SUM(W129,SUMIFS('Cutters Consumption Updates'!$F:$F,'Cutters Consumption Updates'!$G:$G,"NEW",'Cutters Consumption Updates'!$J:$J,Table7[[#This Row],[PO'#]],'Cutters Consumption Updates'!$B:$B,Table7[[#This Row],[Cutter Mat'#]]))</f>
        <v>350</v>
      </c>
      <c r="J129" s="294">
        <f t="shared" si="3"/>
        <v>0</v>
      </c>
      <c r="N129">
        <v>2008253</v>
      </c>
      <c r="W129" s="294">
        <v>350</v>
      </c>
    </row>
    <row r="130" spans="2:23" ht="15.5" x14ac:dyDescent="0.25">
      <c r="B130" s="364" t="s">
        <v>894</v>
      </c>
      <c r="C130" s="364" t="s">
        <v>177</v>
      </c>
      <c r="D130" s="364" t="s">
        <v>111</v>
      </c>
      <c r="E130" s="304">
        <v>1146737</v>
      </c>
      <c r="F130" s="8">
        <v>100</v>
      </c>
      <c r="G130" s="475">
        <v>45260</v>
      </c>
      <c r="H130" s="303" t="s">
        <v>907</v>
      </c>
      <c r="I130" s="294">
        <f>SUM(W130,SUMIFS('Cutters Consumption Updates'!$F:$F,'Cutters Consumption Updates'!$G:$G,"NEW",'Cutters Consumption Updates'!$J:$J,Table7[[#This Row],[PO'#]],'Cutters Consumption Updates'!$B:$B,Table7[[#This Row],[Cutter Mat'#]]))</f>
        <v>100</v>
      </c>
      <c r="J130" s="294">
        <f t="shared" ref="J130:J193" si="5">F130-I130</f>
        <v>0</v>
      </c>
      <c r="N130">
        <v>2013427</v>
      </c>
      <c r="W130" s="294">
        <v>100</v>
      </c>
    </row>
    <row r="131" spans="2:23" ht="15.5" x14ac:dyDescent="0.25">
      <c r="B131" s="364" t="s">
        <v>236</v>
      </c>
      <c r="C131" s="364" t="s">
        <v>109</v>
      </c>
      <c r="D131" s="364" t="s">
        <v>176</v>
      </c>
      <c r="E131" s="304">
        <v>1234679</v>
      </c>
      <c r="F131" s="8">
        <v>50</v>
      </c>
      <c r="G131" s="475">
        <v>45260</v>
      </c>
      <c r="H131" s="303" t="s">
        <v>907</v>
      </c>
      <c r="I131" s="294">
        <f>SUM(W131,SUMIFS('Cutters Consumption Updates'!$F:$F,'Cutters Consumption Updates'!$G:$G,"NEW",'Cutters Consumption Updates'!$J:$J,Table7[[#This Row],[PO'#]],'Cutters Consumption Updates'!$B:$B,Table7[[#This Row],[Cutter Mat'#]]))</f>
        <v>50</v>
      </c>
      <c r="J131" s="294">
        <f t="shared" si="5"/>
        <v>0</v>
      </c>
      <c r="N131">
        <v>2013726</v>
      </c>
      <c r="W131" s="294">
        <v>50</v>
      </c>
    </row>
    <row r="132" spans="2:23" ht="15.5" x14ac:dyDescent="0.25">
      <c r="B132" s="364" t="s">
        <v>881</v>
      </c>
      <c r="C132" s="364" t="s">
        <v>170</v>
      </c>
      <c r="D132" s="364" t="s">
        <v>111</v>
      </c>
      <c r="E132" s="304">
        <v>1208601</v>
      </c>
      <c r="F132" s="8">
        <v>40</v>
      </c>
      <c r="G132" s="475">
        <v>45260</v>
      </c>
      <c r="H132" s="303" t="s">
        <v>907</v>
      </c>
      <c r="I132" s="294">
        <f>SUM(W132,SUMIFS('Cutters Consumption Updates'!$F:$F,'Cutters Consumption Updates'!$G:$G,"NEW",'Cutters Consumption Updates'!$J:$J,Table7[[#This Row],[PO'#]],'Cutters Consumption Updates'!$B:$B,Table7[[#This Row],[Cutter Mat'#]]))</f>
        <v>40</v>
      </c>
      <c r="J132" s="294">
        <f t="shared" si="5"/>
        <v>0</v>
      </c>
      <c r="N132">
        <v>2017131</v>
      </c>
      <c r="W132" s="294">
        <v>40</v>
      </c>
    </row>
    <row r="133" spans="2:23" ht="15.5" x14ac:dyDescent="0.25">
      <c r="B133" s="364" t="s">
        <v>884</v>
      </c>
      <c r="C133" s="364" t="s">
        <v>253</v>
      </c>
      <c r="D133" s="364" t="s">
        <v>51</v>
      </c>
      <c r="E133" s="304">
        <v>708306</v>
      </c>
      <c r="F133" s="8">
        <v>68</v>
      </c>
      <c r="G133" s="475">
        <v>45260</v>
      </c>
      <c r="H133" s="303" t="s">
        <v>907</v>
      </c>
      <c r="I133" s="294">
        <f>SUM(W133,SUMIFS('Cutters Consumption Updates'!$F:$F,'Cutters Consumption Updates'!$G:$G,"NEW",'Cutters Consumption Updates'!$J:$J,Table7[[#This Row],[PO'#]],'Cutters Consumption Updates'!$B:$B,Table7[[#This Row],[Cutter Mat'#]]))</f>
        <v>68</v>
      </c>
      <c r="J133" s="294">
        <f t="shared" si="5"/>
        <v>0</v>
      </c>
      <c r="N133">
        <v>2020817</v>
      </c>
      <c r="W133" s="294">
        <v>68</v>
      </c>
    </row>
    <row r="134" spans="2:23" ht="15.5" x14ac:dyDescent="0.25">
      <c r="B134" s="364" t="s">
        <v>912</v>
      </c>
      <c r="C134" s="364" t="s">
        <v>197</v>
      </c>
      <c r="D134" s="364" t="s">
        <v>111</v>
      </c>
      <c r="E134" s="304">
        <v>1244957</v>
      </c>
      <c r="F134" s="8">
        <v>32</v>
      </c>
      <c r="G134" s="475">
        <v>45260</v>
      </c>
      <c r="H134" s="303" t="s">
        <v>907</v>
      </c>
      <c r="I134" s="294">
        <f>SUM(W134,SUMIFS('Cutters Consumption Updates'!$F:$F,'Cutters Consumption Updates'!$G:$G,"NEW",'Cutters Consumption Updates'!$J:$J,Table7[[#This Row],[PO'#]],'Cutters Consumption Updates'!$B:$B,Table7[[#This Row],[Cutter Mat'#]]))</f>
        <v>32</v>
      </c>
      <c r="J134" s="294">
        <f t="shared" si="5"/>
        <v>0</v>
      </c>
      <c r="N134">
        <v>2022731</v>
      </c>
      <c r="W134" s="294">
        <v>32</v>
      </c>
    </row>
    <row r="135" spans="2:23" ht="15.5" x14ac:dyDescent="0.25">
      <c r="B135" s="364" t="s">
        <v>913</v>
      </c>
      <c r="C135" s="364" t="s">
        <v>170</v>
      </c>
      <c r="D135" s="364" t="s">
        <v>145</v>
      </c>
      <c r="E135" s="304">
        <v>1261319</v>
      </c>
      <c r="F135" s="8">
        <v>170</v>
      </c>
      <c r="G135" s="475">
        <v>45260</v>
      </c>
      <c r="H135" s="303" t="s">
        <v>907</v>
      </c>
      <c r="I135" s="294">
        <f>SUM(W135,SUMIFS('Cutters Consumption Updates'!$F:$F,'Cutters Consumption Updates'!$G:$G,"NEW",'Cutters Consumption Updates'!$J:$J,Table7[[#This Row],[PO'#]],'Cutters Consumption Updates'!$B:$B,Table7[[#This Row],[Cutter Mat'#]]))</f>
        <v>170</v>
      </c>
      <c r="J135" s="294">
        <f t="shared" si="5"/>
        <v>0</v>
      </c>
      <c r="N135">
        <v>2023242</v>
      </c>
      <c r="W135" s="294">
        <v>170</v>
      </c>
    </row>
    <row r="136" spans="2:23" ht="15.5" x14ac:dyDescent="0.25">
      <c r="B136" s="364" t="s">
        <v>914</v>
      </c>
      <c r="C136" s="364" t="s">
        <v>170</v>
      </c>
      <c r="D136" s="364" t="s">
        <v>145</v>
      </c>
      <c r="E136" s="304">
        <v>1261320</v>
      </c>
      <c r="F136" s="8">
        <v>35</v>
      </c>
      <c r="G136" s="475">
        <v>45260</v>
      </c>
      <c r="H136" s="303" t="s">
        <v>907</v>
      </c>
      <c r="I136" s="294">
        <f>SUM(W136,SUMIFS('Cutters Consumption Updates'!$F:$F,'Cutters Consumption Updates'!$G:$G,"NEW",'Cutters Consumption Updates'!$J:$J,Table7[[#This Row],[PO'#]],'Cutters Consumption Updates'!$B:$B,Table7[[#This Row],[Cutter Mat'#]]))</f>
        <v>35</v>
      </c>
      <c r="J136" s="294">
        <f t="shared" si="5"/>
        <v>0</v>
      </c>
      <c r="N136">
        <v>2023674</v>
      </c>
      <c r="W136" s="294">
        <v>35</v>
      </c>
    </row>
    <row r="137" spans="2:23" ht="15.5" x14ac:dyDescent="0.25">
      <c r="B137" s="364" t="s">
        <v>903</v>
      </c>
      <c r="C137" s="364"/>
      <c r="D137" s="364"/>
      <c r="E137" s="304">
        <v>1228501</v>
      </c>
      <c r="F137" s="8">
        <v>35</v>
      </c>
      <c r="G137" s="475">
        <v>45260</v>
      </c>
      <c r="H137" s="303" t="s">
        <v>907</v>
      </c>
      <c r="I137" s="294">
        <f>SUM(W137,SUMIFS('Cutters Consumption Updates'!$F:$F,'Cutters Consumption Updates'!$G:$G,"NEW",'Cutters Consumption Updates'!$J:$J,Table7[[#This Row],[PO'#]],'Cutters Consumption Updates'!$B:$B,Table7[[#This Row],[Cutter Mat'#]]))</f>
        <v>35</v>
      </c>
      <c r="J137" s="294">
        <f t="shared" si="5"/>
        <v>0</v>
      </c>
      <c r="N137">
        <v>2024640</v>
      </c>
      <c r="W137" s="294">
        <v>35</v>
      </c>
    </row>
    <row r="138" spans="2:23" ht="15.5" x14ac:dyDescent="0.25">
      <c r="B138" s="364" t="s">
        <v>901</v>
      </c>
      <c r="C138" s="364" t="s">
        <v>170</v>
      </c>
      <c r="D138" s="364" t="s">
        <v>114</v>
      </c>
      <c r="E138" s="304">
        <v>1228502</v>
      </c>
      <c r="F138" s="8">
        <v>70</v>
      </c>
      <c r="G138" s="475">
        <v>45260</v>
      </c>
      <c r="H138" s="303" t="s">
        <v>907</v>
      </c>
      <c r="I138" s="294">
        <f>SUM(W138,SUMIFS('Cutters Consumption Updates'!$F:$F,'Cutters Consumption Updates'!$G:$G,"NEW",'Cutters Consumption Updates'!$J:$J,Table7[[#This Row],[PO'#]],'Cutters Consumption Updates'!$B:$B,Table7[[#This Row],[Cutter Mat'#]]))</f>
        <v>70</v>
      </c>
      <c r="J138" s="294">
        <f t="shared" si="5"/>
        <v>0</v>
      </c>
      <c r="N138">
        <v>2024642</v>
      </c>
      <c r="W138" s="294">
        <v>70</v>
      </c>
    </row>
    <row r="139" spans="2:23" ht="15.5" x14ac:dyDescent="0.25">
      <c r="B139" s="364" t="s">
        <v>902</v>
      </c>
      <c r="C139" s="364"/>
      <c r="D139" s="364"/>
      <c r="E139" s="304">
        <v>1220554</v>
      </c>
      <c r="F139" s="8">
        <v>35</v>
      </c>
      <c r="G139" s="475">
        <v>45260</v>
      </c>
      <c r="H139" s="303" t="s">
        <v>907</v>
      </c>
      <c r="I139" s="294">
        <f>SUM(W139,SUMIFS('Cutters Consumption Updates'!$F:$F,'Cutters Consumption Updates'!$G:$G,"NEW",'Cutters Consumption Updates'!$J:$J,Table7[[#This Row],[PO'#]],'Cutters Consumption Updates'!$B:$B,Table7[[#This Row],[Cutter Mat'#]]))</f>
        <v>35</v>
      </c>
      <c r="J139" s="294">
        <f t="shared" si="5"/>
        <v>0</v>
      </c>
      <c r="N139">
        <v>2028302</v>
      </c>
      <c r="W139" s="294">
        <v>35</v>
      </c>
    </row>
    <row r="140" spans="2:23" ht="15.5" x14ac:dyDescent="0.25">
      <c r="B140" s="364">
        <v>1308</v>
      </c>
      <c r="C140" s="364" t="s">
        <v>65</v>
      </c>
      <c r="D140" s="364" t="s">
        <v>71</v>
      </c>
      <c r="E140" s="304">
        <v>418525</v>
      </c>
      <c r="F140" s="8">
        <v>40</v>
      </c>
      <c r="G140" s="475">
        <v>45267</v>
      </c>
      <c r="H140" s="303" t="s">
        <v>915</v>
      </c>
      <c r="I140" s="294">
        <f>SUM(W140,SUMIFS('Cutters Consumption Updates'!$F:$F,'Cutters Consumption Updates'!$G:$G,"NEW",'Cutters Consumption Updates'!$J:$J,Table7[[#This Row],[PO'#]],'Cutters Consumption Updates'!$B:$B,Table7[[#This Row],[Cutter Mat'#]]))</f>
        <v>40</v>
      </c>
      <c r="J140" s="294">
        <f t="shared" si="5"/>
        <v>0</v>
      </c>
      <c r="N140">
        <v>2028303</v>
      </c>
      <c r="W140" s="294">
        <v>40</v>
      </c>
    </row>
    <row r="141" spans="2:23" ht="15.5" x14ac:dyDescent="0.25">
      <c r="B141" s="364" t="s">
        <v>879</v>
      </c>
      <c r="C141" s="364" t="s">
        <v>253</v>
      </c>
      <c r="D141" s="364" t="s">
        <v>51</v>
      </c>
      <c r="E141" s="304">
        <v>647435</v>
      </c>
      <c r="F141" s="8">
        <v>80</v>
      </c>
      <c r="G141" s="475">
        <v>45267</v>
      </c>
      <c r="H141" s="303" t="s">
        <v>915</v>
      </c>
      <c r="I141" s="294">
        <f>SUM(W141,SUMIFS('Cutters Consumption Updates'!$F:$F,'Cutters Consumption Updates'!$G:$G,"NEW",'Cutters Consumption Updates'!$J:$J,Table7[[#This Row],[PO'#]],'Cutters Consumption Updates'!$B:$B,Table7[[#This Row],[Cutter Mat'#]]))</f>
        <v>80</v>
      </c>
      <c r="J141" s="294">
        <f t="shared" si="5"/>
        <v>0</v>
      </c>
      <c r="N141">
        <v>2029244</v>
      </c>
      <c r="W141" s="294">
        <v>80</v>
      </c>
    </row>
    <row r="142" spans="2:23" ht="15.5" x14ac:dyDescent="0.25">
      <c r="B142" s="364" t="s">
        <v>880</v>
      </c>
      <c r="C142" s="364" t="s">
        <v>253</v>
      </c>
      <c r="D142" s="364" t="s">
        <v>51</v>
      </c>
      <c r="E142" s="304">
        <v>647436</v>
      </c>
      <c r="F142" s="8">
        <v>320</v>
      </c>
      <c r="G142" s="475">
        <v>45267</v>
      </c>
      <c r="H142" s="303" t="s">
        <v>915</v>
      </c>
      <c r="I142" s="294">
        <f>SUM(W142,SUMIFS('Cutters Consumption Updates'!$F:$F,'Cutters Consumption Updates'!$G:$G,"NEW",'Cutters Consumption Updates'!$J:$J,Table7[[#This Row],[PO'#]],'Cutters Consumption Updates'!$B:$B,Table7[[#This Row],[Cutter Mat'#]]))</f>
        <v>320</v>
      </c>
      <c r="J142" s="294">
        <f t="shared" si="5"/>
        <v>0</v>
      </c>
      <c r="N142" t="str">
        <v>Cutter Mat#</v>
      </c>
      <c r="W142" s="294">
        <v>320</v>
      </c>
    </row>
    <row r="143" spans="2:23" ht="15.5" x14ac:dyDescent="0.25">
      <c r="B143" s="364" t="s">
        <v>894</v>
      </c>
      <c r="C143" s="364" t="s">
        <v>177</v>
      </c>
      <c r="D143" s="364" t="s">
        <v>195</v>
      </c>
      <c r="E143" s="304">
        <v>1271790</v>
      </c>
      <c r="F143" s="8">
        <v>265</v>
      </c>
      <c r="G143" s="475">
        <v>45267</v>
      </c>
      <c r="H143" s="303" t="s">
        <v>915</v>
      </c>
      <c r="I143" s="294">
        <f>SUM(W143,SUMIFS('Cutters Consumption Updates'!$F:$F,'Cutters Consumption Updates'!$G:$G,"NEW",'Cutters Consumption Updates'!$J:$J,Table7[[#This Row],[PO'#]],'Cutters Consumption Updates'!$B:$B,Table7[[#This Row],[Cutter Mat'#]]))</f>
        <v>265</v>
      </c>
      <c r="J143" s="294">
        <f t="shared" si="5"/>
        <v>0</v>
      </c>
      <c r="N143">
        <v>0</v>
      </c>
      <c r="W143" s="294">
        <v>265</v>
      </c>
    </row>
    <row r="144" spans="2:23" ht="15.5" x14ac:dyDescent="0.25">
      <c r="B144" s="364" t="s">
        <v>894</v>
      </c>
      <c r="C144" s="364" t="s">
        <v>177</v>
      </c>
      <c r="D144" s="364" t="s">
        <v>111</v>
      </c>
      <c r="E144" s="304">
        <v>1146737</v>
      </c>
      <c r="F144" s="8">
        <v>195</v>
      </c>
      <c r="G144" s="475">
        <v>45267</v>
      </c>
      <c r="H144" s="303" t="s">
        <v>915</v>
      </c>
      <c r="I144" s="294">
        <f>SUM(W144,SUMIFS('Cutters Consumption Updates'!$F:$F,'Cutters Consumption Updates'!$G:$G,"NEW",'Cutters Consumption Updates'!$J:$J,Table7[[#This Row],[PO'#]],'Cutters Consumption Updates'!$B:$B,Table7[[#This Row],[Cutter Mat'#]]))</f>
        <v>195</v>
      </c>
      <c r="J144" s="294">
        <f t="shared" si="5"/>
        <v>0</v>
      </c>
      <c r="W144" s="294">
        <v>195</v>
      </c>
    </row>
    <row r="145" spans="2:23" ht="15.5" x14ac:dyDescent="0.25">
      <c r="B145" s="364" t="s">
        <v>894</v>
      </c>
      <c r="C145" s="364" t="s">
        <v>916</v>
      </c>
      <c r="D145" s="364" t="s">
        <v>133</v>
      </c>
      <c r="E145" s="304">
        <v>1126402</v>
      </c>
      <c r="F145" s="8">
        <v>38</v>
      </c>
      <c r="G145" s="475">
        <v>45267</v>
      </c>
      <c r="H145" s="303" t="s">
        <v>917</v>
      </c>
      <c r="I145" s="294">
        <f>SUM(W145,SUMIFS('Cutters Consumption Updates'!$F:$F,'Cutters Consumption Updates'!$G:$G,"NEW",'Cutters Consumption Updates'!$J:$J,Table7[[#This Row],[PO'#]],'Cutters Consumption Updates'!$B:$B,Table7[[#This Row],[Cutter Mat'#]]))</f>
        <v>38</v>
      </c>
      <c r="J145" s="294">
        <f t="shared" si="5"/>
        <v>0</v>
      </c>
      <c r="W145" s="294">
        <v>38</v>
      </c>
    </row>
    <row r="146" spans="2:23" ht="15.5" x14ac:dyDescent="0.25">
      <c r="B146" s="364">
        <v>1308</v>
      </c>
      <c r="C146" s="364" t="s">
        <v>65</v>
      </c>
      <c r="D146" s="364" t="s">
        <v>71</v>
      </c>
      <c r="E146" s="304">
        <v>418525</v>
      </c>
      <c r="F146" s="8">
        <v>58</v>
      </c>
      <c r="G146" s="475">
        <v>45280</v>
      </c>
      <c r="H146" s="303" t="s">
        <v>918</v>
      </c>
      <c r="I146" s="294">
        <f>SUM(W146,SUMIFS('Cutters Consumption Updates'!$F:$F,'Cutters Consumption Updates'!$G:$G,"NEW",'Cutters Consumption Updates'!$J:$J,Table7[[#This Row],[PO'#]],'Cutters Consumption Updates'!$B:$B,Table7[[#This Row],[Cutter Mat'#]]))</f>
        <v>58</v>
      </c>
      <c r="J146" s="294">
        <f t="shared" si="5"/>
        <v>0</v>
      </c>
      <c r="W146" s="294">
        <v>58</v>
      </c>
    </row>
    <row r="147" spans="2:23" ht="15.5" x14ac:dyDescent="0.25">
      <c r="B147" s="364">
        <v>1308</v>
      </c>
      <c r="C147" s="364" t="s">
        <v>908</v>
      </c>
      <c r="D147" s="364" t="s">
        <v>71</v>
      </c>
      <c r="E147" s="304">
        <v>410851</v>
      </c>
      <c r="F147" s="8">
        <v>126</v>
      </c>
      <c r="G147" s="475">
        <v>45280</v>
      </c>
      <c r="H147" s="303" t="s">
        <v>918</v>
      </c>
      <c r="I147" s="294">
        <f>SUM(W147,SUMIFS('Cutters Consumption Updates'!$F:$F,'Cutters Consumption Updates'!$G:$G,"NEW",'Cutters Consumption Updates'!$J:$J,Table7[[#This Row],[PO'#]],'Cutters Consumption Updates'!$B:$B,Table7[[#This Row],[Cutter Mat'#]]))</f>
        <v>126</v>
      </c>
      <c r="J147" s="294">
        <f t="shared" si="5"/>
        <v>0</v>
      </c>
      <c r="W147" s="294">
        <v>126</v>
      </c>
    </row>
    <row r="148" spans="2:23" ht="15.5" x14ac:dyDescent="0.25">
      <c r="B148" s="364" t="s">
        <v>910</v>
      </c>
      <c r="C148" s="364" t="s">
        <v>253</v>
      </c>
      <c r="D148" s="364" t="s">
        <v>51</v>
      </c>
      <c r="E148" s="304">
        <v>717751</v>
      </c>
      <c r="F148" s="8">
        <v>120</v>
      </c>
      <c r="G148" s="475">
        <v>45280</v>
      </c>
      <c r="H148" s="303" t="s">
        <v>918</v>
      </c>
      <c r="I148" s="294">
        <f>SUM(W148,SUMIFS('Cutters Consumption Updates'!$F:$F,'Cutters Consumption Updates'!$G:$G,"NEW",'Cutters Consumption Updates'!$J:$J,Table7[[#This Row],[PO'#]],'Cutters Consumption Updates'!$B:$B,Table7[[#This Row],[Cutter Mat'#]]))</f>
        <v>120</v>
      </c>
      <c r="J148" s="294">
        <f t="shared" si="5"/>
        <v>0</v>
      </c>
      <c r="W148" s="294">
        <v>120</v>
      </c>
    </row>
    <row r="149" spans="2:23" ht="15.5" x14ac:dyDescent="0.25">
      <c r="B149" s="364" t="s">
        <v>38</v>
      </c>
      <c r="C149" s="364" t="s">
        <v>151</v>
      </c>
      <c r="D149" s="364" t="s">
        <v>149</v>
      </c>
      <c r="E149" s="304">
        <v>1078377</v>
      </c>
      <c r="F149" s="8">
        <v>20</v>
      </c>
      <c r="G149" s="475">
        <v>45280</v>
      </c>
      <c r="H149" s="303" t="s">
        <v>918</v>
      </c>
      <c r="I149" s="294">
        <f>SUM(W149,SUMIFS('Cutters Consumption Updates'!$F:$F,'Cutters Consumption Updates'!$G:$G,"NEW",'Cutters Consumption Updates'!$J:$J,Table7[[#This Row],[PO'#]],'Cutters Consumption Updates'!$B:$B,Table7[[#This Row],[Cutter Mat'#]]))</f>
        <v>20</v>
      </c>
      <c r="J149" s="294">
        <f t="shared" si="5"/>
        <v>0</v>
      </c>
      <c r="W149" s="294">
        <v>20</v>
      </c>
    </row>
    <row r="150" spans="2:23" ht="15.5" x14ac:dyDescent="0.25">
      <c r="B150" s="364" t="s">
        <v>911</v>
      </c>
      <c r="C150" s="364" t="s">
        <v>103</v>
      </c>
      <c r="D150" s="364" t="s">
        <v>192</v>
      </c>
      <c r="E150" s="304">
        <v>179733</v>
      </c>
      <c r="F150" s="8">
        <v>70</v>
      </c>
      <c r="G150" s="475">
        <v>45280</v>
      </c>
      <c r="H150" s="303" t="s">
        <v>918</v>
      </c>
      <c r="I150" s="294">
        <f>SUM(W150,SUMIFS('Cutters Consumption Updates'!$F:$F,'Cutters Consumption Updates'!$G:$G,"NEW",'Cutters Consumption Updates'!$J:$J,Table7[[#This Row],[PO'#]],'Cutters Consumption Updates'!$B:$B,Table7[[#This Row],[Cutter Mat'#]]))</f>
        <v>70</v>
      </c>
      <c r="J150" s="294">
        <f t="shared" si="5"/>
        <v>0</v>
      </c>
      <c r="W150" s="294">
        <v>70</v>
      </c>
    </row>
    <row r="151" spans="2:23" ht="15.5" x14ac:dyDescent="0.25">
      <c r="B151" s="364" t="s">
        <v>894</v>
      </c>
      <c r="C151" s="364" t="s">
        <v>177</v>
      </c>
      <c r="D151" s="364" t="s">
        <v>195</v>
      </c>
      <c r="E151" s="304">
        <v>1271790</v>
      </c>
      <c r="F151" s="8">
        <v>175</v>
      </c>
      <c r="G151" s="475">
        <v>45280</v>
      </c>
      <c r="H151" s="303" t="s">
        <v>918</v>
      </c>
      <c r="I151" s="294">
        <f>SUM(W151,SUMIFS('Cutters Consumption Updates'!$F:$F,'Cutters Consumption Updates'!$G:$G,"NEW",'Cutters Consumption Updates'!$J:$J,Table7[[#This Row],[PO'#]],'Cutters Consumption Updates'!$B:$B,Table7[[#This Row],[Cutter Mat'#]]))</f>
        <v>175</v>
      </c>
      <c r="J151" s="294">
        <f t="shared" si="5"/>
        <v>0</v>
      </c>
      <c r="W151" s="294">
        <v>175</v>
      </c>
    </row>
    <row r="152" spans="2:23" ht="15.5" x14ac:dyDescent="0.25">
      <c r="B152" s="364" t="s">
        <v>894</v>
      </c>
      <c r="C152" s="364" t="s">
        <v>177</v>
      </c>
      <c r="D152" s="364" t="s">
        <v>111</v>
      </c>
      <c r="E152" s="304">
        <v>1146737</v>
      </c>
      <c r="F152" s="8">
        <v>100</v>
      </c>
      <c r="G152" s="475">
        <v>45280</v>
      </c>
      <c r="H152" s="303" t="s">
        <v>918</v>
      </c>
      <c r="I152" s="294">
        <f>SUM(W152,SUMIFS('Cutters Consumption Updates'!$F:$F,'Cutters Consumption Updates'!$G:$G,"NEW",'Cutters Consumption Updates'!$J:$J,Table7[[#This Row],[PO'#]],'Cutters Consumption Updates'!$B:$B,Table7[[#This Row],[Cutter Mat'#]]))</f>
        <v>100</v>
      </c>
      <c r="J152" s="294">
        <f t="shared" si="5"/>
        <v>0</v>
      </c>
      <c r="W152" s="294">
        <v>100</v>
      </c>
    </row>
    <row r="153" spans="2:23" ht="15.5" x14ac:dyDescent="0.25">
      <c r="B153" s="364" t="s">
        <v>236</v>
      </c>
      <c r="C153" s="364" t="s">
        <v>109</v>
      </c>
      <c r="D153" s="364" t="s">
        <v>895</v>
      </c>
      <c r="E153" s="304">
        <v>1209410</v>
      </c>
      <c r="F153" s="8">
        <v>50</v>
      </c>
      <c r="G153" s="475">
        <v>45280</v>
      </c>
      <c r="H153" s="303" t="s">
        <v>918</v>
      </c>
      <c r="I153" s="294">
        <f>SUM(W153,SUMIFS('Cutters Consumption Updates'!$F:$F,'Cutters Consumption Updates'!$G:$G,"NEW",'Cutters Consumption Updates'!$J:$J,Table7[[#This Row],[PO'#]],'Cutters Consumption Updates'!$B:$B,Table7[[#This Row],[Cutter Mat'#]]))</f>
        <v>50</v>
      </c>
      <c r="J153" s="294">
        <f t="shared" si="5"/>
        <v>0</v>
      </c>
      <c r="W153" s="294">
        <v>50</v>
      </c>
    </row>
    <row r="154" spans="2:23" ht="15.5" x14ac:dyDescent="0.25">
      <c r="B154" s="364" t="s">
        <v>881</v>
      </c>
      <c r="C154" s="364" t="s">
        <v>170</v>
      </c>
      <c r="D154" s="364" t="s">
        <v>111</v>
      </c>
      <c r="E154" s="304">
        <v>1208601</v>
      </c>
      <c r="F154" s="8">
        <v>15</v>
      </c>
      <c r="G154" s="475">
        <v>45280</v>
      </c>
      <c r="H154" s="303" t="s">
        <v>918</v>
      </c>
      <c r="I154" s="294">
        <f>SUM(W154,SUMIFS('Cutters Consumption Updates'!$F:$F,'Cutters Consumption Updates'!$G:$G,"NEW",'Cutters Consumption Updates'!$J:$J,Table7[[#This Row],[PO'#]],'Cutters Consumption Updates'!$B:$B,Table7[[#This Row],[Cutter Mat'#]]))</f>
        <v>15</v>
      </c>
      <c r="J154" s="294">
        <f t="shared" si="5"/>
        <v>0</v>
      </c>
      <c r="W154" s="294">
        <v>15</v>
      </c>
    </row>
    <row r="155" spans="2:23" ht="15.5" x14ac:dyDescent="0.25">
      <c r="B155" s="364" t="s">
        <v>884</v>
      </c>
      <c r="C155" s="364" t="s">
        <v>253</v>
      </c>
      <c r="D155" s="364" t="s">
        <v>51</v>
      </c>
      <c r="E155" s="304">
        <v>708306</v>
      </c>
      <c r="F155" s="8">
        <v>150</v>
      </c>
      <c r="G155" s="475">
        <v>45280</v>
      </c>
      <c r="H155" s="303" t="s">
        <v>918</v>
      </c>
      <c r="I155" s="294">
        <f>SUM(W155,SUMIFS('Cutters Consumption Updates'!$F:$F,'Cutters Consumption Updates'!$G:$G,"NEW",'Cutters Consumption Updates'!$J:$J,Table7[[#This Row],[PO'#]],'Cutters Consumption Updates'!$B:$B,Table7[[#This Row],[Cutter Mat'#]]))</f>
        <v>150</v>
      </c>
      <c r="J155" s="294">
        <f t="shared" si="5"/>
        <v>0</v>
      </c>
      <c r="W155" s="294">
        <v>150</v>
      </c>
    </row>
    <row r="156" spans="2:23" ht="15.5" x14ac:dyDescent="0.25">
      <c r="B156" s="364" t="s">
        <v>919</v>
      </c>
      <c r="C156" s="364" t="s">
        <v>109</v>
      </c>
      <c r="D156" s="364" t="s">
        <v>176</v>
      </c>
      <c r="E156" s="304">
        <v>1250971</v>
      </c>
      <c r="F156" s="8">
        <v>120</v>
      </c>
      <c r="G156" s="475">
        <v>45280</v>
      </c>
      <c r="H156" s="303" t="s">
        <v>918</v>
      </c>
      <c r="I156" s="294">
        <f>SUM(W156,SUMIFS('Cutters Consumption Updates'!$F:$F,'Cutters Consumption Updates'!$G:$G,"NEW",'Cutters Consumption Updates'!$J:$J,Table7[[#This Row],[PO'#]],'Cutters Consumption Updates'!$B:$B,Table7[[#This Row],[Cutter Mat'#]]))</f>
        <v>120</v>
      </c>
      <c r="J156" s="294">
        <f t="shared" si="5"/>
        <v>0</v>
      </c>
      <c r="W156" s="294">
        <v>120</v>
      </c>
    </row>
    <row r="157" spans="2:23" ht="15.5" x14ac:dyDescent="0.25">
      <c r="B157" s="364">
        <v>1308</v>
      </c>
      <c r="C157" s="364" t="s">
        <v>65</v>
      </c>
      <c r="D157" s="364" t="s">
        <v>71</v>
      </c>
      <c r="E157" s="304">
        <v>418525</v>
      </c>
      <c r="F157" s="8">
        <v>120</v>
      </c>
      <c r="G157" s="475">
        <v>45286</v>
      </c>
      <c r="H157" s="303" t="s">
        <v>920</v>
      </c>
      <c r="I157" s="294">
        <f>SUM(W157,SUMIFS('Cutters Consumption Updates'!$F:$F,'Cutters Consumption Updates'!$G:$G,"NEW",'Cutters Consumption Updates'!$J:$J,Table7[[#This Row],[PO'#]],'Cutters Consumption Updates'!$B:$B,Table7[[#This Row],[Cutter Mat'#]]))</f>
        <v>120</v>
      </c>
      <c r="J157" s="294">
        <f t="shared" si="5"/>
        <v>0</v>
      </c>
      <c r="W157" s="294">
        <v>120</v>
      </c>
    </row>
    <row r="158" spans="2:23" ht="15.5" x14ac:dyDescent="0.25">
      <c r="B158" s="364" t="s">
        <v>921</v>
      </c>
      <c r="C158" s="364" t="s">
        <v>253</v>
      </c>
      <c r="D158" s="364" t="s">
        <v>114</v>
      </c>
      <c r="E158" s="304">
        <v>1130193</v>
      </c>
      <c r="F158" s="8">
        <v>20</v>
      </c>
      <c r="G158" s="475">
        <v>45286</v>
      </c>
      <c r="H158" s="303" t="s">
        <v>920</v>
      </c>
      <c r="I158" s="294">
        <f>SUM(W158,SUMIFS('Cutters Consumption Updates'!$F:$F,'Cutters Consumption Updates'!$G:$G,"NEW",'Cutters Consumption Updates'!$J:$J,Table7[[#This Row],[PO'#]],'Cutters Consumption Updates'!$B:$B,Table7[[#This Row],[Cutter Mat'#]]))</f>
        <v>20</v>
      </c>
      <c r="J158" s="294">
        <f t="shared" si="5"/>
        <v>0</v>
      </c>
      <c r="W158" s="294">
        <v>20</v>
      </c>
    </row>
    <row r="159" spans="2:23" ht="15.5" x14ac:dyDescent="0.25">
      <c r="B159" s="364" t="s">
        <v>909</v>
      </c>
      <c r="C159" s="364" t="s">
        <v>170</v>
      </c>
      <c r="D159" s="364" t="s">
        <v>145</v>
      </c>
      <c r="E159" s="304">
        <v>1220688</v>
      </c>
      <c r="F159" s="8">
        <v>266</v>
      </c>
      <c r="G159" s="475">
        <v>45286</v>
      </c>
      <c r="H159" s="303" t="s">
        <v>920</v>
      </c>
      <c r="I159" s="294">
        <f>SUM(W159,SUMIFS('Cutters Consumption Updates'!$F:$F,'Cutters Consumption Updates'!$G:$G,"NEW",'Cutters Consumption Updates'!$J:$J,Table7[[#This Row],[PO'#]],'Cutters Consumption Updates'!$B:$B,Table7[[#This Row],[Cutter Mat'#]]))</f>
        <v>266</v>
      </c>
      <c r="J159" s="294">
        <f t="shared" si="5"/>
        <v>0</v>
      </c>
      <c r="W159" s="294">
        <v>266</v>
      </c>
    </row>
    <row r="160" spans="2:23" ht="15.5" x14ac:dyDescent="0.25">
      <c r="B160" s="364" t="s">
        <v>922</v>
      </c>
      <c r="C160" s="364" t="s">
        <v>253</v>
      </c>
      <c r="D160" s="364" t="s">
        <v>114</v>
      </c>
      <c r="E160" s="304">
        <v>1130194</v>
      </c>
      <c r="F160" s="8">
        <v>105</v>
      </c>
      <c r="G160" s="475">
        <v>45286</v>
      </c>
      <c r="H160" s="303" t="s">
        <v>920</v>
      </c>
      <c r="I160" s="294">
        <f>SUM(W160,SUMIFS('Cutters Consumption Updates'!$F:$F,'Cutters Consumption Updates'!$G:$G,"NEW",'Cutters Consumption Updates'!$J:$J,Table7[[#This Row],[PO'#]],'Cutters Consumption Updates'!$B:$B,Table7[[#This Row],[Cutter Mat'#]]))</f>
        <v>105</v>
      </c>
      <c r="J160" s="294">
        <f t="shared" si="5"/>
        <v>0</v>
      </c>
      <c r="W160" s="294">
        <v>105</v>
      </c>
    </row>
    <row r="161" spans="2:23" ht="15.5" x14ac:dyDescent="0.25">
      <c r="B161" s="364" t="s">
        <v>876</v>
      </c>
      <c r="C161" s="364" t="s">
        <v>248</v>
      </c>
      <c r="D161" s="364" t="s">
        <v>125</v>
      </c>
      <c r="E161" s="304">
        <v>1136984</v>
      </c>
      <c r="F161" s="8">
        <v>39</v>
      </c>
      <c r="G161" s="475">
        <v>45286</v>
      </c>
      <c r="H161" s="303" t="s">
        <v>920</v>
      </c>
      <c r="I161" s="294">
        <f>SUM(W161,SUMIFS('Cutters Consumption Updates'!$F:$F,'Cutters Consumption Updates'!$G:$G,"NEW",'Cutters Consumption Updates'!$J:$J,Table7[[#This Row],[PO'#]],'Cutters Consumption Updates'!$B:$B,Table7[[#This Row],[Cutter Mat'#]]))</f>
        <v>39</v>
      </c>
      <c r="J161" s="294">
        <f t="shared" si="5"/>
        <v>0</v>
      </c>
      <c r="W161" s="294">
        <v>39</v>
      </c>
    </row>
    <row r="162" spans="2:23" ht="15.5" x14ac:dyDescent="0.25">
      <c r="B162" s="364" t="s">
        <v>877</v>
      </c>
      <c r="C162" s="364" t="s">
        <v>253</v>
      </c>
      <c r="D162" s="364" t="s">
        <v>51</v>
      </c>
      <c r="E162" s="304">
        <v>871781</v>
      </c>
      <c r="F162" s="8">
        <v>200</v>
      </c>
      <c r="G162" s="475">
        <v>45286</v>
      </c>
      <c r="H162" s="303" t="s">
        <v>920</v>
      </c>
      <c r="I162" s="294">
        <f>SUM(W162,SUMIFS('Cutters Consumption Updates'!$F:$F,'Cutters Consumption Updates'!$G:$G,"NEW",'Cutters Consumption Updates'!$J:$J,Table7[[#This Row],[PO'#]],'Cutters Consumption Updates'!$B:$B,Table7[[#This Row],[Cutter Mat'#]]))</f>
        <v>200</v>
      </c>
      <c r="J162" s="294">
        <f t="shared" si="5"/>
        <v>0</v>
      </c>
      <c r="W162" s="294">
        <v>200</v>
      </c>
    </row>
    <row r="163" spans="2:23" ht="15.5" x14ac:dyDescent="0.25">
      <c r="B163" s="364" t="s">
        <v>899</v>
      </c>
      <c r="C163" s="364" t="s">
        <v>177</v>
      </c>
      <c r="D163" s="364" t="s">
        <v>111</v>
      </c>
      <c r="E163" s="304">
        <v>1146346</v>
      </c>
      <c r="F163" s="8">
        <v>30</v>
      </c>
      <c r="G163" s="475">
        <v>45286</v>
      </c>
      <c r="H163" s="303" t="s">
        <v>920</v>
      </c>
      <c r="I163" s="294">
        <f>SUM(W163,SUMIFS('Cutters Consumption Updates'!$F:$F,'Cutters Consumption Updates'!$G:$G,"NEW",'Cutters Consumption Updates'!$J:$J,Table7[[#This Row],[PO'#]],'Cutters Consumption Updates'!$B:$B,Table7[[#This Row],[Cutter Mat'#]]))</f>
        <v>30</v>
      </c>
      <c r="J163" s="294">
        <f t="shared" si="5"/>
        <v>0</v>
      </c>
      <c r="W163" s="294">
        <v>30</v>
      </c>
    </row>
    <row r="164" spans="2:23" ht="15.5" x14ac:dyDescent="0.25">
      <c r="B164" s="364" t="s">
        <v>38</v>
      </c>
      <c r="C164" s="364" t="s">
        <v>151</v>
      </c>
      <c r="D164" s="364" t="s">
        <v>149</v>
      </c>
      <c r="E164" s="304">
        <v>1078377</v>
      </c>
      <c r="F164" s="8">
        <v>90</v>
      </c>
      <c r="G164" s="475">
        <v>45286</v>
      </c>
      <c r="H164" s="303" t="s">
        <v>920</v>
      </c>
      <c r="I164" s="294">
        <f>SUM(W164,SUMIFS('Cutters Consumption Updates'!$F:$F,'Cutters Consumption Updates'!$G:$G,"NEW",'Cutters Consumption Updates'!$J:$J,Table7[[#This Row],[PO'#]],'Cutters Consumption Updates'!$B:$B,Table7[[#This Row],[Cutter Mat'#]]))</f>
        <v>90</v>
      </c>
      <c r="J164" s="294">
        <f t="shared" si="5"/>
        <v>0</v>
      </c>
      <c r="W164" s="294">
        <v>90</v>
      </c>
    </row>
    <row r="165" spans="2:23" ht="15.5" x14ac:dyDescent="0.25">
      <c r="B165" s="364" t="s">
        <v>911</v>
      </c>
      <c r="C165" s="364" t="s">
        <v>103</v>
      </c>
      <c r="D165" s="364" t="s">
        <v>192</v>
      </c>
      <c r="E165" s="304">
        <v>179733</v>
      </c>
      <c r="F165" s="8">
        <v>10</v>
      </c>
      <c r="G165" s="475">
        <v>45286</v>
      </c>
      <c r="H165" s="303" t="s">
        <v>920</v>
      </c>
      <c r="I165" s="294">
        <f>SUM(W165,SUMIFS('Cutters Consumption Updates'!$F:$F,'Cutters Consumption Updates'!$G:$G,"NEW",'Cutters Consumption Updates'!$J:$J,Table7[[#This Row],[PO'#]],'Cutters Consumption Updates'!$B:$B,Table7[[#This Row],[Cutter Mat'#]]))</f>
        <v>10</v>
      </c>
      <c r="J165" s="294">
        <f t="shared" si="5"/>
        <v>0</v>
      </c>
      <c r="W165" s="294">
        <v>10</v>
      </c>
    </row>
    <row r="166" spans="2:23" ht="15.5" x14ac:dyDescent="0.25">
      <c r="B166" s="364" t="s">
        <v>879</v>
      </c>
      <c r="C166" s="364" t="s">
        <v>253</v>
      </c>
      <c r="D166" s="364" t="s">
        <v>51</v>
      </c>
      <c r="E166" s="304">
        <v>647435</v>
      </c>
      <c r="F166" s="8">
        <v>30</v>
      </c>
      <c r="G166" s="475">
        <v>45286</v>
      </c>
      <c r="H166" s="303" t="s">
        <v>920</v>
      </c>
      <c r="I166" s="294">
        <f>SUM(W166,SUMIFS('Cutters Consumption Updates'!$F:$F,'Cutters Consumption Updates'!$G:$G,"NEW",'Cutters Consumption Updates'!$J:$J,Table7[[#This Row],[PO'#]],'Cutters Consumption Updates'!$B:$B,Table7[[#This Row],[Cutter Mat'#]]))</f>
        <v>30</v>
      </c>
      <c r="J166" s="294">
        <f t="shared" si="5"/>
        <v>0</v>
      </c>
      <c r="W166" s="294">
        <v>30</v>
      </c>
    </row>
    <row r="167" spans="2:23" ht="15.5" x14ac:dyDescent="0.25">
      <c r="B167" s="364" t="s">
        <v>880</v>
      </c>
      <c r="C167" s="364" t="s">
        <v>253</v>
      </c>
      <c r="D167" s="364" t="s">
        <v>51</v>
      </c>
      <c r="E167" s="304">
        <v>647436</v>
      </c>
      <c r="F167" s="8">
        <v>300</v>
      </c>
      <c r="G167" s="475">
        <v>45286</v>
      </c>
      <c r="H167" s="303" t="s">
        <v>920</v>
      </c>
      <c r="I167" s="294">
        <f>SUM(W167,SUMIFS('Cutters Consumption Updates'!$F:$F,'Cutters Consumption Updates'!$G:$G,"NEW",'Cutters Consumption Updates'!$J:$J,Table7[[#This Row],[PO'#]],'Cutters Consumption Updates'!$B:$B,Table7[[#This Row],[Cutter Mat'#]]))</f>
        <v>300</v>
      </c>
      <c r="J167" s="294">
        <f t="shared" si="5"/>
        <v>0</v>
      </c>
      <c r="W167" s="294">
        <v>300</v>
      </c>
    </row>
    <row r="168" spans="2:23" ht="15.5" x14ac:dyDescent="0.25">
      <c r="B168" s="364" t="s">
        <v>894</v>
      </c>
      <c r="C168" s="364" t="s">
        <v>177</v>
      </c>
      <c r="D168" s="364" t="s">
        <v>195</v>
      </c>
      <c r="E168" s="304">
        <v>1271790</v>
      </c>
      <c r="F168" s="8">
        <v>265</v>
      </c>
      <c r="G168" s="475">
        <v>45286</v>
      </c>
      <c r="H168" s="303" t="s">
        <v>920</v>
      </c>
      <c r="I168" s="294">
        <f>SUM(W168,SUMIFS('Cutters Consumption Updates'!$F:$F,'Cutters Consumption Updates'!$G:$G,"NEW",'Cutters Consumption Updates'!$J:$J,Table7[[#This Row],[PO'#]],'Cutters Consumption Updates'!$B:$B,Table7[[#This Row],[Cutter Mat'#]]))</f>
        <v>265</v>
      </c>
      <c r="J168" s="294">
        <f t="shared" si="5"/>
        <v>0</v>
      </c>
      <c r="W168" s="294">
        <v>265</v>
      </c>
    </row>
    <row r="169" spans="2:23" ht="15.5" x14ac:dyDescent="0.25">
      <c r="B169" s="364" t="s">
        <v>894</v>
      </c>
      <c r="C169" s="364" t="s">
        <v>177</v>
      </c>
      <c r="D169" s="364" t="s">
        <v>111</v>
      </c>
      <c r="E169" s="304">
        <v>1146737</v>
      </c>
      <c r="F169" s="8">
        <v>200</v>
      </c>
      <c r="G169" s="475">
        <v>45286</v>
      </c>
      <c r="H169" s="303" t="s">
        <v>920</v>
      </c>
      <c r="I169" s="294">
        <f>SUM(W169,SUMIFS('Cutters Consumption Updates'!$F:$F,'Cutters Consumption Updates'!$G:$G,"NEW",'Cutters Consumption Updates'!$J:$J,Table7[[#This Row],[PO'#]],'Cutters Consumption Updates'!$B:$B,Table7[[#This Row],[Cutter Mat'#]]))</f>
        <v>200</v>
      </c>
      <c r="J169" s="294">
        <f t="shared" si="5"/>
        <v>0</v>
      </c>
      <c r="W169" s="294">
        <v>200</v>
      </c>
    </row>
    <row r="170" spans="2:23" ht="15.5" x14ac:dyDescent="0.25">
      <c r="B170" s="364" t="s">
        <v>923</v>
      </c>
      <c r="C170" s="364" t="s">
        <v>924</v>
      </c>
      <c r="D170" s="364" t="s">
        <v>111</v>
      </c>
      <c r="E170" s="304">
        <v>1244957</v>
      </c>
      <c r="F170" s="8">
        <v>30</v>
      </c>
      <c r="G170" s="475">
        <v>45286</v>
      </c>
      <c r="H170" s="303" t="s">
        <v>920</v>
      </c>
      <c r="I170" s="294">
        <f>SUM(W170,SUMIFS('Cutters Consumption Updates'!$F:$F,'Cutters Consumption Updates'!$G:$G,"NEW",'Cutters Consumption Updates'!$J:$J,Table7[[#This Row],[PO'#]],'Cutters Consumption Updates'!$B:$B,Table7[[#This Row],[Cutter Mat'#]]))</f>
        <v>30</v>
      </c>
      <c r="J170" s="294">
        <f t="shared" si="5"/>
        <v>0</v>
      </c>
      <c r="W170" s="294">
        <v>30</v>
      </c>
    </row>
    <row r="171" spans="2:23" ht="15.5" x14ac:dyDescent="0.25">
      <c r="B171" s="364" t="s">
        <v>236</v>
      </c>
      <c r="C171" s="364" t="s">
        <v>109</v>
      </c>
      <c r="D171" s="364" t="s">
        <v>176</v>
      </c>
      <c r="E171" s="304">
        <v>1234679</v>
      </c>
      <c r="F171" s="8">
        <v>60</v>
      </c>
      <c r="G171" s="475">
        <v>45286</v>
      </c>
      <c r="H171" s="303" t="s">
        <v>920</v>
      </c>
      <c r="I171" s="294">
        <f>SUM(W171,SUMIFS('Cutters Consumption Updates'!$F:$F,'Cutters Consumption Updates'!$G:$G,"NEW",'Cutters Consumption Updates'!$J:$J,Table7[[#This Row],[PO'#]],'Cutters Consumption Updates'!$B:$B,Table7[[#This Row],[Cutter Mat'#]]))</f>
        <v>60</v>
      </c>
      <c r="J171" s="294">
        <f t="shared" si="5"/>
        <v>0</v>
      </c>
      <c r="W171" s="294">
        <v>60</v>
      </c>
    </row>
    <row r="172" spans="2:23" ht="15.5" x14ac:dyDescent="0.25">
      <c r="B172" s="364" t="s">
        <v>881</v>
      </c>
      <c r="C172" s="364" t="s">
        <v>170</v>
      </c>
      <c r="D172" s="364" t="s">
        <v>111</v>
      </c>
      <c r="E172" s="304">
        <v>1208601</v>
      </c>
      <c r="F172" s="8">
        <v>70</v>
      </c>
      <c r="G172" s="475">
        <v>45286</v>
      </c>
      <c r="H172" s="303" t="s">
        <v>920</v>
      </c>
      <c r="I172" s="294">
        <f>SUM(W172,SUMIFS('Cutters Consumption Updates'!$F:$F,'Cutters Consumption Updates'!$G:$G,"NEW",'Cutters Consumption Updates'!$J:$J,Table7[[#This Row],[PO'#]],'Cutters Consumption Updates'!$B:$B,Table7[[#This Row],[Cutter Mat'#]]))</f>
        <v>70</v>
      </c>
      <c r="J172" s="294">
        <f t="shared" si="5"/>
        <v>0</v>
      </c>
      <c r="W172" s="294">
        <v>70</v>
      </c>
    </row>
    <row r="173" spans="2:23" ht="15.5" x14ac:dyDescent="0.25">
      <c r="B173" s="364" t="s">
        <v>884</v>
      </c>
      <c r="C173" s="364" t="s">
        <v>253</v>
      </c>
      <c r="D173" s="364" t="s">
        <v>51</v>
      </c>
      <c r="E173" s="304">
        <v>708306</v>
      </c>
      <c r="F173" s="8">
        <v>240</v>
      </c>
      <c r="G173" s="475">
        <v>45286</v>
      </c>
      <c r="H173" s="303" t="s">
        <v>920</v>
      </c>
      <c r="I173" s="294">
        <f>SUM(W173,SUMIFS('Cutters Consumption Updates'!$F:$F,'Cutters Consumption Updates'!$G:$G,"NEW",'Cutters Consumption Updates'!$J:$J,Table7[[#This Row],[PO'#]],'Cutters Consumption Updates'!$B:$B,Table7[[#This Row],[Cutter Mat'#]]))</f>
        <v>240</v>
      </c>
      <c r="J173" s="294">
        <f t="shared" si="5"/>
        <v>0</v>
      </c>
      <c r="W173" s="294">
        <v>240</v>
      </c>
    </row>
    <row r="174" spans="2:23" ht="15.5" x14ac:dyDescent="0.25">
      <c r="B174" s="364" t="s">
        <v>919</v>
      </c>
      <c r="C174" s="364" t="s">
        <v>109</v>
      </c>
      <c r="D174" s="364" t="s">
        <v>176</v>
      </c>
      <c r="E174" s="304">
        <v>1250971</v>
      </c>
      <c r="F174" s="8">
        <v>130</v>
      </c>
      <c r="G174" s="475">
        <v>45286</v>
      </c>
      <c r="H174" s="303" t="s">
        <v>920</v>
      </c>
      <c r="I174" s="294">
        <f>SUM(W174,SUMIFS('Cutters Consumption Updates'!$F:$F,'Cutters Consumption Updates'!$G:$G,"NEW",'Cutters Consumption Updates'!$J:$J,Table7[[#This Row],[PO'#]],'Cutters Consumption Updates'!$B:$B,Table7[[#This Row],[Cutter Mat'#]]))</f>
        <v>130</v>
      </c>
      <c r="J174" s="294">
        <f t="shared" si="5"/>
        <v>0</v>
      </c>
      <c r="W174" s="294">
        <v>130</v>
      </c>
    </row>
    <row r="175" spans="2:23" ht="15.5" x14ac:dyDescent="0.25">
      <c r="B175" s="364" t="s">
        <v>925</v>
      </c>
      <c r="C175" s="364"/>
      <c r="D175" s="364"/>
      <c r="E175" s="304">
        <v>1220554</v>
      </c>
      <c r="F175" s="8">
        <v>120</v>
      </c>
      <c r="G175" s="475">
        <v>45286</v>
      </c>
      <c r="H175" s="303" t="s">
        <v>920</v>
      </c>
      <c r="I175" s="294">
        <f>SUM(W175,SUMIFS('Cutters Consumption Updates'!$F:$F,'Cutters Consumption Updates'!$G:$G,"NEW",'Cutters Consumption Updates'!$J:$J,Table7[[#This Row],[PO'#]],'Cutters Consumption Updates'!$B:$B,Table7[[#This Row],[Cutter Mat'#]]))</f>
        <v>120</v>
      </c>
      <c r="J175" s="294">
        <f t="shared" si="5"/>
        <v>0</v>
      </c>
      <c r="W175" s="294">
        <v>120</v>
      </c>
    </row>
    <row r="176" spans="2:23" ht="15.5" x14ac:dyDescent="0.25">
      <c r="B176" s="364" t="s">
        <v>903</v>
      </c>
      <c r="C176" s="364"/>
      <c r="D176" s="364"/>
      <c r="E176" s="304">
        <v>1228501</v>
      </c>
      <c r="F176" s="8">
        <v>100</v>
      </c>
      <c r="G176" s="475">
        <v>45286</v>
      </c>
      <c r="H176" s="303" t="s">
        <v>920</v>
      </c>
      <c r="I176" s="294">
        <f>SUM(W176,SUMIFS('Cutters Consumption Updates'!$F:$F,'Cutters Consumption Updates'!$G:$G,"NEW",'Cutters Consumption Updates'!$J:$J,Table7[[#This Row],[PO'#]],'Cutters Consumption Updates'!$B:$B,Table7[[#This Row],[Cutter Mat'#]]))</f>
        <v>100</v>
      </c>
      <c r="J176" s="294">
        <f t="shared" si="5"/>
        <v>0</v>
      </c>
      <c r="W176" s="294">
        <v>100</v>
      </c>
    </row>
    <row r="177" spans="2:23" ht="15.5" x14ac:dyDescent="0.25">
      <c r="B177" s="364" t="s">
        <v>901</v>
      </c>
      <c r="C177" s="364" t="s">
        <v>170</v>
      </c>
      <c r="D177" s="364" t="s">
        <v>114</v>
      </c>
      <c r="E177" s="304">
        <v>1228502</v>
      </c>
      <c r="F177" s="8">
        <v>100</v>
      </c>
      <c r="G177" s="475">
        <v>45286</v>
      </c>
      <c r="H177" s="303" t="s">
        <v>920</v>
      </c>
      <c r="I177" s="294">
        <f>SUM(W177,SUMIFS('Cutters Consumption Updates'!$F:$F,'Cutters Consumption Updates'!$G:$G,"NEW",'Cutters Consumption Updates'!$J:$J,Table7[[#This Row],[PO'#]],'Cutters Consumption Updates'!$B:$B,Table7[[#This Row],[Cutter Mat'#]]))</f>
        <v>100</v>
      </c>
      <c r="J177" s="294">
        <f t="shared" si="5"/>
        <v>0</v>
      </c>
      <c r="W177" s="294">
        <v>100</v>
      </c>
    </row>
    <row r="178" spans="2:23" ht="15.5" x14ac:dyDescent="0.25">
      <c r="B178" s="364" t="s">
        <v>926</v>
      </c>
      <c r="C178" s="364"/>
      <c r="D178" s="364"/>
      <c r="E178" s="304">
        <v>1228503</v>
      </c>
      <c r="F178" s="8">
        <v>20</v>
      </c>
      <c r="G178" s="475">
        <v>45286</v>
      </c>
      <c r="H178" s="303" t="s">
        <v>920</v>
      </c>
      <c r="I178" s="294">
        <f>SUM(W178,SUMIFS('Cutters Consumption Updates'!$F:$F,'Cutters Consumption Updates'!$G:$G,"NEW",'Cutters Consumption Updates'!$J:$J,Table7[[#This Row],[PO'#]],'Cutters Consumption Updates'!$B:$B,Table7[[#This Row],[Cutter Mat'#]]))</f>
        <v>20</v>
      </c>
      <c r="J178" s="294">
        <f t="shared" si="5"/>
        <v>0</v>
      </c>
      <c r="W178" s="294">
        <v>20</v>
      </c>
    </row>
    <row r="179" spans="2:23" ht="15.5" x14ac:dyDescent="0.25">
      <c r="B179" s="364" t="s">
        <v>913</v>
      </c>
      <c r="C179" s="364" t="s">
        <v>170</v>
      </c>
      <c r="D179" s="364" t="s">
        <v>145</v>
      </c>
      <c r="E179" s="304">
        <v>1261319</v>
      </c>
      <c r="F179" s="8">
        <v>250</v>
      </c>
      <c r="G179" s="475">
        <v>45286</v>
      </c>
      <c r="H179" s="303" t="s">
        <v>920</v>
      </c>
      <c r="I179" s="294">
        <f>SUM(W179,SUMIFS('Cutters Consumption Updates'!$F:$F,'Cutters Consumption Updates'!$G:$G,"NEW",'Cutters Consumption Updates'!$J:$J,Table7[[#This Row],[PO'#]],'Cutters Consumption Updates'!$B:$B,Table7[[#This Row],[Cutter Mat'#]]))</f>
        <v>250</v>
      </c>
      <c r="J179" s="294">
        <f t="shared" si="5"/>
        <v>0</v>
      </c>
      <c r="W179" s="294">
        <v>250</v>
      </c>
    </row>
    <row r="180" spans="2:23" ht="15.5" x14ac:dyDescent="0.25">
      <c r="B180" s="364" t="s">
        <v>914</v>
      </c>
      <c r="C180" s="364" t="s">
        <v>170</v>
      </c>
      <c r="D180" s="364" t="s">
        <v>145</v>
      </c>
      <c r="E180" s="304">
        <v>1261320</v>
      </c>
      <c r="F180" s="8">
        <v>60</v>
      </c>
      <c r="G180" s="475">
        <v>45286</v>
      </c>
      <c r="H180" s="303" t="s">
        <v>920</v>
      </c>
      <c r="I180" s="294">
        <f>SUM(W180,SUMIFS('Cutters Consumption Updates'!$F:$F,'Cutters Consumption Updates'!$G:$G,"NEW",'Cutters Consumption Updates'!$J:$J,Table7[[#This Row],[PO'#]],'Cutters Consumption Updates'!$B:$B,Table7[[#This Row],[Cutter Mat'#]]))</f>
        <v>60</v>
      </c>
      <c r="J180" s="294">
        <f t="shared" si="5"/>
        <v>0</v>
      </c>
      <c r="W180" s="294">
        <v>60</v>
      </c>
    </row>
    <row r="181" spans="2:23" ht="15.5" x14ac:dyDescent="0.25">
      <c r="B181" s="364" t="s">
        <v>927</v>
      </c>
      <c r="C181" s="364" t="s">
        <v>170</v>
      </c>
      <c r="D181" s="364" t="s">
        <v>145</v>
      </c>
      <c r="E181" s="304">
        <v>1261321</v>
      </c>
      <c r="F181" s="8">
        <v>10</v>
      </c>
      <c r="G181" s="475">
        <v>45286</v>
      </c>
      <c r="H181" s="303" t="s">
        <v>920</v>
      </c>
      <c r="I181" s="294">
        <f>SUM(W181,SUMIFS('Cutters Consumption Updates'!$F:$F,'Cutters Consumption Updates'!$G:$G,"NEW",'Cutters Consumption Updates'!$J:$J,Table7[[#This Row],[PO'#]],'Cutters Consumption Updates'!$B:$B,Table7[[#This Row],[Cutter Mat'#]]))</f>
        <v>10</v>
      </c>
      <c r="J181" s="294">
        <f t="shared" si="5"/>
        <v>0</v>
      </c>
      <c r="W181" s="294">
        <v>10</v>
      </c>
    </row>
    <row r="182" spans="2:23" ht="15.5" x14ac:dyDescent="0.25">
      <c r="B182" s="364">
        <v>1308</v>
      </c>
      <c r="C182" s="364" t="s">
        <v>65</v>
      </c>
      <c r="D182" s="364" t="s">
        <v>71</v>
      </c>
      <c r="E182" s="304">
        <v>418525</v>
      </c>
      <c r="F182" s="8">
        <v>70</v>
      </c>
      <c r="G182" s="475">
        <v>45312</v>
      </c>
      <c r="H182" s="303" t="s">
        <v>928</v>
      </c>
      <c r="I182" s="294">
        <f>SUM(W182,SUMIFS('Cutters Consumption Updates'!$F:$F,'Cutters Consumption Updates'!$G:$G,"NEW",'Cutters Consumption Updates'!$J:$J,Table7[[#This Row],[PO'#]],'Cutters Consumption Updates'!$B:$B,Table7[[#This Row],[Cutter Mat'#]]))</f>
        <v>70</v>
      </c>
      <c r="J182" s="294">
        <f t="shared" si="5"/>
        <v>0</v>
      </c>
      <c r="W182" s="294">
        <v>70</v>
      </c>
    </row>
    <row r="183" spans="2:23" ht="15.5" x14ac:dyDescent="0.25">
      <c r="B183" s="364" t="s">
        <v>909</v>
      </c>
      <c r="C183" s="364" t="s">
        <v>170</v>
      </c>
      <c r="D183" s="364" t="s">
        <v>145</v>
      </c>
      <c r="E183" s="304">
        <v>1220688</v>
      </c>
      <c r="F183" s="8">
        <v>200</v>
      </c>
      <c r="G183" s="475">
        <v>45312</v>
      </c>
      <c r="H183" s="303" t="s">
        <v>928</v>
      </c>
      <c r="I183" s="294">
        <f>SUM(W183,SUMIFS('Cutters Consumption Updates'!$F:$F,'Cutters Consumption Updates'!$G:$G,"NEW",'Cutters Consumption Updates'!$J:$J,Table7[[#This Row],[PO'#]],'Cutters Consumption Updates'!$B:$B,Table7[[#This Row],[Cutter Mat'#]]))</f>
        <v>200</v>
      </c>
      <c r="J183" s="294">
        <f t="shared" si="5"/>
        <v>0</v>
      </c>
      <c r="W183" s="294">
        <v>200</v>
      </c>
    </row>
    <row r="184" spans="2:23" ht="15.5" x14ac:dyDescent="0.25">
      <c r="B184" s="364" t="s">
        <v>877</v>
      </c>
      <c r="C184" s="364" t="s">
        <v>253</v>
      </c>
      <c r="D184" s="364" t="s">
        <v>133</v>
      </c>
      <c r="E184" s="304">
        <v>1100751</v>
      </c>
      <c r="F184" s="8">
        <v>25</v>
      </c>
      <c r="G184" s="475">
        <v>45312</v>
      </c>
      <c r="H184" s="303" t="s">
        <v>928</v>
      </c>
      <c r="I184" s="294">
        <f>SUM(W184,SUMIFS('Cutters Consumption Updates'!$F:$F,'Cutters Consumption Updates'!$G:$G,"NEW",'Cutters Consumption Updates'!$J:$J,Table7[[#This Row],[PO'#]],'Cutters Consumption Updates'!$B:$B,Table7[[#This Row],[Cutter Mat'#]]))</f>
        <v>25</v>
      </c>
      <c r="J184" s="294">
        <f t="shared" si="5"/>
        <v>0</v>
      </c>
      <c r="W184" s="294">
        <v>25</v>
      </c>
    </row>
    <row r="185" spans="2:23" ht="15.5" x14ac:dyDescent="0.25">
      <c r="B185" s="364" t="s">
        <v>877</v>
      </c>
      <c r="C185" s="364" t="s">
        <v>253</v>
      </c>
      <c r="D185" s="364" t="s">
        <v>51</v>
      </c>
      <c r="E185" s="304">
        <v>871781</v>
      </c>
      <c r="F185" s="8">
        <v>20</v>
      </c>
      <c r="G185" s="475">
        <v>45312</v>
      </c>
      <c r="H185" s="303" t="s">
        <v>928</v>
      </c>
      <c r="I185" s="294">
        <f>SUM(W185,SUMIFS('Cutters Consumption Updates'!$F:$F,'Cutters Consumption Updates'!$G:$G,"NEW",'Cutters Consumption Updates'!$J:$J,Table7[[#This Row],[PO'#]],'Cutters Consumption Updates'!$B:$B,Table7[[#This Row],[Cutter Mat'#]]))</f>
        <v>20</v>
      </c>
      <c r="J185" s="294">
        <f t="shared" si="5"/>
        <v>0</v>
      </c>
      <c r="W185" s="294">
        <v>20</v>
      </c>
    </row>
    <row r="186" spans="2:23" ht="15.5" x14ac:dyDescent="0.25">
      <c r="B186" s="364" t="s">
        <v>38</v>
      </c>
      <c r="C186" s="364" t="s">
        <v>151</v>
      </c>
      <c r="D186" s="364" t="s">
        <v>149</v>
      </c>
      <c r="E186" s="304">
        <v>1078377</v>
      </c>
      <c r="F186" s="8">
        <v>110</v>
      </c>
      <c r="G186" s="475">
        <v>45312</v>
      </c>
      <c r="H186" s="303" t="s">
        <v>928</v>
      </c>
      <c r="I186" s="294">
        <f>SUM(W186,SUMIFS('Cutters Consumption Updates'!$F:$F,'Cutters Consumption Updates'!$G:$G,"NEW",'Cutters Consumption Updates'!$J:$J,Table7[[#This Row],[PO'#]],'Cutters Consumption Updates'!$B:$B,Table7[[#This Row],[Cutter Mat'#]]))</f>
        <v>110</v>
      </c>
      <c r="J186" s="294">
        <f t="shared" si="5"/>
        <v>0</v>
      </c>
      <c r="W186" s="294">
        <v>110</v>
      </c>
    </row>
    <row r="187" spans="2:23" ht="15.5" x14ac:dyDescent="0.25">
      <c r="B187" s="364" t="s">
        <v>879</v>
      </c>
      <c r="C187" s="364" t="s">
        <v>253</v>
      </c>
      <c r="D187" s="364" t="s">
        <v>51</v>
      </c>
      <c r="E187" s="304">
        <v>647435</v>
      </c>
      <c r="F187" s="8">
        <v>35</v>
      </c>
      <c r="G187" s="475">
        <v>45312</v>
      </c>
      <c r="H187" s="303" t="s">
        <v>928</v>
      </c>
      <c r="I187" s="294">
        <f>SUM(W187,SUMIFS('Cutters Consumption Updates'!$F:$F,'Cutters Consumption Updates'!$G:$G,"NEW",'Cutters Consumption Updates'!$J:$J,Table7[[#This Row],[PO'#]],'Cutters Consumption Updates'!$B:$B,Table7[[#This Row],[Cutter Mat'#]]))</f>
        <v>35</v>
      </c>
      <c r="J187" s="294">
        <f t="shared" si="5"/>
        <v>0</v>
      </c>
      <c r="W187" s="294">
        <v>35</v>
      </c>
    </row>
    <row r="188" spans="2:23" ht="15.5" x14ac:dyDescent="0.25">
      <c r="B188" s="364" t="s">
        <v>880</v>
      </c>
      <c r="C188" s="364" t="s">
        <v>253</v>
      </c>
      <c r="D188" s="364" t="s">
        <v>51</v>
      </c>
      <c r="E188" s="304">
        <v>647436</v>
      </c>
      <c r="F188" s="8">
        <v>150</v>
      </c>
      <c r="G188" s="475">
        <v>45312</v>
      </c>
      <c r="H188" s="303" t="s">
        <v>928</v>
      </c>
      <c r="I188" s="294">
        <f>SUM(W188,SUMIFS('Cutters Consumption Updates'!$F:$F,'Cutters Consumption Updates'!$G:$G,"NEW",'Cutters Consumption Updates'!$J:$J,Table7[[#This Row],[PO'#]],'Cutters Consumption Updates'!$B:$B,Table7[[#This Row],[Cutter Mat'#]]))</f>
        <v>150</v>
      </c>
      <c r="J188" s="294">
        <f t="shared" si="5"/>
        <v>0</v>
      </c>
      <c r="W188" s="294">
        <v>150</v>
      </c>
    </row>
    <row r="189" spans="2:23" ht="15.5" x14ac:dyDescent="0.25">
      <c r="B189" s="364" t="s">
        <v>894</v>
      </c>
      <c r="C189" s="364" t="s">
        <v>177</v>
      </c>
      <c r="D189" s="364" t="s">
        <v>195</v>
      </c>
      <c r="E189" s="304">
        <v>1271790</v>
      </c>
      <c r="F189" s="8">
        <v>330</v>
      </c>
      <c r="G189" s="475">
        <v>45312</v>
      </c>
      <c r="H189" s="303" t="s">
        <v>928</v>
      </c>
      <c r="I189" s="294">
        <f>SUM(W189,SUMIFS('Cutters Consumption Updates'!$F:$F,'Cutters Consumption Updates'!$G:$G,"NEW",'Cutters Consumption Updates'!$J:$J,Table7[[#This Row],[PO'#]],'Cutters Consumption Updates'!$B:$B,Table7[[#This Row],[Cutter Mat'#]]))</f>
        <v>330</v>
      </c>
      <c r="J189" s="294">
        <f t="shared" si="5"/>
        <v>0</v>
      </c>
      <c r="W189" s="294">
        <v>330</v>
      </c>
    </row>
    <row r="190" spans="2:23" ht="15.5" x14ac:dyDescent="0.25">
      <c r="B190" s="364" t="s">
        <v>894</v>
      </c>
      <c r="C190" s="364" t="s">
        <v>177</v>
      </c>
      <c r="D190" s="364" t="s">
        <v>111</v>
      </c>
      <c r="E190" s="304">
        <v>1146737</v>
      </c>
      <c r="F190" s="8">
        <v>175</v>
      </c>
      <c r="G190" s="475">
        <v>45312</v>
      </c>
      <c r="H190" s="303" t="s">
        <v>928</v>
      </c>
      <c r="I190" s="294">
        <f>SUM(W190,SUMIFS('Cutters Consumption Updates'!$F:$F,'Cutters Consumption Updates'!$G:$G,"NEW",'Cutters Consumption Updates'!$J:$J,Table7[[#This Row],[PO'#]],'Cutters Consumption Updates'!$B:$B,Table7[[#This Row],[Cutter Mat'#]]))</f>
        <v>175</v>
      </c>
      <c r="J190" s="294">
        <f t="shared" si="5"/>
        <v>0</v>
      </c>
      <c r="W190" s="294">
        <v>175</v>
      </c>
    </row>
    <row r="191" spans="2:23" ht="15.5" x14ac:dyDescent="0.25">
      <c r="B191" s="364" t="s">
        <v>236</v>
      </c>
      <c r="C191" s="364" t="s">
        <v>109</v>
      </c>
      <c r="D191" s="364" t="s">
        <v>895</v>
      </c>
      <c r="E191" s="304">
        <v>1209410</v>
      </c>
      <c r="F191" s="8">
        <v>20</v>
      </c>
      <c r="G191" s="475">
        <v>45312</v>
      </c>
      <c r="H191" s="303" t="s">
        <v>928</v>
      </c>
      <c r="I191" s="294">
        <f>SUM(W191,SUMIFS('Cutters Consumption Updates'!$F:$F,'Cutters Consumption Updates'!$G:$G,"NEW",'Cutters Consumption Updates'!$J:$J,Table7[[#This Row],[PO'#]],'Cutters Consumption Updates'!$B:$B,Table7[[#This Row],[Cutter Mat'#]]))</f>
        <v>20</v>
      </c>
      <c r="J191" s="294">
        <f t="shared" si="5"/>
        <v>0</v>
      </c>
      <c r="W191" s="294">
        <v>20</v>
      </c>
    </row>
    <row r="192" spans="2:23" ht="15.5" x14ac:dyDescent="0.25">
      <c r="B192" s="364" t="s">
        <v>881</v>
      </c>
      <c r="C192" s="364" t="s">
        <v>170</v>
      </c>
      <c r="D192" s="364" t="s">
        <v>111</v>
      </c>
      <c r="E192" s="304">
        <v>1208601</v>
      </c>
      <c r="F192" s="8">
        <v>60</v>
      </c>
      <c r="G192" s="475">
        <v>45312</v>
      </c>
      <c r="H192" s="303" t="s">
        <v>928</v>
      </c>
      <c r="I192" s="294">
        <f>SUM(W192,SUMIFS('Cutters Consumption Updates'!$F:$F,'Cutters Consumption Updates'!$G:$G,"NEW",'Cutters Consumption Updates'!$J:$J,Table7[[#This Row],[PO'#]],'Cutters Consumption Updates'!$B:$B,Table7[[#This Row],[Cutter Mat'#]]))</f>
        <v>60</v>
      </c>
      <c r="J192" s="294">
        <f t="shared" si="5"/>
        <v>0</v>
      </c>
      <c r="W192" s="294">
        <v>60</v>
      </c>
    </row>
    <row r="193" spans="2:23" ht="15.5" x14ac:dyDescent="0.25">
      <c r="B193" s="364">
        <v>1308</v>
      </c>
      <c r="C193" s="364" t="s">
        <v>65</v>
      </c>
      <c r="D193" s="364" t="s">
        <v>71</v>
      </c>
      <c r="E193" s="304">
        <v>418525</v>
      </c>
      <c r="F193" s="8">
        <v>150</v>
      </c>
      <c r="G193" s="475">
        <v>45321</v>
      </c>
      <c r="H193" s="303" t="s">
        <v>929</v>
      </c>
      <c r="I193" s="294">
        <f>SUM(W193,SUMIFS('Cutters Consumption Updates'!$F:$F,'Cutters Consumption Updates'!$G:$G,"NEW",'Cutters Consumption Updates'!$J:$J,Table7[[#This Row],[PO'#]],'Cutters Consumption Updates'!$B:$B,Table7[[#This Row],[Cutter Mat'#]]))</f>
        <v>150</v>
      </c>
      <c r="J193" s="294">
        <f t="shared" si="5"/>
        <v>0</v>
      </c>
      <c r="W193" s="294">
        <v>150</v>
      </c>
    </row>
    <row r="194" spans="2:23" ht="15.5" x14ac:dyDescent="0.25">
      <c r="B194" s="364" t="s">
        <v>909</v>
      </c>
      <c r="C194" s="364" t="s">
        <v>170</v>
      </c>
      <c r="D194" s="364" t="s">
        <v>145</v>
      </c>
      <c r="E194" s="304">
        <v>1220688</v>
      </c>
      <c r="F194" s="8">
        <v>190</v>
      </c>
      <c r="G194" s="475">
        <v>45321</v>
      </c>
      <c r="H194" s="303" t="s">
        <v>929</v>
      </c>
      <c r="I194" s="294">
        <f>SUM(W194,SUMIFS('Cutters Consumption Updates'!$F:$F,'Cutters Consumption Updates'!$G:$G,"NEW",'Cutters Consumption Updates'!$J:$J,Table7[[#This Row],[PO'#]],'Cutters Consumption Updates'!$B:$B,Table7[[#This Row],[Cutter Mat'#]]))</f>
        <v>190</v>
      </c>
      <c r="J194" s="294">
        <f t="shared" ref="J194:J257" si="6">F194-I194</f>
        <v>0</v>
      </c>
      <c r="W194" s="294">
        <v>190</v>
      </c>
    </row>
    <row r="195" spans="2:23" ht="15.5" x14ac:dyDescent="0.25">
      <c r="B195" s="364" t="s">
        <v>930</v>
      </c>
      <c r="C195" s="364" t="s">
        <v>248</v>
      </c>
      <c r="D195" s="364" t="s">
        <v>114</v>
      </c>
      <c r="E195" s="304">
        <v>1199247</v>
      </c>
      <c r="F195" s="8">
        <v>60</v>
      </c>
      <c r="G195" s="475">
        <v>45321</v>
      </c>
      <c r="H195" s="303" t="s">
        <v>929</v>
      </c>
      <c r="I195" s="294">
        <f>SUM(W195,SUMIFS('Cutters Consumption Updates'!$F:$F,'Cutters Consumption Updates'!$G:$G,"NEW",'Cutters Consumption Updates'!$J:$J,Table7[[#This Row],[PO'#]],'Cutters Consumption Updates'!$B:$B,Table7[[#This Row],[Cutter Mat'#]]))</f>
        <v>60</v>
      </c>
      <c r="J195" s="294">
        <f t="shared" si="6"/>
        <v>0</v>
      </c>
      <c r="W195" s="294">
        <v>60</v>
      </c>
    </row>
    <row r="196" spans="2:23" ht="15.5" x14ac:dyDescent="0.25">
      <c r="B196" s="364" t="s">
        <v>877</v>
      </c>
      <c r="C196" s="364" t="s">
        <v>253</v>
      </c>
      <c r="D196" s="364" t="s">
        <v>51</v>
      </c>
      <c r="E196" s="304">
        <v>871781</v>
      </c>
      <c r="F196" s="8">
        <v>120</v>
      </c>
      <c r="G196" s="475">
        <v>45321</v>
      </c>
      <c r="H196" s="303" t="s">
        <v>929</v>
      </c>
      <c r="I196" s="294">
        <f>SUM(W196,SUMIFS('Cutters Consumption Updates'!$F:$F,'Cutters Consumption Updates'!$G:$G,"NEW",'Cutters Consumption Updates'!$J:$J,Table7[[#This Row],[PO'#]],'Cutters Consumption Updates'!$B:$B,Table7[[#This Row],[Cutter Mat'#]]))</f>
        <v>120</v>
      </c>
      <c r="J196" s="294">
        <f t="shared" si="6"/>
        <v>0</v>
      </c>
      <c r="W196" s="294">
        <v>120</v>
      </c>
    </row>
    <row r="197" spans="2:23" ht="15.5" x14ac:dyDescent="0.25">
      <c r="B197" s="364" t="s">
        <v>38</v>
      </c>
      <c r="C197" s="364" t="s">
        <v>151</v>
      </c>
      <c r="D197" s="364" t="s">
        <v>149</v>
      </c>
      <c r="E197" s="304">
        <v>1078377</v>
      </c>
      <c r="F197" s="8">
        <v>105</v>
      </c>
      <c r="G197" s="475">
        <v>45321</v>
      </c>
      <c r="H197" s="303" t="s">
        <v>929</v>
      </c>
      <c r="I197" s="294">
        <f>SUM(W197,SUMIFS('Cutters Consumption Updates'!$F:$F,'Cutters Consumption Updates'!$G:$G,"NEW",'Cutters Consumption Updates'!$J:$J,Table7[[#This Row],[PO'#]],'Cutters Consumption Updates'!$B:$B,Table7[[#This Row],[Cutter Mat'#]]))</f>
        <v>105</v>
      </c>
      <c r="J197" s="294">
        <f t="shared" si="6"/>
        <v>0</v>
      </c>
      <c r="W197" s="294">
        <v>105</v>
      </c>
    </row>
    <row r="198" spans="2:23" ht="15.5" x14ac:dyDescent="0.25">
      <c r="B198" s="364" t="s">
        <v>879</v>
      </c>
      <c r="C198" s="364" t="s">
        <v>253</v>
      </c>
      <c r="D198" s="364" t="s">
        <v>51</v>
      </c>
      <c r="E198" s="304">
        <v>647435</v>
      </c>
      <c r="F198" s="8">
        <v>180</v>
      </c>
      <c r="G198" s="475">
        <v>45321</v>
      </c>
      <c r="H198" s="303" t="s">
        <v>929</v>
      </c>
      <c r="I198" s="294">
        <f>SUM(W198,SUMIFS('Cutters Consumption Updates'!$F:$F,'Cutters Consumption Updates'!$G:$G,"NEW",'Cutters Consumption Updates'!$J:$J,Table7[[#This Row],[PO'#]],'Cutters Consumption Updates'!$B:$B,Table7[[#This Row],[Cutter Mat'#]]))</f>
        <v>180</v>
      </c>
      <c r="J198" s="294">
        <f t="shared" si="6"/>
        <v>0</v>
      </c>
      <c r="W198" s="294">
        <v>180</v>
      </c>
    </row>
    <row r="199" spans="2:23" ht="15.5" x14ac:dyDescent="0.25">
      <c r="B199" s="364" t="s">
        <v>880</v>
      </c>
      <c r="C199" s="364" t="s">
        <v>253</v>
      </c>
      <c r="D199" s="364" t="s">
        <v>51</v>
      </c>
      <c r="E199" s="304">
        <v>647436</v>
      </c>
      <c r="F199" s="8">
        <v>675</v>
      </c>
      <c r="G199" s="475">
        <v>45321</v>
      </c>
      <c r="H199" s="303" t="s">
        <v>929</v>
      </c>
      <c r="I199" s="294">
        <f>SUM(W199,SUMIFS('Cutters Consumption Updates'!$F:$F,'Cutters Consumption Updates'!$G:$G,"NEW",'Cutters Consumption Updates'!$J:$J,Table7[[#This Row],[PO'#]],'Cutters Consumption Updates'!$B:$B,Table7[[#This Row],[Cutter Mat'#]]))</f>
        <v>675</v>
      </c>
      <c r="J199" s="294">
        <f t="shared" si="6"/>
        <v>0</v>
      </c>
      <c r="W199" s="294">
        <v>675</v>
      </c>
    </row>
    <row r="200" spans="2:23" ht="15.5" x14ac:dyDescent="0.25">
      <c r="B200" s="364" t="s">
        <v>880</v>
      </c>
      <c r="C200" s="364" t="s">
        <v>253</v>
      </c>
      <c r="D200" s="364" t="s">
        <v>133</v>
      </c>
      <c r="E200" s="304">
        <v>1100755</v>
      </c>
      <c r="F200" s="8">
        <v>375</v>
      </c>
      <c r="G200" s="475">
        <v>45321</v>
      </c>
      <c r="H200" s="303" t="s">
        <v>929</v>
      </c>
      <c r="I200" s="294">
        <f>SUM(W200,SUMIFS('Cutters Consumption Updates'!$F:$F,'Cutters Consumption Updates'!$G:$G,"NEW",'Cutters Consumption Updates'!$J:$J,Table7[[#This Row],[PO'#]],'Cutters Consumption Updates'!$B:$B,Table7[[#This Row],[Cutter Mat'#]]))</f>
        <v>375</v>
      </c>
      <c r="J200" s="294">
        <f t="shared" si="6"/>
        <v>0</v>
      </c>
      <c r="W200" s="294">
        <v>375</v>
      </c>
    </row>
    <row r="201" spans="2:23" ht="15.5" x14ac:dyDescent="0.25">
      <c r="B201" s="364" t="s">
        <v>894</v>
      </c>
      <c r="C201" s="364" t="s">
        <v>177</v>
      </c>
      <c r="D201" s="364" t="s">
        <v>195</v>
      </c>
      <c r="E201" s="304">
        <v>1271790</v>
      </c>
      <c r="F201" s="8">
        <v>750</v>
      </c>
      <c r="G201" s="475">
        <v>45321</v>
      </c>
      <c r="H201" s="303" t="s">
        <v>929</v>
      </c>
      <c r="I201" s="294">
        <f>SUM(W201,SUMIFS('Cutters Consumption Updates'!$F:$F,'Cutters Consumption Updates'!$G:$G,"NEW",'Cutters Consumption Updates'!$J:$J,Table7[[#This Row],[PO'#]],'Cutters Consumption Updates'!$B:$B,Table7[[#This Row],[Cutter Mat'#]]))</f>
        <v>750</v>
      </c>
      <c r="J201" s="294">
        <f t="shared" si="6"/>
        <v>0</v>
      </c>
      <c r="W201" s="294">
        <v>750</v>
      </c>
    </row>
    <row r="202" spans="2:23" ht="15.5" x14ac:dyDescent="0.25">
      <c r="B202" s="364" t="s">
        <v>894</v>
      </c>
      <c r="C202" s="364" t="s">
        <v>177</v>
      </c>
      <c r="D202" s="364" t="s">
        <v>111</v>
      </c>
      <c r="E202" s="304">
        <v>1146737</v>
      </c>
      <c r="F202" s="8">
        <v>450</v>
      </c>
      <c r="G202" s="475">
        <v>45321</v>
      </c>
      <c r="H202" s="303" t="s">
        <v>929</v>
      </c>
      <c r="I202" s="294">
        <f>SUM(W202,SUMIFS('Cutters Consumption Updates'!$F:$F,'Cutters Consumption Updates'!$G:$G,"NEW",'Cutters Consumption Updates'!$J:$J,Table7[[#This Row],[PO'#]],'Cutters Consumption Updates'!$B:$B,Table7[[#This Row],[Cutter Mat'#]]))</f>
        <v>450</v>
      </c>
      <c r="J202" s="294">
        <f t="shared" si="6"/>
        <v>0</v>
      </c>
      <c r="W202" s="294">
        <v>450</v>
      </c>
    </row>
    <row r="203" spans="2:23" ht="15.5" x14ac:dyDescent="0.25">
      <c r="B203" s="364" t="s">
        <v>881</v>
      </c>
      <c r="C203" s="364" t="s">
        <v>170</v>
      </c>
      <c r="D203" s="364" t="s">
        <v>111</v>
      </c>
      <c r="E203" s="304">
        <v>1208601</v>
      </c>
      <c r="F203" s="8">
        <v>40</v>
      </c>
      <c r="G203" s="475">
        <v>45321</v>
      </c>
      <c r="H203" s="303" t="s">
        <v>929</v>
      </c>
      <c r="I203" s="294">
        <f>SUM(W203,SUMIFS('Cutters Consumption Updates'!$F:$F,'Cutters Consumption Updates'!$G:$G,"NEW",'Cutters Consumption Updates'!$J:$J,Table7[[#This Row],[PO'#]],'Cutters Consumption Updates'!$B:$B,Table7[[#This Row],[Cutter Mat'#]]))</f>
        <v>40</v>
      </c>
      <c r="J203" s="294">
        <f t="shared" si="6"/>
        <v>0</v>
      </c>
      <c r="W203" s="294">
        <v>40</v>
      </c>
    </row>
    <row r="204" spans="2:23" ht="15.5" x14ac:dyDescent="0.25">
      <c r="B204" s="364" t="s">
        <v>884</v>
      </c>
      <c r="C204" s="364" t="s">
        <v>253</v>
      </c>
      <c r="D204" s="364" t="s">
        <v>51</v>
      </c>
      <c r="E204" s="304">
        <v>708306</v>
      </c>
      <c r="F204" s="8">
        <v>200</v>
      </c>
      <c r="G204" s="475">
        <v>45321</v>
      </c>
      <c r="H204" s="303" t="s">
        <v>929</v>
      </c>
      <c r="I204" s="294">
        <f>SUM(W204,SUMIFS('Cutters Consumption Updates'!$F:$F,'Cutters Consumption Updates'!$G:$G,"NEW",'Cutters Consumption Updates'!$J:$J,Table7[[#This Row],[PO'#]],'Cutters Consumption Updates'!$B:$B,Table7[[#This Row],[Cutter Mat'#]]))</f>
        <v>200</v>
      </c>
      <c r="J204" s="294">
        <f t="shared" si="6"/>
        <v>0</v>
      </c>
      <c r="W204" s="294">
        <v>200</v>
      </c>
    </row>
    <row r="205" spans="2:23" ht="15.5" x14ac:dyDescent="0.25">
      <c r="B205" s="364" t="s">
        <v>884</v>
      </c>
      <c r="C205" s="364" t="s">
        <v>253</v>
      </c>
      <c r="D205" s="364" t="s">
        <v>133</v>
      </c>
      <c r="E205" s="304">
        <v>1100759</v>
      </c>
      <c r="F205" s="8">
        <v>410</v>
      </c>
      <c r="G205" s="475">
        <v>45321</v>
      </c>
      <c r="H205" s="303" t="s">
        <v>929</v>
      </c>
      <c r="I205" s="294">
        <f>SUM(W205,SUMIFS('Cutters Consumption Updates'!$F:$F,'Cutters Consumption Updates'!$G:$G,"NEW",'Cutters Consumption Updates'!$J:$J,Table7[[#This Row],[PO'#]],'Cutters Consumption Updates'!$B:$B,Table7[[#This Row],[Cutter Mat'#]]))</f>
        <v>410</v>
      </c>
      <c r="J205" s="294">
        <f t="shared" si="6"/>
        <v>0</v>
      </c>
      <c r="W205" s="294">
        <v>410</v>
      </c>
    </row>
    <row r="206" spans="2:23" ht="15.5" x14ac:dyDescent="0.25">
      <c r="B206" s="364" t="s">
        <v>919</v>
      </c>
      <c r="C206" s="364" t="s">
        <v>109</v>
      </c>
      <c r="D206" s="364" t="s">
        <v>176</v>
      </c>
      <c r="E206" s="304">
        <v>1250971</v>
      </c>
      <c r="F206" s="8">
        <v>60</v>
      </c>
      <c r="G206" s="475">
        <v>45321</v>
      </c>
      <c r="H206" s="303" t="s">
        <v>929</v>
      </c>
      <c r="I206" s="294">
        <f>SUM(W206,SUMIFS('Cutters Consumption Updates'!$F:$F,'Cutters Consumption Updates'!$G:$G,"NEW",'Cutters Consumption Updates'!$J:$J,Table7[[#This Row],[PO'#]],'Cutters Consumption Updates'!$B:$B,Table7[[#This Row],[Cutter Mat'#]]))</f>
        <v>60</v>
      </c>
      <c r="J206" s="294">
        <f t="shared" si="6"/>
        <v>0</v>
      </c>
      <c r="W206" s="294">
        <v>60</v>
      </c>
    </row>
    <row r="207" spans="2:23" ht="15.5" x14ac:dyDescent="0.25">
      <c r="B207" s="364" t="s">
        <v>925</v>
      </c>
      <c r="C207" s="364"/>
      <c r="D207" s="364"/>
      <c r="E207" s="304">
        <v>1220554</v>
      </c>
      <c r="F207" s="8">
        <v>70</v>
      </c>
      <c r="G207" s="475">
        <v>45321</v>
      </c>
      <c r="H207" s="303" t="s">
        <v>929</v>
      </c>
      <c r="I207" s="294">
        <f>SUM(W207,SUMIFS('Cutters Consumption Updates'!$F:$F,'Cutters Consumption Updates'!$G:$G,"NEW",'Cutters Consumption Updates'!$J:$J,Table7[[#This Row],[PO'#]],'Cutters Consumption Updates'!$B:$B,Table7[[#This Row],[Cutter Mat'#]]))</f>
        <v>70</v>
      </c>
      <c r="J207" s="294">
        <f t="shared" si="6"/>
        <v>0</v>
      </c>
      <c r="W207" s="294">
        <v>70</v>
      </c>
    </row>
    <row r="208" spans="2:23" ht="15.5" x14ac:dyDescent="0.25">
      <c r="B208" s="364" t="s">
        <v>903</v>
      </c>
      <c r="C208" s="364"/>
      <c r="D208" s="364"/>
      <c r="E208" s="304">
        <v>1228501</v>
      </c>
      <c r="F208" s="8">
        <v>70</v>
      </c>
      <c r="G208" s="475">
        <v>45321</v>
      </c>
      <c r="H208" s="303" t="s">
        <v>929</v>
      </c>
      <c r="I208" s="294">
        <f>SUM(W208,SUMIFS('Cutters Consumption Updates'!$F:$F,'Cutters Consumption Updates'!$G:$G,"NEW",'Cutters Consumption Updates'!$J:$J,Table7[[#This Row],[PO'#]],'Cutters Consumption Updates'!$B:$B,Table7[[#This Row],[Cutter Mat'#]]))</f>
        <v>70</v>
      </c>
      <c r="J208" s="294">
        <f t="shared" si="6"/>
        <v>0</v>
      </c>
      <c r="W208" s="294">
        <v>70</v>
      </c>
    </row>
    <row r="209" spans="2:23" ht="15.5" x14ac:dyDescent="0.25">
      <c r="B209" s="364" t="s">
        <v>901</v>
      </c>
      <c r="C209" s="364" t="s">
        <v>170</v>
      </c>
      <c r="D209" s="364" t="s">
        <v>114</v>
      </c>
      <c r="E209" s="304">
        <v>1228502</v>
      </c>
      <c r="F209" s="8">
        <v>70</v>
      </c>
      <c r="G209" s="475">
        <v>45321</v>
      </c>
      <c r="H209" s="303" t="s">
        <v>929</v>
      </c>
      <c r="I209" s="294">
        <f>SUM(W209,SUMIFS('Cutters Consumption Updates'!$F:$F,'Cutters Consumption Updates'!$G:$G,"NEW",'Cutters Consumption Updates'!$J:$J,Table7[[#This Row],[PO'#]],'Cutters Consumption Updates'!$B:$B,Table7[[#This Row],[Cutter Mat'#]]))</f>
        <v>70</v>
      </c>
      <c r="J209" s="294">
        <f t="shared" si="6"/>
        <v>0</v>
      </c>
      <c r="W209" s="294">
        <v>70</v>
      </c>
    </row>
    <row r="210" spans="2:23" ht="15.5" x14ac:dyDescent="0.25">
      <c r="B210" s="364" t="s">
        <v>913</v>
      </c>
      <c r="C210" s="364" t="s">
        <v>170</v>
      </c>
      <c r="D210" s="364" t="s">
        <v>145</v>
      </c>
      <c r="E210" s="304">
        <v>1261319</v>
      </c>
      <c r="F210" s="8">
        <v>170</v>
      </c>
      <c r="G210" s="475">
        <v>45321</v>
      </c>
      <c r="H210" s="303" t="s">
        <v>929</v>
      </c>
      <c r="I210" s="294">
        <f>SUM(W210,SUMIFS('Cutters Consumption Updates'!$F:$F,'Cutters Consumption Updates'!$G:$G,"NEW",'Cutters Consumption Updates'!$J:$J,Table7[[#This Row],[PO'#]],'Cutters Consumption Updates'!$B:$B,Table7[[#This Row],[Cutter Mat'#]]))</f>
        <v>170</v>
      </c>
      <c r="J210" s="294">
        <f t="shared" si="6"/>
        <v>0</v>
      </c>
      <c r="W210" s="294">
        <v>170</v>
      </c>
    </row>
    <row r="211" spans="2:23" ht="15.5" x14ac:dyDescent="0.25">
      <c r="B211" s="364" t="s">
        <v>914</v>
      </c>
      <c r="C211" s="364" t="s">
        <v>170</v>
      </c>
      <c r="D211" s="364" t="s">
        <v>145</v>
      </c>
      <c r="E211" s="304">
        <v>1261320</v>
      </c>
      <c r="F211" s="8">
        <v>45</v>
      </c>
      <c r="G211" s="475">
        <v>45321</v>
      </c>
      <c r="H211" s="303" t="s">
        <v>929</v>
      </c>
      <c r="I211" s="294">
        <f>SUM(W211,SUMIFS('Cutters Consumption Updates'!$F:$F,'Cutters Consumption Updates'!$G:$G,"NEW",'Cutters Consumption Updates'!$J:$J,Table7[[#This Row],[PO'#]],'Cutters Consumption Updates'!$B:$B,Table7[[#This Row],[Cutter Mat'#]]))</f>
        <v>45</v>
      </c>
      <c r="J211" s="294">
        <f t="shared" si="6"/>
        <v>0</v>
      </c>
      <c r="W211" s="294">
        <v>45</v>
      </c>
    </row>
    <row r="212" spans="2:23" ht="15.5" x14ac:dyDescent="0.25">
      <c r="B212" s="364" t="s">
        <v>927</v>
      </c>
      <c r="C212" s="364" t="s">
        <v>170</v>
      </c>
      <c r="D212" s="364" t="s">
        <v>145</v>
      </c>
      <c r="E212" s="304">
        <v>1261321</v>
      </c>
      <c r="F212" s="8">
        <v>30</v>
      </c>
      <c r="G212" s="475">
        <v>45321</v>
      </c>
      <c r="H212" s="303" t="s">
        <v>929</v>
      </c>
      <c r="I212" s="294">
        <f>SUM(W212,SUMIFS('Cutters Consumption Updates'!$F:$F,'Cutters Consumption Updates'!$G:$G,"NEW",'Cutters Consumption Updates'!$J:$J,Table7[[#This Row],[PO'#]],'Cutters Consumption Updates'!$B:$B,Table7[[#This Row],[Cutter Mat'#]]))</f>
        <v>30</v>
      </c>
      <c r="J212" s="294">
        <f t="shared" si="6"/>
        <v>0</v>
      </c>
      <c r="W212" s="294">
        <v>30</v>
      </c>
    </row>
    <row r="213" spans="2:23" ht="15.5" x14ac:dyDescent="0.25">
      <c r="B213" s="364"/>
      <c r="C213" s="364" t="s">
        <v>109</v>
      </c>
      <c r="D213" s="364" t="s">
        <v>222</v>
      </c>
      <c r="E213" s="304">
        <v>1266910</v>
      </c>
      <c r="F213" s="8">
        <v>25</v>
      </c>
      <c r="G213" s="475">
        <v>45337</v>
      </c>
      <c r="H213" s="303" t="s">
        <v>931</v>
      </c>
      <c r="I213" s="294">
        <f>SUM(W213,SUMIFS('Cutters Consumption Updates'!$F:$F,'Cutters Consumption Updates'!$G:$G,"NEW",'Cutters Consumption Updates'!$J:$J,Table7[[#This Row],[PO'#]],'Cutters Consumption Updates'!$B:$B,Table7[[#This Row],[Cutter Mat'#]]))</f>
        <v>25</v>
      </c>
      <c r="J213" s="294">
        <f t="shared" si="6"/>
        <v>0</v>
      </c>
      <c r="W213" s="294">
        <v>25</v>
      </c>
    </row>
    <row r="214" spans="2:23" ht="15.5" x14ac:dyDescent="0.25">
      <c r="B214" s="364" t="s">
        <v>877</v>
      </c>
      <c r="C214" s="364" t="s">
        <v>253</v>
      </c>
      <c r="D214" s="364" t="s">
        <v>51</v>
      </c>
      <c r="E214" s="304">
        <v>871781</v>
      </c>
      <c r="F214" s="8">
        <v>35</v>
      </c>
      <c r="G214" s="475">
        <v>45336</v>
      </c>
      <c r="H214" s="303" t="s">
        <v>932</v>
      </c>
      <c r="I214" s="294">
        <f>SUM(W214,SUMIFS('Cutters Consumption Updates'!$F:$F,'Cutters Consumption Updates'!$G:$G,"NEW",'Cutters Consumption Updates'!$J:$J,Table7[[#This Row],[PO'#]],'Cutters Consumption Updates'!$B:$B,Table7[[#This Row],[Cutter Mat'#]]))</f>
        <v>35</v>
      </c>
      <c r="J214" s="294">
        <f t="shared" si="6"/>
        <v>0</v>
      </c>
      <c r="W214" s="294">
        <v>35</v>
      </c>
    </row>
    <row r="215" spans="2:23" ht="15.5" x14ac:dyDescent="0.25">
      <c r="B215" s="364" t="s">
        <v>38</v>
      </c>
      <c r="C215" s="364" t="s">
        <v>243</v>
      </c>
      <c r="D215" s="364" t="s">
        <v>192</v>
      </c>
      <c r="E215" s="304">
        <v>625854</v>
      </c>
      <c r="F215" s="8">
        <v>12</v>
      </c>
      <c r="G215" s="475">
        <v>45336</v>
      </c>
      <c r="H215" s="303" t="s">
        <v>932</v>
      </c>
      <c r="I215" s="294">
        <f>SUM(W215,SUMIFS('Cutters Consumption Updates'!$F:$F,'Cutters Consumption Updates'!$G:$G,"NEW",'Cutters Consumption Updates'!$J:$J,Table7[[#This Row],[PO'#]],'Cutters Consumption Updates'!$B:$B,Table7[[#This Row],[Cutter Mat'#]]))</f>
        <v>12</v>
      </c>
      <c r="J215" s="294">
        <f t="shared" si="6"/>
        <v>0</v>
      </c>
      <c r="W215" s="294">
        <v>12</v>
      </c>
    </row>
    <row r="216" spans="2:23" ht="15.5" x14ac:dyDescent="0.25">
      <c r="B216" s="364" t="s">
        <v>923</v>
      </c>
      <c r="C216" s="364" t="s">
        <v>924</v>
      </c>
      <c r="D216" s="364" t="s">
        <v>111</v>
      </c>
      <c r="E216" s="304">
        <v>1244957</v>
      </c>
      <c r="F216" s="8">
        <v>16</v>
      </c>
      <c r="G216" s="475">
        <v>45336</v>
      </c>
      <c r="H216" s="303" t="s">
        <v>932</v>
      </c>
      <c r="I216" s="294">
        <f>SUM(W216,SUMIFS('Cutters Consumption Updates'!$F:$F,'Cutters Consumption Updates'!$G:$G,"NEW",'Cutters Consumption Updates'!$J:$J,Table7[[#This Row],[PO'#]],'Cutters Consumption Updates'!$B:$B,Table7[[#This Row],[Cutter Mat'#]]))</f>
        <v>16</v>
      </c>
      <c r="J216" s="294">
        <f t="shared" si="6"/>
        <v>0</v>
      </c>
      <c r="W216" s="294">
        <v>16</v>
      </c>
    </row>
    <row r="217" spans="2:23" ht="15.5" x14ac:dyDescent="0.25">
      <c r="B217" s="364" t="s">
        <v>894</v>
      </c>
      <c r="C217" s="364" t="s">
        <v>177</v>
      </c>
      <c r="D217" s="364" t="s">
        <v>111</v>
      </c>
      <c r="E217" s="304">
        <v>1146737</v>
      </c>
      <c r="F217" s="8">
        <v>40</v>
      </c>
      <c r="G217" s="475">
        <v>45336</v>
      </c>
      <c r="H217" s="303" t="s">
        <v>932</v>
      </c>
      <c r="I217" s="294">
        <f>SUM(W217,SUMIFS('Cutters Consumption Updates'!$F:$F,'Cutters Consumption Updates'!$G:$G,"NEW",'Cutters Consumption Updates'!$J:$J,Table7[[#This Row],[PO'#]],'Cutters Consumption Updates'!$B:$B,Table7[[#This Row],[Cutter Mat'#]]))</f>
        <v>40</v>
      </c>
      <c r="J217" s="294">
        <f t="shared" si="6"/>
        <v>0</v>
      </c>
      <c r="W217" s="294">
        <v>40</v>
      </c>
    </row>
    <row r="218" spans="2:23" ht="15.5" x14ac:dyDescent="0.25">
      <c r="B218" s="364" t="s">
        <v>236</v>
      </c>
      <c r="C218" s="364" t="s">
        <v>109</v>
      </c>
      <c r="D218" s="364" t="s">
        <v>202</v>
      </c>
      <c r="E218" s="304">
        <v>1261615</v>
      </c>
      <c r="F218" s="8">
        <v>70</v>
      </c>
      <c r="G218" s="475">
        <v>45336</v>
      </c>
      <c r="H218" s="303" t="s">
        <v>932</v>
      </c>
      <c r="I218" s="294">
        <f>SUM(W218,SUMIFS('Cutters Consumption Updates'!$F:$F,'Cutters Consumption Updates'!$G:$G,"NEW",'Cutters Consumption Updates'!$J:$J,Table7[[#This Row],[PO'#]],'Cutters Consumption Updates'!$B:$B,Table7[[#This Row],[Cutter Mat'#]]))</f>
        <v>70</v>
      </c>
      <c r="J218" s="294">
        <f t="shared" si="6"/>
        <v>0</v>
      </c>
      <c r="W218" s="294">
        <v>70</v>
      </c>
    </row>
    <row r="219" spans="2:23" ht="15.5" x14ac:dyDescent="0.25">
      <c r="B219" s="364" t="s">
        <v>236</v>
      </c>
      <c r="C219" s="364" t="s">
        <v>109</v>
      </c>
      <c r="D219" s="364" t="s">
        <v>133</v>
      </c>
      <c r="E219" s="304">
        <v>1142711</v>
      </c>
      <c r="F219" s="8">
        <v>45</v>
      </c>
      <c r="G219" s="475">
        <v>45336</v>
      </c>
      <c r="H219" s="303" t="s">
        <v>932</v>
      </c>
      <c r="I219" s="294">
        <f>SUM(W219,SUMIFS('Cutters Consumption Updates'!$F:$F,'Cutters Consumption Updates'!$G:$G,"NEW",'Cutters Consumption Updates'!$J:$J,Table7[[#This Row],[PO'#]],'Cutters Consumption Updates'!$B:$B,Table7[[#This Row],[Cutter Mat'#]]))</f>
        <v>45</v>
      </c>
      <c r="J219" s="294">
        <f t="shared" si="6"/>
        <v>0</v>
      </c>
      <c r="W219" s="294">
        <v>45</v>
      </c>
    </row>
    <row r="220" spans="2:23" ht="15.5" x14ac:dyDescent="0.25">
      <c r="B220" s="364" t="s">
        <v>881</v>
      </c>
      <c r="C220" s="364" t="s">
        <v>170</v>
      </c>
      <c r="D220" s="364" t="s">
        <v>111</v>
      </c>
      <c r="E220" s="304">
        <v>1208601</v>
      </c>
      <c r="F220" s="8">
        <v>30</v>
      </c>
      <c r="G220" s="475">
        <v>45336</v>
      </c>
      <c r="H220" s="303" t="s">
        <v>932</v>
      </c>
      <c r="I220" s="294">
        <f>SUM(W220,SUMIFS('Cutters Consumption Updates'!$F:$F,'Cutters Consumption Updates'!$G:$G,"NEW",'Cutters Consumption Updates'!$J:$J,Table7[[#This Row],[PO'#]],'Cutters Consumption Updates'!$B:$B,Table7[[#This Row],[Cutter Mat'#]]))</f>
        <v>30</v>
      </c>
      <c r="J220" s="294">
        <f t="shared" si="6"/>
        <v>0</v>
      </c>
      <c r="W220" s="294">
        <v>30</v>
      </c>
    </row>
    <row r="221" spans="2:23" ht="15.5" x14ac:dyDescent="0.25">
      <c r="B221" s="364" t="s">
        <v>925</v>
      </c>
      <c r="C221" s="364"/>
      <c r="D221" s="364"/>
      <c r="E221" s="304">
        <v>1220554</v>
      </c>
      <c r="F221" s="8">
        <v>40</v>
      </c>
      <c r="G221" s="475">
        <v>45336</v>
      </c>
      <c r="H221" s="303" t="s">
        <v>932</v>
      </c>
      <c r="I221" s="294">
        <f>SUM(W221,SUMIFS('Cutters Consumption Updates'!$F:$F,'Cutters Consumption Updates'!$G:$G,"NEW",'Cutters Consumption Updates'!$J:$J,Table7[[#This Row],[PO'#]],'Cutters Consumption Updates'!$B:$B,Table7[[#This Row],[Cutter Mat'#]]))</f>
        <v>40</v>
      </c>
      <c r="J221" s="294">
        <f t="shared" si="6"/>
        <v>0</v>
      </c>
      <c r="W221" s="294">
        <v>40</v>
      </c>
    </row>
    <row r="222" spans="2:23" ht="15.5" x14ac:dyDescent="0.25">
      <c r="B222" s="364" t="s">
        <v>903</v>
      </c>
      <c r="C222" s="364"/>
      <c r="D222" s="364"/>
      <c r="E222" s="304">
        <v>1228501</v>
      </c>
      <c r="F222" s="8">
        <v>40</v>
      </c>
      <c r="G222" s="475">
        <v>45336</v>
      </c>
      <c r="H222" s="303" t="s">
        <v>932</v>
      </c>
      <c r="I222" s="294">
        <f>SUM(W222,SUMIFS('Cutters Consumption Updates'!$F:$F,'Cutters Consumption Updates'!$G:$G,"NEW",'Cutters Consumption Updates'!$J:$J,Table7[[#This Row],[PO'#]],'Cutters Consumption Updates'!$B:$B,Table7[[#This Row],[Cutter Mat'#]]))</f>
        <v>40</v>
      </c>
      <c r="J222" s="294">
        <f t="shared" si="6"/>
        <v>0</v>
      </c>
      <c r="W222" s="294">
        <v>40</v>
      </c>
    </row>
    <row r="223" spans="2:23" ht="15.5" x14ac:dyDescent="0.25">
      <c r="B223" s="364" t="s">
        <v>901</v>
      </c>
      <c r="C223" s="364" t="s">
        <v>170</v>
      </c>
      <c r="D223" s="364" t="s">
        <v>114</v>
      </c>
      <c r="E223" s="304">
        <v>1228502</v>
      </c>
      <c r="F223" s="8">
        <v>40</v>
      </c>
      <c r="G223" s="475">
        <v>45336</v>
      </c>
      <c r="H223" s="303" t="s">
        <v>932</v>
      </c>
      <c r="I223" s="294">
        <f>SUM(W223,SUMIFS('Cutters Consumption Updates'!$F:$F,'Cutters Consumption Updates'!$G:$G,"NEW",'Cutters Consumption Updates'!$J:$J,Table7[[#This Row],[PO'#]],'Cutters Consumption Updates'!$B:$B,Table7[[#This Row],[Cutter Mat'#]]))</f>
        <v>40</v>
      </c>
      <c r="J223" s="294">
        <f t="shared" si="6"/>
        <v>0</v>
      </c>
      <c r="W223" s="294">
        <v>40</v>
      </c>
    </row>
    <row r="224" spans="2:23" ht="15.5" x14ac:dyDescent="0.25">
      <c r="B224" s="364" t="s">
        <v>926</v>
      </c>
      <c r="C224" s="364"/>
      <c r="D224" s="364"/>
      <c r="E224" s="304">
        <v>1228503</v>
      </c>
      <c r="F224" s="8">
        <v>40</v>
      </c>
      <c r="G224" s="475">
        <v>45336</v>
      </c>
      <c r="H224" s="303" t="s">
        <v>932</v>
      </c>
      <c r="I224" s="294">
        <f>SUM(W224,SUMIFS('Cutters Consumption Updates'!$F:$F,'Cutters Consumption Updates'!$G:$G,"NEW",'Cutters Consumption Updates'!$J:$J,Table7[[#This Row],[PO'#]],'Cutters Consumption Updates'!$B:$B,Table7[[#This Row],[Cutter Mat'#]]))</f>
        <v>40</v>
      </c>
      <c r="J224" s="294">
        <f t="shared" si="6"/>
        <v>0</v>
      </c>
      <c r="W224" s="294">
        <v>40</v>
      </c>
    </row>
    <row r="225" spans="2:23" ht="15.5" x14ac:dyDescent="0.25">
      <c r="B225" s="364" t="s">
        <v>201</v>
      </c>
      <c r="C225" s="364" t="s">
        <v>243</v>
      </c>
      <c r="D225" s="364" t="s">
        <v>192</v>
      </c>
      <c r="E225" s="304">
        <v>1201518</v>
      </c>
      <c r="F225" s="8">
        <v>5</v>
      </c>
      <c r="G225" s="476">
        <v>45343</v>
      </c>
      <c r="H225" s="303" t="s">
        <v>933</v>
      </c>
      <c r="I225" s="294">
        <f>SUM(W225,SUMIFS('Cutters Consumption Updates'!$F:$F,'Cutters Consumption Updates'!$G:$G,"NEW",'Cutters Consumption Updates'!$J:$J,Table7[[#This Row],[PO'#]],'Cutters Consumption Updates'!$B:$B,Table7[[#This Row],[Cutter Mat'#]]))</f>
        <v>5</v>
      </c>
      <c r="J225" s="294">
        <f t="shared" si="6"/>
        <v>0</v>
      </c>
      <c r="W225" s="294">
        <v>5</v>
      </c>
    </row>
    <row r="226" spans="2:23" ht="15.5" x14ac:dyDescent="0.25">
      <c r="B226" s="364" t="s">
        <v>875</v>
      </c>
      <c r="C226" s="364" t="s">
        <v>170</v>
      </c>
      <c r="D226" s="364" t="s">
        <v>145</v>
      </c>
      <c r="E226" s="304">
        <v>1261319</v>
      </c>
      <c r="F226" s="8">
        <v>45</v>
      </c>
      <c r="G226" s="476">
        <v>45343</v>
      </c>
      <c r="H226" s="303" t="s">
        <v>933</v>
      </c>
      <c r="I226" s="294">
        <f>SUM(W226,SUMIFS('Cutters Consumption Updates'!$F:$F,'Cutters Consumption Updates'!$G:$G,"NEW",'Cutters Consumption Updates'!$J:$J,Table7[[#This Row],[PO'#]],'Cutters Consumption Updates'!$B:$B,Table7[[#This Row],[Cutter Mat'#]]))</f>
        <v>45</v>
      </c>
      <c r="J226" s="294">
        <f t="shared" si="6"/>
        <v>0</v>
      </c>
      <c r="W226" s="294">
        <v>45</v>
      </c>
    </row>
    <row r="227" spans="2:23" ht="15.5" x14ac:dyDescent="0.25">
      <c r="B227" s="364" t="s">
        <v>38</v>
      </c>
      <c r="C227" s="364" t="s">
        <v>243</v>
      </c>
      <c r="D227" s="364" t="s">
        <v>192</v>
      </c>
      <c r="E227" s="304">
        <v>653400</v>
      </c>
      <c r="F227" s="8">
        <v>12</v>
      </c>
      <c r="G227" s="476">
        <v>45343</v>
      </c>
      <c r="H227" s="303" t="s">
        <v>933</v>
      </c>
      <c r="I227" s="294">
        <f>SUM(W227,SUMIFS('Cutters Consumption Updates'!$F:$F,'Cutters Consumption Updates'!$G:$G,"NEW",'Cutters Consumption Updates'!$J:$J,Table7[[#This Row],[PO'#]],'Cutters Consumption Updates'!$B:$B,Table7[[#This Row],[Cutter Mat'#]]))</f>
        <v>12</v>
      </c>
      <c r="J227" s="294">
        <f t="shared" si="6"/>
        <v>0</v>
      </c>
      <c r="W227" s="294">
        <v>12</v>
      </c>
    </row>
    <row r="228" spans="2:23" ht="15.5" x14ac:dyDescent="0.25">
      <c r="B228" s="364" t="s">
        <v>879</v>
      </c>
      <c r="C228" s="364" t="s">
        <v>253</v>
      </c>
      <c r="D228" s="364" t="s">
        <v>111</v>
      </c>
      <c r="E228" s="304">
        <v>1100739</v>
      </c>
      <c r="F228" s="8">
        <v>39</v>
      </c>
      <c r="G228" s="476">
        <v>45343</v>
      </c>
      <c r="H228" s="303" t="s">
        <v>933</v>
      </c>
      <c r="I228" s="294">
        <f>SUM(W228,SUMIFS('Cutters Consumption Updates'!$F:$F,'Cutters Consumption Updates'!$G:$G,"NEW",'Cutters Consumption Updates'!$J:$J,Table7[[#This Row],[PO'#]],'Cutters Consumption Updates'!$B:$B,Table7[[#This Row],[Cutter Mat'#]]))</f>
        <v>39</v>
      </c>
      <c r="J228" s="294">
        <f t="shared" si="6"/>
        <v>0</v>
      </c>
      <c r="W228" s="294">
        <v>39</v>
      </c>
    </row>
    <row r="229" spans="2:23" ht="15.5" x14ac:dyDescent="0.25">
      <c r="B229" s="364" t="s">
        <v>894</v>
      </c>
      <c r="C229" s="364" t="s">
        <v>177</v>
      </c>
      <c r="D229" s="364" t="s">
        <v>195</v>
      </c>
      <c r="E229" s="304">
        <v>1271790</v>
      </c>
      <c r="F229" s="8">
        <v>205</v>
      </c>
      <c r="G229" s="476">
        <v>45343</v>
      </c>
      <c r="H229" s="303" t="s">
        <v>933</v>
      </c>
      <c r="I229" s="294">
        <f>SUM(W229,SUMIFS('Cutters Consumption Updates'!$F:$F,'Cutters Consumption Updates'!$G:$G,"NEW",'Cutters Consumption Updates'!$J:$J,Table7[[#This Row],[PO'#]],'Cutters Consumption Updates'!$B:$B,Table7[[#This Row],[Cutter Mat'#]]))</f>
        <v>205</v>
      </c>
      <c r="J229" s="294">
        <f t="shared" si="6"/>
        <v>0</v>
      </c>
      <c r="W229" s="294">
        <v>205</v>
      </c>
    </row>
    <row r="230" spans="2:23" ht="15.5" x14ac:dyDescent="0.25">
      <c r="B230" s="364" t="s">
        <v>894</v>
      </c>
      <c r="C230" s="364" t="s">
        <v>177</v>
      </c>
      <c r="D230" s="364" t="s">
        <v>111</v>
      </c>
      <c r="E230" s="304">
        <v>1146737</v>
      </c>
      <c r="F230" s="8">
        <v>75</v>
      </c>
      <c r="G230" s="476">
        <v>45343</v>
      </c>
      <c r="H230" s="303" t="s">
        <v>933</v>
      </c>
      <c r="I230" s="294">
        <f>SUM(W230,SUMIFS('Cutters Consumption Updates'!$F:$F,'Cutters Consumption Updates'!$G:$G,"NEW",'Cutters Consumption Updates'!$J:$J,Table7[[#This Row],[PO'#]],'Cutters Consumption Updates'!$B:$B,Table7[[#This Row],[Cutter Mat'#]]))</f>
        <v>75</v>
      </c>
      <c r="J230" s="294">
        <f t="shared" si="6"/>
        <v>0</v>
      </c>
      <c r="W230" s="294">
        <v>75</v>
      </c>
    </row>
    <row r="231" spans="2:23" ht="15.5" x14ac:dyDescent="0.25">
      <c r="B231" s="364" t="s">
        <v>894</v>
      </c>
      <c r="C231" s="364" t="s">
        <v>177</v>
      </c>
      <c r="D231" s="364" t="s">
        <v>133</v>
      </c>
      <c r="E231" s="304">
        <v>1126402</v>
      </c>
      <c r="F231" s="8">
        <v>32</v>
      </c>
      <c r="G231" s="476">
        <v>45343</v>
      </c>
      <c r="H231" s="303" t="s">
        <v>933</v>
      </c>
      <c r="I231" s="294">
        <f>SUM(W231,SUMIFS('Cutters Consumption Updates'!$F:$F,'Cutters Consumption Updates'!$G:$G,"NEW",'Cutters Consumption Updates'!$J:$J,Table7[[#This Row],[PO'#]],'Cutters Consumption Updates'!$B:$B,Table7[[#This Row],[Cutter Mat'#]]))</f>
        <v>32</v>
      </c>
      <c r="J231" s="294">
        <f t="shared" si="6"/>
        <v>0</v>
      </c>
      <c r="W231" s="294">
        <v>32</v>
      </c>
    </row>
    <row r="232" spans="2:23" ht="15.5" x14ac:dyDescent="0.25">
      <c r="B232" s="364" t="s">
        <v>236</v>
      </c>
      <c r="C232" s="364" t="s">
        <v>109</v>
      </c>
      <c r="D232" s="364" t="s">
        <v>202</v>
      </c>
      <c r="E232" s="304">
        <v>1261615</v>
      </c>
      <c r="F232" s="8">
        <v>22</v>
      </c>
      <c r="G232" s="476">
        <v>45343</v>
      </c>
      <c r="H232" s="303" t="s">
        <v>933</v>
      </c>
      <c r="I232" s="294">
        <f>SUM(W232,SUMIFS('Cutters Consumption Updates'!$F:$F,'Cutters Consumption Updates'!$G:$G,"NEW",'Cutters Consumption Updates'!$J:$J,Table7[[#This Row],[PO'#]],'Cutters Consumption Updates'!$B:$B,Table7[[#This Row],[Cutter Mat'#]]))</f>
        <v>22</v>
      </c>
      <c r="J232" s="294">
        <f t="shared" si="6"/>
        <v>0</v>
      </c>
      <c r="W232" s="294">
        <v>22</v>
      </c>
    </row>
    <row r="233" spans="2:23" ht="15.5" x14ac:dyDescent="0.25">
      <c r="B233" s="364" t="s">
        <v>881</v>
      </c>
      <c r="C233" s="364" t="s">
        <v>170</v>
      </c>
      <c r="D233" s="364" t="s">
        <v>153</v>
      </c>
      <c r="E233" s="304">
        <v>1255773</v>
      </c>
      <c r="F233" s="8">
        <v>40</v>
      </c>
      <c r="G233" s="476">
        <v>45343</v>
      </c>
      <c r="H233" s="303" t="s">
        <v>933</v>
      </c>
      <c r="I233" s="294">
        <f>SUM(W233,SUMIFS('Cutters Consumption Updates'!$F:$F,'Cutters Consumption Updates'!$G:$G,"NEW",'Cutters Consumption Updates'!$J:$J,Table7[[#This Row],[PO'#]],'Cutters Consumption Updates'!$B:$B,Table7[[#This Row],[Cutter Mat'#]]))</f>
        <v>40</v>
      </c>
      <c r="J233" s="294">
        <f t="shared" si="6"/>
        <v>0</v>
      </c>
      <c r="W233" s="294">
        <v>40</v>
      </c>
    </row>
    <row r="234" spans="2:23" ht="15.5" x14ac:dyDescent="0.25">
      <c r="B234" s="364">
        <v>1308</v>
      </c>
      <c r="C234" s="364" t="s">
        <v>65</v>
      </c>
      <c r="D234" s="364" t="s">
        <v>71</v>
      </c>
      <c r="E234" s="304">
        <v>418525</v>
      </c>
      <c r="F234" s="8">
        <v>125</v>
      </c>
      <c r="G234" s="476">
        <v>45351</v>
      </c>
      <c r="H234" s="303" t="s">
        <v>934</v>
      </c>
      <c r="I234" s="294">
        <f>SUM(W234,SUMIFS('Cutters Consumption Updates'!$F:$F,'Cutters Consumption Updates'!$G:$G,"NEW",'Cutters Consumption Updates'!$J:$J,Table7[[#This Row],[PO'#]],'Cutters Consumption Updates'!$B:$B,Table7[[#This Row],[Cutter Mat'#]]))</f>
        <v>125</v>
      </c>
      <c r="J234" s="294">
        <f t="shared" si="6"/>
        <v>0</v>
      </c>
      <c r="W234" s="294">
        <v>125</v>
      </c>
    </row>
    <row r="235" spans="2:23" ht="15.5" x14ac:dyDescent="0.25">
      <c r="B235" s="364" t="s">
        <v>935</v>
      </c>
      <c r="C235" s="364" t="s">
        <v>231</v>
      </c>
      <c r="D235" s="364" t="s">
        <v>53</v>
      </c>
      <c r="E235" s="304">
        <v>882800</v>
      </c>
      <c r="F235" s="8">
        <v>50</v>
      </c>
      <c r="G235" s="476">
        <v>45351</v>
      </c>
      <c r="H235" s="303" t="s">
        <v>934</v>
      </c>
      <c r="I235" s="294">
        <f>SUM(W235,SUMIFS('Cutters Consumption Updates'!$F:$F,'Cutters Consumption Updates'!$G:$G,"NEW",'Cutters Consumption Updates'!$J:$J,Table7[[#This Row],[PO'#]],'Cutters Consumption Updates'!$B:$B,Table7[[#This Row],[Cutter Mat'#]]))</f>
        <v>50</v>
      </c>
      <c r="J235" s="294">
        <f t="shared" si="6"/>
        <v>0</v>
      </c>
      <c r="W235" s="294">
        <v>50</v>
      </c>
    </row>
    <row r="236" spans="2:23" ht="15.5" x14ac:dyDescent="0.25">
      <c r="B236" s="364" t="s">
        <v>921</v>
      </c>
      <c r="C236" s="364" t="s">
        <v>253</v>
      </c>
      <c r="D236" s="364" t="s">
        <v>51</v>
      </c>
      <c r="E236" s="304">
        <v>773384</v>
      </c>
      <c r="F236" s="8">
        <v>30</v>
      </c>
      <c r="G236" s="476">
        <v>45351</v>
      </c>
      <c r="H236" s="303" t="s">
        <v>934</v>
      </c>
      <c r="I236" s="294">
        <f>SUM(W236,SUMIFS('Cutters Consumption Updates'!$F:$F,'Cutters Consumption Updates'!$G:$G,"NEW",'Cutters Consumption Updates'!$J:$J,Table7[[#This Row],[PO'#]],'Cutters Consumption Updates'!$B:$B,Table7[[#This Row],[Cutter Mat'#]]))</f>
        <v>30</v>
      </c>
      <c r="J236" s="294">
        <f t="shared" si="6"/>
        <v>0</v>
      </c>
      <c r="W236" s="294">
        <v>30</v>
      </c>
    </row>
    <row r="237" spans="2:23" ht="15.5" x14ac:dyDescent="0.25">
      <c r="B237" s="364" t="s">
        <v>921</v>
      </c>
      <c r="C237" s="364" t="s">
        <v>253</v>
      </c>
      <c r="D237" s="364" t="s">
        <v>114</v>
      </c>
      <c r="E237" s="304">
        <v>1130193</v>
      </c>
      <c r="F237" s="8"/>
      <c r="G237" s="476">
        <v>45351</v>
      </c>
      <c r="H237" s="303" t="s">
        <v>934</v>
      </c>
      <c r="I237" s="294">
        <f>SUM(W237,SUMIFS('Cutters Consumption Updates'!$F:$F,'Cutters Consumption Updates'!$G:$G,"NEW",'Cutters Consumption Updates'!$J:$J,Table7[[#This Row],[PO'#]],'Cutters Consumption Updates'!$B:$B,Table7[[#This Row],[Cutter Mat'#]]))</f>
        <v>0</v>
      </c>
      <c r="J237" s="294">
        <f t="shared" si="6"/>
        <v>0</v>
      </c>
      <c r="K237" t="s">
        <v>936</v>
      </c>
      <c r="W237" s="294"/>
    </row>
    <row r="238" spans="2:23" ht="15.5" x14ac:dyDescent="0.25">
      <c r="B238" s="364" t="s">
        <v>922</v>
      </c>
      <c r="C238" s="364" t="s">
        <v>253</v>
      </c>
      <c r="D238" s="364" t="s">
        <v>51</v>
      </c>
      <c r="E238" s="304">
        <v>717748</v>
      </c>
      <c r="F238" s="8">
        <v>160</v>
      </c>
      <c r="G238" s="476">
        <v>45351</v>
      </c>
      <c r="H238" s="303" t="s">
        <v>934</v>
      </c>
      <c r="I238" s="294">
        <f>SUM(W238,SUMIFS('Cutters Consumption Updates'!$F:$F,'Cutters Consumption Updates'!$G:$G,"NEW",'Cutters Consumption Updates'!$J:$J,Table7[[#This Row],[PO'#]],'Cutters Consumption Updates'!$B:$B,Table7[[#This Row],[Cutter Mat'#]]))</f>
        <v>160</v>
      </c>
      <c r="J238" s="294">
        <f t="shared" si="6"/>
        <v>0</v>
      </c>
      <c r="W238" s="294">
        <v>160</v>
      </c>
    </row>
    <row r="239" spans="2:23" ht="15.5" x14ac:dyDescent="0.25">
      <c r="B239" s="364" t="s">
        <v>922</v>
      </c>
      <c r="C239" s="364" t="s">
        <v>253</v>
      </c>
      <c r="D239" s="364" t="s">
        <v>114</v>
      </c>
      <c r="E239" s="304">
        <v>1130194</v>
      </c>
      <c r="F239" s="8"/>
      <c r="G239" s="476">
        <v>45351</v>
      </c>
      <c r="H239" s="303" t="s">
        <v>934</v>
      </c>
      <c r="I239" s="294">
        <f>SUM(W239,SUMIFS('Cutters Consumption Updates'!$F:$F,'Cutters Consumption Updates'!$G:$G,"NEW",'Cutters Consumption Updates'!$J:$J,Table7[[#This Row],[PO'#]],'Cutters Consumption Updates'!$B:$B,Table7[[#This Row],[Cutter Mat'#]]))</f>
        <v>0</v>
      </c>
      <c r="J239" s="294">
        <f t="shared" si="6"/>
        <v>0</v>
      </c>
      <c r="K239" t="s">
        <v>937</v>
      </c>
      <c r="W239" s="294"/>
    </row>
    <row r="240" spans="2:23" ht="15.5" x14ac:dyDescent="0.25">
      <c r="B240" s="364" t="s">
        <v>876</v>
      </c>
      <c r="C240" s="364" t="s">
        <v>248</v>
      </c>
      <c r="D240" s="364" t="s">
        <v>125</v>
      </c>
      <c r="E240" s="304">
        <v>1136984</v>
      </c>
      <c r="F240" s="8">
        <v>25</v>
      </c>
      <c r="G240" s="476">
        <v>45351</v>
      </c>
      <c r="H240" s="303" t="s">
        <v>934</v>
      </c>
      <c r="I240" s="294">
        <f>SUM(W240,SUMIFS('Cutters Consumption Updates'!$F:$F,'Cutters Consumption Updates'!$G:$G,"NEW",'Cutters Consumption Updates'!$J:$J,Table7[[#This Row],[PO'#]],'Cutters Consumption Updates'!$B:$B,Table7[[#This Row],[Cutter Mat'#]]))</f>
        <v>25</v>
      </c>
      <c r="J240" s="294">
        <f t="shared" si="6"/>
        <v>0</v>
      </c>
      <c r="W240" s="294">
        <v>25</v>
      </c>
    </row>
    <row r="241" spans="2:23" ht="15.5" x14ac:dyDescent="0.25">
      <c r="B241" s="364" t="s">
        <v>877</v>
      </c>
      <c r="C241" s="364" t="s">
        <v>253</v>
      </c>
      <c r="D241" s="364" t="s">
        <v>51</v>
      </c>
      <c r="E241" s="304">
        <v>871781</v>
      </c>
      <c r="F241" s="8">
        <v>175</v>
      </c>
      <c r="G241" s="476">
        <v>45351</v>
      </c>
      <c r="H241" s="303" t="s">
        <v>934</v>
      </c>
      <c r="I241" s="294">
        <f>SUM(W241,SUMIFS('Cutters Consumption Updates'!$F:$F,'Cutters Consumption Updates'!$G:$G,"NEW",'Cutters Consumption Updates'!$J:$J,Table7[[#This Row],[PO'#]],'Cutters Consumption Updates'!$B:$B,Table7[[#This Row],[Cutter Mat'#]]))</f>
        <v>175</v>
      </c>
      <c r="J241" s="294">
        <f t="shared" si="6"/>
        <v>0</v>
      </c>
      <c r="W241" s="294">
        <v>175</v>
      </c>
    </row>
    <row r="242" spans="2:23" ht="15.5" x14ac:dyDescent="0.25">
      <c r="B242" s="364" t="s">
        <v>877</v>
      </c>
      <c r="C242" s="364" t="s">
        <v>253</v>
      </c>
      <c r="D242" s="364" t="s">
        <v>133</v>
      </c>
      <c r="E242" s="304">
        <v>1100751</v>
      </c>
      <c r="F242" s="8">
        <v>130</v>
      </c>
      <c r="G242" s="476">
        <v>45351</v>
      </c>
      <c r="H242" s="303" t="s">
        <v>934</v>
      </c>
      <c r="I242" s="294">
        <f>SUM(W242,SUMIFS('Cutters Consumption Updates'!$F:$F,'Cutters Consumption Updates'!$G:$G,"NEW",'Cutters Consumption Updates'!$J:$J,Table7[[#This Row],[PO'#]],'Cutters Consumption Updates'!$B:$B,Table7[[#This Row],[Cutter Mat'#]]))</f>
        <v>130</v>
      </c>
      <c r="J242" s="294">
        <f t="shared" si="6"/>
        <v>0</v>
      </c>
      <c r="W242" s="294">
        <v>130</v>
      </c>
    </row>
    <row r="243" spans="2:23" ht="15.5" x14ac:dyDescent="0.25">
      <c r="B243" s="364" t="s">
        <v>899</v>
      </c>
      <c r="C243" s="364" t="s">
        <v>177</v>
      </c>
      <c r="D243" s="364" t="s">
        <v>111</v>
      </c>
      <c r="E243" s="304">
        <v>1146346</v>
      </c>
      <c r="F243" s="8">
        <v>30</v>
      </c>
      <c r="G243" s="476">
        <v>45351</v>
      </c>
      <c r="H243" s="303" t="s">
        <v>938</v>
      </c>
      <c r="I243" s="294">
        <f>SUM(W243,SUMIFS('Cutters Consumption Updates'!$F:$F,'Cutters Consumption Updates'!$G:$G,"NEW",'Cutters Consumption Updates'!$J:$J,Table7[[#This Row],[PO'#]],'Cutters Consumption Updates'!$B:$B,Table7[[#This Row],[Cutter Mat'#]]))</f>
        <v>30</v>
      </c>
      <c r="J243" s="294">
        <f t="shared" si="6"/>
        <v>0</v>
      </c>
      <c r="W243" s="294">
        <v>30</v>
      </c>
    </row>
    <row r="244" spans="2:23" ht="15.5" x14ac:dyDescent="0.25">
      <c r="B244" s="364" t="s">
        <v>38</v>
      </c>
      <c r="C244" s="364" t="s">
        <v>243</v>
      </c>
      <c r="D244" s="364" t="s">
        <v>192</v>
      </c>
      <c r="E244" s="304">
        <v>1234189</v>
      </c>
      <c r="F244" s="8">
        <v>10</v>
      </c>
      <c r="G244" s="476">
        <v>45351</v>
      </c>
      <c r="H244" s="303" t="s">
        <v>938</v>
      </c>
      <c r="I244" s="294">
        <f>SUM(W244,SUMIFS('Cutters Consumption Updates'!$F:$F,'Cutters Consumption Updates'!$G:$G,"NEW",'Cutters Consumption Updates'!$J:$J,Table7[[#This Row],[PO'#]],'Cutters Consumption Updates'!$B:$B,Table7[[#This Row],[Cutter Mat'#]]))</f>
        <v>10</v>
      </c>
      <c r="J244" s="294">
        <f t="shared" si="6"/>
        <v>0</v>
      </c>
      <c r="W244" s="294">
        <v>10</v>
      </c>
    </row>
    <row r="245" spans="2:23" ht="15.5" x14ac:dyDescent="0.25">
      <c r="B245" s="364" t="s">
        <v>38</v>
      </c>
      <c r="C245" s="364" t="s">
        <v>243</v>
      </c>
      <c r="D245" s="364" t="s">
        <v>192</v>
      </c>
      <c r="E245" s="304">
        <v>625854</v>
      </c>
      <c r="F245" s="8">
        <v>10</v>
      </c>
      <c r="G245" s="476">
        <v>45351</v>
      </c>
      <c r="H245" s="303" t="s">
        <v>934</v>
      </c>
      <c r="I245" s="294">
        <f>SUM(W245,SUMIFS('Cutters Consumption Updates'!$F:$F,'Cutters Consumption Updates'!$G:$G,"NEW",'Cutters Consumption Updates'!$J:$J,Table7[[#This Row],[PO'#]],'Cutters Consumption Updates'!$B:$B,Table7[[#This Row],[Cutter Mat'#]]))</f>
        <v>10</v>
      </c>
      <c r="J245" s="294">
        <f t="shared" si="6"/>
        <v>0</v>
      </c>
      <c r="W245" s="294">
        <v>10</v>
      </c>
    </row>
    <row r="246" spans="2:23" ht="15.5" x14ac:dyDescent="0.25">
      <c r="B246" s="364" t="s">
        <v>38</v>
      </c>
      <c r="C246" s="364" t="s">
        <v>103</v>
      </c>
      <c r="D246" s="364" t="s">
        <v>192</v>
      </c>
      <c r="E246" s="304">
        <v>179734</v>
      </c>
      <c r="F246" s="8">
        <v>10</v>
      </c>
      <c r="G246" s="476">
        <v>45351</v>
      </c>
      <c r="H246" s="303" t="s">
        <v>938</v>
      </c>
      <c r="I246" s="294">
        <f>SUM(W246,SUMIFS('Cutters Consumption Updates'!$F:$F,'Cutters Consumption Updates'!$G:$G,"NEW",'Cutters Consumption Updates'!$J:$J,Table7[[#This Row],[PO'#]],'Cutters Consumption Updates'!$B:$B,Table7[[#This Row],[Cutter Mat'#]]))</f>
        <v>10</v>
      </c>
      <c r="J246" s="294">
        <f t="shared" si="6"/>
        <v>0</v>
      </c>
      <c r="W246" s="294">
        <v>10</v>
      </c>
    </row>
    <row r="247" spans="2:23" ht="15.5" x14ac:dyDescent="0.25">
      <c r="B247" s="364" t="s">
        <v>879</v>
      </c>
      <c r="C247" s="364" t="s">
        <v>253</v>
      </c>
      <c r="D247" s="364" t="s">
        <v>51</v>
      </c>
      <c r="E247" s="304">
        <v>647435</v>
      </c>
      <c r="F247" s="8">
        <v>95</v>
      </c>
      <c r="G247" s="476">
        <v>45351</v>
      </c>
      <c r="H247" s="303" t="s">
        <v>934</v>
      </c>
      <c r="I247" s="294">
        <f>SUM(W247,SUMIFS('Cutters Consumption Updates'!$F:$F,'Cutters Consumption Updates'!$G:$G,"NEW",'Cutters Consumption Updates'!$J:$J,Table7[[#This Row],[PO'#]],'Cutters Consumption Updates'!$B:$B,Table7[[#This Row],[Cutter Mat'#]]))</f>
        <v>95</v>
      </c>
      <c r="J247" s="294">
        <f t="shared" si="6"/>
        <v>0</v>
      </c>
      <c r="W247" s="294">
        <v>95</v>
      </c>
    </row>
    <row r="248" spans="2:23" ht="15.5" x14ac:dyDescent="0.25">
      <c r="B248" s="364" t="s">
        <v>880</v>
      </c>
      <c r="C248" s="364" t="s">
        <v>253</v>
      </c>
      <c r="D248" s="364" t="s">
        <v>133</v>
      </c>
      <c r="E248" s="304">
        <v>1100755</v>
      </c>
      <c r="F248" s="8">
        <v>150</v>
      </c>
      <c r="G248" s="476">
        <v>45351</v>
      </c>
      <c r="H248" s="303" t="s">
        <v>934</v>
      </c>
      <c r="I248" s="294">
        <f>SUM(W248,SUMIFS('Cutters Consumption Updates'!$F:$F,'Cutters Consumption Updates'!$G:$G,"NEW",'Cutters Consumption Updates'!$J:$J,Table7[[#This Row],[PO'#]],'Cutters Consumption Updates'!$B:$B,Table7[[#This Row],[Cutter Mat'#]]))</f>
        <v>150</v>
      </c>
      <c r="J248" s="294">
        <f t="shared" si="6"/>
        <v>0</v>
      </c>
      <c r="W248" s="294">
        <v>150</v>
      </c>
    </row>
    <row r="249" spans="2:23" ht="15.5" x14ac:dyDescent="0.25">
      <c r="B249" s="364" t="s">
        <v>880</v>
      </c>
      <c r="C249" s="364" t="s">
        <v>253</v>
      </c>
      <c r="D249" s="364" t="s">
        <v>51</v>
      </c>
      <c r="E249" s="304">
        <v>647436</v>
      </c>
      <c r="F249" s="8">
        <v>195</v>
      </c>
      <c r="G249" s="476">
        <v>45351</v>
      </c>
      <c r="H249" s="303" t="s">
        <v>934</v>
      </c>
      <c r="I249" s="294">
        <f>SUM(W249,SUMIFS('Cutters Consumption Updates'!$F:$F,'Cutters Consumption Updates'!$G:$G,"NEW",'Cutters Consumption Updates'!$J:$J,Table7[[#This Row],[PO'#]],'Cutters Consumption Updates'!$B:$B,Table7[[#This Row],[Cutter Mat'#]]))</f>
        <v>195</v>
      </c>
      <c r="J249" s="294">
        <f t="shared" si="6"/>
        <v>0</v>
      </c>
      <c r="W249" s="294">
        <v>195</v>
      </c>
    </row>
    <row r="250" spans="2:23" ht="15.5" x14ac:dyDescent="0.25">
      <c r="B250" s="364" t="s">
        <v>894</v>
      </c>
      <c r="C250" s="364" t="s">
        <v>177</v>
      </c>
      <c r="D250" s="364" t="s">
        <v>111</v>
      </c>
      <c r="E250" s="304">
        <v>1146737</v>
      </c>
      <c r="F250" s="8">
        <v>220</v>
      </c>
      <c r="G250" s="476">
        <v>45351</v>
      </c>
      <c r="H250" s="303" t="s">
        <v>934</v>
      </c>
      <c r="I250" s="294">
        <f>SUM(W250,SUMIFS('Cutters Consumption Updates'!$F:$F,'Cutters Consumption Updates'!$G:$G,"NEW",'Cutters Consumption Updates'!$J:$J,Table7[[#This Row],[PO'#]],'Cutters Consumption Updates'!$B:$B,Table7[[#This Row],[Cutter Mat'#]]))</f>
        <v>220</v>
      </c>
      <c r="J250" s="294">
        <f t="shared" si="6"/>
        <v>0</v>
      </c>
      <c r="W250" s="294">
        <v>220</v>
      </c>
    </row>
    <row r="251" spans="2:23" ht="15.5" x14ac:dyDescent="0.25">
      <c r="B251" s="364" t="s">
        <v>894</v>
      </c>
      <c r="C251" s="364" t="s">
        <v>177</v>
      </c>
      <c r="D251" s="364" t="s">
        <v>195</v>
      </c>
      <c r="E251" s="304">
        <v>1271790</v>
      </c>
      <c r="F251" s="8">
        <v>400</v>
      </c>
      <c r="G251" s="476">
        <v>45351</v>
      </c>
      <c r="H251" s="303" t="s">
        <v>934</v>
      </c>
      <c r="I251" s="294">
        <f>SUM(W251,SUMIFS('Cutters Consumption Updates'!$F:$F,'Cutters Consumption Updates'!$G:$G,"NEW",'Cutters Consumption Updates'!$J:$J,Table7[[#This Row],[PO'#]],'Cutters Consumption Updates'!$B:$B,Table7[[#This Row],[Cutter Mat'#]]))</f>
        <v>400</v>
      </c>
      <c r="J251" s="294">
        <f t="shared" si="6"/>
        <v>0</v>
      </c>
      <c r="W251" s="294">
        <v>400</v>
      </c>
    </row>
    <row r="252" spans="2:23" ht="15.5" x14ac:dyDescent="0.25">
      <c r="B252" s="364" t="s">
        <v>236</v>
      </c>
      <c r="C252" s="364" t="s">
        <v>109</v>
      </c>
      <c r="D252" s="364" t="s">
        <v>160</v>
      </c>
      <c r="E252" s="304">
        <v>1209333</v>
      </c>
      <c r="F252" s="8">
        <v>15</v>
      </c>
      <c r="G252" s="476">
        <v>45351</v>
      </c>
      <c r="H252" s="303" t="s">
        <v>934</v>
      </c>
      <c r="I252" s="294">
        <f>SUM(W252,SUMIFS('Cutters Consumption Updates'!$F:$F,'Cutters Consumption Updates'!$G:$G,"NEW",'Cutters Consumption Updates'!$J:$J,Table7[[#This Row],[PO'#]],'Cutters Consumption Updates'!$B:$B,Table7[[#This Row],[Cutter Mat'#]]))</f>
        <v>15</v>
      </c>
      <c r="J252" s="294">
        <f t="shared" si="6"/>
        <v>0</v>
      </c>
      <c r="W252" s="294">
        <v>15</v>
      </c>
    </row>
    <row r="253" spans="2:23" ht="15.5" x14ac:dyDescent="0.25">
      <c r="B253" s="364" t="s">
        <v>236</v>
      </c>
      <c r="C253" s="364" t="s">
        <v>109</v>
      </c>
      <c r="D253" s="364" t="s">
        <v>210</v>
      </c>
      <c r="E253" s="304">
        <v>1263823</v>
      </c>
      <c r="F253" s="8">
        <v>80</v>
      </c>
      <c r="G253" s="476">
        <v>45351</v>
      </c>
      <c r="H253" s="303" t="s">
        <v>934</v>
      </c>
      <c r="I253" s="294">
        <f>SUM(W253,SUMIFS('Cutters Consumption Updates'!$F:$F,'Cutters Consumption Updates'!$G:$G,"NEW",'Cutters Consumption Updates'!$J:$J,Table7[[#This Row],[PO'#]],'Cutters Consumption Updates'!$B:$B,Table7[[#This Row],[Cutter Mat'#]]))</f>
        <v>80</v>
      </c>
      <c r="J253" s="294">
        <f t="shared" si="6"/>
        <v>0</v>
      </c>
      <c r="W253" s="294">
        <v>80</v>
      </c>
    </row>
    <row r="254" spans="2:23" ht="15.5" x14ac:dyDescent="0.25">
      <c r="B254" s="364" t="s">
        <v>236</v>
      </c>
      <c r="C254" s="364" t="s">
        <v>109</v>
      </c>
      <c r="D254" s="364" t="s">
        <v>202</v>
      </c>
      <c r="E254" s="304">
        <v>1261615</v>
      </c>
      <c r="F254" s="8">
        <v>90</v>
      </c>
      <c r="G254" s="476">
        <v>45351</v>
      </c>
      <c r="H254" s="303" t="s">
        <v>934</v>
      </c>
      <c r="I254" s="294">
        <f>SUM(W254,SUMIFS('Cutters Consumption Updates'!$F:$F,'Cutters Consumption Updates'!$G:$G,"NEW",'Cutters Consumption Updates'!$J:$J,Table7[[#This Row],[PO'#]],'Cutters Consumption Updates'!$B:$B,Table7[[#This Row],[Cutter Mat'#]]))</f>
        <v>90</v>
      </c>
      <c r="J254" s="294">
        <f t="shared" si="6"/>
        <v>0</v>
      </c>
      <c r="W254" s="294">
        <v>90</v>
      </c>
    </row>
    <row r="255" spans="2:23" ht="15.5" x14ac:dyDescent="0.25">
      <c r="B255" s="364" t="s">
        <v>894</v>
      </c>
      <c r="C255" s="364" t="s">
        <v>177</v>
      </c>
      <c r="D255" s="364" t="s">
        <v>133</v>
      </c>
      <c r="E255" s="304">
        <v>1126402</v>
      </c>
      <c r="F255" s="8">
        <v>90</v>
      </c>
      <c r="G255" s="476">
        <v>45351</v>
      </c>
      <c r="H255" s="303" t="s">
        <v>934</v>
      </c>
      <c r="I255" s="294">
        <f>SUM(W255,SUMIFS('Cutters Consumption Updates'!$F:$F,'Cutters Consumption Updates'!$G:$G,"NEW",'Cutters Consumption Updates'!$J:$J,Table7[[#This Row],[PO'#]],'Cutters Consumption Updates'!$B:$B,Table7[[#This Row],[Cutter Mat'#]]))</f>
        <v>90</v>
      </c>
      <c r="J255" s="294">
        <f t="shared" si="6"/>
        <v>0</v>
      </c>
      <c r="W255" s="294">
        <v>90</v>
      </c>
    </row>
    <row r="256" spans="2:23" ht="15.5" x14ac:dyDescent="0.25">
      <c r="B256" s="364" t="s">
        <v>236</v>
      </c>
      <c r="C256" s="364" t="s">
        <v>109</v>
      </c>
      <c r="D256" s="364" t="s">
        <v>895</v>
      </c>
      <c r="E256" s="304">
        <v>1209410</v>
      </c>
      <c r="F256" s="8">
        <v>70</v>
      </c>
      <c r="G256" s="476">
        <v>45351</v>
      </c>
      <c r="H256" s="303" t="s">
        <v>934</v>
      </c>
      <c r="I256" s="294">
        <f>SUM(W256,SUMIFS('Cutters Consumption Updates'!$F:$F,'Cutters Consumption Updates'!$G:$G,"NEW",'Cutters Consumption Updates'!$J:$J,Table7[[#This Row],[PO'#]],'Cutters Consumption Updates'!$B:$B,Table7[[#This Row],[Cutter Mat'#]]))</f>
        <v>70</v>
      </c>
      <c r="J256" s="294">
        <f t="shared" si="6"/>
        <v>0</v>
      </c>
      <c r="W256" s="294">
        <v>70</v>
      </c>
    </row>
    <row r="257" spans="1:23" ht="15.5" x14ac:dyDescent="0.25">
      <c r="B257" s="364" t="s">
        <v>881</v>
      </c>
      <c r="C257" s="364" t="s">
        <v>170</v>
      </c>
      <c r="D257" s="364" t="s">
        <v>111</v>
      </c>
      <c r="E257" s="304">
        <v>1208601</v>
      </c>
      <c r="F257" s="8">
        <v>75</v>
      </c>
      <c r="G257" s="476">
        <v>45351</v>
      </c>
      <c r="H257" s="303" t="s">
        <v>934</v>
      </c>
      <c r="I257" s="294">
        <f>SUM(W257,SUMIFS('Cutters Consumption Updates'!$F:$F,'Cutters Consumption Updates'!$G:$G,"NEW",'Cutters Consumption Updates'!$J:$J,Table7[[#This Row],[PO'#]],'Cutters Consumption Updates'!$B:$B,Table7[[#This Row],[Cutter Mat'#]]))</f>
        <v>75</v>
      </c>
      <c r="J257" s="294">
        <f t="shared" si="6"/>
        <v>0</v>
      </c>
      <c r="W257" s="294">
        <v>75</v>
      </c>
    </row>
    <row r="258" spans="1:23" ht="15.5" x14ac:dyDescent="0.25">
      <c r="B258" s="364" t="s">
        <v>884</v>
      </c>
      <c r="C258" s="364" t="s">
        <v>253</v>
      </c>
      <c r="D258" s="364" t="s">
        <v>133</v>
      </c>
      <c r="E258" s="304">
        <v>1100759</v>
      </c>
      <c r="F258" s="8">
        <v>300</v>
      </c>
      <c r="G258" s="476">
        <v>45351</v>
      </c>
      <c r="H258" s="303" t="s">
        <v>934</v>
      </c>
      <c r="I258" s="294">
        <f>SUM(W258,SUMIFS('Cutters Consumption Updates'!$F:$F,'Cutters Consumption Updates'!$G:$G,"NEW",'Cutters Consumption Updates'!$J:$J,Table7[[#This Row],[PO'#]],'Cutters Consumption Updates'!$B:$B,Table7[[#This Row],[Cutter Mat'#]]))</f>
        <v>300</v>
      </c>
      <c r="J258" s="294">
        <f t="shared" ref="J258:J321" si="7">F258-I258</f>
        <v>0</v>
      </c>
      <c r="W258" s="294">
        <v>300</v>
      </c>
    </row>
    <row r="259" spans="1:23" ht="15.5" x14ac:dyDescent="0.25">
      <c r="B259" s="364" t="s">
        <v>884</v>
      </c>
      <c r="C259" s="364" t="s">
        <v>253</v>
      </c>
      <c r="D259" s="364" t="s">
        <v>51</v>
      </c>
      <c r="E259" s="304">
        <v>708306</v>
      </c>
      <c r="F259" s="8">
        <v>205</v>
      </c>
      <c r="G259" s="476">
        <v>45351</v>
      </c>
      <c r="H259" s="303" t="s">
        <v>934</v>
      </c>
      <c r="I259" s="294">
        <f>SUM(W259,SUMIFS('Cutters Consumption Updates'!$F:$F,'Cutters Consumption Updates'!$G:$G,"NEW",'Cutters Consumption Updates'!$J:$J,Table7[[#This Row],[PO'#]],'Cutters Consumption Updates'!$B:$B,Table7[[#This Row],[Cutter Mat'#]]))</f>
        <v>205</v>
      </c>
      <c r="J259" s="294">
        <f t="shared" si="7"/>
        <v>0</v>
      </c>
      <c r="W259" s="294">
        <v>205</v>
      </c>
    </row>
    <row r="260" spans="1:23" ht="15.5" x14ac:dyDescent="0.25">
      <c r="B260" s="364" t="s">
        <v>266</v>
      </c>
      <c r="C260" s="364" t="s">
        <v>243</v>
      </c>
      <c r="D260" s="364" t="s">
        <v>192</v>
      </c>
      <c r="E260" s="304">
        <v>1200972</v>
      </c>
      <c r="F260" s="8">
        <v>10</v>
      </c>
      <c r="G260" s="476">
        <v>45351</v>
      </c>
      <c r="H260" s="303" t="s">
        <v>938</v>
      </c>
      <c r="I260" s="294">
        <f>SUM(W260,SUMIFS('Cutters Consumption Updates'!$F:$F,'Cutters Consumption Updates'!$G:$G,"NEW",'Cutters Consumption Updates'!$J:$J,Table7[[#This Row],[PO'#]],'Cutters Consumption Updates'!$B:$B,Table7[[#This Row],[Cutter Mat'#]]))</f>
        <v>10</v>
      </c>
      <c r="J260" s="294">
        <f t="shared" si="7"/>
        <v>0</v>
      </c>
      <c r="W260" s="294">
        <v>10</v>
      </c>
    </row>
    <row r="261" spans="1:23" ht="15.5" x14ac:dyDescent="0.25">
      <c r="B261" s="364" t="s">
        <v>925</v>
      </c>
      <c r="C261" s="364"/>
      <c r="D261" s="364"/>
      <c r="E261" s="304">
        <v>1220554</v>
      </c>
      <c r="F261" s="8">
        <v>70</v>
      </c>
      <c r="G261" s="476">
        <v>45351</v>
      </c>
      <c r="H261" s="303" t="s">
        <v>934</v>
      </c>
      <c r="I261" s="294">
        <f>SUM(W261,SUMIFS('Cutters Consumption Updates'!$F:$F,'Cutters Consumption Updates'!$G:$G,"NEW",'Cutters Consumption Updates'!$J:$J,Table7[[#This Row],[PO'#]],'Cutters Consumption Updates'!$B:$B,Table7[[#This Row],[Cutter Mat'#]]))</f>
        <v>70</v>
      </c>
      <c r="J261" s="294">
        <f t="shared" si="7"/>
        <v>0</v>
      </c>
      <c r="W261" s="294">
        <v>70</v>
      </c>
    </row>
    <row r="262" spans="1:23" ht="15.5" x14ac:dyDescent="0.25">
      <c r="B262" s="364" t="s">
        <v>903</v>
      </c>
      <c r="C262" s="364"/>
      <c r="D262" s="364"/>
      <c r="E262" s="304">
        <v>1228501</v>
      </c>
      <c r="F262" s="8">
        <v>70</v>
      </c>
      <c r="G262" s="476">
        <v>45351</v>
      </c>
      <c r="H262" s="303" t="s">
        <v>934</v>
      </c>
      <c r="I262" s="294">
        <f>SUM(W262,SUMIFS('Cutters Consumption Updates'!$F:$F,'Cutters Consumption Updates'!$G:$G,"NEW",'Cutters Consumption Updates'!$J:$J,Table7[[#This Row],[PO'#]],'Cutters Consumption Updates'!$B:$B,Table7[[#This Row],[Cutter Mat'#]]))</f>
        <v>70</v>
      </c>
      <c r="J262" s="294">
        <f t="shared" si="7"/>
        <v>0</v>
      </c>
      <c r="W262" s="294">
        <v>70</v>
      </c>
    </row>
    <row r="263" spans="1:23" ht="15.5" x14ac:dyDescent="0.25">
      <c r="B263" s="364" t="s">
        <v>901</v>
      </c>
      <c r="C263" s="364" t="s">
        <v>170</v>
      </c>
      <c r="D263" s="364" t="s">
        <v>114</v>
      </c>
      <c r="E263" s="304">
        <v>1228502</v>
      </c>
      <c r="F263" s="8">
        <v>70</v>
      </c>
      <c r="G263" s="476">
        <v>45351</v>
      </c>
      <c r="H263" s="303" t="s">
        <v>934</v>
      </c>
      <c r="I263" s="294">
        <f>SUM(W263,SUMIFS('Cutters Consumption Updates'!$F:$F,'Cutters Consumption Updates'!$G:$G,"NEW",'Cutters Consumption Updates'!$J:$J,Table7[[#This Row],[PO'#]],'Cutters Consumption Updates'!$B:$B,Table7[[#This Row],[Cutter Mat'#]]))</f>
        <v>70</v>
      </c>
      <c r="J263" s="294">
        <f t="shared" si="7"/>
        <v>0</v>
      </c>
      <c r="W263" s="294">
        <v>70</v>
      </c>
    </row>
    <row r="264" spans="1:23" ht="15.5" x14ac:dyDescent="0.25">
      <c r="B264" s="364" t="s">
        <v>926</v>
      </c>
      <c r="C264" s="364"/>
      <c r="D264" s="364"/>
      <c r="E264" s="304">
        <v>1228503</v>
      </c>
      <c r="F264" s="8">
        <v>80</v>
      </c>
      <c r="G264" s="476">
        <v>45351</v>
      </c>
      <c r="H264" s="303" t="s">
        <v>934</v>
      </c>
      <c r="I264" s="294">
        <f>SUM(W264,SUMIFS('Cutters Consumption Updates'!$F:$F,'Cutters Consumption Updates'!$G:$G,"NEW",'Cutters Consumption Updates'!$J:$J,Table7[[#This Row],[PO'#]],'Cutters Consumption Updates'!$B:$B,Table7[[#This Row],[Cutter Mat'#]]))</f>
        <v>80</v>
      </c>
      <c r="J264" s="294">
        <f t="shared" si="7"/>
        <v>0</v>
      </c>
      <c r="W264" s="294">
        <v>80</v>
      </c>
    </row>
    <row r="265" spans="1:23" ht="15.5" x14ac:dyDescent="0.25">
      <c r="B265" s="364" t="s">
        <v>913</v>
      </c>
      <c r="C265" s="364" t="s">
        <v>170</v>
      </c>
      <c r="D265" s="364" t="s">
        <v>145</v>
      </c>
      <c r="E265" s="304">
        <v>1261319</v>
      </c>
      <c r="F265" s="8">
        <v>168</v>
      </c>
      <c r="G265" s="476">
        <v>45351</v>
      </c>
      <c r="H265" s="303" t="s">
        <v>934</v>
      </c>
      <c r="I265" s="294">
        <f>SUM(W265,SUMIFS('Cutters Consumption Updates'!$F:$F,'Cutters Consumption Updates'!$G:$G,"NEW",'Cutters Consumption Updates'!$J:$J,Table7[[#This Row],[PO'#]],'Cutters Consumption Updates'!$B:$B,Table7[[#This Row],[Cutter Mat'#]]))</f>
        <v>168</v>
      </c>
      <c r="J265" s="294">
        <f t="shared" si="7"/>
        <v>0</v>
      </c>
      <c r="W265" s="294">
        <v>168</v>
      </c>
    </row>
    <row r="266" spans="1:23" ht="15.5" x14ac:dyDescent="0.25">
      <c r="B266" s="364" t="s">
        <v>914</v>
      </c>
      <c r="C266" s="364" t="s">
        <v>170</v>
      </c>
      <c r="D266" s="364" t="s">
        <v>145</v>
      </c>
      <c r="E266" s="304">
        <v>1261320</v>
      </c>
      <c r="F266" s="8">
        <v>42</v>
      </c>
      <c r="G266" s="476">
        <v>45351</v>
      </c>
      <c r="H266" s="303" t="s">
        <v>938</v>
      </c>
      <c r="I266" s="294">
        <f>SUM(W266,SUMIFS('Cutters Consumption Updates'!$F:$F,'Cutters Consumption Updates'!$G:$G,"NEW",'Cutters Consumption Updates'!$J:$J,Table7[[#This Row],[PO'#]],'Cutters Consumption Updates'!$B:$B,Table7[[#This Row],[Cutter Mat'#]]))</f>
        <v>42</v>
      </c>
      <c r="J266" s="294">
        <f t="shared" si="7"/>
        <v>0</v>
      </c>
      <c r="W266" s="294">
        <v>42</v>
      </c>
    </row>
    <row r="267" spans="1:23" ht="15.5" x14ac:dyDescent="0.25">
      <c r="B267" s="364" t="s">
        <v>927</v>
      </c>
      <c r="C267" s="364" t="s">
        <v>170</v>
      </c>
      <c r="D267" s="364" t="s">
        <v>145</v>
      </c>
      <c r="E267" s="304">
        <v>1261321</v>
      </c>
      <c r="F267" s="8">
        <v>28</v>
      </c>
      <c r="G267" s="476">
        <v>45351</v>
      </c>
      <c r="H267" s="303" t="s">
        <v>938</v>
      </c>
      <c r="I267" s="294">
        <f>SUM(W267,SUMIFS('Cutters Consumption Updates'!$F:$F,'Cutters Consumption Updates'!$G:$G,"NEW",'Cutters Consumption Updates'!$J:$J,Table7[[#This Row],[PO'#]],'Cutters Consumption Updates'!$B:$B,Table7[[#This Row],[Cutter Mat'#]]))</f>
        <v>28</v>
      </c>
      <c r="J267" s="294">
        <f t="shared" si="7"/>
        <v>0</v>
      </c>
      <c r="W267" s="294">
        <v>28</v>
      </c>
    </row>
    <row r="268" spans="1:23" ht="15.5" x14ac:dyDescent="0.25">
      <c r="A268" s="294"/>
      <c r="B268" s="364">
        <v>1308</v>
      </c>
      <c r="C268" s="364" t="s">
        <v>65</v>
      </c>
      <c r="D268" s="364" t="s">
        <v>71</v>
      </c>
      <c r="E268" s="304">
        <v>418525</v>
      </c>
      <c r="F268" s="8">
        <v>39</v>
      </c>
      <c r="G268" s="476">
        <v>45368</v>
      </c>
      <c r="H268" s="303" t="s">
        <v>939</v>
      </c>
      <c r="I268" s="294">
        <f>SUM(W268,SUMIFS('Cutters Consumption Updates'!$F:$F,'Cutters Consumption Updates'!$G:$G,"NEW",'Cutters Consumption Updates'!$J:$J,Table7[[#This Row],[PO'#]],'Cutters Consumption Updates'!$B:$B,Table7[[#This Row],[Cutter Mat'#]]))</f>
        <v>39</v>
      </c>
      <c r="J268" s="294">
        <f t="shared" si="7"/>
        <v>0</v>
      </c>
      <c r="W268" s="294">
        <v>39</v>
      </c>
    </row>
    <row r="269" spans="1:23" ht="15.5" x14ac:dyDescent="0.25">
      <c r="A269" s="294"/>
      <c r="B269" s="364">
        <v>1313</v>
      </c>
      <c r="C269" s="364" t="s">
        <v>243</v>
      </c>
      <c r="D269" s="364" t="s">
        <v>204</v>
      </c>
      <c r="E269" s="304">
        <v>1180935</v>
      </c>
      <c r="F269" s="8">
        <v>4</v>
      </c>
      <c r="G269" s="476">
        <v>45368</v>
      </c>
      <c r="H269" s="303" t="s">
        <v>939</v>
      </c>
      <c r="I269" s="294">
        <f>SUM(W269,SUMIFS('Cutters Consumption Updates'!$F:$F,'Cutters Consumption Updates'!$G:$G,"NEW",'Cutters Consumption Updates'!$J:$J,Table7[[#This Row],[PO'#]],'Cutters Consumption Updates'!$B:$B,Table7[[#This Row],[Cutter Mat'#]]))</f>
        <v>4</v>
      </c>
      <c r="J269" s="294">
        <f t="shared" si="7"/>
        <v>0</v>
      </c>
      <c r="K269" t="s">
        <v>940</v>
      </c>
      <c r="W269" s="294">
        <v>4</v>
      </c>
    </row>
    <row r="270" spans="1:23" ht="15.5" x14ac:dyDescent="0.25">
      <c r="A270" s="294"/>
      <c r="B270" s="364" t="s">
        <v>910</v>
      </c>
      <c r="C270" s="364" t="s">
        <v>253</v>
      </c>
      <c r="D270" s="364" t="s">
        <v>242</v>
      </c>
      <c r="E270" s="304">
        <v>717751</v>
      </c>
      <c r="F270" s="8">
        <v>20</v>
      </c>
      <c r="G270" s="476">
        <v>45368</v>
      </c>
      <c r="H270" s="303" t="s">
        <v>939</v>
      </c>
      <c r="I270" s="294">
        <f>SUM(W270,SUMIFS('Cutters Consumption Updates'!$F:$F,'Cutters Consumption Updates'!$G:$G,"NEW",'Cutters Consumption Updates'!$J:$J,Table7[[#This Row],[PO'#]],'Cutters Consumption Updates'!$B:$B,Table7[[#This Row],[Cutter Mat'#]]))</f>
        <v>20</v>
      </c>
      <c r="J270" s="294">
        <f t="shared" si="7"/>
        <v>0</v>
      </c>
      <c r="W270" s="294">
        <v>20</v>
      </c>
    </row>
    <row r="271" spans="1:23" ht="15.5" x14ac:dyDescent="0.25">
      <c r="A271" s="294"/>
      <c r="B271" s="364" t="s">
        <v>877</v>
      </c>
      <c r="C271" s="364" t="s">
        <v>253</v>
      </c>
      <c r="D271" s="364" t="s">
        <v>51</v>
      </c>
      <c r="E271" s="304">
        <v>871781</v>
      </c>
      <c r="F271" s="8">
        <v>50</v>
      </c>
      <c r="G271" s="476">
        <v>45368</v>
      </c>
      <c r="H271" s="303" t="s">
        <v>939</v>
      </c>
      <c r="I271" s="294">
        <f>SUM(W271,SUMIFS('Cutters Consumption Updates'!$F:$F,'Cutters Consumption Updates'!$G:$G,"NEW",'Cutters Consumption Updates'!$J:$J,Table7[[#This Row],[PO'#]],'Cutters Consumption Updates'!$B:$B,Table7[[#This Row],[Cutter Mat'#]]))</f>
        <v>50</v>
      </c>
      <c r="J271" s="294">
        <f t="shared" si="7"/>
        <v>0</v>
      </c>
      <c r="W271" s="294">
        <v>50</v>
      </c>
    </row>
    <row r="272" spans="1:23" ht="15.5" x14ac:dyDescent="0.25">
      <c r="A272" s="294"/>
      <c r="B272" s="364" t="s">
        <v>38</v>
      </c>
      <c r="C272" s="364" t="s">
        <v>151</v>
      </c>
      <c r="D272" s="364" t="s">
        <v>149</v>
      </c>
      <c r="E272" s="304">
        <v>1078377</v>
      </c>
      <c r="F272" s="8">
        <v>45</v>
      </c>
      <c r="G272" s="476">
        <v>45368</v>
      </c>
      <c r="H272" s="303" t="s">
        <v>939</v>
      </c>
      <c r="I272" s="294">
        <f>SUM(W272,SUMIFS('Cutters Consumption Updates'!$F:$F,'Cutters Consumption Updates'!$G:$G,"NEW",'Cutters Consumption Updates'!$J:$J,Table7[[#This Row],[PO'#]],'Cutters Consumption Updates'!$B:$B,Table7[[#This Row],[Cutter Mat'#]]))</f>
        <v>45</v>
      </c>
      <c r="J272" s="294">
        <f t="shared" si="7"/>
        <v>0</v>
      </c>
      <c r="W272" s="294">
        <v>45</v>
      </c>
    </row>
    <row r="273" spans="1:23" ht="15.5" x14ac:dyDescent="0.25">
      <c r="A273" s="294"/>
      <c r="B273" s="364" t="s">
        <v>879</v>
      </c>
      <c r="C273" s="364" t="s">
        <v>253</v>
      </c>
      <c r="D273" s="364" t="s">
        <v>51</v>
      </c>
      <c r="E273" s="304">
        <v>647435</v>
      </c>
      <c r="F273" s="8">
        <v>25</v>
      </c>
      <c r="G273" s="476">
        <v>45368</v>
      </c>
      <c r="H273" s="303" t="s">
        <v>939</v>
      </c>
      <c r="I273" s="294">
        <f>SUM(W273,SUMIFS('Cutters Consumption Updates'!$F:$F,'Cutters Consumption Updates'!$G:$G,"NEW",'Cutters Consumption Updates'!$J:$J,Table7[[#This Row],[PO'#]],'Cutters Consumption Updates'!$B:$B,Table7[[#This Row],[Cutter Mat'#]]))</f>
        <v>25</v>
      </c>
      <c r="J273" s="294">
        <f t="shared" si="7"/>
        <v>0</v>
      </c>
      <c r="W273" s="294">
        <v>25</v>
      </c>
    </row>
    <row r="274" spans="1:23" ht="15.5" x14ac:dyDescent="0.25">
      <c r="A274" s="294"/>
      <c r="B274" s="364" t="s">
        <v>880</v>
      </c>
      <c r="C274" s="364" t="s">
        <v>253</v>
      </c>
      <c r="D274" s="364" t="s">
        <v>133</v>
      </c>
      <c r="E274" s="304">
        <v>1100755</v>
      </c>
      <c r="F274" s="8">
        <v>250</v>
      </c>
      <c r="G274" s="476">
        <v>45368</v>
      </c>
      <c r="H274" s="303" t="s">
        <v>939</v>
      </c>
      <c r="I274" s="294">
        <f>SUM(W274,SUMIFS('Cutters Consumption Updates'!$F:$F,'Cutters Consumption Updates'!$G:$G,"NEW",'Cutters Consumption Updates'!$J:$J,Table7[[#This Row],[PO'#]],'Cutters Consumption Updates'!$B:$B,Table7[[#This Row],[Cutter Mat'#]]))</f>
        <v>250</v>
      </c>
      <c r="J274" s="294">
        <f t="shared" si="7"/>
        <v>0</v>
      </c>
      <c r="W274" s="294">
        <v>250</v>
      </c>
    </row>
    <row r="275" spans="1:23" ht="15.5" x14ac:dyDescent="0.25">
      <c r="A275" s="294"/>
      <c r="B275" s="364" t="s">
        <v>894</v>
      </c>
      <c r="C275" s="364" t="s">
        <v>177</v>
      </c>
      <c r="D275" s="364" t="s">
        <v>111</v>
      </c>
      <c r="E275" s="304">
        <v>1146737</v>
      </c>
      <c r="F275" s="8">
        <v>40</v>
      </c>
      <c r="G275" s="476">
        <v>45368</v>
      </c>
      <c r="H275" s="303" t="s">
        <v>939</v>
      </c>
      <c r="I275" s="294">
        <f>SUM(W275,SUMIFS('Cutters Consumption Updates'!$F:$F,'Cutters Consumption Updates'!$G:$G,"NEW",'Cutters Consumption Updates'!$J:$J,Table7[[#This Row],[PO'#]],'Cutters Consumption Updates'!$B:$B,Table7[[#This Row],[Cutter Mat'#]]))</f>
        <v>40</v>
      </c>
      <c r="J275" s="294">
        <f t="shared" si="7"/>
        <v>0</v>
      </c>
      <c r="W275" s="294">
        <v>40</v>
      </c>
    </row>
    <row r="276" spans="1:23" ht="15.5" x14ac:dyDescent="0.25">
      <c r="A276" s="294"/>
      <c r="B276" s="364" t="s">
        <v>894</v>
      </c>
      <c r="C276" s="364" t="s">
        <v>177</v>
      </c>
      <c r="D276" s="364" t="s">
        <v>195</v>
      </c>
      <c r="E276" s="304">
        <v>1271790</v>
      </c>
      <c r="F276" s="8">
        <v>50</v>
      </c>
      <c r="G276" s="476">
        <v>45368</v>
      </c>
      <c r="H276" s="303" t="s">
        <v>939</v>
      </c>
      <c r="I276" s="294">
        <f>SUM(W276,SUMIFS('Cutters Consumption Updates'!$F:$F,'Cutters Consumption Updates'!$G:$G,"NEW",'Cutters Consumption Updates'!$J:$J,Table7[[#This Row],[PO'#]],'Cutters Consumption Updates'!$B:$B,Table7[[#This Row],[Cutter Mat'#]]))</f>
        <v>50</v>
      </c>
      <c r="J276" s="294">
        <f t="shared" si="7"/>
        <v>0</v>
      </c>
      <c r="W276" s="294">
        <v>50</v>
      </c>
    </row>
    <row r="277" spans="1:23" ht="15.5" x14ac:dyDescent="0.25">
      <c r="A277" s="294"/>
      <c r="B277" s="364" t="s">
        <v>881</v>
      </c>
      <c r="C277" s="364" t="s">
        <v>170</v>
      </c>
      <c r="D277" s="364" t="s">
        <v>111</v>
      </c>
      <c r="E277" s="304">
        <v>1208601</v>
      </c>
      <c r="F277" s="8">
        <v>25</v>
      </c>
      <c r="G277" s="476">
        <v>45368</v>
      </c>
      <c r="H277" s="303" t="s">
        <v>939</v>
      </c>
      <c r="I277" s="294">
        <f>SUM(W277,SUMIFS('Cutters Consumption Updates'!$F:$F,'Cutters Consumption Updates'!$G:$G,"NEW",'Cutters Consumption Updates'!$J:$J,Table7[[#This Row],[PO'#]],'Cutters Consumption Updates'!$B:$B,Table7[[#This Row],[Cutter Mat'#]]))</f>
        <v>25</v>
      </c>
      <c r="J277" s="294">
        <f t="shared" si="7"/>
        <v>0</v>
      </c>
      <c r="W277" s="294">
        <v>25</v>
      </c>
    </row>
    <row r="278" spans="1:23" ht="15.5" x14ac:dyDescent="0.25">
      <c r="A278" s="294"/>
      <c r="B278" s="364" t="s">
        <v>884</v>
      </c>
      <c r="C278" s="364" t="s">
        <v>253</v>
      </c>
      <c r="D278" s="364" t="s">
        <v>133</v>
      </c>
      <c r="E278" s="304">
        <v>1100759</v>
      </c>
      <c r="F278" s="8">
        <v>50</v>
      </c>
      <c r="G278" s="476">
        <v>45368</v>
      </c>
      <c r="H278" s="303" t="s">
        <v>939</v>
      </c>
      <c r="I278" s="294">
        <f>SUM(W278,SUMIFS('Cutters Consumption Updates'!$F:$F,'Cutters Consumption Updates'!$G:$G,"NEW",'Cutters Consumption Updates'!$J:$J,Table7[[#This Row],[PO'#]],'Cutters Consumption Updates'!$B:$B,Table7[[#This Row],[Cutter Mat'#]]))</f>
        <v>50</v>
      </c>
      <c r="J278" s="294">
        <f t="shared" si="7"/>
        <v>0</v>
      </c>
      <c r="W278" s="294">
        <v>50</v>
      </c>
    </row>
    <row r="279" spans="1:23" ht="15.5" x14ac:dyDescent="0.25">
      <c r="A279" s="294"/>
      <c r="B279" s="364" t="s">
        <v>925</v>
      </c>
      <c r="C279" s="364"/>
      <c r="D279" s="364"/>
      <c r="E279" s="304">
        <v>1220554</v>
      </c>
      <c r="F279" s="8">
        <v>25</v>
      </c>
      <c r="G279" s="476">
        <v>45368</v>
      </c>
      <c r="H279" s="303" t="s">
        <v>939</v>
      </c>
      <c r="I279" s="294">
        <f>SUM(W279,SUMIFS('Cutters Consumption Updates'!$F:$F,'Cutters Consumption Updates'!$G:$G,"NEW",'Cutters Consumption Updates'!$J:$J,Table7[[#This Row],[PO'#]],'Cutters Consumption Updates'!$B:$B,Table7[[#This Row],[Cutter Mat'#]]))</f>
        <v>25</v>
      </c>
      <c r="J279" s="294">
        <f t="shared" si="7"/>
        <v>0</v>
      </c>
      <c r="W279" s="294">
        <v>25</v>
      </c>
    </row>
    <row r="280" spans="1:23" ht="15.5" x14ac:dyDescent="0.25">
      <c r="A280" s="294"/>
      <c r="B280" s="364" t="s">
        <v>903</v>
      </c>
      <c r="C280" s="364"/>
      <c r="D280" s="364"/>
      <c r="E280" s="304">
        <v>1228501</v>
      </c>
      <c r="F280" s="8">
        <v>45</v>
      </c>
      <c r="G280" s="476">
        <v>45368</v>
      </c>
      <c r="H280" s="303" t="s">
        <v>939</v>
      </c>
      <c r="I280" s="294">
        <f>SUM(W280,SUMIFS('Cutters Consumption Updates'!$F:$F,'Cutters Consumption Updates'!$G:$G,"NEW",'Cutters Consumption Updates'!$J:$J,Table7[[#This Row],[PO'#]],'Cutters Consumption Updates'!$B:$B,Table7[[#This Row],[Cutter Mat'#]]))</f>
        <v>45</v>
      </c>
      <c r="J280" s="294">
        <f t="shared" si="7"/>
        <v>0</v>
      </c>
      <c r="W280" s="294">
        <v>45</v>
      </c>
    </row>
    <row r="281" spans="1:23" ht="15.5" x14ac:dyDescent="0.25">
      <c r="A281" s="294"/>
      <c r="B281" s="364" t="s">
        <v>901</v>
      </c>
      <c r="C281" s="364" t="s">
        <v>170</v>
      </c>
      <c r="D281" s="364" t="s">
        <v>114</v>
      </c>
      <c r="E281" s="304">
        <v>1228502</v>
      </c>
      <c r="F281" s="8">
        <v>80</v>
      </c>
      <c r="G281" s="476">
        <v>45368</v>
      </c>
      <c r="H281" s="303" t="s">
        <v>939</v>
      </c>
      <c r="I281" s="294">
        <f>SUM(W281,SUMIFS('Cutters Consumption Updates'!$F:$F,'Cutters Consumption Updates'!$G:$G,"NEW",'Cutters Consumption Updates'!$J:$J,Table7[[#This Row],[PO'#]],'Cutters Consumption Updates'!$B:$B,Table7[[#This Row],[Cutter Mat'#]]))</f>
        <v>80</v>
      </c>
      <c r="J281" s="294">
        <f t="shared" si="7"/>
        <v>0</v>
      </c>
      <c r="W281" s="294">
        <v>80</v>
      </c>
    </row>
    <row r="282" spans="1:23" ht="15.5" x14ac:dyDescent="0.25">
      <c r="A282" s="294"/>
      <c r="B282" s="364" t="s">
        <v>926</v>
      </c>
      <c r="C282" s="364"/>
      <c r="D282" s="364"/>
      <c r="E282" s="304">
        <v>1228503</v>
      </c>
      <c r="F282" s="8">
        <v>0</v>
      </c>
      <c r="G282" s="476">
        <v>45368</v>
      </c>
      <c r="H282" s="303" t="s">
        <v>939</v>
      </c>
      <c r="I282" s="294">
        <f>SUM(W282,SUMIFS('Cutters Consumption Updates'!$F:$F,'Cutters Consumption Updates'!$G:$G,"NEW",'Cutters Consumption Updates'!$J:$J,Table7[[#This Row],[PO'#]],'Cutters Consumption Updates'!$B:$B,Table7[[#This Row],[Cutter Mat'#]]))</f>
        <v>0</v>
      </c>
      <c r="J282" s="294">
        <f t="shared" si="7"/>
        <v>0</v>
      </c>
      <c r="W282" s="294"/>
    </row>
    <row r="283" spans="1:23" ht="15.5" x14ac:dyDescent="0.25">
      <c r="A283" s="294"/>
      <c r="B283" s="364" t="s">
        <v>913</v>
      </c>
      <c r="C283" s="364" t="s">
        <v>170</v>
      </c>
      <c r="D283" s="364" t="s">
        <v>145</v>
      </c>
      <c r="E283" s="304">
        <v>1261319</v>
      </c>
      <c r="F283" s="8">
        <v>200</v>
      </c>
      <c r="G283" s="476">
        <v>45368</v>
      </c>
      <c r="H283" s="303" t="s">
        <v>939</v>
      </c>
      <c r="I283" s="294">
        <f>SUM(W283,SUMIFS('Cutters Consumption Updates'!$F:$F,'Cutters Consumption Updates'!$G:$G,"NEW",'Cutters Consumption Updates'!$J:$J,Table7[[#This Row],[PO'#]],'Cutters Consumption Updates'!$B:$B,Table7[[#This Row],[Cutter Mat'#]]))</f>
        <v>200</v>
      </c>
      <c r="J283" s="294">
        <f t="shared" si="7"/>
        <v>0</v>
      </c>
      <c r="W283" s="294">
        <v>200</v>
      </c>
    </row>
    <row r="284" spans="1:23" ht="15.5" x14ac:dyDescent="0.25">
      <c r="A284" s="294"/>
      <c r="B284" s="364" t="s">
        <v>914</v>
      </c>
      <c r="C284" s="364" t="s">
        <v>170</v>
      </c>
      <c r="D284" s="364" t="s">
        <v>145</v>
      </c>
      <c r="E284" s="304">
        <v>1261320</v>
      </c>
      <c r="F284" s="8">
        <v>50</v>
      </c>
      <c r="G284" s="476">
        <v>45368</v>
      </c>
      <c r="H284" s="303" t="s">
        <v>939</v>
      </c>
      <c r="I284" s="294">
        <f>SUM(W284,SUMIFS('Cutters Consumption Updates'!$F:$F,'Cutters Consumption Updates'!$G:$G,"NEW",'Cutters Consumption Updates'!$J:$J,Table7[[#This Row],[PO'#]],'Cutters Consumption Updates'!$B:$B,Table7[[#This Row],[Cutter Mat'#]]))</f>
        <v>50</v>
      </c>
      <c r="J284" s="294">
        <f t="shared" si="7"/>
        <v>0</v>
      </c>
      <c r="W284" s="294">
        <v>50</v>
      </c>
    </row>
    <row r="285" spans="1:23" ht="15.5" x14ac:dyDescent="0.25">
      <c r="A285" s="294"/>
      <c r="B285" s="364" t="s">
        <v>927</v>
      </c>
      <c r="C285" s="364" t="s">
        <v>170</v>
      </c>
      <c r="D285" s="364" t="s">
        <v>145</v>
      </c>
      <c r="E285" s="304">
        <v>1261321</v>
      </c>
      <c r="F285" s="8">
        <v>35</v>
      </c>
      <c r="G285" s="476">
        <v>45368</v>
      </c>
      <c r="H285" s="303" t="s">
        <v>939</v>
      </c>
      <c r="I285" s="294">
        <f>SUM(W285,SUMIFS('Cutters Consumption Updates'!$F:$F,'Cutters Consumption Updates'!$G:$G,"NEW",'Cutters Consumption Updates'!$J:$J,Table7[[#This Row],[PO'#]],'Cutters Consumption Updates'!$B:$B,Table7[[#This Row],[Cutter Mat'#]]))</f>
        <v>35</v>
      </c>
      <c r="J285" s="294">
        <f t="shared" si="7"/>
        <v>0</v>
      </c>
      <c r="W285" s="294">
        <v>35</v>
      </c>
    </row>
    <row r="286" spans="1:23" ht="15.5" x14ac:dyDescent="0.35">
      <c r="B286" s="458" t="s">
        <v>941</v>
      </c>
      <c r="C286" s="364"/>
      <c r="D286" s="364"/>
      <c r="E286" s="304">
        <v>1282370</v>
      </c>
      <c r="F286" s="8">
        <v>30</v>
      </c>
      <c r="G286" s="476">
        <v>45379</v>
      </c>
      <c r="H286" s="303" t="s">
        <v>942</v>
      </c>
      <c r="I286" s="294">
        <f>SUM(W286,SUMIFS('Cutters Consumption Updates'!$F:$F,'Cutters Consumption Updates'!$G:$G,"NEW",'Cutters Consumption Updates'!$J:$J,Table7[[#This Row],[PO'#]],'Cutters Consumption Updates'!$B:$B,Table7[[#This Row],[Cutter Mat'#]]))</f>
        <v>30</v>
      </c>
      <c r="J286" s="294">
        <f t="shared" si="7"/>
        <v>0</v>
      </c>
      <c r="W286" s="294">
        <v>30</v>
      </c>
    </row>
    <row r="287" spans="1:23" ht="15.5" x14ac:dyDescent="0.25">
      <c r="B287" s="364">
        <v>1308</v>
      </c>
      <c r="C287" s="364" t="s">
        <v>65</v>
      </c>
      <c r="D287" s="364" t="s">
        <v>71</v>
      </c>
      <c r="E287" s="304">
        <v>418525</v>
      </c>
      <c r="F287" s="8">
        <v>142</v>
      </c>
      <c r="G287" s="476">
        <v>45391</v>
      </c>
      <c r="H287" s="303" t="s">
        <v>943</v>
      </c>
      <c r="I287" s="294">
        <f>SUM(W287,SUMIFS('Cutters Consumption Updates'!$F:$F,'Cutters Consumption Updates'!$G:$G,"NEW",'Cutters Consumption Updates'!$J:$J,Table7[[#This Row],[PO'#]],'Cutters Consumption Updates'!$B:$B,Table7[[#This Row],[Cutter Mat'#]]))</f>
        <v>142</v>
      </c>
      <c r="J287" s="294">
        <f t="shared" si="7"/>
        <v>0</v>
      </c>
      <c r="W287" s="294">
        <v>142</v>
      </c>
    </row>
    <row r="288" spans="1:23" ht="15.5" x14ac:dyDescent="0.25">
      <c r="B288" s="364" t="s">
        <v>876</v>
      </c>
      <c r="C288" s="364" t="s">
        <v>248</v>
      </c>
      <c r="D288" s="364" t="s">
        <v>111</v>
      </c>
      <c r="E288" s="304">
        <v>1100696</v>
      </c>
      <c r="F288" s="8">
        <v>86</v>
      </c>
      <c r="G288" s="476">
        <v>45391</v>
      </c>
      <c r="H288" s="303" t="s">
        <v>943</v>
      </c>
      <c r="I288" s="294">
        <f>SUM(W288,SUMIFS('Cutters Consumption Updates'!$F:$F,'Cutters Consumption Updates'!$G:$G,"NEW",'Cutters Consumption Updates'!$J:$J,Table7[[#This Row],[PO'#]],'Cutters Consumption Updates'!$B:$B,Table7[[#This Row],[Cutter Mat'#]]))</f>
        <v>86</v>
      </c>
      <c r="J288" s="294">
        <f t="shared" si="7"/>
        <v>0</v>
      </c>
      <c r="W288" s="294">
        <v>86</v>
      </c>
    </row>
    <row r="289" spans="2:23" ht="15.5" x14ac:dyDescent="0.25">
      <c r="B289" s="364" t="s">
        <v>876</v>
      </c>
      <c r="C289" s="364" t="s">
        <v>248</v>
      </c>
      <c r="D289" s="364" t="s">
        <v>125</v>
      </c>
      <c r="E289" s="304">
        <v>1136984</v>
      </c>
      <c r="F289" s="8">
        <v>26</v>
      </c>
      <c r="G289" s="476">
        <v>45391</v>
      </c>
      <c r="H289" s="303" t="s">
        <v>943</v>
      </c>
      <c r="I289" s="294">
        <f>SUM(W289,SUMIFS('Cutters Consumption Updates'!$F:$F,'Cutters Consumption Updates'!$G:$G,"NEW",'Cutters Consumption Updates'!$J:$J,Table7[[#This Row],[PO'#]],'Cutters Consumption Updates'!$B:$B,Table7[[#This Row],[Cutter Mat'#]]))</f>
        <v>26</v>
      </c>
      <c r="J289" s="294">
        <f t="shared" si="7"/>
        <v>0</v>
      </c>
      <c r="W289" s="294">
        <v>26</v>
      </c>
    </row>
    <row r="290" spans="2:23" ht="15.5" x14ac:dyDescent="0.25">
      <c r="B290" s="364" t="s">
        <v>877</v>
      </c>
      <c r="C290" s="364" t="s">
        <v>253</v>
      </c>
      <c r="D290" s="364" t="s">
        <v>51</v>
      </c>
      <c r="E290" s="304">
        <v>871781</v>
      </c>
      <c r="F290" s="8">
        <v>130</v>
      </c>
      <c r="G290" s="476">
        <v>45391</v>
      </c>
      <c r="H290" s="303" t="s">
        <v>943</v>
      </c>
      <c r="I290" s="294">
        <f>SUM(W290,SUMIFS('Cutters Consumption Updates'!$F:$F,'Cutters Consumption Updates'!$G:$G,"NEW",'Cutters Consumption Updates'!$J:$J,Table7[[#This Row],[PO'#]],'Cutters Consumption Updates'!$B:$B,Table7[[#This Row],[Cutter Mat'#]]))</f>
        <v>130</v>
      </c>
      <c r="J290" s="294">
        <f t="shared" si="7"/>
        <v>0</v>
      </c>
      <c r="W290" s="294">
        <v>130</v>
      </c>
    </row>
    <row r="291" spans="2:23" ht="15.5" x14ac:dyDescent="0.25">
      <c r="B291" s="364" t="s">
        <v>877</v>
      </c>
      <c r="C291" s="364" t="s">
        <v>253</v>
      </c>
      <c r="D291" s="364" t="s">
        <v>133</v>
      </c>
      <c r="E291" s="304">
        <v>1100751</v>
      </c>
      <c r="F291" s="8">
        <v>75</v>
      </c>
      <c r="G291" s="476">
        <v>45391</v>
      </c>
      <c r="H291" s="303" t="s">
        <v>943</v>
      </c>
      <c r="I291" s="294">
        <f>SUM(W291,SUMIFS('Cutters Consumption Updates'!$F:$F,'Cutters Consumption Updates'!$G:$G,"NEW",'Cutters Consumption Updates'!$J:$J,Table7[[#This Row],[PO'#]],'Cutters Consumption Updates'!$B:$B,Table7[[#This Row],[Cutter Mat'#]]))</f>
        <v>75</v>
      </c>
      <c r="J291" s="294">
        <f t="shared" si="7"/>
        <v>0</v>
      </c>
      <c r="W291" s="294">
        <v>75</v>
      </c>
    </row>
    <row r="292" spans="2:23" ht="15.5" x14ac:dyDescent="0.25">
      <c r="B292" s="364" t="s">
        <v>899</v>
      </c>
      <c r="C292" s="364" t="s">
        <v>177</v>
      </c>
      <c r="D292" s="364" t="s">
        <v>111</v>
      </c>
      <c r="E292" s="304">
        <v>1146346</v>
      </c>
      <c r="F292" s="8">
        <v>90</v>
      </c>
      <c r="G292" s="476">
        <v>45391</v>
      </c>
      <c r="H292" s="303" t="s">
        <v>943</v>
      </c>
      <c r="I292" s="294">
        <f>SUM(W292,SUMIFS('Cutters Consumption Updates'!$F:$F,'Cutters Consumption Updates'!$G:$G,"NEW",'Cutters Consumption Updates'!$J:$J,Table7[[#This Row],[PO'#]],'Cutters Consumption Updates'!$B:$B,Table7[[#This Row],[Cutter Mat'#]]))</f>
        <v>90</v>
      </c>
      <c r="J292" s="294">
        <f t="shared" si="7"/>
        <v>0</v>
      </c>
      <c r="W292" s="294">
        <v>90</v>
      </c>
    </row>
    <row r="293" spans="2:23" ht="15.5" x14ac:dyDescent="0.25">
      <c r="B293" s="364" t="s">
        <v>944</v>
      </c>
      <c r="C293" s="364" t="s">
        <v>109</v>
      </c>
      <c r="D293" s="364" t="s">
        <v>209</v>
      </c>
      <c r="E293" s="304">
        <v>1272309</v>
      </c>
      <c r="F293" s="8">
        <v>25</v>
      </c>
      <c r="G293" s="476">
        <v>45391</v>
      </c>
      <c r="H293" s="303" t="s">
        <v>943</v>
      </c>
      <c r="I293" s="294">
        <f>SUM(W293,SUMIFS('Cutters Consumption Updates'!$F:$F,'Cutters Consumption Updates'!$G:$G,"NEW",'Cutters Consumption Updates'!$J:$J,Table7[[#This Row],[PO'#]],'Cutters Consumption Updates'!$B:$B,Table7[[#This Row],[Cutter Mat'#]]))</f>
        <v>25</v>
      </c>
      <c r="J293" s="294">
        <f t="shared" si="7"/>
        <v>0</v>
      </c>
      <c r="W293" s="294">
        <v>25</v>
      </c>
    </row>
    <row r="294" spans="2:23" ht="15.5" x14ac:dyDescent="0.25">
      <c r="B294" s="364" t="s">
        <v>38</v>
      </c>
      <c r="C294" s="364" t="s">
        <v>151</v>
      </c>
      <c r="D294" s="364" t="s">
        <v>149</v>
      </c>
      <c r="E294" s="304">
        <v>1078377</v>
      </c>
      <c r="F294" s="8">
        <v>150</v>
      </c>
      <c r="G294" s="476">
        <v>45391</v>
      </c>
      <c r="H294" s="303" t="s">
        <v>943</v>
      </c>
      <c r="I294" s="294">
        <f>SUM(W294,SUMIFS('Cutters Consumption Updates'!$F:$F,'Cutters Consumption Updates'!$G:$G,"NEW",'Cutters Consumption Updates'!$J:$J,Table7[[#This Row],[PO'#]],'Cutters Consumption Updates'!$B:$B,Table7[[#This Row],[Cutter Mat'#]]))</f>
        <v>150</v>
      </c>
      <c r="J294" s="294">
        <f t="shared" si="7"/>
        <v>0</v>
      </c>
      <c r="W294" s="294">
        <v>150</v>
      </c>
    </row>
    <row r="295" spans="2:23" ht="15.5" x14ac:dyDescent="0.25">
      <c r="B295" s="364" t="s">
        <v>38</v>
      </c>
      <c r="C295" s="364" t="s">
        <v>243</v>
      </c>
      <c r="D295" s="364" t="s">
        <v>192</v>
      </c>
      <c r="E295" s="304">
        <v>625854</v>
      </c>
      <c r="F295" s="8">
        <v>25</v>
      </c>
      <c r="G295" s="476">
        <v>45391</v>
      </c>
      <c r="H295" s="303" t="s">
        <v>943</v>
      </c>
      <c r="I295" s="294">
        <f>SUM(W295,SUMIFS('Cutters Consumption Updates'!$F:$F,'Cutters Consumption Updates'!$G:$G,"NEW",'Cutters Consumption Updates'!$J:$J,Table7[[#This Row],[PO'#]],'Cutters Consumption Updates'!$B:$B,Table7[[#This Row],[Cutter Mat'#]]))</f>
        <v>25</v>
      </c>
      <c r="J295" s="294">
        <f t="shared" si="7"/>
        <v>0</v>
      </c>
      <c r="W295" s="294">
        <v>25</v>
      </c>
    </row>
    <row r="296" spans="2:23" ht="15.5" x14ac:dyDescent="0.25">
      <c r="B296" s="364" t="s">
        <v>879</v>
      </c>
      <c r="C296" s="364" t="s">
        <v>253</v>
      </c>
      <c r="D296" s="364" t="s">
        <v>51</v>
      </c>
      <c r="E296" s="304">
        <v>647435</v>
      </c>
      <c r="F296" s="8">
        <v>136</v>
      </c>
      <c r="G296" s="476">
        <v>45391</v>
      </c>
      <c r="H296" s="303" t="s">
        <v>943</v>
      </c>
      <c r="I296" s="294">
        <f>SUM(W296,SUMIFS('Cutters Consumption Updates'!$F:$F,'Cutters Consumption Updates'!$G:$G,"NEW",'Cutters Consumption Updates'!$J:$J,Table7[[#This Row],[PO'#]],'Cutters Consumption Updates'!$B:$B,Table7[[#This Row],[Cutter Mat'#]]))</f>
        <v>136</v>
      </c>
      <c r="J296" s="294">
        <f t="shared" si="7"/>
        <v>0</v>
      </c>
      <c r="W296" s="294">
        <v>136</v>
      </c>
    </row>
    <row r="297" spans="2:23" ht="15.5" x14ac:dyDescent="0.25">
      <c r="B297" s="364" t="s">
        <v>880</v>
      </c>
      <c r="C297" s="364" t="s">
        <v>253</v>
      </c>
      <c r="D297" s="364" t="s">
        <v>133</v>
      </c>
      <c r="E297" s="304">
        <v>1100755</v>
      </c>
      <c r="F297" s="8">
        <v>600</v>
      </c>
      <c r="G297" s="476">
        <v>45391</v>
      </c>
      <c r="H297" s="303" t="s">
        <v>943</v>
      </c>
      <c r="I297" s="294">
        <f>SUM(W297,SUMIFS('Cutters Consumption Updates'!$F:$F,'Cutters Consumption Updates'!$G:$G,"NEW",'Cutters Consumption Updates'!$J:$J,Table7[[#This Row],[PO'#]],'Cutters Consumption Updates'!$B:$B,Table7[[#This Row],[Cutter Mat'#]]))</f>
        <v>600</v>
      </c>
      <c r="J297" s="294">
        <f t="shared" si="7"/>
        <v>0</v>
      </c>
      <c r="W297" s="294">
        <v>600</v>
      </c>
    </row>
    <row r="298" spans="2:23" ht="15.5" x14ac:dyDescent="0.25">
      <c r="B298" s="364" t="s">
        <v>880</v>
      </c>
      <c r="C298" s="364" t="s">
        <v>253</v>
      </c>
      <c r="D298" s="364" t="s">
        <v>51</v>
      </c>
      <c r="E298" s="304">
        <v>647436</v>
      </c>
      <c r="F298" s="8">
        <v>64</v>
      </c>
      <c r="G298" s="476">
        <v>45391</v>
      </c>
      <c r="H298" s="303" t="s">
        <v>943</v>
      </c>
      <c r="I298" s="294">
        <f>SUM(W298,SUMIFS('Cutters Consumption Updates'!$F:$F,'Cutters Consumption Updates'!$G:$G,"NEW",'Cutters Consumption Updates'!$J:$J,Table7[[#This Row],[PO'#]],'Cutters Consumption Updates'!$B:$B,Table7[[#This Row],[Cutter Mat'#]]))</f>
        <v>64</v>
      </c>
      <c r="J298" s="294">
        <f t="shared" si="7"/>
        <v>0</v>
      </c>
      <c r="W298" s="294">
        <v>64</v>
      </c>
    </row>
    <row r="299" spans="2:23" ht="15.5" x14ac:dyDescent="0.25">
      <c r="B299" s="364" t="s">
        <v>894</v>
      </c>
      <c r="C299" s="364" t="s">
        <v>177</v>
      </c>
      <c r="D299" s="364" t="s">
        <v>133</v>
      </c>
      <c r="E299" s="304">
        <v>1126402</v>
      </c>
      <c r="F299" s="8">
        <v>50</v>
      </c>
      <c r="G299" s="476">
        <v>45391</v>
      </c>
      <c r="H299" s="303" t="s">
        <v>943</v>
      </c>
      <c r="I299" s="294">
        <f>SUM(W299,SUMIFS('Cutters Consumption Updates'!$F:$F,'Cutters Consumption Updates'!$G:$G,"NEW",'Cutters Consumption Updates'!$J:$J,Table7[[#This Row],[PO'#]],'Cutters Consumption Updates'!$B:$B,Table7[[#This Row],[Cutter Mat'#]]))</f>
        <v>50</v>
      </c>
      <c r="J299" s="294">
        <f t="shared" si="7"/>
        <v>0</v>
      </c>
      <c r="W299" s="294">
        <v>50</v>
      </c>
    </row>
    <row r="300" spans="2:23" ht="15.5" x14ac:dyDescent="0.25">
      <c r="B300" s="364" t="s">
        <v>894</v>
      </c>
      <c r="C300" s="364" t="s">
        <v>177</v>
      </c>
      <c r="D300" s="364" t="s">
        <v>111</v>
      </c>
      <c r="E300" s="304">
        <v>1146737</v>
      </c>
      <c r="F300" s="8">
        <v>294</v>
      </c>
      <c r="G300" s="476">
        <v>45391</v>
      </c>
      <c r="H300" s="303" t="s">
        <v>943</v>
      </c>
      <c r="I300" s="294">
        <f>SUM(W300,SUMIFS('Cutters Consumption Updates'!$F:$F,'Cutters Consumption Updates'!$G:$G,"NEW",'Cutters Consumption Updates'!$J:$J,Table7[[#This Row],[PO'#]],'Cutters Consumption Updates'!$B:$B,Table7[[#This Row],[Cutter Mat'#]]))</f>
        <v>294</v>
      </c>
      <c r="J300" s="294">
        <f t="shared" si="7"/>
        <v>0</v>
      </c>
      <c r="W300" s="294">
        <v>294</v>
      </c>
    </row>
    <row r="301" spans="2:23" ht="15.5" x14ac:dyDescent="0.25">
      <c r="B301" s="364" t="s">
        <v>894</v>
      </c>
      <c r="C301" s="364" t="s">
        <v>177</v>
      </c>
      <c r="D301" s="364" t="s">
        <v>195</v>
      </c>
      <c r="E301" s="304">
        <v>1271790</v>
      </c>
      <c r="F301" s="8">
        <v>373</v>
      </c>
      <c r="G301" s="476">
        <v>45391</v>
      </c>
      <c r="H301" s="303" t="s">
        <v>943</v>
      </c>
      <c r="I301" s="294">
        <f>SUM(W301,SUMIFS('Cutters Consumption Updates'!$F:$F,'Cutters Consumption Updates'!$G:$G,"NEW",'Cutters Consumption Updates'!$J:$J,Table7[[#This Row],[PO'#]],'Cutters Consumption Updates'!$B:$B,Table7[[#This Row],[Cutter Mat'#]]))</f>
        <v>373</v>
      </c>
      <c r="J301" s="294">
        <f t="shared" si="7"/>
        <v>0</v>
      </c>
      <c r="W301" s="294">
        <v>373</v>
      </c>
    </row>
    <row r="302" spans="2:23" ht="15.5" x14ac:dyDescent="0.25">
      <c r="B302" s="364" t="s">
        <v>236</v>
      </c>
      <c r="C302" s="364" t="s">
        <v>109</v>
      </c>
      <c r="D302" s="364" t="s">
        <v>202</v>
      </c>
      <c r="E302" s="304">
        <v>1261615</v>
      </c>
      <c r="F302" s="8">
        <v>90</v>
      </c>
      <c r="G302" s="476">
        <v>45391</v>
      </c>
      <c r="H302" s="303" t="s">
        <v>943</v>
      </c>
      <c r="I302" s="294">
        <f>SUM(W302,SUMIFS('Cutters Consumption Updates'!$F:$F,'Cutters Consumption Updates'!$G:$G,"NEW",'Cutters Consumption Updates'!$J:$J,Table7[[#This Row],[PO'#]],'Cutters Consumption Updates'!$B:$B,Table7[[#This Row],[Cutter Mat'#]]))</f>
        <v>90</v>
      </c>
      <c r="J302" s="294">
        <f t="shared" si="7"/>
        <v>0</v>
      </c>
      <c r="W302" s="294">
        <v>90</v>
      </c>
    </row>
    <row r="303" spans="2:23" ht="15.5" x14ac:dyDescent="0.25">
      <c r="B303" s="364" t="s">
        <v>881</v>
      </c>
      <c r="C303" s="364" t="s">
        <v>170</v>
      </c>
      <c r="D303" s="364" t="s">
        <v>111</v>
      </c>
      <c r="E303" s="304">
        <v>1208601</v>
      </c>
      <c r="F303" s="8">
        <v>124</v>
      </c>
      <c r="G303" s="476">
        <v>45391</v>
      </c>
      <c r="H303" s="303" t="s">
        <v>943</v>
      </c>
      <c r="I303" s="294">
        <f>SUM(W303,SUMIFS('Cutters Consumption Updates'!$F:$F,'Cutters Consumption Updates'!$G:$G,"NEW",'Cutters Consumption Updates'!$J:$J,Table7[[#This Row],[PO'#]],'Cutters Consumption Updates'!$B:$B,Table7[[#This Row],[Cutter Mat'#]]))</f>
        <v>124</v>
      </c>
      <c r="J303" s="294">
        <f t="shared" si="7"/>
        <v>0</v>
      </c>
      <c r="W303" s="294">
        <v>124</v>
      </c>
    </row>
    <row r="304" spans="2:23" ht="15.5" x14ac:dyDescent="0.25">
      <c r="B304" s="364" t="s">
        <v>884</v>
      </c>
      <c r="C304" s="364" t="s">
        <v>253</v>
      </c>
      <c r="D304" s="364" t="s">
        <v>133</v>
      </c>
      <c r="E304" s="304">
        <v>1100759</v>
      </c>
      <c r="F304" s="8">
        <v>40</v>
      </c>
      <c r="G304" s="476">
        <v>45391</v>
      </c>
      <c r="H304" s="303" t="s">
        <v>943</v>
      </c>
      <c r="I304" s="294">
        <f>SUM(W304,SUMIFS('Cutters Consumption Updates'!$F:$F,'Cutters Consumption Updates'!$G:$G,"NEW",'Cutters Consumption Updates'!$J:$J,Table7[[#This Row],[PO'#]],'Cutters Consumption Updates'!$B:$B,Table7[[#This Row],[Cutter Mat'#]]))</f>
        <v>40</v>
      </c>
      <c r="J304" s="294">
        <f t="shared" si="7"/>
        <v>0</v>
      </c>
      <c r="W304" s="294">
        <v>40</v>
      </c>
    </row>
    <row r="305" spans="2:23" ht="15.5" x14ac:dyDescent="0.25">
      <c r="B305" s="364" t="s">
        <v>884</v>
      </c>
      <c r="C305" s="364" t="s">
        <v>253</v>
      </c>
      <c r="D305" s="364" t="s">
        <v>51</v>
      </c>
      <c r="E305" s="304">
        <v>708306</v>
      </c>
      <c r="F305" s="8">
        <v>68</v>
      </c>
      <c r="G305" s="476">
        <v>45391</v>
      </c>
      <c r="H305" s="303" t="s">
        <v>943</v>
      </c>
      <c r="I305" s="294">
        <f>SUM(W305,SUMIFS('Cutters Consumption Updates'!$F:$F,'Cutters Consumption Updates'!$G:$G,"NEW",'Cutters Consumption Updates'!$J:$J,Table7[[#This Row],[PO'#]],'Cutters Consumption Updates'!$B:$B,Table7[[#This Row],[Cutter Mat'#]]))</f>
        <v>68</v>
      </c>
      <c r="J305" s="294">
        <f t="shared" si="7"/>
        <v>0</v>
      </c>
      <c r="W305" s="294">
        <v>68</v>
      </c>
    </row>
    <row r="306" spans="2:23" ht="15.5" x14ac:dyDescent="0.25">
      <c r="B306" s="364" t="s">
        <v>919</v>
      </c>
      <c r="C306" s="364" t="s">
        <v>109</v>
      </c>
      <c r="D306" s="364" t="s">
        <v>176</v>
      </c>
      <c r="E306" s="304">
        <v>1250971</v>
      </c>
      <c r="F306" s="8">
        <v>60</v>
      </c>
      <c r="G306" s="476">
        <v>45391</v>
      </c>
      <c r="H306" s="303" t="s">
        <v>943</v>
      </c>
      <c r="I306" s="294">
        <f>SUM(W306,SUMIFS('Cutters Consumption Updates'!$F:$F,'Cutters Consumption Updates'!$G:$G,"NEW",'Cutters Consumption Updates'!$J:$J,Table7[[#This Row],[PO'#]],'Cutters Consumption Updates'!$B:$B,Table7[[#This Row],[Cutter Mat'#]]))</f>
        <v>60</v>
      </c>
      <c r="J306" s="294">
        <f t="shared" si="7"/>
        <v>0</v>
      </c>
      <c r="W306" s="294">
        <v>60</v>
      </c>
    </row>
    <row r="307" spans="2:23" ht="15.5" x14ac:dyDescent="0.25">
      <c r="B307" s="364" t="s">
        <v>925</v>
      </c>
      <c r="C307" s="364"/>
      <c r="D307" s="364"/>
      <c r="E307" s="304">
        <v>1220554</v>
      </c>
      <c r="F307" s="8">
        <v>30</v>
      </c>
      <c r="G307" s="476">
        <v>45391</v>
      </c>
      <c r="H307" s="303" t="s">
        <v>943</v>
      </c>
      <c r="I307" s="294">
        <f>SUM(W307,SUMIFS('Cutters Consumption Updates'!$F:$F,'Cutters Consumption Updates'!$G:$G,"NEW",'Cutters Consumption Updates'!$J:$J,Table7[[#This Row],[PO'#]],'Cutters Consumption Updates'!$B:$B,Table7[[#This Row],[Cutter Mat'#]]))</f>
        <v>30</v>
      </c>
      <c r="J307" s="294">
        <f t="shared" si="7"/>
        <v>0</v>
      </c>
      <c r="W307" s="294">
        <v>30</v>
      </c>
    </row>
    <row r="308" spans="2:23" ht="15.5" x14ac:dyDescent="0.25">
      <c r="B308" s="364" t="s">
        <v>903</v>
      </c>
      <c r="C308" s="364"/>
      <c r="D308" s="364"/>
      <c r="E308" s="304">
        <v>1228501</v>
      </c>
      <c r="F308" s="8">
        <v>30</v>
      </c>
      <c r="G308" s="476">
        <v>45391</v>
      </c>
      <c r="H308" s="303" t="s">
        <v>943</v>
      </c>
      <c r="I308" s="294">
        <f>SUM(W308,SUMIFS('Cutters Consumption Updates'!$F:$F,'Cutters Consumption Updates'!$G:$G,"NEW",'Cutters Consumption Updates'!$J:$J,Table7[[#This Row],[PO'#]],'Cutters Consumption Updates'!$B:$B,Table7[[#This Row],[Cutter Mat'#]]))</f>
        <v>30</v>
      </c>
      <c r="J308" s="294">
        <f t="shared" si="7"/>
        <v>0</v>
      </c>
      <c r="W308" s="294">
        <v>30</v>
      </c>
    </row>
    <row r="309" spans="2:23" ht="15.5" x14ac:dyDescent="0.25">
      <c r="B309" s="364" t="s">
        <v>901</v>
      </c>
      <c r="C309" s="364" t="s">
        <v>170</v>
      </c>
      <c r="D309" s="364" t="s">
        <v>114</v>
      </c>
      <c r="E309" s="304">
        <v>1228502</v>
      </c>
      <c r="F309" s="8">
        <v>30</v>
      </c>
      <c r="G309" s="476">
        <v>45391</v>
      </c>
      <c r="H309" s="303" t="s">
        <v>943</v>
      </c>
      <c r="I309" s="294">
        <f>SUM(W309,SUMIFS('Cutters Consumption Updates'!$F:$F,'Cutters Consumption Updates'!$G:$G,"NEW",'Cutters Consumption Updates'!$J:$J,Table7[[#This Row],[PO'#]],'Cutters Consumption Updates'!$B:$B,Table7[[#This Row],[Cutter Mat'#]]))</f>
        <v>30</v>
      </c>
      <c r="J309" s="294">
        <f t="shared" si="7"/>
        <v>0</v>
      </c>
      <c r="W309" s="294">
        <v>30</v>
      </c>
    </row>
    <row r="310" spans="2:23" ht="15.5" x14ac:dyDescent="0.25">
      <c r="B310" s="364" t="s">
        <v>926</v>
      </c>
      <c r="C310" s="364"/>
      <c r="D310" s="364"/>
      <c r="E310" s="304">
        <v>1228503</v>
      </c>
      <c r="F310" s="8">
        <v>30</v>
      </c>
      <c r="G310" s="476">
        <v>45391</v>
      </c>
      <c r="H310" s="303" t="s">
        <v>943</v>
      </c>
      <c r="I310" s="294">
        <f>SUM(W310,SUMIFS('Cutters Consumption Updates'!$F:$F,'Cutters Consumption Updates'!$G:$G,"NEW",'Cutters Consumption Updates'!$J:$J,Table7[[#This Row],[PO'#]],'Cutters Consumption Updates'!$B:$B,Table7[[#This Row],[Cutter Mat'#]]))</f>
        <v>30</v>
      </c>
      <c r="J310" s="294">
        <f t="shared" si="7"/>
        <v>0</v>
      </c>
      <c r="W310" s="294">
        <v>30</v>
      </c>
    </row>
    <row r="311" spans="2:23" ht="15.5" x14ac:dyDescent="0.25">
      <c r="B311" s="364" t="s">
        <v>913</v>
      </c>
      <c r="C311" s="364" t="s">
        <v>170</v>
      </c>
      <c r="D311" s="364" t="s">
        <v>145</v>
      </c>
      <c r="E311" s="304">
        <v>1261319</v>
      </c>
      <c r="F311" s="8">
        <v>72</v>
      </c>
      <c r="G311" s="476">
        <v>45391</v>
      </c>
      <c r="H311" s="303" t="s">
        <v>943</v>
      </c>
      <c r="I311" s="294">
        <f>SUM(W311,SUMIFS('Cutters Consumption Updates'!$F:$F,'Cutters Consumption Updates'!$G:$G,"NEW",'Cutters Consumption Updates'!$J:$J,Table7[[#This Row],[PO'#]],'Cutters Consumption Updates'!$B:$B,Table7[[#This Row],[Cutter Mat'#]]))</f>
        <v>72</v>
      </c>
      <c r="J311" s="294">
        <f t="shared" si="7"/>
        <v>0</v>
      </c>
      <c r="W311" s="294">
        <v>72</v>
      </c>
    </row>
    <row r="312" spans="2:23" ht="15.5" x14ac:dyDescent="0.25">
      <c r="B312" s="364" t="s">
        <v>914</v>
      </c>
      <c r="C312" s="364" t="s">
        <v>170</v>
      </c>
      <c r="D312" s="364" t="s">
        <v>145</v>
      </c>
      <c r="E312" s="304">
        <v>1261320</v>
      </c>
      <c r="F312" s="8">
        <v>18</v>
      </c>
      <c r="G312" s="476">
        <v>45391</v>
      </c>
      <c r="H312" s="303" t="s">
        <v>943</v>
      </c>
      <c r="I312" s="294">
        <f>SUM(W312,SUMIFS('Cutters Consumption Updates'!$F:$F,'Cutters Consumption Updates'!$G:$G,"NEW",'Cutters Consumption Updates'!$J:$J,Table7[[#This Row],[PO'#]],'Cutters Consumption Updates'!$B:$B,Table7[[#This Row],[Cutter Mat'#]]))</f>
        <v>18</v>
      </c>
      <c r="J312" s="294">
        <f t="shared" si="7"/>
        <v>0</v>
      </c>
      <c r="W312" s="294">
        <v>18</v>
      </c>
    </row>
    <row r="313" spans="2:23" ht="15.5" x14ac:dyDescent="0.25">
      <c r="B313" s="364" t="s">
        <v>927</v>
      </c>
      <c r="C313" s="364" t="s">
        <v>170</v>
      </c>
      <c r="D313" s="364" t="s">
        <v>145</v>
      </c>
      <c r="E313" s="304">
        <v>1261321</v>
      </c>
      <c r="F313" s="8">
        <v>12</v>
      </c>
      <c r="G313" s="476">
        <v>45391</v>
      </c>
      <c r="H313" s="303" t="s">
        <v>943</v>
      </c>
      <c r="I313" s="294">
        <f>SUM(W313,SUMIFS('Cutters Consumption Updates'!$F:$F,'Cutters Consumption Updates'!$G:$G,"NEW",'Cutters Consumption Updates'!$J:$J,Table7[[#This Row],[PO'#]],'Cutters Consumption Updates'!$B:$B,Table7[[#This Row],[Cutter Mat'#]]))</f>
        <v>12</v>
      </c>
      <c r="J313" s="294">
        <f t="shared" si="7"/>
        <v>0</v>
      </c>
      <c r="W313" s="294">
        <v>12</v>
      </c>
    </row>
    <row r="314" spans="2:23" ht="15.5" x14ac:dyDescent="0.25">
      <c r="B314" s="364">
        <v>1308</v>
      </c>
      <c r="C314" s="364" t="s">
        <v>65</v>
      </c>
      <c r="D314" s="364" t="s">
        <v>71</v>
      </c>
      <c r="E314" s="304">
        <v>418525</v>
      </c>
      <c r="F314" s="8">
        <v>70</v>
      </c>
      <c r="G314" s="476">
        <v>45415</v>
      </c>
      <c r="H314" s="303" t="s">
        <v>945</v>
      </c>
      <c r="I314" s="294">
        <f>SUM(W314,SUMIFS('Cutters Consumption Updates'!$F:$F,'Cutters Consumption Updates'!$G:$G,"NEW",'Cutters Consumption Updates'!$J:$J,Table7[[#This Row],[PO'#]],'Cutters Consumption Updates'!$B:$B,Table7[[#This Row],[Cutter Mat'#]]))</f>
        <v>70</v>
      </c>
      <c r="J314" s="294">
        <f t="shared" si="7"/>
        <v>0</v>
      </c>
      <c r="W314" s="294">
        <v>70</v>
      </c>
    </row>
    <row r="315" spans="2:23" ht="15.5" x14ac:dyDescent="0.25">
      <c r="B315" s="364" t="s">
        <v>876</v>
      </c>
      <c r="C315" s="364" t="s">
        <v>248</v>
      </c>
      <c r="D315" s="364" t="s">
        <v>125</v>
      </c>
      <c r="E315" s="304">
        <v>1136984</v>
      </c>
      <c r="F315" s="8">
        <v>26</v>
      </c>
      <c r="G315" s="476">
        <v>45415</v>
      </c>
      <c r="H315" s="303" t="s">
        <v>945</v>
      </c>
      <c r="I315" s="294">
        <f>SUM(W315,SUMIFS('Cutters Consumption Updates'!$F:$F,'Cutters Consumption Updates'!$G:$G,"NEW",'Cutters Consumption Updates'!$J:$J,Table7[[#This Row],[PO'#]],'Cutters Consumption Updates'!$B:$B,Table7[[#This Row],[Cutter Mat'#]]))</f>
        <v>26</v>
      </c>
      <c r="J315" s="294">
        <f t="shared" si="7"/>
        <v>0</v>
      </c>
      <c r="W315" s="294">
        <v>26</v>
      </c>
    </row>
    <row r="316" spans="2:23" ht="15.5" x14ac:dyDescent="0.25">
      <c r="B316" s="364" t="s">
        <v>899</v>
      </c>
      <c r="C316" s="364" t="s">
        <v>177</v>
      </c>
      <c r="D316" s="364" t="s">
        <v>111</v>
      </c>
      <c r="E316" s="304">
        <v>1146346</v>
      </c>
      <c r="F316" s="8">
        <v>32</v>
      </c>
      <c r="G316" s="476">
        <v>45415</v>
      </c>
      <c r="H316" s="303" t="s">
        <v>945</v>
      </c>
      <c r="I316" s="294">
        <f>SUM(W316,SUMIFS('Cutters Consumption Updates'!$F:$F,'Cutters Consumption Updates'!$G:$G,"NEW",'Cutters Consumption Updates'!$J:$J,Table7[[#This Row],[PO'#]],'Cutters Consumption Updates'!$B:$B,Table7[[#This Row],[Cutter Mat'#]]))</f>
        <v>32</v>
      </c>
      <c r="J316" s="294">
        <f t="shared" si="7"/>
        <v>0</v>
      </c>
      <c r="W316" s="294">
        <v>32</v>
      </c>
    </row>
    <row r="317" spans="2:23" ht="15.5" x14ac:dyDescent="0.25">
      <c r="B317" s="364" t="s">
        <v>38</v>
      </c>
      <c r="C317" s="364" t="s">
        <v>151</v>
      </c>
      <c r="D317" s="364" t="s">
        <v>149</v>
      </c>
      <c r="E317" s="304">
        <v>1078377</v>
      </c>
      <c r="F317" s="8">
        <v>100</v>
      </c>
      <c r="G317" s="476">
        <v>45415</v>
      </c>
      <c r="H317" s="303" t="s">
        <v>945</v>
      </c>
      <c r="I317" s="294">
        <f>SUM(W317,SUMIFS('Cutters Consumption Updates'!$F:$F,'Cutters Consumption Updates'!$G:$G,"NEW",'Cutters Consumption Updates'!$J:$J,Table7[[#This Row],[PO'#]],'Cutters Consumption Updates'!$B:$B,Table7[[#This Row],[Cutter Mat'#]]))</f>
        <v>100</v>
      </c>
      <c r="J317" s="294">
        <f t="shared" si="7"/>
        <v>0</v>
      </c>
      <c r="W317" s="294">
        <v>100</v>
      </c>
    </row>
    <row r="318" spans="2:23" ht="15.5" x14ac:dyDescent="0.25">
      <c r="B318" s="364" t="s">
        <v>879</v>
      </c>
      <c r="C318" s="364" t="s">
        <v>253</v>
      </c>
      <c r="D318" s="364" t="s">
        <v>51</v>
      </c>
      <c r="E318" s="304">
        <v>647435</v>
      </c>
      <c r="F318" s="8">
        <v>40</v>
      </c>
      <c r="G318" s="476">
        <v>45415</v>
      </c>
      <c r="H318" s="303" t="s">
        <v>945</v>
      </c>
      <c r="I318" s="294">
        <f>SUM(W318,SUMIFS('Cutters Consumption Updates'!$F:$F,'Cutters Consumption Updates'!$G:$G,"NEW",'Cutters Consumption Updates'!$J:$J,Table7[[#This Row],[PO'#]],'Cutters Consumption Updates'!$B:$B,Table7[[#This Row],[Cutter Mat'#]]))</f>
        <v>40</v>
      </c>
      <c r="J318" s="294">
        <f t="shared" si="7"/>
        <v>0</v>
      </c>
      <c r="W318" s="294">
        <v>40</v>
      </c>
    </row>
    <row r="319" spans="2:23" ht="15.5" x14ac:dyDescent="0.25">
      <c r="B319" s="364" t="s">
        <v>880</v>
      </c>
      <c r="C319" s="364" t="s">
        <v>253</v>
      </c>
      <c r="D319" s="364" t="s">
        <v>114</v>
      </c>
      <c r="E319" s="304">
        <v>1130198</v>
      </c>
      <c r="F319" s="8">
        <v>150</v>
      </c>
      <c r="G319" s="476">
        <v>45415</v>
      </c>
      <c r="H319" s="303" t="s">
        <v>945</v>
      </c>
      <c r="I319" s="294">
        <f>SUM(W319,SUMIFS('Cutters Consumption Updates'!$F:$F,'Cutters Consumption Updates'!$G:$G,"NEW",'Cutters Consumption Updates'!$J:$J,Table7[[#This Row],[PO'#]],'Cutters Consumption Updates'!$B:$B,Table7[[#This Row],[Cutter Mat'#]]))</f>
        <v>150</v>
      </c>
      <c r="J319" s="294">
        <f t="shared" si="7"/>
        <v>0</v>
      </c>
      <c r="W319" s="294">
        <v>150</v>
      </c>
    </row>
    <row r="320" spans="2:23" ht="15.5" x14ac:dyDescent="0.25">
      <c r="B320" s="364" t="s">
        <v>894</v>
      </c>
      <c r="C320" s="364" t="s">
        <v>177</v>
      </c>
      <c r="D320" s="364" t="s">
        <v>111</v>
      </c>
      <c r="E320" s="304">
        <v>1146737</v>
      </c>
      <c r="F320" s="8">
        <v>50</v>
      </c>
      <c r="G320" s="476">
        <v>45415</v>
      </c>
      <c r="H320" s="303" t="s">
        <v>945</v>
      </c>
      <c r="I320" s="294">
        <f>SUM(W320,SUMIFS('Cutters Consumption Updates'!$F:$F,'Cutters Consumption Updates'!$G:$G,"NEW",'Cutters Consumption Updates'!$J:$J,Table7[[#This Row],[PO'#]],'Cutters Consumption Updates'!$B:$B,Table7[[#This Row],[Cutter Mat'#]]))</f>
        <v>50</v>
      </c>
      <c r="J320" s="294">
        <f t="shared" si="7"/>
        <v>0</v>
      </c>
      <c r="W320" s="294">
        <v>50</v>
      </c>
    </row>
    <row r="321" spans="2:23" ht="15.5" x14ac:dyDescent="0.25">
      <c r="B321" s="364" t="s">
        <v>236</v>
      </c>
      <c r="C321" s="364" t="s">
        <v>109</v>
      </c>
      <c r="D321" s="364" t="s">
        <v>202</v>
      </c>
      <c r="E321" s="304">
        <v>1261615</v>
      </c>
      <c r="F321" s="8">
        <v>50</v>
      </c>
      <c r="G321" s="476">
        <v>45415</v>
      </c>
      <c r="H321" s="303" t="s">
        <v>945</v>
      </c>
      <c r="I321" s="294">
        <f>SUM(W321,SUMIFS('Cutters Consumption Updates'!$F:$F,'Cutters Consumption Updates'!$G:$G,"NEW",'Cutters Consumption Updates'!$J:$J,Table7[[#This Row],[PO'#]],'Cutters Consumption Updates'!$B:$B,Table7[[#This Row],[Cutter Mat'#]]))</f>
        <v>50</v>
      </c>
      <c r="J321" s="294">
        <f t="shared" si="7"/>
        <v>0</v>
      </c>
      <c r="W321" s="294">
        <v>50</v>
      </c>
    </row>
    <row r="322" spans="2:23" ht="15.5" x14ac:dyDescent="0.25">
      <c r="B322" s="364" t="s">
        <v>881</v>
      </c>
      <c r="C322" s="364" t="s">
        <v>170</v>
      </c>
      <c r="D322" s="364" t="s">
        <v>111</v>
      </c>
      <c r="E322" s="304">
        <v>1208601</v>
      </c>
      <c r="F322" s="8">
        <v>76</v>
      </c>
      <c r="G322" s="476">
        <v>45415</v>
      </c>
      <c r="H322" s="303" t="s">
        <v>945</v>
      </c>
      <c r="I322" s="294">
        <f>SUM(W322,SUMIFS('Cutters Consumption Updates'!$F:$F,'Cutters Consumption Updates'!$G:$G,"NEW",'Cutters Consumption Updates'!$J:$J,Table7[[#This Row],[PO'#]],'Cutters Consumption Updates'!$B:$B,Table7[[#This Row],[Cutter Mat'#]]))</f>
        <v>76</v>
      </c>
      <c r="J322" s="294">
        <f t="shared" ref="J322:J385" si="8">F322-I322</f>
        <v>0</v>
      </c>
      <c r="W322" s="294">
        <v>76</v>
      </c>
    </row>
    <row r="323" spans="2:23" ht="15.5" x14ac:dyDescent="0.25">
      <c r="B323" s="364">
        <v>1010</v>
      </c>
      <c r="C323" s="364"/>
      <c r="D323" s="364" t="s">
        <v>139</v>
      </c>
      <c r="E323" s="304">
        <v>1199261</v>
      </c>
      <c r="F323" s="8">
        <v>60</v>
      </c>
      <c r="G323" s="476">
        <v>45351</v>
      </c>
      <c r="H323" s="303" t="s">
        <v>934</v>
      </c>
      <c r="I323" s="294">
        <f>SUM(W323,SUMIFS('Cutters Consumption Updates'!$F:$F,'Cutters Consumption Updates'!$G:$G,"NEW",'Cutters Consumption Updates'!$J:$J,Table7[[#This Row],[PO'#]],'Cutters Consumption Updates'!$B:$B,Table7[[#This Row],[Cutter Mat'#]]))</f>
        <v>60</v>
      </c>
      <c r="J323" s="294">
        <f t="shared" si="8"/>
        <v>0</v>
      </c>
      <c r="W323" s="294">
        <v>60</v>
      </c>
    </row>
    <row r="324" spans="2:23" ht="15.5" x14ac:dyDescent="0.25">
      <c r="B324" s="364">
        <v>1005</v>
      </c>
      <c r="C324" s="364"/>
      <c r="D324" s="364" t="s">
        <v>139</v>
      </c>
      <c r="E324" s="304">
        <v>1230916</v>
      </c>
      <c r="F324" s="8">
        <v>20</v>
      </c>
      <c r="G324" s="476">
        <v>45351</v>
      </c>
      <c r="H324" s="303" t="s">
        <v>934</v>
      </c>
      <c r="I324" s="294">
        <f>SUM(W324,SUMIFS('Cutters Consumption Updates'!$F:$F,'Cutters Consumption Updates'!$G:$G,"NEW",'Cutters Consumption Updates'!$J:$J,Table7[[#This Row],[PO'#]],'Cutters Consumption Updates'!$B:$B,Table7[[#This Row],[Cutter Mat'#]]))</f>
        <v>20</v>
      </c>
      <c r="J324" s="294">
        <f t="shared" si="8"/>
        <v>0</v>
      </c>
      <c r="W324" s="294">
        <v>20</v>
      </c>
    </row>
    <row r="325" spans="2:23" ht="15.5" x14ac:dyDescent="0.25">
      <c r="B325" s="364">
        <v>1308</v>
      </c>
      <c r="C325" s="364" t="s">
        <v>946</v>
      </c>
      <c r="D325" s="364" t="s">
        <v>71</v>
      </c>
      <c r="E325" s="304">
        <v>410851</v>
      </c>
      <c r="F325" s="8">
        <v>20</v>
      </c>
      <c r="G325" s="476">
        <v>45454</v>
      </c>
      <c r="H325" s="303" t="s">
        <v>947</v>
      </c>
      <c r="I325" s="294">
        <f>SUM(W325,SUMIFS('Cutters Consumption Updates'!$F:$F,'Cutters Consumption Updates'!$G:$G,"NEW",'Cutters Consumption Updates'!$J:$J,Table7[[#This Row],[PO'#]],'Cutters Consumption Updates'!$B:$B,Table7[[#This Row],[Cutter Mat'#]]))</f>
        <v>20</v>
      </c>
      <c r="J325" s="294">
        <f t="shared" si="8"/>
        <v>0</v>
      </c>
      <c r="W325" s="294">
        <v>20</v>
      </c>
    </row>
    <row r="326" spans="2:23" ht="15.5" x14ac:dyDescent="0.25">
      <c r="B326" s="364" t="s">
        <v>935</v>
      </c>
      <c r="C326" s="364" t="s">
        <v>231</v>
      </c>
      <c r="D326" s="364" t="s">
        <v>53</v>
      </c>
      <c r="E326" s="304">
        <v>882800</v>
      </c>
      <c r="F326" s="8">
        <v>50</v>
      </c>
      <c r="G326" s="476">
        <v>45454</v>
      </c>
      <c r="H326" s="303" t="s">
        <v>947</v>
      </c>
      <c r="I326" s="294">
        <f>SUM(W326,SUMIFS('Cutters Consumption Updates'!$F:$F,'Cutters Consumption Updates'!$G:$G,"NEW",'Cutters Consumption Updates'!$J:$J,Table7[[#This Row],[PO'#]],'Cutters Consumption Updates'!$B:$B,Table7[[#This Row],[Cutter Mat'#]]))</f>
        <v>50</v>
      </c>
      <c r="J326" s="294">
        <f t="shared" si="8"/>
        <v>0</v>
      </c>
      <c r="W326" s="294">
        <v>50</v>
      </c>
    </row>
    <row r="327" spans="2:23" ht="15.5" x14ac:dyDescent="0.25">
      <c r="B327" s="364" t="s">
        <v>921</v>
      </c>
      <c r="C327" s="364" t="s">
        <v>253</v>
      </c>
      <c r="D327" s="364" t="s">
        <v>51</v>
      </c>
      <c r="E327" s="304">
        <v>773384</v>
      </c>
      <c r="F327" s="8">
        <v>10</v>
      </c>
      <c r="G327" s="476">
        <v>45454</v>
      </c>
      <c r="H327" s="303" t="s">
        <v>947</v>
      </c>
      <c r="I327" s="294">
        <f>SUM(W327,SUMIFS('Cutters Consumption Updates'!$F:$F,'Cutters Consumption Updates'!$G:$G,"NEW",'Cutters Consumption Updates'!$J:$J,Table7[[#This Row],[PO'#]],'Cutters Consumption Updates'!$B:$B,Table7[[#This Row],[Cutter Mat'#]]))</f>
        <v>10</v>
      </c>
      <c r="J327" s="294">
        <f t="shared" si="8"/>
        <v>0</v>
      </c>
      <c r="W327" s="294">
        <v>10</v>
      </c>
    </row>
    <row r="328" spans="2:23" ht="15.5" x14ac:dyDescent="0.25">
      <c r="B328" s="364" t="s">
        <v>921</v>
      </c>
      <c r="C328" s="364" t="s">
        <v>253</v>
      </c>
      <c r="D328" s="364" t="s">
        <v>114</v>
      </c>
      <c r="E328" s="304">
        <v>1130193</v>
      </c>
      <c r="F328" s="8">
        <v>30</v>
      </c>
      <c r="G328" s="476">
        <v>45454</v>
      </c>
      <c r="H328" s="303" t="s">
        <v>947</v>
      </c>
      <c r="I328" s="294">
        <f>SUM(W328,SUMIFS('Cutters Consumption Updates'!$F:$F,'Cutters Consumption Updates'!$G:$G,"NEW",'Cutters Consumption Updates'!$J:$J,Table7[[#This Row],[PO'#]],'Cutters Consumption Updates'!$B:$B,Table7[[#This Row],[Cutter Mat'#]]))</f>
        <v>30</v>
      </c>
      <c r="J328" s="294">
        <f t="shared" si="8"/>
        <v>0</v>
      </c>
      <c r="W328" s="294">
        <v>30</v>
      </c>
    </row>
    <row r="329" spans="2:23" ht="15.5" x14ac:dyDescent="0.25">
      <c r="B329" s="364" t="s">
        <v>922</v>
      </c>
      <c r="C329" s="364" t="s">
        <v>253</v>
      </c>
      <c r="D329" s="364" t="s">
        <v>51</v>
      </c>
      <c r="E329" s="304">
        <v>717748</v>
      </c>
      <c r="F329" s="8">
        <v>60</v>
      </c>
      <c r="G329" s="476">
        <v>45454</v>
      </c>
      <c r="H329" s="303" t="s">
        <v>947</v>
      </c>
      <c r="I329" s="294">
        <f>SUM(W329,SUMIFS('Cutters Consumption Updates'!$F:$F,'Cutters Consumption Updates'!$G:$G,"NEW",'Cutters Consumption Updates'!$J:$J,Table7[[#This Row],[PO'#]],'Cutters Consumption Updates'!$B:$B,Table7[[#This Row],[Cutter Mat'#]]))</f>
        <v>60</v>
      </c>
      <c r="J329" s="294">
        <f t="shared" si="8"/>
        <v>0</v>
      </c>
      <c r="W329" s="294">
        <v>60</v>
      </c>
    </row>
    <row r="330" spans="2:23" ht="15.5" x14ac:dyDescent="0.25">
      <c r="B330" s="364" t="s">
        <v>922</v>
      </c>
      <c r="C330" s="364" t="s">
        <v>253</v>
      </c>
      <c r="D330" s="364" t="s">
        <v>114</v>
      </c>
      <c r="E330" s="361">
        <v>1130194</v>
      </c>
      <c r="F330" s="362">
        <v>57</v>
      </c>
      <c r="G330" s="476">
        <v>45454</v>
      </c>
      <c r="H330" s="303" t="s">
        <v>947</v>
      </c>
      <c r="I330" s="294">
        <f>SUM(W330,SUMIFS('Cutters Consumption Updates'!$F:$F,'Cutters Consumption Updates'!$G:$G,"NEW",'Cutters Consumption Updates'!$J:$J,Table7[[#This Row],[PO'#]],'Cutters Consumption Updates'!$B:$B,Table7[[#This Row],[Cutter Mat'#]]))</f>
        <v>57</v>
      </c>
      <c r="J330" s="294">
        <f t="shared" si="8"/>
        <v>0</v>
      </c>
      <c r="K330" t="s">
        <v>948</v>
      </c>
      <c r="W330" s="294">
        <v>57</v>
      </c>
    </row>
    <row r="331" spans="2:23" ht="15.5" x14ac:dyDescent="0.25">
      <c r="B331" s="364" t="s">
        <v>877</v>
      </c>
      <c r="C331" s="364" t="s">
        <v>253</v>
      </c>
      <c r="D331" s="364" t="s">
        <v>51</v>
      </c>
      <c r="E331" s="304">
        <v>871781</v>
      </c>
      <c r="F331" s="8">
        <v>100</v>
      </c>
      <c r="G331" s="476">
        <v>45454</v>
      </c>
      <c r="H331" s="303" t="s">
        <v>947</v>
      </c>
      <c r="I331" s="294">
        <f>SUM(W331,SUMIFS('Cutters Consumption Updates'!$F:$F,'Cutters Consumption Updates'!$G:$G,"NEW",'Cutters Consumption Updates'!$J:$J,Table7[[#This Row],[PO'#]],'Cutters Consumption Updates'!$B:$B,Table7[[#This Row],[Cutter Mat'#]]))</f>
        <v>100</v>
      </c>
      <c r="J331" s="294">
        <f t="shared" si="8"/>
        <v>0</v>
      </c>
      <c r="W331" s="294">
        <v>100</v>
      </c>
    </row>
    <row r="332" spans="2:23" ht="15.5" x14ac:dyDescent="0.25">
      <c r="B332" s="364" t="s">
        <v>877</v>
      </c>
      <c r="C332" s="364" t="s">
        <v>253</v>
      </c>
      <c r="D332" s="364" t="s">
        <v>133</v>
      </c>
      <c r="E332" s="304">
        <v>1100751</v>
      </c>
      <c r="F332" s="8">
        <v>80</v>
      </c>
      <c r="G332" s="476">
        <v>45454</v>
      </c>
      <c r="H332" s="303" t="s">
        <v>947</v>
      </c>
      <c r="I332" s="294">
        <f>SUM(W332,SUMIFS('Cutters Consumption Updates'!$F:$F,'Cutters Consumption Updates'!$G:$G,"NEW",'Cutters Consumption Updates'!$J:$J,Table7[[#This Row],[PO'#]],'Cutters Consumption Updates'!$B:$B,Table7[[#This Row],[Cutter Mat'#]]))</f>
        <v>80</v>
      </c>
      <c r="J332" s="294">
        <f t="shared" si="8"/>
        <v>0</v>
      </c>
      <c r="W332" s="294">
        <v>80</v>
      </c>
    </row>
    <row r="333" spans="2:23" ht="15.5" x14ac:dyDescent="0.25">
      <c r="B333" s="364" t="s">
        <v>38</v>
      </c>
      <c r="C333" s="364" t="s">
        <v>151</v>
      </c>
      <c r="D333" s="364" t="s">
        <v>149</v>
      </c>
      <c r="E333" s="304">
        <v>1078377</v>
      </c>
      <c r="F333" s="8">
        <v>260</v>
      </c>
      <c r="G333" s="476">
        <v>45454</v>
      </c>
      <c r="H333" s="303" t="s">
        <v>947</v>
      </c>
      <c r="I333" s="294">
        <f>SUM(W333,SUMIFS('Cutters Consumption Updates'!$F:$F,'Cutters Consumption Updates'!$G:$G,"NEW",'Cutters Consumption Updates'!$J:$J,Table7[[#This Row],[PO'#]],'Cutters Consumption Updates'!$B:$B,Table7[[#This Row],[Cutter Mat'#]]))</f>
        <v>260</v>
      </c>
      <c r="J333" s="294">
        <f t="shared" si="8"/>
        <v>0</v>
      </c>
      <c r="W333" s="294">
        <v>260</v>
      </c>
    </row>
    <row r="334" spans="2:23" ht="15.5" x14ac:dyDescent="0.25">
      <c r="B334" s="364" t="s">
        <v>879</v>
      </c>
      <c r="C334" s="364" t="s">
        <v>253</v>
      </c>
      <c r="D334" s="364" t="s">
        <v>242</v>
      </c>
      <c r="E334" s="304">
        <v>647435</v>
      </c>
      <c r="F334" s="8">
        <v>50</v>
      </c>
      <c r="G334" s="476">
        <v>45454</v>
      </c>
      <c r="H334" s="303" t="s">
        <v>947</v>
      </c>
      <c r="I334" s="294">
        <f>SUM(W334,SUMIFS('Cutters Consumption Updates'!$F:$F,'Cutters Consumption Updates'!$G:$G,"NEW",'Cutters Consumption Updates'!$J:$J,Table7[[#This Row],[PO'#]],'Cutters Consumption Updates'!$B:$B,Table7[[#This Row],[Cutter Mat'#]]))</f>
        <v>50</v>
      </c>
      <c r="J334" s="294">
        <f t="shared" si="8"/>
        <v>0</v>
      </c>
      <c r="W334" s="294">
        <v>50</v>
      </c>
    </row>
    <row r="335" spans="2:23" ht="15.5" x14ac:dyDescent="0.25">
      <c r="B335" s="364" t="s">
        <v>880</v>
      </c>
      <c r="C335" s="364" t="s">
        <v>253</v>
      </c>
      <c r="D335" s="364" t="s">
        <v>242</v>
      </c>
      <c r="E335" s="304">
        <v>647436</v>
      </c>
      <c r="F335" s="8">
        <v>20</v>
      </c>
      <c r="G335" s="476">
        <v>45454</v>
      </c>
      <c r="H335" s="303" t="s">
        <v>947</v>
      </c>
      <c r="I335" s="294">
        <f>SUM(W335,SUMIFS('Cutters Consumption Updates'!$F:$F,'Cutters Consumption Updates'!$G:$G,"NEW",'Cutters Consumption Updates'!$J:$J,Table7[[#This Row],[PO'#]],'Cutters Consumption Updates'!$B:$B,Table7[[#This Row],[Cutter Mat'#]]))</f>
        <v>20</v>
      </c>
      <c r="J335" s="294">
        <f t="shared" si="8"/>
        <v>0</v>
      </c>
      <c r="W335" s="294">
        <v>20</v>
      </c>
    </row>
    <row r="336" spans="2:23" ht="15.5" x14ac:dyDescent="0.25">
      <c r="B336" s="364" t="s">
        <v>894</v>
      </c>
      <c r="C336" s="364" t="s">
        <v>177</v>
      </c>
      <c r="D336" s="364" t="s">
        <v>195</v>
      </c>
      <c r="E336" s="304">
        <v>1271790</v>
      </c>
      <c r="F336" s="8">
        <v>400</v>
      </c>
      <c r="G336" s="476">
        <v>45454</v>
      </c>
      <c r="H336" s="303" t="s">
        <v>947</v>
      </c>
      <c r="I336" s="294">
        <f>SUM(W336,SUMIFS('Cutters Consumption Updates'!$F:$F,'Cutters Consumption Updates'!$G:$G,"NEW",'Cutters Consumption Updates'!$J:$J,Table7[[#This Row],[PO'#]],'Cutters Consumption Updates'!$B:$B,Table7[[#This Row],[Cutter Mat'#]]))</f>
        <v>400</v>
      </c>
      <c r="J336" s="294">
        <f t="shared" si="8"/>
        <v>0</v>
      </c>
      <c r="W336" s="294">
        <v>400</v>
      </c>
    </row>
    <row r="337" spans="2:23" ht="15.5" x14ac:dyDescent="0.25">
      <c r="B337" s="364" t="s">
        <v>894</v>
      </c>
      <c r="C337" s="364" t="s">
        <v>177</v>
      </c>
      <c r="D337" s="364" t="s">
        <v>111</v>
      </c>
      <c r="E337" s="304">
        <v>1146737</v>
      </c>
      <c r="F337" s="8">
        <v>100</v>
      </c>
      <c r="G337" s="476">
        <v>45454</v>
      </c>
      <c r="H337" s="303" t="s">
        <v>947</v>
      </c>
      <c r="I337" s="294">
        <f>SUM(W337,SUMIFS('Cutters Consumption Updates'!$F:$F,'Cutters Consumption Updates'!$G:$G,"NEW",'Cutters Consumption Updates'!$J:$J,Table7[[#This Row],[PO'#]],'Cutters Consumption Updates'!$B:$B,Table7[[#This Row],[Cutter Mat'#]]))</f>
        <v>100</v>
      </c>
      <c r="J337" s="294">
        <f t="shared" si="8"/>
        <v>0</v>
      </c>
      <c r="W337" s="294">
        <v>100</v>
      </c>
    </row>
    <row r="338" spans="2:23" ht="15.5" x14ac:dyDescent="0.25">
      <c r="B338" s="364" t="s">
        <v>881</v>
      </c>
      <c r="C338" s="364" t="s">
        <v>170</v>
      </c>
      <c r="D338" s="364" t="s">
        <v>111</v>
      </c>
      <c r="E338" s="304">
        <v>1208601</v>
      </c>
      <c r="F338" s="8">
        <v>30</v>
      </c>
      <c r="G338" s="476">
        <v>45454</v>
      </c>
      <c r="H338" s="303" t="s">
        <v>947</v>
      </c>
      <c r="I338" s="294">
        <f>SUM(W338,SUMIFS('Cutters Consumption Updates'!$F:$F,'Cutters Consumption Updates'!$G:$G,"NEW",'Cutters Consumption Updates'!$J:$J,Table7[[#This Row],[PO'#]],'Cutters Consumption Updates'!$B:$B,Table7[[#This Row],[Cutter Mat'#]]))</f>
        <v>30</v>
      </c>
      <c r="J338" s="294">
        <f t="shared" si="8"/>
        <v>0</v>
      </c>
      <c r="W338" s="294">
        <v>30</v>
      </c>
    </row>
    <row r="339" spans="2:23" ht="15.5" x14ac:dyDescent="0.25">
      <c r="B339" s="364" t="s">
        <v>236</v>
      </c>
      <c r="C339" s="364" t="s">
        <v>109</v>
      </c>
      <c r="D339" s="364" t="s">
        <v>895</v>
      </c>
      <c r="E339" s="304">
        <v>1209410</v>
      </c>
      <c r="F339" s="8">
        <v>30</v>
      </c>
      <c r="G339" s="476">
        <v>45454</v>
      </c>
      <c r="H339" s="303" t="s">
        <v>947</v>
      </c>
      <c r="I339" s="294">
        <f>SUM(W339,SUMIFS('Cutters Consumption Updates'!$F:$F,'Cutters Consumption Updates'!$G:$G,"NEW",'Cutters Consumption Updates'!$J:$J,Table7[[#This Row],[PO'#]],'Cutters Consumption Updates'!$B:$B,Table7[[#This Row],[Cutter Mat'#]]))</f>
        <v>30</v>
      </c>
      <c r="J339" s="294">
        <f t="shared" si="8"/>
        <v>0</v>
      </c>
      <c r="W339" s="294">
        <v>30</v>
      </c>
    </row>
    <row r="340" spans="2:23" ht="15.5" x14ac:dyDescent="0.25">
      <c r="B340" s="364" t="s">
        <v>884</v>
      </c>
      <c r="C340" s="364" t="s">
        <v>253</v>
      </c>
      <c r="D340" s="364" t="s">
        <v>133</v>
      </c>
      <c r="E340" s="304">
        <v>1100759</v>
      </c>
      <c r="F340" s="8">
        <v>250</v>
      </c>
      <c r="G340" s="476">
        <v>45454</v>
      </c>
      <c r="H340" s="303" t="s">
        <v>947</v>
      </c>
      <c r="I340" s="294">
        <f>SUM(W340,SUMIFS('Cutters Consumption Updates'!$F:$F,'Cutters Consumption Updates'!$G:$G,"NEW",'Cutters Consumption Updates'!$J:$J,Table7[[#This Row],[PO'#]],'Cutters Consumption Updates'!$B:$B,Table7[[#This Row],[Cutter Mat'#]]))</f>
        <v>250</v>
      </c>
      <c r="J340" s="294">
        <f t="shared" si="8"/>
        <v>0</v>
      </c>
      <c r="W340" s="294">
        <v>250</v>
      </c>
    </row>
    <row r="341" spans="2:23" ht="15.5" x14ac:dyDescent="0.25">
      <c r="B341" s="364" t="s">
        <v>884</v>
      </c>
      <c r="C341" s="364" t="s">
        <v>253</v>
      </c>
      <c r="D341" s="364" t="s">
        <v>51</v>
      </c>
      <c r="E341" s="304">
        <v>708306</v>
      </c>
      <c r="F341" s="8">
        <v>200</v>
      </c>
      <c r="G341" s="476">
        <v>45454</v>
      </c>
      <c r="H341" s="303" t="s">
        <v>947</v>
      </c>
      <c r="I341" s="294">
        <f>SUM(W341,SUMIFS('Cutters Consumption Updates'!$F:$F,'Cutters Consumption Updates'!$G:$G,"NEW",'Cutters Consumption Updates'!$J:$J,Table7[[#This Row],[PO'#]],'Cutters Consumption Updates'!$B:$B,Table7[[#This Row],[Cutter Mat'#]]))</f>
        <v>200</v>
      </c>
      <c r="J341" s="294">
        <f t="shared" si="8"/>
        <v>0</v>
      </c>
      <c r="W341" s="294">
        <v>200</v>
      </c>
    </row>
    <row r="342" spans="2:23" ht="15.5" x14ac:dyDescent="0.25">
      <c r="B342" s="364" t="s">
        <v>38</v>
      </c>
      <c r="C342" s="364" t="s">
        <v>103</v>
      </c>
      <c r="D342" s="364" t="s">
        <v>192</v>
      </c>
      <c r="E342" s="304">
        <v>179734</v>
      </c>
      <c r="F342" s="8">
        <v>40</v>
      </c>
      <c r="G342" s="476">
        <v>45454</v>
      </c>
      <c r="H342" s="303" t="s">
        <v>947</v>
      </c>
      <c r="I342" s="294">
        <f>SUM(W342,SUMIFS('Cutters Consumption Updates'!$F:$F,'Cutters Consumption Updates'!$G:$G,"NEW",'Cutters Consumption Updates'!$J:$J,Table7[[#This Row],[PO'#]],'Cutters Consumption Updates'!$B:$B,Table7[[#This Row],[Cutter Mat'#]]))</f>
        <v>40</v>
      </c>
      <c r="J342" s="294">
        <f t="shared" si="8"/>
        <v>0</v>
      </c>
      <c r="W342" s="294">
        <v>40</v>
      </c>
    </row>
    <row r="343" spans="2:23" ht="15.5" x14ac:dyDescent="0.25">
      <c r="B343" s="364" t="s">
        <v>925</v>
      </c>
      <c r="C343" s="364"/>
      <c r="D343" s="364"/>
      <c r="E343" s="304">
        <v>1220554</v>
      </c>
      <c r="F343" s="8">
        <v>70</v>
      </c>
      <c r="G343" s="476">
        <v>45454</v>
      </c>
      <c r="H343" s="303" t="s">
        <v>947</v>
      </c>
      <c r="I343" s="294">
        <f>SUM(W343,SUMIFS('Cutters Consumption Updates'!$F:$F,'Cutters Consumption Updates'!$G:$G,"NEW",'Cutters Consumption Updates'!$J:$J,Table7[[#This Row],[PO'#]],'Cutters Consumption Updates'!$B:$B,Table7[[#This Row],[Cutter Mat'#]]))</f>
        <v>70</v>
      </c>
      <c r="J343" s="294">
        <f t="shared" si="8"/>
        <v>0</v>
      </c>
      <c r="W343" s="294">
        <v>70</v>
      </c>
    </row>
    <row r="344" spans="2:23" ht="15.5" x14ac:dyDescent="0.25">
      <c r="B344" s="364" t="s">
        <v>903</v>
      </c>
      <c r="C344" s="364"/>
      <c r="D344" s="364"/>
      <c r="E344" s="304">
        <v>1228501</v>
      </c>
      <c r="F344" s="8">
        <v>70</v>
      </c>
      <c r="G344" s="476">
        <v>45454</v>
      </c>
      <c r="H344" s="303" t="s">
        <v>947</v>
      </c>
      <c r="I344" s="294">
        <f>SUM(W344,SUMIFS('Cutters Consumption Updates'!$F:$F,'Cutters Consumption Updates'!$G:$G,"NEW",'Cutters Consumption Updates'!$J:$J,Table7[[#This Row],[PO'#]],'Cutters Consumption Updates'!$B:$B,Table7[[#This Row],[Cutter Mat'#]]))</f>
        <v>70</v>
      </c>
      <c r="J344" s="294">
        <f t="shared" si="8"/>
        <v>0</v>
      </c>
      <c r="W344" s="294">
        <v>70</v>
      </c>
    </row>
    <row r="345" spans="2:23" ht="15.5" x14ac:dyDescent="0.25">
      <c r="B345" s="364" t="s">
        <v>901</v>
      </c>
      <c r="C345" s="364" t="s">
        <v>170</v>
      </c>
      <c r="D345" s="364" t="s">
        <v>114</v>
      </c>
      <c r="E345" s="304">
        <v>1228502</v>
      </c>
      <c r="F345" s="8">
        <v>70</v>
      </c>
      <c r="G345" s="476">
        <v>45454</v>
      </c>
      <c r="H345" s="303" t="s">
        <v>947</v>
      </c>
      <c r="I345" s="294">
        <f>SUM(W345,SUMIFS('Cutters Consumption Updates'!$F:$F,'Cutters Consumption Updates'!$G:$G,"NEW",'Cutters Consumption Updates'!$J:$J,Table7[[#This Row],[PO'#]],'Cutters Consumption Updates'!$B:$B,Table7[[#This Row],[Cutter Mat'#]]))</f>
        <v>70</v>
      </c>
      <c r="J345" s="294">
        <f t="shared" si="8"/>
        <v>0</v>
      </c>
      <c r="W345" s="294">
        <v>70</v>
      </c>
    </row>
    <row r="346" spans="2:23" ht="15.5" x14ac:dyDescent="0.25">
      <c r="B346" s="364" t="s">
        <v>926</v>
      </c>
      <c r="C346" s="364"/>
      <c r="D346" s="364"/>
      <c r="E346" s="304">
        <v>1228503</v>
      </c>
      <c r="F346" s="8">
        <v>70</v>
      </c>
      <c r="G346" s="476">
        <v>45454</v>
      </c>
      <c r="H346" s="303" t="s">
        <v>947</v>
      </c>
      <c r="I346" s="294">
        <f>SUM(W346,SUMIFS('Cutters Consumption Updates'!$F:$F,'Cutters Consumption Updates'!$G:$G,"NEW",'Cutters Consumption Updates'!$J:$J,Table7[[#This Row],[PO'#]],'Cutters Consumption Updates'!$B:$B,Table7[[#This Row],[Cutter Mat'#]]))</f>
        <v>70</v>
      </c>
      <c r="J346" s="294">
        <f t="shared" si="8"/>
        <v>0</v>
      </c>
      <c r="W346" s="294">
        <v>70</v>
      </c>
    </row>
    <row r="347" spans="2:23" ht="15.5" x14ac:dyDescent="0.25">
      <c r="B347" s="364" t="s">
        <v>913</v>
      </c>
      <c r="C347" s="364" t="s">
        <v>170</v>
      </c>
      <c r="D347" s="364" t="s">
        <v>145</v>
      </c>
      <c r="E347" s="304">
        <v>1261319</v>
      </c>
      <c r="F347" s="8">
        <v>168</v>
      </c>
      <c r="G347" s="476">
        <v>45454</v>
      </c>
      <c r="H347" s="303" t="s">
        <v>947</v>
      </c>
      <c r="I347" s="294">
        <f>SUM(W347,SUMIFS('Cutters Consumption Updates'!$F:$F,'Cutters Consumption Updates'!$G:$G,"NEW",'Cutters Consumption Updates'!$J:$J,Table7[[#This Row],[PO'#]],'Cutters Consumption Updates'!$B:$B,Table7[[#This Row],[Cutter Mat'#]]))</f>
        <v>168</v>
      </c>
      <c r="J347" s="294">
        <f t="shared" si="8"/>
        <v>0</v>
      </c>
      <c r="W347" s="294">
        <v>168</v>
      </c>
    </row>
    <row r="348" spans="2:23" ht="15.5" x14ac:dyDescent="0.25">
      <c r="B348" s="364" t="s">
        <v>914</v>
      </c>
      <c r="C348" s="364" t="s">
        <v>170</v>
      </c>
      <c r="D348" s="364" t="s">
        <v>145</v>
      </c>
      <c r="E348" s="304">
        <v>1261320</v>
      </c>
      <c r="F348" s="8">
        <v>42</v>
      </c>
      <c r="G348" s="476">
        <v>45454</v>
      </c>
      <c r="H348" s="303" t="s">
        <v>947</v>
      </c>
      <c r="I348" s="294">
        <f>SUM(W348,SUMIFS('Cutters Consumption Updates'!$F:$F,'Cutters Consumption Updates'!$G:$G,"NEW",'Cutters Consumption Updates'!$J:$J,Table7[[#This Row],[PO'#]],'Cutters Consumption Updates'!$B:$B,Table7[[#This Row],[Cutter Mat'#]]))</f>
        <v>42</v>
      </c>
      <c r="J348" s="294">
        <f t="shared" si="8"/>
        <v>0</v>
      </c>
      <c r="W348" s="294">
        <v>42</v>
      </c>
    </row>
    <row r="349" spans="2:23" ht="15.5" x14ac:dyDescent="0.25">
      <c r="B349" s="364" t="s">
        <v>927</v>
      </c>
      <c r="C349" s="364" t="s">
        <v>170</v>
      </c>
      <c r="D349" s="364" t="s">
        <v>145</v>
      </c>
      <c r="E349" s="304">
        <v>1261321</v>
      </c>
      <c r="F349" s="8">
        <v>28</v>
      </c>
      <c r="G349" s="476">
        <v>45454</v>
      </c>
      <c r="H349" s="303" t="s">
        <v>947</v>
      </c>
      <c r="I349" s="294">
        <f>SUM(W349,SUMIFS('Cutters Consumption Updates'!$F:$F,'Cutters Consumption Updates'!$G:$G,"NEW",'Cutters Consumption Updates'!$J:$J,Table7[[#This Row],[PO'#]],'Cutters Consumption Updates'!$B:$B,Table7[[#This Row],[Cutter Mat'#]]))</f>
        <v>28</v>
      </c>
      <c r="J349" s="294">
        <f t="shared" si="8"/>
        <v>0</v>
      </c>
      <c r="W349" s="294">
        <v>28</v>
      </c>
    </row>
    <row r="350" spans="2:23" ht="15.5" x14ac:dyDescent="0.25">
      <c r="B350" s="364"/>
      <c r="C350" s="364"/>
      <c r="D350" s="364"/>
      <c r="E350" s="304">
        <v>1126402</v>
      </c>
      <c r="F350" s="8">
        <v>11</v>
      </c>
      <c r="G350" s="476"/>
      <c r="H350" s="303"/>
      <c r="I350" s="294">
        <f>SUM(W350,SUMIFS('Cutters Consumption Updates'!$F:$F,'Cutters Consumption Updates'!$G:$G,"NEW",'Cutters Consumption Updates'!$J:$J,Table7[[#This Row],[PO'#]],'Cutters Consumption Updates'!$B:$B,Table7[[#This Row],[Cutter Mat'#]]))</f>
        <v>11</v>
      </c>
      <c r="J350" s="294">
        <f t="shared" si="8"/>
        <v>0</v>
      </c>
      <c r="K350" t="s">
        <v>949</v>
      </c>
      <c r="W350" s="294">
        <v>11</v>
      </c>
    </row>
    <row r="351" spans="2:23" ht="15.5" x14ac:dyDescent="0.35">
      <c r="B351" s="364" t="s">
        <v>950</v>
      </c>
      <c r="C351" s="364"/>
      <c r="D351" s="514" t="s">
        <v>211</v>
      </c>
      <c r="E351" s="304">
        <v>1288721</v>
      </c>
      <c r="F351" s="8">
        <v>30</v>
      </c>
      <c r="G351" s="476">
        <v>45459</v>
      </c>
      <c r="H351" s="303" t="s">
        <v>951</v>
      </c>
      <c r="I351" s="294">
        <f>SUM(W351,SUMIFS('Cutters Consumption Updates'!$F:$F,'Cutters Consumption Updates'!$G:$G,"NEW",'Cutters Consumption Updates'!$J:$J,Table7[[#This Row],[PO'#]],'Cutters Consumption Updates'!$B:$B,Table7[[#This Row],[Cutter Mat'#]]))</f>
        <v>30</v>
      </c>
      <c r="J351" s="294">
        <f t="shared" si="8"/>
        <v>0</v>
      </c>
      <c r="K351" t="s">
        <v>952</v>
      </c>
      <c r="W351" s="294">
        <v>30</v>
      </c>
    </row>
    <row r="352" spans="2:23" ht="15.5" x14ac:dyDescent="0.25">
      <c r="B352" s="364" t="s">
        <v>922</v>
      </c>
      <c r="C352" s="364" t="s">
        <v>253</v>
      </c>
      <c r="D352" s="364" t="s">
        <v>139</v>
      </c>
      <c r="E352" s="304">
        <v>1130194</v>
      </c>
      <c r="F352" s="8">
        <v>43</v>
      </c>
      <c r="G352" s="476">
        <v>45454</v>
      </c>
      <c r="H352" s="303" t="s">
        <v>947</v>
      </c>
      <c r="I352" s="294">
        <f>SUM(W352,SUMIFS('Cutters Consumption Updates'!$F:$F,'Cutters Consumption Updates'!$G:$G,"NEW",'Cutters Consumption Updates'!$J:$J,Table7[[#This Row],[PO'#]],'Cutters Consumption Updates'!$B:$B,Table7[[#This Row],[Cutter Mat'#]]))</f>
        <v>43</v>
      </c>
      <c r="J352" s="294">
        <f t="shared" si="8"/>
        <v>0</v>
      </c>
      <c r="W352" s="294">
        <v>43</v>
      </c>
    </row>
    <row r="353" spans="2:23" ht="15.5" x14ac:dyDescent="0.25">
      <c r="B353" s="364">
        <v>1308</v>
      </c>
      <c r="C353" s="364" t="s">
        <v>65</v>
      </c>
      <c r="D353" s="364" t="s">
        <v>71</v>
      </c>
      <c r="E353" s="304">
        <v>418525</v>
      </c>
      <c r="F353" s="8">
        <v>100</v>
      </c>
      <c r="G353" s="476">
        <v>45477</v>
      </c>
      <c r="H353" s="303" t="s">
        <v>953</v>
      </c>
      <c r="I353" s="294">
        <f>SUM(W353,SUMIFS('Cutters Consumption Updates'!$F:$F,'Cutters Consumption Updates'!$G:$G,"NEW",'Cutters Consumption Updates'!$J:$J,Table7[[#This Row],[PO'#]],'Cutters Consumption Updates'!$B:$B,Table7[[#This Row],[Cutter Mat'#]]))</f>
        <v>100</v>
      </c>
      <c r="J353" s="294">
        <f t="shared" si="8"/>
        <v>0</v>
      </c>
      <c r="W353" s="294">
        <v>100</v>
      </c>
    </row>
    <row r="354" spans="2:23" ht="15.5" x14ac:dyDescent="0.25">
      <c r="B354" s="364" t="s">
        <v>876</v>
      </c>
      <c r="C354" s="364" t="s">
        <v>248</v>
      </c>
      <c r="D354" s="364" t="s">
        <v>111</v>
      </c>
      <c r="E354" s="304">
        <v>1100696</v>
      </c>
      <c r="F354" s="8">
        <v>140</v>
      </c>
      <c r="G354" s="476">
        <v>45477</v>
      </c>
      <c r="H354" s="303" t="s">
        <v>953</v>
      </c>
      <c r="I354" s="294">
        <f>SUM(W354,SUMIFS('Cutters Consumption Updates'!$F:$F,'Cutters Consumption Updates'!$G:$G,"NEW",'Cutters Consumption Updates'!$J:$J,Table7[[#This Row],[PO'#]],'Cutters Consumption Updates'!$B:$B,Table7[[#This Row],[Cutter Mat'#]]))</f>
        <v>140</v>
      </c>
      <c r="J354" s="294">
        <f t="shared" si="8"/>
        <v>0</v>
      </c>
      <c r="W354" s="294">
        <v>140</v>
      </c>
    </row>
    <row r="355" spans="2:23" ht="15.5" x14ac:dyDescent="0.25">
      <c r="B355" s="364" t="s">
        <v>876</v>
      </c>
      <c r="C355" s="364" t="s">
        <v>248</v>
      </c>
      <c r="D355" s="364" t="s">
        <v>125</v>
      </c>
      <c r="E355" s="304">
        <v>1136984</v>
      </c>
      <c r="F355" s="8">
        <v>30</v>
      </c>
      <c r="G355" s="476">
        <v>45477</v>
      </c>
      <c r="H355" s="303" t="s">
        <v>953</v>
      </c>
      <c r="I355" s="294">
        <f>SUM(W355,SUMIFS('Cutters Consumption Updates'!$F:$F,'Cutters Consumption Updates'!$G:$G,"NEW",'Cutters Consumption Updates'!$J:$J,Table7[[#This Row],[PO'#]],'Cutters Consumption Updates'!$B:$B,Table7[[#This Row],[Cutter Mat'#]]))</f>
        <v>30</v>
      </c>
      <c r="J355" s="294">
        <f t="shared" si="8"/>
        <v>0</v>
      </c>
      <c r="W355" s="294">
        <v>30</v>
      </c>
    </row>
    <row r="356" spans="2:23" ht="15.5" x14ac:dyDescent="0.25">
      <c r="B356" s="364" t="s">
        <v>876</v>
      </c>
      <c r="C356" s="364" t="s">
        <v>248</v>
      </c>
      <c r="D356" s="364" t="s">
        <v>134</v>
      </c>
      <c r="E356" s="304">
        <v>1104083</v>
      </c>
      <c r="F356" s="8"/>
      <c r="G356" s="476">
        <v>45477</v>
      </c>
      <c r="H356" s="303" t="s">
        <v>953</v>
      </c>
      <c r="I356" s="294">
        <f>SUM(W356,SUMIFS('Cutters Consumption Updates'!$F:$F,'Cutters Consumption Updates'!$G:$G,"NEW",'Cutters Consumption Updates'!$J:$J,Table7[[#This Row],[PO'#]],'Cutters Consumption Updates'!$B:$B,Table7[[#This Row],[Cutter Mat'#]]))</f>
        <v>0</v>
      </c>
      <c r="J356" s="294">
        <f t="shared" si="8"/>
        <v>0</v>
      </c>
      <c r="K356" t="s">
        <v>954</v>
      </c>
      <c r="W356" s="294"/>
    </row>
    <row r="357" spans="2:23" ht="15.5" x14ac:dyDescent="0.25">
      <c r="B357" s="364" t="s">
        <v>877</v>
      </c>
      <c r="C357" s="364" t="s">
        <v>253</v>
      </c>
      <c r="D357" s="364" t="s">
        <v>51</v>
      </c>
      <c r="E357" s="304">
        <v>871781</v>
      </c>
      <c r="F357" s="8">
        <v>100</v>
      </c>
      <c r="G357" s="476">
        <v>45477</v>
      </c>
      <c r="H357" s="303" t="s">
        <v>953</v>
      </c>
      <c r="I357" s="294">
        <f>SUM(W357,SUMIFS('Cutters Consumption Updates'!$F:$F,'Cutters Consumption Updates'!$G:$G,"NEW",'Cutters Consumption Updates'!$J:$J,Table7[[#This Row],[PO'#]],'Cutters Consumption Updates'!$B:$B,Table7[[#This Row],[Cutter Mat'#]]))</f>
        <v>100</v>
      </c>
      <c r="J357" s="294">
        <f t="shared" si="8"/>
        <v>0</v>
      </c>
      <c r="W357" s="294">
        <v>100</v>
      </c>
    </row>
    <row r="358" spans="2:23" ht="15.5" x14ac:dyDescent="0.25">
      <c r="B358" s="364" t="s">
        <v>899</v>
      </c>
      <c r="C358" s="364" t="s">
        <v>177</v>
      </c>
      <c r="D358" s="364" t="s">
        <v>111</v>
      </c>
      <c r="E358" s="304">
        <v>1146346</v>
      </c>
      <c r="F358" s="8">
        <v>45</v>
      </c>
      <c r="G358" s="476">
        <v>45477</v>
      </c>
      <c r="H358" s="303" t="s">
        <v>953</v>
      </c>
      <c r="I358" s="294">
        <f>SUM(W358,SUMIFS('Cutters Consumption Updates'!$F:$F,'Cutters Consumption Updates'!$G:$G,"NEW",'Cutters Consumption Updates'!$J:$J,Table7[[#This Row],[PO'#]],'Cutters Consumption Updates'!$B:$B,Table7[[#This Row],[Cutter Mat'#]]))</f>
        <v>45</v>
      </c>
      <c r="J358" s="294">
        <f t="shared" si="8"/>
        <v>0</v>
      </c>
      <c r="W358" s="294">
        <v>45</v>
      </c>
    </row>
    <row r="359" spans="2:23" ht="15.5" x14ac:dyDescent="0.25">
      <c r="B359" s="364" t="s">
        <v>38</v>
      </c>
      <c r="C359" s="364" t="s">
        <v>151</v>
      </c>
      <c r="D359" s="364" t="s">
        <v>149</v>
      </c>
      <c r="E359" s="304">
        <v>1078377</v>
      </c>
      <c r="F359" s="8">
        <v>60</v>
      </c>
      <c r="G359" s="476">
        <v>45477</v>
      </c>
      <c r="H359" s="303" t="s">
        <v>953</v>
      </c>
      <c r="I359" s="294">
        <f>SUM(W359,SUMIFS('Cutters Consumption Updates'!$F:$F,'Cutters Consumption Updates'!$G:$G,"NEW",'Cutters Consumption Updates'!$J:$J,Table7[[#This Row],[PO'#]],'Cutters Consumption Updates'!$B:$B,Table7[[#This Row],[Cutter Mat'#]]))</f>
        <v>60</v>
      </c>
      <c r="J359" s="294">
        <f t="shared" si="8"/>
        <v>0</v>
      </c>
      <c r="W359" s="294">
        <v>60</v>
      </c>
    </row>
    <row r="360" spans="2:23" ht="15.5" x14ac:dyDescent="0.25">
      <c r="B360" s="364" t="s">
        <v>879</v>
      </c>
      <c r="C360" s="364" t="s">
        <v>253</v>
      </c>
      <c r="D360" s="364" t="s">
        <v>242</v>
      </c>
      <c r="E360" s="304">
        <v>647435</v>
      </c>
      <c r="F360" s="8">
        <v>125</v>
      </c>
      <c r="G360" s="476">
        <v>45477</v>
      </c>
      <c r="H360" s="303" t="s">
        <v>953</v>
      </c>
      <c r="I360" s="294">
        <f>SUM(W360,SUMIFS('Cutters Consumption Updates'!$F:$F,'Cutters Consumption Updates'!$G:$G,"NEW",'Cutters Consumption Updates'!$J:$J,Table7[[#This Row],[PO'#]],'Cutters Consumption Updates'!$B:$B,Table7[[#This Row],[Cutter Mat'#]]))</f>
        <v>125</v>
      </c>
      <c r="J360" s="294">
        <f t="shared" si="8"/>
        <v>0</v>
      </c>
      <c r="W360" s="294">
        <v>125</v>
      </c>
    </row>
    <row r="361" spans="2:23" ht="15.5" x14ac:dyDescent="0.25">
      <c r="B361" s="364" t="s">
        <v>880</v>
      </c>
      <c r="C361" s="364" t="s">
        <v>253</v>
      </c>
      <c r="D361" s="364" t="s">
        <v>133</v>
      </c>
      <c r="E361" s="304">
        <v>1100755</v>
      </c>
      <c r="F361" s="8">
        <v>100</v>
      </c>
      <c r="G361" s="476">
        <v>45477</v>
      </c>
      <c r="H361" s="303" t="s">
        <v>953</v>
      </c>
      <c r="I361" s="294">
        <f>SUM(W361,SUMIFS('Cutters Consumption Updates'!$F:$F,'Cutters Consumption Updates'!$G:$G,"NEW",'Cutters Consumption Updates'!$J:$J,Table7[[#This Row],[PO'#]],'Cutters Consumption Updates'!$B:$B,Table7[[#This Row],[Cutter Mat'#]]))</f>
        <v>100</v>
      </c>
      <c r="J361" s="294">
        <f t="shared" si="8"/>
        <v>0</v>
      </c>
      <c r="W361" s="294">
        <v>100</v>
      </c>
    </row>
    <row r="362" spans="2:23" ht="15.5" x14ac:dyDescent="0.25">
      <c r="B362" s="364" t="s">
        <v>894</v>
      </c>
      <c r="C362" s="364" t="s">
        <v>177</v>
      </c>
      <c r="D362" s="364" t="s">
        <v>195</v>
      </c>
      <c r="E362" s="304">
        <v>1271790</v>
      </c>
      <c r="F362" s="8">
        <v>300</v>
      </c>
      <c r="G362" s="476">
        <v>45477</v>
      </c>
      <c r="H362" s="303" t="s">
        <v>953</v>
      </c>
      <c r="I362" s="294">
        <f>SUM(W362,SUMIFS('Cutters Consumption Updates'!$F:$F,'Cutters Consumption Updates'!$G:$G,"NEW",'Cutters Consumption Updates'!$J:$J,Table7[[#This Row],[PO'#]],'Cutters Consumption Updates'!$B:$B,Table7[[#This Row],[Cutter Mat'#]]))</f>
        <v>300</v>
      </c>
      <c r="J362" s="294">
        <f t="shared" si="8"/>
        <v>0</v>
      </c>
      <c r="W362" s="294">
        <v>300</v>
      </c>
    </row>
    <row r="363" spans="2:23" ht="15.5" x14ac:dyDescent="0.25">
      <c r="B363" s="364" t="s">
        <v>894</v>
      </c>
      <c r="C363" s="364" t="s">
        <v>177</v>
      </c>
      <c r="D363" s="364" t="s">
        <v>111</v>
      </c>
      <c r="E363" s="304">
        <v>1146737</v>
      </c>
      <c r="F363" s="8">
        <v>150</v>
      </c>
      <c r="G363" s="476">
        <v>45477</v>
      </c>
      <c r="H363" s="303" t="s">
        <v>953</v>
      </c>
      <c r="I363" s="294">
        <f>SUM(W363,SUMIFS('Cutters Consumption Updates'!$F:$F,'Cutters Consumption Updates'!$G:$G,"NEW",'Cutters Consumption Updates'!$J:$J,Table7[[#This Row],[PO'#]],'Cutters Consumption Updates'!$B:$B,Table7[[#This Row],[Cutter Mat'#]]))</f>
        <v>150</v>
      </c>
      <c r="J363" s="294">
        <f t="shared" si="8"/>
        <v>0</v>
      </c>
      <c r="W363" s="294">
        <v>150</v>
      </c>
    </row>
    <row r="364" spans="2:23" ht="15.5" x14ac:dyDescent="0.25">
      <c r="B364" s="364" t="s">
        <v>881</v>
      </c>
      <c r="C364" s="364" t="s">
        <v>170</v>
      </c>
      <c r="D364" s="364" t="s">
        <v>111</v>
      </c>
      <c r="E364" s="304">
        <v>1208601</v>
      </c>
      <c r="F364" s="8">
        <v>20</v>
      </c>
      <c r="G364" s="476">
        <v>45477</v>
      </c>
      <c r="H364" s="303" t="s">
        <v>953</v>
      </c>
      <c r="I364" s="294">
        <f>SUM(W364,SUMIFS('Cutters Consumption Updates'!$F:$F,'Cutters Consumption Updates'!$G:$G,"NEW",'Cutters Consumption Updates'!$J:$J,Table7[[#This Row],[PO'#]],'Cutters Consumption Updates'!$B:$B,Table7[[#This Row],[Cutter Mat'#]]))</f>
        <v>20</v>
      </c>
      <c r="J364" s="294">
        <f t="shared" si="8"/>
        <v>0</v>
      </c>
      <c r="W364" s="294">
        <v>20</v>
      </c>
    </row>
    <row r="365" spans="2:23" ht="15.5" x14ac:dyDescent="0.25">
      <c r="B365" s="364" t="s">
        <v>884</v>
      </c>
      <c r="C365" s="364" t="s">
        <v>253</v>
      </c>
      <c r="D365" s="364" t="s">
        <v>51</v>
      </c>
      <c r="E365" s="304">
        <v>708306</v>
      </c>
      <c r="F365" s="8">
        <v>80</v>
      </c>
      <c r="G365" s="476">
        <v>45477</v>
      </c>
      <c r="H365" s="303" t="s">
        <v>953</v>
      </c>
      <c r="I365" s="294">
        <f>SUM(W365,SUMIFS('Cutters Consumption Updates'!$F:$F,'Cutters Consumption Updates'!$G:$G,"NEW",'Cutters Consumption Updates'!$J:$J,Table7[[#This Row],[PO'#]],'Cutters Consumption Updates'!$B:$B,Table7[[#This Row],[Cutter Mat'#]]))</f>
        <v>80</v>
      </c>
      <c r="J365" s="294">
        <f t="shared" si="8"/>
        <v>0</v>
      </c>
      <c r="W365" s="294">
        <v>80</v>
      </c>
    </row>
    <row r="366" spans="2:23" ht="15.5" x14ac:dyDescent="0.25">
      <c r="B366" s="364">
        <v>1613</v>
      </c>
      <c r="C366" s="364" t="s">
        <v>109</v>
      </c>
      <c r="D366" s="364" t="s">
        <v>210</v>
      </c>
      <c r="E366" s="304">
        <v>1263823</v>
      </c>
      <c r="F366" s="8">
        <v>90</v>
      </c>
      <c r="G366" s="476">
        <v>45482</v>
      </c>
      <c r="H366" s="303" t="s">
        <v>955</v>
      </c>
      <c r="I366" s="294">
        <f>SUM(W366,SUMIFS('Cutters Consumption Updates'!$F:$F,'Cutters Consumption Updates'!$G:$G,"NEW",'Cutters Consumption Updates'!$J:$J,Table7[[#This Row],[PO'#]],'Cutters Consumption Updates'!$B:$B,Table7[[#This Row],[Cutter Mat'#]]))</f>
        <v>90</v>
      </c>
      <c r="J366" s="294">
        <f t="shared" si="8"/>
        <v>0</v>
      </c>
      <c r="W366" s="294">
        <v>90</v>
      </c>
    </row>
    <row r="367" spans="2:23" ht="15.5" x14ac:dyDescent="0.25">
      <c r="B367" s="364"/>
      <c r="C367" s="364"/>
      <c r="D367" s="364"/>
      <c r="E367" s="304">
        <v>1244299</v>
      </c>
      <c r="F367" s="8">
        <v>50</v>
      </c>
      <c r="G367" s="476">
        <v>45459</v>
      </c>
      <c r="H367" s="303" t="s">
        <v>951</v>
      </c>
      <c r="I367" s="294">
        <f>SUM(W367,SUMIFS('Cutters Consumption Updates'!$F:$F,'Cutters Consumption Updates'!$G:$G,"NEW",'Cutters Consumption Updates'!$J:$J,Table7[[#This Row],[PO'#]],'Cutters Consumption Updates'!$B:$B,Table7[[#This Row],[Cutter Mat'#]]))</f>
        <v>50</v>
      </c>
      <c r="J367" s="294">
        <f t="shared" si="8"/>
        <v>0</v>
      </c>
      <c r="W367" s="294">
        <v>50</v>
      </c>
    </row>
    <row r="368" spans="2:23" ht="15.5" x14ac:dyDescent="0.25">
      <c r="B368" s="364"/>
      <c r="C368" s="364"/>
      <c r="D368" s="364"/>
      <c r="E368" s="304">
        <v>1282746</v>
      </c>
      <c r="F368" s="8">
        <v>30</v>
      </c>
      <c r="G368" s="476">
        <v>45459</v>
      </c>
      <c r="H368" s="303" t="s">
        <v>951</v>
      </c>
      <c r="I368" s="294">
        <f>SUM(W368,SUMIFS('Cutters Consumption Updates'!$F:$F,'Cutters Consumption Updates'!$G:$G,"NEW",'Cutters Consumption Updates'!$J:$J,Table7[[#This Row],[PO'#]],'Cutters Consumption Updates'!$B:$B,Table7[[#This Row],[Cutter Mat'#]]))</f>
        <v>30</v>
      </c>
      <c r="J368" s="294">
        <f t="shared" si="8"/>
        <v>0</v>
      </c>
      <c r="W368" s="294">
        <v>30</v>
      </c>
    </row>
    <row r="369" spans="2:23" ht="15.5" x14ac:dyDescent="0.25">
      <c r="B369" s="364">
        <v>1308</v>
      </c>
      <c r="C369" s="364" t="s">
        <v>65</v>
      </c>
      <c r="D369" s="364" t="s">
        <v>71</v>
      </c>
      <c r="E369" s="304">
        <v>418525</v>
      </c>
      <c r="F369" s="8">
        <v>156</v>
      </c>
      <c r="G369" s="476">
        <v>45511</v>
      </c>
      <c r="H369" s="303" t="s">
        <v>956</v>
      </c>
      <c r="I369" s="294">
        <f>SUM(W369,SUMIFS('Cutters Consumption Updates'!$F:$F,'Cutters Consumption Updates'!$G:$G,"NEW",'Cutters Consumption Updates'!$J:$J,Table7[[#This Row],[PO'#]],'Cutters Consumption Updates'!$B:$B,Table7[[#This Row],[Cutter Mat'#]]))</f>
        <v>156</v>
      </c>
      <c r="J369" s="294">
        <f t="shared" si="8"/>
        <v>0</v>
      </c>
      <c r="W369" s="294">
        <v>156</v>
      </c>
    </row>
    <row r="370" spans="2:23" ht="15.5" x14ac:dyDescent="0.25">
      <c r="B370" s="364">
        <v>1308</v>
      </c>
      <c r="C370" s="364" t="s">
        <v>65</v>
      </c>
      <c r="D370" s="364" t="s">
        <v>71</v>
      </c>
      <c r="E370" s="304">
        <v>410851</v>
      </c>
      <c r="F370" s="8">
        <v>182</v>
      </c>
      <c r="G370" s="476">
        <v>45511</v>
      </c>
      <c r="H370" s="303" t="s">
        <v>956</v>
      </c>
      <c r="I370" s="294">
        <f>SUM(W370,SUMIFS('Cutters Consumption Updates'!$F:$F,'Cutters Consumption Updates'!$G:$G,"NEW",'Cutters Consumption Updates'!$J:$J,Table7[[#This Row],[PO'#]],'Cutters Consumption Updates'!$B:$B,Table7[[#This Row],[Cutter Mat'#]]))</f>
        <v>182</v>
      </c>
      <c r="J370" s="294">
        <f t="shared" si="8"/>
        <v>0</v>
      </c>
      <c r="W370" s="294">
        <v>182</v>
      </c>
    </row>
    <row r="371" spans="2:23" ht="15.5" x14ac:dyDescent="0.25">
      <c r="B371" s="364" t="s">
        <v>922</v>
      </c>
      <c r="C371" s="364" t="s">
        <v>253</v>
      </c>
      <c r="D371" s="364" t="s">
        <v>51</v>
      </c>
      <c r="E371" s="304">
        <v>717748</v>
      </c>
      <c r="F371" s="8">
        <v>40</v>
      </c>
      <c r="G371" s="476">
        <v>45511</v>
      </c>
      <c r="H371" s="303" t="s">
        <v>956</v>
      </c>
      <c r="I371" s="294">
        <f>SUM(W371,SUMIFS('Cutters Consumption Updates'!$F:$F,'Cutters Consumption Updates'!$G:$G,"NEW",'Cutters Consumption Updates'!$J:$J,Table7[[#This Row],[PO'#]],'Cutters Consumption Updates'!$B:$B,Table7[[#This Row],[Cutter Mat'#]]))</f>
        <v>40</v>
      </c>
      <c r="J371" s="294">
        <f t="shared" si="8"/>
        <v>0</v>
      </c>
      <c r="W371" s="294">
        <v>40</v>
      </c>
    </row>
    <row r="372" spans="2:23" ht="15.5" x14ac:dyDescent="0.25">
      <c r="B372" s="364" t="s">
        <v>910</v>
      </c>
      <c r="C372" s="364" t="s">
        <v>253</v>
      </c>
      <c r="D372" s="364" t="s">
        <v>51</v>
      </c>
      <c r="E372" s="304">
        <v>717751</v>
      </c>
      <c r="F372" s="8">
        <v>120</v>
      </c>
      <c r="G372" s="476">
        <v>45511</v>
      </c>
      <c r="H372" s="303" t="s">
        <v>956</v>
      </c>
      <c r="I372" s="294">
        <f>SUM(W372,SUMIFS('Cutters Consumption Updates'!$F:$F,'Cutters Consumption Updates'!$G:$G,"NEW",'Cutters Consumption Updates'!$J:$J,Table7[[#This Row],[PO'#]],'Cutters Consumption Updates'!$B:$B,Table7[[#This Row],[Cutter Mat'#]]))</f>
        <v>120</v>
      </c>
      <c r="J372" s="294">
        <f t="shared" si="8"/>
        <v>0</v>
      </c>
      <c r="W372" s="294">
        <v>120</v>
      </c>
    </row>
    <row r="373" spans="2:23" ht="15.5" x14ac:dyDescent="0.25">
      <c r="B373" s="364" t="s">
        <v>876</v>
      </c>
      <c r="C373" s="364" t="s">
        <v>248</v>
      </c>
      <c r="D373" s="364" t="s">
        <v>125</v>
      </c>
      <c r="E373" s="304">
        <v>1136984</v>
      </c>
      <c r="F373" s="8">
        <v>25</v>
      </c>
      <c r="G373" s="476">
        <v>45511</v>
      </c>
      <c r="H373" s="303" t="s">
        <v>956</v>
      </c>
      <c r="I373" s="294">
        <f>SUM(W373,SUMIFS('Cutters Consumption Updates'!$F:$F,'Cutters Consumption Updates'!$G:$G,"NEW",'Cutters Consumption Updates'!$J:$J,Table7[[#This Row],[PO'#]],'Cutters Consumption Updates'!$B:$B,Table7[[#This Row],[Cutter Mat'#]]))</f>
        <v>25</v>
      </c>
      <c r="J373" s="294">
        <f t="shared" si="8"/>
        <v>0</v>
      </c>
      <c r="W373" s="294">
        <v>25</v>
      </c>
    </row>
    <row r="374" spans="2:23" ht="15.5" x14ac:dyDescent="0.25">
      <c r="B374" s="364" t="s">
        <v>877</v>
      </c>
      <c r="C374" s="364" t="s">
        <v>253</v>
      </c>
      <c r="D374" s="364" t="s">
        <v>51</v>
      </c>
      <c r="E374" s="304">
        <v>871781</v>
      </c>
      <c r="F374" s="8">
        <v>30</v>
      </c>
      <c r="G374" s="476">
        <v>45511</v>
      </c>
      <c r="H374" s="303" t="s">
        <v>956</v>
      </c>
      <c r="I374" s="294">
        <f>SUM(W374,SUMIFS('Cutters Consumption Updates'!$F:$F,'Cutters Consumption Updates'!$G:$G,"NEW",'Cutters Consumption Updates'!$J:$J,Table7[[#This Row],[PO'#]],'Cutters Consumption Updates'!$B:$B,Table7[[#This Row],[Cutter Mat'#]]))</f>
        <v>30</v>
      </c>
      <c r="J374" s="294">
        <f t="shared" si="8"/>
        <v>0</v>
      </c>
      <c r="W374" s="294">
        <v>30</v>
      </c>
    </row>
    <row r="375" spans="2:23" ht="15.5" x14ac:dyDescent="0.25">
      <c r="B375" s="364" t="s">
        <v>877</v>
      </c>
      <c r="C375" s="364" t="s">
        <v>253</v>
      </c>
      <c r="D375" s="364" t="s">
        <v>133</v>
      </c>
      <c r="E375" s="304">
        <v>1100751</v>
      </c>
      <c r="F375" s="8">
        <v>50</v>
      </c>
      <c r="G375" s="476">
        <v>45511</v>
      </c>
      <c r="H375" s="303" t="s">
        <v>956</v>
      </c>
      <c r="I375" s="294">
        <f>SUM(W375,SUMIFS('Cutters Consumption Updates'!$F:$F,'Cutters Consumption Updates'!$G:$G,"NEW",'Cutters Consumption Updates'!$J:$J,Table7[[#This Row],[PO'#]],'Cutters Consumption Updates'!$B:$B,Table7[[#This Row],[Cutter Mat'#]]))</f>
        <v>50</v>
      </c>
      <c r="J375" s="294">
        <f t="shared" si="8"/>
        <v>0</v>
      </c>
      <c r="W375" s="294">
        <v>50</v>
      </c>
    </row>
    <row r="376" spans="2:23" ht="15.5" x14ac:dyDescent="0.25">
      <c r="B376" s="364" t="s">
        <v>38</v>
      </c>
      <c r="C376" s="364" t="s">
        <v>103</v>
      </c>
      <c r="D376" s="364" t="s">
        <v>192</v>
      </c>
      <c r="E376" s="304">
        <v>179734</v>
      </c>
      <c r="F376" s="8">
        <v>35</v>
      </c>
      <c r="G376" s="476">
        <v>45511</v>
      </c>
      <c r="H376" s="303" t="s">
        <v>956</v>
      </c>
      <c r="I376" s="294">
        <f>SUM(W376,SUMIFS('Cutters Consumption Updates'!$F:$F,'Cutters Consumption Updates'!$G:$G,"NEW",'Cutters Consumption Updates'!$J:$J,Table7[[#This Row],[PO'#]],'Cutters Consumption Updates'!$B:$B,Table7[[#This Row],[Cutter Mat'#]]))</f>
        <v>35</v>
      </c>
      <c r="J376" s="294">
        <f t="shared" si="8"/>
        <v>0</v>
      </c>
      <c r="W376" s="294">
        <v>35</v>
      </c>
    </row>
    <row r="377" spans="2:23" ht="15.5" x14ac:dyDescent="0.25">
      <c r="B377" s="364" t="s">
        <v>911</v>
      </c>
      <c r="C377" s="364" t="s">
        <v>243</v>
      </c>
      <c r="D377" s="364" t="s">
        <v>192</v>
      </c>
      <c r="E377" s="304">
        <v>179733</v>
      </c>
      <c r="F377" s="8">
        <v>70</v>
      </c>
      <c r="G377" s="476">
        <v>45511</v>
      </c>
      <c r="H377" s="303" t="s">
        <v>956</v>
      </c>
      <c r="I377" s="294">
        <f>SUM(W377,SUMIFS('Cutters Consumption Updates'!$F:$F,'Cutters Consumption Updates'!$G:$G,"NEW",'Cutters Consumption Updates'!$J:$J,Table7[[#This Row],[PO'#]],'Cutters Consumption Updates'!$B:$B,Table7[[#This Row],[Cutter Mat'#]]))</f>
        <v>70</v>
      </c>
      <c r="J377" s="294">
        <f t="shared" si="8"/>
        <v>0</v>
      </c>
      <c r="W377" s="294">
        <v>70</v>
      </c>
    </row>
    <row r="378" spans="2:23" ht="15.5" x14ac:dyDescent="0.25">
      <c r="B378" s="364" t="s">
        <v>879</v>
      </c>
      <c r="C378" s="364" t="s">
        <v>253</v>
      </c>
      <c r="D378" s="364" t="s">
        <v>242</v>
      </c>
      <c r="E378" s="304">
        <v>647435</v>
      </c>
      <c r="F378" s="8">
        <v>35</v>
      </c>
      <c r="G378" s="476">
        <v>45511</v>
      </c>
      <c r="H378" s="303" t="s">
        <v>956</v>
      </c>
      <c r="I378" s="294">
        <f>SUM(W378,SUMIFS('Cutters Consumption Updates'!$F:$F,'Cutters Consumption Updates'!$G:$G,"NEW",'Cutters Consumption Updates'!$J:$J,Table7[[#This Row],[PO'#]],'Cutters Consumption Updates'!$B:$B,Table7[[#This Row],[Cutter Mat'#]]))</f>
        <v>35</v>
      </c>
      <c r="J378" s="294">
        <f t="shared" si="8"/>
        <v>0</v>
      </c>
      <c r="W378" s="294">
        <v>35</v>
      </c>
    </row>
    <row r="379" spans="2:23" ht="15.5" x14ac:dyDescent="0.25">
      <c r="B379" s="364" t="s">
        <v>894</v>
      </c>
      <c r="C379" s="364" t="s">
        <v>177</v>
      </c>
      <c r="D379" s="364" t="s">
        <v>195</v>
      </c>
      <c r="E379" s="304">
        <v>1271790</v>
      </c>
      <c r="F379" s="8">
        <v>300</v>
      </c>
      <c r="G379" s="476">
        <v>45511</v>
      </c>
      <c r="H379" s="303" t="s">
        <v>956</v>
      </c>
      <c r="I379" s="294">
        <f>SUM(W379,SUMIFS('Cutters Consumption Updates'!$F:$F,'Cutters Consumption Updates'!$G:$G,"NEW",'Cutters Consumption Updates'!$J:$J,Table7[[#This Row],[PO'#]],'Cutters Consumption Updates'!$B:$B,Table7[[#This Row],[Cutter Mat'#]]))</f>
        <v>300</v>
      </c>
      <c r="J379" s="294">
        <f t="shared" si="8"/>
        <v>0</v>
      </c>
      <c r="W379" s="294">
        <v>300</v>
      </c>
    </row>
    <row r="380" spans="2:23" ht="15.5" x14ac:dyDescent="0.25">
      <c r="B380" s="364" t="s">
        <v>894</v>
      </c>
      <c r="C380" s="364" t="s">
        <v>177</v>
      </c>
      <c r="D380" s="364" t="s">
        <v>111</v>
      </c>
      <c r="E380" s="304">
        <v>1146737</v>
      </c>
      <c r="F380" s="8">
        <v>300</v>
      </c>
      <c r="G380" s="476">
        <v>45511</v>
      </c>
      <c r="H380" s="303" t="s">
        <v>956</v>
      </c>
      <c r="I380" s="294">
        <f>SUM(W380,SUMIFS('Cutters Consumption Updates'!$F:$F,'Cutters Consumption Updates'!$G:$G,"NEW",'Cutters Consumption Updates'!$J:$J,Table7[[#This Row],[PO'#]],'Cutters Consumption Updates'!$B:$B,Table7[[#This Row],[Cutter Mat'#]]))</f>
        <v>300</v>
      </c>
      <c r="J380" s="294">
        <f t="shared" si="8"/>
        <v>0</v>
      </c>
      <c r="W380" s="294">
        <v>300</v>
      </c>
    </row>
    <row r="381" spans="2:23" ht="15.5" x14ac:dyDescent="0.25">
      <c r="B381" s="364" t="s">
        <v>236</v>
      </c>
      <c r="C381" s="364" t="s">
        <v>109</v>
      </c>
      <c r="D381" s="364" t="s">
        <v>895</v>
      </c>
      <c r="E381" s="304">
        <v>1209410</v>
      </c>
      <c r="F381" s="8">
        <v>150</v>
      </c>
      <c r="G381" s="476">
        <v>45511</v>
      </c>
      <c r="H381" s="303" t="s">
        <v>956</v>
      </c>
      <c r="I381" s="294">
        <f>SUM(W381,SUMIFS('Cutters Consumption Updates'!$F:$F,'Cutters Consumption Updates'!$G:$G,"NEW",'Cutters Consumption Updates'!$J:$J,Table7[[#This Row],[PO'#]],'Cutters Consumption Updates'!$B:$B,Table7[[#This Row],[Cutter Mat'#]]))</f>
        <v>150</v>
      </c>
      <c r="J381" s="294">
        <f t="shared" si="8"/>
        <v>0</v>
      </c>
      <c r="W381" s="294">
        <v>150</v>
      </c>
    </row>
    <row r="382" spans="2:23" ht="15.5" x14ac:dyDescent="0.25">
      <c r="B382" s="364" t="s">
        <v>881</v>
      </c>
      <c r="C382" s="364" t="s">
        <v>170</v>
      </c>
      <c r="D382" s="364" t="s">
        <v>111</v>
      </c>
      <c r="E382" s="304">
        <v>1208601</v>
      </c>
      <c r="F382" s="8">
        <v>115</v>
      </c>
      <c r="G382" s="476">
        <v>45511</v>
      </c>
      <c r="H382" s="303" t="s">
        <v>956</v>
      </c>
      <c r="I382" s="294">
        <f>SUM(W382,SUMIFS('Cutters Consumption Updates'!$F:$F,'Cutters Consumption Updates'!$G:$G,"NEW",'Cutters Consumption Updates'!$J:$J,Table7[[#This Row],[PO'#]],'Cutters Consumption Updates'!$B:$B,Table7[[#This Row],[Cutter Mat'#]]))</f>
        <v>115</v>
      </c>
      <c r="J382" s="294">
        <f t="shared" si="8"/>
        <v>0</v>
      </c>
      <c r="W382" s="294">
        <v>115</v>
      </c>
    </row>
    <row r="383" spans="2:23" ht="15.5" x14ac:dyDescent="0.25">
      <c r="B383" s="364" t="s">
        <v>894</v>
      </c>
      <c r="C383" s="364" t="s">
        <v>177</v>
      </c>
      <c r="D383" s="364" t="s">
        <v>212</v>
      </c>
      <c r="E383" s="304">
        <v>1263929</v>
      </c>
      <c r="F383" s="8">
        <v>172</v>
      </c>
      <c r="G383" s="476">
        <v>45511</v>
      </c>
      <c r="H383" s="303" t="s">
        <v>956</v>
      </c>
      <c r="I383" s="294">
        <f>SUM(W383,SUMIFS('Cutters Consumption Updates'!$F:$F,'Cutters Consumption Updates'!$G:$G,"NEW",'Cutters Consumption Updates'!$J:$J,Table7[[#This Row],[PO'#]],'Cutters Consumption Updates'!$B:$B,Table7[[#This Row],[Cutter Mat'#]]))</f>
        <v>172</v>
      </c>
      <c r="J383" s="294">
        <f t="shared" si="8"/>
        <v>0</v>
      </c>
      <c r="W383" s="294">
        <v>172</v>
      </c>
    </row>
    <row r="384" spans="2:23" ht="15.5" x14ac:dyDescent="0.25">
      <c r="B384" s="364">
        <v>1613</v>
      </c>
      <c r="C384" s="364"/>
      <c r="D384" s="364" t="s">
        <v>139</v>
      </c>
      <c r="E384" s="304">
        <v>1199265</v>
      </c>
      <c r="F384" s="8">
        <v>2</v>
      </c>
      <c r="G384" s="476">
        <v>45511</v>
      </c>
      <c r="H384" s="303" t="s">
        <v>956</v>
      </c>
      <c r="I384" s="294">
        <f>SUM(W384,SUMIFS('Cutters Consumption Updates'!$F:$F,'Cutters Consumption Updates'!$G:$G,"NEW",'Cutters Consumption Updates'!$J:$J,Table7[[#This Row],[PO'#]],'Cutters Consumption Updates'!$B:$B,Table7[[#This Row],[Cutter Mat'#]]))</f>
        <v>2</v>
      </c>
      <c r="J384" s="294">
        <f t="shared" si="8"/>
        <v>0</v>
      </c>
      <c r="W384" s="294">
        <v>2</v>
      </c>
    </row>
    <row r="385" spans="2:23" ht="15.5" x14ac:dyDescent="0.25">
      <c r="B385" s="364" t="s">
        <v>880</v>
      </c>
      <c r="C385" s="364" t="s">
        <v>253</v>
      </c>
      <c r="D385" s="364" t="s">
        <v>133</v>
      </c>
      <c r="E385" s="304">
        <v>1100755</v>
      </c>
      <c r="F385" s="8">
        <v>500</v>
      </c>
      <c r="G385" s="476">
        <v>45526</v>
      </c>
      <c r="H385" s="303" t="s">
        <v>957</v>
      </c>
      <c r="I385" s="294">
        <f>SUM(W385,SUMIFS('Cutters Consumption Updates'!$F:$F,'Cutters Consumption Updates'!$G:$G,"NEW",'Cutters Consumption Updates'!$J:$J,Table7[[#This Row],[PO'#]],'Cutters Consumption Updates'!$B:$B,Table7[[#This Row],[Cutter Mat'#]]))</f>
        <v>500</v>
      </c>
      <c r="J385" s="294">
        <f t="shared" si="8"/>
        <v>0</v>
      </c>
      <c r="W385" s="294">
        <v>500</v>
      </c>
    </row>
    <row r="386" spans="2:23" ht="15.5" x14ac:dyDescent="0.25">
      <c r="B386" s="364">
        <v>1613</v>
      </c>
      <c r="C386" s="364"/>
      <c r="D386" s="364" t="s">
        <v>139</v>
      </c>
      <c r="E386" s="304">
        <v>1199265</v>
      </c>
      <c r="F386" s="8">
        <v>200</v>
      </c>
      <c r="G386" s="476">
        <v>45526</v>
      </c>
      <c r="H386" s="303" t="s">
        <v>957</v>
      </c>
      <c r="I386" s="294">
        <f>SUM(W386,SUMIFS('Cutters Consumption Updates'!$F:$F,'Cutters Consumption Updates'!$G:$G,"NEW",'Cutters Consumption Updates'!$J:$J,Table7[[#This Row],[PO'#]],'Cutters Consumption Updates'!$B:$B,Table7[[#This Row],[Cutter Mat'#]]))</f>
        <v>200</v>
      </c>
      <c r="J386" s="294">
        <f t="shared" ref="J386:J449" si="9">F386-I386</f>
        <v>0</v>
      </c>
      <c r="W386" s="294">
        <v>200</v>
      </c>
    </row>
    <row r="387" spans="2:23" ht="15.5" x14ac:dyDescent="0.25">
      <c r="B387" s="364">
        <v>1308</v>
      </c>
      <c r="C387" s="364" t="s">
        <v>65</v>
      </c>
      <c r="D387" s="364" t="s">
        <v>71</v>
      </c>
      <c r="E387" s="304">
        <v>418525</v>
      </c>
      <c r="F387" s="8">
        <v>150</v>
      </c>
      <c r="G387" s="476">
        <v>45543</v>
      </c>
      <c r="H387" s="303" t="s">
        <v>958</v>
      </c>
      <c r="I387" s="294">
        <f>SUM(W387,SUMIFS('Cutters Consumption Updates'!$F:$F,'Cutters Consumption Updates'!$G:$G,"NEW",'Cutters Consumption Updates'!$J:$J,Table7[[#This Row],[PO'#]],'Cutters Consumption Updates'!$B:$B,Table7[[#This Row],[Cutter Mat'#]]))</f>
        <v>150</v>
      </c>
      <c r="J387" s="294">
        <f t="shared" si="9"/>
        <v>0</v>
      </c>
      <c r="W387" s="294">
        <v>150</v>
      </c>
    </row>
    <row r="388" spans="2:23" ht="15.5" x14ac:dyDescent="0.25">
      <c r="B388" s="364" t="s">
        <v>876</v>
      </c>
      <c r="C388" s="364" t="s">
        <v>248</v>
      </c>
      <c r="D388" s="364" t="s">
        <v>111</v>
      </c>
      <c r="E388" s="304">
        <v>1100696</v>
      </c>
      <c r="F388" s="8">
        <v>100</v>
      </c>
      <c r="G388" s="476">
        <v>45543</v>
      </c>
      <c r="H388" s="303" t="s">
        <v>958</v>
      </c>
      <c r="I388" s="294">
        <f>SUM(W388,SUMIFS('Cutters Consumption Updates'!$F:$F,'Cutters Consumption Updates'!$G:$G,"NEW",'Cutters Consumption Updates'!$J:$J,Table7[[#This Row],[PO'#]],'Cutters Consumption Updates'!$B:$B,Table7[[#This Row],[Cutter Mat'#]]))</f>
        <v>100</v>
      </c>
      <c r="J388" s="294">
        <f t="shared" si="9"/>
        <v>0</v>
      </c>
      <c r="W388" s="294">
        <v>100</v>
      </c>
    </row>
    <row r="389" spans="2:23" ht="15.5" x14ac:dyDescent="0.25">
      <c r="B389" s="364" t="s">
        <v>877</v>
      </c>
      <c r="C389" s="364" t="s">
        <v>253</v>
      </c>
      <c r="D389" s="364" t="s">
        <v>51</v>
      </c>
      <c r="E389" s="304">
        <v>871781</v>
      </c>
      <c r="F389" s="8">
        <v>160</v>
      </c>
      <c r="G389" s="476">
        <v>45543</v>
      </c>
      <c r="H389" s="303" t="s">
        <v>958</v>
      </c>
      <c r="I389" s="294">
        <f>SUM(W389,SUMIFS('Cutters Consumption Updates'!$F:$F,'Cutters Consumption Updates'!$G:$G,"NEW",'Cutters Consumption Updates'!$J:$J,Table7[[#This Row],[PO'#]],'Cutters Consumption Updates'!$B:$B,Table7[[#This Row],[Cutter Mat'#]]))</f>
        <v>160</v>
      </c>
      <c r="J389" s="294">
        <f t="shared" si="9"/>
        <v>0</v>
      </c>
      <c r="W389" s="294">
        <v>160</v>
      </c>
    </row>
    <row r="390" spans="2:23" ht="15.5" x14ac:dyDescent="0.25">
      <c r="B390" s="364" t="s">
        <v>899</v>
      </c>
      <c r="C390" s="364" t="s">
        <v>177</v>
      </c>
      <c r="D390" s="364" t="s">
        <v>111</v>
      </c>
      <c r="E390" s="304">
        <v>1146346</v>
      </c>
      <c r="F390" s="8">
        <v>25</v>
      </c>
      <c r="G390" s="476">
        <v>45543</v>
      </c>
      <c r="H390" s="303" t="s">
        <v>958</v>
      </c>
      <c r="I390" s="294">
        <f>SUM(W390,SUMIFS('Cutters Consumption Updates'!$F:$F,'Cutters Consumption Updates'!$G:$G,"NEW",'Cutters Consumption Updates'!$J:$J,Table7[[#This Row],[PO'#]],'Cutters Consumption Updates'!$B:$B,Table7[[#This Row],[Cutter Mat'#]]))</f>
        <v>25</v>
      </c>
      <c r="J390" s="294">
        <f t="shared" si="9"/>
        <v>0</v>
      </c>
      <c r="W390" s="294">
        <v>25</v>
      </c>
    </row>
    <row r="391" spans="2:23" ht="15.5" x14ac:dyDescent="0.25">
      <c r="B391" s="364" t="s">
        <v>38</v>
      </c>
      <c r="C391" s="364" t="s">
        <v>151</v>
      </c>
      <c r="D391" s="364" t="s">
        <v>149</v>
      </c>
      <c r="E391" s="304">
        <v>1078377</v>
      </c>
      <c r="F391" s="8">
        <v>90</v>
      </c>
      <c r="G391" s="476">
        <v>45543</v>
      </c>
      <c r="H391" s="303" t="s">
        <v>958</v>
      </c>
      <c r="I391" s="294">
        <f>SUM(W391,SUMIFS('Cutters Consumption Updates'!$F:$F,'Cutters Consumption Updates'!$G:$G,"NEW",'Cutters Consumption Updates'!$J:$J,Table7[[#This Row],[PO'#]],'Cutters Consumption Updates'!$B:$B,Table7[[#This Row],[Cutter Mat'#]]))</f>
        <v>90</v>
      </c>
      <c r="J391" s="294">
        <f t="shared" si="9"/>
        <v>0</v>
      </c>
      <c r="W391" s="294">
        <v>90</v>
      </c>
    </row>
    <row r="392" spans="2:23" ht="15.5" x14ac:dyDescent="0.25">
      <c r="B392" s="364" t="s">
        <v>879</v>
      </c>
      <c r="C392" s="364" t="s">
        <v>253</v>
      </c>
      <c r="D392" s="364" t="s">
        <v>242</v>
      </c>
      <c r="E392" s="304">
        <v>647435</v>
      </c>
      <c r="F392" s="8">
        <v>250</v>
      </c>
      <c r="G392" s="476">
        <v>45543</v>
      </c>
      <c r="H392" s="303" t="s">
        <v>958</v>
      </c>
      <c r="I392" s="294">
        <f>SUM(W392,SUMIFS('Cutters Consumption Updates'!$F:$F,'Cutters Consumption Updates'!$G:$G,"NEW",'Cutters Consumption Updates'!$J:$J,Table7[[#This Row],[PO'#]],'Cutters Consumption Updates'!$B:$B,Table7[[#This Row],[Cutter Mat'#]]))</f>
        <v>250</v>
      </c>
      <c r="J392" s="294">
        <f t="shared" si="9"/>
        <v>0</v>
      </c>
      <c r="W392" s="294">
        <v>250</v>
      </c>
    </row>
    <row r="393" spans="2:23" ht="15.5" x14ac:dyDescent="0.25">
      <c r="B393" s="364" t="s">
        <v>880</v>
      </c>
      <c r="C393" s="364" t="s">
        <v>253</v>
      </c>
      <c r="D393" s="364" t="s">
        <v>133</v>
      </c>
      <c r="E393" s="304">
        <v>1100755</v>
      </c>
      <c r="F393" s="8">
        <v>150</v>
      </c>
      <c r="G393" s="476">
        <v>45543</v>
      </c>
      <c r="H393" s="303" t="s">
        <v>958</v>
      </c>
      <c r="I393" s="294">
        <f>SUM(W393,SUMIFS('Cutters Consumption Updates'!$F:$F,'Cutters Consumption Updates'!$G:$G,"NEW",'Cutters Consumption Updates'!$J:$J,Table7[[#This Row],[PO'#]],'Cutters Consumption Updates'!$B:$B,Table7[[#This Row],[Cutter Mat'#]]))</f>
        <v>150</v>
      </c>
      <c r="J393" s="294">
        <f t="shared" si="9"/>
        <v>0</v>
      </c>
      <c r="W393" s="294">
        <v>150</v>
      </c>
    </row>
    <row r="394" spans="2:23" ht="15.5" x14ac:dyDescent="0.25">
      <c r="B394" s="364" t="s">
        <v>894</v>
      </c>
      <c r="C394" s="364" t="s">
        <v>177</v>
      </c>
      <c r="D394" s="364" t="s">
        <v>133</v>
      </c>
      <c r="E394" s="304">
        <v>1126402</v>
      </c>
      <c r="F394" s="8">
        <v>124</v>
      </c>
      <c r="G394" s="476">
        <v>45543</v>
      </c>
      <c r="H394" s="303" t="s">
        <v>958</v>
      </c>
      <c r="I394" s="294">
        <f>SUM(W394,SUMIFS('Cutters Consumption Updates'!$F:$F,'Cutters Consumption Updates'!$G:$G,"NEW",'Cutters Consumption Updates'!$J:$J,Table7[[#This Row],[PO'#]],'Cutters Consumption Updates'!$B:$B,Table7[[#This Row],[Cutter Mat'#]]))</f>
        <v>124</v>
      </c>
      <c r="J394" s="294">
        <f t="shared" si="9"/>
        <v>0</v>
      </c>
      <c r="W394" s="294">
        <v>124</v>
      </c>
    </row>
    <row r="395" spans="2:23" ht="15.5" x14ac:dyDescent="0.25">
      <c r="B395" s="364" t="s">
        <v>894</v>
      </c>
      <c r="C395" s="364" t="s">
        <v>177</v>
      </c>
      <c r="D395" s="364" t="s">
        <v>195</v>
      </c>
      <c r="E395" s="304">
        <v>1271790</v>
      </c>
      <c r="F395" s="8">
        <v>150</v>
      </c>
      <c r="G395" s="476">
        <v>45543</v>
      </c>
      <c r="H395" s="303" t="s">
        <v>958</v>
      </c>
      <c r="I395" s="294">
        <f>SUM(W395,SUMIFS('Cutters Consumption Updates'!$F:$F,'Cutters Consumption Updates'!$G:$G,"NEW",'Cutters Consumption Updates'!$J:$J,Table7[[#This Row],[PO'#]],'Cutters Consumption Updates'!$B:$B,Table7[[#This Row],[Cutter Mat'#]]))</f>
        <v>150</v>
      </c>
      <c r="J395" s="294">
        <f t="shared" si="9"/>
        <v>0</v>
      </c>
      <c r="W395" s="294">
        <v>150</v>
      </c>
    </row>
    <row r="396" spans="2:23" ht="15.5" x14ac:dyDescent="0.25">
      <c r="B396" s="364" t="s">
        <v>894</v>
      </c>
      <c r="C396" s="364" t="s">
        <v>177</v>
      </c>
      <c r="D396" s="364" t="s">
        <v>111</v>
      </c>
      <c r="E396" s="304">
        <v>1146737</v>
      </c>
      <c r="F396" s="8">
        <v>250</v>
      </c>
      <c r="G396" s="476">
        <v>45543</v>
      </c>
      <c r="H396" s="303" t="s">
        <v>958</v>
      </c>
      <c r="I396" s="294">
        <f>SUM(W396,SUMIFS('Cutters Consumption Updates'!$F:$F,'Cutters Consumption Updates'!$G:$G,"NEW",'Cutters Consumption Updates'!$J:$J,Table7[[#This Row],[PO'#]],'Cutters Consumption Updates'!$B:$B,Table7[[#This Row],[Cutter Mat'#]]))</f>
        <v>250</v>
      </c>
      <c r="J396" s="294">
        <f t="shared" si="9"/>
        <v>0</v>
      </c>
      <c r="W396" s="294">
        <v>250</v>
      </c>
    </row>
    <row r="397" spans="2:23" ht="15.5" x14ac:dyDescent="0.25">
      <c r="B397" s="364" t="s">
        <v>881</v>
      </c>
      <c r="C397" s="364" t="s">
        <v>170</v>
      </c>
      <c r="D397" s="364" t="s">
        <v>111</v>
      </c>
      <c r="E397" s="304">
        <v>1208601</v>
      </c>
      <c r="F397" s="8">
        <v>50</v>
      </c>
      <c r="G397" s="476">
        <v>45543</v>
      </c>
      <c r="H397" s="303" t="s">
        <v>958</v>
      </c>
      <c r="I397" s="294">
        <f>SUM(W397,SUMIFS('Cutters Consumption Updates'!$F:$F,'Cutters Consumption Updates'!$G:$G,"NEW",'Cutters Consumption Updates'!$J:$J,Table7[[#This Row],[PO'#]],'Cutters Consumption Updates'!$B:$B,Table7[[#This Row],[Cutter Mat'#]]))</f>
        <v>50</v>
      </c>
      <c r="J397" s="294">
        <f t="shared" si="9"/>
        <v>0</v>
      </c>
      <c r="W397" s="294">
        <v>50</v>
      </c>
    </row>
    <row r="398" spans="2:23" ht="15.5" x14ac:dyDescent="0.25">
      <c r="B398" s="364" t="s">
        <v>884</v>
      </c>
      <c r="C398" s="364" t="s">
        <v>253</v>
      </c>
      <c r="D398" s="364" t="s">
        <v>133</v>
      </c>
      <c r="E398" s="304">
        <v>1100759</v>
      </c>
      <c r="F398" s="8">
        <v>415</v>
      </c>
      <c r="G398" s="476">
        <v>45543</v>
      </c>
      <c r="H398" s="303" t="s">
        <v>958</v>
      </c>
      <c r="I398" s="294">
        <f>SUM(W398,SUMIFS('Cutters Consumption Updates'!$F:$F,'Cutters Consumption Updates'!$G:$G,"NEW",'Cutters Consumption Updates'!$J:$J,Table7[[#This Row],[PO'#]],'Cutters Consumption Updates'!$B:$B,Table7[[#This Row],[Cutter Mat'#]]))</f>
        <v>415</v>
      </c>
      <c r="J398" s="294">
        <f t="shared" si="9"/>
        <v>0</v>
      </c>
      <c r="W398" s="294">
        <v>415</v>
      </c>
    </row>
    <row r="399" spans="2:23" ht="15.5" x14ac:dyDescent="0.25">
      <c r="B399" s="364" t="s">
        <v>884</v>
      </c>
      <c r="C399" s="364" t="s">
        <v>253</v>
      </c>
      <c r="D399" s="364" t="s">
        <v>51</v>
      </c>
      <c r="E399" s="304">
        <v>708306</v>
      </c>
      <c r="F399" s="8">
        <v>140</v>
      </c>
      <c r="G399" s="476">
        <v>45543</v>
      </c>
      <c r="H399" s="303" t="s">
        <v>958</v>
      </c>
      <c r="I399" s="294">
        <f>SUM(W399,SUMIFS('Cutters Consumption Updates'!$F:$F,'Cutters Consumption Updates'!$G:$G,"NEW",'Cutters Consumption Updates'!$J:$J,Table7[[#This Row],[PO'#]],'Cutters Consumption Updates'!$B:$B,Table7[[#This Row],[Cutter Mat'#]]))</f>
        <v>140</v>
      </c>
      <c r="J399" s="294">
        <f t="shared" si="9"/>
        <v>0</v>
      </c>
      <c r="W399" s="294">
        <v>140</v>
      </c>
    </row>
    <row r="400" spans="2:23" ht="15.5" x14ac:dyDescent="0.25">
      <c r="B400" s="364" t="s">
        <v>902</v>
      </c>
      <c r="C400" s="364"/>
      <c r="D400" s="364"/>
      <c r="E400" s="304">
        <v>1220554</v>
      </c>
      <c r="F400" s="8">
        <v>20</v>
      </c>
      <c r="G400" s="476">
        <v>45543</v>
      </c>
      <c r="H400" s="303" t="s">
        <v>958</v>
      </c>
      <c r="I400" s="294">
        <f>SUM(W400,SUMIFS('Cutters Consumption Updates'!$F:$F,'Cutters Consumption Updates'!$G:$G,"NEW",'Cutters Consumption Updates'!$J:$J,Table7[[#This Row],[PO'#]],'Cutters Consumption Updates'!$B:$B,Table7[[#This Row],[Cutter Mat'#]]))</f>
        <v>20</v>
      </c>
      <c r="J400" s="294">
        <f t="shared" si="9"/>
        <v>0</v>
      </c>
      <c r="W400" s="294">
        <v>20</v>
      </c>
    </row>
    <row r="401" spans="2:23" ht="15.5" x14ac:dyDescent="0.25">
      <c r="B401" s="364" t="s">
        <v>903</v>
      </c>
      <c r="C401" s="364"/>
      <c r="D401" s="364"/>
      <c r="E401" s="304">
        <v>1228501</v>
      </c>
      <c r="F401" s="8">
        <v>20</v>
      </c>
      <c r="G401" s="476">
        <v>45543</v>
      </c>
      <c r="H401" s="303" t="s">
        <v>958</v>
      </c>
      <c r="I401" s="294">
        <f>SUM(W401,SUMIFS('Cutters Consumption Updates'!$F:$F,'Cutters Consumption Updates'!$G:$G,"NEW",'Cutters Consumption Updates'!$J:$J,Table7[[#This Row],[PO'#]],'Cutters Consumption Updates'!$B:$B,Table7[[#This Row],[Cutter Mat'#]]))</f>
        <v>20</v>
      </c>
      <c r="J401" s="294">
        <f t="shared" si="9"/>
        <v>0</v>
      </c>
      <c r="W401" s="294">
        <v>20</v>
      </c>
    </row>
    <row r="402" spans="2:23" ht="15.5" x14ac:dyDescent="0.25">
      <c r="B402" s="364" t="s">
        <v>901</v>
      </c>
      <c r="C402" s="364" t="s">
        <v>170</v>
      </c>
      <c r="D402" s="364" t="s">
        <v>114</v>
      </c>
      <c r="E402" s="304">
        <v>1228502</v>
      </c>
      <c r="F402" s="8">
        <v>20</v>
      </c>
      <c r="G402" s="476">
        <v>45543</v>
      </c>
      <c r="H402" s="303" t="s">
        <v>958</v>
      </c>
      <c r="I402" s="294">
        <f>SUM(W402,SUMIFS('Cutters Consumption Updates'!$F:$F,'Cutters Consumption Updates'!$G:$G,"NEW",'Cutters Consumption Updates'!$J:$J,Table7[[#This Row],[PO'#]],'Cutters Consumption Updates'!$B:$B,Table7[[#This Row],[Cutter Mat'#]]))</f>
        <v>20</v>
      </c>
      <c r="J402" s="294">
        <f t="shared" si="9"/>
        <v>0</v>
      </c>
      <c r="W402" s="294">
        <v>20</v>
      </c>
    </row>
    <row r="403" spans="2:23" ht="15.5" x14ac:dyDescent="0.25">
      <c r="B403" s="364" t="s">
        <v>904</v>
      </c>
      <c r="C403" s="364"/>
      <c r="D403" s="364"/>
      <c r="E403" s="304">
        <v>1228503</v>
      </c>
      <c r="F403" s="8">
        <v>20</v>
      </c>
      <c r="G403" s="476">
        <v>45543</v>
      </c>
      <c r="H403" s="303" t="s">
        <v>958</v>
      </c>
      <c r="I403" s="294">
        <f>SUM(W403,SUMIFS('Cutters Consumption Updates'!$F:$F,'Cutters Consumption Updates'!$G:$G,"NEW",'Cutters Consumption Updates'!$J:$J,Table7[[#This Row],[PO'#]],'Cutters Consumption Updates'!$B:$B,Table7[[#This Row],[Cutter Mat'#]]))</f>
        <v>20</v>
      </c>
      <c r="J403" s="294">
        <f t="shared" si="9"/>
        <v>0</v>
      </c>
      <c r="W403" s="294">
        <v>20</v>
      </c>
    </row>
    <row r="404" spans="2:23" ht="15.5" x14ac:dyDescent="0.25">
      <c r="B404" s="364" t="s">
        <v>914</v>
      </c>
      <c r="C404" s="364" t="s">
        <v>170</v>
      </c>
      <c r="D404" s="364" t="s">
        <v>145</v>
      </c>
      <c r="E404" s="304">
        <v>1261320</v>
      </c>
      <c r="F404" s="8">
        <v>12</v>
      </c>
      <c r="G404" s="476">
        <v>45543</v>
      </c>
      <c r="H404" s="303" t="s">
        <v>958</v>
      </c>
      <c r="I404" s="294">
        <f>SUM(W404,SUMIFS('Cutters Consumption Updates'!$F:$F,'Cutters Consumption Updates'!$G:$G,"NEW",'Cutters Consumption Updates'!$J:$J,Table7[[#This Row],[PO'#]],'Cutters Consumption Updates'!$B:$B,Table7[[#This Row],[Cutter Mat'#]]))</f>
        <v>12</v>
      </c>
      <c r="J404" s="294">
        <f t="shared" si="9"/>
        <v>0</v>
      </c>
      <c r="W404" s="294">
        <v>12</v>
      </c>
    </row>
    <row r="405" spans="2:23" ht="15.5" x14ac:dyDescent="0.25">
      <c r="B405" s="364" t="s">
        <v>927</v>
      </c>
      <c r="C405" s="364" t="s">
        <v>170</v>
      </c>
      <c r="D405" s="364" t="s">
        <v>145</v>
      </c>
      <c r="E405" s="304">
        <v>1261321</v>
      </c>
      <c r="F405" s="8">
        <v>8</v>
      </c>
      <c r="G405" s="476">
        <v>45543</v>
      </c>
      <c r="H405" s="303" t="s">
        <v>958</v>
      </c>
      <c r="I405" s="294">
        <f>SUM(W405,SUMIFS('Cutters Consumption Updates'!$F:$F,'Cutters Consumption Updates'!$G:$G,"NEW",'Cutters Consumption Updates'!$J:$J,Table7[[#This Row],[PO'#]],'Cutters Consumption Updates'!$B:$B,Table7[[#This Row],[Cutter Mat'#]]))</f>
        <v>8</v>
      </c>
      <c r="J405" s="294">
        <f t="shared" si="9"/>
        <v>0</v>
      </c>
      <c r="W405" s="294">
        <v>8</v>
      </c>
    </row>
    <row r="406" spans="2:23" ht="15.5" x14ac:dyDescent="0.25">
      <c r="B406" s="364" t="s">
        <v>959</v>
      </c>
      <c r="C406" s="364" t="s">
        <v>109</v>
      </c>
      <c r="D406" s="364" t="s">
        <v>210</v>
      </c>
      <c r="E406" s="304">
        <v>1263823</v>
      </c>
      <c r="F406" s="8">
        <v>200</v>
      </c>
      <c r="G406" s="476">
        <v>45543</v>
      </c>
      <c r="H406" s="303" t="s">
        <v>958</v>
      </c>
      <c r="I406" s="294">
        <f>SUM(W406,SUMIFS('Cutters Consumption Updates'!$F:$F,'Cutters Consumption Updates'!$G:$G,"NEW",'Cutters Consumption Updates'!$J:$J,Table7[[#This Row],[PO'#]],'Cutters Consumption Updates'!$B:$B,Table7[[#This Row],[Cutter Mat'#]]))</f>
        <v>200</v>
      </c>
      <c r="J406" s="294">
        <f t="shared" si="9"/>
        <v>0</v>
      </c>
      <c r="W406" s="294">
        <v>200</v>
      </c>
    </row>
    <row r="407" spans="2:23" ht="15.5" x14ac:dyDescent="0.25">
      <c r="B407" s="364" t="s">
        <v>960</v>
      </c>
      <c r="C407" s="364" t="s">
        <v>103</v>
      </c>
      <c r="D407" s="364" t="s">
        <v>192</v>
      </c>
      <c r="E407" s="304">
        <v>179733</v>
      </c>
      <c r="F407" s="8">
        <v>50</v>
      </c>
      <c r="G407" s="476">
        <v>45543</v>
      </c>
      <c r="H407" s="303" t="s">
        <v>958</v>
      </c>
      <c r="I407" s="294">
        <f>SUM(W407,SUMIFS('Cutters Consumption Updates'!$F:$F,'Cutters Consumption Updates'!$G:$G,"NEW",'Cutters Consumption Updates'!$J:$J,Table7[[#This Row],[PO'#]],'Cutters Consumption Updates'!$B:$B,Table7[[#This Row],[Cutter Mat'#]]))</f>
        <v>50</v>
      </c>
      <c r="J407" s="294">
        <f t="shared" si="9"/>
        <v>0</v>
      </c>
      <c r="W407" s="294">
        <v>50</v>
      </c>
    </row>
    <row r="408" spans="2:23" ht="15.5" x14ac:dyDescent="0.25">
      <c r="B408" s="364" t="s">
        <v>961</v>
      </c>
      <c r="C408" s="364" t="s">
        <v>170</v>
      </c>
      <c r="D408" s="364" t="s">
        <v>111</v>
      </c>
      <c r="E408" s="304">
        <v>1146742</v>
      </c>
      <c r="F408" s="8">
        <v>25</v>
      </c>
      <c r="G408" s="476">
        <v>45555</v>
      </c>
      <c r="H408" s="303" t="s">
        <v>962</v>
      </c>
      <c r="I408" s="294">
        <f>SUM(W408,SUMIFS('Cutters Consumption Updates'!$F:$F,'Cutters Consumption Updates'!$G:$G,"NEW",'Cutters Consumption Updates'!$J:$J,Table7[[#This Row],[PO'#]],'Cutters Consumption Updates'!$B:$B,Table7[[#This Row],[Cutter Mat'#]]))</f>
        <v>25</v>
      </c>
      <c r="J408" s="294">
        <f t="shared" si="9"/>
        <v>0</v>
      </c>
      <c r="W408" s="294">
        <v>25</v>
      </c>
    </row>
    <row r="409" spans="2:23" ht="15.5" x14ac:dyDescent="0.25">
      <c r="B409" s="364" t="s">
        <v>963</v>
      </c>
      <c r="C409" s="364"/>
      <c r="D409" s="364"/>
      <c r="E409" s="304">
        <v>1186963</v>
      </c>
      <c r="F409" s="8">
        <v>5</v>
      </c>
      <c r="G409" s="476">
        <v>45477</v>
      </c>
      <c r="H409" s="303" t="s">
        <v>953</v>
      </c>
      <c r="I409" s="294">
        <f>SUM(W409,SUMIFS('Cutters Consumption Updates'!$F:$F,'Cutters Consumption Updates'!$G:$G,"NEW",'Cutters Consumption Updates'!$J:$J,Table7[[#This Row],[PO'#]],'Cutters Consumption Updates'!$B:$B,Table7[[#This Row],[Cutter Mat'#]]))</f>
        <v>5</v>
      </c>
      <c r="J409" s="294">
        <f t="shared" si="9"/>
        <v>0</v>
      </c>
      <c r="K409" t="s">
        <v>954</v>
      </c>
      <c r="W409" s="294">
        <v>5</v>
      </c>
    </row>
    <row r="410" spans="2:23" ht="15.5" x14ac:dyDescent="0.25">
      <c r="B410" s="364" t="s">
        <v>921</v>
      </c>
      <c r="C410" s="364" t="s">
        <v>253</v>
      </c>
      <c r="D410" s="364" t="s">
        <v>114</v>
      </c>
      <c r="E410" s="304">
        <v>1130193</v>
      </c>
      <c r="F410" s="8">
        <v>25</v>
      </c>
      <c r="G410" s="476">
        <v>45572</v>
      </c>
      <c r="H410" s="303" t="s">
        <v>964</v>
      </c>
      <c r="I410" s="294">
        <f>SUM(W410,SUMIFS('Cutters Consumption Updates'!$F:$F,'Cutters Consumption Updates'!$G:$G,"NEW",'Cutters Consumption Updates'!$J:$J,Table7[[#This Row],[PO'#]],'Cutters Consumption Updates'!$B:$B,Table7[[#This Row],[Cutter Mat'#]]))</f>
        <v>25</v>
      </c>
      <c r="J410" s="294">
        <f t="shared" si="9"/>
        <v>0</v>
      </c>
      <c r="W410" s="294">
        <v>25</v>
      </c>
    </row>
    <row r="411" spans="2:23" ht="15.5" x14ac:dyDescent="0.25">
      <c r="B411" s="364" t="s">
        <v>922</v>
      </c>
      <c r="C411" s="364" t="s">
        <v>253</v>
      </c>
      <c r="D411" s="364" t="s">
        <v>114</v>
      </c>
      <c r="E411" s="304">
        <v>1130194</v>
      </c>
      <c r="F411" s="8">
        <v>80</v>
      </c>
      <c r="G411" s="476">
        <v>45572</v>
      </c>
      <c r="H411" s="303" t="s">
        <v>964</v>
      </c>
      <c r="I411" s="294">
        <f>SUM(W411,SUMIFS('Cutters Consumption Updates'!$F:$F,'Cutters Consumption Updates'!$G:$G,"NEW",'Cutters Consumption Updates'!$J:$J,Table7[[#This Row],[PO'#]],'Cutters Consumption Updates'!$B:$B,Table7[[#This Row],[Cutter Mat'#]]))</f>
        <v>80</v>
      </c>
      <c r="J411" s="294">
        <f t="shared" si="9"/>
        <v>0</v>
      </c>
      <c r="W411" s="294">
        <v>80</v>
      </c>
    </row>
    <row r="412" spans="2:23" ht="15.5" x14ac:dyDescent="0.25">
      <c r="B412" s="364" t="s">
        <v>922</v>
      </c>
      <c r="C412" s="364" t="s">
        <v>253</v>
      </c>
      <c r="D412" s="364" t="s">
        <v>51</v>
      </c>
      <c r="E412" s="304">
        <v>717748</v>
      </c>
      <c r="F412" s="8">
        <v>40</v>
      </c>
      <c r="G412" s="476">
        <v>45572</v>
      </c>
      <c r="H412" s="303" t="s">
        <v>964</v>
      </c>
      <c r="I412" s="294">
        <f>SUM(W412,SUMIFS('Cutters Consumption Updates'!$F:$F,'Cutters Consumption Updates'!$G:$G,"NEW",'Cutters Consumption Updates'!$J:$J,Table7[[#This Row],[PO'#]],'Cutters Consumption Updates'!$B:$B,Table7[[#This Row],[Cutter Mat'#]]))</f>
        <v>40</v>
      </c>
      <c r="J412" s="294">
        <f t="shared" si="9"/>
        <v>0</v>
      </c>
      <c r="W412" s="294">
        <v>40</v>
      </c>
    </row>
    <row r="413" spans="2:23" ht="15.5" x14ac:dyDescent="0.25">
      <c r="B413" s="364" t="s">
        <v>201</v>
      </c>
      <c r="C413" s="364" t="s">
        <v>243</v>
      </c>
      <c r="D413" s="364" t="s">
        <v>965</v>
      </c>
      <c r="E413" s="304">
        <v>1201518</v>
      </c>
      <c r="F413" s="8">
        <v>15</v>
      </c>
      <c r="G413" s="476">
        <v>45572</v>
      </c>
      <c r="H413" s="303" t="s">
        <v>964</v>
      </c>
      <c r="I413" s="294">
        <f>SUM(W413,SUMIFS('Cutters Consumption Updates'!$F:$F,'Cutters Consumption Updates'!$G:$G,"NEW",'Cutters Consumption Updates'!$J:$J,Table7[[#This Row],[PO'#]],'Cutters Consumption Updates'!$B:$B,Table7[[#This Row],[Cutter Mat'#]]))</f>
        <v>15</v>
      </c>
      <c r="J413" s="294">
        <f t="shared" si="9"/>
        <v>0</v>
      </c>
      <c r="W413" s="294">
        <v>15</v>
      </c>
    </row>
    <row r="414" spans="2:23" ht="15.5" x14ac:dyDescent="0.25">
      <c r="B414" s="364" t="s">
        <v>910</v>
      </c>
      <c r="C414" s="364" t="s">
        <v>253</v>
      </c>
      <c r="D414" s="364" t="s">
        <v>242</v>
      </c>
      <c r="E414" s="304">
        <v>717751</v>
      </c>
      <c r="F414" s="8">
        <v>30</v>
      </c>
      <c r="G414" s="476">
        <v>45572</v>
      </c>
      <c r="H414" s="303" t="s">
        <v>964</v>
      </c>
      <c r="I414" s="294">
        <f>SUM(W414,SUMIFS('Cutters Consumption Updates'!$F:$F,'Cutters Consumption Updates'!$G:$G,"NEW",'Cutters Consumption Updates'!$J:$J,Table7[[#This Row],[PO'#]],'Cutters Consumption Updates'!$B:$B,Table7[[#This Row],[Cutter Mat'#]]))</f>
        <v>30</v>
      </c>
      <c r="J414" s="294">
        <f t="shared" si="9"/>
        <v>0</v>
      </c>
      <c r="W414" s="294">
        <v>30</v>
      </c>
    </row>
    <row r="415" spans="2:23" ht="15.5" x14ac:dyDescent="0.25">
      <c r="B415" s="364" t="s">
        <v>876</v>
      </c>
      <c r="C415" s="364" t="s">
        <v>248</v>
      </c>
      <c r="D415" s="364" t="s">
        <v>125</v>
      </c>
      <c r="E415" s="304">
        <v>1136984</v>
      </c>
      <c r="F415" s="8">
        <v>30</v>
      </c>
      <c r="G415" s="476">
        <v>45572</v>
      </c>
      <c r="H415" s="303" t="s">
        <v>964</v>
      </c>
      <c r="I415" s="294">
        <f>SUM(W415,SUMIFS('Cutters Consumption Updates'!$F:$F,'Cutters Consumption Updates'!$G:$G,"NEW",'Cutters Consumption Updates'!$J:$J,Table7[[#This Row],[PO'#]],'Cutters Consumption Updates'!$B:$B,Table7[[#This Row],[Cutter Mat'#]]))</f>
        <v>30</v>
      </c>
      <c r="J415" s="294">
        <f t="shared" si="9"/>
        <v>0</v>
      </c>
      <c r="W415" s="294">
        <v>30</v>
      </c>
    </row>
    <row r="416" spans="2:23" ht="15.5" x14ac:dyDescent="0.25">
      <c r="B416" s="364" t="s">
        <v>876</v>
      </c>
      <c r="C416" s="364" t="s">
        <v>248</v>
      </c>
      <c r="D416" s="364" t="s">
        <v>134</v>
      </c>
      <c r="E416" s="304">
        <v>1104083</v>
      </c>
      <c r="F416" s="8">
        <v>2</v>
      </c>
      <c r="G416" s="476">
        <v>45572</v>
      </c>
      <c r="H416" s="303" t="s">
        <v>964</v>
      </c>
      <c r="I416" s="294">
        <f>SUM(W416,SUMIFS('Cutters Consumption Updates'!$F:$F,'Cutters Consumption Updates'!$G:$G,"NEW",'Cutters Consumption Updates'!$J:$J,Table7[[#This Row],[PO'#]],'Cutters Consumption Updates'!$B:$B,Table7[[#This Row],[Cutter Mat'#]]))</f>
        <v>2</v>
      </c>
      <c r="J416" s="294">
        <f t="shared" si="9"/>
        <v>0</v>
      </c>
      <c r="W416" s="294">
        <v>2</v>
      </c>
    </row>
    <row r="417" spans="2:23" ht="15.5" x14ac:dyDescent="0.25">
      <c r="B417" s="364" t="s">
        <v>877</v>
      </c>
      <c r="C417" s="364" t="s">
        <v>253</v>
      </c>
      <c r="D417" s="364" t="s">
        <v>242</v>
      </c>
      <c r="E417" s="304">
        <v>871781</v>
      </c>
      <c r="F417" s="8">
        <v>60</v>
      </c>
      <c r="G417" s="476">
        <v>45572</v>
      </c>
      <c r="H417" s="303" t="s">
        <v>964</v>
      </c>
      <c r="I417" s="294">
        <f>SUM(W417,SUMIFS('Cutters Consumption Updates'!$F:$F,'Cutters Consumption Updates'!$G:$G,"NEW",'Cutters Consumption Updates'!$J:$J,Table7[[#This Row],[PO'#]],'Cutters Consumption Updates'!$B:$B,Table7[[#This Row],[Cutter Mat'#]]))</f>
        <v>60</v>
      </c>
      <c r="J417" s="294">
        <f t="shared" si="9"/>
        <v>0</v>
      </c>
      <c r="W417" s="294">
        <v>60</v>
      </c>
    </row>
    <row r="418" spans="2:23" ht="15.5" x14ac:dyDescent="0.25">
      <c r="B418" s="364" t="s">
        <v>899</v>
      </c>
      <c r="C418" s="364" t="s">
        <v>177</v>
      </c>
      <c r="D418" s="364" t="s">
        <v>111</v>
      </c>
      <c r="E418" s="304">
        <v>1146346</v>
      </c>
      <c r="F418" s="8">
        <v>30</v>
      </c>
      <c r="G418" s="476">
        <v>45572</v>
      </c>
      <c r="H418" s="303" t="s">
        <v>964</v>
      </c>
      <c r="I418" s="294">
        <f>SUM(W418,SUMIFS('Cutters Consumption Updates'!$F:$F,'Cutters Consumption Updates'!$G:$G,"NEW",'Cutters Consumption Updates'!$J:$J,Table7[[#This Row],[PO'#]],'Cutters Consumption Updates'!$B:$B,Table7[[#This Row],[Cutter Mat'#]]))</f>
        <v>30</v>
      </c>
      <c r="J418" s="294">
        <f t="shared" si="9"/>
        <v>0</v>
      </c>
      <c r="W418" s="294">
        <v>30</v>
      </c>
    </row>
    <row r="419" spans="2:23" ht="15.5" x14ac:dyDescent="0.25">
      <c r="B419" s="364" t="s">
        <v>879</v>
      </c>
      <c r="C419" s="364" t="s">
        <v>253</v>
      </c>
      <c r="D419" s="364" t="s">
        <v>242</v>
      </c>
      <c r="E419" s="304">
        <v>647435</v>
      </c>
      <c r="F419" s="8">
        <v>70</v>
      </c>
      <c r="G419" s="476">
        <v>45572</v>
      </c>
      <c r="H419" s="303" t="s">
        <v>964</v>
      </c>
      <c r="I419" s="294">
        <f>SUM(W419,SUMIFS('Cutters Consumption Updates'!$F:$F,'Cutters Consumption Updates'!$G:$G,"NEW",'Cutters Consumption Updates'!$J:$J,Table7[[#This Row],[PO'#]],'Cutters Consumption Updates'!$B:$B,Table7[[#This Row],[Cutter Mat'#]]))</f>
        <v>70</v>
      </c>
      <c r="J419" s="294">
        <f t="shared" si="9"/>
        <v>0</v>
      </c>
      <c r="W419" s="294">
        <v>70</v>
      </c>
    </row>
    <row r="420" spans="2:23" ht="15.5" x14ac:dyDescent="0.25">
      <c r="B420" s="364" t="s">
        <v>894</v>
      </c>
      <c r="C420" s="364" t="s">
        <v>177</v>
      </c>
      <c r="D420" s="364" t="s">
        <v>111</v>
      </c>
      <c r="E420" s="304">
        <v>1146737</v>
      </c>
      <c r="F420" s="8">
        <v>50</v>
      </c>
      <c r="G420" s="476">
        <v>45572</v>
      </c>
      <c r="H420" s="303" t="s">
        <v>964</v>
      </c>
      <c r="I420" s="294">
        <f>SUM(W420,SUMIFS('Cutters Consumption Updates'!$F:$F,'Cutters Consumption Updates'!$G:$G,"NEW",'Cutters Consumption Updates'!$J:$J,Table7[[#This Row],[PO'#]],'Cutters Consumption Updates'!$B:$B,Table7[[#This Row],[Cutter Mat'#]]))</f>
        <v>50</v>
      </c>
      <c r="J420" s="294">
        <f t="shared" si="9"/>
        <v>0</v>
      </c>
      <c r="W420" s="294">
        <v>50</v>
      </c>
    </row>
    <row r="421" spans="2:23" ht="15.5" x14ac:dyDescent="0.25">
      <c r="B421" s="364" t="s">
        <v>266</v>
      </c>
      <c r="C421" s="364" t="s">
        <v>103</v>
      </c>
      <c r="D421" s="364" t="s">
        <v>267</v>
      </c>
      <c r="E421" s="304">
        <v>1101509</v>
      </c>
      <c r="F421" s="8">
        <v>10</v>
      </c>
      <c r="G421" s="476">
        <v>45574</v>
      </c>
      <c r="H421" s="303" t="s">
        <v>966</v>
      </c>
      <c r="I421" s="294">
        <f>SUM(W421,SUMIFS('Cutters Consumption Updates'!$F:$F,'Cutters Consumption Updates'!$G:$G,"NEW",'Cutters Consumption Updates'!$J:$J,Table7[[#This Row],[PO'#]],'Cutters Consumption Updates'!$B:$B,Table7[[#This Row],[Cutter Mat'#]]))</f>
        <v>10</v>
      </c>
      <c r="J421" s="294">
        <f t="shared" si="9"/>
        <v>0</v>
      </c>
      <c r="W421" s="294">
        <v>10</v>
      </c>
    </row>
    <row r="422" spans="2:23" ht="15.5" x14ac:dyDescent="0.25">
      <c r="B422" s="364" t="s">
        <v>902</v>
      </c>
      <c r="C422" s="364"/>
      <c r="D422" s="364"/>
      <c r="E422" s="304">
        <v>1220554</v>
      </c>
      <c r="F422" s="8">
        <v>70</v>
      </c>
      <c r="G422" s="476">
        <v>45572</v>
      </c>
      <c r="H422" s="303" t="s">
        <v>964</v>
      </c>
      <c r="I422" s="294">
        <f>SUM(W422,SUMIFS('Cutters Consumption Updates'!$F:$F,'Cutters Consumption Updates'!$G:$G,"NEW",'Cutters Consumption Updates'!$J:$J,Table7[[#This Row],[PO'#]],'Cutters Consumption Updates'!$B:$B,Table7[[#This Row],[Cutter Mat'#]]))</f>
        <v>70</v>
      </c>
      <c r="J422" s="294">
        <f t="shared" si="9"/>
        <v>0</v>
      </c>
      <c r="W422" s="294">
        <v>70</v>
      </c>
    </row>
    <row r="423" spans="2:23" ht="15.5" x14ac:dyDescent="0.25">
      <c r="B423" s="364" t="s">
        <v>903</v>
      </c>
      <c r="C423" s="364"/>
      <c r="D423" s="364"/>
      <c r="E423" s="304">
        <v>1228501</v>
      </c>
      <c r="F423" s="8">
        <v>70</v>
      </c>
      <c r="G423" s="476">
        <v>45572</v>
      </c>
      <c r="H423" s="303" t="s">
        <v>964</v>
      </c>
      <c r="I423" s="294">
        <f>SUM(W423,SUMIFS('Cutters Consumption Updates'!$F:$F,'Cutters Consumption Updates'!$G:$G,"NEW",'Cutters Consumption Updates'!$J:$J,Table7[[#This Row],[PO'#]],'Cutters Consumption Updates'!$B:$B,Table7[[#This Row],[Cutter Mat'#]]))</f>
        <v>70</v>
      </c>
      <c r="J423" s="294">
        <f t="shared" si="9"/>
        <v>0</v>
      </c>
      <c r="W423" s="294">
        <v>70</v>
      </c>
    </row>
    <row r="424" spans="2:23" ht="15.5" x14ac:dyDescent="0.25">
      <c r="B424" s="364" t="s">
        <v>901</v>
      </c>
      <c r="C424" s="364" t="s">
        <v>170</v>
      </c>
      <c r="D424" s="364" t="s">
        <v>114</v>
      </c>
      <c r="E424" s="304">
        <v>1228502</v>
      </c>
      <c r="F424" s="8">
        <v>70</v>
      </c>
      <c r="G424" s="476">
        <v>45572</v>
      </c>
      <c r="H424" s="303" t="s">
        <v>964</v>
      </c>
      <c r="I424" s="294">
        <f>SUM(W424,SUMIFS('Cutters Consumption Updates'!$F:$F,'Cutters Consumption Updates'!$G:$G,"NEW",'Cutters Consumption Updates'!$J:$J,Table7[[#This Row],[PO'#]],'Cutters Consumption Updates'!$B:$B,Table7[[#This Row],[Cutter Mat'#]]))</f>
        <v>70</v>
      </c>
      <c r="J424" s="294">
        <f t="shared" si="9"/>
        <v>0</v>
      </c>
      <c r="W424" s="294">
        <v>70</v>
      </c>
    </row>
    <row r="425" spans="2:23" ht="15.5" x14ac:dyDescent="0.25">
      <c r="B425" s="364" t="s">
        <v>904</v>
      </c>
      <c r="C425" s="364"/>
      <c r="D425" s="364"/>
      <c r="E425" s="304">
        <v>1228503</v>
      </c>
      <c r="F425" s="8">
        <v>70</v>
      </c>
      <c r="G425" s="476">
        <v>45572</v>
      </c>
      <c r="H425" s="303" t="s">
        <v>964</v>
      </c>
      <c r="I425" s="294">
        <f>SUM(W425,SUMIFS('Cutters Consumption Updates'!$F:$F,'Cutters Consumption Updates'!$G:$G,"NEW",'Cutters Consumption Updates'!$J:$J,Table7[[#This Row],[PO'#]],'Cutters Consumption Updates'!$B:$B,Table7[[#This Row],[Cutter Mat'#]]))</f>
        <v>70</v>
      </c>
      <c r="J425" s="294">
        <f t="shared" si="9"/>
        <v>0</v>
      </c>
      <c r="W425" s="294">
        <v>70</v>
      </c>
    </row>
    <row r="426" spans="2:23" ht="15.5" x14ac:dyDescent="0.25">
      <c r="B426" s="364" t="s">
        <v>913</v>
      </c>
      <c r="C426" s="364" t="s">
        <v>170</v>
      </c>
      <c r="D426" s="364" t="s">
        <v>145</v>
      </c>
      <c r="E426" s="304">
        <v>1261319</v>
      </c>
      <c r="F426" s="8">
        <v>50</v>
      </c>
      <c r="G426" s="476">
        <v>45572</v>
      </c>
      <c r="H426" s="303" t="s">
        <v>964</v>
      </c>
      <c r="I426" s="294">
        <f>SUM(W426,SUMIFS('Cutters Consumption Updates'!$F:$F,'Cutters Consumption Updates'!$G:$G,"NEW",'Cutters Consumption Updates'!$J:$J,Table7[[#This Row],[PO'#]],'Cutters Consumption Updates'!$B:$B,Table7[[#This Row],[Cutter Mat'#]]))</f>
        <v>50</v>
      </c>
      <c r="J426" s="294">
        <f t="shared" si="9"/>
        <v>0</v>
      </c>
      <c r="W426" s="294">
        <v>50</v>
      </c>
    </row>
    <row r="427" spans="2:23" ht="15.5" x14ac:dyDescent="0.25">
      <c r="B427" s="364" t="s">
        <v>927</v>
      </c>
      <c r="C427" s="364" t="s">
        <v>170</v>
      </c>
      <c r="D427" s="364" t="s">
        <v>153</v>
      </c>
      <c r="E427" s="304">
        <v>1255773</v>
      </c>
      <c r="F427" s="8">
        <v>50</v>
      </c>
      <c r="G427" s="476">
        <v>45572</v>
      </c>
      <c r="H427" s="303" t="s">
        <v>964</v>
      </c>
      <c r="I427" s="294">
        <f>SUM(W427,SUMIFS('Cutters Consumption Updates'!$F:$F,'Cutters Consumption Updates'!$G:$G,"NEW",'Cutters Consumption Updates'!$J:$J,Table7[[#This Row],[PO'#]],'Cutters Consumption Updates'!$B:$B,Table7[[#This Row],[Cutter Mat'#]]))</f>
        <v>50</v>
      </c>
      <c r="J427" s="294">
        <f t="shared" si="9"/>
        <v>0</v>
      </c>
      <c r="W427" s="294">
        <f>22+16</f>
        <v>38</v>
      </c>
    </row>
    <row r="428" spans="2:23" ht="15.5" x14ac:dyDescent="0.25">
      <c r="B428" s="364" t="s">
        <v>894</v>
      </c>
      <c r="C428" s="364" t="s">
        <v>177</v>
      </c>
      <c r="D428" s="364" t="s">
        <v>214</v>
      </c>
      <c r="E428" s="304">
        <v>1288783</v>
      </c>
      <c r="F428" s="8">
        <v>110</v>
      </c>
      <c r="G428" s="476">
        <v>45587</v>
      </c>
      <c r="H428" s="303" t="s">
        <v>967</v>
      </c>
      <c r="I428" s="294">
        <f>SUM(W428,SUMIFS('Cutters Consumption Updates'!$F:$F,'Cutters Consumption Updates'!$G:$G,"NEW",'Cutters Consumption Updates'!$J:$J,Table7[[#This Row],[PO'#]],'Cutters Consumption Updates'!$B:$B,Table7[[#This Row],[Cutter Mat'#]]))</f>
        <v>110</v>
      </c>
      <c r="J428" s="294">
        <f t="shared" si="9"/>
        <v>0</v>
      </c>
      <c r="W428" s="294">
        <v>110</v>
      </c>
    </row>
    <row r="429" spans="2:23" ht="15.5" x14ac:dyDescent="0.25">
      <c r="B429" s="364" t="s">
        <v>913</v>
      </c>
      <c r="C429" s="364" t="s">
        <v>170</v>
      </c>
      <c r="D429" s="364" t="s">
        <v>215</v>
      </c>
      <c r="E429" s="304">
        <v>2002243</v>
      </c>
      <c r="F429" s="8">
        <v>60</v>
      </c>
      <c r="G429" s="476">
        <v>45587</v>
      </c>
      <c r="H429" s="303" t="s">
        <v>967</v>
      </c>
      <c r="I429" s="294">
        <f>SUM(W429,SUMIFS('Cutters Consumption Updates'!$F:$F,'Cutters Consumption Updates'!$G:$G,"NEW",'Cutters Consumption Updates'!$J:$J,Table7[[#This Row],[PO'#]],'Cutters Consumption Updates'!$B:$B,Table7[[#This Row],[Cutter Mat'#]]))</f>
        <v>60</v>
      </c>
      <c r="J429" s="294">
        <f t="shared" si="9"/>
        <v>0</v>
      </c>
      <c r="W429" s="294"/>
    </row>
    <row r="430" spans="2:23" ht="15.5" x14ac:dyDescent="0.25">
      <c r="B430" s="364" t="s">
        <v>927</v>
      </c>
      <c r="C430" s="364" t="s">
        <v>170</v>
      </c>
      <c r="D430" s="364" t="s">
        <v>153</v>
      </c>
      <c r="E430" s="304">
        <v>1255773</v>
      </c>
      <c r="F430" s="8">
        <v>50</v>
      </c>
      <c r="G430" s="476">
        <v>45587</v>
      </c>
      <c r="H430" s="303" t="s">
        <v>967</v>
      </c>
      <c r="I430" s="294">
        <f>SUM(W430,SUMIFS('Cutters Consumption Updates'!$F:$F,'Cutters Consumption Updates'!$G:$G,"NEW",'Cutters Consumption Updates'!$J:$J,Table7[[#This Row],[PO'#]],'Cutters Consumption Updates'!$B:$B,Table7[[#This Row],[Cutter Mat'#]]))</f>
        <v>50</v>
      </c>
      <c r="J430" s="294">
        <f t="shared" si="9"/>
        <v>0</v>
      </c>
      <c r="W430" s="294">
        <v>0</v>
      </c>
    </row>
    <row r="431" spans="2:23" ht="15.5" x14ac:dyDescent="0.25">
      <c r="B431" s="364" t="s">
        <v>968</v>
      </c>
      <c r="C431" s="364" t="s">
        <v>969</v>
      </c>
      <c r="D431" s="364" t="s">
        <v>195</v>
      </c>
      <c r="E431" s="304">
        <v>1266417</v>
      </c>
      <c r="F431" s="8">
        <v>21</v>
      </c>
      <c r="G431" s="476">
        <v>45586</v>
      </c>
      <c r="H431" s="303" t="s">
        <v>970</v>
      </c>
      <c r="I431" s="294">
        <f>SUM(W431,SUMIFS('Cutters Consumption Updates'!$F:$F,'Cutters Consumption Updates'!$G:$G,"NEW",'Cutters Consumption Updates'!$J:$J,Table7[[#This Row],[PO'#]],'Cutters Consumption Updates'!$B:$B,Table7[[#This Row],[Cutter Mat'#]]))</f>
        <v>21</v>
      </c>
      <c r="J431" s="294">
        <f t="shared" si="9"/>
        <v>0</v>
      </c>
      <c r="W431" s="294">
        <v>21</v>
      </c>
    </row>
    <row r="432" spans="2:23" ht="15.5" x14ac:dyDescent="0.25">
      <c r="B432" s="364" t="s">
        <v>876</v>
      </c>
      <c r="C432" s="364" t="s">
        <v>248</v>
      </c>
      <c r="D432" s="364" t="s">
        <v>125</v>
      </c>
      <c r="E432" s="304">
        <v>1136984</v>
      </c>
      <c r="F432" s="362">
        <v>50</v>
      </c>
      <c r="G432" s="476">
        <v>45594</v>
      </c>
      <c r="H432" s="303" t="s">
        <v>971</v>
      </c>
      <c r="I432" s="294">
        <f>SUM(W432,SUMIFS('Cutters Consumption Updates'!$F:$F,'Cutters Consumption Updates'!$G:$G,"NEW",'Cutters Consumption Updates'!$J:$J,Table7[[#This Row],[PO'#]],'Cutters Consumption Updates'!$B:$B,Table7[[#This Row],[Cutter Mat'#]]))</f>
        <v>50</v>
      </c>
      <c r="J432" s="294">
        <f t="shared" si="9"/>
        <v>0</v>
      </c>
      <c r="W432" s="294">
        <v>50</v>
      </c>
    </row>
    <row r="433" spans="1:23" ht="15.5" x14ac:dyDescent="0.25">
      <c r="A433" s="545"/>
      <c r="B433" s="542">
        <v>1308</v>
      </c>
      <c r="C433" s="542" t="s">
        <v>65</v>
      </c>
      <c r="D433" s="542" t="s">
        <v>71</v>
      </c>
      <c r="E433" s="543">
        <v>418525</v>
      </c>
      <c r="F433" s="544">
        <v>100</v>
      </c>
      <c r="G433" s="476">
        <v>45601</v>
      </c>
      <c r="H433" s="303" t="s">
        <v>972</v>
      </c>
      <c r="I433" s="294">
        <f>SUM(W433,SUMIFS('Cutters Consumption Updates'!$F:$F,'Cutters Consumption Updates'!$G:$G,"NEW",'Cutters Consumption Updates'!$J:$J,Table7[[#This Row],[PO'#]],'Cutters Consumption Updates'!$B:$B,Table7[[#This Row],[Cutter Mat'#]]))</f>
        <v>100</v>
      </c>
      <c r="J433" s="294">
        <f t="shared" si="9"/>
        <v>0</v>
      </c>
      <c r="W433" s="294">
        <v>100</v>
      </c>
    </row>
    <row r="434" spans="1:23" ht="15.5" x14ac:dyDescent="0.25">
      <c r="A434" s="545"/>
      <c r="B434" s="542">
        <v>1308</v>
      </c>
      <c r="C434" s="542" t="s">
        <v>65</v>
      </c>
      <c r="D434" s="542" t="s">
        <v>71</v>
      </c>
      <c r="E434" s="543">
        <v>410851</v>
      </c>
      <c r="F434" s="544">
        <v>139</v>
      </c>
      <c r="G434" s="476">
        <v>45601</v>
      </c>
      <c r="H434" s="303" t="s">
        <v>972</v>
      </c>
      <c r="I434" s="294">
        <f>SUM(W434,SUMIFS('Cutters Consumption Updates'!$F:$F,'Cutters Consumption Updates'!$G:$G,"NEW",'Cutters Consumption Updates'!$J:$J,Table7[[#This Row],[PO'#]],'Cutters Consumption Updates'!$B:$B,Table7[[#This Row],[Cutter Mat'#]]))</f>
        <v>139</v>
      </c>
      <c r="J434" s="294">
        <f t="shared" si="9"/>
        <v>0</v>
      </c>
      <c r="W434" s="294">
        <v>139</v>
      </c>
    </row>
    <row r="435" spans="1:23" ht="15.5" x14ac:dyDescent="0.25">
      <c r="A435" s="545"/>
      <c r="B435" s="542" t="s">
        <v>935</v>
      </c>
      <c r="C435" s="542" t="s">
        <v>231</v>
      </c>
      <c r="D435" s="542" t="s">
        <v>53</v>
      </c>
      <c r="E435" s="543">
        <v>882800</v>
      </c>
      <c r="F435" s="544">
        <v>40</v>
      </c>
      <c r="G435" s="476">
        <v>45601</v>
      </c>
      <c r="H435" s="303" t="s">
        <v>972</v>
      </c>
      <c r="I435" s="294">
        <f>SUM(W435,SUMIFS('Cutters Consumption Updates'!$F:$F,'Cutters Consumption Updates'!$G:$G,"NEW",'Cutters Consumption Updates'!$J:$J,Table7[[#This Row],[PO'#]],'Cutters Consumption Updates'!$B:$B,Table7[[#This Row],[Cutter Mat'#]]))</f>
        <v>40</v>
      </c>
      <c r="J435" s="294">
        <f t="shared" si="9"/>
        <v>0</v>
      </c>
      <c r="W435" s="294">
        <v>40</v>
      </c>
    </row>
    <row r="436" spans="1:23" ht="15.5" x14ac:dyDescent="0.25">
      <c r="A436" s="545"/>
      <c r="B436" s="542" t="s">
        <v>921</v>
      </c>
      <c r="C436" s="542" t="s">
        <v>253</v>
      </c>
      <c r="D436" s="542" t="s">
        <v>51</v>
      </c>
      <c r="E436" s="543">
        <v>773384</v>
      </c>
      <c r="F436" s="544">
        <v>40</v>
      </c>
      <c r="G436" s="476">
        <v>45601</v>
      </c>
      <c r="H436" s="303" t="s">
        <v>972</v>
      </c>
      <c r="I436" s="294">
        <f>SUM(W436,SUMIFS('Cutters Consumption Updates'!$F:$F,'Cutters Consumption Updates'!$G:$G,"NEW",'Cutters Consumption Updates'!$J:$J,Table7[[#This Row],[PO'#]],'Cutters Consumption Updates'!$B:$B,Table7[[#This Row],[Cutter Mat'#]]))</f>
        <v>40</v>
      </c>
      <c r="J436" s="294">
        <f t="shared" si="9"/>
        <v>0</v>
      </c>
      <c r="W436" s="294">
        <v>40</v>
      </c>
    </row>
    <row r="437" spans="1:23" ht="15.5" x14ac:dyDescent="0.25">
      <c r="A437" s="545"/>
      <c r="B437" s="542" t="s">
        <v>922</v>
      </c>
      <c r="C437" s="542" t="s">
        <v>253</v>
      </c>
      <c r="D437" s="542" t="s">
        <v>51</v>
      </c>
      <c r="E437" s="543">
        <v>717748</v>
      </c>
      <c r="F437" s="544">
        <v>110</v>
      </c>
      <c r="G437" s="476">
        <v>45601</v>
      </c>
      <c r="H437" s="303" t="s">
        <v>972</v>
      </c>
      <c r="I437" s="294">
        <f>SUM(W437,SUMIFS('Cutters Consumption Updates'!$F:$F,'Cutters Consumption Updates'!$G:$G,"NEW",'Cutters Consumption Updates'!$J:$J,Table7[[#This Row],[PO'#]],'Cutters Consumption Updates'!$B:$B,Table7[[#This Row],[Cutter Mat'#]]))</f>
        <v>110</v>
      </c>
      <c r="J437" s="294">
        <f t="shared" si="9"/>
        <v>0</v>
      </c>
      <c r="W437" s="294">
        <v>110</v>
      </c>
    </row>
    <row r="438" spans="1:23" ht="15.5" x14ac:dyDescent="0.25">
      <c r="A438" s="545"/>
      <c r="B438" s="542" t="s">
        <v>973</v>
      </c>
      <c r="C438" s="542" t="s">
        <v>35</v>
      </c>
      <c r="D438" s="542" t="s">
        <v>103</v>
      </c>
      <c r="E438" s="543">
        <v>625854</v>
      </c>
      <c r="F438" s="544">
        <v>10</v>
      </c>
      <c r="G438" s="476">
        <v>45601</v>
      </c>
      <c r="H438" s="303" t="s">
        <v>972</v>
      </c>
      <c r="I438" s="294">
        <f>SUM(W438,SUMIFS('Cutters Consumption Updates'!$F:$F,'Cutters Consumption Updates'!$G:$G,"NEW",'Cutters Consumption Updates'!$J:$J,Table7[[#This Row],[PO'#]],'Cutters Consumption Updates'!$B:$B,Table7[[#This Row],[Cutter Mat'#]]))</f>
        <v>10</v>
      </c>
      <c r="J438" s="294">
        <f t="shared" si="9"/>
        <v>0</v>
      </c>
      <c r="W438" s="294">
        <v>10</v>
      </c>
    </row>
    <row r="439" spans="1:23" ht="15.5" x14ac:dyDescent="0.25">
      <c r="A439" s="545"/>
      <c r="B439" s="542" t="s">
        <v>877</v>
      </c>
      <c r="C439" s="542" t="s">
        <v>253</v>
      </c>
      <c r="D439" s="542" t="s">
        <v>242</v>
      </c>
      <c r="E439" s="543">
        <v>871781</v>
      </c>
      <c r="F439" s="544">
        <v>147</v>
      </c>
      <c r="G439" s="476">
        <v>45601</v>
      </c>
      <c r="H439" s="303" t="s">
        <v>972</v>
      </c>
      <c r="I439" s="294">
        <f>SUM(W439,SUMIFS('Cutters Consumption Updates'!$F:$F,'Cutters Consumption Updates'!$G:$G,"NEW",'Cutters Consumption Updates'!$J:$J,Table7[[#This Row],[PO'#]],'Cutters Consumption Updates'!$B:$B,Table7[[#This Row],[Cutter Mat'#]]))</f>
        <v>147</v>
      </c>
      <c r="J439" s="294">
        <f t="shared" si="9"/>
        <v>0</v>
      </c>
      <c r="W439" s="294">
        <v>147</v>
      </c>
    </row>
    <row r="440" spans="1:23" ht="15.5" x14ac:dyDescent="0.25">
      <c r="A440" s="545"/>
      <c r="B440" s="542" t="s">
        <v>38</v>
      </c>
      <c r="C440" s="542" t="s">
        <v>103</v>
      </c>
      <c r="D440" s="542" t="s">
        <v>192</v>
      </c>
      <c r="E440" s="543">
        <v>179734</v>
      </c>
      <c r="F440" s="544">
        <v>80</v>
      </c>
      <c r="G440" s="476">
        <v>45601</v>
      </c>
      <c r="H440" s="303" t="s">
        <v>972</v>
      </c>
      <c r="I440" s="294">
        <f>SUM(W440,SUMIFS('Cutters Consumption Updates'!$F:$F,'Cutters Consumption Updates'!$G:$G,"NEW",'Cutters Consumption Updates'!$J:$J,Table7[[#This Row],[PO'#]],'Cutters Consumption Updates'!$B:$B,Table7[[#This Row],[Cutter Mat'#]]))</f>
        <v>80</v>
      </c>
      <c r="J440" s="294">
        <f t="shared" si="9"/>
        <v>0</v>
      </c>
      <c r="W440" s="294">
        <v>80</v>
      </c>
    </row>
    <row r="441" spans="1:23" ht="15.5" x14ac:dyDescent="0.25">
      <c r="A441" s="545"/>
      <c r="B441" s="542" t="s">
        <v>881</v>
      </c>
      <c r="C441" s="542" t="s">
        <v>170</v>
      </c>
      <c r="D441" s="542" t="s">
        <v>111</v>
      </c>
      <c r="E441" s="543">
        <v>1208601</v>
      </c>
      <c r="F441" s="544">
        <v>45</v>
      </c>
      <c r="G441" s="476">
        <v>45601</v>
      </c>
      <c r="H441" s="303" t="s">
        <v>972</v>
      </c>
      <c r="I441" s="294">
        <f>SUM(W441,SUMIFS('Cutters Consumption Updates'!$F:$F,'Cutters Consumption Updates'!$G:$G,"NEW",'Cutters Consumption Updates'!$J:$J,Table7[[#This Row],[PO'#]],'Cutters Consumption Updates'!$B:$B,Table7[[#This Row],[Cutter Mat'#]]))</f>
        <v>45</v>
      </c>
      <c r="J441" s="294">
        <f t="shared" si="9"/>
        <v>0</v>
      </c>
      <c r="W441" s="294">
        <v>45</v>
      </c>
    </row>
    <row r="442" spans="1:23" ht="15.5" x14ac:dyDescent="0.25">
      <c r="A442" s="545"/>
      <c r="B442" s="542" t="s">
        <v>902</v>
      </c>
      <c r="C442" s="542"/>
      <c r="D442" s="542"/>
      <c r="E442" s="543">
        <v>1220554</v>
      </c>
      <c r="F442" s="544">
        <v>50</v>
      </c>
      <c r="G442" s="476">
        <v>45601</v>
      </c>
      <c r="H442" s="303" t="s">
        <v>972</v>
      </c>
      <c r="I442" s="294">
        <f>SUM(W442,SUMIFS('Cutters Consumption Updates'!$F:$F,'Cutters Consumption Updates'!$G:$G,"NEW",'Cutters Consumption Updates'!$J:$J,Table7[[#This Row],[PO'#]],'Cutters Consumption Updates'!$B:$B,Table7[[#This Row],[Cutter Mat'#]]))</f>
        <v>50</v>
      </c>
      <c r="J442" s="294">
        <f t="shared" si="9"/>
        <v>0</v>
      </c>
      <c r="W442" s="294">
        <v>50</v>
      </c>
    </row>
    <row r="443" spans="1:23" ht="15.5" x14ac:dyDescent="0.25">
      <c r="A443" s="545"/>
      <c r="B443" s="542" t="s">
        <v>903</v>
      </c>
      <c r="C443" s="542"/>
      <c r="D443" s="542"/>
      <c r="E443" s="543">
        <v>1228501</v>
      </c>
      <c r="F443" s="544">
        <v>50</v>
      </c>
      <c r="G443" s="476">
        <v>45601</v>
      </c>
      <c r="H443" s="303" t="s">
        <v>972</v>
      </c>
      <c r="I443" s="294">
        <f>SUM(W443,SUMIFS('Cutters Consumption Updates'!$F:$F,'Cutters Consumption Updates'!$G:$G,"NEW",'Cutters Consumption Updates'!$J:$J,Table7[[#This Row],[PO'#]],'Cutters Consumption Updates'!$B:$B,Table7[[#This Row],[Cutter Mat'#]]))</f>
        <v>50</v>
      </c>
      <c r="J443" s="294">
        <f t="shared" si="9"/>
        <v>0</v>
      </c>
      <c r="W443" s="294">
        <v>50</v>
      </c>
    </row>
    <row r="444" spans="1:23" ht="15.5" x14ac:dyDescent="0.25">
      <c r="A444" s="545"/>
      <c r="B444" s="542" t="s">
        <v>901</v>
      </c>
      <c r="C444" s="542" t="s">
        <v>170</v>
      </c>
      <c r="D444" s="542" t="s">
        <v>114</v>
      </c>
      <c r="E444" s="543">
        <v>1228502</v>
      </c>
      <c r="F444" s="544">
        <v>50</v>
      </c>
      <c r="G444" s="476">
        <v>45601</v>
      </c>
      <c r="H444" s="303" t="s">
        <v>972</v>
      </c>
      <c r="I444" s="294">
        <f>SUM(W444,SUMIFS('Cutters Consumption Updates'!$F:$F,'Cutters Consumption Updates'!$G:$G,"NEW",'Cutters Consumption Updates'!$J:$J,Table7[[#This Row],[PO'#]],'Cutters Consumption Updates'!$B:$B,Table7[[#This Row],[Cutter Mat'#]]))</f>
        <v>50</v>
      </c>
      <c r="J444" s="294">
        <f t="shared" si="9"/>
        <v>0</v>
      </c>
      <c r="W444" s="294">
        <v>50</v>
      </c>
    </row>
    <row r="445" spans="1:23" ht="15.5" x14ac:dyDescent="0.25">
      <c r="A445" s="545"/>
      <c r="B445" s="542" t="s">
        <v>904</v>
      </c>
      <c r="C445" s="542"/>
      <c r="D445" s="542"/>
      <c r="E445" s="543">
        <v>1228503</v>
      </c>
      <c r="F445" s="544">
        <v>50</v>
      </c>
      <c r="G445" s="476">
        <v>45601</v>
      </c>
      <c r="H445" s="303" t="s">
        <v>972</v>
      </c>
      <c r="I445" s="294">
        <f>SUM(W445,SUMIFS('Cutters Consumption Updates'!$F:$F,'Cutters Consumption Updates'!$G:$G,"NEW",'Cutters Consumption Updates'!$J:$J,Table7[[#This Row],[PO'#]],'Cutters Consumption Updates'!$B:$B,Table7[[#This Row],[Cutter Mat'#]]))</f>
        <v>50</v>
      </c>
      <c r="J445" s="294">
        <f t="shared" si="9"/>
        <v>0</v>
      </c>
      <c r="W445" s="294">
        <v>50</v>
      </c>
    </row>
    <row r="446" spans="1:23" ht="15.5" x14ac:dyDescent="0.25">
      <c r="A446" s="545"/>
      <c r="B446" s="542" t="s">
        <v>913</v>
      </c>
      <c r="C446" s="542" t="s">
        <v>170</v>
      </c>
      <c r="D446" s="542" t="s">
        <v>145</v>
      </c>
      <c r="E446" s="543">
        <v>1261319</v>
      </c>
      <c r="F446" s="544">
        <v>120</v>
      </c>
      <c r="G446" s="476">
        <v>45601</v>
      </c>
      <c r="H446" s="303" t="s">
        <v>972</v>
      </c>
      <c r="I446" s="294">
        <f>SUM(W446,SUMIFS('Cutters Consumption Updates'!$F:$F,'Cutters Consumption Updates'!$G:$G,"NEW",'Cutters Consumption Updates'!$J:$J,Table7[[#This Row],[PO'#]],'Cutters Consumption Updates'!$B:$B,Table7[[#This Row],[Cutter Mat'#]]))</f>
        <v>120</v>
      </c>
      <c r="J446" s="294">
        <f t="shared" si="9"/>
        <v>0</v>
      </c>
      <c r="W446" s="294">
        <v>84</v>
      </c>
    </row>
    <row r="447" spans="1:23" ht="15.5" x14ac:dyDescent="0.25">
      <c r="A447" s="545"/>
      <c r="B447" s="542" t="s">
        <v>914</v>
      </c>
      <c r="C447" s="542" t="s">
        <v>170</v>
      </c>
      <c r="D447" s="542" t="s">
        <v>145</v>
      </c>
      <c r="E447" s="543">
        <v>1261320</v>
      </c>
      <c r="F447" s="544">
        <v>30</v>
      </c>
      <c r="G447" s="476">
        <v>45601</v>
      </c>
      <c r="H447" s="303" t="s">
        <v>972</v>
      </c>
      <c r="I447" s="294">
        <f>SUM(W447,SUMIFS('Cutters Consumption Updates'!$F:$F,'Cutters Consumption Updates'!$G:$G,"NEW",'Cutters Consumption Updates'!$J:$J,Table7[[#This Row],[PO'#]],'Cutters Consumption Updates'!$B:$B,Table7[[#This Row],[Cutter Mat'#]]))</f>
        <v>30</v>
      </c>
      <c r="J447" s="294">
        <f t="shared" si="9"/>
        <v>0</v>
      </c>
      <c r="W447" s="294">
        <v>30</v>
      </c>
    </row>
    <row r="448" spans="1:23" ht="15.5" x14ac:dyDescent="0.25">
      <c r="A448" s="545"/>
      <c r="B448" s="542" t="s">
        <v>927</v>
      </c>
      <c r="C448" s="542" t="s">
        <v>170</v>
      </c>
      <c r="D448" s="542" t="s">
        <v>145</v>
      </c>
      <c r="E448" s="543">
        <v>1261321</v>
      </c>
      <c r="F448" s="544">
        <v>20</v>
      </c>
      <c r="G448" s="476">
        <v>45601</v>
      </c>
      <c r="H448" s="303" t="s">
        <v>972</v>
      </c>
      <c r="I448" s="294">
        <f>SUM(W448,SUMIFS('Cutters Consumption Updates'!$F:$F,'Cutters Consumption Updates'!$G:$G,"NEW",'Cutters Consumption Updates'!$J:$J,Table7[[#This Row],[PO'#]],'Cutters Consumption Updates'!$B:$B,Table7[[#This Row],[Cutter Mat'#]]))</f>
        <v>20</v>
      </c>
      <c r="J448" s="294">
        <f t="shared" si="9"/>
        <v>0</v>
      </c>
      <c r="W448" s="294">
        <v>20</v>
      </c>
    </row>
    <row r="449" spans="1:11" ht="15.5" x14ac:dyDescent="0.25">
      <c r="A449" s="545"/>
      <c r="B449" s="545">
        <v>1308</v>
      </c>
      <c r="C449" s="542" t="s">
        <v>71</v>
      </c>
      <c r="D449" s="542"/>
      <c r="E449" s="547">
        <v>418525</v>
      </c>
      <c r="F449" s="568">
        <v>70</v>
      </c>
      <c r="G449" s="476">
        <v>45627</v>
      </c>
      <c r="H449" s="303" t="s">
        <v>974</v>
      </c>
      <c r="I449" s="294">
        <f>SUM(W449,SUMIFS('Cutters Consumption Updates'!$F:$F,'Cutters Consumption Updates'!$G:$G,"NEW",'Cutters Consumption Updates'!$J:$J,Table7[[#This Row],[PO'#]],'Cutters Consumption Updates'!$B:$B,Table7[[#This Row],[Cutter Mat'#]]))</f>
        <v>70</v>
      </c>
      <c r="J449" s="294">
        <f t="shared" si="9"/>
        <v>0</v>
      </c>
    </row>
    <row r="450" spans="1:11" ht="15.5" x14ac:dyDescent="0.25">
      <c r="A450" s="545"/>
      <c r="B450" s="542" t="s">
        <v>975</v>
      </c>
      <c r="C450" s="542" t="s">
        <v>253</v>
      </c>
      <c r="D450" s="542" t="s">
        <v>86</v>
      </c>
      <c r="E450" s="543">
        <v>971055</v>
      </c>
      <c r="F450" s="568">
        <v>30</v>
      </c>
      <c r="G450" s="476">
        <v>45627</v>
      </c>
      <c r="H450" s="303" t="s">
        <v>974</v>
      </c>
      <c r="I450" s="294">
        <f>SUM(W450,SUMIFS('Cutters Consumption Updates'!$F:$F,'Cutters Consumption Updates'!$G:$G,"NEW",'Cutters Consumption Updates'!$J:$J,Table7[[#This Row],[PO'#]],'Cutters Consumption Updates'!$B:$B,Table7[[#This Row],[Cutter Mat'#]]))</f>
        <v>30</v>
      </c>
      <c r="J450" s="294">
        <f t="shared" ref="J450:J513" si="10">F450-I450</f>
        <v>0</v>
      </c>
    </row>
    <row r="451" spans="1:11" ht="15.5" x14ac:dyDescent="0.25">
      <c r="A451" s="545"/>
      <c r="B451" s="542" t="s">
        <v>910</v>
      </c>
      <c r="C451" s="542" t="s">
        <v>253</v>
      </c>
      <c r="D451" s="542" t="s">
        <v>242</v>
      </c>
      <c r="E451" s="543">
        <v>717751</v>
      </c>
      <c r="F451" s="568">
        <v>16</v>
      </c>
      <c r="G451" s="476">
        <v>45627</v>
      </c>
      <c r="H451" s="303" t="s">
        <v>974</v>
      </c>
      <c r="I451" s="294">
        <f>SUM(W451,SUMIFS('Cutters Consumption Updates'!$F:$F,'Cutters Consumption Updates'!$G:$G,"NEW",'Cutters Consumption Updates'!$J:$J,Table7[[#This Row],[PO'#]],'Cutters Consumption Updates'!$B:$B,Table7[[#This Row],[Cutter Mat'#]]))</f>
        <v>16</v>
      </c>
      <c r="J451" s="294">
        <f t="shared" si="10"/>
        <v>0</v>
      </c>
    </row>
    <row r="452" spans="1:11" ht="15.5" x14ac:dyDescent="0.25">
      <c r="A452" s="545"/>
      <c r="B452" s="542" t="s">
        <v>878</v>
      </c>
      <c r="C452" s="542" t="s">
        <v>170</v>
      </c>
      <c r="D452" s="542" t="s">
        <v>111</v>
      </c>
      <c r="E452" s="543">
        <v>1152018</v>
      </c>
      <c r="F452" s="568">
        <v>51</v>
      </c>
      <c r="G452" s="476">
        <v>45627</v>
      </c>
      <c r="H452" s="303" t="s">
        <v>974</v>
      </c>
      <c r="I452" s="294">
        <f>SUM(W452,SUMIFS('Cutters Consumption Updates'!$F:$F,'Cutters Consumption Updates'!$G:$G,"NEW",'Cutters Consumption Updates'!$J:$J,Table7[[#This Row],[PO'#]],'Cutters Consumption Updates'!$B:$B,Table7[[#This Row],[Cutter Mat'#]]))</f>
        <v>51</v>
      </c>
      <c r="J452" s="294">
        <f t="shared" si="10"/>
        <v>0</v>
      </c>
    </row>
    <row r="453" spans="1:11" ht="15.5" x14ac:dyDescent="0.25">
      <c r="A453" s="545"/>
      <c r="B453" s="542" t="s">
        <v>876</v>
      </c>
      <c r="C453" s="542" t="s">
        <v>248</v>
      </c>
      <c r="D453" s="542" t="s">
        <v>125</v>
      </c>
      <c r="E453" s="543">
        <v>1136984</v>
      </c>
      <c r="F453" s="568">
        <v>26</v>
      </c>
      <c r="G453" s="476">
        <v>45627</v>
      </c>
      <c r="H453" s="303" t="s">
        <v>974</v>
      </c>
      <c r="I453" s="294">
        <f>SUM(W453,SUMIFS('Cutters Consumption Updates'!$F:$F,'Cutters Consumption Updates'!$G:$G,"NEW",'Cutters Consumption Updates'!$J:$J,Table7[[#This Row],[PO'#]],'Cutters Consumption Updates'!$B:$B,Table7[[#This Row],[Cutter Mat'#]]))</f>
        <v>26</v>
      </c>
      <c r="J453" s="294">
        <f t="shared" si="10"/>
        <v>0</v>
      </c>
    </row>
    <row r="454" spans="1:11" ht="15.5" x14ac:dyDescent="0.25">
      <c r="A454" s="545"/>
      <c r="B454" s="542" t="s">
        <v>876</v>
      </c>
      <c r="C454" s="542" t="s">
        <v>248</v>
      </c>
      <c r="D454" s="542" t="s">
        <v>134</v>
      </c>
      <c r="E454" s="597">
        <v>1104083</v>
      </c>
      <c r="F454" s="568">
        <v>0</v>
      </c>
      <c r="G454" s="476">
        <v>45627</v>
      </c>
      <c r="H454" s="303" t="s">
        <v>974</v>
      </c>
      <c r="I454" s="294">
        <f>SUM(W454,SUMIFS('Cutters Consumption Updates'!$F:$F,'Cutters Consumption Updates'!$G:$G,"NEW",'Cutters Consumption Updates'!$J:$J,Table7[[#This Row],[PO'#]],'Cutters Consumption Updates'!$B:$B,Table7[[#This Row],[Cutter Mat'#]]))</f>
        <v>0</v>
      </c>
      <c r="J454" s="294">
        <f t="shared" si="10"/>
        <v>0</v>
      </c>
      <c r="K454" t="s">
        <v>954</v>
      </c>
    </row>
    <row r="455" spans="1:11" ht="15.5" x14ac:dyDescent="0.25">
      <c r="A455" s="545"/>
      <c r="B455" s="542" t="s">
        <v>899</v>
      </c>
      <c r="C455" s="542" t="s">
        <v>177</v>
      </c>
      <c r="D455" s="542" t="s">
        <v>111</v>
      </c>
      <c r="E455" s="543">
        <v>1146346</v>
      </c>
      <c r="F455" s="568">
        <v>75</v>
      </c>
      <c r="G455" s="476">
        <v>45627</v>
      </c>
      <c r="H455" s="303" t="s">
        <v>974</v>
      </c>
      <c r="I455" s="294">
        <f>SUM(W455,SUMIFS('Cutters Consumption Updates'!$F:$F,'Cutters Consumption Updates'!$G:$G,"NEW",'Cutters Consumption Updates'!$J:$J,Table7[[#This Row],[PO'#]],'Cutters Consumption Updates'!$B:$B,Table7[[#This Row],[Cutter Mat'#]]))</f>
        <v>75</v>
      </c>
      <c r="J455" s="294">
        <f t="shared" si="10"/>
        <v>0</v>
      </c>
    </row>
    <row r="456" spans="1:11" ht="15.5" x14ac:dyDescent="0.25">
      <c r="A456" s="545"/>
      <c r="B456" s="542" t="s">
        <v>38</v>
      </c>
      <c r="C456" s="542"/>
      <c r="D456" s="542" t="s">
        <v>192</v>
      </c>
      <c r="E456" s="543">
        <v>653400</v>
      </c>
      <c r="F456" s="568">
        <v>30</v>
      </c>
      <c r="G456" s="476">
        <v>45627</v>
      </c>
      <c r="H456" s="303" t="s">
        <v>974</v>
      </c>
      <c r="I456" s="294">
        <f>SUM(W456,SUMIFS('Cutters Consumption Updates'!$F:$F,'Cutters Consumption Updates'!$G:$G,"NEW",'Cutters Consumption Updates'!$J:$J,Table7[[#This Row],[PO'#]],'Cutters Consumption Updates'!$B:$B,Table7[[#This Row],[Cutter Mat'#]]))</f>
        <v>30</v>
      </c>
      <c r="J456" s="294">
        <f t="shared" si="10"/>
        <v>0</v>
      </c>
    </row>
    <row r="457" spans="1:11" ht="15.5" x14ac:dyDescent="0.25">
      <c r="A457" s="545"/>
      <c r="B457" s="542" t="s">
        <v>38</v>
      </c>
      <c r="C457" s="542" t="s">
        <v>243</v>
      </c>
      <c r="D457" s="542" t="s">
        <v>192</v>
      </c>
      <c r="E457" s="543">
        <v>625854</v>
      </c>
      <c r="F457" s="568">
        <v>20</v>
      </c>
      <c r="G457" s="476">
        <v>45627</v>
      </c>
      <c r="H457" s="303" t="s">
        <v>974</v>
      </c>
      <c r="I457" s="294">
        <f>SUM(W457,SUMIFS('Cutters Consumption Updates'!$F:$F,'Cutters Consumption Updates'!$G:$G,"NEW",'Cutters Consumption Updates'!$J:$J,Table7[[#This Row],[PO'#]],'Cutters Consumption Updates'!$B:$B,Table7[[#This Row],[Cutter Mat'#]]))</f>
        <v>20</v>
      </c>
      <c r="J457" s="294">
        <f t="shared" si="10"/>
        <v>0</v>
      </c>
    </row>
    <row r="458" spans="1:11" ht="15.5" x14ac:dyDescent="0.25">
      <c r="A458" s="545"/>
      <c r="B458" s="542" t="s">
        <v>879</v>
      </c>
      <c r="C458" s="542" t="s">
        <v>253</v>
      </c>
      <c r="D458" s="542" t="s">
        <v>51</v>
      </c>
      <c r="E458" s="543">
        <v>647435</v>
      </c>
      <c r="F458" s="568">
        <v>100</v>
      </c>
      <c r="G458" s="476">
        <v>45627</v>
      </c>
      <c r="H458" s="303" t="s">
        <v>974</v>
      </c>
      <c r="I458" s="294">
        <f>SUM(W458,SUMIFS('Cutters Consumption Updates'!$F:$F,'Cutters Consumption Updates'!$G:$G,"NEW",'Cutters Consumption Updates'!$J:$J,Table7[[#This Row],[PO'#]],'Cutters Consumption Updates'!$B:$B,Table7[[#This Row],[Cutter Mat'#]]))</f>
        <v>100</v>
      </c>
      <c r="J458" s="294">
        <f t="shared" si="10"/>
        <v>0</v>
      </c>
    </row>
    <row r="459" spans="1:11" ht="15.5" x14ac:dyDescent="0.25">
      <c r="A459" s="545"/>
      <c r="B459" s="542" t="s">
        <v>236</v>
      </c>
      <c r="C459" s="542" t="s">
        <v>109</v>
      </c>
      <c r="D459" s="542" t="s">
        <v>218</v>
      </c>
      <c r="E459" s="543">
        <v>1296685</v>
      </c>
      <c r="F459" s="568">
        <v>70</v>
      </c>
      <c r="G459" s="476">
        <v>45636</v>
      </c>
      <c r="H459" s="303" t="s">
        <v>976</v>
      </c>
      <c r="I459" s="294">
        <f>SUM(W459,SUMIFS('Cutters Consumption Updates'!$F:$F,'Cutters Consumption Updates'!$G:$G,"NEW",'Cutters Consumption Updates'!$J:$J,Table7[[#This Row],[PO'#]],'Cutters Consumption Updates'!$B:$B,Table7[[#This Row],[Cutter Mat'#]]))</f>
        <v>70</v>
      </c>
      <c r="J459" s="294">
        <f t="shared" si="10"/>
        <v>0</v>
      </c>
    </row>
    <row r="460" spans="1:11" ht="15.5" x14ac:dyDescent="0.25">
      <c r="A460" s="545"/>
      <c r="B460" s="542" t="s">
        <v>236</v>
      </c>
      <c r="C460" s="542" t="s">
        <v>109</v>
      </c>
      <c r="D460" s="542" t="s">
        <v>219</v>
      </c>
      <c r="E460" s="543">
        <v>1290837</v>
      </c>
      <c r="F460" s="568">
        <v>90</v>
      </c>
      <c r="G460" s="476">
        <v>45636</v>
      </c>
      <c r="H460" s="303" t="s">
        <v>976</v>
      </c>
      <c r="I460" s="294">
        <f>SUM(W460,SUMIFS('Cutters Consumption Updates'!$F:$F,'Cutters Consumption Updates'!$G:$G,"NEW",'Cutters Consumption Updates'!$J:$J,Table7[[#This Row],[PO'#]],'Cutters Consumption Updates'!$B:$B,Table7[[#This Row],[Cutter Mat'#]]))</f>
        <v>90</v>
      </c>
      <c r="J460" s="294">
        <f t="shared" si="10"/>
        <v>0</v>
      </c>
    </row>
    <row r="461" spans="1:11" ht="15.5" x14ac:dyDescent="0.25">
      <c r="A461" s="545"/>
      <c r="B461" s="542" t="s">
        <v>881</v>
      </c>
      <c r="C461" s="542" t="s">
        <v>170</v>
      </c>
      <c r="D461" s="542" t="s">
        <v>111</v>
      </c>
      <c r="E461" s="543">
        <v>1208601</v>
      </c>
      <c r="F461" s="568">
        <v>30</v>
      </c>
      <c r="G461" s="476">
        <v>45627</v>
      </c>
      <c r="H461" s="303" t="s">
        <v>974</v>
      </c>
      <c r="I461" s="294">
        <f>SUM(W461,SUMIFS('Cutters Consumption Updates'!$F:$F,'Cutters Consumption Updates'!$G:$G,"NEW",'Cutters Consumption Updates'!$J:$J,Table7[[#This Row],[PO'#]],'Cutters Consumption Updates'!$B:$B,Table7[[#This Row],[Cutter Mat'#]]))</f>
        <v>30</v>
      </c>
      <c r="J461" s="294">
        <f t="shared" si="10"/>
        <v>0</v>
      </c>
    </row>
    <row r="462" spans="1:11" ht="15.5" x14ac:dyDescent="0.25">
      <c r="A462" s="545"/>
      <c r="B462" s="542" t="s">
        <v>884</v>
      </c>
      <c r="C462" s="542" t="s">
        <v>253</v>
      </c>
      <c r="D462" s="542" t="s">
        <v>51</v>
      </c>
      <c r="E462" s="543">
        <v>708306</v>
      </c>
      <c r="F462" s="568">
        <v>30</v>
      </c>
      <c r="G462" s="476">
        <v>45627</v>
      </c>
      <c r="H462" s="303" t="s">
        <v>974</v>
      </c>
      <c r="I462" s="294">
        <f>SUM(W462,SUMIFS('Cutters Consumption Updates'!$F:$F,'Cutters Consumption Updates'!$G:$G,"NEW",'Cutters Consumption Updates'!$J:$J,Table7[[#This Row],[PO'#]],'Cutters Consumption Updates'!$B:$B,Table7[[#This Row],[Cutter Mat'#]]))</f>
        <v>30</v>
      </c>
      <c r="J462" s="294">
        <f t="shared" si="10"/>
        <v>0</v>
      </c>
    </row>
    <row r="463" spans="1:11" ht="15.5" x14ac:dyDescent="0.25">
      <c r="A463" s="545"/>
      <c r="B463" s="542" t="s">
        <v>266</v>
      </c>
      <c r="C463" s="542" t="s">
        <v>103</v>
      </c>
      <c r="D463" s="542" t="s">
        <v>267</v>
      </c>
      <c r="E463" s="543">
        <v>1101509</v>
      </c>
      <c r="F463" s="568">
        <v>10</v>
      </c>
      <c r="G463" s="476">
        <v>45627</v>
      </c>
      <c r="H463" s="303" t="s">
        <v>974</v>
      </c>
      <c r="I463" s="294">
        <f>SUM(W463,SUMIFS('Cutters Consumption Updates'!$F:$F,'Cutters Consumption Updates'!$G:$G,"NEW",'Cutters Consumption Updates'!$J:$J,Table7[[#This Row],[PO'#]],'Cutters Consumption Updates'!$B:$B,Table7[[#This Row],[Cutter Mat'#]]))</f>
        <v>10</v>
      </c>
      <c r="J463" s="294">
        <f t="shared" si="10"/>
        <v>0</v>
      </c>
    </row>
    <row r="464" spans="1:11" ht="15.5" x14ac:dyDescent="0.25">
      <c r="B464" s="364">
        <v>1313</v>
      </c>
      <c r="C464" s="364" t="s">
        <v>177</v>
      </c>
      <c r="D464" s="364" t="s">
        <v>222</v>
      </c>
      <c r="E464" s="304">
        <v>1272937</v>
      </c>
      <c r="F464" s="569">
        <v>50</v>
      </c>
      <c r="G464" s="476">
        <v>45639</v>
      </c>
      <c r="H464" s="303" t="s">
        <v>977</v>
      </c>
      <c r="I464" s="294">
        <f>SUM(W464,SUMIFS('Cutters Consumption Updates'!$F:$F,'Cutters Consumption Updates'!$G:$G,"NEW",'Cutters Consumption Updates'!$J:$J,Table7[[#This Row],[PO'#]],'Cutters Consumption Updates'!$B:$B,Table7[[#This Row],[Cutter Mat'#]]))</f>
        <v>50</v>
      </c>
      <c r="J464" s="294">
        <f t="shared" si="10"/>
        <v>0</v>
      </c>
    </row>
    <row r="465" spans="1:11" ht="15.5" x14ac:dyDescent="0.25">
      <c r="B465" s="364">
        <v>1313</v>
      </c>
      <c r="C465" s="364" t="s">
        <v>170</v>
      </c>
      <c r="D465" s="364" t="s">
        <v>207</v>
      </c>
      <c r="E465" s="304">
        <v>1282369</v>
      </c>
      <c r="F465" s="569">
        <v>26</v>
      </c>
      <c r="G465" s="476">
        <v>45639</v>
      </c>
      <c r="H465" s="303" t="s">
        <v>977</v>
      </c>
      <c r="I465" s="294">
        <f>SUM(W465,SUMIFS('Cutters Consumption Updates'!$F:$F,'Cutters Consumption Updates'!$G:$G,"NEW",'Cutters Consumption Updates'!$J:$J,Table7[[#This Row],[PO'#]],'Cutters Consumption Updates'!$B:$B,Table7[[#This Row],[Cutter Mat'#]]))</f>
        <v>26</v>
      </c>
      <c r="J465" s="294">
        <f t="shared" si="10"/>
        <v>0</v>
      </c>
    </row>
    <row r="466" spans="1:11" ht="15.5" x14ac:dyDescent="0.25">
      <c r="B466" s="364">
        <v>1313</v>
      </c>
      <c r="C466" s="364" t="s">
        <v>109</v>
      </c>
      <c r="D466" s="364" t="s">
        <v>153</v>
      </c>
      <c r="E466" s="304">
        <v>1162285</v>
      </c>
      <c r="F466" s="569">
        <v>15</v>
      </c>
      <c r="G466" s="476">
        <v>45642</v>
      </c>
      <c r="H466" s="303" t="s">
        <v>978</v>
      </c>
      <c r="I466" s="294">
        <f>SUM(W466,SUMIFS('Cutters Consumption Updates'!$F:$F,'Cutters Consumption Updates'!$G:$G,"NEW",'Cutters Consumption Updates'!$J:$J,Table7[[#This Row],[PO'#]],'Cutters Consumption Updates'!$B:$B,Table7[[#This Row],[Cutter Mat'#]]))</f>
        <v>15</v>
      </c>
      <c r="J466" s="294">
        <f t="shared" si="10"/>
        <v>0</v>
      </c>
    </row>
    <row r="467" spans="1:11" ht="15.5" x14ac:dyDescent="0.25">
      <c r="B467" s="364">
        <v>1313</v>
      </c>
      <c r="C467" s="364" t="s">
        <v>170</v>
      </c>
      <c r="D467" s="364" t="s">
        <v>153</v>
      </c>
      <c r="E467" s="304">
        <v>1255772</v>
      </c>
      <c r="F467" s="569">
        <v>27</v>
      </c>
      <c r="G467" s="476">
        <v>45642</v>
      </c>
      <c r="H467" s="303" t="s">
        <v>978</v>
      </c>
      <c r="I467" s="294">
        <f>SUM(W467,SUMIFS('Cutters Consumption Updates'!$F:$F,'Cutters Consumption Updates'!$G:$G,"NEW",'Cutters Consumption Updates'!$J:$J,Table7[[#This Row],[PO'#]],'Cutters Consumption Updates'!$B:$B,Table7[[#This Row],[Cutter Mat'#]]))</f>
        <v>27</v>
      </c>
      <c r="J467" s="294">
        <f t="shared" si="10"/>
        <v>0</v>
      </c>
    </row>
    <row r="468" spans="1:11" ht="15.5" x14ac:dyDescent="0.25">
      <c r="B468" s="364">
        <v>1613</v>
      </c>
      <c r="C468" s="364" t="s">
        <v>177</v>
      </c>
      <c r="D468" s="364" t="s">
        <v>221</v>
      </c>
      <c r="E468" s="304">
        <v>2002235</v>
      </c>
      <c r="F468" s="694">
        <v>30</v>
      </c>
      <c r="G468" s="476">
        <v>45636</v>
      </c>
      <c r="H468" s="303" t="s">
        <v>976</v>
      </c>
      <c r="I468" s="294">
        <f>SUM(W468,SUMIFS('Cutters Consumption Updates'!$F:$F,'Cutters Consumption Updates'!$G:$G,"NEW",'Cutters Consumption Updates'!$J:$J,Table7[[#This Row],[PO'#]],'Cutters Consumption Updates'!$B:$B,Table7[[#This Row],[Cutter Mat'#]]))</f>
        <v>30</v>
      </c>
      <c r="J468" s="294">
        <f t="shared" si="10"/>
        <v>0</v>
      </c>
    </row>
    <row r="469" spans="1:11" ht="15.5" x14ac:dyDescent="0.25">
      <c r="A469" s="545"/>
      <c r="B469" s="570">
        <v>1308</v>
      </c>
      <c r="C469" s="570" t="s">
        <v>65</v>
      </c>
      <c r="D469" s="570" t="s">
        <v>71</v>
      </c>
      <c r="E469" s="570">
        <v>410851</v>
      </c>
      <c r="F469" s="570">
        <v>100</v>
      </c>
      <c r="G469" s="476">
        <v>45651</v>
      </c>
      <c r="H469" s="303" t="s">
        <v>979</v>
      </c>
      <c r="I469" s="294">
        <f>SUM(W469,SUMIFS('Cutters Consumption Updates'!$F:$F,'Cutters Consumption Updates'!$G:$G,"NEW",'Cutters Consumption Updates'!$J:$J,Table7[[#This Row],[PO'#]],'Cutters Consumption Updates'!$B:$B,Table7[[#This Row],[Cutter Mat'#]]))</f>
        <v>100</v>
      </c>
      <c r="J469" s="294">
        <f t="shared" si="10"/>
        <v>0</v>
      </c>
    </row>
    <row r="470" spans="1:11" ht="15.5" x14ac:dyDescent="0.25">
      <c r="A470" s="545"/>
      <c r="B470" s="542">
        <v>1308</v>
      </c>
      <c r="C470" s="542" t="s">
        <v>65</v>
      </c>
      <c r="D470" s="542" t="s">
        <v>71</v>
      </c>
      <c r="E470" s="543">
        <v>418525</v>
      </c>
      <c r="F470" s="544">
        <v>185</v>
      </c>
      <c r="G470" s="476">
        <v>45651</v>
      </c>
      <c r="H470" s="303" t="s">
        <v>979</v>
      </c>
      <c r="I470" s="294">
        <f>SUM(W470,SUMIFS('Cutters Consumption Updates'!$F:$F,'Cutters Consumption Updates'!$G:$G,"NEW",'Cutters Consumption Updates'!$J:$J,Table7[[#This Row],[PO'#]],'Cutters Consumption Updates'!$B:$B,Table7[[#This Row],[Cutter Mat'#]]))</f>
        <v>185</v>
      </c>
      <c r="J470" s="294">
        <f t="shared" si="10"/>
        <v>0</v>
      </c>
    </row>
    <row r="471" spans="1:11" ht="15.5" x14ac:dyDescent="0.25">
      <c r="A471" s="545"/>
      <c r="B471" s="542" t="s">
        <v>935</v>
      </c>
      <c r="C471" s="542" t="s">
        <v>231</v>
      </c>
      <c r="D471" s="542" t="s">
        <v>53</v>
      </c>
      <c r="E471" s="543">
        <v>882800</v>
      </c>
      <c r="F471" s="362">
        <v>14</v>
      </c>
      <c r="G471" s="476">
        <v>45651</v>
      </c>
      <c r="H471" s="303" t="s">
        <v>979</v>
      </c>
      <c r="I471" s="294">
        <f>SUM(W471,SUMIFS('Cutters Consumption Updates'!$F:$F,'Cutters Consumption Updates'!$G:$G,"NEW",'Cutters Consumption Updates'!$J:$J,Table7[[#This Row],[PO'#]],'Cutters Consumption Updates'!$B:$B,Table7[[#This Row],[Cutter Mat'#]]))</f>
        <v>14</v>
      </c>
      <c r="J471" s="294">
        <f t="shared" si="10"/>
        <v>0</v>
      </c>
    </row>
    <row r="472" spans="1:11" ht="15.5" x14ac:dyDescent="0.25">
      <c r="A472" s="545"/>
      <c r="B472" s="542" t="s">
        <v>921</v>
      </c>
      <c r="C472" s="542" t="s">
        <v>253</v>
      </c>
      <c r="D472" s="542" t="s">
        <v>51</v>
      </c>
      <c r="E472" s="543">
        <v>773384</v>
      </c>
      <c r="F472" s="544">
        <v>20</v>
      </c>
      <c r="G472" s="476">
        <v>45651</v>
      </c>
      <c r="H472" s="303" t="s">
        <v>979</v>
      </c>
      <c r="I472" s="294">
        <f>SUM(W472,SUMIFS('Cutters Consumption Updates'!$F:$F,'Cutters Consumption Updates'!$G:$G,"NEW",'Cutters Consumption Updates'!$J:$J,Table7[[#This Row],[PO'#]],'Cutters Consumption Updates'!$B:$B,Table7[[#This Row],[Cutter Mat'#]]))</f>
        <v>20</v>
      </c>
      <c r="J472" s="294">
        <f t="shared" si="10"/>
        <v>0</v>
      </c>
    </row>
    <row r="473" spans="1:11" ht="15.5" x14ac:dyDescent="0.25">
      <c r="A473" s="545"/>
      <c r="B473" s="542" t="s">
        <v>922</v>
      </c>
      <c r="C473" s="542" t="s">
        <v>253</v>
      </c>
      <c r="D473" s="542" t="s">
        <v>51</v>
      </c>
      <c r="E473" s="543">
        <v>717748</v>
      </c>
      <c r="F473" s="544">
        <v>179</v>
      </c>
      <c r="G473" s="476">
        <v>45651</v>
      </c>
      <c r="H473" s="303" t="s">
        <v>979</v>
      </c>
      <c r="I473" s="294">
        <f>SUM(W473,SUMIFS('Cutters Consumption Updates'!$F:$F,'Cutters Consumption Updates'!$G:$G,"NEW",'Cutters Consumption Updates'!$J:$J,Table7[[#This Row],[PO'#]],'Cutters Consumption Updates'!$B:$B,Table7[[#This Row],[Cutter Mat'#]]))</f>
        <v>179</v>
      </c>
      <c r="J473" s="294">
        <f t="shared" si="10"/>
        <v>0</v>
      </c>
    </row>
    <row r="474" spans="1:11" ht="15.5" x14ac:dyDescent="0.25">
      <c r="A474" s="545"/>
      <c r="B474" s="542" t="s">
        <v>201</v>
      </c>
      <c r="C474" s="542" t="s">
        <v>103</v>
      </c>
      <c r="D474" s="542" t="s">
        <v>965</v>
      </c>
      <c r="E474" s="543">
        <v>1201518</v>
      </c>
      <c r="F474" s="544">
        <v>10</v>
      </c>
      <c r="G474" s="476">
        <v>45651</v>
      </c>
      <c r="H474" s="303" t="s">
        <v>979</v>
      </c>
      <c r="I474" s="294">
        <f>SUM(W474,SUMIFS('Cutters Consumption Updates'!$F:$F,'Cutters Consumption Updates'!$G:$G,"NEW",'Cutters Consumption Updates'!$J:$J,Table7[[#This Row],[PO'#]],'Cutters Consumption Updates'!$B:$B,Table7[[#This Row],[Cutter Mat'#]]))</f>
        <v>10</v>
      </c>
      <c r="J474" s="294">
        <f t="shared" si="10"/>
        <v>0</v>
      </c>
    </row>
    <row r="475" spans="1:11" ht="15.5" x14ac:dyDescent="0.25">
      <c r="A475" s="545"/>
      <c r="B475" s="542" t="s">
        <v>980</v>
      </c>
      <c r="C475" s="542" t="s">
        <v>248</v>
      </c>
      <c r="D475" s="542" t="s">
        <v>125</v>
      </c>
      <c r="E475" s="543">
        <v>1136983</v>
      </c>
      <c r="F475" s="544">
        <v>15</v>
      </c>
      <c r="G475" s="476">
        <v>45651</v>
      </c>
      <c r="H475" s="303" t="s">
        <v>979</v>
      </c>
      <c r="I475" s="294">
        <f>SUM(W475,SUMIFS('Cutters Consumption Updates'!$F:$F,'Cutters Consumption Updates'!$G:$G,"NEW",'Cutters Consumption Updates'!$J:$J,Table7[[#This Row],[PO'#]],'Cutters Consumption Updates'!$B:$B,Table7[[#This Row],[Cutter Mat'#]]))</f>
        <v>15</v>
      </c>
      <c r="J475" s="294">
        <f t="shared" si="10"/>
        <v>0</v>
      </c>
    </row>
    <row r="476" spans="1:11" ht="15.5" x14ac:dyDescent="0.25">
      <c r="A476" s="545"/>
      <c r="B476" s="542" t="s">
        <v>910</v>
      </c>
      <c r="C476" s="542" t="s">
        <v>253</v>
      </c>
      <c r="D476" s="542" t="s">
        <v>242</v>
      </c>
      <c r="E476" s="543">
        <v>717751</v>
      </c>
      <c r="F476" s="544">
        <v>97</v>
      </c>
      <c r="G476" s="476">
        <v>45651</v>
      </c>
      <c r="H476" s="303" t="s">
        <v>979</v>
      </c>
      <c r="I476" s="294">
        <f>SUM(W476,SUMIFS('Cutters Consumption Updates'!$F:$F,'Cutters Consumption Updates'!$G:$G,"NEW",'Cutters Consumption Updates'!$J:$J,Table7[[#This Row],[PO'#]],'Cutters Consumption Updates'!$B:$B,Table7[[#This Row],[Cutter Mat'#]]))</f>
        <v>97</v>
      </c>
      <c r="J476" s="294">
        <f t="shared" si="10"/>
        <v>0</v>
      </c>
    </row>
    <row r="477" spans="1:11" ht="15.5" x14ac:dyDescent="0.25">
      <c r="A477" s="545"/>
      <c r="B477" s="542" t="s">
        <v>875</v>
      </c>
      <c r="C477" s="542" t="s">
        <v>170</v>
      </c>
      <c r="D477" s="542" t="s">
        <v>225</v>
      </c>
      <c r="E477" s="543">
        <v>2004484</v>
      </c>
      <c r="F477" s="544">
        <v>20</v>
      </c>
      <c r="G477" s="476">
        <v>45651</v>
      </c>
      <c r="H477" s="303" t="s">
        <v>979</v>
      </c>
      <c r="I477" s="294">
        <f>SUM(W477,SUMIFS('Cutters Consumption Updates'!$F:$F,'Cutters Consumption Updates'!$G:$G,"NEW",'Cutters Consumption Updates'!$J:$J,Table7[[#This Row],[PO'#]],'Cutters Consumption Updates'!$B:$B,Table7[[#This Row],[Cutter Mat'#]]))</f>
        <v>20</v>
      </c>
      <c r="J477" s="294">
        <f t="shared" si="10"/>
        <v>0</v>
      </c>
    </row>
    <row r="478" spans="1:11" ht="15.5" x14ac:dyDescent="0.25">
      <c r="A478" s="545"/>
      <c r="B478" s="542" t="s">
        <v>876</v>
      </c>
      <c r="C478" s="542" t="s">
        <v>248</v>
      </c>
      <c r="D478" s="542" t="s">
        <v>205</v>
      </c>
      <c r="E478" s="568">
        <v>1186963</v>
      </c>
      <c r="F478" s="544">
        <v>5</v>
      </c>
      <c r="G478" s="476">
        <v>45651</v>
      </c>
      <c r="H478" s="303" t="s">
        <v>979</v>
      </c>
      <c r="I478" s="294">
        <f>SUM(W478,SUMIFS('Cutters Consumption Updates'!$F:$F,'Cutters Consumption Updates'!$G:$G,"NEW",'Cutters Consumption Updates'!$J:$J,Table7[[#This Row],[PO'#]],'Cutters Consumption Updates'!$B:$B,Table7[[#This Row],[Cutter Mat'#]]))</f>
        <v>5</v>
      </c>
      <c r="J478" s="294">
        <f t="shared" si="10"/>
        <v>0</v>
      </c>
      <c r="K478" t="s">
        <v>954</v>
      </c>
    </row>
    <row r="479" spans="1:11" ht="15.5" x14ac:dyDescent="0.25">
      <c r="A479" s="545"/>
      <c r="B479" s="542" t="s">
        <v>876</v>
      </c>
      <c r="C479" s="542" t="s">
        <v>248</v>
      </c>
      <c r="D479" s="542" t="s">
        <v>125</v>
      </c>
      <c r="E479" s="543">
        <v>1136984</v>
      </c>
      <c r="F479" s="544">
        <v>15</v>
      </c>
      <c r="G479" s="476">
        <v>45651</v>
      </c>
      <c r="H479" s="303" t="s">
        <v>979</v>
      </c>
      <c r="I479" s="294">
        <f>SUM(W479,SUMIFS('Cutters Consumption Updates'!$F:$F,'Cutters Consumption Updates'!$G:$G,"NEW",'Cutters Consumption Updates'!$J:$J,Table7[[#This Row],[PO'#]],'Cutters Consumption Updates'!$B:$B,Table7[[#This Row],[Cutter Mat'#]]))</f>
        <v>15</v>
      </c>
      <c r="J479" s="294">
        <f t="shared" si="10"/>
        <v>0</v>
      </c>
    </row>
    <row r="480" spans="1:11" ht="15.5" x14ac:dyDescent="0.25">
      <c r="A480" s="545"/>
      <c r="B480" s="542" t="s">
        <v>877</v>
      </c>
      <c r="C480" s="542" t="s">
        <v>253</v>
      </c>
      <c r="D480" s="542" t="s">
        <v>242</v>
      </c>
      <c r="E480" s="543">
        <v>871781</v>
      </c>
      <c r="F480" s="544">
        <v>279</v>
      </c>
      <c r="G480" s="476">
        <v>45651</v>
      </c>
      <c r="H480" s="303" t="s">
        <v>979</v>
      </c>
      <c r="I480" s="294">
        <f>SUM(W480,SUMIFS('Cutters Consumption Updates'!$F:$F,'Cutters Consumption Updates'!$G:$G,"NEW",'Cutters Consumption Updates'!$J:$J,Table7[[#This Row],[PO'#]],'Cutters Consumption Updates'!$B:$B,Table7[[#This Row],[Cutter Mat'#]]))</f>
        <v>279</v>
      </c>
      <c r="J480" s="294">
        <f t="shared" si="10"/>
        <v>0</v>
      </c>
    </row>
    <row r="481" spans="1:11" ht="15.5" x14ac:dyDescent="0.25">
      <c r="A481" s="545"/>
      <c r="B481" s="542" t="s">
        <v>899</v>
      </c>
      <c r="C481" s="542" t="s">
        <v>177</v>
      </c>
      <c r="D481" s="542" t="s">
        <v>111</v>
      </c>
      <c r="E481" s="543">
        <v>1146346</v>
      </c>
      <c r="F481" s="544">
        <v>55</v>
      </c>
      <c r="G481" s="476">
        <v>45651</v>
      </c>
      <c r="H481" s="303" t="s">
        <v>979</v>
      </c>
      <c r="I481" s="294">
        <f>SUM(W481,SUMIFS('Cutters Consumption Updates'!$F:$F,'Cutters Consumption Updates'!$G:$G,"NEW",'Cutters Consumption Updates'!$J:$J,Table7[[#This Row],[PO'#]],'Cutters Consumption Updates'!$B:$B,Table7[[#This Row],[Cutter Mat'#]]))</f>
        <v>55</v>
      </c>
      <c r="J481" s="294">
        <f t="shared" si="10"/>
        <v>0</v>
      </c>
    </row>
    <row r="482" spans="1:11" ht="15.5" x14ac:dyDescent="0.25">
      <c r="A482" s="545"/>
      <c r="B482" s="542" t="s">
        <v>981</v>
      </c>
      <c r="C482" s="542" t="s">
        <v>170</v>
      </c>
      <c r="D482" s="542" t="s">
        <v>153</v>
      </c>
      <c r="E482" s="543">
        <v>2000450</v>
      </c>
      <c r="F482" s="544">
        <v>30</v>
      </c>
      <c r="G482" s="476">
        <v>45651</v>
      </c>
      <c r="H482" s="303" t="s">
        <v>979</v>
      </c>
      <c r="I482" s="294">
        <f>SUM(W482,SUMIFS('Cutters Consumption Updates'!$F:$F,'Cutters Consumption Updates'!$G:$G,"NEW",'Cutters Consumption Updates'!$J:$J,Table7[[#This Row],[PO'#]],'Cutters Consumption Updates'!$B:$B,Table7[[#This Row],[Cutter Mat'#]]))</f>
        <v>30</v>
      </c>
      <c r="J482" s="294">
        <f t="shared" si="10"/>
        <v>0</v>
      </c>
    </row>
    <row r="483" spans="1:11" ht="15.5" x14ac:dyDescent="0.25">
      <c r="A483" s="545"/>
      <c r="B483" s="542" t="s">
        <v>38</v>
      </c>
      <c r="C483" s="542" t="s">
        <v>103</v>
      </c>
      <c r="D483" s="542" t="s">
        <v>192</v>
      </c>
      <c r="E483" s="543">
        <v>179734</v>
      </c>
      <c r="F483" s="544">
        <v>65</v>
      </c>
      <c r="G483" s="476">
        <v>45651</v>
      </c>
      <c r="H483" s="303" t="s">
        <v>979</v>
      </c>
      <c r="I483" s="294">
        <f>SUM(W483,SUMIFS('Cutters Consumption Updates'!$F:$F,'Cutters Consumption Updates'!$G:$G,"NEW",'Cutters Consumption Updates'!$J:$J,Table7[[#This Row],[PO'#]],'Cutters Consumption Updates'!$B:$B,Table7[[#This Row],[Cutter Mat'#]]))</f>
        <v>65</v>
      </c>
      <c r="J483" s="294">
        <f t="shared" si="10"/>
        <v>0</v>
      </c>
    </row>
    <row r="484" spans="1:11" ht="15.5" x14ac:dyDescent="0.25">
      <c r="A484" s="545"/>
      <c r="B484" s="542" t="s">
        <v>894</v>
      </c>
      <c r="C484" s="542" t="s">
        <v>177</v>
      </c>
      <c r="D484" s="542" t="s">
        <v>111</v>
      </c>
      <c r="E484" s="543">
        <v>1146737</v>
      </c>
      <c r="F484" s="544">
        <v>50</v>
      </c>
      <c r="G484" s="476">
        <v>45651</v>
      </c>
      <c r="H484" s="303" t="s">
        <v>979</v>
      </c>
      <c r="I484" s="294">
        <f>SUM(W484,SUMIFS('Cutters Consumption Updates'!$F:$F,'Cutters Consumption Updates'!$G:$G,"NEW",'Cutters Consumption Updates'!$J:$J,Table7[[#This Row],[PO'#]],'Cutters Consumption Updates'!$B:$B,Table7[[#This Row],[Cutter Mat'#]]))</f>
        <v>50</v>
      </c>
      <c r="J484" s="294">
        <f t="shared" si="10"/>
        <v>0</v>
      </c>
    </row>
    <row r="485" spans="1:11" ht="15.5" x14ac:dyDescent="0.25">
      <c r="A485" s="545"/>
      <c r="B485" s="542" t="s">
        <v>894</v>
      </c>
      <c r="C485" s="542" t="s">
        <v>177</v>
      </c>
      <c r="D485" s="542" t="s">
        <v>221</v>
      </c>
      <c r="E485" s="543">
        <v>2002235</v>
      </c>
      <c r="F485" s="362">
        <v>0</v>
      </c>
      <c r="G485" s="476">
        <v>45651</v>
      </c>
      <c r="H485" s="303" t="s">
        <v>979</v>
      </c>
      <c r="I485" s="294">
        <f>SUM(W485,SUMIFS('Cutters Consumption Updates'!$F:$F,'Cutters Consumption Updates'!$G:$G,"NEW",'Cutters Consumption Updates'!$J:$J,Table7[[#This Row],[PO'#]],'Cutters Consumption Updates'!$B:$B,Table7[[#This Row],[Cutter Mat'#]]))</f>
        <v>0</v>
      </c>
      <c r="J485" s="294">
        <f t="shared" si="10"/>
        <v>0</v>
      </c>
    </row>
    <row r="486" spans="1:11" ht="15.5" x14ac:dyDescent="0.25">
      <c r="A486" s="545"/>
      <c r="B486" s="542" t="s">
        <v>982</v>
      </c>
      <c r="C486" s="542" t="s">
        <v>170</v>
      </c>
      <c r="D486" s="542" t="s">
        <v>222</v>
      </c>
      <c r="E486" s="543">
        <v>1282370</v>
      </c>
      <c r="F486" s="544">
        <v>8</v>
      </c>
      <c r="G486" s="476">
        <v>45651</v>
      </c>
      <c r="H486" s="303" t="s">
        <v>979</v>
      </c>
      <c r="I486" s="294">
        <f>SUM(W486,SUMIFS('Cutters Consumption Updates'!$F:$F,'Cutters Consumption Updates'!$G:$G,"NEW",'Cutters Consumption Updates'!$J:$J,Table7[[#This Row],[PO'#]],'Cutters Consumption Updates'!$B:$B,Table7[[#This Row],[Cutter Mat'#]]))</f>
        <v>8</v>
      </c>
      <c r="J486" s="294">
        <f t="shared" si="10"/>
        <v>0</v>
      </c>
    </row>
    <row r="487" spans="1:11" ht="15.5" x14ac:dyDescent="0.25">
      <c r="A487" s="545"/>
      <c r="B487" s="542" t="s">
        <v>236</v>
      </c>
      <c r="C487" s="542" t="s">
        <v>109</v>
      </c>
      <c r="D487" s="542" t="s">
        <v>218</v>
      </c>
      <c r="E487" s="543">
        <v>1296685</v>
      </c>
      <c r="F487" s="544">
        <v>150</v>
      </c>
      <c r="G487" s="476">
        <v>45651</v>
      </c>
      <c r="H487" s="303" t="s">
        <v>979</v>
      </c>
      <c r="I487" s="294">
        <f>SUM(W487,SUMIFS('Cutters Consumption Updates'!$F:$F,'Cutters Consumption Updates'!$G:$G,"NEW",'Cutters Consumption Updates'!$J:$J,Table7[[#This Row],[PO'#]],'Cutters Consumption Updates'!$B:$B,Table7[[#This Row],[Cutter Mat'#]]))</f>
        <v>150</v>
      </c>
      <c r="J487" s="294">
        <f t="shared" si="10"/>
        <v>0</v>
      </c>
    </row>
    <row r="488" spans="1:11" ht="15.5" x14ac:dyDescent="0.25">
      <c r="A488" s="545"/>
      <c r="B488" s="542" t="s">
        <v>881</v>
      </c>
      <c r="C488" s="542" t="s">
        <v>170</v>
      </c>
      <c r="D488" s="542" t="s">
        <v>111</v>
      </c>
      <c r="E488" s="543">
        <v>1208601</v>
      </c>
      <c r="F488" s="544">
        <v>45</v>
      </c>
      <c r="G488" s="476">
        <v>45651</v>
      </c>
      <c r="H488" s="303" t="s">
        <v>979</v>
      </c>
      <c r="I488" s="294">
        <f>SUM(W488,SUMIFS('Cutters Consumption Updates'!$F:$F,'Cutters Consumption Updates'!$G:$G,"NEW",'Cutters Consumption Updates'!$J:$J,Table7[[#This Row],[PO'#]],'Cutters Consumption Updates'!$B:$B,Table7[[#This Row],[Cutter Mat'#]]))</f>
        <v>45</v>
      </c>
      <c r="J488" s="294">
        <f t="shared" si="10"/>
        <v>0</v>
      </c>
    </row>
    <row r="489" spans="1:11" ht="15.5" x14ac:dyDescent="0.25">
      <c r="A489" s="545"/>
      <c r="B489" s="542" t="s">
        <v>927</v>
      </c>
      <c r="C489" s="542" t="s">
        <v>170</v>
      </c>
      <c r="D489" s="542" t="s">
        <v>153</v>
      </c>
      <c r="E489" s="543">
        <v>1255773</v>
      </c>
      <c r="F489" s="544">
        <v>50</v>
      </c>
      <c r="G489" s="476">
        <v>45651</v>
      </c>
      <c r="H489" s="303" t="s">
        <v>979</v>
      </c>
      <c r="I489" s="294">
        <f>SUM(W489,SUMIFS('Cutters Consumption Updates'!$F:$F,'Cutters Consumption Updates'!$G:$G,"NEW",'Cutters Consumption Updates'!$J:$J,Table7[[#This Row],[PO'#]],'Cutters Consumption Updates'!$B:$B,Table7[[#This Row],[Cutter Mat'#]]))</f>
        <v>50</v>
      </c>
      <c r="J489" s="294">
        <f t="shared" si="10"/>
        <v>0</v>
      </c>
    </row>
    <row r="490" spans="1:11" ht="15.5" x14ac:dyDescent="0.25">
      <c r="A490" s="545"/>
      <c r="B490" s="542">
        <v>1913</v>
      </c>
      <c r="C490" s="542" t="s">
        <v>177</v>
      </c>
      <c r="D490" s="542" t="s">
        <v>228</v>
      </c>
      <c r="E490" s="568">
        <v>2013726</v>
      </c>
      <c r="F490" s="544">
        <v>150</v>
      </c>
      <c r="G490" s="476">
        <v>45651</v>
      </c>
      <c r="H490" s="303" t="s">
        <v>983</v>
      </c>
      <c r="I490" s="294">
        <f>SUM(W490,SUMIFS('Cutters Consumption Updates'!$F:$F,'Cutters Consumption Updates'!$G:$G,"NEW",'Cutters Consumption Updates'!$J:$J,Table7[[#This Row],[PO'#]],'Cutters Consumption Updates'!$B:$B,Table7[[#This Row],[Cutter Mat'#]]))</f>
        <v>150</v>
      </c>
      <c r="J490" s="294">
        <f t="shared" si="10"/>
        <v>0</v>
      </c>
      <c r="K490" t="s">
        <v>984</v>
      </c>
    </row>
    <row r="491" spans="1:11" ht="15.5" x14ac:dyDescent="0.25">
      <c r="A491" s="545"/>
      <c r="B491" s="542" t="s">
        <v>266</v>
      </c>
      <c r="C491" s="542" t="s">
        <v>103</v>
      </c>
      <c r="D491" s="542" t="s">
        <v>267</v>
      </c>
      <c r="E491" s="543">
        <v>1101509</v>
      </c>
      <c r="F491" s="544">
        <v>10</v>
      </c>
      <c r="G491" s="476">
        <v>45651</v>
      </c>
      <c r="H491" s="303" t="s">
        <v>979</v>
      </c>
      <c r="I491" s="294">
        <f>SUM(W491,SUMIFS('Cutters Consumption Updates'!$F:$F,'Cutters Consumption Updates'!$G:$G,"NEW",'Cutters Consumption Updates'!$J:$J,Table7[[#This Row],[PO'#]],'Cutters Consumption Updates'!$B:$B,Table7[[#This Row],[Cutter Mat'#]]))</f>
        <v>10</v>
      </c>
      <c r="J491" s="294">
        <f t="shared" si="10"/>
        <v>0</v>
      </c>
    </row>
    <row r="492" spans="1:11" ht="15.5" x14ac:dyDescent="0.25">
      <c r="A492" s="545"/>
      <c r="B492" s="542" t="s">
        <v>927</v>
      </c>
      <c r="C492" s="542" t="s">
        <v>170</v>
      </c>
      <c r="D492" s="542" t="s">
        <v>225</v>
      </c>
      <c r="E492" s="543">
        <v>2002299</v>
      </c>
      <c r="F492" s="544">
        <v>45</v>
      </c>
      <c r="G492" s="476">
        <v>45651</v>
      </c>
      <c r="H492" s="303" t="s">
        <v>979</v>
      </c>
      <c r="I492" s="294">
        <f>SUM(W492,SUMIFS('Cutters Consumption Updates'!$F:$F,'Cutters Consumption Updates'!$G:$G,"NEW",'Cutters Consumption Updates'!$J:$J,Table7[[#This Row],[PO'#]],'Cutters Consumption Updates'!$B:$B,Table7[[#This Row],[Cutter Mat'#]]))</f>
        <v>45</v>
      </c>
      <c r="J492" s="294">
        <f t="shared" si="10"/>
        <v>0</v>
      </c>
    </row>
    <row r="493" spans="1:11" ht="15.5" x14ac:dyDescent="0.25">
      <c r="A493" s="545"/>
      <c r="B493" s="542" t="s">
        <v>903</v>
      </c>
      <c r="C493" s="542"/>
      <c r="D493" s="542"/>
      <c r="E493" s="543">
        <v>1228501</v>
      </c>
      <c r="F493" s="544">
        <v>100</v>
      </c>
      <c r="G493" s="476">
        <v>45651</v>
      </c>
      <c r="H493" s="303" t="s">
        <v>979</v>
      </c>
      <c r="I493" s="294">
        <f>SUM(W493,SUMIFS('Cutters Consumption Updates'!$F:$F,'Cutters Consumption Updates'!$G:$G,"NEW",'Cutters Consumption Updates'!$J:$J,Table7[[#This Row],[PO'#]],'Cutters Consumption Updates'!$B:$B,Table7[[#This Row],[Cutter Mat'#]]))</f>
        <v>100</v>
      </c>
      <c r="J493" s="294">
        <f t="shared" si="10"/>
        <v>0</v>
      </c>
    </row>
    <row r="494" spans="1:11" ht="15.5" x14ac:dyDescent="0.25">
      <c r="A494" s="545"/>
      <c r="B494" s="542" t="s">
        <v>901</v>
      </c>
      <c r="C494" s="542" t="s">
        <v>170</v>
      </c>
      <c r="D494" s="542" t="s">
        <v>114</v>
      </c>
      <c r="E494" s="543">
        <v>1228502</v>
      </c>
      <c r="F494" s="544">
        <v>30</v>
      </c>
      <c r="G494" s="476">
        <v>45651</v>
      </c>
      <c r="H494" s="303" t="s">
        <v>979</v>
      </c>
      <c r="I494" s="294">
        <f>SUM(W494,SUMIFS('Cutters Consumption Updates'!$F:$F,'Cutters Consumption Updates'!$G:$G,"NEW",'Cutters Consumption Updates'!$J:$J,Table7[[#This Row],[PO'#]],'Cutters Consumption Updates'!$B:$B,Table7[[#This Row],[Cutter Mat'#]]))</f>
        <v>30</v>
      </c>
      <c r="J494" s="294">
        <f t="shared" si="10"/>
        <v>0</v>
      </c>
    </row>
    <row r="495" spans="1:11" ht="15.5" x14ac:dyDescent="0.25">
      <c r="A495" s="545"/>
      <c r="B495" s="542" t="s">
        <v>904</v>
      </c>
      <c r="C495" s="542"/>
      <c r="D495" s="542"/>
      <c r="E495" s="543">
        <v>1228503</v>
      </c>
      <c r="F495" s="544">
        <v>100</v>
      </c>
      <c r="G495" s="476">
        <v>45651</v>
      </c>
      <c r="H495" s="303" t="s">
        <v>979</v>
      </c>
      <c r="I495" s="294">
        <f>SUM(W495,SUMIFS('Cutters Consumption Updates'!$F:$F,'Cutters Consumption Updates'!$G:$G,"NEW",'Cutters Consumption Updates'!$J:$J,Table7[[#This Row],[PO'#]],'Cutters Consumption Updates'!$B:$B,Table7[[#This Row],[Cutter Mat'#]]))</f>
        <v>100</v>
      </c>
      <c r="J495" s="294">
        <f t="shared" si="10"/>
        <v>0</v>
      </c>
    </row>
    <row r="496" spans="1:11" ht="15.5" x14ac:dyDescent="0.25">
      <c r="A496" s="545"/>
      <c r="B496" s="542" t="s">
        <v>902</v>
      </c>
      <c r="C496" s="542"/>
      <c r="D496" s="542"/>
      <c r="E496" s="543">
        <v>1220554</v>
      </c>
      <c r="F496" s="544">
        <v>100</v>
      </c>
      <c r="G496" s="476">
        <v>45651</v>
      </c>
      <c r="H496" s="303" t="s">
        <v>979</v>
      </c>
      <c r="I496" s="294">
        <f>SUM(W496,SUMIFS('Cutters Consumption Updates'!$F:$F,'Cutters Consumption Updates'!$G:$G,"NEW",'Cutters Consumption Updates'!$J:$J,Table7[[#This Row],[PO'#]],'Cutters Consumption Updates'!$B:$B,Table7[[#This Row],[Cutter Mat'#]]))</f>
        <v>100</v>
      </c>
      <c r="J496" s="294">
        <f t="shared" si="10"/>
        <v>0</v>
      </c>
    </row>
    <row r="497" spans="1:10" ht="15.5" x14ac:dyDescent="0.25">
      <c r="A497" s="545"/>
      <c r="B497" s="542"/>
      <c r="C497" s="542"/>
      <c r="D497" s="542"/>
      <c r="E497" s="543">
        <v>1293118</v>
      </c>
      <c r="F497" s="544">
        <v>36</v>
      </c>
      <c r="G497" s="476">
        <v>45651</v>
      </c>
      <c r="H497" s="303" t="s">
        <v>979</v>
      </c>
      <c r="I497" s="294">
        <f>SUM(W497,SUMIFS('Cutters Consumption Updates'!$F:$F,'Cutters Consumption Updates'!$G:$G,"NEW",'Cutters Consumption Updates'!$J:$J,Table7[[#This Row],[PO'#]],'Cutters Consumption Updates'!$B:$B,Table7[[#This Row],[Cutter Mat'#]]))</f>
        <v>36</v>
      </c>
      <c r="J497" s="294">
        <f t="shared" si="10"/>
        <v>0</v>
      </c>
    </row>
    <row r="498" spans="1:10" ht="15.5" x14ac:dyDescent="0.25">
      <c r="A498" s="545"/>
      <c r="B498" s="542" t="s">
        <v>985</v>
      </c>
      <c r="C498" s="542"/>
      <c r="D498" s="542"/>
      <c r="E498" s="543">
        <v>2013726</v>
      </c>
      <c r="F498" s="544">
        <v>0</v>
      </c>
      <c r="G498" s="476"/>
      <c r="H498" s="303"/>
      <c r="I498" s="294">
        <f>SUM(W498,SUMIFS('Cutters Consumption Updates'!$F:$F,'Cutters Consumption Updates'!$G:$G,"NEW",'Cutters Consumption Updates'!$J:$J,Table7[[#This Row],[PO'#]],'Cutters Consumption Updates'!$B:$B,Table7[[#This Row],[Cutter Mat'#]]))</f>
        <v>0</v>
      </c>
      <c r="J498" s="294">
        <f t="shared" si="10"/>
        <v>0</v>
      </c>
    </row>
    <row r="499" spans="1:10" ht="15.5" x14ac:dyDescent="0.25">
      <c r="B499" s="364">
        <v>1613</v>
      </c>
      <c r="C499" s="364" t="s">
        <v>109</v>
      </c>
      <c r="D499" s="364" t="s">
        <v>160</v>
      </c>
      <c r="E499" s="304">
        <v>1209333</v>
      </c>
      <c r="F499" s="8">
        <v>80</v>
      </c>
      <c r="G499" s="476">
        <v>45298</v>
      </c>
      <c r="H499" s="303" t="s">
        <v>928</v>
      </c>
      <c r="I499" s="294">
        <f>SUM(W499,SUMIFS('Cutters Consumption Updates'!$F:$F,'Cutters Consumption Updates'!$G:$G,"NEW",'Cutters Consumption Updates'!$J:$J,Table7[[#This Row],[PO'#]],'Cutters Consumption Updates'!$B:$B,Table7[[#This Row],[Cutter Mat'#]]))</f>
        <v>80</v>
      </c>
      <c r="J499" s="294">
        <f t="shared" si="10"/>
        <v>0</v>
      </c>
    </row>
    <row r="500" spans="1:10" ht="15.5" x14ac:dyDescent="0.25">
      <c r="B500" s="364">
        <v>1613</v>
      </c>
      <c r="C500" s="364" t="s">
        <v>986</v>
      </c>
      <c r="D500" s="364" t="s">
        <v>227</v>
      </c>
      <c r="E500" s="304">
        <v>2001060</v>
      </c>
      <c r="F500" s="8">
        <v>40</v>
      </c>
      <c r="G500" s="476">
        <v>45690</v>
      </c>
      <c r="H500" s="303" t="s">
        <v>987</v>
      </c>
      <c r="I500" s="294">
        <f>SUM(W500,SUMIFS('Cutters Consumption Updates'!$F:$F,'Cutters Consumption Updates'!$G:$G,"NEW",'Cutters Consumption Updates'!$J:$J,Table7[[#This Row],[PO'#]],'Cutters Consumption Updates'!$B:$B,Table7[[#This Row],[Cutter Mat'#]]))</f>
        <v>40</v>
      </c>
      <c r="J500" s="294">
        <f t="shared" si="10"/>
        <v>0</v>
      </c>
    </row>
    <row r="501" spans="1:10" ht="15.5" x14ac:dyDescent="0.25">
      <c r="B501" s="364">
        <v>1608</v>
      </c>
      <c r="C501" s="364" t="s">
        <v>253</v>
      </c>
      <c r="D501" s="364" t="s">
        <v>111</v>
      </c>
      <c r="E501" s="304">
        <v>1100739</v>
      </c>
      <c r="F501" s="8">
        <v>10</v>
      </c>
      <c r="G501" s="476">
        <v>45690</v>
      </c>
      <c r="H501" s="303" t="s">
        <v>987</v>
      </c>
      <c r="I501" s="294">
        <f>SUM(W501,SUMIFS('Cutters Consumption Updates'!$F:$F,'Cutters Consumption Updates'!$G:$G,"NEW",'Cutters Consumption Updates'!$J:$J,Table7[[#This Row],[PO'#]],'Cutters Consumption Updates'!$B:$B,Table7[[#This Row],[Cutter Mat'#]]))</f>
        <v>10</v>
      </c>
      <c r="J501" s="294">
        <f t="shared" si="10"/>
        <v>0</v>
      </c>
    </row>
    <row r="502" spans="1:10" ht="15.5" x14ac:dyDescent="0.25">
      <c r="B502" s="364">
        <v>1613</v>
      </c>
      <c r="C502" s="364" t="s">
        <v>988</v>
      </c>
      <c r="D502" s="364" t="s">
        <v>228</v>
      </c>
      <c r="E502" s="569">
        <v>1274176</v>
      </c>
      <c r="F502" s="8">
        <v>40</v>
      </c>
      <c r="G502" s="476">
        <v>45697</v>
      </c>
      <c r="H502" s="303" t="s">
        <v>989</v>
      </c>
      <c r="I502" s="294">
        <f>SUM(W502,SUMIFS('Cutters Consumption Updates'!$F:$F,'Cutters Consumption Updates'!$G:$G,"NEW",'Cutters Consumption Updates'!$J:$J,Table7[[#This Row],[PO'#]],'Cutters Consumption Updates'!$B:$B,Table7[[#This Row],[Cutter Mat'#]]))</f>
        <v>40</v>
      </c>
      <c r="J502" s="294">
        <f t="shared" si="10"/>
        <v>0</v>
      </c>
    </row>
    <row r="503" spans="1:10" ht="15.5" x14ac:dyDescent="0.25">
      <c r="B503" s="364">
        <v>1308</v>
      </c>
      <c r="C503" s="364" t="s">
        <v>65</v>
      </c>
      <c r="D503" s="364" t="s">
        <v>71</v>
      </c>
      <c r="E503" s="304">
        <v>410851</v>
      </c>
      <c r="F503" s="8">
        <v>36</v>
      </c>
      <c r="G503" s="476">
        <v>45685</v>
      </c>
      <c r="H503" s="303" t="s">
        <v>990</v>
      </c>
      <c r="I503" s="294">
        <f>SUM(W503,SUMIFS('Cutters Consumption Updates'!$F:$F,'Cutters Consumption Updates'!$G:$G,"NEW",'Cutters Consumption Updates'!$J:$J,Table7[[#This Row],[PO'#]],'Cutters Consumption Updates'!$B:$B,Table7[[#This Row],[Cutter Mat'#]]))</f>
        <v>36</v>
      </c>
      <c r="J503" s="294">
        <f t="shared" si="10"/>
        <v>0</v>
      </c>
    </row>
    <row r="504" spans="1:10" ht="15.5" x14ac:dyDescent="0.25">
      <c r="B504" s="364">
        <v>1308</v>
      </c>
      <c r="C504" s="364" t="s">
        <v>65</v>
      </c>
      <c r="D504" s="364" t="s">
        <v>71</v>
      </c>
      <c r="E504" s="304">
        <v>418525</v>
      </c>
      <c r="F504" s="8">
        <v>83</v>
      </c>
      <c r="G504" s="476">
        <v>45685</v>
      </c>
      <c r="H504" s="303" t="s">
        <v>990</v>
      </c>
      <c r="I504" s="294">
        <f>SUM(W504,SUMIFS('Cutters Consumption Updates'!$F:$F,'Cutters Consumption Updates'!$G:$G,"NEW",'Cutters Consumption Updates'!$J:$J,Table7[[#This Row],[PO'#]],'Cutters Consumption Updates'!$B:$B,Table7[[#This Row],[Cutter Mat'#]]))</f>
        <v>83</v>
      </c>
      <c r="J504" s="294">
        <f t="shared" si="10"/>
        <v>0</v>
      </c>
    </row>
    <row r="505" spans="1:10" ht="15.5" x14ac:dyDescent="0.25">
      <c r="B505" s="364" t="s">
        <v>935</v>
      </c>
      <c r="C505" s="364" t="s">
        <v>231</v>
      </c>
      <c r="D505" s="364" t="s">
        <v>230</v>
      </c>
      <c r="E505" s="304">
        <v>1293118</v>
      </c>
      <c r="F505" s="8">
        <v>20</v>
      </c>
      <c r="G505" s="476">
        <v>45685</v>
      </c>
      <c r="H505" s="303" t="s">
        <v>990</v>
      </c>
      <c r="I505" s="294">
        <f>SUM(W505,SUMIFS('Cutters Consumption Updates'!$F:$F,'Cutters Consumption Updates'!$G:$G,"NEW",'Cutters Consumption Updates'!$J:$J,Table7[[#This Row],[PO'#]],'Cutters Consumption Updates'!$B:$B,Table7[[#This Row],[Cutter Mat'#]]))</f>
        <v>20</v>
      </c>
      <c r="J505" s="294">
        <f t="shared" si="10"/>
        <v>0</v>
      </c>
    </row>
    <row r="506" spans="1:10" ht="15.5" x14ac:dyDescent="0.25">
      <c r="B506" s="364" t="s">
        <v>991</v>
      </c>
      <c r="C506" s="364" t="s">
        <v>177</v>
      </c>
      <c r="D506" s="364" t="s">
        <v>51</v>
      </c>
      <c r="E506" s="304">
        <v>773384</v>
      </c>
      <c r="F506" s="8">
        <v>10</v>
      </c>
      <c r="G506" s="476">
        <v>45685</v>
      </c>
      <c r="H506" s="303" t="s">
        <v>990</v>
      </c>
      <c r="I506" s="294">
        <f>SUM(W506,SUMIFS('Cutters Consumption Updates'!$F:$F,'Cutters Consumption Updates'!$G:$G,"NEW",'Cutters Consumption Updates'!$J:$J,Table7[[#This Row],[PO'#]],'Cutters Consumption Updates'!$B:$B,Table7[[#This Row],[Cutter Mat'#]]))</f>
        <v>10</v>
      </c>
      <c r="J506" s="294">
        <f t="shared" si="10"/>
        <v>0</v>
      </c>
    </row>
    <row r="507" spans="1:10" ht="15.5" x14ac:dyDescent="0.25">
      <c r="B507" s="364" t="s">
        <v>992</v>
      </c>
      <c r="C507" s="364" t="s">
        <v>177</v>
      </c>
      <c r="D507" s="364" t="s">
        <v>51</v>
      </c>
      <c r="E507" s="304">
        <v>717748</v>
      </c>
      <c r="F507" s="8">
        <v>20</v>
      </c>
      <c r="G507" s="476">
        <v>45685</v>
      </c>
      <c r="H507" s="303" t="s">
        <v>990</v>
      </c>
      <c r="I507" s="294">
        <f>SUM(W507,SUMIFS('Cutters Consumption Updates'!$F:$F,'Cutters Consumption Updates'!$G:$G,"NEW",'Cutters Consumption Updates'!$J:$J,Table7[[#This Row],[PO'#]],'Cutters Consumption Updates'!$B:$B,Table7[[#This Row],[Cutter Mat'#]]))</f>
        <v>20</v>
      </c>
      <c r="J507" s="294">
        <f t="shared" si="10"/>
        <v>0</v>
      </c>
    </row>
    <row r="508" spans="1:10" ht="15.5" x14ac:dyDescent="0.25">
      <c r="B508" s="364" t="s">
        <v>875</v>
      </c>
      <c r="C508" s="364" t="s">
        <v>170</v>
      </c>
      <c r="D508" s="364" t="s">
        <v>215</v>
      </c>
      <c r="E508" s="304">
        <v>2002243</v>
      </c>
      <c r="F508" s="8">
        <v>50</v>
      </c>
      <c r="G508" s="476">
        <v>45685</v>
      </c>
      <c r="H508" s="303" t="s">
        <v>990</v>
      </c>
      <c r="I508" s="294">
        <f>SUM(W508,SUMIFS('Cutters Consumption Updates'!$F:$F,'Cutters Consumption Updates'!$G:$G,"NEW",'Cutters Consumption Updates'!$J:$J,Table7[[#This Row],[PO'#]],'Cutters Consumption Updates'!$B:$B,Table7[[#This Row],[Cutter Mat'#]]))</f>
        <v>50</v>
      </c>
      <c r="J508" s="294">
        <f t="shared" si="10"/>
        <v>0</v>
      </c>
    </row>
    <row r="509" spans="1:10" ht="15.5" x14ac:dyDescent="0.25">
      <c r="B509" s="364" t="s">
        <v>877</v>
      </c>
      <c r="C509" s="364" t="s">
        <v>253</v>
      </c>
      <c r="D509" s="364" t="s">
        <v>242</v>
      </c>
      <c r="E509" s="304">
        <v>871781</v>
      </c>
      <c r="F509" s="8">
        <v>80</v>
      </c>
      <c r="G509" s="476">
        <v>45685</v>
      </c>
      <c r="H509" s="303" t="s">
        <v>990</v>
      </c>
      <c r="I509" s="294">
        <f>SUM(W509,SUMIFS('Cutters Consumption Updates'!$F:$F,'Cutters Consumption Updates'!$G:$G,"NEW",'Cutters Consumption Updates'!$J:$J,Table7[[#This Row],[PO'#]],'Cutters Consumption Updates'!$B:$B,Table7[[#This Row],[Cutter Mat'#]]))</f>
        <v>80</v>
      </c>
      <c r="J509" s="294">
        <f t="shared" si="10"/>
        <v>0</v>
      </c>
    </row>
    <row r="510" spans="1:10" ht="15.5" x14ac:dyDescent="0.25">
      <c r="B510" s="364" t="s">
        <v>878</v>
      </c>
      <c r="C510" s="364" t="s">
        <v>170</v>
      </c>
      <c r="D510" s="364" t="s">
        <v>207</v>
      </c>
      <c r="E510" s="304">
        <v>1282369</v>
      </c>
      <c r="F510" s="8">
        <v>13</v>
      </c>
      <c r="G510" s="476">
        <v>45685</v>
      </c>
      <c r="H510" s="303" t="s">
        <v>990</v>
      </c>
      <c r="I510" s="294">
        <f>SUM(W510,SUMIFS('Cutters Consumption Updates'!$F:$F,'Cutters Consumption Updates'!$G:$G,"NEW",'Cutters Consumption Updates'!$J:$J,Table7[[#This Row],[PO'#]],'Cutters Consumption Updates'!$B:$B,Table7[[#This Row],[Cutter Mat'#]]))</f>
        <v>13</v>
      </c>
      <c r="J510" s="294">
        <f t="shared" si="10"/>
        <v>0</v>
      </c>
    </row>
    <row r="511" spans="1:10" ht="15.5" x14ac:dyDescent="0.25">
      <c r="B511" s="364" t="s">
        <v>38</v>
      </c>
      <c r="C511" s="364" t="s">
        <v>151</v>
      </c>
      <c r="D511" s="364" t="s">
        <v>149</v>
      </c>
      <c r="E511" s="304">
        <v>1078377</v>
      </c>
      <c r="F511" s="8">
        <v>90</v>
      </c>
      <c r="G511" s="476">
        <v>45685</v>
      </c>
      <c r="H511" s="303" t="s">
        <v>990</v>
      </c>
      <c r="I511" s="294">
        <f>SUM(W511,SUMIFS('Cutters Consumption Updates'!$F:$F,'Cutters Consumption Updates'!$G:$G,"NEW",'Cutters Consumption Updates'!$J:$J,Table7[[#This Row],[PO'#]],'Cutters Consumption Updates'!$B:$B,Table7[[#This Row],[Cutter Mat'#]]))</f>
        <v>90</v>
      </c>
      <c r="J511" s="294">
        <f t="shared" si="10"/>
        <v>0</v>
      </c>
    </row>
    <row r="512" spans="1:10" ht="15.5" x14ac:dyDescent="0.25">
      <c r="B512" s="364" t="s">
        <v>993</v>
      </c>
      <c r="C512" s="364" t="s">
        <v>103</v>
      </c>
      <c r="D512" s="364" t="s">
        <v>192</v>
      </c>
      <c r="E512" s="304">
        <v>179734</v>
      </c>
      <c r="F512" s="8">
        <v>22</v>
      </c>
      <c r="G512" s="476">
        <v>45685</v>
      </c>
      <c r="H512" s="303" t="s">
        <v>990</v>
      </c>
      <c r="I512" s="294">
        <f>SUM(W512,SUMIFS('Cutters Consumption Updates'!$F:$F,'Cutters Consumption Updates'!$G:$G,"NEW",'Cutters Consumption Updates'!$J:$J,Table7[[#This Row],[PO'#]],'Cutters Consumption Updates'!$B:$B,Table7[[#This Row],[Cutter Mat'#]]))</f>
        <v>22</v>
      </c>
      <c r="J512" s="294">
        <f t="shared" si="10"/>
        <v>0</v>
      </c>
    </row>
    <row r="513" spans="2:10" ht="15.5" x14ac:dyDescent="0.25">
      <c r="B513" s="364" t="s">
        <v>994</v>
      </c>
      <c r="C513" s="364" t="s">
        <v>243</v>
      </c>
      <c r="D513" s="364" t="s">
        <v>965</v>
      </c>
      <c r="E513" s="304">
        <v>653400</v>
      </c>
      <c r="F513" s="8">
        <v>10</v>
      </c>
      <c r="G513" s="476">
        <v>45685</v>
      </c>
      <c r="H513" s="303" t="s">
        <v>990</v>
      </c>
      <c r="I513" s="294">
        <f>SUM(W513,SUMIFS('Cutters Consumption Updates'!$F:$F,'Cutters Consumption Updates'!$G:$G,"NEW",'Cutters Consumption Updates'!$J:$J,Table7[[#This Row],[PO'#]],'Cutters Consumption Updates'!$B:$B,Table7[[#This Row],[Cutter Mat'#]]))</f>
        <v>10</v>
      </c>
      <c r="J513" s="294">
        <f t="shared" si="10"/>
        <v>0</v>
      </c>
    </row>
    <row r="514" spans="2:10" ht="15.5" x14ac:dyDescent="0.25">
      <c r="B514" s="364" t="s">
        <v>894</v>
      </c>
      <c r="C514" s="364" t="s">
        <v>177</v>
      </c>
      <c r="D514" s="364" t="s">
        <v>111</v>
      </c>
      <c r="E514" s="304">
        <v>1146737</v>
      </c>
      <c r="F514" s="8">
        <v>50</v>
      </c>
      <c r="G514" s="476">
        <v>45685</v>
      </c>
      <c r="H514" s="303" t="s">
        <v>990</v>
      </c>
      <c r="I514" s="294">
        <f>SUM(W514,SUMIFS('Cutters Consumption Updates'!$F:$F,'Cutters Consumption Updates'!$G:$G,"NEW",'Cutters Consumption Updates'!$J:$J,Table7[[#This Row],[PO'#]],'Cutters Consumption Updates'!$B:$B,Table7[[#This Row],[Cutter Mat'#]]))</f>
        <v>50</v>
      </c>
      <c r="J514" s="294">
        <f t="shared" ref="J514:J540" si="11">F514-I514</f>
        <v>0</v>
      </c>
    </row>
    <row r="515" spans="2:10" ht="15.5" x14ac:dyDescent="0.25">
      <c r="B515" s="364" t="s">
        <v>881</v>
      </c>
      <c r="C515" s="364" t="s">
        <v>170</v>
      </c>
      <c r="D515" s="364" t="s">
        <v>225</v>
      </c>
      <c r="E515" s="304">
        <v>2002299</v>
      </c>
      <c r="F515" s="8">
        <v>40</v>
      </c>
      <c r="G515" s="476">
        <v>45685</v>
      </c>
      <c r="H515" s="303" t="s">
        <v>990</v>
      </c>
      <c r="I515" s="294">
        <f>SUM(W515,SUMIFS('Cutters Consumption Updates'!$F:$F,'Cutters Consumption Updates'!$G:$G,"NEW",'Cutters Consumption Updates'!$J:$J,Table7[[#This Row],[PO'#]],'Cutters Consumption Updates'!$B:$B,Table7[[#This Row],[Cutter Mat'#]]))</f>
        <v>40</v>
      </c>
      <c r="J515" s="294">
        <f t="shared" si="11"/>
        <v>0</v>
      </c>
    </row>
    <row r="516" spans="2:10" ht="15.5" x14ac:dyDescent="0.25">
      <c r="B516" s="364" t="s">
        <v>995</v>
      </c>
      <c r="C516" s="364" t="s">
        <v>243</v>
      </c>
      <c r="D516" s="364" t="s">
        <v>192</v>
      </c>
      <c r="E516" s="304">
        <v>1200972</v>
      </c>
      <c r="F516" s="8">
        <v>25</v>
      </c>
      <c r="G516" s="476">
        <v>45685</v>
      </c>
      <c r="H516" s="303" t="s">
        <v>990</v>
      </c>
      <c r="I516" s="294">
        <f>SUM(W516,SUMIFS('Cutters Consumption Updates'!$F:$F,'Cutters Consumption Updates'!$G:$G,"NEW",'Cutters Consumption Updates'!$J:$J,Table7[[#This Row],[PO'#]],'Cutters Consumption Updates'!$B:$B,Table7[[#This Row],[Cutter Mat'#]]))</f>
        <v>25</v>
      </c>
      <c r="J516" s="294">
        <f t="shared" si="11"/>
        <v>0</v>
      </c>
    </row>
    <row r="517" spans="2:10" ht="15.5" x14ac:dyDescent="0.25">
      <c r="B517" s="364" t="s">
        <v>901</v>
      </c>
      <c r="C517" s="364" t="s">
        <v>170</v>
      </c>
      <c r="D517" s="364" t="s">
        <v>114</v>
      </c>
      <c r="E517" s="304">
        <v>1228502</v>
      </c>
      <c r="F517" s="8">
        <v>30</v>
      </c>
      <c r="G517" s="476">
        <v>45685</v>
      </c>
      <c r="H517" s="303" t="s">
        <v>990</v>
      </c>
      <c r="I517" s="294">
        <f>SUM(W517,SUMIFS('Cutters Consumption Updates'!$F:$F,'Cutters Consumption Updates'!$G:$G,"NEW",'Cutters Consumption Updates'!$J:$J,Table7[[#This Row],[PO'#]],'Cutters Consumption Updates'!$B:$B,Table7[[#This Row],[Cutter Mat'#]]))</f>
        <v>30</v>
      </c>
      <c r="J517" s="294">
        <f t="shared" si="11"/>
        <v>0</v>
      </c>
    </row>
    <row r="518" spans="2:10" ht="15.5" x14ac:dyDescent="0.25">
      <c r="B518" s="364">
        <v>1613</v>
      </c>
      <c r="C518" s="364" t="s">
        <v>177</v>
      </c>
      <c r="D518" s="364" t="s">
        <v>212</v>
      </c>
      <c r="E518" s="304">
        <v>1263929</v>
      </c>
      <c r="F518" s="8">
        <v>195</v>
      </c>
      <c r="G518" s="476">
        <v>45685</v>
      </c>
      <c r="H518" s="303" t="s">
        <v>990</v>
      </c>
      <c r="I518" s="294">
        <f>SUM(W518,SUMIFS('Cutters Consumption Updates'!$F:$F,'Cutters Consumption Updates'!$G:$G,"NEW",'Cutters Consumption Updates'!$J:$J,Table7[[#This Row],[PO'#]],'Cutters Consumption Updates'!$B:$B,Table7[[#This Row],[Cutter Mat'#]]))</f>
        <v>195</v>
      </c>
      <c r="J518" s="294">
        <f t="shared" si="11"/>
        <v>0</v>
      </c>
    </row>
    <row r="519" spans="2:10" ht="15.5" x14ac:dyDescent="0.25">
      <c r="B519" s="364">
        <v>12</v>
      </c>
      <c r="C519" s="364"/>
      <c r="D519" s="364" t="s">
        <v>192</v>
      </c>
      <c r="E519" s="304">
        <v>1201518</v>
      </c>
      <c r="F519" s="8">
        <v>20</v>
      </c>
      <c r="G519" s="476">
        <v>45685</v>
      </c>
      <c r="H519" s="303" t="s">
        <v>996</v>
      </c>
      <c r="I519" s="294">
        <f>SUM(W519,SUMIFS('Cutters Consumption Updates'!$F:$F,'Cutters Consumption Updates'!$G:$G,"NEW",'Cutters Consumption Updates'!$J:$J,Table7[[#This Row],[PO'#]],'Cutters Consumption Updates'!$B:$B,Table7[[#This Row],[Cutter Mat'#]]))</f>
        <v>20</v>
      </c>
      <c r="J519" s="294">
        <f t="shared" si="11"/>
        <v>0</v>
      </c>
    </row>
    <row r="520" spans="2:10" ht="15.5" x14ac:dyDescent="0.25">
      <c r="B520" s="364">
        <v>1313</v>
      </c>
      <c r="C520" s="364" t="s">
        <v>170</v>
      </c>
      <c r="D520" s="364" t="s">
        <v>227</v>
      </c>
      <c r="E520" s="304">
        <v>2001155</v>
      </c>
      <c r="F520" s="8">
        <v>14</v>
      </c>
      <c r="G520" s="476">
        <v>45690</v>
      </c>
      <c r="H520" s="303" t="s">
        <v>987</v>
      </c>
      <c r="I520" s="294">
        <f>SUM(W520,SUMIFS('Cutters Consumption Updates'!$F:$F,'Cutters Consumption Updates'!$G:$G,"NEW",'Cutters Consumption Updates'!$J:$J,Table7[[#This Row],[PO'#]],'Cutters Consumption Updates'!$B:$B,Table7[[#This Row],[Cutter Mat'#]]))</f>
        <v>14</v>
      </c>
      <c r="J520" s="294">
        <f t="shared" si="11"/>
        <v>0</v>
      </c>
    </row>
    <row r="521" spans="2:10" ht="15.5" x14ac:dyDescent="0.25">
      <c r="B521" s="364">
        <v>1613</v>
      </c>
      <c r="C521" s="364" t="s">
        <v>214</v>
      </c>
      <c r="D521" s="364" t="s">
        <v>177</v>
      </c>
      <c r="E521" s="304">
        <v>1288783</v>
      </c>
      <c r="F521" s="8">
        <v>75</v>
      </c>
      <c r="G521" s="476">
        <v>45697</v>
      </c>
      <c r="H521" s="303" t="s">
        <v>989</v>
      </c>
      <c r="I521" s="294">
        <f>SUM(W521,SUMIFS('Cutters Consumption Updates'!$F:$F,'Cutters Consumption Updates'!$G:$G,"NEW",'Cutters Consumption Updates'!$J:$J,Table7[[#This Row],[PO'#]],'Cutters Consumption Updates'!$B:$B,Table7[[#This Row],[Cutter Mat'#]]))</f>
        <v>75</v>
      </c>
      <c r="J521" s="294">
        <f t="shared" si="11"/>
        <v>0</v>
      </c>
    </row>
    <row r="522" spans="2:10" ht="15.5" x14ac:dyDescent="0.25">
      <c r="B522" s="364" t="s">
        <v>38</v>
      </c>
      <c r="C522" s="364" t="s">
        <v>151</v>
      </c>
      <c r="D522" s="364" t="s">
        <v>149</v>
      </c>
      <c r="E522" s="304">
        <v>1078377</v>
      </c>
      <c r="F522" s="8">
        <v>200</v>
      </c>
      <c r="G522" s="476">
        <v>45697</v>
      </c>
      <c r="H522" s="303" t="s">
        <v>989</v>
      </c>
      <c r="I522" s="294">
        <f>SUM(W522,SUMIFS('Cutters Consumption Updates'!$F:$F,'Cutters Consumption Updates'!$G:$G,"NEW",'Cutters Consumption Updates'!$J:$J,Table7[[#This Row],[PO'#]],'Cutters Consumption Updates'!$B:$B,Table7[[#This Row],[Cutter Mat'#]]))</f>
        <v>200</v>
      </c>
      <c r="J522" s="294">
        <f t="shared" si="11"/>
        <v>0</v>
      </c>
    </row>
    <row r="523" spans="2:10" ht="15.5" x14ac:dyDescent="0.25">
      <c r="B523" s="364">
        <v>1613</v>
      </c>
      <c r="C523" s="364" t="s">
        <v>111</v>
      </c>
      <c r="D523" s="364" t="s">
        <v>170</v>
      </c>
      <c r="E523" s="304">
        <v>1208601</v>
      </c>
      <c r="F523" s="8">
        <v>100</v>
      </c>
      <c r="G523" s="476">
        <v>45697</v>
      </c>
      <c r="H523" s="303" t="s">
        <v>989</v>
      </c>
      <c r="I523" s="294">
        <f>SUM(W523,SUMIFS('Cutters Consumption Updates'!$F:$F,'Cutters Consumption Updates'!$G:$G,"NEW",'Cutters Consumption Updates'!$J:$J,Table7[[#This Row],[PO'#]],'Cutters Consumption Updates'!$B:$B,Table7[[#This Row],[Cutter Mat'#]]))</f>
        <v>100</v>
      </c>
      <c r="J523" s="294">
        <f t="shared" si="11"/>
        <v>0</v>
      </c>
    </row>
    <row r="524" spans="2:10" ht="15.5" x14ac:dyDescent="0.25">
      <c r="B524" s="364">
        <v>1613</v>
      </c>
      <c r="C524" s="364" t="s">
        <v>109</v>
      </c>
      <c r="D524" s="364" t="s">
        <v>160</v>
      </c>
      <c r="E524" s="304">
        <v>1209333</v>
      </c>
      <c r="F524" s="8">
        <v>70</v>
      </c>
      <c r="G524" s="476">
        <v>45697</v>
      </c>
      <c r="H524" s="303" t="s">
        <v>989</v>
      </c>
      <c r="I524" s="294">
        <f>SUM(W524,SUMIFS('Cutters Consumption Updates'!$F:$F,'Cutters Consumption Updates'!$G:$G,"NEW",'Cutters Consumption Updates'!$J:$J,Table7[[#This Row],[PO'#]],'Cutters Consumption Updates'!$B:$B,Table7[[#This Row],[Cutter Mat'#]]))</f>
        <v>70</v>
      </c>
      <c r="J524" s="294">
        <f t="shared" si="11"/>
        <v>0</v>
      </c>
    </row>
    <row r="525" spans="2:10" ht="15.5" x14ac:dyDescent="0.25">
      <c r="B525" s="364"/>
      <c r="C525" s="364"/>
      <c r="D525" s="364" t="s">
        <v>997</v>
      </c>
      <c r="E525" s="304">
        <v>1220554</v>
      </c>
      <c r="F525" s="8">
        <v>200</v>
      </c>
      <c r="G525" s="476">
        <v>45697</v>
      </c>
      <c r="H525" s="303" t="s">
        <v>989</v>
      </c>
      <c r="I525" s="294">
        <f>SUM(W525,SUMIFS('Cutters Consumption Updates'!$F:$F,'Cutters Consumption Updates'!$G:$G,"NEW",'Cutters Consumption Updates'!$J:$J,Table7[[#This Row],[PO'#]],'Cutters Consumption Updates'!$B:$B,Table7[[#This Row],[Cutter Mat'#]]))</f>
        <v>200</v>
      </c>
      <c r="J525" s="294">
        <f t="shared" si="11"/>
        <v>0</v>
      </c>
    </row>
    <row r="526" spans="2:10" ht="15.5" x14ac:dyDescent="0.25">
      <c r="B526" s="364">
        <v>1613</v>
      </c>
      <c r="C526" s="364" t="s">
        <v>207</v>
      </c>
      <c r="D526" s="364" t="s">
        <v>170</v>
      </c>
      <c r="E526" s="304">
        <v>1282370</v>
      </c>
      <c r="F526" s="8">
        <v>50</v>
      </c>
      <c r="G526" s="476">
        <v>45697</v>
      </c>
      <c r="H526" s="303" t="s">
        <v>989</v>
      </c>
      <c r="I526" s="294">
        <f>SUM(W526,SUMIFS('Cutters Consumption Updates'!$F:$F,'Cutters Consumption Updates'!$G:$G,"NEW",'Cutters Consumption Updates'!$J:$J,Table7[[#This Row],[PO'#]],'Cutters Consumption Updates'!$B:$B,Table7[[#This Row],[Cutter Mat'#]]))</f>
        <v>50</v>
      </c>
      <c r="J526" s="294">
        <f t="shared" si="11"/>
        <v>0</v>
      </c>
    </row>
    <row r="527" spans="2:10" ht="15.5" x14ac:dyDescent="0.25">
      <c r="B527" s="364">
        <v>1308</v>
      </c>
      <c r="C527" s="364" t="s">
        <v>65</v>
      </c>
      <c r="D527" s="364" t="s">
        <v>71</v>
      </c>
      <c r="E527" s="304">
        <v>418525</v>
      </c>
      <c r="F527" s="8">
        <v>273</v>
      </c>
      <c r="G527" s="476">
        <v>45713</v>
      </c>
      <c r="H527" s="303" t="s">
        <v>998</v>
      </c>
      <c r="I527" s="294">
        <f>SUM(W527,SUMIFS('Cutters Consumption Updates'!$F:$F,'Cutters Consumption Updates'!$G:$G,"NEW",'Cutters Consumption Updates'!$J:$J,Table7[[#This Row],[PO'#]],'Cutters Consumption Updates'!$B:$B,Table7[[#This Row],[Cutter Mat'#]]))</f>
        <v>273</v>
      </c>
      <c r="J527" s="294">
        <f t="shared" si="11"/>
        <v>0</v>
      </c>
    </row>
    <row r="528" spans="2:10" ht="15.5" x14ac:dyDescent="0.25">
      <c r="B528" s="364" t="s">
        <v>935</v>
      </c>
      <c r="C528" s="364" t="s">
        <v>231</v>
      </c>
      <c r="D528" s="364" t="s">
        <v>230</v>
      </c>
      <c r="E528" s="304">
        <v>1293118</v>
      </c>
      <c r="F528" s="8">
        <v>80</v>
      </c>
      <c r="G528" s="476">
        <v>45713</v>
      </c>
      <c r="H528" s="303" t="s">
        <v>998</v>
      </c>
      <c r="I528" s="294">
        <f>SUM(W528,SUMIFS('Cutters Consumption Updates'!$F:$F,'Cutters Consumption Updates'!$G:$G,"NEW",'Cutters Consumption Updates'!$J:$J,Table7[[#This Row],[PO'#]],'Cutters Consumption Updates'!$B:$B,Table7[[#This Row],[Cutter Mat'#]]))</f>
        <v>80</v>
      </c>
      <c r="J528" s="294">
        <f t="shared" si="11"/>
        <v>0</v>
      </c>
    </row>
    <row r="529" spans="1:10" ht="15.5" x14ac:dyDescent="0.25">
      <c r="B529" s="364" t="s">
        <v>921</v>
      </c>
      <c r="C529" s="364" t="s">
        <v>253</v>
      </c>
      <c r="D529" s="364" t="s">
        <v>139</v>
      </c>
      <c r="E529" s="304">
        <v>1230916</v>
      </c>
      <c r="F529" s="8">
        <v>30</v>
      </c>
      <c r="G529" s="476">
        <v>45713</v>
      </c>
      <c r="H529" s="303" t="s">
        <v>998</v>
      </c>
      <c r="I529" s="294">
        <f>SUM(W529,SUMIFS('Cutters Consumption Updates'!$F:$F,'Cutters Consumption Updates'!$G:$G,"NEW",'Cutters Consumption Updates'!$J:$J,Table7[[#This Row],[PO'#]],'Cutters Consumption Updates'!$B:$B,Table7[[#This Row],[Cutter Mat'#]]))</f>
        <v>30</v>
      </c>
      <c r="J529" s="294">
        <f t="shared" si="11"/>
        <v>0</v>
      </c>
    </row>
    <row r="530" spans="1:10" ht="15.5" x14ac:dyDescent="0.25">
      <c r="B530" s="364" t="s">
        <v>991</v>
      </c>
      <c r="C530" s="364" t="s">
        <v>177</v>
      </c>
      <c r="D530" s="364" t="s">
        <v>51</v>
      </c>
      <c r="E530" s="304">
        <v>773384</v>
      </c>
      <c r="F530" s="8">
        <v>55</v>
      </c>
      <c r="G530" s="476">
        <v>45713</v>
      </c>
      <c r="H530" s="303" t="s">
        <v>998</v>
      </c>
      <c r="I530" s="294">
        <f>SUM(W530,SUMIFS('Cutters Consumption Updates'!$F:$F,'Cutters Consumption Updates'!$G:$G,"NEW",'Cutters Consumption Updates'!$J:$J,Table7[[#This Row],[PO'#]],'Cutters Consumption Updates'!$B:$B,Table7[[#This Row],[Cutter Mat'#]]))</f>
        <v>55</v>
      </c>
      <c r="J530" s="294">
        <f t="shared" si="11"/>
        <v>0</v>
      </c>
    </row>
    <row r="531" spans="1:10" ht="15.5" x14ac:dyDescent="0.25">
      <c r="B531" s="364" t="s">
        <v>922</v>
      </c>
      <c r="C531" s="364" t="s">
        <v>253</v>
      </c>
      <c r="D531" s="364" t="s">
        <v>139</v>
      </c>
      <c r="E531" s="304">
        <v>1199261</v>
      </c>
      <c r="F531" s="8">
        <v>30</v>
      </c>
      <c r="G531" s="476">
        <v>45713</v>
      </c>
      <c r="H531" s="303" t="s">
        <v>998</v>
      </c>
      <c r="I531" s="294">
        <f>SUM(W531,SUMIFS('Cutters Consumption Updates'!$F:$F,'Cutters Consumption Updates'!$G:$G,"NEW",'Cutters Consumption Updates'!$J:$J,Table7[[#This Row],[PO'#]],'Cutters Consumption Updates'!$B:$B,Table7[[#This Row],[Cutter Mat'#]]))</f>
        <v>30</v>
      </c>
      <c r="J531" s="294">
        <f t="shared" si="11"/>
        <v>0</v>
      </c>
    </row>
    <row r="532" spans="1:10" ht="15.5" x14ac:dyDescent="0.25">
      <c r="B532" s="364" t="s">
        <v>992</v>
      </c>
      <c r="C532" s="364" t="s">
        <v>177</v>
      </c>
      <c r="D532" s="364" t="s">
        <v>51</v>
      </c>
      <c r="E532" s="304">
        <v>717748</v>
      </c>
      <c r="F532" s="8">
        <v>130</v>
      </c>
      <c r="G532" s="476">
        <v>45713</v>
      </c>
      <c r="H532" s="303" t="s">
        <v>998</v>
      </c>
      <c r="I532" s="294">
        <f>SUM(W532,SUMIFS('Cutters Consumption Updates'!$F:$F,'Cutters Consumption Updates'!$G:$G,"NEW",'Cutters Consumption Updates'!$J:$J,Table7[[#This Row],[PO'#]],'Cutters Consumption Updates'!$B:$B,Table7[[#This Row],[Cutter Mat'#]]))</f>
        <v>130</v>
      </c>
      <c r="J532" s="294">
        <f t="shared" si="11"/>
        <v>0</v>
      </c>
    </row>
    <row r="533" spans="1:10" ht="15.5" x14ac:dyDescent="0.25">
      <c r="B533" s="364" t="s">
        <v>910</v>
      </c>
      <c r="C533" s="364" t="s">
        <v>253</v>
      </c>
      <c r="D533" s="364" t="s">
        <v>242</v>
      </c>
      <c r="E533" s="304">
        <v>717751</v>
      </c>
      <c r="F533" s="8">
        <v>20</v>
      </c>
      <c r="G533" s="476">
        <v>45713</v>
      </c>
      <c r="H533" s="303" t="s">
        <v>998</v>
      </c>
      <c r="I533" s="294">
        <f>SUM(W533,SUMIFS('Cutters Consumption Updates'!$F:$F,'Cutters Consumption Updates'!$G:$G,"NEW",'Cutters Consumption Updates'!$J:$J,Table7[[#This Row],[PO'#]],'Cutters Consumption Updates'!$B:$B,Table7[[#This Row],[Cutter Mat'#]]))</f>
        <v>20</v>
      </c>
      <c r="J533" s="294">
        <f t="shared" si="11"/>
        <v>0</v>
      </c>
    </row>
    <row r="534" spans="1:10" ht="15.5" x14ac:dyDescent="0.25">
      <c r="B534" s="364" t="s">
        <v>877</v>
      </c>
      <c r="C534" s="364" t="s">
        <v>253</v>
      </c>
      <c r="D534" s="364" t="s">
        <v>242</v>
      </c>
      <c r="E534" s="304">
        <v>871781</v>
      </c>
      <c r="F534" s="8">
        <v>30</v>
      </c>
      <c r="G534" s="476">
        <v>45713</v>
      </c>
      <c r="H534" s="303" t="s">
        <v>998</v>
      </c>
      <c r="I534" s="294">
        <f>SUM(W534,SUMIFS('Cutters Consumption Updates'!$F:$F,'Cutters Consumption Updates'!$G:$G,"NEW",'Cutters Consumption Updates'!$J:$J,Table7[[#This Row],[PO'#]],'Cutters Consumption Updates'!$B:$B,Table7[[#This Row],[Cutter Mat'#]]))</f>
        <v>30</v>
      </c>
      <c r="J534" s="294">
        <f t="shared" si="11"/>
        <v>0</v>
      </c>
    </row>
    <row r="535" spans="1:10" ht="15.5" x14ac:dyDescent="0.25">
      <c r="B535" s="364" t="s">
        <v>38</v>
      </c>
      <c r="C535" s="364" t="s">
        <v>151</v>
      </c>
      <c r="D535" s="364" t="s">
        <v>149</v>
      </c>
      <c r="E535" s="304">
        <v>1078377</v>
      </c>
      <c r="F535" s="8">
        <v>100</v>
      </c>
      <c r="G535" s="476">
        <v>45713</v>
      </c>
      <c r="H535" s="303" t="s">
        <v>998</v>
      </c>
      <c r="I535" s="294">
        <f>SUM(W535,SUMIFS('Cutters Consumption Updates'!$F:$F,'Cutters Consumption Updates'!$G:$G,"NEW",'Cutters Consumption Updates'!$J:$J,Table7[[#This Row],[PO'#]],'Cutters Consumption Updates'!$B:$B,Table7[[#This Row],[Cutter Mat'#]]))</f>
        <v>100</v>
      </c>
      <c r="J535" s="294">
        <f t="shared" si="11"/>
        <v>0</v>
      </c>
    </row>
    <row r="536" spans="1:10" ht="15.5" x14ac:dyDescent="0.25">
      <c r="B536" s="364" t="s">
        <v>894</v>
      </c>
      <c r="C536" s="364" t="s">
        <v>177</v>
      </c>
      <c r="D536" s="364" t="s">
        <v>214</v>
      </c>
      <c r="E536" s="304">
        <v>1288783</v>
      </c>
      <c r="F536" s="8">
        <v>150</v>
      </c>
      <c r="G536" s="476">
        <v>45713</v>
      </c>
      <c r="H536" s="303" t="s">
        <v>998</v>
      </c>
      <c r="I536" s="294">
        <f>SUM(W536,SUMIFS('Cutters Consumption Updates'!$F:$F,'Cutters Consumption Updates'!$G:$G,"NEW",'Cutters Consumption Updates'!$J:$J,Table7[[#This Row],[PO'#]],'Cutters Consumption Updates'!$B:$B,Table7[[#This Row],[Cutter Mat'#]]))</f>
        <v>150</v>
      </c>
      <c r="J536" s="294">
        <f t="shared" si="11"/>
        <v>0</v>
      </c>
    </row>
    <row r="537" spans="1:10" ht="15.5" x14ac:dyDescent="0.25">
      <c r="B537" s="364" t="s">
        <v>894</v>
      </c>
      <c r="C537" s="364" t="s">
        <v>177</v>
      </c>
      <c r="D537" s="364" t="s">
        <v>111</v>
      </c>
      <c r="E537" s="304">
        <v>1146737</v>
      </c>
      <c r="F537" s="8">
        <v>150</v>
      </c>
      <c r="G537" s="476">
        <v>45713</v>
      </c>
      <c r="H537" s="303" t="s">
        <v>998</v>
      </c>
      <c r="I537" s="294">
        <f>SUM(W537,SUMIFS('Cutters Consumption Updates'!$F:$F,'Cutters Consumption Updates'!$G:$G,"NEW",'Cutters Consumption Updates'!$J:$J,Table7[[#This Row],[PO'#]],'Cutters Consumption Updates'!$B:$B,Table7[[#This Row],[Cutter Mat'#]]))</f>
        <v>150</v>
      </c>
      <c r="J537" s="294">
        <f t="shared" si="11"/>
        <v>0</v>
      </c>
    </row>
    <row r="538" spans="1:10" ht="15.5" x14ac:dyDescent="0.25">
      <c r="B538" s="364" t="s">
        <v>881</v>
      </c>
      <c r="C538" s="364" t="s">
        <v>170</v>
      </c>
      <c r="D538" s="364" t="s">
        <v>111</v>
      </c>
      <c r="E538" s="304">
        <v>1208601</v>
      </c>
      <c r="F538" s="8">
        <v>100</v>
      </c>
      <c r="G538" s="476">
        <v>45713</v>
      </c>
      <c r="H538" s="303" t="s">
        <v>998</v>
      </c>
      <c r="I538" s="294">
        <f>SUM(W538,SUMIFS('Cutters Consumption Updates'!$F:$F,'Cutters Consumption Updates'!$G:$G,"NEW",'Cutters Consumption Updates'!$J:$J,Table7[[#This Row],[PO'#]],'Cutters Consumption Updates'!$B:$B,Table7[[#This Row],[Cutter Mat'#]]))</f>
        <v>100</v>
      </c>
      <c r="J538" s="294">
        <f t="shared" si="11"/>
        <v>0</v>
      </c>
    </row>
    <row r="539" spans="1:10" ht="15.5" x14ac:dyDescent="0.25">
      <c r="B539" s="364">
        <v>1313</v>
      </c>
      <c r="C539" s="364" t="s">
        <v>170</v>
      </c>
      <c r="D539" s="364" t="s">
        <v>215</v>
      </c>
      <c r="E539" s="304">
        <v>2002244</v>
      </c>
      <c r="F539" s="8">
        <v>60</v>
      </c>
      <c r="G539" s="476">
        <v>46022</v>
      </c>
      <c r="H539" s="303" t="s">
        <v>999</v>
      </c>
      <c r="I539" s="294">
        <f>SUM(W539,SUMIFS('Cutters Consumption Updates'!$F:$F,'Cutters Consumption Updates'!$G:$G,"NEW",'Cutters Consumption Updates'!$J:$J,Table7[[#This Row],[PO'#]],'Cutters Consumption Updates'!$B:$B,Table7[[#This Row],[Cutter Mat'#]]))</f>
        <v>60</v>
      </c>
      <c r="J539" s="294">
        <f t="shared" si="11"/>
        <v>0</v>
      </c>
    </row>
    <row r="540" spans="1:10" ht="15.5" x14ac:dyDescent="0.25">
      <c r="B540" s="364" t="s">
        <v>876</v>
      </c>
      <c r="C540" s="364" t="s">
        <v>248</v>
      </c>
      <c r="D540" s="364" t="s">
        <v>205</v>
      </c>
      <c r="E540" s="304">
        <v>1186963</v>
      </c>
      <c r="F540" s="8">
        <v>2</v>
      </c>
      <c r="G540" s="476">
        <v>45627</v>
      </c>
      <c r="H540" s="303" t="s">
        <v>974</v>
      </c>
      <c r="I540" s="294">
        <f>SUM(W540,SUMIFS('Cutters Consumption Updates'!$F:$F,'Cutters Consumption Updates'!$G:$G,"NEW",'Cutters Consumption Updates'!$J:$J,Table7[[#This Row],[PO'#]],'Cutters Consumption Updates'!$B:$B,Table7[[#This Row],[Cutter Mat'#]]))</f>
        <v>2</v>
      </c>
      <c r="J540" s="294">
        <f t="shared" si="11"/>
        <v>0</v>
      </c>
    </row>
    <row r="541" spans="1:10" ht="15.5" x14ac:dyDescent="0.25">
      <c r="A541" s="611"/>
      <c r="B541" s="364" t="s">
        <v>1000</v>
      </c>
      <c r="C541" s="364" t="s">
        <v>177</v>
      </c>
      <c r="D541" s="364" t="s">
        <v>111</v>
      </c>
      <c r="E541" s="304">
        <v>1146345</v>
      </c>
      <c r="F541" s="8">
        <v>20</v>
      </c>
      <c r="G541" s="476">
        <v>45760</v>
      </c>
      <c r="H541" s="303" t="s">
        <v>1001</v>
      </c>
      <c r="I541" s="294">
        <f>SUM(W541,SUMIFS('Cutters Consumption Updates'!$F:$F,'Cutters Consumption Updates'!$G:$G,"NEW",'Cutters Consumption Updates'!$J:$J,Table7[[#This Row],[PO'#]],'Cutters Consumption Updates'!$B:$B,Table7[[#This Row],[Cutter Mat'#]]))</f>
        <v>20</v>
      </c>
      <c r="J541" s="294">
        <f t="shared" ref="J541:J563" si="12">F541-I541</f>
        <v>0</v>
      </c>
    </row>
    <row r="542" spans="1:10" ht="15.5" x14ac:dyDescent="0.25">
      <c r="A542" s="611"/>
      <c r="B542" s="364" t="s">
        <v>899</v>
      </c>
      <c r="C542" s="364" t="s">
        <v>177</v>
      </c>
      <c r="D542" s="364" t="s">
        <v>242</v>
      </c>
      <c r="E542" s="304">
        <v>871781</v>
      </c>
      <c r="F542" s="8">
        <v>80</v>
      </c>
      <c r="G542" s="476">
        <v>45745</v>
      </c>
      <c r="H542" s="303" t="s">
        <v>1002</v>
      </c>
      <c r="I542" s="294">
        <f>SUM(W542,SUMIFS('Cutters Consumption Updates'!$F:$F,'Cutters Consumption Updates'!$G:$G,"NEW",'Cutters Consumption Updates'!$J:$J,Table7[[#This Row],[PO'#]],'Cutters Consumption Updates'!$B:$B,Table7[[#This Row],[Cutter Mat'#]]))</f>
        <v>80</v>
      </c>
      <c r="J542" s="294">
        <f t="shared" si="12"/>
        <v>0</v>
      </c>
    </row>
    <row r="543" spans="1:10" ht="15.5" x14ac:dyDescent="0.25">
      <c r="A543" s="611"/>
      <c r="B543" s="364" t="s">
        <v>38</v>
      </c>
      <c r="C543" s="364" t="s">
        <v>151</v>
      </c>
      <c r="D543" s="364" t="s">
        <v>149</v>
      </c>
      <c r="E543" s="304">
        <v>1078377</v>
      </c>
      <c r="F543" s="8">
        <v>200</v>
      </c>
      <c r="G543" s="476">
        <v>45745</v>
      </c>
      <c r="H543" s="303" t="s">
        <v>1002</v>
      </c>
      <c r="I543" s="294">
        <f>SUM(W543,SUMIFS('Cutters Consumption Updates'!$F:$F,'Cutters Consumption Updates'!$G:$G,"NEW",'Cutters Consumption Updates'!$J:$J,Table7[[#This Row],[PO'#]],'Cutters Consumption Updates'!$B:$B,Table7[[#This Row],[Cutter Mat'#]]))</f>
        <v>200</v>
      </c>
      <c r="J543" s="294">
        <f t="shared" si="12"/>
        <v>0</v>
      </c>
    </row>
    <row r="544" spans="1:10" ht="15.5" x14ac:dyDescent="0.25">
      <c r="A544" s="611"/>
      <c r="B544" s="364" t="s">
        <v>993</v>
      </c>
      <c r="C544" s="364" t="s">
        <v>103</v>
      </c>
      <c r="D544" s="364" t="s">
        <v>192</v>
      </c>
      <c r="E544" s="304">
        <v>179734</v>
      </c>
      <c r="F544" s="8">
        <v>25</v>
      </c>
      <c r="G544" s="476">
        <v>45745</v>
      </c>
      <c r="H544" s="303" t="s">
        <v>1002</v>
      </c>
      <c r="I544" s="294">
        <f>SUM(W544,SUMIFS('Cutters Consumption Updates'!$F:$F,'Cutters Consumption Updates'!$G:$G,"NEW",'Cutters Consumption Updates'!$J:$J,Table7[[#This Row],[PO'#]],'Cutters Consumption Updates'!$B:$B,Table7[[#This Row],[Cutter Mat'#]]))</f>
        <v>25</v>
      </c>
      <c r="J544" s="294">
        <f t="shared" si="12"/>
        <v>0</v>
      </c>
    </row>
    <row r="545" spans="1:10" ht="15.5" x14ac:dyDescent="0.25">
      <c r="A545" s="611"/>
      <c r="B545" s="364" t="s">
        <v>879</v>
      </c>
      <c r="C545" s="364" t="s">
        <v>253</v>
      </c>
      <c r="D545" s="364" t="s">
        <v>111</v>
      </c>
      <c r="E545" s="304">
        <v>1100739</v>
      </c>
      <c r="F545" s="8">
        <v>10</v>
      </c>
      <c r="G545" s="476">
        <v>45745</v>
      </c>
      <c r="H545" s="303" t="s">
        <v>1002</v>
      </c>
      <c r="I545" s="294">
        <f>SUM(W545,SUMIFS('Cutters Consumption Updates'!$F:$F,'Cutters Consumption Updates'!$G:$G,"NEW",'Cutters Consumption Updates'!$J:$J,Table7[[#This Row],[PO'#]],'Cutters Consumption Updates'!$B:$B,Table7[[#This Row],[Cutter Mat'#]]))</f>
        <v>10</v>
      </c>
      <c r="J545" s="294">
        <f t="shared" si="12"/>
        <v>0</v>
      </c>
    </row>
    <row r="546" spans="1:10" ht="15.5" x14ac:dyDescent="0.25">
      <c r="A546" s="611"/>
      <c r="B546" s="364" t="s">
        <v>879</v>
      </c>
      <c r="C546" s="364" t="s">
        <v>253</v>
      </c>
      <c r="D546" s="364" t="s">
        <v>133</v>
      </c>
      <c r="E546" s="304">
        <v>1100753</v>
      </c>
      <c r="F546" s="8">
        <v>20</v>
      </c>
      <c r="G546" s="476">
        <v>45760</v>
      </c>
      <c r="H546" s="303" t="s">
        <v>1001</v>
      </c>
      <c r="I546" s="294">
        <f>SUM(W546,SUMIFS('Cutters Consumption Updates'!$F:$F,'Cutters Consumption Updates'!$G:$G,"NEW",'Cutters Consumption Updates'!$J:$J,Table7[[#This Row],[PO'#]],'Cutters Consumption Updates'!$B:$B,Table7[[#This Row],[Cutter Mat'#]]))</f>
        <v>20</v>
      </c>
      <c r="J546" s="294">
        <f t="shared" si="12"/>
        <v>0</v>
      </c>
    </row>
    <row r="547" spans="1:10" ht="15.5" x14ac:dyDescent="0.25">
      <c r="A547" s="611"/>
      <c r="B547" s="364" t="s">
        <v>894</v>
      </c>
      <c r="C547" s="364" t="s">
        <v>177</v>
      </c>
      <c r="D547" s="364" t="s">
        <v>212</v>
      </c>
      <c r="E547" s="304">
        <v>1263929</v>
      </c>
      <c r="F547" s="8">
        <v>100</v>
      </c>
      <c r="G547" s="476">
        <v>45745</v>
      </c>
      <c r="H547" s="303" t="s">
        <v>1002</v>
      </c>
      <c r="I547" s="294">
        <f>SUM(W547,SUMIFS('Cutters Consumption Updates'!$F:$F,'Cutters Consumption Updates'!$G:$G,"NEW",'Cutters Consumption Updates'!$J:$J,Table7[[#This Row],[PO'#]],'Cutters Consumption Updates'!$B:$B,Table7[[#This Row],[Cutter Mat'#]]))</f>
        <v>100</v>
      </c>
      <c r="J547" s="294">
        <f t="shared" si="12"/>
        <v>0</v>
      </c>
    </row>
    <row r="548" spans="1:10" ht="15.5" x14ac:dyDescent="0.25">
      <c r="A548" s="611"/>
      <c r="B548" s="364" t="s">
        <v>894</v>
      </c>
      <c r="C548" s="364" t="s">
        <v>177</v>
      </c>
      <c r="D548" s="364" t="s">
        <v>214</v>
      </c>
      <c r="E548" s="304">
        <v>1288783</v>
      </c>
      <c r="F548" s="8">
        <v>250</v>
      </c>
      <c r="G548" s="476">
        <v>45745</v>
      </c>
      <c r="H548" s="303" t="s">
        <v>1002</v>
      </c>
      <c r="I548" s="294">
        <f>SUM(W548,SUMIFS('Cutters Consumption Updates'!$F:$F,'Cutters Consumption Updates'!$G:$G,"NEW",'Cutters Consumption Updates'!$J:$J,Table7[[#This Row],[PO'#]],'Cutters Consumption Updates'!$B:$B,Table7[[#This Row],[Cutter Mat'#]]))</f>
        <v>250</v>
      </c>
      <c r="J548" s="294">
        <f t="shared" si="12"/>
        <v>0</v>
      </c>
    </row>
    <row r="549" spans="1:10" ht="15.5" x14ac:dyDescent="0.25">
      <c r="A549" s="611"/>
      <c r="B549" s="364" t="s">
        <v>894</v>
      </c>
      <c r="C549" s="364" t="s">
        <v>177</v>
      </c>
      <c r="D549" s="364" t="s">
        <v>111</v>
      </c>
      <c r="E549" s="304">
        <v>1146737</v>
      </c>
      <c r="F549" s="8">
        <v>95</v>
      </c>
      <c r="G549" s="476">
        <v>45745</v>
      </c>
      <c r="H549" s="303" t="s">
        <v>1002</v>
      </c>
      <c r="I549" s="294">
        <f>SUM(W549,SUMIFS('Cutters Consumption Updates'!$F:$F,'Cutters Consumption Updates'!$G:$G,"NEW",'Cutters Consumption Updates'!$J:$J,Table7[[#This Row],[PO'#]],'Cutters Consumption Updates'!$B:$B,Table7[[#This Row],[Cutter Mat'#]]))</f>
        <v>95</v>
      </c>
      <c r="J549" s="294">
        <f t="shared" si="12"/>
        <v>0</v>
      </c>
    </row>
    <row r="550" spans="1:10" ht="15.5" x14ac:dyDescent="0.25">
      <c r="A550" s="611"/>
      <c r="B550" s="364" t="s">
        <v>236</v>
      </c>
      <c r="C550" s="364" t="s">
        <v>109</v>
      </c>
      <c r="D550" s="364" t="s">
        <v>218</v>
      </c>
      <c r="E550" s="304">
        <v>1296685</v>
      </c>
      <c r="F550" s="8">
        <v>40</v>
      </c>
      <c r="G550" s="476">
        <v>45745</v>
      </c>
      <c r="H550" s="303" t="s">
        <v>1002</v>
      </c>
      <c r="I550" s="294">
        <f>SUM(W550,SUMIFS('Cutters Consumption Updates'!$F:$F,'Cutters Consumption Updates'!$G:$G,"NEW",'Cutters Consumption Updates'!$J:$J,Table7[[#This Row],[PO'#]],'Cutters Consumption Updates'!$B:$B,Table7[[#This Row],[Cutter Mat'#]]))</f>
        <v>40</v>
      </c>
      <c r="J550" s="294">
        <f t="shared" si="12"/>
        <v>0</v>
      </c>
    </row>
    <row r="551" spans="1:10" ht="15.5" x14ac:dyDescent="0.25">
      <c r="A551" s="611"/>
      <c r="B551" s="364" t="s">
        <v>881</v>
      </c>
      <c r="C551" s="364" t="s">
        <v>170</v>
      </c>
      <c r="D551" s="364" t="s">
        <v>111</v>
      </c>
      <c r="E551" s="304">
        <v>1208601</v>
      </c>
      <c r="F551" s="8">
        <v>120</v>
      </c>
      <c r="G551" s="476">
        <v>45745</v>
      </c>
      <c r="H551" s="303" t="s">
        <v>1002</v>
      </c>
      <c r="I551" s="294">
        <f>SUM(W551,SUMIFS('Cutters Consumption Updates'!$F:$F,'Cutters Consumption Updates'!$G:$G,"NEW",'Cutters Consumption Updates'!$J:$J,Table7[[#This Row],[PO'#]],'Cutters Consumption Updates'!$B:$B,Table7[[#This Row],[Cutter Mat'#]]))</f>
        <v>120</v>
      </c>
      <c r="J551" s="294">
        <f t="shared" si="12"/>
        <v>0</v>
      </c>
    </row>
    <row r="552" spans="1:10" ht="15.5" x14ac:dyDescent="0.25">
      <c r="A552" s="611"/>
      <c r="B552" s="364" t="s">
        <v>881</v>
      </c>
      <c r="C552" s="364" t="s">
        <v>170</v>
      </c>
      <c r="D552" s="364" t="s">
        <v>207</v>
      </c>
      <c r="E552" s="304">
        <v>1282370</v>
      </c>
      <c r="F552" s="8">
        <v>15</v>
      </c>
      <c r="G552" s="476">
        <v>45745</v>
      </c>
      <c r="H552" s="303" t="s">
        <v>1002</v>
      </c>
      <c r="I552" s="294">
        <f>SUM(W552,SUMIFS('Cutters Consumption Updates'!$F:$F,'Cutters Consumption Updates'!$G:$G,"NEW",'Cutters Consumption Updates'!$J:$J,Table7[[#This Row],[PO'#]],'Cutters Consumption Updates'!$B:$B,Table7[[#This Row],[Cutter Mat'#]]))</f>
        <v>15</v>
      </c>
      <c r="J552" s="294">
        <f t="shared" si="12"/>
        <v>0</v>
      </c>
    </row>
    <row r="553" spans="1:10" ht="15.5" x14ac:dyDescent="0.25">
      <c r="A553" s="611"/>
      <c r="B553" s="364" t="s">
        <v>881</v>
      </c>
      <c r="C553" s="364" t="s">
        <v>170</v>
      </c>
      <c r="D553" s="364" t="s">
        <v>227</v>
      </c>
      <c r="E553" s="304">
        <v>2001060</v>
      </c>
      <c r="F553" s="8">
        <v>15</v>
      </c>
      <c r="G553" s="476">
        <v>45745</v>
      </c>
      <c r="H553" s="303" t="s">
        <v>1002</v>
      </c>
      <c r="I553" s="294">
        <f>SUM(W553,SUMIFS('Cutters Consumption Updates'!$F:$F,'Cutters Consumption Updates'!$G:$G,"NEW",'Cutters Consumption Updates'!$J:$J,Table7[[#This Row],[PO'#]],'Cutters Consumption Updates'!$B:$B,Table7[[#This Row],[Cutter Mat'#]]))</f>
        <v>15</v>
      </c>
      <c r="J553" s="294">
        <f t="shared" si="12"/>
        <v>0</v>
      </c>
    </row>
    <row r="554" spans="1:10" ht="15.5" x14ac:dyDescent="0.25">
      <c r="A554" s="611"/>
      <c r="B554" s="364" t="s">
        <v>1003</v>
      </c>
      <c r="C554" s="364" t="s">
        <v>177</v>
      </c>
      <c r="D554" s="364" t="s">
        <v>228</v>
      </c>
      <c r="E554" s="304">
        <v>2013726</v>
      </c>
      <c r="F554" s="8">
        <v>168</v>
      </c>
      <c r="G554" s="476">
        <v>45745</v>
      </c>
      <c r="H554" s="303" t="s">
        <v>1002</v>
      </c>
      <c r="I554" s="294">
        <f>SUM(W554,SUMIFS('Cutters Consumption Updates'!$F:$F,'Cutters Consumption Updates'!$G:$G,"NEW",'Cutters Consumption Updates'!$J:$J,Table7[[#This Row],[PO'#]],'Cutters Consumption Updates'!$B:$B,Table7[[#This Row],[Cutter Mat'#]]))</f>
        <v>168</v>
      </c>
      <c r="J554" s="294">
        <f t="shared" si="12"/>
        <v>0</v>
      </c>
    </row>
    <row r="555" spans="1:10" ht="15.5" x14ac:dyDescent="0.25">
      <c r="A555" s="611"/>
      <c r="B555" s="364" t="s">
        <v>884</v>
      </c>
      <c r="C555" s="364" t="s">
        <v>253</v>
      </c>
      <c r="D555" s="364" t="s">
        <v>51</v>
      </c>
      <c r="E555" s="304">
        <v>708306</v>
      </c>
      <c r="F555" s="8">
        <v>102</v>
      </c>
      <c r="G555" s="476">
        <v>45745</v>
      </c>
      <c r="H555" s="303" t="s">
        <v>1002</v>
      </c>
      <c r="I555" s="294">
        <f>SUM(W555,SUMIFS('Cutters Consumption Updates'!$F:$F,'Cutters Consumption Updates'!$G:$G,"NEW",'Cutters Consumption Updates'!$J:$J,Table7[[#This Row],[PO'#]],'Cutters Consumption Updates'!$B:$B,Table7[[#This Row],[Cutter Mat'#]]))</f>
        <v>102</v>
      </c>
      <c r="J555" s="294">
        <f t="shared" si="12"/>
        <v>0</v>
      </c>
    </row>
    <row r="556" spans="1:10" ht="15.5" x14ac:dyDescent="0.25">
      <c r="A556" s="611"/>
      <c r="B556" s="364" t="s">
        <v>903</v>
      </c>
      <c r="C556" s="364"/>
      <c r="D556" s="364"/>
      <c r="E556" s="304">
        <v>1228501</v>
      </c>
      <c r="F556" s="8">
        <v>50</v>
      </c>
      <c r="G556" s="476">
        <v>45745</v>
      </c>
      <c r="H556" s="303" t="s">
        <v>1002</v>
      </c>
      <c r="I556" s="294">
        <f>SUM(W556,SUMIFS('Cutters Consumption Updates'!$F:$F,'Cutters Consumption Updates'!$G:$G,"NEW",'Cutters Consumption Updates'!$J:$J,Table7[[#This Row],[PO'#]],'Cutters Consumption Updates'!$B:$B,Table7[[#This Row],[Cutter Mat'#]]))</f>
        <v>50</v>
      </c>
      <c r="J556" s="294">
        <f t="shared" si="12"/>
        <v>0</v>
      </c>
    </row>
    <row r="557" spans="1:10" ht="15.5" x14ac:dyDescent="0.25">
      <c r="A557" s="611"/>
      <c r="B557" s="364" t="s">
        <v>901</v>
      </c>
      <c r="C557" s="364" t="s">
        <v>170</v>
      </c>
      <c r="D557" s="364" t="s">
        <v>114</v>
      </c>
      <c r="E557" s="304">
        <v>1228502</v>
      </c>
      <c r="F557" s="8">
        <v>50</v>
      </c>
      <c r="G557" s="476">
        <v>45745</v>
      </c>
      <c r="H557" s="303" t="s">
        <v>1002</v>
      </c>
      <c r="I557" s="294">
        <f>SUM(W557,SUMIFS('Cutters Consumption Updates'!$F:$F,'Cutters Consumption Updates'!$G:$G,"NEW",'Cutters Consumption Updates'!$J:$J,Table7[[#This Row],[PO'#]],'Cutters Consumption Updates'!$B:$B,Table7[[#This Row],[Cutter Mat'#]]))</f>
        <v>50</v>
      </c>
      <c r="J557" s="294">
        <f t="shared" si="12"/>
        <v>0</v>
      </c>
    </row>
    <row r="558" spans="1:10" ht="15.5" x14ac:dyDescent="0.25">
      <c r="A558" s="611"/>
      <c r="B558" s="364" t="s">
        <v>926</v>
      </c>
      <c r="C558" s="364"/>
      <c r="D558" s="364"/>
      <c r="E558" s="304">
        <v>1228503</v>
      </c>
      <c r="F558" s="8">
        <v>50</v>
      </c>
      <c r="G558" s="476">
        <v>45745</v>
      </c>
      <c r="H558" s="303" t="s">
        <v>1002</v>
      </c>
      <c r="I558" s="294">
        <f>SUM(W558,SUMIFS('Cutters Consumption Updates'!$F:$F,'Cutters Consumption Updates'!$G:$G,"NEW",'Cutters Consumption Updates'!$J:$J,Table7[[#This Row],[PO'#]],'Cutters Consumption Updates'!$B:$B,Table7[[#This Row],[Cutter Mat'#]]))</f>
        <v>50</v>
      </c>
      <c r="J558" s="294">
        <f t="shared" si="12"/>
        <v>0</v>
      </c>
    </row>
    <row r="559" spans="1:10" ht="15.5" x14ac:dyDescent="0.25">
      <c r="A559" s="611"/>
      <c r="B559" s="364" t="s">
        <v>913</v>
      </c>
      <c r="C559" s="364" t="s">
        <v>170</v>
      </c>
      <c r="D559" s="364" t="s">
        <v>215</v>
      </c>
      <c r="E559" s="304">
        <v>2002243</v>
      </c>
      <c r="F559" s="8">
        <v>70</v>
      </c>
      <c r="G559" s="476">
        <v>45745</v>
      </c>
      <c r="H559" s="303" t="s">
        <v>1002</v>
      </c>
      <c r="I559" s="294">
        <f>SUM(W559,SUMIFS('Cutters Consumption Updates'!$F:$F,'Cutters Consumption Updates'!$G:$G,"NEW",'Cutters Consumption Updates'!$J:$J,Table7[[#This Row],[PO'#]],'Cutters Consumption Updates'!$B:$B,Table7[[#This Row],[Cutter Mat'#]]))</f>
        <v>70</v>
      </c>
      <c r="J559" s="294">
        <f t="shared" si="12"/>
        <v>0</v>
      </c>
    </row>
    <row r="560" spans="1:10" ht="15.5" x14ac:dyDescent="0.25">
      <c r="A560" s="611"/>
      <c r="B560" s="364" t="s">
        <v>913</v>
      </c>
      <c r="C560" s="364" t="s">
        <v>170</v>
      </c>
      <c r="D560" s="364" t="s">
        <v>225</v>
      </c>
      <c r="E560" s="304">
        <v>2004484</v>
      </c>
      <c r="F560" s="8">
        <v>18</v>
      </c>
      <c r="G560" s="476">
        <v>45745</v>
      </c>
      <c r="H560" s="303" t="s">
        <v>1002</v>
      </c>
      <c r="I560" s="294">
        <f>SUM(W560,SUMIFS('Cutters Consumption Updates'!$F:$F,'Cutters Consumption Updates'!$G:$G,"NEW",'Cutters Consumption Updates'!$J:$J,Table7[[#This Row],[PO'#]],'Cutters Consumption Updates'!$B:$B,Table7[[#This Row],[Cutter Mat'#]]))</f>
        <v>18</v>
      </c>
      <c r="J560" s="294">
        <f t="shared" si="12"/>
        <v>0</v>
      </c>
    </row>
    <row r="561" spans="1:10" ht="15.5" x14ac:dyDescent="0.25">
      <c r="A561" s="611"/>
      <c r="B561" s="364" t="s">
        <v>914</v>
      </c>
      <c r="C561" s="364" t="s">
        <v>170</v>
      </c>
      <c r="D561" s="364" t="s">
        <v>215</v>
      </c>
      <c r="E561" s="304">
        <v>2002244</v>
      </c>
      <c r="F561" s="8">
        <v>15</v>
      </c>
      <c r="G561" s="476">
        <v>45745</v>
      </c>
      <c r="H561" s="303" t="s">
        <v>1002</v>
      </c>
      <c r="I561" s="294">
        <f>SUM(W561,SUMIFS('Cutters Consumption Updates'!$F:$F,'Cutters Consumption Updates'!$G:$G,"NEW",'Cutters Consumption Updates'!$J:$J,Table7[[#This Row],[PO'#]],'Cutters Consumption Updates'!$B:$B,Table7[[#This Row],[Cutter Mat'#]]))</f>
        <v>15</v>
      </c>
      <c r="J561" s="294">
        <f t="shared" si="12"/>
        <v>0</v>
      </c>
    </row>
    <row r="562" spans="1:10" ht="15.5" x14ac:dyDescent="0.25">
      <c r="A562" s="611"/>
      <c r="B562" s="364" t="s">
        <v>927</v>
      </c>
      <c r="C562" s="364" t="s">
        <v>170</v>
      </c>
      <c r="D562" s="364" t="s">
        <v>215</v>
      </c>
      <c r="E562" s="304">
        <v>2002245</v>
      </c>
      <c r="F562" s="8">
        <v>10</v>
      </c>
      <c r="G562" s="476">
        <v>45760</v>
      </c>
      <c r="H562" s="303" t="s">
        <v>1001</v>
      </c>
      <c r="I562" s="294">
        <f>SUM(W562,SUMIFS('Cutters Consumption Updates'!$F:$F,'Cutters Consumption Updates'!$G:$G,"NEW",'Cutters Consumption Updates'!$J:$J,Table7[[#This Row],[PO'#]],'Cutters Consumption Updates'!$B:$B,Table7[[#This Row],[Cutter Mat'#]]))</f>
        <v>10</v>
      </c>
      <c r="J562" s="294">
        <f t="shared" si="12"/>
        <v>0</v>
      </c>
    </row>
    <row r="563" spans="1:10" ht="15.5" x14ac:dyDescent="0.25">
      <c r="A563" s="611"/>
      <c r="B563" s="364" t="s">
        <v>927</v>
      </c>
      <c r="C563" s="364" t="s">
        <v>170</v>
      </c>
      <c r="D563" s="364" t="s">
        <v>235</v>
      </c>
      <c r="E563" s="304">
        <v>2002126</v>
      </c>
      <c r="F563" s="8">
        <v>25</v>
      </c>
      <c r="G563" s="476">
        <v>45760</v>
      </c>
      <c r="H563" s="303" t="s">
        <v>1001</v>
      </c>
      <c r="I563" s="294">
        <f>SUM(W563,SUMIFS('Cutters Consumption Updates'!$F:$F,'Cutters Consumption Updates'!$G:$G,"NEW",'Cutters Consumption Updates'!$J:$J,Table7[[#This Row],[PO'#]],'Cutters Consumption Updates'!$B:$B,Table7[[#This Row],[Cutter Mat'#]]))</f>
        <v>25</v>
      </c>
      <c r="J563" s="294">
        <f t="shared" si="12"/>
        <v>0</v>
      </c>
    </row>
    <row r="564" spans="1:10" ht="15.5" x14ac:dyDescent="0.25">
      <c r="B564" s="364" t="s">
        <v>899</v>
      </c>
      <c r="C564" s="364" t="s">
        <v>177</v>
      </c>
      <c r="D564" s="364" t="s">
        <v>111</v>
      </c>
      <c r="E564" s="304">
        <v>1146346</v>
      </c>
      <c r="F564" s="8">
        <v>20</v>
      </c>
      <c r="G564" s="476">
        <v>45776</v>
      </c>
      <c r="H564" s="303" t="s">
        <v>1004</v>
      </c>
      <c r="I564" s="294">
        <f>SUM(W564,SUMIFS('Cutters Consumption Updates'!$F:$F,'Cutters Consumption Updates'!$G:$G,"NEW",'Cutters Consumption Updates'!$J:$J,Table7[[#This Row],[PO'#]],'Cutters Consumption Updates'!$B:$B,Table7[[#This Row],[Cutter Mat'#]]))</f>
        <v>20</v>
      </c>
      <c r="J564" s="294">
        <f t="shared" ref="J564:J588" si="13">F564-I564</f>
        <v>0</v>
      </c>
    </row>
    <row r="565" spans="1:10" ht="15.5" x14ac:dyDescent="0.25">
      <c r="B565" s="364">
        <v>1318</v>
      </c>
      <c r="C565" s="364" t="s">
        <v>35</v>
      </c>
      <c r="D565" s="364" t="s">
        <v>1005</v>
      </c>
      <c r="E565" s="304">
        <v>653400</v>
      </c>
      <c r="F565" s="8">
        <v>12</v>
      </c>
      <c r="G565" s="476">
        <v>45776</v>
      </c>
      <c r="H565" s="303" t="s">
        <v>1004</v>
      </c>
      <c r="I565" s="294">
        <f>SUM(W565,SUMIFS('Cutters Consumption Updates'!$F:$F,'Cutters Consumption Updates'!$G:$G,"NEW",'Cutters Consumption Updates'!$J:$J,Table7[[#This Row],[PO'#]],'Cutters Consumption Updates'!$B:$B,Table7[[#This Row],[Cutter Mat'#]]))</f>
        <v>12</v>
      </c>
      <c r="J565" s="294">
        <f t="shared" si="13"/>
        <v>0</v>
      </c>
    </row>
    <row r="566" spans="1:10" ht="15.5" x14ac:dyDescent="0.25">
      <c r="B566" s="364" t="s">
        <v>894</v>
      </c>
      <c r="C566" s="364" t="s">
        <v>177</v>
      </c>
      <c r="D566" s="364" t="s">
        <v>214</v>
      </c>
      <c r="E566" s="304">
        <v>1288783</v>
      </c>
      <c r="F566" s="8">
        <v>161</v>
      </c>
      <c r="G566" s="476">
        <v>45776</v>
      </c>
      <c r="H566" s="303" t="s">
        <v>1004</v>
      </c>
      <c r="I566" s="294">
        <f>SUM(W566,SUMIFS('Cutters Consumption Updates'!$F:$F,'Cutters Consumption Updates'!$G:$G,"NEW",'Cutters Consumption Updates'!$J:$J,Table7[[#This Row],[PO'#]],'Cutters Consumption Updates'!$B:$B,Table7[[#This Row],[Cutter Mat'#]]))</f>
        <v>161</v>
      </c>
      <c r="J566" s="294">
        <f t="shared" si="13"/>
        <v>0</v>
      </c>
    </row>
    <row r="567" spans="1:10" ht="15.5" x14ac:dyDescent="0.25">
      <c r="B567" s="364" t="s">
        <v>894</v>
      </c>
      <c r="C567" s="364" t="s">
        <v>177</v>
      </c>
      <c r="D567" s="364" t="s">
        <v>111</v>
      </c>
      <c r="E567" s="304">
        <v>1146737</v>
      </c>
      <c r="F567" s="8">
        <v>150</v>
      </c>
      <c r="G567" s="476">
        <v>45776</v>
      </c>
      <c r="H567" s="303" t="s">
        <v>1004</v>
      </c>
      <c r="I567" s="294">
        <f>SUM(W567,SUMIFS('Cutters Consumption Updates'!$F:$F,'Cutters Consumption Updates'!$G:$G,"NEW",'Cutters Consumption Updates'!$J:$J,Table7[[#This Row],[PO'#]],'Cutters Consumption Updates'!$B:$B,Table7[[#This Row],[Cutter Mat'#]]))</f>
        <v>150</v>
      </c>
      <c r="J567" s="294">
        <f t="shared" si="13"/>
        <v>0</v>
      </c>
    </row>
    <row r="568" spans="1:10" ht="15.5" x14ac:dyDescent="0.25">
      <c r="B568" s="364" t="s">
        <v>894</v>
      </c>
      <c r="C568" s="364" t="s">
        <v>177</v>
      </c>
      <c r="D568" s="364" t="s">
        <v>1006</v>
      </c>
      <c r="E568" s="304">
        <v>1263929</v>
      </c>
      <c r="F568" s="8">
        <v>547</v>
      </c>
      <c r="G568" s="476">
        <v>45776</v>
      </c>
      <c r="H568" s="303" t="s">
        <v>1004</v>
      </c>
      <c r="I568" s="294">
        <f>SUM(W568,SUMIFS('Cutters Consumption Updates'!$F:$F,'Cutters Consumption Updates'!$G:$G,"NEW",'Cutters Consumption Updates'!$J:$J,Table7[[#This Row],[PO'#]],'Cutters Consumption Updates'!$B:$B,Table7[[#This Row],[Cutter Mat'#]]))</f>
        <v>547</v>
      </c>
      <c r="J568" s="294">
        <f t="shared" si="13"/>
        <v>0</v>
      </c>
    </row>
    <row r="569" spans="1:10" ht="15.5" x14ac:dyDescent="0.25">
      <c r="B569" s="364" t="s">
        <v>236</v>
      </c>
      <c r="C569" s="364" t="s">
        <v>109</v>
      </c>
      <c r="D569" s="364" t="s">
        <v>218</v>
      </c>
      <c r="E569" s="304">
        <v>1296685</v>
      </c>
      <c r="F569" s="8">
        <v>150</v>
      </c>
      <c r="G569" s="476">
        <v>45776</v>
      </c>
      <c r="H569" s="303" t="s">
        <v>1004</v>
      </c>
      <c r="I569" s="294">
        <f>SUM(W569,SUMIFS('Cutters Consumption Updates'!$F:$F,'Cutters Consumption Updates'!$G:$G,"NEW",'Cutters Consumption Updates'!$J:$J,Table7[[#This Row],[PO'#]],'Cutters Consumption Updates'!$B:$B,Table7[[#This Row],[Cutter Mat'#]]))</f>
        <v>150</v>
      </c>
      <c r="J569" s="294">
        <f t="shared" si="13"/>
        <v>0</v>
      </c>
    </row>
    <row r="570" spans="1:10" ht="15.5" x14ac:dyDescent="0.25">
      <c r="B570" s="364" t="s">
        <v>881</v>
      </c>
      <c r="C570" s="364" t="s">
        <v>170</v>
      </c>
      <c r="D570" s="364" t="s">
        <v>1007</v>
      </c>
      <c r="E570" s="304">
        <v>2001060</v>
      </c>
      <c r="F570" s="8">
        <v>20</v>
      </c>
      <c r="G570" s="476">
        <v>45776</v>
      </c>
      <c r="H570" s="303" t="s">
        <v>1004</v>
      </c>
      <c r="I570" s="294">
        <f>SUM(W570,SUMIFS('Cutters Consumption Updates'!$F:$F,'Cutters Consumption Updates'!$G:$G,"NEW",'Cutters Consumption Updates'!$J:$J,Table7[[#This Row],[PO'#]],'Cutters Consumption Updates'!$B:$B,Table7[[#This Row],[Cutter Mat'#]]))</f>
        <v>20</v>
      </c>
      <c r="J570" s="294">
        <f t="shared" si="13"/>
        <v>0</v>
      </c>
    </row>
    <row r="571" spans="1:10" ht="15.5" x14ac:dyDescent="0.25">
      <c r="B571" s="364" t="s">
        <v>925</v>
      </c>
      <c r="C571" s="364">
        <v>0</v>
      </c>
      <c r="D571" s="364">
        <v>0</v>
      </c>
      <c r="E571" s="304">
        <v>1220554</v>
      </c>
      <c r="F571" s="8">
        <v>30</v>
      </c>
      <c r="G571" s="476">
        <v>45776</v>
      </c>
      <c r="H571" s="303" t="s">
        <v>1004</v>
      </c>
      <c r="I571" s="294">
        <f>SUM(W571,SUMIFS('Cutters Consumption Updates'!$F:$F,'Cutters Consumption Updates'!$G:$G,"NEW",'Cutters Consumption Updates'!$J:$J,Table7[[#This Row],[PO'#]],'Cutters Consumption Updates'!$B:$B,Table7[[#This Row],[Cutter Mat'#]]))</f>
        <v>30</v>
      </c>
      <c r="J571" s="294">
        <f t="shared" si="13"/>
        <v>0</v>
      </c>
    </row>
    <row r="572" spans="1:10" ht="15.5" x14ac:dyDescent="0.25">
      <c r="B572" s="364" t="s">
        <v>903</v>
      </c>
      <c r="C572" s="364">
        <v>0</v>
      </c>
      <c r="D572" s="364">
        <v>0</v>
      </c>
      <c r="E572" s="304">
        <v>1228501</v>
      </c>
      <c r="F572" s="8">
        <v>30</v>
      </c>
      <c r="G572" s="476">
        <v>45776</v>
      </c>
      <c r="H572" s="303" t="s">
        <v>1004</v>
      </c>
      <c r="I572" s="294">
        <f>SUM(W572,SUMIFS('Cutters Consumption Updates'!$F:$F,'Cutters Consumption Updates'!$G:$G,"NEW",'Cutters Consumption Updates'!$J:$J,Table7[[#This Row],[PO'#]],'Cutters Consumption Updates'!$B:$B,Table7[[#This Row],[Cutter Mat'#]]))</f>
        <v>30</v>
      </c>
      <c r="J572" s="294">
        <f t="shared" si="13"/>
        <v>0</v>
      </c>
    </row>
    <row r="573" spans="1:10" ht="15.5" x14ac:dyDescent="0.25">
      <c r="B573" s="364" t="s">
        <v>926</v>
      </c>
      <c r="C573" s="364">
        <v>0</v>
      </c>
      <c r="D573" s="364">
        <v>0</v>
      </c>
      <c r="E573" s="304">
        <v>1228503</v>
      </c>
      <c r="F573" s="8">
        <v>30</v>
      </c>
      <c r="G573" s="476">
        <v>45776</v>
      </c>
      <c r="H573" s="303" t="s">
        <v>1004</v>
      </c>
      <c r="I573" s="294">
        <f>SUM(W573,SUMIFS('Cutters Consumption Updates'!$F:$F,'Cutters Consumption Updates'!$G:$G,"NEW",'Cutters Consumption Updates'!$J:$J,Table7[[#This Row],[PO'#]],'Cutters Consumption Updates'!$B:$B,Table7[[#This Row],[Cutter Mat'#]]))</f>
        <v>30</v>
      </c>
      <c r="J573" s="294">
        <f t="shared" si="13"/>
        <v>0</v>
      </c>
    </row>
    <row r="574" spans="1:10" ht="15.5" x14ac:dyDescent="0.25">
      <c r="B574" s="364" t="s">
        <v>913</v>
      </c>
      <c r="C574" s="364" t="s">
        <v>170</v>
      </c>
      <c r="D574" s="364" t="s">
        <v>1008</v>
      </c>
      <c r="E574" s="304">
        <v>2002243</v>
      </c>
      <c r="F574" s="8">
        <v>45</v>
      </c>
      <c r="G574" s="476">
        <v>45776</v>
      </c>
      <c r="H574" s="303" t="s">
        <v>1004</v>
      </c>
      <c r="I574" s="294">
        <f>SUM(W574,SUMIFS('Cutters Consumption Updates'!$F:$F,'Cutters Consumption Updates'!$G:$G,"NEW",'Cutters Consumption Updates'!$J:$J,Table7[[#This Row],[PO'#]],'Cutters Consumption Updates'!$B:$B,Table7[[#This Row],[Cutter Mat'#]]))</f>
        <v>45</v>
      </c>
      <c r="J574" s="294">
        <f t="shared" si="13"/>
        <v>0</v>
      </c>
    </row>
    <row r="575" spans="1:10" ht="15.5" x14ac:dyDescent="0.25">
      <c r="B575" s="364" t="s">
        <v>901</v>
      </c>
      <c r="C575" s="364" t="s">
        <v>170</v>
      </c>
      <c r="D575" s="364" t="s">
        <v>114</v>
      </c>
      <c r="E575" s="304">
        <v>1228502</v>
      </c>
      <c r="F575" s="8">
        <v>30</v>
      </c>
      <c r="G575" s="476">
        <v>45776</v>
      </c>
      <c r="H575" s="303" t="s">
        <v>1004</v>
      </c>
      <c r="I575" s="294">
        <f>SUM(W575,SUMIFS('Cutters Consumption Updates'!$F:$F,'Cutters Consumption Updates'!$G:$G,"NEW",'Cutters Consumption Updates'!$J:$J,Table7[[#This Row],[PO'#]],'Cutters Consumption Updates'!$B:$B,Table7[[#This Row],[Cutter Mat'#]]))</f>
        <v>30</v>
      </c>
      <c r="J575" s="294">
        <f t="shared" si="13"/>
        <v>0</v>
      </c>
    </row>
    <row r="576" spans="1:10" ht="15.5" x14ac:dyDescent="0.25">
      <c r="B576" s="364" t="s">
        <v>927</v>
      </c>
      <c r="C576" s="364" t="s">
        <v>170</v>
      </c>
      <c r="D576" s="364" t="s">
        <v>225</v>
      </c>
      <c r="E576" s="304">
        <v>2002299</v>
      </c>
      <c r="F576" s="8">
        <v>12</v>
      </c>
      <c r="G576" s="476">
        <v>45776</v>
      </c>
      <c r="H576" s="303" t="s">
        <v>1004</v>
      </c>
      <c r="I576" s="294">
        <f>SUM(W576,SUMIFS('Cutters Consumption Updates'!$F:$F,'Cutters Consumption Updates'!$G:$G,"NEW",'Cutters Consumption Updates'!$J:$J,Table7[[#This Row],[PO'#]],'Cutters Consumption Updates'!$B:$B,Table7[[#This Row],[Cutter Mat'#]]))</f>
        <v>12</v>
      </c>
      <c r="J576" s="294">
        <f t="shared" si="13"/>
        <v>0</v>
      </c>
    </row>
    <row r="577" spans="2:10" ht="15.5" x14ac:dyDescent="0.25">
      <c r="B577" s="364" t="s">
        <v>236</v>
      </c>
      <c r="C577" s="364" t="s">
        <v>109</v>
      </c>
      <c r="D577" s="364" t="s">
        <v>219</v>
      </c>
      <c r="E577" s="304">
        <v>1290837</v>
      </c>
      <c r="F577" s="8">
        <v>60</v>
      </c>
      <c r="G577" s="476">
        <v>45776</v>
      </c>
      <c r="H577" s="303" t="s">
        <v>1004</v>
      </c>
      <c r="I577" s="294">
        <f>SUM(W577,SUMIFS('Cutters Consumption Updates'!$F:$F,'Cutters Consumption Updates'!$G:$G,"NEW",'Cutters Consumption Updates'!$J:$J,Table7[[#This Row],[PO'#]],'Cutters Consumption Updates'!$B:$B,Table7[[#This Row],[Cutter Mat'#]]))</f>
        <v>60</v>
      </c>
      <c r="J577" s="294">
        <f t="shared" si="13"/>
        <v>0</v>
      </c>
    </row>
    <row r="578" spans="2:10" ht="15.5" x14ac:dyDescent="0.25">
      <c r="B578" s="364" t="s">
        <v>914</v>
      </c>
      <c r="C578" s="364" t="s">
        <v>170</v>
      </c>
      <c r="D578" s="364" t="s">
        <v>225</v>
      </c>
      <c r="E578" s="304">
        <v>2002186</v>
      </c>
      <c r="F578" s="8">
        <v>45</v>
      </c>
      <c r="G578" s="476">
        <v>45776</v>
      </c>
      <c r="H578" s="303" t="s">
        <v>1004</v>
      </c>
      <c r="I578" s="294">
        <f>SUM(W578,SUMIFS('Cutters Consumption Updates'!$F:$F,'Cutters Consumption Updates'!$G:$G,"NEW",'Cutters Consumption Updates'!$J:$J,Table7[[#This Row],[PO'#]],'Cutters Consumption Updates'!$B:$B,Table7[[#This Row],[Cutter Mat'#]]))</f>
        <v>45</v>
      </c>
      <c r="J578" s="294">
        <f t="shared" si="13"/>
        <v>0</v>
      </c>
    </row>
    <row r="579" spans="2:10" ht="15.5" x14ac:dyDescent="0.25">
      <c r="B579" s="364">
        <v>1308</v>
      </c>
      <c r="C579" s="364" t="s">
        <v>65</v>
      </c>
      <c r="D579" s="364" t="s">
        <v>71</v>
      </c>
      <c r="E579" s="304">
        <v>418525</v>
      </c>
      <c r="F579" s="8">
        <v>47</v>
      </c>
      <c r="G579" s="476">
        <v>45776</v>
      </c>
      <c r="H579" s="303" t="s">
        <v>1004</v>
      </c>
      <c r="I579" s="294">
        <f>SUM(W579,SUMIFS('Cutters Consumption Updates'!$F:$F,'Cutters Consumption Updates'!$G:$G,"NEW",'Cutters Consumption Updates'!$J:$J,Table7[[#This Row],[PO'#]],'Cutters Consumption Updates'!$B:$B,Table7[[#This Row],[Cutter Mat'#]]))</f>
        <v>47</v>
      </c>
      <c r="J579" s="294">
        <f t="shared" si="13"/>
        <v>0</v>
      </c>
    </row>
    <row r="580" spans="2:10" ht="15.5" x14ac:dyDescent="0.25">
      <c r="B580" s="364">
        <v>1308</v>
      </c>
      <c r="C580" s="364" t="s">
        <v>1009</v>
      </c>
      <c r="D580" s="364" t="s">
        <v>71</v>
      </c>
      <c r="E580" s="304">
        <v>410851</v>
      </c>
      <c r="F580" s="8">
        <v>96</v>
      </c>
      <c r="G580" s="476">
        <v>45776</v>
      </c>
      <c r="H580" s="303" t="s">
        <v>1004</v>
      </c>
      <c r="I580" s="294">
        <f>SUM(W580,SUMIFS('Cutters Consumption Updates'!$F:$F,'Cutters Consumption Updates'!$G:$G,"NEW",'Cutters Consumption Updates'!$J:$J,Table7[[#This Row],[PO'#]],'Cutters Consumption Updates'!$B:$B,Table7[[#This Row],[Cutter Mat'#]]))</f>
        <v>96</v>
      </c>
      <c r="J580" s="294">
        <f t="shared" si="13"/>
        <v>0</v>
      </c>
    </row>
    <row r="581" spans="2:10" ht="15.5" x14ac:dyDescent="0.25">
      <c r="B581" s="364" t="s">
        <v>992</v>
      </c>
      <c r="C581" s="364" t="s">
        <v>177</v>
      </c>
      <c r="D581" s="364" t="s">
        <v>242</v>
      </c>
      <c r="E581" s="304">
        <v>717748</v>
      </c>
      <c r="F581" s="8">
        <v>60</v>
      </c>
      <c r="G581" s="476">
        <v>45776</v>
      </c>
      <c r="H581" s="303" t="s">
        <v>1004</v>
      </c>
      <c r="I581" s="294">
        <f>SUM(W581,SUMIFS('Cutters Consumption Updates'!$F:$F,'Cutters Consumption Updates'!$G:$G,"NEW",'Cutters Consumption Updates'!$J:$J,Table7[[#This Row],[PO'#]],'Cutters Consumption Updates'!$B:$B,Table7[[#This Row],[Cutter Mat'#]]))</f>
        <v>60</v>
      </c>
      <c r="J581" s="294">
        <f t="shared" si="13"/>
        <v>0</v>
      </c>
    </row>
    <row r="582" spans="2:10" ht="15.5" x14ac:dyDescent="0.25">
      <c r="B582" s="364">
        <v>1318</v>
      </c>
      <c r="C582" s="364" t="s">
        <v>35</v>
      </c>
      <c r="D582" s="364" t="s">
        <v>267</v>
      </c>
      <c r="E582" s="304">
        <v>625854</v>
      </c>
      <c r="F582" s="8">
        <v>50</v>
      </c>
      <c r="G582" s="476">
        <v>45776</v>
      </c>
      <c r="H582" s="303" t="s">
        <v>1004</v>
      </c>
      <c r="I582" s="294">
        <f>SUM(W582,SUMIFS('Cutters Consumption Updates'!$F:$F,'Cutters Consumption Updates'!$G:$G,"NEW",'Cutters Consumption Updates'!$J:$J,Table7[[#This Row],[PO'#]],'Cutters Consumption Updates'!$B:$B,Table7[[#This Row],[Cutter Mat'#]]))</f>
        <v>50</v>
      </c>
      <c r="J582" s="294">
        <f t="shared" si="13"/>
        <v>0</v>
      </c>
    </row>
    <row r="583" spans="2:10" ht="15.5" x14ac:dyDescent="0.25">
      <c r="B583" s="364" t="s">
        <v>899</v>
      </c>
      <c r="C583" s="364" t="s">
        <v>177</v>
      </c>
      <c r="D583" s="364" t="s">
        <v>242</v>
      </c>
      <c r="E583" s="304">
        <v>871781</v>
      </c>
      <c r="F583" s="8">
        <v>176</v>
      </c>
      <c r="G583" s="476">
        <v>45776</v>
      </c>
      <c r="H583" s="303" t="s">
        <v>1004</v>
      </c>
      <c r="I583" s="294">
        <f>SUM(W583,SUMIFS('Cutters Consumption Updates'!$F:$F,'Cutters Consumption Updates'!$G:$G,"NEW",'Cutters Consumption Updates'!$J:$J,Table7[[#This Row],[PO'#]],'Cutters Consumption Updates'!$B:$B,Table7[[#This Row],[Cutter Mat'#]]))</f>
        <v>176</v>
      </c>
      <c r="J583" s="294">
        <f t="shared" si="13"/>
        <v>0</v>
      </c>
    </row>
    <row r="584" spans="2:10" ht="15.5" x14ac:dyDescent="0.25">
      <c r="B584" s="364" t="s">
        <v>38</v>
      </c>
      <c r="C584" s="364" t="s">
        <v>1010</v>
      </c>
      <c r="D584" s="364" t="s">
        <v>1011</v>
      </c>
      <c r="E584" s="304">
        <v>179734</v>
      </c>
      <c r="F584" s="8">
        <v>66</v>
      </c>
      <c r="G584" s="476">
        <v>45776</v>
      </c>
      <c r="H584" s="303" t="s">
        <v>1004</v>
      </c>
      <c r="I584" s="294">
        <f>SUM(W584,SUMIFS('Cutters Consumption Updates'!$F:$F,'Cutters Consumption Updates'!$G:$G,"NEW",'Cutters Consumption Updates'!$J:$J,Table7[[#This Row],[PO'#]],'Cutters Consumption Updates'!$B:$B,Table7[[#This Row],[Cutter Mat'#]]))</f>
        <v>66</v>
      </c>
      <c r="J584" s="294">
        <f t="shared" si="13"/>
        <v>0</v>
      </c>
    </row>
    <row r="585" spans="2:10" ht="15.5" x14ac:dyDescent="0.25">
      <c r="B585" s="364" t="s">
        <v>1012</v>
      </c>
      <c r="C585" s="364" t="s">
        <v>177</v>
      </c>
      <c r="D585" s="364" t="s">
        <v>242</v>
      </c>
      <c r="E585" s="304">
        <v>647435</v>
      </c>
      <c r="F585" s="8">
        <v>46</v>
      </c>
      <c r="G585" s="476">
        <v>45776</v>
      </c>
      <c r="H585" s="303" t="s">
        <v>1004</v>
      </c>
      <c r="I585" s="294">
        <f>SUM(W585,SUMIFS('Cutters Consumption Updates'!$F:$F,'Cutters Consumption Updates'!$G:$G,"NEW",'Cutters Consumption Updates'!$J:$J,Table7[[#This Row],[PO'#]],'Cutters Consumption Updates'!$B:$B,Table7[[#This Row],[Cutter Mat'#]]))</f>
        <v>46</v>
      </c>
      <c r="J585" s="294">
        <f t="shared" si="13"/>
        <v>0</v>
      </c>
    </row>
    <row r="586" spans="2:10" ht="15.5" x14ac:dyDescent="0.25">
      <c r="B586" s="364" t="s">
        <v>894</v>
      </c>
      <c r="C586" s="364" t="s">
        <v>177</v>
      </c>
      <c r="D586" s="364" t="s">
        <v>242</v>
      </c>
      <c r="E586" s="304">
        <v>647436</v>
      </c>
      <c r="F586" s="8">
        <v>51</v>
      </c>
      <c r="G586" s="476">
        <v>45776</v>
      </c>
      <c r="H586" s="303" t="s">
        <v>1004</v>
      </c>
      <c r="I586" s="294">
        <f>SUM(W586,SUMIFS('Cutters Consumption Updates'!$F:$F,'Cutters Consumption Updates'!$G:$G,"NEW",'Cutters Consumption Updates'!$J:$J,Table7[[#This Row],[PO'#]],'Cutters Consumption Updates'!$B:$B,Table7[[#This Row],[Cutter Mat'#]]))</f>
        <v>51</v>
      </c>
      <c r="J586" s="294">
        <f t="shared" si="13"/>
        <v>0</v>
      </c>
    </row>
    <row r="587" spans="2:10" ht="15.5" x14ac:dyDescent="0.25">
      <c r="B587" s="364" t="s">
        <v>881</v>
      </c>
      <c r="C587" s="364" t="s">
        <v>170</v>
      </c>
      <c r="D587" s="364" t="s">
        <v>111</v>
      </c>
      <c r="E587" s="304">
        <v>1208601</v>
      </c>
      <c r="F587" s="8">
        <v>74</v>
      </c>
      <c r="G587" s="476">
        <v>45776</v>
      </c>
      <c r="H587" s="303" t="s">
        <v>1004</v>
      </c>
      <c r="I587" s="294">
        <f>SUM(W587,SUMIFS('Cutters Consumption Updates'!$F:$F,'Cutters Consumption Updates'!$G:$G,"NEW",'Cutters Consumption Updates'!$J:$J,Table7[[#This Row],[PO'#]],'Cutters Consumption Updates'!$B:$B,Table7[[#This Row],[Cutter Mat'#]]))</f>
        <v>74</v>
      </c>
      <c r="J587" s="294">
        <f t="shared" si="13"/>
        <v>0</v>
      </c>
    </row>
    <row r="588" spans="2:10" ht="15.5" x14ac:dyDescent="0.25">
      <c r="B588" s="364" t="s">
        <v>884</v>
      </c>
      <c r="C588" s="364" t="s">
        <v>253</v>
      </c>
      <c r="D588" s="364" t="s">
        <v>242</v>
      </c>
      <c r="E588" s="304">
        <v>708306</v>
      </c>
      <c r="F588" s="8">
        <v>34</v>
      </c>
      <c r="G588" s="476">
        <v>45776</v>
      </c>
      <c r="H588" s="303" t="s">
        <v>1004</v>
      </c>
      <c r="I588" s="294">
        <f>SUM(W588,SUMIFS('Cutters Consumption Updates'!$F:$F,'Cutters Consumption Updates'!$G:$G,"NEW",'Cutters Consumption Updates'!$J:$J,Table7[[#This Row],[PO'#]],'Cutters Consumption Updates'!$B:$B,Table7[[#This Row],[Cutter Mat'#]]))</f>
        <v>34</v>
      </c>
      <c r="J588" s="294">
        <f t="shared" si="13"/>
        <v>0</v>
      </c>
    </row>
    <row r="589" spans="2:10" ht="15.5" x14ac:dyDescent="0.25">
      <c r="B589" s="364" t="s">
        <v>894</v>
      </c>
      <c r="C589" s="364" t="s">
        <v>177</v>
      </c>
      <c r="D589" s="364" t="s">
        <v>235</v>
      </c>
      <c r="E589" s="304">
        <v>1291870</v>
      </c>
      <c r="F589" s="8">
        <v>90</v>
      </c>
      <c r="G589" s="476">
        <v>45781</v>
      </c>
      <c r="H589" s="303" t="s">
        <v>1013</v>
      </c>
      <c r="I589" s="294">
        <f>SUM(W589,SUMIFS('Cutters Consumption Updates'!$F:$F,'Cutters Consumption Updates'!$G:$G,"NEW",'Cutters Consumption Updates'!$J:$J,Table7[[#This Row],[PO'#]],'Cutters Consumption Updates'!$B:$B,Table7[[#This Row],[Cutter Mat'#]]))</f>
        <v>90</v>
      </c>
      <c r="J589" s="294">
        <f t="shared" ref="J589:J591" si="14">F589-I589</f>
        <v>0</v>
      </c>
    </row>
    <row r="590" spans="2:10" ht="15.5" x14ac:dyDescent="0.25">
      <c r="B590" s="364" t="s">
        <v>236</v>
      </c>
      <c r="C590" s="364" t="s">
        <v>109</v>
      </c>
      <c r="D590" s="364" t="s">
        <v>237</v>
      </c>
      <c r="E590" s="304">
        <v>1291852</v>
      </c>
      <c r="F590" s="8">
        <v>50</v>
      </c>
      <c r="G590" s="476">
        <v>45781</v>
      </c>
      <c r="H590" s="303" t="s">
        <v>1013</v>
      </c>
      <c r="I590" s="294">
        <f>SUM(W590,SUMIFS('Cutters Consumption Updates'!$F:$F,'Cutters Consumption Updates'!$G:$G,"NEW",'Cutters Consumption Updates'!$J:$J,Table7[[#This Row],[PO'#]],'Cutters Consumption Updates'!$B:$B,Table7[[#This Row],[Cutter Mat'#]]))</f>
        <v>50</v>
      </c>
      <c r="J590" s="294">
        <f t="shared" si="14"/>
        <v>0</v>
      </c>
    </row>
    <row r="591" spans="2:10" ht="15.5" x14ac:dyDescent="0.25">
      <c r="B591" s="364">
        <v>1613</v>
      </c>
      <c r="C591" s="364" t="s">
        <v>170</v>
      </c>
      <c r="D591" s="364" t="s">
        <v>207</v>
      </c>
      <c r="E591" s="632">
        <v>1282370</v>
      </c>
      <c r="F591" s="8">
        <v>15</v>
      </c>
      <c r="G591" s="476">
        <v>45790</v>
      </c>
      <c r="H591" s="303" t="s">
        <v>1014</v>
      </c>
      <c r="I591" s="294">
        <f>SUM(W591,SUMIFS('Cutters Consumption Updates'!$F:$F,'Cutters Consumption Updates'!$G:$G,"NEW",'Cutters Consumption Updates'!$J:$J,Table7[[#This Row],[PO'#]],'Cutters Consumption Updates'!$B:$B,Table7[[#This Row],[Cutter Mat'#]]))</f>
        <v>15</v>
      </c>
      <c r="J591" s="294">
        <f t="shared" si="14"/>
        <v>0</v>
      </c>
    </row>
    <row r="592" spans="2:10" ht="15.5" x14ac:dyDescent="0.25">
      <c r="B592" s="364">
        <v>1613</v>
      </c>
      <c r="C592" s="364" t="s">
        <v>177</v>
      </c>
      <c r="D592" s="364" t="s">
        <v>235</v>
      </c>
      <c r="E592" s="304">
        <v>1291870</v>
      </c>
      <c r="F592" s="8">
        <v>60</v>
      </c>
      <c r="G592" s="476">
        <v>45790</v>
      </c>
      <c r="H592" s="303" t="s">
        <v>1014</v>
      </c>
      <c r="I592" s="294">
        <f>SUM(W592,SUMIFS('Cutters Consumption Updates'!$F:$F,'Cutters Consumption Updates'!$G:$G,"NEW",'Cutters Consumption Updates'!$J:$J,Table7[[#This Row],[PO'#]],'Cutters Consumption Updates'!$B:$B,Table7[[#This Row],[Cutter Mat'#]]))</f>
        <v>60</v>
      </c>
      <c r="J592" s="294">
        <f t="shared" ref="J592:J595" si="15">F592-I592</f>
        <v>0</v>
      </c>
    </row>
    <row r="593" spans="2:10" ht="15.5" x14ac:dyDescent="0.25">
      <c r="B593" s="364">
        <v>1313</v>
      </c>
      <c r="C593" s="364" t="s">
        <v>109</v>
      </c>
      <c r="D593" s="364" t="s">
        <v>225</v>
      </c>
      <c r="E593" s="304">
        <v>2008253</v>
      </c>
      <c r="F593" s="8">
        <v>15</v>
      </c>
      <c r="G593" s="476">
        <v>45790</v>
      </c>
      <c r="H593" s="303" t="s">
        <v>1014</v>
      </c>
      <c r="I593" s="294">
        <f>SUM(W593,SUMIFS('Cutters Consumption Updates'!$F:$F,'Cutters Consumption Updates'!$G:$G,"NEW",'Cutters Consumption Updates'!$J:$J,Table7[[#This Row],[PO'#]],'Cutters Consumption Updates'!$B:$B,Table7[[#This Row],[Cutter Mat'#]]))</f>
        <v>15</v>
      </c>
      <c r="J593" s="294">
        <f t="shared" si="15"/>
        <v>0</v>
      </c>
    </row>
    <row r="594" spans="2:10" ht="15.5" x14ac:dyDescent="0.25">
      <c r="B594" s="364">
        <v>1613</v>
      </c>
      <c r="C594" s="364" t="s">
        <v>170</v>
      </c>
      <c r="D594" s="364" t="s">
        <v>238</v>
      </c>
      <c r="E594" s="304">
        <v>1292498</v>
      </c>
      <c r="F594" s="8">
        <v>30</v>
      </c>
      <c r="G594" s="476">
        <v>45790</v>
      </c>
      <c r="H594" s="303" t="s">
        <v>1014</v>
      </c>
      <c r="I594" s="294">
        <f>SUM(W594,SUMIFS('Cutters Consumption Updates'!$F:$F,'Cutters Consumption Updates'!$G:$G,"NEW",'Cutters Consumption Updates'!$J:$J,Table7[[#This Row],[PO'#]],'Cutters Consumption Updates'!$B:$B,Table7[[#This Row],[Cutter Mat'#]]))</f>
        <v>30</v>
      </c>
      <c r="J594" s="294">
        <f t="shared" si="15"/>
        <v>0</v>
      </c>
    </row>
    <row r="595" spans="2:10" ht="15.5" x14ac:dyDescent="0.25">
      <c r="B595" s="364">
        <v>1313</v>
      </c>
      <c r="C595" s="364" t="s">
        <v>109</v>
      </c>
      <c r="D595" s="364" t="s">
        <v>239</v>
      </c>
      <c r="E595" s="304">
        <v>1247589</v>
      </c>
      <c r="F595" s="8">
        <v>25</v>
      </c>
      <c r="G595" s="476">
        <v>45790</v>
      </c>
      <c r="H595" s="303" t="s">
        <v>1014</v>
      </c>
      <c r="I595" s="294">
        <f>SUM(W595,SUMIFS('Cutters Consumption Updates'!$F:$F,'Cutters Consumption Updates'!$G:$G,"NEW",'Cutters Consumption Updates'!$J:$J,Table7[[#This Row],[PO'#]],'Cutters Consumption Updates'!$B:$B,Table7[[#This Row],[Cutter Mat'#]]))</f>
        <v>25</v>
      </c>
      <c r="J595" s="294">
        <f t="shared" si="15"/>
        <v>0</v>
      </c>
    </row>
    <row r="596" spans="2:10" ht="15.5" x14ac:dyDescent="0.25">
      <c r="B596" s="364" t="s">
        <v>921</v>
      </c>
      <c r="C596" s="364" t="s">
        <v>253</v>
      </c>
      <c r="D596" s="364" t="s">
        <v>230</v>
      </c>
      <c r="E596" s="304">
        <v>1230916</v>
      </c>
      <c r="F596" s="8">
        <v>16</v>
      </c>
      <c r="G596" s="476">
        <v>45810</v>
      </c>
      <c r="H596" s="303" t="s">
        <v>1015</v>
      </c>
      <c r="I596" s="294">
        <f>SUM(W596,SUMIFS('Cutters Consumption Updates'!$F:$F,'Cutters Consumption Updates'!$G:$G,"NEW",'Cutters Consumption Updates'!$J:$J,Table7[[#This Row],[PO'#]],'Cutters Consumption Updates'!$B:$B,Table7[[#This Row],[Cutter Mat'#]]))</f>
        <v>16</v>
      </c>
      <c r="J596" s="294">
        <f t="shared" ref="J596:J621" si="16">F596-I596</f>
        <v>0</v>
      </c>
    </row>
    <row r="597" spans="2:10" ht="15.5" x14ac:dyDescent="0.25">
      <c r="B597" s="364" t="s">
        <v>922</v>
      </c>
      <c r="C597" s="364" t="s">
        <v>253</v>
      </c>
      <c r="D597" s="364" t="s">
        <v>139</v>
      </c>
      <c r="E597" s="304">
        <v>1199261</v>
      </c>
      <c r="F597" s="8">
        <v>52</v>
      </c>
      <c r="G597" s="476">
        <v>45810</v>
      </c>
      <c r="H597" s="303" t="s">
        <v>1015</v>
      </c>
      <c r="I597" s="294">
        <f>SUM(W597,SUMIFS('Cutters Consumption Updates'!$F:$F,'Cutters Consumption Updates'!$G:$G,"NEW",'Cutters Consumption Updates'!$J:$J,Table7[[#This Row],[PO'#]],'Cutters Consumption Updates'!$B:$B,Table7[[#This Row],[Cutter Mat'#]]))</f>
        <v>52</v>
      </c>
      <c r="J597" s="294">
        <f t="shared" si="16"/>
        <v>0</v>
      </c>
    </row>
    <row r="598" spans="2:10" ht="15.5" x14ac:dyDescent="0.25">
      <c r="B598" s="364" t="s">
        <v>201</v>
      </c>
      <c r="C598" s="364" t="s">
        <v>103</v>
      </c>
      <c r="D598" s="364" t="s">
        <v>965</v>
      </c>
      <c r="E598" s="304">
        <v>1201518</v>
      </c>
      <c r="F598" s="8">
        <v>15</v>
      </c>
      <c r="G598" s="476">
        <v>45810</v>
      </c>
      <c r="H598" s="303" t="s">
        <v>1015</v>
      </c>
      <c r="I598" s="294">
        <f>SUM(W598,SUMIFS('Cutters Consumption Updates'!$F:$F,'Cutters Consumption Updates'!$G:$G,"NEW",'Cutters Consumption Updates'!$J:$J,Table7[[#This Row],[PO'#]],'Cutters Consumption Updates'!$B:$B,Table7[[#This Row],[Cutter Mat'#]]))</f>
        <v>15</v>
      </c>
      <c r="J598" s="294">
        <f t="shared" si="16"/>
        <v>0</v>
      </c>
    </row>
    <row r="599" spans="2:10" ht="15.5" x14ac:dyDescent="0.25">
      <c r="B599" s="364" t="s">
        <v>879</v>
      </c>
      <c r="C599" s="364" t="s">
        <v>253</v>
      </c>
      <c r="D599" s="364" t="s">
        <v>133</v>
      </c>
      <c r="E599" s="304">
        <v>1100753</v>
      </c>
      <c r="F599" s="8">
        <v>15</v>
      </c>
      <c r="G599" s="476">
        <v>45810</v>
      </c>
      <c r="H599" s="303" t="s">
        <v>1015</v>
      </c>
      <c r="I599" s="294">
        <f>SUM(W599,SUMIFS('Cutters Consumption Updates'!$F:$F,'Cutters Consumption Updates'!$G:$G,"NEW",'Cutters Consumption Updates'!$J:$J,Table7[[#This Row],[PO'#]],'Cutters Consumption Updates'!$B:$B,Table7[[#This Row],[Cutter Mat'#]]))</f>
        <v>15</v>
      </c>
      <c r="J599" s="294">
        <f t="shared" si="16"/>
        <v>0</v>
      </c>
    </row>
    <row r="600" spans="2:10" ht="15.5" x14ac:dyDescent="0.25">
      <c r="B600" s="364" t="s">
        <v>894</v>
      </c>
      <c r="C600" s="364" t="s">
        <v>177</v>
      </c>
      <c r="D600" s="364" t="s">
        <v>111</v>
      </c>
      <c r="E600" s="304">
        <v>1146737</v>
      </c>
      <c r="F600" s="8">
        <v>150</v>
      </c>
      <c r="G600" s="476">
        <v>45810</v>
      </c>
      <c r="H600" s="303" t="s">
        <v>1015</v>
      </c>
      <c r="I600" s="294">
        <f>SUM(W600,SUMIFS('Cutters Consumption Updates'!$F:$F,'Cutters Consumption Updates'!$G:$G,"NEW",'Cutters Consumption Updates'!$J:$J,Table7[[#This Row],[PO'#]],'Cutters Consumption Updates'!$B:$B,Table7[[#This Row],[Cutter Mat'#]]))</f>
        <v>150</v>
      </c>
      <c r="J600" s="294">
        <f t="shared" si="16"/>
        <v>0</v>
      </c>
    </row>
    <row r="601" spans="2:10" ht="15.5" x14ac:dyDescent="0.25">
      <c r="B601" s="364" t="s">
        <v>894</v>
      </c>
      <c r="C601" s="364" t="s">
        <v>177</v>
      </c>
      <c r="D601" s="364" t="s">
        <v>133</v>
      </c>
      <c r="E601" s="304">
        <v>1126402</v>
      </c>
      <c r="F601" s="8">
        <v>230</v>
      </c>
      <c r="G601" s="476">
        <v>45810</v>
      </c>
      <c r="H601" s="303" t="s">
        <v>1015</v>
      </c>
      <c r="I601" s="294">
        <f>SUM(W601,SUMIFS('Cutters Consumption Updates'!$F:$F,'Cutters Consumption Updates'!$G:$G,"NEW",'Cutters Consumption Updates'!$J:$J,Table7[[#This Row],[PO'#]],'Cutters Consumption Updates'!$B:$B,Table7[[#This Row],[Cutter Mat'#]]))</f>
        <v>230</v>
      </c>
      <c r="J601" s="294">
        <f t="shared" si="16"/>
        <v>0</v>
      </c>
    </row>
    <row r="602" spans="2:10" ht="15.5" x14ac:dyDescent="0.25">
      <c r="B602" s="364" t="s">
        <v>894</v>
      </c>
      <c r="C602" s="364" t="s">
        <v>177</v>
      </c>
      <c r="D602" s="364" t="s">
        <v>214</v>
      </c>
      <c r="E602" s="304">
        <v>1288783</v>
      </c>
      <c r="F602" s="8">
        <v>20</v>
      </c>
      <c r="G602" s="476">
        <v>45810</v>
      </c>
      <c r="H602" s="303" t="s">
        <v>1015</v>
      </c>
      <c r="I602" s="294">
        <f>SUM(W602,SUMIFS('Cutters Consumption Updates'!$F:$F,'Cutters Consumption Updates'!$G:$G,"NEW",'Cutters Consumption Updates'!$J:$J,Table7[[#This Row],[PO'#]],'Cutters Consumption Updates'!$B:$B,Table7[[#This Row],[Cutter Mat'#]]))</f>
        <v>20</v>
      </c>
      <c r="J602" s="294">
        <f t="shared" si="16"/>
        <v>0</v>
      </c>
    </row>
    <row r="603" spans="2:10" ht="15.5" x14ac:dyDescent="0.25">
      <c r="B603" s="364" t="s">
        <v>236</v>
      </c>
      <c r="C603" s="364" t="s">
        <v>109</v>
      </c>
      <c r="D603" s="364" t="s">
        <v>218</v>
      </c>
      <c r="E603" s="304">
        <v>1296685</v>
      </c>
      <c r="F603" s="8">
        <v>150</v>
      </c>
      <c r="G603" s="476">
        <v>45810</v>
      </c>
      <c r="H603" s="303" t="s">
        <v>1015</v>
      </c>
      <c r="I603" s="294">
        <f>SUM(W603,SUMIFS('Cutters Consumption Updates'!$F:$F,'Cutters Consumption Updates'!$G:$G,"NEW",'Cutters Consumption Updates'!$J:$J,Table7[[#This Row],[PO'#]],'Cutters Consumption Updates'!$B:$B,Table7[[#This Row],[Cutter Mat'#]]))</f>
        <v>150</v>
      </c>
      <c r="J603" s="294">
        <f t="shared" si="16"/>
        <v>0</v>
      </c>
    </row>
    <row r="604" spans="2:10" ht="15.5" x14ac:dyDescent="0.25">
      <c r="B604" s="364" t="s">
        <v>881</v>
      </c>
      <c r="C604" s="364" t="s">
        <v>170</v>
      </c>
      <c r="D604" s="364" t="s">
        <v>1016</v>
      </c>
      <c r="E604" s="304">
        <v>1282370</v>
      </c>
      <c r="F604" s="8">
        <v>15</v>
      </c>
      <c r="G604" s="476">
        <v>45810</v>
      </c>
      <c r="H604" s="303" t="s">
        <v>1015</v>
      </c>
      <c r="I604" s="294">
        <f>SUM(W604,SUMIFS('Cutters Consumption Updates'!$F:$F,'Cutters Consumption Updates'!$G:$G,"NEW",'Cutters Consumption Updates'!$J:$J,Table7[[#This Row],[PO'#]],'Cutters Consumption Updates'!$B:$B,Table7[[#This Row],[Cutter Mat'#]]))</f>
        <v>15</v>
      </c>
      <c r="J604" s="294">
        <f t="shared" si="16"/>
        <v>0</v>
      </c>
    </row>
    <row r="605" spans="2:10" ht="15.5" x14ac:dyDescent="0.25">
      <c r="B605" s="364" t="s">
        <v>925</v>
      </c>
      <c r="C605" s="364">
        <v>0</v>
      </c>
      <c r="D605" s="364">
        <v>0</v>
      </c>
      <c r="E605" s="304">
        <v>1220554</v>
      </c>
      <c r="F605" s="8">
        <v>28</v>
      </c>
      <c r="G605" s="476">
        <v>45810</v>
      </c>
      <c r="H605" s="303" t="s">
        <v>1015</v>
      </c>
      <c r="I605" s="294">
        <f>SUM(W605,SUMIFS('Cutters Consumption Updates'!$F:$F,'Cutters Consumption Updates'!$G:$G,"NEW",'Cutters Consumption Updates'!$J:$J,Table7[[#This Row],[PO'#]],'Cutters Consumption Updates'!$B:$B,Table7[[#This Row],[Cutter Mat'#]]))</f>
        <v>28</v>
      </c>
      <c r="J605" s="294">
        <f t="shared" si="16"/>
        <v>0</v>
      </c>
    </row>
    <row r="606" spans="2:10" ht="15.5" x14ac:dyDescent="0.25">
      <c r="B606" s="364" t="s">
        <v>903</v>
      </c>
      <c r="C606" s="364">
        <v>0</v>
      </c>
      <c r="D606" s="364">
        <v>0</v>
      </c>
      <c r="E606" s="304">
        <v>1228501</v>
      </c>
      <c r="F606" s="8">
        <v>56</v>
      </c>
      <c r="G606" s="476">
        <v>45810</v>
      </c>
      <c r="H606" s="303" t="s">
        <v>1015</v>
      </c>
      <c r="I606" s="294">
        <f>SUM(W606,SUMIFS('Cutters Consumption Updates'!$F:$F,'Cutters Consumption Updates'!$G:$G,"NEW",'Cutters Consumption Updates'!$J:$J,Table7[[#This Row],[PO'#]],'Cutters Consumption Updates'!$B:$B,Table7[[#This Row],[Cutter Mat'#]]))</f>
        <v>56</v>
      </c>
      <c r="J606" s="294">
        <f t="shared" si="16"/>
        <v>0</v>
      </c>
    </row>
    <row r="607" spans="2:10" ht="15.5" x14ac:dyDescent="0.25">
      <c r="B607" s="364" t="s">
        <v>901</v>
      </c>
      <c r="C607" s="364" t="s">
        <v>170</v>
      </c>
      <c r="D607" s="364" t="s">
        <v>114</v>
      </c>
      <c r="E607" s="304">
        <v>1228502</v>
      </c>
      <c r="F607" s="8">
        <v>70</v>
      </c>
      <c r="G607" s="476">
        <v>45810</v>
      </c>
      <c r="H607" s="303" t="s">
        <v>1015</v>
      </c>
      <c r="I607" s="294">
        <f>SUM(W607,SUMIFS('Cutters Consumption Updates'!$F:$F,'Cutters Consumption Updates'!$G:$G,"NEW",'Cutters Consumption Updates'!$J:$J,Table7[[#This Row],[PO'#]],'Cutters Consumption Updates'!$B:$B,Table7[[#This Row],[Cutter Mat'#]]))</f>
        <v>70</v>
      </c>
      <c r="J607" s="294">
        <f t="shared" si="16"/>
        <v>0</v>
      </c>
    </row>
    <row r="608" spans="2:10" ht="15.5" x14ac:dyDescent="0.25">
      <c r="B608" s="364" t="s">
        <v>926</v>
      </c>
      <c r="C608" s="364">
        <v>0</v>
      </c>
      <c r="D608" s="364">
        <v>0</v>
      </c>
      <c r="E608" s="304">
        <v>1228503</v>
      </c>
      <c r="F608" s="8">
        <v>40</v>
      </c>
      <c r="G608" s="476">
        <v>45810</v>
      </c>
      <c r="H608" s="303" t="s">
        <v>1015</v>
      </c>
      <c r="I608" s="294">
        <f>SUM(W608,SUMIFS('Cutters Consumption Updates'!$F:$F,'Cutters Consumption Updates'!$G:$G,"NEW",'Cutters Consumption Updates'!$J:$J,Table7[[#This Row],[PO'#]],'Cutters Consumption Updates'!$B:$B,Table7[[#This Row],[Cutter Mat'#]]))</f>
        <v>40</v>
      </c>
      <c r="J608" s="294">
        <f t="shared" si="16"/>
        <v>0</v>
      </c>
    </row>
    <row r="609" spans="2:10" ht="15.5" x14ac:dyDescent="0.25">
      <c r="B609" s="364" t="s">
        <v>913</v>
      </c>
      <c r="C609" s="364" t="s">
        <v>170</v>
      </c>
      <c r="D609" s="364" t="s">
        <v>215</v>
      </c>
      <c r="E609" s="304">
        <v>2002243</v>
      </c>
      <c r="F609" s="8">
        <v>164</v>
      </c>
      <c r="G609" s="476">
        <v>45810</v>
      </c>
      <c r="H609" s="303" t="s">
        <v>1015</v>
      </c>
      <c r="I609" s="294">
        <f>SUM(W609,SUMIFS('Cutters Consumption Updates'!$F:$F,'Cutters Consumption Updates'!$G:$G,"NEW",'Cutters Consumption Updates'!$J:$J,Table7[[#This Row],[PO'#]],'Cutters Consumption Updates'!$B:$B,Table7[[#This Row],[Cutter Mat'#]]))</f>
        <v>164</v>
      </c>
      <c r="J609" s="294">
        <f t="shared" si="16"/>
        <v>0</v>
      </c>
    </row>
    <row r="610" spans="2:10" ht="15.5" x14ac:dyDescent="0.25">
      <c r="B610" s="364" t="s">
        <v>927</v>
      </c>
      <c r="C610" s="364" t="s">
        <v>170</v>
      </c>
      <c r="D610" s="364" t="s">
        <v>225</v>
      </c>
      <c r="E610" s="304">
        <v>2002299</v>
      </c>
      <c r="F610" s="8">
        <v>70</v>
      </c>
      <c r="G610" s="476">
        <v>45810</v>
      </c>
      <c r="H610" s="303" t="s">
        <v>1015</v>
      </c>
      <c r="I610" s="294">
        <f>SUM(W610,SUMIFS('Cutters Consumption Updates'!$F:$F,'Cutters Consumption Updates'!$G:$G,"NEW",'Cutters Consumption Updates'!$J:$J,Table7[[#This Row],[PO'#]],'Cutters Consumption Updates'!$B:$B,Table7[[#This Row],[Cutter Mat'#]]))</f>
        <v>70</v>
      </c>
      <c r="J610" s="294">
        <f t="shared" si="16"/>
        <v>0</v>
      </c>
    </row>
    <row r="611" spans="2:10" ht="15.5" x14ac:dyDescent="0.25">
      <c r="B611" s="364" t="s">
        <v>914</v>
      </c>
      <c r="C611" s="364" t="s">
        <v>170</v>
      </c>
      <c r="D611" s="364" t="s">
        <v>225</v>
      </c>
      <c r="E611" s="304">
        <v>2002186</v>
      </c>
      <c r="F611" s="8">
        <v>80</v>
      </c>
      <c r="G611" s="476">
        <v>45810</v>
      </c>
      <c r="H611" s="303" t="s">
        <v>1015</v>
      </c>
      <c r="I611" s="294">
        <f>SUM(W611,SUMIFS('Cutters Consumption Updates'!$F:$F,'Cutters Consumption Updates'!$G:$G,"NEW",'Cutters Consumption Updates'!$J:$J,Table7[[#This Row],[PO'#]],'Cutters Consumption Updates'!$B:$B,Table7[[#This Row],[Cutter Mat'#]]))</f>
        <v>80</v>
      </c>
      <c r="J611" s="294">
        <f t="shared" si="16"/>
        <v>0</v>
      </c>
    </row>
    <row r="612" spans="2:10" ht="15.5" x14ac:dyDescent="0.25">
      <c r="B612" s="364">
        <v>1308</v>
      </c>
      <c r="C612" s="364" t="s">
        <v>65</v>
      </c>
      <c r="D612" s="364" t="s">
        <v>71</v>
      </c>
      <c r="E612" s="304">
        <v>418525</v>
      </c>
      <c r="F612" s="8">
        <v>200</v>
      </c>
      <c r="G612" s="476">
        <v>45810</v>
      </c>
      <c r="H612" s="303" t="s">
        <v>1015</v>
      </c>
      <c r="I612" s="294">
        <f>SUM(W612,SUMIFS('Cutters Consumption Updates'!$F:$F,'Cutters Consumption Updates'!$G:$G,"NEW",'Cutters Consumption Updates'!$J:$J,Table7[[#This Row],[PO'#]],'Cutters Consumption Updates'!$B:$B,Table7[[#This Row],[Cutter Mat'#]]))</f>
        <v>200</v>
      </c>
      <c r="J612" s="294">
        <f t="shared" si="16"/>
        <v>0</v>
      </c>
    </row>
    <row r="613" spans="2:10" ht="15.5" x14ac:dyDescent="0.25">
      <c r="B613" s="364" t="s">
        <v>935</v>
      </c>
      <c r="C613" s="364" t="s">
        <v>231</v>
      </c>
      <c r="D613" s="364" t="s">
        <v>230</v>
      </c>
      <c r="E613" s="304">
        <v>1293118</v>
      </c>
      <c r="F613" s="8">
        <v>20</v>
      </c>
      <c r="G613" s="476">
        <v>45810</v>
      </c>
      <c r="H613" s="303" t="s">
        <v>1015</v>
      </c>
      <c r="I613" s="294">
        <f>SUM(W613,SUMIFS('Cutters Consumption Updates'!$F:$F,'Cutters Consumption Updates'!$G:$G,"NEW",'Cutters Consumption Updates'!$J:$J,Table7[[#This Row],[PO'#]],'Cutters Consumption Updates'!$B:$B,Table7[[#This Row],[Cutter Mat'#]]))</f>
        <v>20</v>
      </c>
      <c r="J613" s="294">
        <f t="shared" si="16"/>
        <v>0</v>
      </c>
    </row>
    <row r="614" spans="2:10" ht="15.5" x14ac:dyDescent="0.25">
      <c r="B614" s="364" t="s">
        <v>899</v>
      </c>
      <c r="C614" s="364" t="s">
        <v>177</v>
      </c>
      <c r="D614" s="364" t="s">
        <v>242</v>
      </c>
      <c r="E614" s="304">
        <v>871781</v>
      </c>
      <c r="F614" s="8">
        <v>70</v>
      </c>
      <c r="G614" s="476">
        <v>45810</v>
      </c>
      <c r="H614" s="303" t="s">
        <v>1015</v>
      </c>
      <c r="I614" s="294">
        <f>SUM(W614,SUMIFS('Cutters Consumption Updates'!$F:$F,'Cutters Consumption Updates'!$G:$G,"NEW",'Cutters Consumption Updates'!$J:$J,Table7[[#This Row],[PO'#]],'Cutters Consumption Updates'!$B:$B,Table7[[#This Row],[Cutter Mat'#]]))</f>
        <v>70</v>
      </c>
      <c r="J614" s="294">
        <f t="shared" si="16"/>
        <v>0</v>
      </c>
    </row>
    <row r="615" spans="2:10" ht="15.5" x14ac:dyDescent="0.25">
      <c r="B615" s="364" t="s">
        <v>38</v>
      </c>
      <c r="C615" s="364" t="s">
        <v>243</v>
      </c>
      <c r="D615" s="364" t="s">
        <v>192</v>
      </c>
      <c r="E615" s="304">
        <v>625854</v>
      </c>
      <c r="F615" s="8">
        <v>55</v>
      </c>
      <c r="G615" s="476">
        <v>45810</v>
      </c>
      <c r="H615" s="303" t="s">
        <v>1015</v>
      </c>
      <c r="I615" s="294">
        <f>SUM(W615,SUMIFS('Cutters Consumption Updates'!$F:$F,'Cutters Consumption Updates'!$G:$G,"NEW",'Cutters Consumption Updates'!$J:$J,Table7[[#This Row],[PO'#]],'Cutters Consumption Updates'!$B:$B,Table7[[#This Row],[Cutter Mat'#]]))</f>
        <v>55</v>
      </c>
      <c r="J615" s="294">
        <f t="shared" si="16"/>
        <v>0</v>
      </c>
    </row>
    <row r="616" spans="2:10" ht="15.5" x14ac:dyDescent="0.25">
      <c r="B616" s="364" t="s">
        <v>1012</v>
      </c>
      <c r="C616" s="364" t="s">
        <v>177</v>
      </c>
      <c r="D616" s="364" t="s">
        <v>242</v>
      </c>
      <c r="E616" s="304">
        <v>647435</v>
      </c>
      <c r="F616" s="8">
        <v>155</v>
      </c>
      <c r="G616" s="476">
        <v>45810</v>
      </c>
      <c r="H616" s="303" t="s">
        <v>1015</v>
      </c>
      <c r="I616" s="294">
        <f>SUM(W616,SUMIFS('Cutters Consumption Updates'!$F:$F,'Cutters Consumption Updates'!$G:$G,"NEW",'Cutters Consumption Updates'!$J:$J,Table7[[#This Row],[PO'#]],'Cutters Consumption Updates'!$B:$B,Table7[[#This Row],[Cutter Mat'#]]))</f>
        <v>155</v>
      </c>
      <c r="J616" s="294">
        <f t="shared" si="16"/>
        <v>0</v>
      </c>
    </row>
    <row r="617" spans="2:10" ht="15.5" x14ac:dyDescent="0.25">
      <c r="B617" s="364" t="s">
        <v>894</v>
      </c>
      <c r="C617" s="364" t="s">
        <v>177</v>
      </c>
      <c r="D617" s="364" t="s">
        <v>242</v>
      </c>
      <c r="E617" s="304">
        <v>647436</v>
      </c>
      <c r="F617" s="8">
        <v>35</v>
      </c>
      <c r="G617" s="476">
        <v>45810</v>
      </c>
      <c r="H617" s="303" t="s">
        <v>1015</v>
      </c>
      <c r="I617" s="294">
        <f>SUM(W617,SUMIFS('Cutters Consumption Updates'!$F:$F,'Cutters Consumption Updates'!$G:$G,"NEW",'Cutters Consumption Updates'!$J:$J,Table7[[#This Row],[PO'#]],'Cutters Consumption Updates'!$B:$B,Table7[[#This Row],[Cutter Mat'#]]))</f>
        <v>35</v>
      </c>
      <c r="J617" s="294">
        <f t="shared" si="16"/>
        <v>0</v>
      </c>
    </row>
    <row r="618" spans="2:10" ht="15.5" x14ac:dyDescent="0.25">
      <c r="B618" s="364" t="s">
        <v>884</v>
      </c>
      <c r="C618" s="364" t="s">
        <v>253</v>
      </c>
      <c r="D618" s="364" t="s">
        <v>51</v>
      </c>
      <c r="E618" s="304">
        <v>708306</v>
      </c>
      <c r="F618" s="8">
        <v>100</v>
      </c>
      <c r="G618" s="476">
        <v>45810</v>
      </c>
      <c r="H618" s="303" t="s">
        <v>1015</v>
      </c>
      <c r="I618" s="294">
        <f>SUM(W618,SUMIFS('Cutters Consumption Updates'!$F:$F,'Cutters Consumption Updates'!$G:$G,"NEW",'Cutters Consumption Updates'!$J:$J,Table7[[#This Row],[PO'#]],'Cutters Consumption Updates'!$B:$B,Table7[[#This Row],[Cutter Mat'#]]))</f>
        <v>100</v>
      </c>
      <c r="J618" s="294">
        <f t="shared" si="16"/>
        <v>0</v>
      </c>
    </row>
    <row r="619" spans="2:10" ht="15.5" x14ac:dyDescent="0.25">
      <c r="B619" s="364" t="s">
        <v>922</v>
      </c>
      <c r="C619" s="364" t="s">
        <v>253</v>
      </c>
      <c r="D619" s="364" t="s">
        <v>51</v>
      </c>
      <c r="E619" s="304">
        <v>717748</v>
      </c>
      <c r="F619" s="8">
        <v>60</v>
      </c>
      <c r="G619" s="476">
        <v>45810</v>
      </c>
      <c r="H619" s="303" t="s">
        <v>1015</v>
      </c>
      <c r="I619" s="294">
        <f>SUM(W619,SUMIFS('Cutters Consumption Updates'!$F:$F,'Cutters Consumption Updates'!$G:$G,"NEW",'Cutters Consumption Updates'!$J:$J,Table7[[#This Row],[PO'#]],'Cutters Consumption Updates'!$B:$B,Table7[[#This Row],[Cutter Mat'#]]))</f>
        <v>60</v>
      </c>
      <c r="J619" s="294">
        <f t="shared" si="16"/>
        <v>0</v>
      </c>
    </row>
    <row r="620" spans="2:10" ht="15.5" x14ac:dyDescent="0.25">
      <c r="B620" s="364" t="s">
        <v>1003</v>
      </c>
      <c r="C620" s="364" t="s">
        <v>177</v>
      </c>
      <c r="D620" s="364" t="s">
        <v>111</v>
      </c>
      <c r="E620" s="304">
        <v>1146738</v>
      </c>
      <c r="F620" s="8">
        <v>20</v>
      </c>
      <c r="G620" s="476">
        <v>45810</v>
      </c>
      <c r="H620" s="303" t="s">
        <v>1015</v>
      </c>
      <c r="I620" s="294">
        <f>SUM(W620,SUMIFS('Cutters Consumption Updates'!$F:$F,'Cutters Consumption Updates'!$G:$G,"NEW",'Cutters Consumption Updates'!$J:$J,Table7[[#This Row],[PO'#]],'Cutters Consumption Updates'!$B:$B,Table7[[#This Row],[Cutter Mat'#]]))</f>
        <v>20</v>
      </c>
      <c r="J620" s="294">
        <f t="shared" si="16"/>
        <v>0</v>
      </c>
    </row>
    <row r="621" spans="2:10" ht="15.5" x14ac:dyDescent="0.25">
      <c r="B621" s="364" t="s">
        <v>1017</v>
      </c>
      <c r="C621" s="364" t="s">
        <v>253</v>
      </c>
      <c r="D621" s="364" t="s">
        <v>235</v>
      </c>
      <c r="E621" s="304">
        <v>2020817</v>
      </c>
      <c r="F621" s="8">
        <v>50</v>
      </c>
      <c r="G621" s="476">
        <v>45824</v>
      </c>
      <c r="H621" s="303" t="s">
        <v>1018</v>
      </c>
      <c r="I621" s="294">
        <f>SUM(W621,SUMIFS('Cutters Consumption Updates'!$F:$F,'Cutters Consumption Updates'!$G:$G,"NEW",'Cutters Consumption Updates'!$J:$J,Table7[[#This Row],[PO'#]],'Cutters Consumption Updates'!$B:$B,Table7[[#This Row],[Cutter Mat'#]]))</f>
        <v>50</v>
      </c>
      <c r="J621" s="294">
        <f t="shared" si="16"/>
        <v>0</v>
      </c>
    </row>
    <row r="622" spans="2:10" ht="15.5" x14ac:dyDescent="0.25">
      <c r="B622" s="364">
        <v>1308</v>
      </c>
      <c r="C622" s="364" t="s">
        <v>1009</v>
      </c>
      <c r="D622" s="364" t="s">
        <v>71</v>
      </c>
      <c r="E622" s="304">
        <v>410851</v>
      </c>
      <c r="F622" s="8">
        <v>200</v>
      </c>
      <c r="G622" s="476">
        <v>45837</v>
      </c>
      <c r="H622" s="303" t="s">
        <v>1019</v>
      </c>
      <c r="I622" s="294">
        <f>SUM(W622,SUMIFS('Cutters Consumption Updates'!$F:$F,'Cutters Consumption Updates'!$G:$G,"NEW",'Cutters Consumption Updates'!$J:$J,Table7[[#This Row],[PO'#]],'Cutters Consumption Updates'!$B:$B,Table7[[#This Row],[Cutter Mat'#]]))</f>
        <v>200</v>
      </c>
      <c r="J622" s="294">
        <f t="shared" ref="J622:J646" si="17">F622-I622</f>
        <v>0</v>
      </c>
    </row>
    <row r="623" spans="2:10" ht="15.5" x14ac:dyDescent="0.25">
      <c r="B623" s="364">
        <v>1308</v>
      </c>
      <c r="C623" s="364" t="s">
        <v>65</v>
      </c>
      <c r="D623" s="364" t="s">
        <v>71</v>
      </c>
      <c r="E623" s="304">
        <v>418525</v>
      </c>
      <c r="F623" s="8">
        <v>135</v>
      </c>
      <c r="G623" s="476">
        <v>45837</v>
      </c>
      <c r="H623" s="303" t="s">
        <v>1019</v>
      </c>
      <c r="I623" s="294">
        <f>SUM(W623,SUMIFS('Cutters Consumption Updates'!$F:$F,'Cutters Consumption Updates'!$G:$G,"NEW",'Cutters Consumption Updates'!$J:$J,Table7[[#This Row],[PO'#]],'Cutters Consumption Updates'!$B:$B,Table7[[#This Row],[Cutter Mat'#]]))</f>
        <v>135</v>
      </c>
      <c r="J623" s="294">
        <f t="shared" si="17"/>
        <v>0</v>
      </c>
    </row>
    <row r="624" spans="2:10" ht="15.5" x14ac:dyDescent="0.25">
      <c r="B624" s="364" t="s">
        <v>910</v>
      </c>
      <c r="C624" s="364" t="s">
        <v>253</v>
      </c>
      <c r="D624" s="364" t="s">
        <v>51</v>
      </c>
      <c r="E624" s="304">
        <v>717751</v>
      </c>
      <c r="F624" s="8">
        <v>200</v>
      </c>
      <c r="G624" s="476">
        <v>45837</v>
      </c>
      <c r="H624" s="303" t="s">
        <v>1019</v>
      </c>
      <c r="I624" s="294">
        <f>SUM(W624,SUMIFS('Cutters Consumption Updates'!$F:$F,'Cutters Consumption Updates'!$G:$G,"NEW",'Cutters Consumption Updates'!$J:$J,Table7[[#This Row],[PO'#]],'Cutters Consumption Updates'!$B:$B,Table7[[#This Row],[Cutter Mat'#]]))</f>
        <v>200</v>
      </c>
      <c r="J624" s="294">
        <f t="shared" si="17"/>
        <v>0</v>
      </c>
    </row>
    <row r="625" spans="2:10" ht="15.5" x14ac:dyDescent="0.25">
      <c r="B625" s="364" t="s">
        <v>921</v>
      </c>
      <c r="C625" s="364" t="s">
        <v>253</v>
      </c>
      <c r="D625" s="364" t="s">
        <v>230</v>
      </c>
      <c r="E625" s="304">
        <v>1230916</v>
      </c>
      <c r="F625" s="8">
        <v>30</v>
      </c>
      <c r="G625" s="476">
        <v>45837</v>
      </c>
      <c r="H625" s="303" t="s">
        <v>1019</v>
      </c>
      <c r="I625" s="294">
        <f>SUM(W625,SUMIFS('Cutters Consumption Updates'!$F:$F,'Cutters Consumption Updates'!$G:$G,"NEW",'Cutters Consumption Updates'!$J:$J,Table7[[#This Row],[PO'#]],'Cutters Consumption Updates'!$B:$B,Table7[[#This Row],[Cutter Mat'#]]))</f>
        <v>30</v>
      </c>
      <c r="J625" s="294">
        <f t="shared" si="17"/>
        <v>0</v>
      </c>
    </row>
    <row r="626" spans="2:10" ht="15.5" x14ac:dyDescent="0.25">
      <c r="B626" s="364" t="s">
        <v>922</v>
      </c>
      <c r="C626" s="364" t="s">
        <v>253</v>
      </c>
      <c r="D626" s="364" t="s">
        <v>139</v>
      </c>
      <c r="E626" s="304">
        <v>1199261</v>
      </c>
      <c r="F626" s="8">
        <v>105</v>
      </c>
      <c r="G626" s="476">
        <v>45837</v>
      </c>
      <c r="H626" s="303" t="s">
        <v>1019</v>
      </c>
      <c r="I626" s="294">
        <f>SUM(W626,SUMIFS('Cutters Consumption Updates'!$F:$F,'Cutters Consumption Updates'!$G:$G,"NEW",'Cutters Consumption Updates'!$J:$J,Table7[[#This Row],[PO'#]],'Cutters Consumption Updates'!$B:$B,Table7[[#This Row],[Cutter Mat'#]]))</f>
        <v>105</v>
      </c>
      <c r="J626" s="294">
        <f t="shared" si="17"/>
        <v>0</v>
      </c>
    </row>
    <row r="627" spans="2:10" ht="15.5" x14ac:dyDescent="0.25">
      <c r="B627" s="364" t="s">
        <v>899</v>
      </c>
      <c r="C627" s="364" t="s">
        <v>177</v>
      </c>
      <c r="D627" s="364" t="s">
        <v>133</v>
      </c>
      <c r="E627" s="304">
        <v>1126400</v>
      </c>
      <c r="F627" s="8">
        <v>70</v>
      </c>
      <c r="G627" s="476">
        <v>45837</v>
      </c>
      <c r="H627" s="303" t="s">
        <v>1019</v>
      </c>
      <c r="I627" s="294">
        <f>SUM(W627,SUMIFS('Cutters Consumption Updates'!$F:$F,'Cutters Consumption Updates'!$G:$G,"NEW",'Cutters Consumption Updates'!$J:$J,Table7[[#This Row],[PO'#]],'Cutters Consumption Updates'!$B:$B,Table7[[#This Row],[Cutter Mat'#]]))</f>
        <v>70</v>
      </c>
      <c r="J627" s="294">
        <f t="shared" si="17"/>
        <v>0</v>
      </c>
    </row>
    <row r="628" spans="2:10" ht="15.5" x14ac:dyDescent="0.25">
      <c r="B628" s="364" t="s">
        <v>38</v>
      </c>
      <c r="C628" s="364" t="s">
        <v>151</v>
      </c>
      <c r="D628" s="364" t="s">
        <v>149</v>
      </c>
      <c r="E628" s="304">
        <v>1078377</v>
      </c>
      <c r="F628" s="8">
        <v>250</v>
      </c>
      <c r="G628" s="476">
        <v>45837</v>
      </c>
      <c r="H628" s="303" t="s">
        <v>1019</v>
      </c>
      <c r="I628" s="294">
        <f>SUM(W628,SUMIFS('Cutters Consumption Updates'!$F:$F,'Cutters Consumption Updates'!$G:$G,"NEW",'Cutters Consumption Updates'!$J:$J,Table7[[#This Row],[PO'#]],'Cutters Consumption Updates'!$B:$B,Table7[[#This Row],[Cutter Mat'#]]))</f>
        <v>250</v>
      </c>
      <c r="J628" s="294">
        <f t="shared" si="17"/>
        <v>0</v>
      </c>
    </row>
    <row r="629" spans="2:10" ht="15.5" x14ac:dyDescent="0.25">
      <c r="B629" s="364" t="s">
        <v>960</v>
      </c>
      <c r="C629" s="364" t="s">
        <v>103</v>
      </c>
      <c r="D629" s="364" t="s">
        <v>192</v>
      </c>
      <c r="E629" s="304">
        <v>179733</v>
      </c>
      <c r="F629" s="8">
        <v>110</v>
      </c>
      <c r="G629" s="476">
        <v>45837</v>
      </c>
      <c r="H629" s="303" t="s">
        <v>1019</v>
      </c>
      <c r="I629" s="294">
        <f>SUM(W629,SUMIFS('Cutters Consumption Updates'!$F:$F,'Cutters Consumption Updates'!$G:$G,"NEW",'Cutters Consumption Updates'!$J:$J,Table7[[#This Row],[PO'#]],'Cutters Consumption Updates'!$B:$B,Table7[[#This Row],[Cutter Mat'#]]))</f>
        <v>110</v>
      </c>
      <c r="J629" s="294">
        <f t="shared" si="17"/>
        <v>0</v>
      </c>
    </row>
    <row r="630" spans="2:10" ht="15.5" x14ac:dyDescent="0.25">
      <c r="B630" s="364" t="s">
        <v>1012</v>
      </c>
      <c r="C630" s="364" t="s">
        <v>177</v>
      </c>
      <c r="D630" s="364" t="s">
        <v>51</v>
      </c>
      <c r="E630" s="304">
        <v>647435</v>
      </c>
      <c r="F630" s="8">
        <v>100</v>
      </c>
      <c r="G630" s="476">
        <v>45837</v>
      </c>
      <c r="H630" s="303" t="s">
        <v>1019</v>
      </c>
      <c r="I630" s="294">
        <f>SUM(W630,SUMIFS('Cutters Consumption Updates'!$F:$F,'Cutters Consumption Updates'!$G:$G,"NEW",'Cutters Consumption Updates'!$J:$J,Table7[[#This Row],[PO'#]],'Cutters Consumption Updates'!$B:$B,Table7[[#This Row],[Cutter Mat'#]]))</f>
        <v>100</v>
      </c>
      <c r="J630" s="294">
        <f t="shared" si="17"/>
        <v>0</v>
      </c>
    </row>
    <row r="631" spans="2:10" ht="15.5" x14ac:dyDescent="0.25">
      <c r="B631" s="364" t="s">
        <v>894</v>
      </c>
      <c r="C631" s="364" t="s">
        <v>177</v>
      </c>
      <c r="D631" s="364" t="s">
        <v>214</v>
      </c>
      <c r="E631" s="304">
        <v>1288783</v>
      </c>
      <c r="F631" s="8">
        <v>650</v>
      </c>
      <c r="G631" s="476">
        <v>45837</v>
      </c>
      <c r="H631" s="303" t="s">
        <v>1019</v>
      </c>
      <c r="I631" s="294">
        <f>SUM(W631,SUMIFS('Cutters Consumption Updates'!$F:$F,'Cutters Consumption Updates'!$G:$G,"NEW",'Cutters Consumption Updates'!$J:$J,Table7[[#This Row],[PO'#]],'Cutters Consumption Updates'!$B:$B,Table7[[#This Row],[Cutter Mat'#]]))</f>
        <v>650</v>
      </c>
      <c r="J631" s="294">
        <f t="shared" si="17"/>
        <v>0</v>
      </c>
    </row>
    <row r="632" spans="2:10" ht="15.5" x14ac:dyDescent="0.25">
      <c r="B632" s="364" t="s">
        <v>894</v>
      </c>
      <c r="C632" s="364" t="s">
        <v>177</v>
      </c>
      <c r="D632" s="364" t="s">
        <v>235</v>
      </c>
      <c r="E632" s="304">
        <v>1291870</v>
      </c>
      <c r="F632" s="8">
        <v>30</v>
      </c>
      <c r="G632" s="476">
        <v>45837</v>
      </c>
      <c r="H632" s="303" t="s">
        <v>1019</v>
      </c>
      <c r="I632" s="294">
        <f>SUM(W632,SUMIFS('Cutters Consumption Updates'!$F:$F,'Cutters Consumption Updates'!$G:$G,"NEW",'Cutters Consumption Updates'!$J:$J,Table7[[#This Row],[PO'#]],'Cutters Consumption Updates'!$B:$B,Table7[[#This Row],[Cutter Mat'#]]))</f>
        <v>30</v>
      </c>
      <c r="J632" s="294">
        <f t="shared" si="17"/>
        <v>0</v>
      </c>
    </row>
    <row r="633" spans="2:10" ht="15.5" x14ac:dyDescent="0.25">
      <c r="B633" s="364" t="s">
        <v>894</v>
      </c>
      <c r="C633" s="364" t="s">
        <v>177</v>
      </c>
      <c r="D633" s="364" t="s">
        <v>111</v>
      </c>
      <c r="E633" s="304">
        <v>1146737</v>
      </c>
      <c r="F633" s="8">
        <v>400</v>
      </c>
      <c r="G633" s="476">
        <v>45837</v>
      </c>
      <c r="H633" s="303" t="s">
        <v>1019</v>
      </c>
      <c r="I633" s="294">
        <f>SUM(W633,SUMIFS('Cutters Consumption Updates'!$F:$F,'Cutters Consumption Updates'!$G:$G,"NEW",'Cutters Consumption Updates'!$J:$J,Table7[[#This Row],[PO'#]],'Cutters Consumption Updates'!$B:$B,Table7[[#This Row],[Cutter Mat'#]]))</f>
        <v>400</v>
      </c>
      <c r="J633" s="294">
        <f t="shared" si="17"/>
        <v>0</v>
      </c>
    </row>
    <row r="634" spans="2:10" ht="15.5" x14ac:dyDescent="0.25">
      <c r="B634" s="364" t="s">
        <v>881</v>
      </c>
      <c r="C634" s="364" t="s">
        <v>170</v>
      </c>
      <c r="D634" s="364" t="s">
        <v>111</v>
      </c>
      <c r="E634" s="304">
        <v>1208601</v>
      </c>
      <c r="F634" s="8">
        <v>150</v>
      </c>
      <c r="G634" s="476">
        <v>45837</v>
      </c>
      <c r="H634" s="303" t="s">
        <v>1019</v>
      </c>
      <c r="I634" s="294">
        <f>SUM(W634,SUMIFS('Cutters Consumption Updates'!$F:$F,'Cutters Consumption Updates'!$G:$G,"NEW",'Cutters Consumption Updates'!$J:$J,Table7[[#This Row],[PO'#]],'Cutters Consumption Updates'!$B:$B,Table7[[#This Row],[Cutter Mat'#]]))</f>
        <v>150</v>
      </c>
      <c r="J634" s="294">
        <f t="shared" si="17"/>
        <v>0</v>
      </c>
    </row>
    <row r="635" spans="2:10" ht="15.5" x14ac:dyDescent="0.25">
      <c r="B635" s="364" t="s">
        <v>881</v>
      </c>
      <c r="C635" s="364" t="s">
        <v>170</v>
      </c>
      <c r="D635" s="364" t="s">
        <v>1016</v>
      </c>
      <c r="E635" s="304">
        <v>1282370</v>
      </c>
      <c r="F635" s="8">
        <v>100</v>
      </c>
      <c r="G635" s="476">
        <v>45837</v>
      </c>
      <c r="H635" s="303" t="s">
        <v>1019</v>
      </c>
      <c r="I635" s="294">
        <f>SUM(W635,SUMIFS('Cutters Consumption Updates'!$F:$F,'Cutters Consumption Updates'!$G:$G,"NEW",'Cutters Consumption Updates'!$J:$J,Table7[[#This Row],[PO'#]],'Cutters Consumption Updates'!$B:$B,Table7[[#This Row],[Cutter Mat'#]]))</f>
        <v>100</v>
      </c>
      <c r="J635" s="294">
        <f t="shared" si="17"/>
        <v>0</v>
      </c>
    </row>
    <row r="636" spans="2:10" ht="15.5" x14ac:dyDescent="0.25">
      <c r="B636" s="364" t="s">
        <v>925</v>
      </c>
      <c r="C636" s="364"/>
      <c r="D636" s="364"/>
      <c r="E636" s="304">
        <v>1220554</v>
      </c>
      <c r="F636" s="8">
        <v>192</v>
      </c>
      <c r="G636" s="476">
        <v>45837</v>
      </c>
      <c r="H636" s="303" t="s">
        <v>1019</v>
      </c>
      <c r="I636" s="294">
        <f>SUM(W636,SUMIFS('Cutters Consumption Updates'!$F:$F,'Cutters Consumption Updates'!$G:$G,"NEW",'Cutters Consumption Updates'!$J:$J,Table7[[#This Row],[PO'#]],'Cutters Consumption Updates'!$B:$B,Table7[[#This Row],[Cutter Mat'#]]))</f>
        <v>192</v>
      </c>
      <c r="J636" s="294">
        <f t="shared" si="17"/>
        <v>0</v>
      </c>
    </row>
    <row r="637" spans="2:10" ht="15.5" x14ac:dyDescent="0.25">
      <c r="B637" s="364" t="s">
        <v>903</v>
      </c>
      <c r="C637" s="364"/>
      <c r="D637" s="364"/>
      <c r="E637" s="304">
        <v>1228501</v>
      </c>
      <c r="F637" s="8">
        <v>240</v>
      </c>
      <c r="G637" s="476">
        <v>45837</v>
      </c>
      <c r="H637" s="303" t="s">
        <v>1019</v>
      </c>
      <c r="I637" s="294">
        <f>SUM(W637,SUMIFS('Cutters Consumption Updates'!$F:$F,'Cutters Consumption Updates'!$G:$G,"NEW",'Cutters Consumption Updates'!$J:$J,Table7[[#This Row],[PO'#]],'Cutters Consumption Updates'!$B:$B,Table7[[#This Row],[Cutter Mat'#]]))</f>
        <v>240</v>
      </c>
      <c r="J637" s="294">
        <f t="shared" si="17"/>
        <v>0</v>
      </c>
    </row>
    <row r="638" spans="2:10" ht="15.5" x14ac:dyDescent="0.25">
      <c r="B638" s="364" t="s">
        <v>901</v>
      </c>
      <c r="C638" s="364" t="s">
        <v>170</v>
      </c>
      <c r="D638" s="364" t="s">
        <v>114</v>
      </c>
      <c r="E638" s="304">
        <v>1228502</v>
      </c>
      <c r="F638" s="8">
        <v>174</v>
      </c>
      <c r="G638" s="476">
        <v>45837</v>
      </c>
      <c r="H638" s="303" t="s">
        <v>1019</v>
      </c>
      <c r="I638" s="294">
        <f>SUM(W638,SUMIFS('Cutters Consumption Updates'!$F:$F,'Cutters Consumption Updates'!$G:$G,"NEW",'Cutters Consumption Updates'!$J:$J,Table7[[#This Row],[PO'#]],'Cutters Consumption Updates'!$B:$B,Table7[[#This Row],[Cutter Mat'#]]))</f>
        <v>174</v>
      </c>
      <c r="J638" s="294">
        <f t="shared" si="17"/>
        <v>0</v>
      </c>
    </row>
    <row r="639" spans="2:10" ht="15.5" x14ac:dyDescent="0.25">
      <c r="B639" s="364" t="s">
        <v>926</v>
      </c>
      <c r="C639" s="364"/>
      <c r="D639" s="364"/>
      <c r="E639" s="304">
        <v>1228503</v>
      </c>
      <c r="F639" s="8">
        <v>255</v>
      </c>
      <c r="G639" s="476">
        <v>45837</v>
      </c>
      <c r="H639" s="303" t="s">
        <v>1019</v>
      </c>
      <c r="I639" s="294">
        <f>SUM(W639,SUMIFS('Cutters Consumption Updates'!$F:$F,'Cutters Consumption Updates'!$G:$G,"NEW",'Cutters Consumption Updates'!$J:$J,Table7[[#This Row],[PO'#]],'Cutters Consumption Updates'!$B:$B,Table7[[#This Row],[Cutter Mat'#]]))</f>
        <v>255</v>
      </c>
      <c r="J639" s="294">
        <f t="shared" si="17"/>
        <v>0</v>
      </c>
    </row>
    <row r="640" spans="2:10" ht="15.5" x14ac:dyDescent="0.25">
      <c r="B640" s="364" t="s">
        <v>914</v>
      </c>
      <c r="C640" s="364" t="s">
        <v>170</v>
      </c>
      <c r="D640" s="364" t="s">
        <v>225</v>
      </c>
      <c r="E640" s="304">
        <v>2002186</v>
      </c>
      <c r="F640" s="8">
        <v>190</v>
      </c>
      <c r="G640" s="476">
        <v>45837</v>
      </c>
      <c r="H640" s="303" t="s">
        <v>1019</v>
      </c>
      <c r="I640" s="294">
        <f>SUM(W640,SUMIFS('Cutters Consumption Updates'!$F:$F,'Cutters Consumption Updates'!$G:$G,"NEW",'Cutters Consumption Updates'!$J:$J,Table7[[#This Row],[PO'#]],'Cutters Consumption Updates'!$B:$B,Table7[[#This Row],[Cutter Mat'#]]))</f>
        <v>190</v>
      </c>
      <c r="J640" s="294">
        <f t="shared" si="17"/>
        <v>0</v>
      </c>
    </row>
    <row r="641" spans="2:10" ht="15.5" x14ac:dyDescent="0.25">
      <c r="B641" s="364" t="s">
        <v>913</v>
      </c>
      <c r="C641" s="364" t="s">
        <v>170</v>
      </c>
      <c r="D641" s="364" t="s">
        <v>215</v>
      </c>
      <c r="E641" s="304">
        <v>2002243</v>
      </c>
      <c r="F641" s="362">
        <v>50</v>
      </c>
      <c r="G641" s="476">
        <v>45837</v>
      </c>
      <c r="H641" s="303" t="s">
        <v>1019</v>
      </c>
      <c r="I641" s="294">
        <f>SUM(W641,SUMIFS('Cutters Consumption Updates'!$F:$F,'Cutters Consumption Updates'!$G:$G,"NEW",'Cutters Consumption Updates'!$J:$J,Table7[[#This Row],[PO'#]],'Cutters Consumption Updates'!$B:$B,Table7[[#This Row],[Cutter Mat'#]]))</f>
        <v>50</v>
      </c>
      <c r="J641" s="294">
        <f t="shared" si="17"/>
        <v>0</v>
      </c>
    </row>
    <row r="642" spans="2:10" ht="15.5" x14ac:dyDescent="0.25">
      <c r="B642" s="364" t="s">
        <v>927</v>
      </c>
      <c r="C642" s="364" t="s">
        <v>170</v>
      </c>
      <c r="D642" s="364" t="s">
        <v>225</v>
      </c>
      <c r="E642" s="304">
        <v>2002299</v>
      </c>
      <c r="F642" s="8">
        <v>100</v>
      </c>
      <c r="G642" s="476">
        <v>45837</v>
      </c>
      <c r="H642" s="303" t="s">
        <v>1019</v>
      </c>
      <c r="I642" s="294">
        <f>SUM(W642,SUMIFS('Cutters Consumption Updates'!$F:$F,'Cutters Consumption Updates'!$G:$G,"NEW",'Cutters Consumption Updates'!$J:$J,Table7[[#This Row],[PO'#]],'Cutters Consumption Updates'!$B:$B,Table7[[#This Row],[Cutter Mat'#]]))</f>
        <v>100</v>
      </c>
      <c r="J642" s="294">
        <f t="shared" si="17"/>
        <v>0</v>
      </c>
    </row>
    <row r="643" spans="2:10" ht="15.5" x14ac:dyDescent="0.25">
      <c r="B643" s="364" t="s">
        <v>930</v>
      </c>
      <c r="C643" s="364" t="s">
        <v>248</v>
      </c>
      <c r="D643" s="364" t="s">
        <v>139</v>
      </c>
      <c r="E643" s="304">
        <v>1199247</v>
      </c>
      <c r="F643" s="8">
        <v>110</v>
      </c>
      <c r="G643" s="476">
        <v>45837</v>
      </c>
      <c r="H643" s="303" t="s">
        <v>1019</v>
      </c>
      <c r="I643" s="294">
        <f>SUM(W643,SUMIFS('Cutters Consumption Updates'!$F:$F,'Cutters Consumption Updates'!$G:$G,"NEW",'Cutters Consumption Updates'!$J:$J,Table7[[#This Row],[PO'#]],'Cutters Consumption Updates'!$B:$B,Table7[[#This Row],[Cutter Mat'#]]))</f>
        <v>110</v>
      </c>
      <c r="J643" s="294">
        <f t="shared" si="17"/>
        <v>0</v>
      </c>
    </row>
    <row r="644" spans="2:10" ht="15.5" x14ac:dyDescent="0.25">
      <c r="B644" s="364" t="s">
        <v>879</v>
      </c>
      <c r="C644" s="364" t="s">
        <v>253</v>
      </c>
      <c r="D644" s="364" t="s">
        <v>111</v>
      </c>
      <c r="E644" s="304">
        <v>1100739</v>
      </c>
      <c r="F644" s="8">
        <v>150</v>
      </c>
      <c r="G644" s="476">
        <v>45837</v>
      </c>
      <c r="H644" s="303" t="s">
        <v>1019</v>
      </c>
      <c r="I644" s="294">
        <f>SUM(W644,SUMIFS('Cutters Consumption Updates'!$F:$F,'Cutters Consumption Updates'!$G:$G,"NEW",'Cutters Consumption Updates'!$J:$J,Table7[[#This Row],[PO'#]],'Cutters Consumption Updates'!$B:$B,Table7[[#This Row],[Cutter Mat'#]]))</f>
        <v>150</v>
      </c>
      <c r="J644" s="294">
        <f t="shared" si="17"/>
        <v>0</v>
      </c>
    </row>
    <row r="645" spans="2:10" ht="15.5" x14ac:dyDescent="0.25">
      <c r="B645" s="364" t="s">
        <v>201</v>
      </c>
      <c r="C645" s="364"/>
      <c r="D645" s="364" t="s">
        <v>192</v>
      </c>
      <c r="E645" s="304">
        <v>1192901</v>
      </c>
      <c r="F645" s="8">
        <v>30</v>
      </c>
      <c r="G645" s="476">
        <v>45837</v>
      </c>
      <c r="H645" s="303" t="s">
        <v>1019</v>
      </c>
      <c r="I645" s="294">
        <f>SUM(W645,SUMIFS('Cutters Consumption Updates'!$F:$F,'Cutters Consumption Updates'!$G:$G,"NEW",'Cutters Consumption Updates'!$J:$J,Table7[[#This Row],[PO'#]],'Cutters Consumption Updates'!$B:$B,Table7[[#This Row],[Cutter Mat'#]]))</f>
        <v>30</v>
      </c>
      <c r="J645" s="294">
        <f t="shared" si="17"/>
        <v>0</v>
      </c>
    </row>
    <row r="646" spans="2:10" ht="15.5" x14ac:dyDescent="0.25">
      <c r="B646" s="364">
        <v>1218</v>
      </c>
      <c r="C646" s="364"/>
      <c r="D646" s="364" t="s">
        <v>1020</v>
      </c>
      <c r="E646" s="304">
        <v>1192902</v>
      </c>
      <c r="F646" s="8">
        <v>5</v>
      </c>
      <c r="G646" s="476">
        <v>45837</v>
      </c>
      <c r="H646" s="303" t="s">
        <v>1019</v>
      </c>
      <c r="I646" s="294">
        <f>SUM(W646,SUMIFS('Cutters Consumption Updates'!$F:$F,'Cutters Consumption Updates'!$G:$G,"NEW",'Cutters Consumption Updates'!$J:$J,Table7[[#This Row],[PO'#]],'Cutters Consumption Updates'!$B:$B,Table7[[#This Row],[Cutter Mat'#]]))</f>
        <v>5</v>
      </c>
      <c r="J646" s="294">
        <f t="shared" si="17"/>
        <v>0</v>
      </c>
    </row>
    <row r="647" spans="2:10" ht="15.5" x14ac:dyDescent="0.25">
      <c r="B647" s="364">
        <v>1313</v>
      </c>
      <c r="C647" s="364"/>
      <c r="D647" s="364" t="s">
        <v>207</v>
      </c>
      <c r="E647" s="304">
        <v>1282369</v>
      </c>
      <c r="F647" s="8">
        <v>150</v>
      </c>
      <c r="G647" s="476">
        <v>45837</v>
      </c>
      <c r="H647" s="303" t="s">
        <v>1019</v>
      </c>
      <c r="I647" s="294">
        <f>SUM(W647,SUMIFS('Cutters Consumption Updates'!$F:$F,'Cutters Consumption Updates'!$G:$G,"NEW",'Cutters Consumption Updates'!$J:$J,Table7[[#This Row],[PO'#]],'Cutters Consumption Updates'!$B:$B,Table7[[#This Row],[Cutter Mat'#]]))</f>
        <v>150</v>
      </c>
      <c r="J647" s="294">
        <f>F647-I647</f>
        <v>0</v>
      </c>
    </row>
    <row r="648" spans="2:10" ht="15.5" x14ac:dyDescent="0.25">
      <c r="B648" s="364" t="s">
        <v>913</v>
      </c>
      <c r="C648" s="364" t="s">
        <v>170</v>
      </c>
      <c r="D648" s="364" t="s">
        <v>145</v>
      </c>
      <c r="E648" s="304">
        <v>1261319</v>
      </c>
      <c r="F648" s="8">
        <v>70</v>
      </c>
      <c r="G648" s="476">
        <v>45841</v>
      </c>
      <c r="H648" s="303" t="s">
        <v>1021</v>
      </c>
      <c r="I648" s="294">
        <f>SUM(W648,SUMIFS('Cutters Consumption Updates'!$F:$F,'Cutters Consumption Updates'!$G:$G,"NEW",'Cutters Consumption Updates'!$J:$J,Table7[[#This Row],[PO'#]],'Cutters Consumption Updates'!$B:$B,Table7[[#This Row],[Cutter Mat'#]]))</f>
        <v>70</v>
      </c>
      <c r="J648" s="294">
        <f t="shared" ref="J648:J652" si="18">F648-I648</f>
        <v>0</v>
      </c>
    </row>
    <row r="649" spans="2:10" ht="15.5" x14ac:dyDescent="0.25">
      <c r="B649" s="364">
        <v>1308</v>
      </c>
      <c r="C649" s="364" t="s">
        <v>170</v>
      </c>
      <c r="D649" s="364" t="s">
        <v>225</v>
      </c>
      <c r="E649" s="361">
        <v>2004484</v>
      </c>
      <c r="F649" s="362">
        <v>100</v>
      </c>
      <c r="G649" s="476">
        <v>45841</v>
      </c>
      <c r="H649" s="303" t="s">
        <v>1021</v>
      </c>
      <c r="I649" s="294">
        <f>SUM(W649,SUMIFS('Cutters Consumption Updates'!$F:$F,'Cutters Consumption Updates'!$G:$G,"NEW",'Cutters Consumption Updates'!$J:$J,Table7[[#This Row],[PO'#]],'Cutters Consumption Updates'!$B:$B,Table7[[#This Row],[Cutter Mat'#]]))</f>
        <v>100</v>
      </c>
      <c r="J649" s="294">
        <f t="shared" si="18"/>
        <v>0</v>
      </c>
    </row>
    <row r="650" spans="2:10" ht="15.5" x14ac:dyDescent="0.25">
      <c r="B650" s="364" t="s">
        <v>914</v>
      </c>
      <c r="C650" s="364" t="s">
        <v>170</v>
      </c>
      <c r="D650" s="364" t="s">
        <v>225</v>
      </c>
      <c r="E650" s="304">
        <v>2002186</v>
      </c>
      <c r="F650" s="8">
        <v>100</v>
      </c>
      <c r="G650" s="476">
        <v>45841</v>
      </c>
      <c r="H650" s="303" t="s">
        <v>1021</v>
      </c>
      <c r="I650" s="294">
        <f>SUM(W650,SUMIFS('Cutters Consumption Updates'!$F:$F,'Cutters Consumption Updates'!$G:$G,"NEW",'Cutters Consumption Updates'!$J:$J,Table7[[#This Row],[PO'#]],'Cutters Consumption Updates'!$B:$B,Table7[[#This Row],[Cutter Mat'#]]))</f>
        <v>100</v>
      </c>
      <c r="J650" s="294">
        <f t="shared" si="18"/>
        <v>0</v>
      </c>
    </row>
    <row r="651" spans="2:10" ht="15.5" x14ac:dyDescent="0.25">
      <c r="B651" s="364" t="s">
        <v>901</v>
      </c>
      <c r="C651" s="364" t="s">
        <v>170</v>
      </c>
      <c r="D651" s="364" t="s">
        <v>114</v>
      </c>
      <c r="E651" s="304">
        <v>1228502</v>
      </c>
      <c r="F651" s="8">
        <v>75</v>
      </c>
      <c r="G651" s="476">
        <v>45841</v>
      </c>
      <c r="H651" s="303" t="s">
        <v>1021</v>
      </c>
      <c r="I651" s="294">
        <f>SUM(W651,SUMIFS('Cutters Consumption Updates'!$F:$F,'Cutters Consumption Updates'!$G:$G,"NEW",'Cutters Consumption Updates'!$J:$J,Table7[[#This Row],[PO'#]],'Cutters Consumption Updates'!$B:$B,Table7[[#This Row],[Cutter Mat'#]]))</f>
        <v>75</v>
      </c>
      <c r="J651" s="294">
        <f t="shared" si="18"/>
        <v>0</v>
      </c>
    </row>
    <row r="652" spans="2:10" ht="15.5" x14ac:dyDescent="0.25">
      <c r="B652" s="364" t="s">
        <v>927</v>
      </c>
      <c r="C652" s="364" t="s">
        <v>170</v>
      </c>
      <c r="D652" s="364" t="s">
        <v>225</v>
      </c>
      <c r="E652" s="304">
        <v>2002299</v>
      </c>
      <c r="F652" s="8">
        <v>50</v>
      </c>
      <c r="G652" s="476">
        <v>45841</v>
      </c>
      <c r="H652" s="303" t="s">
        <v>1021</v>
      </c>
      <c r="I652" s="294">
        <f>SUM(W652,SUMIFS('Cutters Consumption Updates'!$F:$F,'Cutters Consumption Updates'!$G:$G,"NEW",'Cutters Consumption Updates'!$J:$J,Table7[[#This Row],[PO'#]],'Cutters Consumption Updates'!$B:$B,Table7[[#This Row],[Cutter Mat'#]]))</f>
        <v>50</v>
      </c>
      <c r="J652" s="294">
        <f t="shared" si="18"/>
        <v>0</v>
      </c>
    </row>
    <row r="653" spans="2:10" ht="15.5" x14ac:dyDescent="0.25">
      <c r="B653" s="364" t="s">
        <v>935</v>
      </c>
      <c r="C653" s="364" t="s">
        <v>231</v>
      </c>
      <c r="D653" s="364" t="s">
        <v>230</v>
      </c>
      <c r="E653" s="304">
        <v>1293118</v>
      </c>
      <c r="F653" s="8">
        <v>30</v>
      </c>
      <c r="G653" s="476">
        <v>45855</v>
      </c>
      <c r="H653" s="303" t="s">
        <v>1022</v>
      </c>
      <c r="I653" s="294">
        <f>SUM(W653,SUMIFS('Cutters Consumption Updates'!$F:$F,'Cutters Consumption Updates'!$G:$G,"NEW",'Cutters Consumption Updates'!$J:$J,Table7[[#This Row],[PO'#]],'Cutters Consumption Updates'!$B:$B,Table7[[#This Row],[Cutter Mat'#]]))</f>
        <v>30</v>
      </c>
      <c r="J653" s="294">
        <f t="shared" ref="J653:J673" si="19">F653-I653</f>
        <v>0</v>
      </c>
    </row>
    <row r="654" spans="2:10" ht="15.5" x14ac:dyDescent="0.25">
      <c r="B654" s="364" t="s">
        <v>991</v>
      </c>
      <c r="C654" s="364" t="s">
        <v>177</v>
      </c>
      <c r="D654" s="364" t="s">
        <v>51</v>
      </c>
      <c r="E654" s="304">
        <v>773384</v>
      </c>
      <c r="F654" s="8">
        <v>30</v>
      </c>
      <c r="G654" s="476">
        <v>45855</v>
      </c>
      <c r="H654" s="303" t="s">
        <v>1022</v>
      </c>
      <c r="I654" s="294">
        <f>SUM(W654,SUMIFS('Cutters Consumption Updates'!$F:$F,'Cutters Consumption Updates'!$G:$G,"NEW",'Cutters Consumption Updates'!$J:$J,Table7[[#This Row],[PO'#]],'Cutters Consumption Updates'!$B:$B,Table7[[#This Row],[Cutter Mat'#]]))</f>
        <v>30</v>
      </c>
      <c r="J654" s="294">
        <f t="shared" si="19"/>
        <v>0</v>
      </c>
    </row>
    <row r="655" spans="2:10" ht="15.5" x14ac:dyDescent="0.25">
      <c r="B655" s="364" t="s">
        <v>992</v>
      </c>
      <c r="C655" s="364" t="s">
        <v>177</v>
      </c>
      <c r="D655" s="364" t="s">
        <v>242</v>
      </c>
      <c r="E655" s="304">
        <v>717748</v>
      </c>
      <c r="F655" s="8">
        <v>90</v>
      </c>
      <c r="G655" s="476">
        <v>45855</v>
      </c>
      <c r="H655" s="303" t="s">
        <v>1022</v>
      </c>
      <c r="I655" s="294">
        <f>SUM(W655,SUMIFS('Cutters Consumption Updates'!$F:$F,'Cutters Consumption Updates'!$G:$G,"NEW",'Cutters Consumption Updates'!$J:$J,Table7[[#This Row],[PO'#]],'Cutters Consumption Updates'!$B:$B,Table7[[#This Row],[Cutter Mat'#]]))</f>
        <v>90</v>
      </c>
      <c r="J655" s="294">
        <f t="shared" si="19"/>
        <v>0</v>
      </c>
    </row>
    <row r="656" spans="2:10" ht="15.5" x14ac:dyDescent="0.25">
      <c r="B656" s="364" t="s">
        <v>201</v>
      </c>
      <c r="C656" s="364" t="s">
        <v>103</v>
      </c>
      <c r="D656" s="364" t="s">
        <v>965</v>
      </c>
      <c r="E656" s="304">
        <v>1201518</v>
      </c>
      <c r="F656" s="8">
        <v>10</v>
      </c>
      <c r="G656" s="476">
        <v>45855</v>
      </c>
      <c r="H656" s="303" t="s">
        <v>1022</v>
      </c>
      <c r="I656" s="294">
        <f>SUM(W656,SUMIFS('Cutters Consumption Updates'!$F:$F,'Cutters Consumption Updates'!$G:$G,"NEW",'Cutters Consumption Updates'!$J:$J,Table7[[#This Row],[PO'#]],'Cutters Consumption Updates'!$B:$B,Table7[[#This Row],[Cutter Mat'#]]))</f>
        <v>10</v>
      </c>
      <c r="J656" s="294">
        <f t="shared" si="19"/>
        <v>0</v>
      </c>
    </row>
    <row r="657" spans="2:10" ht="15.5" x14ac:dyDescent="0.25">
      <c r="B657" s="364" t="s">
        <v>899</v>
      </c>
      <c r="C657" s="364" t="s">
        <v>177</v>
      </c>
      <c r="D657" s="364" t="s">
        <v>242</v>
      </c>
      <c r="E657" s="304">
        <v>871781</v>
      </c>
      <c r="F657" s="8">
        <v>50</v>
      </c>
      <c r="G657" s="476">
        <v>45855</v>
      </c>
      <c r="H657" s="303" t="s">
        <v>1022</v>
      </c>
      <c r="I657" s="294">
        <f>SUM(W657,SUMIFS('Cutters Consumption Updates'!$F:$F,'Cutters Consumption Updates'!$G:$G,"NEW",'Cutters Consumption Updates'!$J:$J,Table7[[#This Row],[PO'#]],'Cutters Consumption Updates'!$B:$B,Table7[[#This Row],[Cutter Mat'#]]))</f>
        <v>50</v>
      </c>
      <c r="J657" s="294">
        <f t="shared" si="19"/>
        <v>0</v>
      </c>
    </row>
    <row r="658" spans="2:10" ht="15.5" x14ac:dyDescent="0.25">
      <c r="B658" s="364" t="s">
        <v>994</v>
      </c>
      <c r="C658" s="364" t="s">
        <v>243</v>
      </c>
      <c r="D658" s="364" t="s">
        <v>965</v>
      </c>
      <c r="E658" s="304">
        <v>653400</v>
      </c>
      <c r="F658" s="8">
        <v>10</v>
      </c>
      <c r="G658" s="476">
        <v>45855</v>
      </c>
      <c r="H658" s="303" t="s">
        <v>1022</v>
      </c>
      <c r="I658" s="294">
        <f>SUM(W658,SUMIFS('Cutters Consumption Updates'!$F:$F,'Cutters Consumption Updates'!$G:$G,"NEW",'Cutters Consumption Updates'!$J:$J,Table7[[#This Row],[PO'#]],'Cutters Consumption Updates'!$B:$B,Table7[[#This Row],[Cutter Mat'#]]))</f>
        <v>10</v>
      </c>
      <c r="J658" s="294">
        <f t="shared" si="19"/>
        <v>0</v>
      </c>
    </row>
    <row r="659" spans="2:10" ht="15.5" x14ac:dyDescent="0.25">
      <c r="B659" s="364" t="s">
        <v>38</v>
      </c>
      <c r="C659" s="364" t="s">
        <v>243</v>
      </c>
      <c r="D659" s="364" t="s">
        <v>192</v>
      </c>
      <c r="E659" s="304">
        <v>625854</v>
      </c>
      <c r="F659" s="8">
        <v>30</v>
      </c>
      <c r="G659" s="476">
        <v>45855</v>
      </c>
      <c r="H659" s="303" t="s">
        <v>1022</v>
      </c>
      <c r="I659" s="294">
        <f>SUM(W659,SUMIFS('Cutters Consumption Updates'!$F:$F,'Cutters Consumption Updates'!$G:$G,"NEW",'Cutters Consumption Updates'!$J:$J,Table7[[#This Row],[PO'#]],'Cutters Consumption Updates'!$B:$B,Table7[[#This Row],[Cutter Mat'#]]))</f>
        <v>30</v>
      </c>
      <c r="J659" s="294">
        <f t="shared" si="19"/>
        <v>0</v>
      </c>
    </row>
    <row r="660" spans="2:10" ht="15.5" x14ac:dyDescent="0.25">
      <c r="B660" s="364" t="s">
        <v>879</v>
      </c>
      <c r="C660" s="364" t="s">
        <v>253</v>
      </c>
      <c r="D660" s="364" t="s">
        <v>133</v>
      </c>
      <c r="E660" s="304">
        <v>1100753</v>
      </c>
      <c r="F660" s="8">
        <v>20</v>
      </c>
      <c r="G660" s="476">
        <v>45855</v>
      </c>
      <c r="H660" s="303" t="s">
        <v>1022</v>
      </c>
      <c r="I660" s="294">
        <f>SUM(W660,SUMIFS('Cutters Consumption Updates'!$F:$F,'Cutters Consumption Updates'!$G:$G,"NEW",'Cutters Consumption Updates'!$J:$J,Table7[[#This Row],[PO'#]],'Cutters Consumption Updates'!$B:$B,Table7[[#This Row],[Cutter Mat'#]]))</f>
        <v>20</v>
      </c>
      <c r="J660" s="294">
        <f t="shared" si="19"/>
        <v>0</v>
      </c>
    </row>
    <row r="661" spans="2:10" ht="15.5" x14ac:dyDescent="0.25">
      <c r="B661" s="364" t="s">
        <v>1012</v>
      </c>
      <c r="C661" s="364" t="s">
        <v>177</v>
      </c>
      <c r="D661" s="364" t="s">
        <v>242</v>
      </c>
      <c r="E661" s="304">
        <v>647435</v>
      </c>
      <c r="F661" s="8">
        <v>20</v>
      </c>
      <c r="G661" s="476">
        <v>45855</v>
      </c>
      <c r="H661" s="303" t="s">
        <v>1022</v>
      </c>
      <c r="I661" s="294">
        <f>SUM(W661,SUMIFS('Cutters Consumption Updates'!$F:$F,'Cutters Consumption Updates'!$G:$G,"NEW",'Cutters Consumption Updates'!$J:$J,Table7[[#This Row],[PO'#]],'Cutters Consumption Updates'!$B:$B,Table7[[#This Row],[Cutter Mat'#]]))</f>
        <v>20</v>
      </c>
      <c r="J661" s="294">
        <f t="shared" si="19"/>
        <v>0</v>
      </c>
    </row>
    <row r="662" spans="2:10" ht="15.5" x14ac:dyDescent="0.25">
      <c r="B662" s="364" t="s">
        <v>880</v>
      </c>
      <c r="C662" s="364" t="s">
        <v>253</v>
      </c>
      <c r="D662" s="364" t="s">
        <v>123</v>
      </c>
      <c r="E662" s="361">
        <v>1104086</v>
      </c>
      <c r="F662" s="362">
        <v>0</v>
      </c>
      <c r="G662" s="476"/>
      <c r="H662" s="303"/>
      <c r="I662" s="294">
        <f>SUM(W662,SUMIFS('Cutters Consumption Updates'!$F:$F,'Cutters Consumption Updates'!$G:$G,"NEW",'Cutters Consumption Updates'!$J:$J,Table7[[#This Row],[PO'#]],'Cutters Consumption Updates'!$B:$B,Table7[[#This Row],[Cutter Mat'#]]))</f>
        <v>0</v>
      </c>
      <c r="J662" s="294">
        <f t="shared" si="19"/>
        <v>0</v>
      </c>
    </row>
    <row r="663" spans="2:10" ht="15.5" x14ac:dyDescent="0.25">
      <c r="B663" s="364" t="s">
        <v>894</v>
      </c>
      <c r="C663" s="364" t="s">
        <v>177</v>
      </c>
      <c r="D663" s="364" t="s">
        <v>235</v>
      </c>
      <c r="E663" s="304">
        <v>1291870</v>
      </c>
      <c r="F663" s="8">
        <v>100</v>
      </c>
      <c r="G663" s="476">
        <v>45855</v>
      </c>
      <c r="H663" s="303" t="s">
        <v>1022</v>
      </c>
      <c r="I663" s="294">
        <f>SUM(W663,SUMIFS('Cutters Consumption Updates'!$F:$F,'Cutters Consumption Updates'!$G:$G,"NEW",'Cutters Consumption Updates'!$J:$J,Table7[[#This Row],[PO'#]],'Cutters Consumption Updates'!$B:$B,Table7[[#This Row],[Cutter Mat'#]]))</f>
        <v>100</v>
      </c>
      <c r="J663" s="294">
        <f t="shared" si="19"/>
        <v>0</v>
      </c>
    </row>
    <row r="664" spans="2:10" ht="15.5" x14ac:dyDescent="0.25">
      <c r="B664" s="364" t="s">
        <v>894</v>
      </c>
      <c r="C664" s="364" t="s">
        <v>177</v>
      </c>
      <c r="D664" s="364" t="s">
        <v>111</v>
      </c>
      <c r="E664" s="304">
        <v>1146737</v>
      </c>
      <c r="F664" s="8">
        <v>50</v>
      </c>
      <c r="G664" s="476">
        <v>45855</v>
      </c>
      <c r="H664" s="303" t="s">
        <v>1022</v>
      </c>
      <c r="I664" s="294">
        <f>SUM(W664,SUMIFS('Cutters Consumption Updates'!$F:$F,'Cutters Consumption Updates'!$G:$G,"NEW",'Cutters Consumption Updates'!$J:$J,Table7[[#This Row],[PO'#]],'Cutters Consumption Updates'!$B:$B,Table7[[#This Row],[Cutter Mat'#]]))</f>
        <v>50</v>
      </c>
      <c r="J664" s="294">
        <f t="shared" si="19"/>
        <v>0</v>
      </c>
    </row>
    <row r="665" spans="2:10" ht="15.5" x14ac:dyDescent="0.25">
      <c r="B665" s="364" t="s">
        <v>236</v>
      </c>
      <c r="C665" s="364" t="s">
        <v>109</v>
      </c>
      <c r="D665" s="364" t="s">
        <v>237</v>
      </c>
      <c r="E665" s="304">
        <v>1291852</v>
      </c>
      <c r="F665" s="8">
        <v>120</v>
      </c>
      <c r="G665" s="476">
        <v>45855</v>
      </c>
      <c r="H665" s="303" t="s">
        <v>1022</v>
      </c>
      <c r="I665" s="294">
        <f>SUM(W665,SUMIFS('Cutters Consumption Updates'!$F:$F,'Cutters Consumption Updates'!$G:$G,"NEW",'Cutters Consumption Updates'!$J:$J,Table7[[#This Row],[PO'#]],'Cutters Consumption Updates'!$B:$B,Table7[[#This Row],[Cutter Mat'#]]))</f>
        <v>120</v>
      </c>
      <c r="J665" s="294">
        <f t="shared" si="19"/>
        <v>0</v>
      </c>
    </row>
    <row r="666" spans="2:10" ht="15.5" x14ac:dyDescent="0.25">
      <c r="B666" s="364" t="s">
        <v>881</v>
      </c>
      <c r="C666" s="364" t="s">
        <v>170</v>
      </c>
      <c r="D666" s="364" t="s">
        <v>111</v>
      </c>
      <c r="E666" s="304">
        <v>1208601</v>
      </c>
      <c r="F666" s="8">
        <v>50</v>
      </c>
      <c r="G666" s="476">
        <v>45855</v>
      </c>
      <c r="H666" s="303" t="s">
        <v>1022</v>
      </c>
      <c r="I666" s="294">
        <f>SUM(W666,SUMIFS('Cutters Consumption Updates'!$F:$F,'Cutters Consumption Updates'!$G:$G,"NEW",'Cutters Consumption Updates'!$J:$J,Table7[[#This Row],[PO'#]],'Cutters Consumption Updates'!$B:$B,Table7[[#This Row],[Cutter Mat'#]]))</f>
        <v>50</v>
      </c>
      <c r="J666" s="294">
        <f t="shared" si="19"/>
        <v>0</v>
      </c>
    </row>
    <row r="667" spans="2:10" ht="15.5" x14ac:dyDescent="0.25">
      <c r="B667" s="364" t="s">
        <v>913</v>
      </c>
      <c r="C667" s="364" t="s">
        <v>170</v>
      </c>
      <c r="D667" s="364" t="s">
        <v>215</v>
      </c>
      <c r="E667" s="361">
        <v>2002243</v>
      </c>
      <c r="F667" s="362">
        <v>0</v>
      </c>
      <c r="G667" s="476"/>
      <c r="H667" s="303"/>
      <c r="I667" s="294">
        <f>SUM(W667,SUMIFS('Cutters Consumption Updates'!$F:$F,'Cutters Consumption Updates'!$G:$G,"NEW",'Cutters Consumption Updates'!$J:$J,Table7[[#This Row],[PO'#]],'Cutters Consumption Updates'!$B:$B,Table7[[#This Row],[Cutter Mat'#]]))</f>
        <v>0</v>
      </c>
      <c r="J667" s="294">
        <f t="shared" si="19"/>
        <v>0</v>
      </c>
    </row>
    <row r="668" spans="2:10" ht="15.5" x14ac:dyDescent="0.25">
      <c r="B668" s="364" t="s">
        <v>914</v>
      </c>
      <c r="C668" s="364" t="s">
        <v>170</v>
      </c>
      <c r="D668" s="364" t="s">
        <v>225</v>
      </c>
      <c r="E668" s="304">
        <v>2002186</v>
      </c>
      <c r="F668" s="8">
        <v>350</v>
      </c>
      <c r="G668" s="476">
        <v>45855</v>
      </c>
      <c r="H668" s="303" t="s">
        <v>1022</v>
      </c>
      <c r="I668" s="294">
        <f>SUM(W668,SUMIFS('Cutters Consumption Updates'!$F:$F,'Cutters Consumption Updates'!$G:$G,"NEW",'Cutters Consumption Updates'!$J:$J,Table7[[#This Row],[PO'#]],'Cutters Consumption Updates'!$B:$B,Table7[[#This Row],[Cutter Mat'#]]))</f>
        <v>350</v>
      </c>
      <c r="J668" s="294">
        <f t="shared" si="19"/>
        <v>0</v>
      </c>
    </row>
    <row r="669" spans="2:10" ht="15.5" x14ac:dyDescent="0.25">
      <c r="B669" s="364" t="s">
        <v>927</v>
      </c>
      <c r="C669" s="364" t="s">
        <v>170</v>
      </c>
      <c r="D669" s="364" t="s">
        <v>225</v>
      </c>
      <c r="E669" s="304">
        <v>2002299</v>
      </c>
      <c r="F669" s="8">
        <v>355</v>
      </c>
      <c r="G669" s="476">
        <v>45855</v>
      </c>
      <c r="H669" s="303" t="s">
        <v>1022</v>
      </c>
      <c r="I669" s="294">
        <f>SUM(W669,SUMIFS('Cutters Consumption Updates'!$F:$F,'Cutters Consumption Updates'!$G:$G,"NEW",'Cutters Consumption Updates'!$J:$J,Table7[[#This Row],[PO'#]],'Cutters Consumption Updates'!$B:$B,Table7[[#This Row],[Cutter Mat'#]]))</f>
        <v>355</v>
      </c>
      <c r="J669" s="294">
        <f t="shared" si="19"/>
        <v>0</v>
      </c>
    </row>
    <row r="670" spans="2:10" ht="15.5" x14ac:dyDescent="0.25">
      <c r="B670" s="364" t="s">
        <v>903</v>
      </c>
      <c r="C670" s="364"/>
      <c r="D670" s="364"/>
      <c r="E670" s="304">
        <v>1228501</v>
      </c>
      <c r="F670" s="8">
        <v>370</v>
      </c>
      <c r="G670" s="476">
        <v>45855</v>
      </c>
      <c r="H670" s="303" t="s">
        <v>1022</v>
      </c>
      <c r="I670" s="294">
        <f>SUM(W670,SUMIFS('Cutters Consumption Updates'!$F:$F,'Cutters Consumption Updates'!$G:$G,"NEW",'Cutters Consumption Updates'!$J:$J,Table7[[#This Row],[PO'#]],'Cutters Consumption Updates'!$B:$B,Table7[[#This Row],[Cutter Mat'#]]))</f>
        <v>370</v>
      </c>
      <c r="J670" s="294">
        <f t="shared" si="19"/>
        <v>0</v>
      </c>
    </row>
    <row r="671" spans="2:10" ht="15.5" x14ac:dyDescent="0.25">
      <c r="B671" s="364" t="s">
        <v>901</v>
      </c>
      <c r="C671" s="364" t="s">
        <v>170</v>
      </c>
      <c r="D671" s="364" t="s">
        <v>114</v>
      </c>
      <c r="E671" s="304">
        <v>1228502</v>
      </c>
      <c r="F671" s="8">
        <v>360</v>
      </c>
      <c r="G671" s="476">
        <v>45855</v>
      </c>
      <c r="H671" s="303" t="s">
        <v>1022</v>
      </c>
      <c r="I671" s="294">
        <f>SUM(W671,SUMIFS('Cutters Consumption Updates'!$F:$F,'Cutters Consumption Updates'!$G:$G,"NEW",'Cutters Consumption Updates'!$J:$J,Table7[[#This Row],[PO'#]],'Cutters Consumption Updates'!$B:$B,Table7[[#This Row],[Cutter Mat'#]]))</f>
        <v>360</v>
      </c>
      <c r="J671" s="294">
        <f t="shared" si="19"/>
        <v>0</v>
      </c>
    </row>
    <row r="672" spans="2:10" ht="15.5" x14ac:dyDescent="0.25">
      <c r="B672" s="364" t="s">
        <v>926</v>
      </c>
      <c r="C672" s="364"/>
      <c r="D672" s="364"/>
      <c r="E672" s="304">
        <v>1228503</v>
      </c>
      <c r="F672" s="8">
        <v>370</v>
      </c>
      <c r="G672" s="476">
        <v>45855</v>
      </c>
      <c r="H672" s="303" t="s">
        <v>1022</v>
      </c>
      <c r="I672" s="294">
        <f>SUM(W672,SUMIFS('Cutters Consumption Updates'!$F:$F,'Cutters Consumption Updates'!$G:$G,"NEW",'Cutters Consumption Updates'!$J:$J,Table7[[#This Row],[PO'#]],'Cutters Consumption Updates'!$B:$B,Table7[[#This Row],[Cutter Mat'#]]))</f>
        <v>370</v>
      </c>
      <c r="J672" s="294">
        <f t="shared" si="19"/>
        <v>0</v>
      </c>
    </row>
    <row r="673" spans="2:23" ht="15.5" x14ac:dyDescent="0.25">
      <c r="B673" s="364" t="s">
        <v>925</v>
      </c>
      <c r="C673" s="364"/>
      <c r="D673" s="364"/>
      <c r="E673" s="304">
        <v>1220554</v>
      </c>
      <c r="F673" s="8">
        <v>375</v>
      </c>
      <c r="G673" s="476">
        <v>45855</v>
      </c>
      <c r="H673" s="303" t="s">
        <v>1022</v>
      </c>
      <c r="I673" s="294">
        <f>SUM(W673,SUMIFS('Cutters Consumption Updates'!$F:$F,'Cutters Consumption Updates'!$G:$G,"NEW",'Cutters Consumption Updates'!$J:$J,Table7[[#This Row],[PO'#]],'Cutters Consumption Updates'!$B:$B,Table7[[#This Row],[Cutter Mat'#]]))</f>
        <v>375</v>
      </c>
      <c r="J673" s="294">
        <f t="shared" si="19"/>
        <v>0</v>
      </c>
    </row>
    <row r="674" spans="2:23" ht="15.5" x14ac:dyDescent="0.25">
      <c r="B674" s="364" t="s">
        <v>1023</v>
      </c>
      <c r="C674" s="364"/>
      <c r="D674" s="364"/>
      <c r="E674" s="304">
        <v>1296685</v>
      </c>
      <c r="F674" s="8">
        <v>40</v>
      </c>
      <c r="G674" s="476">
        <v>45860</v>
      </c>
      <c r="H674" s="303" t="s">
        <v>1024</v>
      </c>
      <c r="I674" s="294">
        <f>SUM(W674,SUMIFS('Cutters Consumption Updates'!$F:$F,'Cutters Consumption Updates'!$G:$G,"NEW",'Cutters Consumption Updates'!$J:$J,Table7[[#This Row],[PO'#]],'Cutters Consumption Updates'!$B:$B,Table7[[#This Row],[Cutter Mat'#]]))</f>
        <v>40</v>
      </c>
      <c r="J674" s="294">
        <f>F674-I674</f>
        <v>0</v>
      </c>
    </row>
    <row r="675" spans="2:23" ht="15.5" x14ac:dyDescent="0.25">
      <c r="B675" s="364" t="s">
        <v>1025</v>
      </c>
      <c r="C675" s="364"/>
      <c r="D675" s="364"/>
      <c r="E675" s="304">
        <v>1146738</v>
      </c>
      <c r="F675" s="8">
        <v>70</v>
      </c>
      <c r="G675" s="476">
        <v>45860</v>
      </c>
      <c r="H675" s="303" t="s">
        <v>1024</v>
      </c>
      <c r="I675" s="294">
        <f>SUM(W675,SUMIFS('Cutters Consumption Updates'!$F:$F,'Cutters Consumption Updates'!$G:$G,"NEW",'Cutters Consumption Updates'!$J:$J,Table7[[#This Row],[PO'#]],'Cutters Consumption Updates'!$B:$B,Table7[[#This Row],[Cutter Mat'#]]))</f>
        <v>70</v>
      </c>
      <c r="J675" s="294">
        <f>F675-I675</f>
        <v>0</v>
      </c>
    </row>
    <row r="676" spans="2:23" ht="15.5" x14ac:dyDescent="0.25">
      <c r="B676" s="364" t="s">
        <v>1026</v>
      </c>
      <c r="C676" s="364"/>
      <c r="D676" s="364"/>
      <c r="E676" s="304">
        <v>2017131</v>
      </c>
      <c r="F676" s="8">
        <v>10</v>
      </c>
      <c r="G676" s="476">
        <v>45860</v>
      </c>
      <c r="H676" s="303" t="s">
        <v>1024</v>
      </c>
      <c r="I676" s="294">
        <f>SUM(W676,SUMIFS('Cutters Consumption Updates'!$F:$F,'Cutters Consumption Updates'!$G:$G,"NEW",'Cutters Consumption Updates'!$J:$J,Table7[[#This Row],[PO'#]],'Cutters Consumption Updates'!$B:$B,Table7[[#This Row],[Cutter Mat'#]]))</f>
        <v>10</v>
      </c>
      <c r="J676" s="294">
        <f>F676-I676</f>
        <v>0</v>
      </c>
    </row>
    <row r="677" spans="2:23" ht="15.5" x14ac:dyDescent="0.25">
      <c r="B677" s="364" t="s">
        <v>899</v>
      </c>
      <c r="C677" s="364" t="s">
        <v>177</v>
      </c>
      <c r="D677" s="364" t="s">
        <v>111</v>
      </c>
      <c r="E677" s="361">
        <v>1146346</v>
      </c>
      <c r="F677" s="362">
        <v>70</v>
      </c>
      <c r="G677" s="476">
        <v>45867</v>
      </c>
      <c r="H677" s="303" t="s">
        <v>1027</v>
      </c>
      <c r="I677" s="294">
        <f>SUM(W677,SUMIFS('Cutters Consumption Updates'!$F:$F,'Cutters Consumption Updates'!$G:$G,"NEW",'Cutters Consumption Updates'!$J:$J,Table7[[#This Row],[PO'#]],'Cutters Consumption Updates'!$B:$B,Table7[[#This Row],[Cutter Mat'#]]))</f>
        <v>70</v>
      </c>
      <c r="J677" s="294">
        <f>F677-I677</f>
        <v>0</v>
      </c>
    </row>
    <row r="678" spans="2:23" ht="15.5" x14ac:dyDescent="0.25">
      <c r="B678" s="364">
        <v>1313</v>
      </c>
      <c r="C678" s="364" t="s">
        <v>170</v>
      </c>
      <c r="D678" s="364" t="s">
        <v>227</v>
      </c>
      <c r="E678" s="361">
        <v>2001155</v>
      </c>
      <c r="F678" s="362">
        <v>10</v>
      </c>
      <c r="G678" s="476">
        <v>45867</v>
      </c>
      <c r="H678" s="303" t="s">
        <v>1027</v>
      </c>
      <c r="I678" s="294">
        <f>SUM(W678,SUMIFS('Cutters Consumption Updates'!$F:$F,'Cutters Consumption Updates'!$G:$G,"NEW",'Cutters Consumption Updates'!$J:$J,Table7[[#This Row],[PO'#]],'Cutters Consumption Updates'!$B:$B,Table7[[#This Row],[Cutter Mat'#]]))</f>
        <v>10</v>
      </c>
      <c r="J678" s="294">
        <f>F678-I678</f>
        <v>0</v>
      </c>
    </row>
    <row r="679" spans="2:23" ht="15.5" x14ac:dyDescent="0.25">
      <c r="B679" s="364" t="s">
        <v>922</v>
      </c>
      <c r="C679" s="364" t="s">
        <v>253</v>
      </c>
      <c r="D679" s="364" t="s">
        <v>51</v>
      </c>
      <c r="E679" s="361">
        <v>717748</v>
      </c>
      <c r="F679" s="362">
        <v>70</v>
      </c>
      <c r="G679" s="476">
        <v>45867</v>
      </c>
      <c r="H679" s="303" t="s">
        <v>1027</v>
      </c>
      <c r="I679" s="294">
        <f>SUM(W679,SUMIFS('Cutters Consumption Updates'!$F:$F,'Cutters Consumption Updates'!$G:$G,"NEW",'Cutters Consumption Updates'!$J:$J,Table7[[#This Row],[PO'#]],'Cutters Consumption Updates'!$B:$B,Table7[[#This Row],[Cutter Mat'#]]))</f>
        <v>70</v>
      </c>
      <c r="J679" s="294">
        <f t="shared" ref="J679:J680" si="20">F679-I679</f>
        <v>0</v>
      </c>
    </row>
    <row r="680" spans="2:23" ht="15.5" x14ac:dyDescent="0.25">
      <c r="B680" s="364"/>
      <c r="C680" s="364"/>
      <c r="D680" s="364"/>
      <c r="E680" s="361">
        <v>1126398</v>
      </c>
      <c r="F680" s="362">
        <v>20</v>
      </c>
      <c r="G680" s="476">
        <v>45867</v>
      </c>
      <c r="H680" s="303" t="s">
        <v>1027</v>
      </c>
      <c r="I680" s="294">
        <f>SUM(W680,SUMIFS('Cutters Consumption Updates'!$F:$F,'Cutters Consumption Updates'!$G:$G,"NEW",'Cutters Consumption Updates'!$J:$J,Table7[[#This Row],[PO'#]],'Cutters Consumption Updates'!$B:$B,Table7[[#This Row],[Cutter Mat'#]]))</f>
        <v>20</v>
      </c>
      <c r="J680" s="294">
        <f t="shared" si="20"/>
        <v>0</v>
      </c>
    </row>
    <row r="681" spans="2:23" ht="15.5" x14ac:dyDescent="0.25">
      <c r="B681" s="364">
        <v>1308</v>
      </c>
      <c r="C681" s="364" t="s">
        <v>170</v>
      </c>
      <c r="D681" s="364" t="s">
        <v>1028</v>
      </c>
      <c r="E681" s="304">
        <v>2004484</v>
      </c>
      <c r="F681" s="8">
        <v>375</v>
      </c>
      <c r="G681" s="476">
        <v>45855</v>
      </c>
      <c r="H681" s="303" t="s">
        <v>1022</v>
      </c>
      <c r="I681" s="294">
        <f>SUM(W681,SUMIFS('Cutters Consumption Updates'!$F:$F,'Cutters Consumption Updates'!$G:$G,"NEW",'Cutters Consumption Updates'!$J:$J,Table7[[#This Row],[PO'#]],'Cutters Consumption Updates'!$B:$B,Table7[[#This Row],[Cutter Mat'#]]))</f>
        <v>375</v>
      </c>
      <c r="J681" s="294">
        <f>F681-I681</f>
        <v>0</v>
      </c>
    </row>
    <row r="682" spans="2:23" ht="15.5" x14ac:dyDescent="0.25">
      <c r="B682" s="364">
        <v>1308</v>
      </c>
      <c r="C682" s="364" t="s">
        <v>170</v>
      </c>
      <c r="D682" s="364" t="s">
        <v>1028</v>
      </c>
      <c r="E682" s="304">
        <v>2004484</v>
      </c>
      <c r="F682" s="8">
        <v>246</v>
      </c>
      <c r="G682" s="476">
        <v>45837</v>
      </c>
      <c r="H682" s="303" t="s">
        <v>1019</v>
      </c>
      <c r="I682" s="294">
        <f>SUM(W682,SUMIFS('Cutters Consumption Updates'!$F:$F,'Cutters Consumption Updates'!$G:$G,"NEW",'Cutters Consumption Updates'!$J:$J,Table7[[#This Row],[PO'#]],'Cutters Consumption Updates'!$B:$B,Table7[[#This Row],[Cutter Mat'#]]))</f>
        <v>246</v>
      </c>
      <c r="J682" s="294">
        <f>F682-I682</f>
        <v>0</v>
      </c>
      <c r="W682" s="603" t="s">
        <v>1029</v>
      </c>
    </row>
    <row r="683" spans="2:23" ht="15.5" x14ac:dyDescent="0.25">
      <c r="B683" s="364">
        <v>1613</v>
      </c>
      <c r="C683" s="364" t="s">
        <v>253</v>
      </c>
      <c r="D683" s="364" t="s">
        <v>244</v>
      </c>
      <c r="E683" s="304">
        <v>1220479</v>
      </c>
      <c r="F683" s="8">
        <v>5</v>
      </c>
      <c r="G683" s="476">
        <v>45860</v>
      </c>
      <c r="H683" s="303" t="s">
        <v>1024</v>
      </c>
      <c r="I683" s="294">
        <f>SUM(W683,SUMIFS('Cutters Consumption Updates'!$F:$F,'Cutters Consumption Updates'!$G:$G,"NEW",'Cutters Consumption Updates'!$J:$J,Table7[[#This Row],[PO'#]],'Cutters Consumption Updates'!$B:$B,Table7[[#This Row],[Cutter Mat'#]]))</f>
        <v>5</v>
      </c>
      <c r="J683" s="294">
        <f>F683-I683</f>
        <v>0</v>
      </c>
      <c r="W683" s="603" t="s">
        <v>1030</v>
      </c>
    </row>
    <row r="684" spans="2:23" ht="15.5" x14ac:dyDescent="0.25">
      <c r="B684" s="364">
        <v>1308</v>
      </c>
      <c r="C684" s="364" t="s">
        <v>65</v>
      </c>
      <c r="D684" s="364" t="s">
        <v>71</v>
      </c>
      <c r="E684" s="304">
        <v>418525</v>
      </c>
      <c r="F684" s="362">
        <v>65</v>
      </c>
      <c r="G684" s="476">
        <v>45897</v>
      </c>
      <c r="H684" s="303" t="s">
        <v>1031</v>
      </c>
      <c r="I684" s="294">
        <f>SUM(W684,SUMIFS('Cutters Consumption Updates'!$F:$F,'Cutters Consumption Updates'!$G:$G,"NEW",'Cutters Consumption Updates'!$J:$J,Table7[[#This Row],[PO'#]],'Cutters Consumption Updates'!$B:$B,Table7[[#This Row],[Cutter Mat'#]]))</f>
        <v>65</v>
      </c>
      <c r="J684" s="294">
        <f t="shared" ref="J684:J688" si="21">F684-I684</f>
        <v>0</v>
      </c>
      <c r="W684" s="603"/>
    </row>
    <row r="685" spans="2:23" ht="15.5" x14ac:dyDescent="0.25">
      <c r="B685" s="364" t="s">
        <v>910</v>
      </c>
      <c r="C685" s="364" t="s">
        <v>253</v>
      </c>
      <c r="D685" s="364" t="s">
        <v>114</v>
      </c>
      <c r="E685" s="569">
        <v>1100749</v>
      </c>
      <c r="F685" s="362">
        <v>10</v>
      </c>
      <c r="G685" s="476">
        <v>45897</v>
      </c>
      <c r="H685" s="303" t="s">
        <v>1031</v>
      </c>
      <c r="I685" s="294">
        <f>SUM(W685,SUMIFS('Cutters Consumption Updates'!$F:$F,'Cutters Consumption Updates'!$G:$G,"NEW",'Cutters Consumption Updates'!$J:$J,Table7[[#This Row],[PO'#]],'Cutters Consumption Updates'!$B:$B,Table7[[#This Row],[Cutter Mat'#]]))</f>
        <v>10</v>
      </c>
      <c r="J685" s="294">
        <f t="shared" si="21"/>
        <v>0</v>
      </c>
      <c r="K685" t="s">
        <v>1032</v>
      </c>
      <c r="W685" s="603" t="s">
        <v>1033</v>
      </c>
    </row>
    <row r="686" spans="2:23" ht="15.5" x14ac:dyDescent="0.25">
      <c r="B686" s="364" t="s">
        <v>38</v>
      </c>
      <c r="C686" s="364" t="s">
        <v>243</v>
      </c>
      <c r="D686" s="364" t="s">
        <v>246</v>
      </c>
      <c r="E686" s="304">
        <v>1172481</v>
      </c>
      <c r="F686" s="362">
        <v>25</v>
      </c>
      <c r="G686" s="476">
        <v>45897</v>
      </c>
      <c r="H686" s="303" t="s">
        <v>1031</v>
      </c>
      <c r="I686" s="294">
        <f>SUM(W686,SUMIFS('Cutters Consumption Updates'!$F:$F,'Cutters Consumption Updates'!$G:$G,"NEW",'Cutters Consumption Updates'!$J:$J,Table7[[#This Row],[PO'#]],'Cutters Consumption Updates'!$B:$B,Table7[[#This Row],[Cutter Mat'#]]))</f>
        <v>25</v>
      </c>
      <c r="J686" s="294">
        <f t="shared" si="21"/>
        <v>0</v>
      </c>
    </row>
    <row r="687" spans="2:23" ht="15.5" x14ac:dyDescent="0.25">
      <c r="B687" s="364" t="s">
        <v>894</v>
      </c>
      <c r="C687" s="364" t="s">
        <v>177</v>
      </c>
      <c r="D687" s="364" t="s">
        <v>133</v>
      </c>
      <c r="E687" s="304">
        <v>1126402</v>
      </c>
      <c r="F687" s="362">
        <v>300</v>
      </c>
      <c r="G687" s="476">
        <v>45897</v>
      </c>
      <c r="H687" s="303" t="s">
        <v>1031</v>
      </c>
      <c r="I687" s="294">
        <f>SUM(W687,SUMIFS('Cutters Consumption Updates'!$F:$F,'Cutters Consumption Updates'!$G:$G,"NEW",'Cutters Consumption Updates'!$J:$J,Table7[[#This Row],[PO'#]],'Cutters Consumption Updates'!$B:$B,Table7[[#This Row],[Cutter Mat'#]]))</f>
        <v>300</v>
      </c>
      <c r="J687" s="294">
        <f t="shared" si="21"/>
        <v>0</v>
      </c>
    </row>
    <row r="688" spans="2:23" ht="15.5" x14ac:dyDescent="0.25">
      <c r="B688" s="364" t="s">
        <v>881</v>
      </c>
      <c r="C688" s="364" t="s">
        <v>170</v>
      </c>
      <c r="D688" s="364" t="s">
        <v>218</v>
      </c>
      <c r="E688" s="304">
        <v>2022731</v>
      </c>
      <c r="F688" s="362">
        <v>75</v>
      </c>
      <c r="G688" s="476">
        <v>45897</v>
      </c>
      <c r="H688" s="303" t="s">
        <v>1031</v>
      </c>
      <c r="I688" s="294">
        <f>SUM(W688,SUMIFS('Cutters Consumption Updates'!$F:$F,'Cutters Consumption Updates'!$G:$G,"NEW",'Cutters Consumption Updates'!$J:$J,Table7[[#This Row],[PO'#]],'Cutters Consumption Updates'!$B:$B,Table7[[#This Row],[Cutter Mat'#]]))</f>
        <v>75</v>
      </c>
      <c r="J688" s="294">
        <f t="shared" si="21"/>
        <v>0</v>
      </c>
    </row>
    <row r="689" spans="2:11" ht="15.5" x14ac:dyDescent="0.25">
      <c r="B689" s="364">
        <v>1313</v>
      </c>
      <c r="C689" s="364" t="s">
        <v>170</v>
      </c>
      <c r="D689" s="364" t="s">
        <v>227</v>
      </c>
      <c r="E689" s="304">
        <v>2001155</v>
      </c>
      <c r="F689" s="8">
        <v>60</v>
      </c>
      <c r="G689" s="476">
        <v>45897</v>
      </c>
      <c r="H689" s="303" t="s">
        <v>1031</v>
      </c>
      <c r="I689" s="294">
        <f>SUM(W689,SUMIFS('Cutters Consumption Updates'!$F:$F,'Cutters Consumption Updates'!$G:$G,"NEW",'Cutters Consumption Updates'!$J:$J,Table7[[#This Row],[PO'#]],'Cutters Consumption Updates'!$B:$B,Table7[[#This Row],[Cutter Mat'#]]))</f>
        <v>60</v>
      </c>
      <c r="J689" s="294">
        <f>F689-I689</f>
        <v>0</v>
      </c>
    </row>
    <row r="690" spans="2:11" ht="15.5" x14ac:dyDescent="0.25">
      <c r="B690" s="364">
        <v>1308</v>
      </c>
      <c r="C690" s="364" t="s">
        <v>65</v>
      </c>
      <c r="D690" s="364" t="s">
        <v>71</v>
      </c>
      <c r="E690" s="304">
        <v>418525</v>
      </c>
      <c r="F690" s="8">
        <v>300</v>
      </c>
      <c r="G690" s="476">
        <v>45929</v>
      </c>
      <c r="H690" s="303" t="s">
        <v>1034</v>
      </c>
      <c r="I690" s="294">
        <f>SUM(W690,SUMIFS('Cutters Consumption Updates'!$F:$F,'Cutters Consumption Updates'!$G:$G,"NEW",'Cutters Consumption Updates'!$J:$J,Table7[[#This Row],[PO'#]],'Cutters Consumption Updates'!$B:$B,Table7[[#This Row],[Cutter Mat'#]]))</f>
        <v>300</v>
      </c>
      <c r="J690" s="294">
        <f t="shared" ref="J690:J707" si="22">F690-I690</f>
        <v>0</v>
      </c>
    </row>
    <row r="691" spans="2:11" ht="15.5" x14ac:dyDescent="0.25">
      <c r="B691" s="364">
        <v>1313</v>
      </c>
      <c r="C691" s="364" t="s">
        <v>177</v>
      </c>
      <c r="D691" s="364" t="s">
        <v>111</v>
      </c>
      <c r="E691" s="304">
        <v>1146346</v>
      </c>
      <c r="F691" s="8">
        <v>200</v>
      </c>
      <c r="G691" s="476">
        <v>45929</v>
      </c>
      <c r="H691" s="303" t="s">
        <v>1034</v>
      </c>
      <c r="I691" s="294">
        <f>SUM(W691,SUMIFS('Cutters Consumption Updates'!$F:$F,'Cutters Consumption Updates'!$G:$G,"NEW",'Cutters Consumption Updates'!$J:$J,Table7[[#This Row],[PO'#]],'Cutters Consumption Updates'!$B:$B,Table7[[#This Row],[Cutter Mat'#]]))</f>
        <v>200</v>
      </c>
      <c r="J691" s="294">
        <f t="shared" si="22"/>
        <v>0</v>
      </c>
    </row>
    <row r="692" spans="2:11" ht="15.5" x14ac:dyDescent="0.25">
      <c r="B692" s="364">
        <v>1313</v>
      </c>
      <c r="C692" s="364" t="s">
        <v>177</v>
      </c>
      <c r="D692" s="364" t="s">
        <v>222</v>
      </c>
      <c r="E692" s="304">
        <v>1272937</v>
      </c>
      <c r="F692" s="8">
        <v>10</v>
      </c>
      <c r="G692" s="476">
        <v>45929</v>
      </c>
      <c r="H692" s="303" t="s">
        <v>1034</v>
      </c>
      <c r="I692" s="294">
        <f>SUM(W692,SUMIFS('Cutters Consumption Updates'!$F:$F,'Cutters Consumption Updates'!$G:$G,"NEW",'Cutters Consumption Updates'!$J:$J,Table7[[#This Row],[PO'#]],'Cutters Consumption Updates'!$B:$B,Table7[[#This Row],[Cutter Mat'#]]))</f>
        <v>10</v>
      </c>
      <c r="J692" s="294">
        <f t="shared" si="22"/>
        <v>0</v>
      </c>
    </row>
    <row r="693" spans="2:11" ht="15.5" x14ac:dyDescent="0.25">
      <c r="B693" s="364">
        <v>1608</v>
      </c>
      <c r="C693" s="364" t="s">
        <v>109</v>
      </c>
      <c r="D693" s="364" t="s">
        <v>133</v>
      </c>
      <c r="E693" s="304">
        <v>1142710</v>
      </c>
      <c r="F693" s="8">
        <v>20</v>
      </c>
      <c r="G693" s="476">
        <v>45929</v>
      </c>
      <c r="H693" s="303" t="s">
        <v>1034</v>
      </c>
      <c r="I693" s="294">
        <f>SUM(W693,SUMIFS('Cutters Consumption Updates'!$F:$F,'Cutters Consumption Updates'!$G:$G,"NEW",'Cutters Consumption Updates'!$J:$J,Table7[[#This Row],[PO'#]],'Cutters Consumption Updates'!$B:$B,Table7[[#This Row],[Cutter Mat'#]]))</f>
        <v>20</v>
      </c>
      <c r="J693" s="294">
        <f t="shared" si="22"/>
        <v>0</v>
      </c>
      <c r="K693" t="s">
        <v>4073</v>
      </c>
    </row>
    <row r="694" spans="2:11" ht="15.5" x14ac:dyDescent="0.25">
      <c r="B694" s="364">
        <v>1613</v>
      </c>
      <c r="C694" s="364" t="s">
        <v>177</v>
      </c>
      <c r="D694" s="364" t="s">
        <v>133</v>
      </c>
      <c r="E694" s="304">
        <v>1126402</v>
      </c>
      <c r="F694" s="8">
        <v>300</v>
      </c>
      <c r="G694" s="476">
        <v>45929</v>
      </c>
      <c r="H694" s="303" t="s">
        <v>1034</v>
      </c>
      <c r="I694" s="294">
        <f>SUM(W694,SUMIFS('Cutters Consumption Updates'!$F:$F,'Cutters Consumption Updates'!$G:$G,"NEW",'Cutters Consumption Updates'!$J:$J,Table7[[#This Row],[PO'#]],'Cutters Consumption Updates'!$B:$B,Table7[[#This Row],[Cutter Mat'#]]))</f>
        <v>300</v>
      </c>
      <c r="J694" s="294">
        <f t="shared" si="22"/>
        <v>0</v>
      </c>
    </row>
    <row r="695" spans="2:11" ht="15.5" x14ac:dyDescent="0.25">
      <c r="B695" s="364">
        <v>1613</v>
      </c>
      <c r="C695" s="364" t="s">
        <v>177</v>
      </c>
      <c r="D695" s="364" t="s">
        <v>111</v>
      </c>
      <c r="E695" s="304">
        <v>1146737</v>
      </c>
      <c r="F695" s="8">
        <v>200</v>
      </c>
      <c r="G695" s="476">
        <v>45929</v>
      </c>
      <c r="H695" s="303" t="s">
        <v>1034</v>
      </c>
      <c r="I695" s="294">
        <f>SUM(W695,SUMIFS('Cutters Consumption Updates'!$F:$F,'Cutters Consumption Updates'!$G:$G,"NEW",'Cutters Consumption Updates'!$J:$J,Table7[[#This Row],[PO'#]],'Cutters Consumption Updates'!$B:$B,Table7[[#This Row],[Cutter Mat'#]]))</f>
        <v>200</v>
      </c>
      <c r="J695" s="294">
        <f t="shared" si="22"/>
        <v>0</v>
      </c>
    </row>
    <row r="696" spans="2:11" ht="15.5" x14ac:dyDescent="0.25">
      <c r="B696" s="364">
        <v>1613</v>
      </c>
      <c r="C696" s="364" t="s">
        <v>170</v>
      </c>
      <c r="D696" s="364" t="s">
        <v>227</v>
      </c>
      <c r="E696" s="304">
        <v>2001060</v>
      </c>
      <c r="F696" s="8">
        <v>5</v>
      </c>
      <c r="G696" s="476">
        <v>45929</v>
      </c>
      <c r="H696" s="303" t="s">
        <v>1034</v>
      </c>
      <c r="I696" s="294">
        <f>SUM(W696,SUMIFS('Cutters Consumption Updates'!$F:$F,'Cutters Consumption Updates'!$G:$G,"NEW",'Cutters Consumption Updates'!$J:$J,Table7[[#This Row],[PO'#]],'Cutters Consumption Updates'!$B:$B,Table7[[#This Row],[Cutter Mat'#]]))</f>
        <v>5</v>
      </c>
      <c r="J696" s="294">
        <f t="shared" si="22"/>
        <v>0</v>
      </c>
    </row>
    <row r="697" spans="2:11" ht="15.5" x14ac:dyDescent="0.25">
      <c r="B697" s="364">
        <v>1613</v>
      </c>
      <c r="C697" s="364" t="s">
        <v>170</v>
      </c>
      <c r="D697" s="364" t="s">
        <v>207</v>
      </c>
      <c r="E697" s="304">
        <v>1282370</v>
      </c>
      <c r="F697" s="8">
        <v>40</v>
      </c>
      <c r="G697" s="476">
        <v>45929</v>
      </c>
      <c r="H697" s="303" t="s">
        <v>1034</v>
      </c>
      <c r="I697" s="294">
        <f>SUM(W697,SUMIFS('Cutters Consumption Updates'!$F:$F,'Cutters Consumption Updates'!$G:$G,"NEW",'Cutters Consumption Updates'!$J:$J,Table7[[#This Row],[PO'#]],'Cutters Consumption Updates'!$B:$B,Table7[[#This Row],[Cutter Mat'#]]))</f>
        <v>40</v>
      </c>
      <c r="J697" s="294">
        <f t="shared" si="22"/>
        <v>0</v>
      </c>
    </row>
    <row r="698" spans="2:11" ht="15.5" x14ac:dyDescent="0.25">
      <c r="B698" s="364">
        <v>1218</v>
      </c>
      <c r="C698" s="364" t="s">
        <v>103</v>
      </c>
      <c r="D698" s="364" t="s">
        <v>247</v>
      </c>
      <c r="E698" s="304">
        <v>2013427</v>
      </c>
      <c r="F698" s="8">
        <v>15</v>
      </c>
      <c r="G698" s="476">
        <v>45929</v>
      </c>
      <c r="H698" s="303" t="s">
        <v>1034</v>
      </c>
      <c r="I698" s="294">
        <f>SUM(W698,SUMIFS('Cutters Consumption Updates'!$F:$F,'Cutters Consumption Updates'!$G:$G,"NEW",'Cutters Consumption Updates'!$J:$J,Table7[[#This Row],[PO'#]],'Cutters Consumption Updates'!$B:$B,Table7[[#This Row],[Cutter Mat'#]]))</f>
        <v>15</v>
      </c>
      <c r="J698" s="294">
        <f t="shared" si="22"/>
        <v>0</v>
      </c>
    </row>
    <row r="699" spans="2:11" ht="15.5" x14ac:dyDescent="0.25">
      <c r="B699" s="364">
        <v>1613</v>
      </c>
      <c r="C699" s="364" t="s">
        <v>170</v>
      </c>
      <c r="D699" s="364" t="s">
        <v>133</v>
      </c>
      <c r="E699" s="304">
        <v>2023242</v>
      </c>
      <c r="F699" s="8">
        <v>40</v>
      </c>
      <c r="G699" s="476">
        <v>45929</v>
      </c>
      <c r="H699" s="303" t="s">
        <v>1034</v>
      </c>
      <c r="I699" s="294">
        <f>SUM(W699,SUMIFS('Cutters Consumption Updates'!$F:$F,'Cutters Consumption Updates'!$G:$G,"NEW",'Cutters Consumption Updates'!$J:$J,Table7[[#This Row],[PO'#]],'Cutters Consumption Updates'!$B:$B,Table7[[#This Row],[Cutter Mat'#]]))</f>
        <v>40</v>
      </c>
      <c r="J699" s="294">
        <f t="shared" si="22"/>
        <v>0</v>
      </c>
    </row>
    <row r="700" spans="2:11" ht="15.5" x14ac:dyDescent="0.25">
      <c r="B700" s="364">
        <v>1913</v>
      </c>
      <c r="C700" s="364" t="s">
        <v>177</v>
      </c>
      <c r="D700" s="364" t="s">
        <v>133</v>
      </c>
      <c r="E700" s="304">
        <v>1126404</v>
      </c>
      <c r="F700" s="8">
        <v>100</v>
      </c>
      <c r="G700" s="476">
        <v>45929</v>
      </c>
      <c r="H700" s="303" t="s">
        <v>1034</v>
      </c>
      <c r="I700" s="294">
        <f>SUM(W700,SUMIFS('Cutters Consumption Updates'!$F:$F,'Cutters Consumption Updates'!$G:$G,"NEW",'Cutters Consumption Updates'!$J:$J,Table7[[#This Row],[PO'#]],'Cutters Consumption Updates'!$B:$B,Table7[[#This Row],[Cutter Mat'#]]))</f>
        <v>100</v>
      </c>
      <c r="J700" s="294">
        <f t="shared" si="22"/>
        <v>0</v>
      </c>
    </row>
    <row r="701" spans="2:11" ht="15.5" x14ac:dyDescent="0.25">
      <c r="B701" s="364">
        <v>1913</v>
      </c>
      <c r="C701" s="364" t="s">
        <v>170</v>
      </c>
      <c r="D701" s="364" t="s">
        <v>111</v>
      </c>
      <c r="E701" s="304">
        <v>1146742</v>
      </c>
      <c r="F701" s="8">
        <v>30</v>
      </c>
      <c r="G701" s="476">
        <v>45929</v>
      </c>
      <c r="H701" s="303" t="s">
        <v>1034</v>
      </c>
      <c r="I701" s="294">
        <f>SUM(W701,SUMIFS('Cutters Consumption Updates'!$F:$F,'Cutters Consumption Updates'!$G:$G,"NEW",'Cutters Consumption Updates'!$J:$J,Table7[[#This Row],[PO'#]],'Cutters Consumption Updates'!$B:$B,Table7[[#This Row],[Cutter Mat'#]]))</f>
        <v>30</v>
      </c>
      <c r="J701" s="294">
        <f t="shared" si="22"/>
        <v>0</v>
      </c>
    </row>
    <row r="702" spans="2:11" ht="15.5" x14ac:dyDescent="0.25">
      <c r="B702" s="364">
        <v>1313</v>
      </c>
      <c r="C702" s="364" t="s">
        <v>170</v>
      </c>
      <c r="D702" s="364" t="s">
        <v>1035</v>
      </c>
      <c r="E702" s="304">
        <v>2017131</v>
      </c>
      <c r="F702" s="8">
        <v>15</v>
      </c>
      <c r="G702" s="476">
        <v>45929</v>
      </c>
      <c r="H702" s="303" t="s">
        <v>1034</v>
      </c>
      <c r="I702" s="294">
        <f>SUM(W702,SUMIFS('Cutters Consumption Updates'!$F:$F,'Cutters Consumption Updates'!$G:$G,"NEW",'Cutters Consumption Updates'!$J:$J,Table7[[#This Row],[PO'#]],'Cutters Consumption Updates'!$B:$B,Table7[[#This Row],[Cutter Mat'#]]))</f>
        <v>15</v>
      </c>
      <c r="J702" s="294">
        <f t="shared" si="22"/>
        <v>0</v>
      </c>
    </row>
    <row r="703" spans="2:11" ht="15.5" x14ac:dyDescent="0.25">
      <c r="B703" s="364">
        <v>1308</v>
      </c>
      <c r="C703" s="364" t="s">
        <v>65</v>
      </c>
      <c r="D703" s="364" t="s">
        <v>71</v>
      </c>
      <c r="E703" s="715">
        <v>418525</v>
      </c>
      <c r="F703" s="715">
        <v>300</v>
      </c>
      <c r="G703" s="716">
        <v>45958</v>
      </c>
      <c r="H703" s="364" t="s">
        <v>1036</v>
      </c>
      <c r="I703" s="715">
        <f>SUM(W703,SUMIFS('Cutters Consumption Updates'!$F:$F,'Cutters Consumption Updates'!$G:$G,"NEW",'Cutters Consumption Updates'!$J:$J,Table7[[#This Row],[PO'#]],'Cutters Consumption Updates'!$B:$B,Table7[[#This Row],[Cutter Mat'#]]))</f>
        <v>300</v>
      </c>
      <c r="J703" s="715">
        <f t="shared" si="22"/>
        <v>0</v>
      </c>
    </row>
    <row r="704" spans="2:11" ht="15.5" x14ac:dyDescent="0.25">
      <c r="B704" s="364" t="s">
        <v>201</v>
      </c>
      <c r="C704" s="364" t="s">
        <v>103</v>
      </c>
      <c r="D704" s="364" t="s">
        <v>965</v>
      </c>
      <c r="E704" s="715">
        <v>1201518</v>
      </c>
      <c r="F704" s="715">
        <v>24</v>
      </c>
      <c r="G704" s="716">
        <v>45958</v>
      </c>
      <c r="H704" s="364" t="s">
        <v>1036</v>
      </c>
      <c r="I704" s="715">
        <f>SUM(W704,SUMIFS('Cutters Consumption Updates'!$F:$F,'Cutters Consumption Updates'!$G:$G,"NEW",'Cutters Consumption Updates'!$J:$J,Table7[[#This Row],[PO'#]],'Cutters Consumption Updates'!$B:$B,Table7[[#This Row],[Cutter Mat'#]]))</f>
        <v>24</v>
      </c>
      <c r="J704" s="715">
        <f t="shared" si="22"/>
        <v>0</v>
      </c>
    </row>
    <row r="705" spans="2:11" ht="15.5" x14ac:dyDescent="0.25">
      <c r="B705" s="364">
        <v>1313</v>
      </c>
      <c r="C705" s="364" t="s">
        <v>248</v>
      </c>
      <c r="D705" s="364" t="s">
        <v>244</v>
      </c>
      <c r="E705" s="715">
        <v>1220334</v>
      </c>
      <c r="F705" s="715">
        <v>5</v>
      </c>
      <c r="G705" s="716">
        <v>45958</v>
      </c>
      <c r="H705" s="364" t="s">
        <v>4074</v>
      </c>
      <c r="I705" s="715">
        <f>SUM(W705,SUMIFS('Cutters Consumption Updates'!$F:$F,'Cutters Consumption Updates'!$G:$G,"NEW",'Cutters Consumption Updates'!$J:$J,Table7[[#This Row],[PO'#]],'Cutters Consumption Updates'!$B:$B,Table7[[#This Row],[Cutter Mat'#]]))</f>
        <v>0</v>
      </c>
      <c r="J705" s="715">
        <f t="shared" si="22"/>
        <v>5</v>
      </c>
    </row>
    <row r="706" spans="2:11" ht="15.5" x14ac:dyDescent="0.25">
      <c r="B706" s="364">
        <v>1313</v>
      </c>
      <c r="C706" s="364" t="s">
        <v>177</v>
      </c>
      <c r="D706" s="364" t="s">
        <v>242</v>
      </c>
      <c r="E706" s="715">
        <v>871781</v>
      </c>
      <c r="F706" s="715">
        <v>80</v>
      </c>
      <c r="G706" s="716">
        <v>45958</v>
      </c>
      <c r="H706" s="364" t="s">
        <v>1036</v>
      </c>
      <c r="I706" s="715">
        <f>SUM(W706,SUMIFS('Cutters Consumption Updates'!$F:$F,'Cutters Consumption Updates'!$G:$G,"NEW",'Cutters Consumption Updates'!$J:$J,Table7[[#This Row],[PO'#]],'Cutters Consumption Updates'!$B:$B,Table7[[#This Row],[Cutter Mat'#]]))</f>
        <v>80</v>
      </c>
      <c r="J706" s="715">
        <f t="shared" si="22"/>
        <v>0</v>
      </c>
    </row>
    <row r="707" spans="2:11" ht="15.5" x14ac:dyDescent="0.25">
      <c r="B707" s="364">
        <v>1313</v>
      </c>
      <c r="C707" s="364" t="s">
        <v>177</v>
      </c>
      <c r="D707" s="364" t="s">
        <v>111</v>
      </c>
      <c r="E707" s="715">
        <v>1146346</v>
      </c>
      <c r="F707" s="715">
        <v>150</v>
      </c>
      <c r="G707" s="716">
        <v>45958</v>
      </c>
      <c r="H707" s="364" t="s">
        <v>1036</v>
      </c>
      <c r="I707" s="715">
        <f>SUM(W707,SUMIFS('Cutters Consumption Updates'!$F:$F,'Cutters Consumption Updates'!$G:$G,"NEW",'Cutters Consumption Updates'!$J:$J,Table7[[#This Row],[PO'#]],'Cutters Consumption Updates'!$B:$B,Table7[[#This Row],[Cutter Mat'#]]))</f>
        <v>0</v>
      </c>
      <c r="J707" s="715">
        <f t="shared" si="22"/>
        <v>150</v>
      </c>
    </row>
    <row r="708" spans="2:11" ht="15.5" x14ac:dyDescent="0.25">
      <c r="B708" s="364">
        <v>1313</v>
      </c>
      <c r="C708" s="364" t="s">
        <v>170</v>
      </c>
      <c r="D708" s="364" t="s">
        <v>1035</v>
      </c>
      <c r="E708" s="715">
        <v>2017131</v>
      </c>
      <c r="F708" s="715">
        <v>15</v>
      </c>
      <c r="G708" s="716">
        <v>45958</v>
      </c>
      <c r="H708" s="364" t="s">
        <v>1036</v>
      </c>
      <c r="I708" s="715">
        <f>SUM(W708,SUMIFS('Cutters Consumption Updates'!$F:$F,'Cutters Consumption Updates'!$G:$G,"NEW",'Cutters Consumption Updates'!$J:$J,Table7[[#This Row],[PO'#]],'Cutters Consumption Updates'!$B:$B,Table7[[#This Row],[Cutter Mat'#]]))</f>
        <v>15</v>
      </c>
      <c r="J708" s="715">
        <f t="shared" ref="J708:J720" si="23">F708-I708</f>
        <v>0</v>
      </c>
    </row>
    <row r="709" spans="2:11" ht="15.5" x14ac:dyDescent="0.25">
      <c r="B709" s="364">
        <v>1608</v>
      </c>
      <c r="C709" s="364" t="s">
        <v>177</v>
      </c>
      <c r="D709" s="364" t="s">
        <v>242</v>
      </c>
      <c r="E709" s="715">
        <v>647435</v>
      </c>
      <c r="F709" s="715">
        <v>100</v>
      </c>
      <c r="G709" s="716">
        <v>45958</v>
      </c>
      <c r="H709" s="364" t="s">
        <v>1036</v>
      </c>
      <c r="I709" s="715">
        <f>SUM(W709,SUMIFS('Cutters Consumption Updates'!$F:$F,'Cutters Consumption Updates'!$G:$G,"NEW",'Cutters Consumption Updates'!$J:$J,Table7[[#This Row],[PO'#]],'Cutters Consumption Updates'!$B:$B,Table7[[#This Row],[Cutter Mat'#]]))</f>
        <v>100</v>
      </c>
      <c r="J709" s="715">
        <f t="shared" si="23"/>
        <v>0</v>
      </c>
    </row>
    <row r="710" spans="2:11" ht="15.5" x14ac:dyDescent="0.25">
      <c r="B710" s="364">
        <v>1613</v>
      </c>
      <c r="C710" s="364" t="s">
        <v>177</v>
      </c>
      <c r="D710" s="364" t="s">
        <v>242</v>
      </c>
      <c r="E710" s="715">
        <v>647436</v>
      </c>
      <c r="F710" s="715">
        <v>100</v>
      </c>
      <c r="G710" s="716">
        <v>45958</v>
      </c>
      <c r="H710" s="364" t="s">
        <v>1036</v>
      </c>
      <c r="I710" s="715">
        <f>SUM(W710,SUMIFS('Cutters Consumption Updates'!$F:$F,'Cutters Consumption Updates'!$G:$G,"NEW",'Cutters Consumption Updates'!$J:$J,Table7[[#This Row],[PO'#]],'Cutters Consumption Updates'!$B:$B,Table7[[#This Row],[Cutter Mat'#]]))</f>
        <v>100</v>
      </c>
      <c r="J710" s="715">
        <f t="shared" si="23"/>
        <v>0</v>
      </c>
    </row>
    <row r="711" spans="2:11" ht="15.5" x14ac:dyDescent="0.25">
      <c r="B711" s="364">
        <v>1613</v>
      </c>
      <c r="C711" s="364" t="s">
        <v>177</v>
      </c>
      <c r="D711" s="364" t="s">
        <v>133</v>
      </c>
      <c r="E711" s="715">
        <v>1126402</v>
      </c>
      <c r="F711" s="715">
        <v>100</v>
      </c>
      <c r="G711" s="716">
        <v>45958</v>
      </c>
      <c r="H711" s="364" t="s">
        <v>1036</v>
      </c>
      <c r="I711" s="715">
        <f>SUM(W711,SUMIFS('Cutters Consumption Updates'!$F:$F,'Cutters Consumption Updates'!$G:$G,"NEW",'Cutters Consumption Updates'!$J:$J,Table7[[#This Row],[PO'#]],'Cutters Consumption Updates'!$B:$B,Table7[[#This Row],[Cutter Mat'#]]))</f>
        <v>100</v>
      </c>
      <c r="J711" s="715">
        <f t="shared" si="23"/>
        <v>0</v>
      </c>
    </row>
    <row r="712" spans="2:11" ht="15.5" x14ac:dyDescent="0.25">
      <c r="B712" s="364">
        <v>1613</v>
      </c>
      <c r="C712" s="364" t="s">
        <v>177</v>
      </c>
      <c r="D712" s="364" t="s">
        <v>111</v>
      </c>
      <c r="E712" s="715">
        <v>1146737</v>
      </c>
      <c r="F712" s="715">
        <v>200</v>
      </c>
      <c r="G712" s="716">
        <v>45958</v>
      </c>
      <c r="H712" s="364" t="s">
        <v>1036</v>
      </c>
      <c r="I712" s="715">
        <f>SUM(W712,SUMIFS('Cutters Consumption Updates'!$F:$F,'Cutters Consumption Updates'!$G:$G,"NEW",'Cutters Consumption Updates'!$J:$J,Table7[[#This Row],[PO'#]],'Cutters Consumption Updates'!$B:$B,Table7[[#This Row],[Cutter Mat'#]]))</f>
        <v>200</v>
      </c>
      <c r="J712" s="715">
        <f t="shared" si="23"/>
        <v>0</v>
      </c>
    </row>
    <row r="713" spans="2:11" ht="15.5" x14ac:dyDescent="0.25">
      <c r="B713" s="364">
        <v>1613</v>
      </c>
      <c r="C713" s="364" t="s">
        <v>170</v>
      </c>
      <c r="D713" s="364" t="s">
        <v>207</v>
      </c>
      <c r="E713" s="715">
        <v>1282370</v>
      </c>
      <c r="F713" s="715">
        <v>100</v>
      </c>
      <c r="G713" s="716">
        <v>45958</v>
      </c>
      <c r="H713" s="364" t="s">
        <v>1036</v>
      </c>
      <c r="I713" s="715">
        <f>SUM(W713,SUMIFS('Cutters Consumption Updates'!$F:$F,'Cutters Consumption Updates'!$G:$G,"NEW",'Cutters Consumption Updates'!$J:$J,Table7[[#This Row],[PO'#]],'Cutters Consumption Updates'!$B:$B,Table7[[#This Row],[Cutter Mat'#]]))</f>
        <v>100</v>
      </c>
      <c r="J713" s="715">
        <f t="shared" si="23"/>
        <v>0</v>
      </c>
    </row>
    <row r="714" spans="2:11" ht="15.5" x14ac:dyDescent="0.25">
      <c r="B714" s="364" t="s">
        <v>266</v>
      </c>
      <c r="C714" s="364"/>
      <c r="D714" s="364" t="s">
        <v>246</v>
      </c>
      <c r="E714" s="715">
        <v>1101509</v>
      </c>
      <c r="F714" s="715">
        <v>60</v>
      </c>
      <c r="G714" s="716">
        <v>45958</v>
      </c>
      <c r="H714" s="364" t="s">
        <v>1036</v>
      </c>
      <c r="I714" s="715">
        <f>SUM(W714,SUMIFS('Cutters Consumption Updates'!$F:$F,'Cutters Consumption Updates'!$G:$G,"NEW",'Cutters Consumption Updates'!$J:$J,Table7[[#This Row],[PO'#]],'Cutters Consumption Updates'!$B:$B,Table7[[#This Row],[Cutter Mat'#]]))</f>
        <v>60</v>
      </c>
      <c r="J714" s="715">
        <f t="shared" si="23"/>
        <v>0</v>
      </c>
    </row>
    <row r="715" spans="2:11" ht="15.5" x14ac:dyDescent="0.25">
      <c r="B715" s="364">
        <v>1613</v>
      </c>
      <c r="C715" s="364" t="s">
        <v>177</v>
      </c>
      <c r="D715" s="364" t="s">
        <v>249</v>
      </c>
      <c r="E715" s="715">
        <v>2024642</v>
      </c>
      <c r="F715" s="715">
        <v>55</v>
      </c>
      <c r="G715" s="716">
        <v>45958</v>
      </c>
      <c r="H715" s="364" t="s">
        <v>1036</v>
      </c>
      <c r="I715" s="715">
        <f>SUM(W715,SUMIFS('Cutters Consumption Updates'!$F:$F,'Cutters Consumption Updates'!$G:$G,"NEW",'Cutters Consumption Updates'!$J:$J,Table7[[#This Row],[PO'#]],'Cutters Consumption Updates'!$B:$B,Table7[[#This Row],[Cutter Mat'#]]))</f>
        <v>55</v>
      </c>
      <c r="J715" s="715">
        <f t="shared" si="23"/>
        <v>0</v>
      </c>
    </row>
    <row r="716" spans="2:11" ht="15.5" x14ac:dyDescent="0.25">
      <c r="B716" s="364">
        <v>1613</v>
      </c>
      <c r="C716" s="364" t="s">
        <v>170</v>
      </c>
      <c r="D716" s="364" t="s">
        <v>250</v>
      </c>
      <c r="E716" s="715">
        <v>1244960</v>
      </c>
      <c r="F716" s="715">
        <v>25</v>
      </c>
      <c r="G716" s="716">
        <v>45958</v>
      </c>
      <c r="H716" s="364" t="s">
        <v>1036</v>
      </c>
      <c r="I716" s="715">
        <f>SUM(W716,SUMIFS('Cutters Consumption Updates'!$F:$F,'Cutters Consumption Updates'!$G:$G,"NEW",'Cutters Consumption Updates'!$J:$J,Table7[[#This Row],[PO'#]],'Cutters Consumption Updates'!$B:$B,Table7[[#This Row],[Cutter Mat'#]]))</f>
        <v>25</v>
      </c>
      <c r="J716" s="715">
        <f t="shared" si="23"/>
        <v>0</v>
      </c>
    </row>
    <row r="717" spans="2:11" ht="15.5" x14ac:dyDescent="0.25">
      <c r="B717" s="364">
        <v>1218</v>
      </c>
      <c r="C717" s="364"/>
      <c r="D717" s="364" t="s">
        <v>1037</v>
      </c>
      <c r="E717" s="715">
        <v>2013427</v>
      </c>
      <c r="F717" s="715">
        <v>10</v>
      </c>
      <c r="G717" s="716">
        <v>45958</v>
      </c>
      <c r="H717" s="364" t="s">
        <v>1036</v>
      </c>
      <c r="I717" s="715">
        <f>SUM(W717,SUMIFS('Cutters Consumption Updates'!$F:$F,'Cutters Consumption Updates'!$G:$G,"NEW",'Cutters Consumption Updates'!$J:$J,Table7[[#This Row],[PO'#]],'Cutters Consumption Updates'!$B:$B,Table7[[#This Row],[Cutter Mat'#]]))</f>
        <v>10</v>
      </c>
      <c r="J717" s="715">
        <f t="shared" si="23"/>
        <v>0</v>
      </c>
    </row>
    <row r="718" spans="2:11" ht="15.5" x14ac:dyDescent="0.25">
      <c r="B718" s="364">
        <v>1313</v>
      </c>
      <c r="C718" s="364" t="s">
        <v>170</v>
      </c>
      <c r="D718" s="364" t="s">
        <v>251</v>
      </c>
      <c r="E718" s="715">
        <v>2028302</v>
      </c>
      <c r="F718" s="715">
        <v>25</v>
      </c>
      <c r="G718" s="716">
        <v>45958</v>
      </c>
      <c r="H718" s="364" t="s">
        <v>1036</v>
      </c>
      <c r="I718" s="715">
        <f>SUM(W718,SUMIFS('Cutters Consumption Updates'!$F:$F,'Cutters Consumption Updates'!$G:$G,"NEW",'Cutters Consumption Updates'!$J:$J,Table7[[#This Row],[PO'#]],'Cutters Consumption Updates'!$B:$B,Table7[[#This Row],[Cutter Mat'#]]))</f>
        <v>25</v>
      </c>
      <c r="J718" s="715">
        <f t="shared" si="23"/>
        <v>0</v>
      </c>
    </row>
    <row r="719" spans="2:11" ht="15.5" x14ac:dyDescent="0.25">
      <c r="B719" s="364">
        <v>1613</v>
      </c>
      <c r="C719" s="364" t="s">
        <v>170</v>
      </c>
      <c r="D719" s="364" t="s">
        <v>251</v>
      </c>
      <c r="E719" s="715">
        <v>2028303</v>
      </c>
      <c r="F719" s="715">
        <v>30</v>
      </c>
      <c r="G719" s="716">
        <v>45958</v>
      </c>
      <c r="H719" s="364" t="s">
        <v>1036</v>
      </c>
      <c r="I719" s="715">
        <f>SUM(W719,SUMIFS('Cutters Consumption Updates'!$F:$F,'Cutters Consumption Updates'!$G:$G,"NEW",'Cutters Consumption Updates'!$J:$J,Table7[[#This Row],[PO'#]],'Cutters Consumption Updates'!$B:$B,Table7[[#This Row],[Cutter Mat'#]]))</f>
        <v>60</v>
      </c>
      <c r="J719" s="715">
        <f t="shared" si="23"/>
        <v>-30</v>
      </c>
    </row>
    <row r="720" spans="2:11" ht="15.5" x14ac:dyDescent="0.25">
      <c r="B720" s="364">
        <v>1313</v>
      </c>
      <c r="C720" s="364" t="s">
        <v>177</v>
      </c>
      <c r="D720" s="364" t="s">
        <v>250</v>
      </c>
      <c r="E720" s="758">
        <v>2023674</v>
      </c>
      <c r="F720" s="715">
        <v>0</v>
      </c>
      <c r="G720" s="716"/>
      <c r="H720" s="364"/>
      <c r="I720" s="715">
        <f>SUM(W720,SUMIFS('Cutters Consumption Updates'!$F:$F,'Cutters Consumption Updates'!$G:$G,"NEW",'Cutters Consumption Updates'!$J:$J,Table7[[#This Row],[PO'#]],'Cutters Consumption Updates'!$B:$B,Table7[[#This Row],[Cutter Mat'#]]))</f>
        <v>0</v>
      </c>
      <c r="J720" s="715">
        <f t="shared" si="23"/>
        <v>0</v>
      </c>
      <c r="K720" t="s">
        <v>4076</v>
      </c>
    </row>
    <row r="721" spans="2:11" ht="15.5" x14ac:dyDescent="0.25">
      <c r="B721" s="364">
        <v>1218</v>
      </c>
      <c r="C721" s="364"/>
      <c r="D721" s="364" t="s">
        <v>1038</v>
      </c>
      <c r="E721" s="715">
        <v>1192902</v>
      </c>
      <c r="F721" s="8">
        <v>15</v>
      </c>
      <c r="G721" s="716">
        <v>45958</v>
      </c>
      <c r="H721" s="364" t="s">
        <v>1036</v>
      </c>
      <c r="I721" s="715">
        <f>SUM(W721,SUMIFS('Cutters Consumption Updates'!$F:$F,'Cutters Consumption Updates'!$G:$G,"NEW",'Cutters Consumption Updates'!$J:$J,Table7[[#This Row],[PO'#]],'Cutters Consumption Updates'!$B:$B,Table7[[#This Row],[Cutter Mat'#]]))</f>
        <v>15</v>
      </c>
      <c r="J721" s="294">
        <f>F721-I721</f>
        <v>0</v>
      </c>
    </row>
    <row r="722" spans="2:11" ht="15.5" x14ac:dyDescent="0.25">
      <c r="B722" s="364">
        <v>1313</v>
      </c>
      <c r="C722" s="364" t="s">
        <v>177</v>
      </c>
      <c r="D722" s="364" t="s">
        <v>252</v>
      </c>
      <c r="E722" s="715">
        <v>2029244</v>
      </c>
      <c r="F722" s="8">
        <v>20</v>
      </c>
      <c r="G722" s="716">
        <v>45978</v>
      </c>
      <c r="H722" s="364" t="s">
        <v>4074</v>
      </c>
      <c r="I722" s="715">
        <f>SUM(W722,SUMIFS('Cutters Consumption Updates'!$F:$F,'Cutters Consumption Updates'!$G:$G,"NEW",'Cutters Consumption Updates'!$J:$J,Table7[[#This Row],[PO'#]],'Cutters Consumption Updates'!$B:$B,Table7[[#This Row],[Cutter Mat'#]]))</f>
        <v>0</v>
      </c>
      <c r="J722" s="294">
        <f>F722-I722</f>
        <v>20</v>
      </c>
    </row>
    <row r="723" spans="2:11" ht="15.5" x14ac:dyDescent="0.25">
      <c r="B723" s="364" t="s">
        <v>266</v>
      </c>
      <c r="C723" s="364"/>
      <c r="D723" s="364" t="s">
        <v>1039</v>
      </c>
      <c r="E723" s="715">
        <v>649901</v>
      </c>
      <c r="F723" s="8">
        <v>50</v>
      </c>
      <c r="G723" s="716">
        <v>45979</v>
      </c>
      <c r="H723" s="364" t="s">
        <v>4074</v>
      </c>
      <c r="I723" s="715">
        <f>SUM(W723,SUMIFS('Cutters Consumption Updates'!$F:$F,'Cutters Consumption Updates'!$G:$G,"NEW",'Cutters Consumption Updates'!$J:$J,Table7[[#This Row],[PO'#]],'Cutters Consumption Updates'!$B:$B,Table7[[#This Row],[Cutter Mat'#]]))</f>
        <v>50</v>
      </c>
      <c r="J723" s="294">
        <f>F723-I723</f>
        <v>0</v>
      </c>
    </row>
    <row r="724" spans="2:11" ht="15.5" x14ac:dyDescent="0.25">
      <c r="B724" s="364">
        <v>1313</v>
      </c>
      <c r="C724" s="364" t="s">
        <v>253</v>
      </c>
      <c r="D724" s="364" t="s">
        <v>205</v>
      </c>
      <c r="E724" s="715">
        <v>1187117</v>
      </c>
      <c r="F724" s="8">
        <v>15</v>
      </c>
      <c r="G724" s="716">
        <v>45980</v>
      </c>
      <c r="H724" s="364" t="s">
        <v>4074</v>
      </c>
      <c r="I724" s="715">
        <f>SUM(W724,SUMIFS('Cutters Consumption Updates'!$F:$F,'Cutters Consumption Updates'!$G:$G,"NEW",'Cutters Consumption Updates'!$J:$J,Table7[[#This Row],[PO'#]],'Cutters Consumption Updates'!$B:$B,Table7[[#This Row],[Cutter Mat'#]]))</f>
        <v>15</v>
      </c>
      <c r="J724" s="294">
        <f>F724-I724</f>
        <v>0</v>
      </c>
    </row>
    <row r="725" spans="2:11" ht="15.5" x14ac:dyDescent="0.25">
      <c r="B725" s="364">
        <v>808</v>
      </c>
      <c r="C725" s="364" t="s">
        <v>231</v>
      </c>
      <c r="D725" s="364" t="s">
        <v>230</v>
      </c>
      <c r="E725" s="715">
        <v>1293118</v>
      </c>
      <c r="F725" s="715">
        <v>30</v>
      </c>
      <c r="G725" s="716">
        <v>45986</v>
      </c>
      <c r="H725" s="364" t="s">
        <v>4075</v>
      </c>
      <c r="I725" s="715">
        <f>SUM(W725,SUMIFS('Cutters Consumption Updates'!$F:$F,'Cutters Consumption Updates'!$G:$G,"NEW",'Cutters Consumption Updates'!$J:$J,Table7[[#This Row],[PO'#]],'Cutters Consumption Updates'!$B:$B,Table7[[#This Row],[Cutter Mat'#]]))</f>
        <v>0</v>
      </c>
      <c r="J725" s="715">
        <f>F725-I725</f>
        <v>30</v>
      </c>
      <c r="K725" s="28"/>
    </row>
    <row r="726" spans="2:11" ht="15.5" x14ac:dyDescent="0.25">
      <c r="B726" s="364">
        <v>1010</v>
      </c>
      <c r="C726" s="364" t="s">
        <v>253</v>
      </c>
      <c r="D726" s="364" t="s">
        <v>139</v>
      </c>
      <c r="E726" s="715">
        <v>1199261</v>
      </c>
      <c r="F726" s="715">
        <v>50</v>
      </c>
      <c r="G726" s="716">
        <v>45986</v>
      </c>
      <c r="H726" s="364" t="s">
        <v>4075</v>
      </c>
      <c r="I726" s="715">
        <f>SUM(W726,SUMIFS('Cutters Consumption Updates'!$F:$F,'Cutters Consumption Updates'!$G:$G,"NEW",'Cutters Consumption Updates'!$J:$J,Table7[[#This Row],[PO'#]],'Cutters Consumption Updates'!$B:$B,Table7[[#This Row],[Cutter Mat'#]]))</f>
        <v>0</v>
      </c>
      <c r="J726" s="715">
        <f t="shared" ref="J726:J732" si="24">F726-I726</f>
        <v>50</v>
      </c>
      <c r="K726" s="28"/>
    </row>
    <row r="727" spans="2:11" ht="15.5" x14ac:dyDescent="0.25">
      <c r="B727" s="364">
        <v>1010</v>
      </c>
      <c r="C727" s="364" t="s">
        <v>177</v>
      </c>
      <c r="D727" s="364" t="s">
        <v>242</v>
      </c>
      <c r="E727" s="715">
        <v>717748</v>
      </c>
      <c r="F727" s="715">
        <v>50</v>
      </c>
      <c r="G727" s="716">
        <v>45986</v>
      </c>
      <c r="H727" s="364" t="s">
        <v>4075</v>
      </c>
      <c r="I727" s="715">
        <f>SUM(W727,SUMIFS('Cutters Consumption Updates'!$F:$F,'Cutters Consumption Updates'!$G:$G,"NEW",'Cutters Consumption Updates'!$J:$J,Table7[[#This Row],[PO'#]],'Cutters Consumption Updates'!$B:$B,Table7[[#This Row],[Cutter Mat'#]]))</f>
        <v>0</v>
      </c>
      <c r="J727" s="715">
        <f t="shared" si="24"/>
        <v>50</v>
      </c>
      <c r="K727" s="28"/>
    </row>
    <row r="728" spans="2:11" ht="15.5" x14ac:dyDescent="0.25">
      <c r="B728" s="364">
        <v>1313</v>
      </c>
      <c r="C728" s="364" t="s">
        <v>177</v>
      </c>
      <c r="D728" s="364" t="s">
        <v>242</v>
      </c>
      <c r="E728" s="715">
        <v>871781</v>
      </c>
      <c r="F728" s="715">
        <v>100</v>
      </c>
      <c r="G728" s="716">
        <v>45986</v>
      </c>
      <c r="H728" s="364" t="s">
        <v>4075</v>
      </c>
      <c r="I728" s="715">
        <f>SUM(W728,SUMIFS('Cutters Consumption Updates'!$F:$F,'Cutters Consumption Updates'!$G:$G,"NEW",'Cutters Consumption Updates'!$J:$J,Table7[[#This Row],[PO'#]],'Cutters Consumption Updates'!$B:$B,Table7[[#This Row],[Cutter Mat'#]]))</f>
        <v>0</v>
      </c>
      <c r="J728" s="715">
        <f t="shared" si="24"/>
        <v>100</v>
      </c>
      <c r="K728" s="28"/>
    </row>
    <row r="729" spans="2:11" ht="15.5" x14ac:dyDescent="0.25">
      <c r="B729" s="364">
        <v>1313</v>
      </c>
      <c r="C729" s="364" t="s">
        <v>177</v>
      </c>
      <c r="D729" s="364" t="s">
        <v>111</v>
      </c>
      <c r="E729" s="715">
        <v>1146346</v>
      </c>
      <c r="F729" s="715">
        <v>75</v>
      </c>
      <c r="G729" s="716">
        <v>45986</v>
      </c>
      <c r="H729" s="364" t="s">
        <v>4075</v>
      </c>
      <c r="I729" s="715">
        <f>SUM(W729,SUMIFS('Cutters Consumption Updates'!$F:$F,'Cutters Consumption Updates'!$G:$G,"NEW",'Cutters Consumption Updates'!$J:$J,Table7[[#This Row],[PO'#]],'Cutters Consumption Updates'!$B:$B,Table7[[#This Row],[Cutter Mat'#]]))</f>
        <v>0</v>
      </c>
      <c r="J729" s="715">
        <f t="shared" si="24"/>
        <v>75</v>
      </c>
      <c r="K729" s="28"/>
    </row>
    <row r="730" spans="2:11" ht="15.5" x14ac:dyDescent="0.25">
      <c r="B730" s="364">
        <v>1313</v>
      </c>
      <c r="C730" s="364" t="s">
        <v>170</v>
      </c>
      <c r="D730" s="364" t="s">
        <v>207</v>
      </c>
      <c r="E730" s="715">
        <v>1282369</v>
      </c>
      <c r="F730" s="715">
        <v>50</v>
      </c>
      <c r="G730" s="716">
        <v>45986</v>
      </c>
      <c r="H730" s="364" t="s">
        <v>4075</v>
      </c>
      <c r="I730" s="715">
        <f>SUM(W730,SUMIFS('Cutters Consumption Updates'!$F:$F,'Cutters Consumption Updates'!$G:$G,"NEW",'Cutters Consumption Updates'!$J:$J,Table7[[#This Row],[PO'#]],'Cutters Consumption Updates'!$B:$B,Table7[[#This Row],[Cutter Mat'#]]))</f>
        <v>0</v>
      </c>
      <c r="J730" s="715">
        <f t="shared" si="24"/>
        <v>50</v>
      </c>
      <c r="K730" s="28"/>
    </row>
    <row r="731" spans="2:11" ht="15.5" x14ac:dyDescent="0.25">
      <c r="B731" s="364" t="s">
        <v>994</v>
      </c>
      <c r="C731" s="364" t="s">
        <v>243</v>
      </c>
      <c r="D731" s="364" t="s">
        <v>965</v>
      </c>
      <c r="E731" s="715">
        <v>653400</v>
      </c>
      <c r="F731" s="715">
        <v>25</v>
      </c>
      <c r="G731" s="716">
        <v>45986</v>
      </c>
      <c r="H731" s="364" t="s">
        <v>4075</v>
      </c>
      <c r="I731" s="715">
        <f>SUM(W731,SUMIFS('Cutters Consumption Updates'!$F:$F,'Cutters Consumption Updates'!$G:$G,"NEW",'Cutters Consumption Updates'!$J:$J,Table7[[#This Row],[PO'#]],'Cutters Consumption Updates'!$B:$B,Table7[[#This Row],[Cutter Mat'#]]))</f>
        <v>0</v>
      </c>
      <c r="J731" s="715">
        <f t="shared" si="24"/>
        <v>25</v>
      </c>
      <c r="K731" s="28"/>
    </row>
    <row r="732" spans="2:11" ht="15.5" x14ac:dyDescent="0.25">
      <c r="B732" s="364" t="s">
        <v>38</v>
      </c>
      <c r="C732" s="364" t="s">
        <v>151</v>
      </c>
      <c r="D732" s="364" t="s">
        <v>149</v>
      </c>
      <c r="E732" s="715">
        <v>1078377</v>
      </c>
      <c r="F732" s="715">
        <v>100</v>
      </c>
      <c r="G732" s="716">
        <v>45986</v>
      </c>
      <c r="H732" s="364" t="s">
        <v>4075</v>
      </c>
      <c r="I732" s="715">
        <f>SUM(W732,SUMIFS('Cutters Consumption Updates'!$F:$F,'Cutters Consumption Updates'!$G:$G,"NEW",'Cutters Consumption Updates'!$J:$J,Table7[[#This Row],[PO'#]],'Cutters Consumption Updates'!$B:$B,Table7[[#This Row],[Cutter Mat'#]]))</f>
        <v>0</v>
      </c>
      <c r="J732" s="715">
        <f t="shared" si="24"/>
        <v>100</v>
      </c>
      <c r="K732" s="28"/>
    </row>
    <row r="733" spans="2:11" ht="15.5" x14ac:dyDescent="0.25">
      <c r="B733" s="364">
        <v>1613</v>
      </c>
      <c r="C733" s="364" t="s">
        <v>253</v>
      </c>
      <c r="D733" s="364" t="s">
        <v>235</v>
      </c>
      <c r="E733" s="715">
        <v>2024640</v>
      </c>
      <c r="F733" s="8">
        <v>30</v>
      </c>
      <c r="G733" s="716">
        <v>45986</v>
      </c>
      <c r="H733" s="364" t="s">
        <v>4075</v>
      </c>
      <c r="I733" s="739">
        <f>SUM(W733,SUMIFS('Cutters Consumption Updates'!$F:$F,'Cutters Consumption Updates'!$G:$G,"NEW",'Cutters Consumption Updates'!$J:$J,Table7[[#This Row],[PO'#]],'Cutters Consumption Updates'!$B:$B,Table7[[#This Row],[Cutter Mat'#]]))</f>
        <v>30</v>
      </c>
      <c r="J733" s="294">
        <f>F733-I733</f>
        <v>0</v>
      </c>
    </row>
    <row r="734" spans="2:11" ht="15.5" x14ac:dyDescent="0.25">
      <c r="B734" s="741">
        <v>1913</v>
      </c>
      <c r="C734" s="741" t="s">
        <v>111</v>
      </c>
      <c r="D734" s="741" t="s">
        <v>177</v>
      </c>
      <c r="E734" s="294">
        <v>1146738</v>
      </c>
      <c r="F734" s="8">
        <v>30</v>
      </c>
      <c r="G734" s="716">
        <v>45986</v>
      </c>
      <c r="H734" s="364" t="s">
        <v>4075</v>
      </c>
      <c r="I734" s="739">
        <f>SUM(W734,SUMIFS('Cutters Consumption Updates'!$F:$F,'Cutters Consumption Updates'!$G:$G,"NEW",'Cutters Consumption Updates'!$J:$J,Table7[[#This Row],[PO'#]],'Cutters Consumption Updates'!$B:$B,Table7[[#This Row],[Cutter Mat'#]]))</f>
        <v>0</v>
      </c>
      <c r="J734" s="294">
        <f>F734-I734</f>
        <v>30</v>
      </c>
    </row>
    <row r="735" spans="2:11" ht="15.5" x14ac:dyDescent="0.25">
      <c r="B735" s="741">
        <v>1313</v>
      </c>
      <c r="C735" s="741" t="s">
        <v>222</v>
      </c>
      <c r="D735" s="741" t="s">
        <v>177</v>
      </c>
      <c r="E735" s="294">
        <v>1272937</v>
      </c>
      <c r="F735" s="8">
        <v>75</v>
      </c>
      <c r="G735" s="716">
        <v>45986</v>
      </c>
      <c r="H735" s="364" t="s">
        <v>4075</v>
      </c>
      <c r="I735" s="739">
        <f>SUM(W735,SUMIFS('Cutters Consumption Updates'!$F:$F,'Cutters Consumption Updates'!$G:$G,"NEW",'Cutters Consumption Updates'!$J:$J,Table7[[#This Row],[PO'#]],'Cutters Consumption Updates'!$B:$B,Table7[[#This Row],[Cutter Mat'#]]))</f>
        <v>0</v>
      </c>
      <c r="J735" s="294">
        <f t="shared" ref="J735:J749" si="25">F735-I735</f>
        <v>75</v>
      </c>
    </row>
    <row r="736" spans="2:11" ht="15.5" x14ac:dyDescent="0.25">
      <c r="B736" s="364">
        <v>1613</v>
      </c>
      <c r="C736" s="364" t="s">
        <v>227</v>
      </c>
      <c r="D736" s="364" t="s">
        <v>109</v>
      </c>
      <c r="E736" s="294">
        <v>2001657</v>
      </c>
      <c r="F736" s="8">
        <v>40</v>
      </c>
      <c r="G736" s="716">
        <v>45978</v>
      </c>
      <c r="H736" s="364" t="s">
        <v>4074</v>
      </c>
      <c r="I736" s="739">
        <f>SUM(W736,SUMIFS('Cutters Consumption Updates'!$F:$F,'Cutters Consumption Updates'!$G:$G,"NEW",'Cutters Consumption Updates'!$J:$J,Table7[[#This Row],[PO'#]],'Cutters Consumption Updates'!$B:$B,Table7[[#This Row],[Cutter Mat'#]]))</f>
        <v>40</v>
      </c>
      <c r="J736" s="294">
        <f t="shared" si="25"/>
        <v>0</v>
      </c>
    </row>
    <row r="737" spans="2:10" ht="15.5" x14ac:dyDescent="0.25">
      <c r="B737" s="364" t="s">
        <v>4425</v>
      </c>
      <c r="C737" s="364"/>
      <c r="D737" s="364"/>
      <c r="E737" s="294">
        <v>2004484</v>
      </c>
      <c r="F737" s="8">
        <v>50</v>
      </c>
      <c r="G737" s="716">
        <v>46000</v>
      </c>
      <c r="H737" s="364" t="s">
        <v>4426</v>
      </c>
      <c r="I737" s="739">
        <f>SUM(W737,SUMIFS('Cutters Consumption Updates'!$F:$F,'Cutters Consumption Updates'!$G:$G,"NEW",'Cutters Consumption Updates'!$J:$J,Table7[[#This Row],[PO'#]],'Cutters Consumption Updates'!$B:$B,Table7[[#This Row],[Cutter Mat'#]]))</f>
        <v>0</v>
      </c>
      <c r="J737" s="294">
        <f t="shared" si="25"/>
        <v>50</v>
      </c>
    </row>
    <row r="738" spans="2:10" ht="15.5" x14ac:dyDescent="0.25">
      <c r="B738" s="364" t="s">
        <v>4427</v>
      </c>
      <c r="C738" s="364"/>
      <c r="D738" s="364"/>
      <c r="E738" s="294">
        <v>2002299</v>
      </c>
      <c r="F738" s="8">
        <v>150</v>
      </c>
      <c r="G738" s="716">
        <v>46000</v>
      </c>
      <c r="H738" s="364" t="s">
        <v>4426</v>
      </c>
      <c r="I738" s="739">
        <f>SUM(W738,SUMIFS('Cutters Consumption Updates'!$F:$F,'Cutters Consumption Updates'!$G:$G,"NEW",'Cutters Consumption Updates'!$J:$J,Table7[[#This Row],[PO'#]],'Cutters Consumption Updates'!$B:$B,Table7[[#This Row],[Cutter Mat'#]]))</f>
        <v>0</v>
      </c>
      <c r="J738" s="294">
        <f t="shared" si="25"/>
        <v>150</v>
      </c>
    </row>
    <row r="739" spans="2:10" ht="15.5" x14ac:dyDescent="0.25">
      <c r="B739" s="364" t="s">
        <v>4428</v>
      </c>
      <c r="C739" s="364"/>
      <c r="D739" s="364"/>
      <c r="E739" s="304">
        <v>871781</v>
      </c>
      <c r="F739" s="8">
        <v>200</v>
      </c>
      <c r="G739" s="716">
        <v>46000</v>
      </c>
      <c r="H739" s="364" t="s">
        <v>4426</v>
      </c>
      <c r="I739" s="739">
        <f>SUM(W739,SUMIFS('Cutters Consumption Updates'!$F:$F,'Cutters Consumption Updates'!$G:$G,"NEW",'Cutters Consumption Updates'!$J:$J,Table7[[#This Row],[PO'#]],'Cutters Consumption Updates'!$B:$B,Table7[[#This Row],[Cutter Mat'#]]))</f>
        <v>0</v>
      </c>
      <c r="J739" s="294">
        <f t="shared" si="25"/>
        <v>200</v>
      </c>
    </row>
    <row r="740" spans="2:10" ht="15.5" x14ac:dyDescent="0.25">
      <c r="B740" s="364" t="s">
        <v>4429</v>
      </c>
      <c r="C740" s="364"/>
      <c r="D740" s="364"/>
      <c r="E740" s="294">
        <v>1201518</v>
      </c>
      <c r="F740" s="8">
        <v>100</v>
      </c>
      <c r="G740" s="716">
        <v>46000</v>
      </c>
      <c r="H740" s="364" t="s">
        <v>4426</v>
      </c>
      <c r="I740" s="739">
        <f>SUM(W740,SUMIFS('Cutters Consumption Updates'!$F:$F,'Cutters Consumption Updates'!$G:$G,"NEW",'Cutters Consumption Updates'!$J:$J,Table7[[#This Row],[PO'#]],'Cutters Consumption Updates'!$B:$B,Table7[[#This Row],[Cutter Mat'#]]))</f>
        <v>0</v>
      </c>
      <c r="J740" s="294">
        <f t="shared" si="25"/>
        <v>100</v>
      </c>
    </row>
    <row r="741" spans="2:10" ht="15.5" x14ac:dyDescent="0.25">
      <c r="B741" s="364" t="s">
        <v>4430</v>
      </c>
      <c r="C741" s="364"/>
      <c r="D741" s="364"/>
      <c r="E741" s="294">
        <v>1228502</v>
      </c>
      <c r="F741" s="8">
        <v>200</v>
      </c>
      <c r="G741" s="716">
        <v>46000</v>
      </c>
      <c r="H741" s="364" t="s">
        <v>4426</v>
      </c>
      <c r="I741" s="739">
        <f>SUM(W741,SUMIFS('Cutters Consumption Updates'!$F:$F,'Cutters Consumption Updates'!$G:$G,"NEW",'Cutters Consumption Updates'!$J:$J,Table7[[#This Row],[PO'#]],'Cutters Consumption Updates'!$B:$B,Table7[[#This Row],[Cutter Mat'#]]))</f>
        <v>0</v>
      </c>
      <c r="J741" s="294">
        <f t="shared" si="25"/>
        <v>200</v>
      </c>
    </row>
    <row r="742" spans="2:10" ht="15.5" x14ac:dyDescent="0.25">
      <c r="B742" s="364" t="s">
        <v>4431</v>
      </c>
      <c r="C742" s="364"/>
      <c r="D742" s="364"/>
      <c r="E742" s="294">
        <v>1228503</v>
      </c>
      <c r="F742" s="8">
        <v>200</v>
      </c>
      <c r="G742" s="716">
        <v>46000</v>
      </c>
      <c r="H742" s="364" t="s">
        <v>4426</v>
      </c>
      <c r="I742" s="739">
        <f>SUM(W742,SUMIFS('Cutters Consumption Updates'!$F:$F,'Cutters Consumption Updates'!$G:$G,"NEW",'Cutters Consumption Updates'!$J:$J,Table7[[#This Row],[PO'#]],'Cutters Consumption Updates'!$B:$B,Table7[[#This Row],[Cutter Mat'#]]))</f>
        <v>0</v>
      </c>
      <c r="J742" s="294">
        <f t="shared" si="25"/>
        <v>200</v>
      </c>
    </row>
    <row r="743" spans="2:10" ht="15.5" x14ac:dyDescent="0.25">
      <c r="B743" s="364" t="s">
        <v>4432</v>
      </c>
      <c r="C743" s="364"/>
      <c r="D743" s="364"/>
      <c r="E743" s="294">
        <v>1220554</v>
      </c>
      <c r="F743" s="8">
        <v>200</v>
      </c>
      <c r="G743" s="716">
        <v>46000</v>
      </c>
      <c r="H743" s="364" t="s">
        <v>4426</v>
      </c>
      <c r="I743" s="739">
        <f>SUM(W743,SUMIFS('Cutters Consumption Updates'!$F:$F,'Cutters Consumption Updates'!$G:$G,"NEW",'Cutters Consumption Updates'!$J:$J,Table7[[#This Row],[PO'#]],'Cutters Consumption Updates'!$B:$B,Table7[[#This Row],[Cutter Mat'#]]))</f>
        <v>0</v>
      </c>
      <c r="J743" s="294">
        <f t="shared" si="25"/>
        <v>200</v>
      </c>
    </row>
    <row r="744" spans="2:10" ht="15.5" x14ac:dyDescent="0.25">
      <c r="B744" s="364" t="s">
        <v>4433</v>
      </c>
      <c r="C744" s="364"/>
      <c r="D744" s="364"/>
      <c r="E744" s="294">
        <v>1228501</v>
      </c>
      <c r="F744" s="8">
        <v>200</v>
      </c>
      <c r="G744" s="716">
        <v>46000</v>
      </c>
      <c r="H744" s="364" t="s">
        <v>4426</v>
      </c>
      <c r="I744" s="739">
        <f>SUM(W744,SUMIFS('Cutters Consumption Updates'!$F:$F,'Cutters Consumption Updates'!$G:$G,"NEW",'Cutters Consumption Updates'!$J:$J,Table7[[#This Row],[PO'#]],'Cutters Consumption Updates'!$B:$B,Table7[[#This Row],[Cutter Mat'#]]))</f>
        <v>0</v>
      </c>
      <c r="J744" s="294">
        <f t="shared" si="25"/>
        <v>200</v>
      </c>
    </row>
    <row r="745" spans="2:10" ht="15.5" x14ac:dyDescent="0.25">
      <c r="B745" s="364" t="s">
        <v>4434</v>
      </c>
      <c r="C745" s="364"/>
      <c r="D745" s="364"/>
      <c r="E745" s="294">
        <v>1146737</v>
      </c>
      <c r="F745" s="8">
        <v>300</v>
      </c>
      <c r="G745" s="716">
        <v>46000</v>
      </c>
      <c r="H745" s="364" t="s">
        <v>4426</v>
      </c>
      <c r="I745" s="739">
        <f>SUM(W745,SUMIFS('Cutters Consumption Updates'!$F:$F,'Cutters Consumption Updates'!$G:$G,"NEW",'Cutters Consumption Updates'!$J:$J,Table7[[#This Row],[PO'#]],'Cutters Consumption Updates'!$B:$B,Table7[[#This Row],[Cutter Mat'#]]))</f>
        <v>0</v>
      </c>
      <c r="J745" s="294">
        <f t="shared" si="25"/>
        <v>300</v>
      </c>
    </row>
    <row r="746" spans="2:10" ht="15.5" x14ac:dyDescent="0.25">
      <c r="B746" s="801" t="s">
        <v>4435</v>
      </c>
      <c r="C746" s="801"/>
      <c r="D746" s="801"/>
      <c r="E746" s="294">
        <v>1282370</v>
      </c>
      <c r="F746" s="802">
        <v>15</v>
      </c>
      <c r="G746" s="803">
        <v>46000</v>
      </c>
      <c r="H746" s="804" t="s">
        <v>4426</v>
      </c>
      <c r="I746" s="739">
        <f>SUM(W746,SUMIFS('Cutters Consumption Updates'!$F:$F,'Cutters Consumption Updates'!$G:$G,"NEW",'Cutters Consumption Updates'!$J:$J,Table7[[#This Row],[PO'#]],'Cutters Consumption Updates'!$B:$B,Table7[[#This Row],[Cutter Mat'#]]))</f>
        <v>0</v>
      </c>
      <c r="J746" s="294">
        <f t="shared" si="25"/>
        <v>15</v>
      </c>
    </row>
    <row r="747" spans="2:10" ht="15.5" x14ac:dyDescent="0.25">
      <c r="B747" s="801" t="s">
        <v>4436</v>
      </c>
      <c r="C747" s="801"/>
      <c r="D747" s="801"/>
      <c r="E747" s="294">
        <v>2024642</v>
      </c>
      <c r="F747" s="802">
        <v>50</v>
      </c>
      <c r="G747" s="803">
        <v>46000</v>
      </c>
      <c r="H747" s="804" t="s">
        <v>4426</v>
      </c>
      <c r="I747" s="739">
        <f>SUM(W747,SUMIFS('Cutters Consumption Updates'!$F:$F,'Cutters Consumption Updates'!$G:$G,"NEW",'Cutters Consumption Updates'!$J:$J,Table7[[#This Row],[PO'#]],'Cutters Consumption Updates'!$B:$B,Table7[[#This Row],[Cutter Mat'#]]))</f>
        <v>0</v>
      </c>
      <c r="J747" s="294">
        <f t="shared" si="25"/>
        <v>50</v>
      </c>
    </row>
    <row r="748" spans="2:10" ht="15.5" x14ac:dyDescent="0.25">
      <c r="B748" s="364"/>
      <c r="C748" s="364"/>
      <c r="D748" s="364"/>
      <c r="E748" s="294">
        <v>1232092</v>
      </c>
      <c r="F748" s="8">
        <v>100</v>
      </c>
      <c r="G748" s="716">
        <v>46000</v>
      </c>
      <c r="H748" s="364" t="s">
        <v>4529</v>
      </c>
      <c r="I748" s="739">
        <f>SUM(W748,SUMIFS('Cutters Consumption Updates'!$F:$F,'Cutters Consumption Updates'!$G:$G,"NEW",'Cutters Consumption Updates'!$J:$J,Table7[[#This Row],[PO'#]],'Cutters Consumption Updates'!$B:$B,Table7[[#This Row],[Cutter Mat'#]]))</f>
        <v>0</v>
      </c>
      <c r="J748" s="294">
        <f t="shared" si="25"/>
        <v>100</v>
      </c>
    </row>
    <row r="749" spans="2:10" ht="15.5" x14ac:dyDescent="0.25">
      <c r="B749" s="801">
        <v>1218</v>
      </c>
      <c r="C749" s="801"/>
      <c r="D749" s="364" t="s">
        <v>1038</v>
      </c>
      <c r="E749" s="294">
        <v>1192902</v>
      </c>
      <c r="F749" s="8">
        <v>50</v>
      </c>
      <c r="G749" s="716">
        <v>45995</v>
      </c>
      <c r="H749" s="364" t="s">
        <v>4437</v>
      </c>
      <c r="I749" s="805">
        <f>SUM(W749,SUMIFS('Cutters Consumption Updates'!$F:$F,'Cutters Consumption Updates'!$G:$G,"NEW",'Cutters Consumption Updates'!$J:$J,Table7[[#This Row],[PO'#]],'Cutters Consumption Updates'!$B:$B,Table7[[#This Row],[Cutter Mat'#]]))</f>
        <v>0</v>
      </c>
      <c r="J749" s="294">
        <f t="shared" si="25"/>
        <v>50</v>
      </c>
    </row>
    <row r="750" spans="2:10" ht="15.5" x14ac:dyDescent="0.25">
      <c r="B750" s="801">
        <v>1308</v>
      </c>
      <c r="C750" s="801" t="s">
        <v>65</v>
      </c>
      <c r="D750" s="364" t="s">
        <v>71</v>
      </c>
      <c r="E750" s="294">
        <v>418525</v>
      </c>
      <c r="F750" s="8">
        <v>150</v>
      </c>
      <c r="G750" s="716">
        <v>46017</v>
      </c>
      <c r="H750" s="364" t="s">
        <v>4530</v>
      </c>
      <c r="I750" s="805">
        <f>SUM(W750,SUMIFS('Cutters Consumption Updates'!$F:$F,'Cutters Consumption Updates'!$G:$G,"NEW",'Cutters Consumption Updates'!$J:$J,Table7[[#This Row],[PO'#]],'Cutters Consumption Updates'!$B:$B,Table7[[#This Row],[Cutter Mat'#]]))</f>
        <v>0</v>
      </c>
      <c r="J750" s="294">
        <f>F750-I750</f>
        <v>150</v>
      </c>
    </row>
    <row r="751" spans="2:10" ht="15.5" x14ac:dyDescent="0.25">
      <c r="B751" s="364"/>
      <c r="C751" s="364"/>
      <c r="D751" s="364"/>
      <c r="E751" s="304"/>
      <c r="F751" s="8"/>
      <c r="G751" s="476"/>
      <c r="H751" s="303"/>
      <c r="I751" s="294"/>
      <c r="J751" s="294">
        <f>SUBTOTAL(109,Table7[Balance])</f>
        <v>2695</v>
      </c>
    </row>
    <row r="753" spans="7:7" x14ac:dyDescent="0.25">
      <c r="G753"/>
    </row>
    <row r="754" spans="7:7" x14ac:dyDescent="0.25">
      <c r="G754"/>
    </row>
    <row r="755" spans="7:7" x14ac:dyDescent="0.25">
      <c r="G755"/>
    </row>
    <row r="756" spans="7:7" x14ac:dyDescent="0.25">
      <c r="G756"/>
    </row>
    <row r="757" spans="7:7" x14ac:dyDescent="0.25">
      <c r="G757"/>
    </row>
    <row r="758" spans="7:7" x14ac:dyDescent="0.25">
      <c r="G758"/>
    </row>
    <row r="759" spans="7:7" x14ac:dyDescent="0.25">
      <c r="G759"/>
    </row>
    <row r="760" spans="7:7" x14ac:dyDescent="0.25">
      <c r="G760"/>
    </row>
    <row r="761" spans="7:7" x14ac:dyDescent="0.25">
      <c r="G761"/>
    </row>
    <row r="762" spans="7:7" x14ac:dyDescent="0.25">
      <c r="G762"/>
    </row>
    <row r="763" spans="7:7" x14ac:dyDescent="0.25">
      <c r="G763"/>
    </row>
    <row r="764" spans="7:7" x14ac:dyDescent="0.25">
      <c r="G764"/>
    </row>
    <row r="765" spans="7:7" x14ac:dyDescent="0.25">
      <c r="G765"/>
    </row>
    <row r="766" spans="7:7" x14ac:dyDescent="0.25">
      <c r="G766"/>
    </row>
    <row r="767" spans="7:7" x14ac:dyDescent="0.25">
      <c r="G767"/>
    </row>
    <row r="768" spans="7:7" x14ac:dyDescent="0.25">
      <c r="G768"/>
    </row>
    <row r="769" spans="1:19" x14ac:dyDescent="0.25">
      <c r="G769"/>
    </row>
    <row r="770" spans="1:19" x14ac:dyDescent="0.25">
      <c r="G770"/>
    </row>
    <row r="771" spans="1:19" x14ac:dyDescent="0.25">
      <c r="G771"/>
    </row>
    <row r="772" spans="1:19" x14ac:dyDescent="0.25">
      <c r="G772"/>
    </row>
    <row r="773" spans="1:19" x14ac:dyDescent="0.25">
      <c r="G773"/>
    </row>
    <row r="774" spans="1:19" s="247" customFormat="1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</row>
    <row r="775" spans="1:19" s="247" customFormat="1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</row>
    <row r="776" spans="1:19" s="247" customFormat="1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</row>
    <row r="777" spans="1:19" s="247" customFormat="1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</row>
    <row r="778" spans="1:19" s="247" customFormat="1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</row>
    <row r="779" spans="1:19" x14ac:dyDescent="0.25">
      <c r="G779"/>
    </row>
    <row r="780" spans="1:19" x14ac:dyDescent="0.25">
      <c r="G780"/>
    </row>
    <row r="781" spans="1:19" x14ac:dyDescent="0.25">
      <c r="G781"/>
    </row>
    <row r="782" spans="1:19" x14ac:dyDescent="0.25">
      <c r="G782"/>
    </row>
    <row r="783" spans="1:19" x14ac:dyDescent="0.25">
      <c r="G783"/>
    </row>
    <row r="784" spans="1:19" x14ac:dyDescent="0.25">
      <c r="G784"/>
    </row>
    <row r="785" spans="7:7" x14ac:dyDescent="0.25">
      <c r="G785"/>
    </row>
    <row r="786" spans="7:7" x14ac:dyDescent="0.25">
      <c r="G786"/>
    </row>
    <row r="787" spans="7:7" x14ac:dyDescent="0.25">
      <c r="G787"/>
    </row>
    <row r="788" spans="7:7" x14ac:dyDescent="0.25">
      <c r="G788"/>
    </row>
    <row r="789" spans="7:7" x14ac:dyDescent="0.25">
      <c r="G789"/>
    </row>
    <row r="790" spans="7:7" x14ac:dyDescent="0.25">
      <c r="G790"/>
    </row>
    <row r="791" spans="7:7" x14ac:dyDescent="0.25">
      <c r="G791"/>
    </row>
    <row r="792" spans="7:7" x14ac:dyDescent="0.25">
      <c r="G792"/>
    </row>
    <row r="793" spans="7:7" x14ac:dyDescent="0.25">
      <c r="G793"/>
    </row>
    <row r="794" spans="7:7" x14ac:dyDescent="0.25">
      <c r="G794"/>
    </row>
    <row r="795" spans="7:7" x14ac:dyDescent="0.25">
      <c r="G795"/>
    </row>
    <row r="796" spans="7:7" x14ac:dyDescent="0.25">
      <c r="G796"/>
    </row>
    <row r="797" spans="7:7" x14ac:dyDescent="0.25">
      <c r="G797"/>
    </row>
    <row r="798" spans="7:7" x14ac:dyDescent="0.25">
      <c r="G798"/>
    </row>
    <row r="799" spans="7:7" x14ac:dyDescent="0.25">
      <c r="G799"/>
    </row>
    <row r="800" spans="7:7" x14ac:dyDescent="0.25">
      <c r="G800"/>
    </row>
    <row r="801" spans="7:7" x14ac:dyDescent="0.25">
      <c r="G801"/>
    </row>
    <row r="802" spans="7:7" x14ac:dyDescent="0.25">
      <c r="G802"/>
    </row>
    <row r="803" spans="7:7" x14ac:dyDescent="0.25">
      <c r="G803"/>
    </row>
    <row r="804" spans="7:7" x14ac:dyDescent="0.25">
      <c r="G804"/>
    </row>
  </sheetData>
  <autoFilter ref="V1:W496" xr:uid="{00000000-0009-0000-0000-000007000000}"/>
  <mergeCells count="1">
    <mergeCell ref="Q1:S1"/>
  </mergeCells>
  <phoneticPr fontId="21" type="noConversion"/>
  <conditionalFormatting sqref="E703:E720">
    <cfRule type="duplicateValues" dxfId="568" priority="4"/>
  </conditionalFormatting>
  <conditionalFormatting sqref="E721:E736">
    <cfRule type="duplicateValues" dxfId="567" priority="3"/>
  </conditionalFormatting>
  <conditionalFormatting sqref="E737:E738 E740:E741">
    <cfRule type="duplicateValues" dxfId="566" priority="1"/>
  </conditionalFormatting>
  <conditionalFormatting sqref="E751:E752 E703:E723">
    <cfRule type="duplicateValues" dxfId="565" priority="12650"/>
  </conditionalFormatting>
  <conditionalFormatting sqref="E751:E752">
    <cfRule type="duplicateValues" dxfId="564" priority="12648"/>
  </conditionalFormatting>
  <conditionalFormatting sqref="H2:H543 H545:H563">
    <cfRule type="cellIs" dxfId="563" priority="30" stopIfTrue="1" operator="equal">
      <formula>0</formula>
    </cfRule>
  </conditionalFormatting>
  <conditionalFormatting sqref="N737:N743">
    <cfRule type="duplicateValues" dxfId="562" priority="2"/>
  </conditionalFormatting>
  <conditionalFormatting sqref="N805:N1048576 N557:N736 N1:N5 N18:N477 N751:N752">
    <cfRule type="duplicateValues" dxfId="561" priority="6772"/>
  </conditionalFormatting>
  <pageMargins left="0.7" right="0.7" top="0.75" bottom="0.75" header="0.3" footer="0.3"/>
  <pageSetup orientation="portrait" horizontalDpi="4294967293" verticalDpi="4294967293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6" filterMode="1">
    <tabColor rgb="FF7030A0"/>
  </sheetPr>
  <dimension ref="A1:AZ6474"/>
  <sheetViews>
    <sheetView zoomScale="60" zoomScaleNormal="60" workbookViewId="0">
      <pane ySplit="1" topLeftCell="A6431" activePane="bottomLeft" state="frozen"/>
      <selection activeCell="E1" sqref="E1"/>
      <selection pane="bottomLeft" activeCell="G6474" sqref="G6474"/>
    </sheetView>
  </sheetViews>
  <sheetFormatPr defaultRowHeight="15.5" x14ac:dyDescent="0.25"/>
  <cols>
    <col min="1" max="2" width="15.453125" customWidth="1"/>
    <col min="3" max="3" width="45.7265625" style="415" customWidth="1"/>
    <col min="4" max="4" width="25.453125" style="159" bestFit="1" customWidth="1"/>
    <col min="5" max="6" width="10.54296875" style="28" customWidth="1"/>
    <col min="7" max="7" width="53.54296875" customWidth="1"/>
    <col min="8" max="8" width="15.1796875" style="159" hidden="1" customWidth="1"/>
    <col min="9" max="9" width="32.26953125" style="159" hidden="1" customWidth="1"/>
    <col min="10" max="10" width="16.26953125" style="28" bestFit="1" customWidth="1"/>
    <col min="11" max="11" width="32.7265625" bestFit="1" customWidth="1"/>
    <col min="12" max="12" width="11.26953125" customWidth="1"/>
    <col min="13" max="13" width="32.7265625" bestFit="1" customWidth="1"/>
    <col min="17" max="17" width="12.26953125" style="1" customWidth="1"/>
    <col min="18" max="18" width="17.453125" style="1" customWidth="1"/>
    <col min="19" max="19" width="15.453125" style="1" customWidth="1"/>
    <col min="22" max="22" width="12.7265625" customWidth="1"/>
    <col min="23" max="23" width="17.7265625" style="4" bestFit="1" customWidth="1"/>
    <col min="24" max="24" width="28.26953125" style="1" customWidth="1"/>
    <col min="25" max="25" width="22.7265625" style="1" customWidth="1"/>
    <col min="26" max="26" width="20" style="1" customWidth="1"/>
    <col min="27" max="27" width="20.7265625" style="4" customWidth="1"/>
    <col min="34" max="34" width="12.54296875" bestFit="1" customWidth="1"/>
    <col min="41" max="41" width="21.54296875" bestFit="1" customWidth="1"/>
    <col min="44" max="44" width="25.1796875" customWidth="1"/>
    <col min="45" max="45" width="17.7265625" style="4" bestFit="1" customWidth="1"/>
    <col min="46" max="47" width="13.7265625" style="1" customWidth="1"/>
    <col min="48" max="48" width="13.7265625" style="8" customWidth="1"/>
    <col min="49" max="49" width="13.7265625" style="4" customWidth="1"/>
    <col min="50" max="51" width="13.7265625" style="1" customWidth="1"/>
    <col min="52" max="52" width="13.7265625" style="4" customWidth="1"/>
  </cols>
  <sheetData>
    <row r="1" spans="1:52" ht="50" x14ac:dyDescent="0.25">
      <c r="A1" s="307" t="s">
        <v>1040</v>
      </c>
      <c r="B1" s="331" t="s">
        <v>1041</v>
      </c>
      <c r="C1" s="411" t="s">
        <v>1042</v>
      </c>
      <c r="D1" s="731" t="s">
        <v>1043</v>
      </c>
      <c r="E1" s="331" t="s">
        <v>1044</v>
      </c>
      <c r="F1" s="331" t="s">
        <v>1045</v>
      </c>
      <c r="G1" s="330" t="s">
        <v>1046</v>
      </c>
      <c r="H1" s="426" t="s">
        <v>1047</v>
      </c>
      <c r="I1" s="426" t="s">
        <v>1048</v>
      </c>
      <c r="J1" s="373" t="s">
        <v>1049</v>
      </c>
      <c r="K1" s="248" t="s">
        <v>19</v>
      </c>
      <c r="L1" t="s">
        <v>1050</v>
      </c>
      <c r="M1" s="248" t="s">
        <v>1051</v>
      </c>
      <c r="N1">
        <f>SUM('Cutters Orders Updates'!J:J)/2</f>
        <v>2695</v>
      </c>
      <c r="P1" s="309" t="s">
        <v>856</v>
      </c>
      <c r="Q1" s="316" t="s">
        <v>1</v>
      </c>
      <c r="R1" s="318" t="s">
        <v>1052</v>
      </c>
      <c r="S1" s="317" t="s">
        <v>1053</v>
      </c>
      <c r="V1" s="309" t="s">
        <v>1054</v>
      </c>
      <c r="W1" s="393" t="s">
        <v>1</v>
      </c>
      <c r="X1" s="394" t="s">
        <v>1055</v>
      </c>
      <c r="Y1" s="394" t="s">
        <v>9</v>
      </c>
      <c r="Z1" s="394" t="s">
        <v>1056</v>
      </c>
      <c r="AA1" s="395" t="s">
        <v>1057</v>
      </c>
      <c r="AF1" t="s">
        <v>619</v>
      </c>
      <c r="AH1" s="578" t="s">
        <v>1058</v>
      </c>
      <c r="AR1" s="579" t="s">
        <v>1059</v>
      </c>
      <c r="AS1" s="112" t="s">
        <v>1</v>
      </c>
      <c r="AT1" s="572" t="s">
        <v>8</v>
      </c>
      <c r="AU1" s="117" t="s">
        <v>9</v>
      </c>
      <c r="AV1" s="571" t="s">
        <v>10</v>
      </c>
      <c r="AW1" s="117" t="s">
        <v>11</v>
      </c>
      <c r="AX1" s="118" t="s">
        <v>12</v>
      </c>
      <c r="AY1" s="572" t="s">
        <v>1060</v>
      </c>
      <c r="AZ1" s="117" t="s">
        <v>1061</v>
      </c>
    </row>
    <row r="2" spans="1:52" ht="31" x14ac:dyDescent="0.25">
      <c r="A2" s="308">
        <v>45189</v>
      </c>
      <c r="B2" s="305">
        <v>717748</v>
      </c>
      <c r="C2" s="412" t="str">
        <f>IFERROR(INDEX(Table14[],MATCH($B2,Table14[SAPNo],0),3),"")</f>
        <v>Round 1010 CT200  0.018" (B)</v>
      </c>
      <c r="D2" s="306"/>
      <c r="E2" s="305">
        <v>19</v>
      </c>
      <c r="F2" s="305"/>
      <c r="G2" s="306" t="s">
        <v>1062</v>
      </c>
      <c r="H2" s="306">
        <v>14012923</v>
      </c>
      <c r="I2" s="306" t="s">
        <v>1063</v>
      </c>
      <c r="J2" s="305"/>
      <c r="K2" s="248"/>
      <c r="M2" s="248"/>
      <c r="O2">
        <f>SUMIF(Table17[SAPNo],#REF!,Table17[Repair Stock])</f>
        <v>0</v>
      </c>
      <c r="Q2" s="310">
        <v>802065</v>
      </c>
      <c r="R2" s="10"/>
      <c r="S2" s="313">
        <v>0</v>
      </c>
      <c r="W2" s="42">
        <v>802065</v>
      </c>
      <c r="X2" s="116"/>
      <c r="Y2" s="116"/>
      <c r="Z2" s="116"/>
      <c r="AA2" s="391">
        <v>0</v>
      </c>
      <c r="AF2">
        <v>19</v>
      </c>
      <c r="AH2" s="572" t="s">
        <v>8</v>
      </c>
      <c r="AS2" s="2">
        <v>802065</v>
      </c>
      <c r="AT2" s="10"/>
      <c r="AU2" s="116"/>
      <c r="AV2" s="6">
        <v>0</v>
      </c>
      <c r="AW2" s="116">
        <v>13</v>
      </c>
      <c r="AX2" s="10">
        <v>0</v>
      </c>
      <c r="AY2" s="10"/>
      <c r="AZ2" s="116"/>
    </row>
    <row r="3" spans="1:52" ht="46.5" x14ac:dyDescent="0.25">
      <c r="A3" s="308">
        <v>45189</v>
      </c>
      <c r="B3" s="305">
        <v>717748</v>
      </c>
      <c r="C3" s="412" t="str">
        <f>IFERROR(INDEX(Table14[],MATCH($B3,Table14[SAPNo],0),3),"")</f>
        <v>Round 1010 CT200  0.018" (B)</v>
      </c>
      <c r="D3" s="306"/>
      <c r="E3" s="305">
        <v>19</v>
      </c>
      <c r="F3" s="305"/>
      <c r="G3" s="306" t="s">
        <v>1064</v>
      </c>
      <c r="H3" s="306">
        <v>14012919</v>
      </c>
      <c r="I3" s="306" t="s">
        <v>1063</v>
      </c>
      <c r="J3" s="305"/>
      <c r="K3" s="248"/>
      <c r="M3" s="248"/>
      <c r="Q3" s="310">
        <v>179692</v>
      </c>
      <c r="R3" s="10"/>
      <c r="S3" s="313">
        <v>0</v>
      </c>
      <c r="W3" s="42">
        <v>179692</v>
      </c>
      <c r="X3" s="116"/>
      <c r="Y3" s="116">
        <v>14</v>
      </c>
      <c r="Z3" s="116"/>
      <c r="AA3" s="391">
        <v>0</v>
      </c>
      <c r="AF3">
        <v>19</v>
      </c>
      <c r="AH3" s="117" t="s">
        <v>9</v>
      </c>
      <c r="AS3" s="2">
        <v>179692</v>
      </c>
      <c r="AT3" s="10"/>
      <c r="AU3" s="116">
        <v>12</v>
      </c>
      <c r="AV3" s="6">
        <v>0</v>
      </c>
      <c r="AW3" s="116">
        <v>0</v>
      </c>
      <c r="AX3" s="10">
        <v>0</v>
      </c>
      <c r="AY3" s="10">
        <v>2</v>
      </c>
      <c r="AZ3" s="116"/>
    </row>
    <row r="4" spans="1:52" ht="46.5" x14ac:dyDescent="0.25">
      <c r="A4" s="308">
        <v>45188</v>
      </c>
      <c r="B4" s="305">
        <v>717748</v>
      </c>
      <c r="C4" s="412" t="str">
        <f>IFERROR(INDEX(Table14[],MATCH($B4,Table14[SAPNo],0),3),"")</f>
        <v>Round 1010 CT200  0.018" (B)</v>
      </c>
      <c r="D4" s="306"/>
      <c r="E4" s="305">
        <v>1</v>
      </c>
      <c r="F4" s="305"/>
      <c r="G4" s="306" t="s">
        <v>1065</v>
      </c>
      <c r="H4" s="306">
        <v>13970758</v>
      </c>
      <c r="I4" s="306" t="s">
        <v>1063</v>
      </c>
      <c r="J4" s="305"/>
      <c r="K4" s="248"/>
      <c r="M4" s="248"/>
      <c r="Q4" s="310">
        <v>179694</v>
      </c>
      <c r="R4" s="10"/>
      <c r="S4" s="313">
        <v>0</v>
      </c>
      <c r="T4" t="s">
        <v>1066</v>
      </c>
      <c r="W4" s="42">
        <v>179694</v>
      </c>
      <c r="X4" s="116">
        <v>7</v>
      </c>
      <c r="Y4" s="116"/>
      <c r="Z4" s="116">
        <v>2</v>
      </c>
      <c r="AA4" s="391">
        <v>0</v>
      </c>
      <c r="AF4">
        <v>1</v>
      </c>
      <c r="AH4" s="571" t="s">
        <v>10</v>
      </c>
      <c r="AS4" s="2">
        <v>179694</v>
      </c>
      <c r="AT4" s="10">
        <v>0</v>
      </c>
      <c r="AU4" s="116">
        <v>8</v>
      </c>
      <c r="AV4" s="6">
        <v>0</v>
      </c>
      <c r="AW4" s="116">
        <v>0</v>
      </c>
      <c r="AX4" s="10">
        <v>0</v>
      </c>
      <c r="AY4" s="10">
        <v>1</v>
      </c>
      <c r="AZ4" s="116"/>
    </row>
    <row r="5" spans="1:52" ht="46.5" x14ac:dyDescent="0.25">
      <c r="A5" s="308">
        <v>45188</v>
      </c>
      <c r="B5" s="305">
        <v>717748</v>
      </c>
      <c r="C5" s="412" t="str">
        <f>IFERROR(INDEX(Table14[],MATCH($B5,Table14[SAPNo],0),3),"")</f>
        <v>Round 1010 CT200  0.018" (B)</v>
      </c>
      <c r="D5" s="306"/>
      <c r="E5" s="305">
        <v>4</v>
      </c>
      <c r="F5" s="305"/>
      <c r="G5" s="306" t="s">
        <v>1067</v>
      </c>
      <c r="H5" s="306" t="s">
        <v>1068</v>
      </c>
      <c r="I5" s="306" t="s">
        <v>1069</v>
      </c>
      <c r="J5" s="305"/>
      <c r="K5" s="248"/>
      <c r="M5" s="248"/>
      <c r="Q5" s="310">
        <v>179734</v>
      </c>
      <c r="R5" s="10">
        <v>35</v>
      </c>
      <c r="S5" s="313">
        <v>54</v>
      </c>
      <c r="W5" s="42">
        <v>179734</v>
      </c>
      <c r="X5" s="116"/>
      <c r="Y5" s="116"/>
      <c r="Z5" s="116"/>
      <c r="AA5" s="391">
        <v>9</v>
      </c>
      <c r="AF5">
        <v>4</v>
      </c>
      <c r="AH5" s="117" t="s">
        <v>11</v>
      </c>
      <c r="AS5" s="2">
        <v>179734</v>
      </c>
      <c r="AT5" s="10"/>
      <c r="AU5" s="116"/>
      <c r="AV5" s="6">
        <v>0</v>
      </c>
      <c r="AW5" s="116">
        <v>9</v>
      </c>
      <c r="AX5" s="10">
        <v>231</v>
      </c>
      <c r="AY5" s="10"/>
      <c r="AZ5" s="116"/>
    </row>
    <row r="6" spans="1:52" x14ac:dyDescent="0.25">
      <c r="A6" s="308">
        <v>45190</v>
      </c>
      <c r="B6" s="305">
        <v>1130198</v>
      </c>
      <c r="C6" s="412" t="str">
        <f>IFERROR(INDEX(Table14[],MATCH($B6,Table14[SAPNo],0),3),"")</f>
        <v>Round 1613 CT182  0.018" (S)</v>
      </c>
      <c r="D6" s="306"/>
      <c r="E6" s="305">
        <v>147</v>
      </c>
      <c r="F6" s="305"/>
      <c r="G6" s="306" t="s">
        <v>1070</v>
      </c>
      <c r="H6" s="306">
        <v>13970776</v>
      </c>
      <c r="I6" s="306" t="s">
        <v>1071</v>
      </c>
      <c r="J6" s="305"/>
      <c r="K6" s="248"/>
      <c r="M6" s="248"/>
      <c r="Q6" s="310">
        <v>179790</v>
      </c>
      <c r="R6" s="10"/>
      <c r="S6" s="313">
        <v>0</v>
      </c>
      <c r="W6" s="42">
        <v>179790</v>
      </c>
      <c r="X6" s="116">
        <v>23</v>
      </c>
      <c r="Y6" s="116"/>
      <c r="Z6" s="116">
        <v>1</v>
      </c>
      <c r="AA6" s="391">
        <v>0</v>
      </c>
      <c r="AF6">
        <v>147</v>
      </c>
      <c r="AH6" s="118" t="s">
        <v>12</v>
      </c>
      <c r="AS6" s="2">
        <v>179790</v>
      </c>
      <c r="AT6" s="10">
        <v>22</v>
      </c>
      <c r="AU6" s="116"/>
      <c r="AV6" s="6">
        <v>0</v>
      </c>
      <c r="AW6" s="116">
        <v>0</v>
      </c>
      <c r="AX6" s="10">
        <v>0</v>
      </c>
      <c r="AY6" s="10">
        <v>2</v>
      </c>
      <c r="AZ6" s="116"/>
    </row>
    <row r="7" spans="1:52" x14ac:dyDescent="0.25">
      <c r="A7" s="308">
        <v>45190</v>
      </c>
      <c r="B7" s="305">
        <v>418525</v>
      </c>
      <c r="C7" s="412" t="str">
        <f>IFERROR(INDEX(Table14[],MATCH($B7,Table14[SAPNo],0),3),"")</f>
        <v>Drop In 1308 CT31   (B)</v>
      </c>
      <c r="D7" s="306"/>
      <c r="E7" s="305">
        <v>8</v>
      </c>
      <c r="F7" s="305"/>
      <c r="G7" s="306" t="s">
        <v>1070</v>
      </c>
      <c r="H7" s="306">
        <v>13970776</v>
      </c>
      <c r="I7" s="306" t="s">
        <v>1071</v>
      </c>
      <c r="J7" s="305"/>
      <c r="K7" s="248"/>
      <c r="M7" s="248"/>
      <c r="Q7" s="310">
        <v>375538</v>
      </c>
      <c r="R7" s="10">
        <v>11</v>
      </c>
      <c r="S7" s="313">
        <v>0</v>
      </c>
      <c r="W7" s="42">
        <v>375538</v>
      </c>
      <c r="X7" s="116">
        <v>27</v>
      </c>
      <c r="Y7" s="116"/>
      <c r="Z7" s="116">
        <v>1</v>
      </c>
      <c r="AA7" s="391">
        <v>38</v>
      </c>
      <c r="AF7">
        <v>8</v>
      </c>
      <c r="AH7" t="s">
        <v>1072</v>
      </c>
      <c r="AS7" s="2">
        <v>375538</v>
      </c>
      <c r="AT7" s="10">
        <v>26</v>
      </c>
      <c r="AU7" s="116"/>
      <c r="AV7" s="6">
        <v>0</v>
      </c>
      <c r="AW7" s="116">
        <v>33</v>
      </c>
      <c r="AX7" s="10">
        <v>11</v>
      </c>
      <c r="AY7" s="10">
        <v>2</v>
      </c>
      <c r="AZ7" s="116"/>
    </row>
    <row r="8" spans="1:52" x14ac:dyDescent="0.25">
      <c r="A8" s="308">
        <v>45190</v>
      </c>
      <c r="B8" s="305">
        <v>1136984</v>
      </c>
      <c r="C8" s="412" t="str">
        <f>IFERROR(INDEX(Table14[],MATCH($B8,Table14[SAPNo],0),3),"")</f>
        <v>DBLMCHT 1313 CT182DM  10C (S)</v>
      </c>
      <c r="D8" s="306"/>
      <c r="E8" s="305">
        <v>13</v>
      </c>
      <c r="F8" s="305"/>
      <c r="G8" s="306" t="s">
        <v>1073</v>
      </c>
      <c r="H8" s="306">
        <v>14036270</v>
      </c>
      <c r="I8" s="306" t="s">
        <v>1074</v>
      </c>
      <c r="J8" s="305"/>
      <c r="K8" s="248"/>
      <c r="M8" s="248"/>
      <c r="Q8" s="310">
        <v>399930</v>
      </c>
      <c r="R8" s="10"/>
      <c r="S8" s="313">
        <v>1</v>
      </c>
      <c r="W8" s="42">
        <v>399930</v>
      </c>
      <c r="X8" s="116"/>
      <c r="Y8" s="116"/>
      <c r="Z8" s="116"/>
      <c r="AA8" s="391">
        <v>24</v>
      </c>
      <c r="AF8">
        <v>13</v>
      </c>
      <c r="AS8" s="2">
        <v>399930</v>
      </c>
      <c r="AT8" s="10"/>
      <c r="AU8" s="116"/>
      <c r="AV8" s="6">
        <v>0</v>
      </c>
      <c r="AW8" s="116">
        <v>24</v>
      </c>
      <c r="AX8" s="10">
        <v>1</v>
      </c>
      <c r="AY8" s="10"/>
      <c r="AZ8" s="116"/>
    </row>
    <row r="9" spans="1:52" x14ac:dyDescent="0.25">
      <c r="A9" s="308">
        <v>45190</v>
      </c>
      <c r="B9" s="305">
        <v>1100696</v>
      </c>
      <c r="C9" s="412" t="str">
        <f>IFERROR(INDEX(Table14[],MATCH($B9,Table14[SAPNo],0),3),"")</f>
        <v>Round 1313 CT418  10C (S)</v>
      </c>
      <c r="D9" s="306"/>
      <c r="E9" s="305">
        <v>3</v>
      </c>
      <c r="F9" s="305"/>
      <c r="G9" s="306" t="s">
        <v>1073</v>
      </c>
      <c r="H9" s="306">
        <v>14036270</v>
      </c>
      <c r="I9" s="306" t="s">
        <v>1074</v>
      </c>
      <c r="J9" s="305"/>
      <c r="K9" s="248"/>
      <c r="M9" s="248"/>
      <c r="Q9" s="310">
        <v>584832</v>
      </c>
      <c r="R9" s="10"/>
      <c r="S9" s="313">
        <v>19</v>
      </c>
      <c r="W9" s="42">
        <v>584832</v>
      </c>
      <c r="X9" s="116"/>
      <c r="Y9" s="116"/>
      <c r="Z9" s="116"/>
      <c r="AA9" s="391">
        <v>0</v>
      </c>
      <c r="AF9">
        <v>3</v>
      </c>
      <c r="AS9" s="2">
        <v>584832</v>
      </c>
      <c r="AT9" s="10"/>
      <c r="AU9" s="116"/>
      <c r="AV9" s="6">
        <v>0</v>
      </c>
      <c r="AW9" s="116">
        <v>0</v>
      </c>
      <c r="AX9" s="10">
        <v>19</v>
      </c>
      <c r="AY9" s="10"/>
      <c r="AZ9" s="116"/>
    </row>
    <row r="10" spans="1:52" x14ac:dyDescent="0.25">
      <c r="A10" s="308">
        <v>45190</v>
      </c>
      <c r="B10" s="305">
        <v>418525</v>
      </c>
      <c r="C10" s="412" t="str">
        <f>IFERROR(INDEX(Table14[],MATCH($B10,Table14[SAPNo],0),3),"")</f>
        <v>Drop In 1308 CT31   (B)</v>
      </c>
      <c r="D10" s="306"/>
      <c r="E10" s="305">
        <v>6</v>
      </c>
      <c r="F10" s="305"/>
      <c r="G10" s="306" t="s">
        <v>1073</v>
      </c>
      <c r="H10" s="306">
        <v>14036270</v>
      </c>
      <c r="I10" s="306" t="s">
        <v>1074</v>
      </c>
      <c r="J10" s="305"/>
      <c r="K10" s="248"/>
      <c r="M10" s="248"/>
      <c r="Q10" s="310">
        <v>467367</v>
      </c>
      <c r="R10" s="10"/>
      <c r="S10" s="313">
        <v>0</v>
      </c>
      <c r="W10" s="42">
        <v>467367</v>
      </c>
      <c r="X10" s="116"/>
      <c r="Y10" s="116"/>
      <c r="Z10" s="116"/>
      <c r="AA10" s="391">
        <v>12</v>
      </c>
      <c r="AF10">
        <v>6</v>
      </c>
      <c r="AS10" s="2">
        <v>467367</v>
      </c>
      <c r="AT10" s="10"/>
      <c r="AU10" s="116"/>
      <c r="AV10" s="6">
        <v>0</v>
      </c>
      <c r="AW10" s="116">
        <v>10</v>
      </c>
      <c r="AX10" s="10">
        <v>0</v>
      </c>
      <c r="AY10" s="10"/>
      <c r="AZ10" s="116"/>
    </row>
    <row r="11" spans="1:52" x14ac:dyDescent="0.25">
      <c r="A11" s="308">
        <v>45190</v>
      </c>
      <c r="B11" s="305">
        <v>1101509</v>
      </c>
      <c r="C11" s="412" t="str">
        <f>IFERROR(INDEX(Table14[],MATCH($B11,Table14[SAPNo],0),3),"")</f>
        <v>Short IA 8    (C)</v>
      </c>
      <c r="D11" s="306"/>
      <c r="E11" s="305">
        <v>5</v>
      </c>
      <c r="F11" s="305"/>
      <c r="G11" s="306" t="s">
        <v>1073</v>
      </c>
      <c r="H11" s="306">
        <v>14036270</v>
      </c>
      <c r="I11" s="306" t="s">
        <v>1074</v>
      </c>
      <c r="J11" s="248"/>
      <c r="K11" s="248"/>
      <c r="M11" s="248"/>
      <c r="Q11" s="310">
        <v>535656</v>
      </c>
      <c r="R11" s="10"/>
      <c r="S11" s="313">
        <v>37</v>
      </c>
      <c r="W11" s="42">
        <v>535656</v>
      </c>
      <c r="X11" s="116"/>
      <c r="Y11" s="116"/>
      <c r="Z11" s="116"/>
      <c r="AA11" s="391">
        <v>0</v>
      </c>
      <c r="AF11">
        <v>5</v>
      </c>
      <c r="AS11" s="2">
        <v>535656</v>
      </c>
      <c r="AT11" s="10"/>
      <c r="AU11" s="116"/>
      <c r="AV11" s="6">
        <v>0</v>
      </c>
      <c r="AW11" s="116">
        <v>0</v>
      </c>
      <c r="AX11" s="10">
        <v>35</v>
      </c>
      <c r="AY11" s="10"/>
      <c r="AZ11" s="116"/>
    </row>
    <row r="12" spans="1:52" x14ac:dyDescent="0.25">
      <c r="A12" s="308">
        <v>45190</v>
      </c>
      <c r="B12" s="305">
        <v>1104083</v>
      </c>
      <c r="C12" s="412" t="str">
        <f>IFERROR(INDEX(Table14[],MATCH($B12,Table14[SAPNo],0),3),"")</f>
        <v>1313 CT144H  10C (S)</v>
      </c>
      <c r="D12" s="306"/>
      <c r="E12" s="305">
        <v>1</v>
      </c>
      <c r="F12" s="305"/>
      <c r="G12" s="306" t="s">
        <v>1073</v>
      </c>
      <c r="H12" s="306">
        <v>14036270</v>
      </c>
      <c r="I12" s="306" t="s">
        <v>1074</v>
      </c>
      <c r="J12" s="248"/>
      <c r="K12" s="248"/>
      <c r="M12" s="248"/>
      <c r="Q12" s="310">
        <v>471108</v>
      </c>
      <c r="R12" s="10"/>
      <c r="S12" s="313">
        <v>0</v>
      </c>
      <c r="W12" s="42">
        <v>471108</v>
      </c>
      <c r="X12" s="116"/>
      <c r="Y12" s="116"/>
      <c r="Z12" s="116"/>
      <c r="AA12" s="391">
        <v>1</v>
      </c>
      <c r="AF12">
        <v>1</v>
      </c>
      <c r="AS12" s="2">
        <v>471108</v>
      </c>
      <c r="AT12" s="10"/>
      <c r="AU12" s="116"/>
      <c r="AV12" s="6">
        <v>0</v>
      </c>
      <c r="AW12" s="116">
        <v>1</v>
      </c>
      <c r="AX12" s="10">
        <v>0</v>
      </c>
      <c r="AY12" s="10"/>
      <c r="AZ12" s="116"/>
    </row>
    <row r="13" spans="1:52" x14ac:dyDescent="0.25">
      <c r="A13" s="308">
        <v>45190</v>
      </c>
      <c r="B13" s="305">
        <v>1238831</v>
      </c>
      <c r="C13" s="412" t="str">
        <f>IFERROR(INDEX(Table14[],MATCH($B13,Table14[SAPNo],0),3),"")</f>
        <v>1313 CT418 25-75</v>
      </c>
      <c r="D13" s="306"/>
      <c r="E13" s="305">
        <v>7</v>
      </c>
      <c r="F13" s="305"/>
      <c r="G13" s="306" t="s">
        <v>1073</v>
      </c>
      <c r="H13" s="306">
        <v>14036270</v>
      </c>
      <c r="I13" s="306" t="s">
        <v>1074</v>
      </c>
      <c r="J13" s="248"/>
      <c r="K13" s="248"/>
      <c r="M13" s="248"/>
      <c r="Q13" s="310">
        <v>471109</v>
      </c>
      <c r="R13" s="10"/>
      <c r="S13" s="313">
        <v>1</v>
      </c>
      <c r="W13" s="42">
        <v>471109</v>
      </c>
      <c r="X13" s="116"/>
      <c r="Y13" s="116"/>
      <c r="Z13" s="116"/>
      <c r="AA13" s="391">
        <v>42</v>
      </c>
      <c r="AF13">
        <v>7</v>
      </c>
      <c r="AS13" s="2">
        <v>471109</v>
      </c>
      <c r="AT13" s="10"/>
      <c r="AU13" s="116"/>
      <c r="AV13" s="6">
        <v>0</v>
      </c>
      <c r="AW13" s="116">
        <v>38</v>
      </c>
      <c r="AX13" s="10">
        <v>1</v>
      </c>
      <c r="AY13" s="10"/>
      <c r="AZ13" s="116"/>
    </row>
    <row r="14" spans="1:52" x14ac:dyDescent="0.25">
      <c r="A14" s="308">
        <v>45190</v>
      </c>
      <c r="B14" s="305">
        <v>1208601</v>
      </c>
      <c r="C14" s="412" t="str">
        <f>IFERROR(INDEX(Table14[],MATCH($B14,Table14[SAPNo],0),3),"")</f>
        <v>1613 CT418 U-60</v>
      </c>
      <c r="D14" s="306"/>
      <c r="E14" s="305">
        <v>14</v>
      </c>
      <c r="F14" s="305"/>
      <c r="G14" s="306" t="s">
        <v>1075</v>
      </c>
      <c r="H14" s="306">
        <v>14036274</v>
      </c>
      <c r="I14" s="306" t="s">
        <v>1076</v>
      </c>
      <c r="J14" s="248"/>
      <c r="K14" s="248"/>
      <c r="M14" s="248"/>
      <c r="Q14" s="310">
        <v>587493</v>
      </c>
      <c r="R14" s="10"/>
      <c r="S14" s="313">
        <v>20</v>
      </c>
      <c r="W14" s="42">
        <v>587493</v>
      </c>
      <c r="X14" s="116"/>
      <c r="Y14" s="116"/>
      <c r="Z14" s="116"/>
      <c r="AA14" s="391">
        <v>0</v>
      </c>
      <c r="AF14">
        <v>14</v>
      </c>
      <c r="AS14" s="2">
        <v>587493</v>
      </c>
      <c r="AT14" s="10"/>
      <c r="AU14" s="116"/>
      <c r="AV14" s="6">
        <v>0</v>
      </c>
      <c r="AW14" s="116">
        <v>0</v>
      </c>
      <c r="AX14" s="10">
        <v>20</v>
      </c>
      <c r="AY14" s="10"/>
      <c r="AZ14" s="116"/>
    </row>
    <row r="15" spans="1:52" x14ac:dyDescent="0.25">
      <c r="A15" s="308">
        <v>45190</v>
      </c>
      <c r="B15" s="305">
        <v>1078377</v>
      </c>
      <c r="C15" s="412" t="str">
        <f>IFERROR(INDEX(Table14[],MATCH($B15,Table14[SAPNo],0),3),"")</f>
        <v>13MM CT221 R1</v>
      </c>
      <c r="D15" s="306"/>
      <c r="E15" s="305">
        <v>15</v>
      </c>
      <c r="F15" s="305"/>
      <c r="G15" s="306" t="s">
        <v>1075</v>
      </c>
      <c r="H15" s="306">
        <v>14036274</v>
      </c>
      <c r="I15" s="306" t="s">
        <v>1076</v>
      </c>
      <c r="J15" s="248"/>
      <c r="K15" s="248"/>
      <c r="M15" s="248"/>
      <c r="Q15" s="310">
        <v>565884</v>
      </c>
      <c r="R15" s="10"/>
      <c r="S15" s="313">
        <v>0</v>
      </c>
      <c r="W15" s="42">
        <v>565884</v>
      </c>
      <c r="X15" s="116"/>
      <c r="Y15" s="116"/>
      <c r="Z15" s="116"/>
      <c r="AA15" s="391">
        <v>0</v>
      </c>
      <c r="AF15">
        <v>15</v>
      </c>
      <c r="AS15" s="2">
        <v>565884</v>
      </c>
      <c r="AT15" s="10"/>
      <c r="AU15" s="116"/>
      <c r="AV15" s="6">
        <v>0</v>
      </c>
      <c r="AW15" s="116">
        <v>0</v>
      </c>
      <c r="AX15" s="10">
        <v>0</v>
      </c>
      <c r="AY15" s="10"/>
      <c r="AZ15" s="116"/>
    </row>
    <row r="16" spans="1:52" x14ac:dyDescent="0.25">
      <c r="A16" s="308">
        <v>45190</v>
      </c>
      <c r="B16" s="305">
        <v>418525</v>
      </c>
      <c r="C16" s="412" t="str">
        <f>IFERROR(INDEX(Table14[],MATCH($B16,Table14[SAPNo],0),3),"")</f>
        <v>Drop In 1308 CT31   (B)</v>
      </c>
      <c r="D16" s="306"/>
      <c r="E16" s="305">
        <v>6</v>
      </c>
      <c r="F16" s="305"/>
      <c r="G16" s="306" t="s">
        <v>1075</v>
      </c>
      <c r="H16" s="306">
        <v>14036274</v>
      </c>
      <c r="I16" s="306" t="s">
        <v>1076</v>
      </c>
      <c r="J16" s="248"/>
      <c r="K16" s="248"/>
      <c r="M16" s="248"/>
      <c r="Q16" s="310">
        <v>703670</v>
      </c>
      <c r="R16" s="10">
        <v>74</v>
      </c>
      <c r="S16" s="313">
        <v>0</v>
      </c>
      <c r="W16" s="42">
        <v>703670</v>
      </c>
      <c r="X16" s="116"/>
      <c r="Y16" s="116"/>
      <c r="Z16" s="116"/>
      <c r="AA16" s="391">
        <v>38</v>
      </c>
      <c r="AF16">
        <v>6</v>
      </c>
      <c r="AS16" s="2">
        <v>703670</v>
      </c>
      <c r="AT16" s="10"/>
      <c r="AU16" s="116"/>
      <c r="AV16" s="6">
        <v>0</v>
      </c>
      <c r="AW16" s="116">
        <v>29</v>
      </c>
      <c r="AX16" s="10">
        <v>66</v>
      </c>
      <c r="AY16" s="10"/>
      <c r="AZ16" s="116"/>
    </row>
    <row r="17" spans="1:52" x14ac:dyDescent="0.25">
      <c r="A17" s="308">
        <v>45190</v>
      </c>
      <c r="B17" s="305">
        <v>1112229</v>
      </c>
      <c r="C17" s="412" t="str">
        <f>IFERROR(INDEX(Table14[],MATCH($B17,Table14[SAPNo],0),3),"")</f>
        <v>1613 CT147 18C</v>
      </c>
      <c r="D17" s="306"/>
      <c r="E17" s="305">
        <v>17</v>
      </c>
      <c r="F17" s="305"/>
      <c r="G17" s="306" t="s">
        <v>1075</v>
      </c>
      <c r="H17" s="306">
        <v>14036274</v>
      </c>
      <c r="I17" s="306" t="s">
        <v>1076</v>
      </c>
      <c r="J17" s="248"/>
      <c r="K17" s="248"/>
      <c r="M17" s="248"/>
      <c r="Q17" s="310">
        <v>708305</v>
      </c>
      <c r="R17" s="10"/>
      <c r="S17" s="313">
        <v>2</v>
      </c>
      <c r="W17" s="42">
        <v>708305</v>
      </c>
      <c r="X17" s="116"/>
      <c r="Y17" s="116"/>
      <c r="Z17" s="116"/>
      <c r="AA17" s="391">
        <v>0</v>
      </c>
      <c r="AF17">
        <v>17</v>
      </c>
      <c r="AS17" s="2">
        <v>708305</v>
      </c>
      <c r="AT17" s="10"/>
      <c r="AU17" s="116"/>
      <c r="AV17" s="6">
        <v>0</v>
      </c>
      <c r="AW17" s="116">
        <v>0</v>
      </c>
      <c r="AX17" s="10">
        <v>2</v>
      </c>
      <c r="AY17" s="10">
        <v>1</v>
      </c>
      <c r="AZ17" s="116"/>
    </row>
    <row r="18" spans="1:52" x14ac:dyDescent="0.25">
      <c r="A18" s="308">
        <v>45191</v>
      </c>
      <c r="B18" s="305">
        <v>1208601</v>
      </c>
      <c r="C18" s="412" t="str">
        <f>IFERROR(INDEX(Table14[],MATCH($B18,Table14[SAPNo],0),3),"")</f>
        <v>1613 CT418 U-60</v>
      </c>
      <c r="D18" s="306"/>
      <c r="E18" s="305">
        <v>8</v>
      </c>
      <c r="F18" s="305"/>
      <c r="G18" s="306" t="s">
        <v>1077</v>
      </c>
      <c r="H18" s="306">
        <v>14056981</v>
      </c>
      <c r="I18" s="306" t="s">
        <v>1076</v>
      </c>
      <c r="J18" s="248"/>
      <c r="K18" s="248"/>
      <c r="M18" s="248"/>
      <c r="Q18" s="310">
        <v>717749</v>
      </c>
      <c r="R18" s="10"/>
      <c r="S18" s="313">
        <v>0</v>
      </c>
      <c r="W18" s="42">
        <v>717749</v>
      </c>
      <c r="X18" s="116">
        <v>0</v>
      </c>
      <c r="Y18" s="116"/>
      <c r="Z18" s="116"/>
      <c r="AA18" s="391">
        <v>2</v>
      </c>
      <c r="AF18">
        <v>8</v>
      </c>
      <c r="AS18" s="2">
        <v>717749</v>
      </c>
      <c r="AT18" s="10">
        <v>0</v>
      </c>
      <c r="AU18" s="116"/>
      <c r="AV18" s="6">
        <v>0</v>
      </c>
      <c r="AW18" s="116">
        <v>0</v>
      </c>
      <c r="AX18" s="10">
        <v>0</v>
      </c>
      <c r="AY18" s="10"/>
      <c r="AZ18" s="116"/>
    </row>
    <row r="19" spans="1:52" x14ac:dyDescent="0.25">
      <c r="A19" s="308">
        <v>45191</v>
      </c>
      <c r="B19" s="305">
        <v>1078377</v>
      </c>
      <c r="C19" s="412" t="str">
        <f>IFERROR(INDEX(Table14[],MATCH($B19,Table14[SAPNo],0),3),"")</f>
        <v>13MM CT221 R1</v>
      </c>
      <c r="D19" s="306"/>
      <c r="E19" s="305">
        <v>15</v>
      </c>
      <c r="F19" s="305"/>
      <c r="G19" s="306" t="s">
        <v>1077</v>
      </c>
      <c r="H19" s="306">
        <v>14056981</v>
      </c>
      <c r="I19" s="306" t="s">
        <v>1076</v>
      </c>
      <c r="J19" s="248"/>
      <c r="K19" s="248"/>
      <c r="M19" s="248"/>
      <c r="Q19" s="310">
        <v>745171</v>
      </c>
      <c r="R19" s="10"/>
      <c r="S19" s="313">
        <v>1</v>
      </c>
      <c r="W19" s="42">
        <v>745171</v>
      </c>
      <c r="X19" s="116"/>
      <c r="Y19" s="116"/>
      <c r="Z19" s="116"/>
      <c r="AA19" s="391">
        <v>4</v>
      </c>
      <c r="AF19">
        <v>15</v>
      </c>
      <c r="AS19" s="2">
        <v>745171</v>
      </c>
      <c r="AT19" s="10"/>
      <c r="AU19" s="116"/>
      <c r="AV19" s="6">
        <v>0</v>
      </c>
      <c r="AW19" s="116">
        <v>4</v>
      </c>
      <c r="AX19" s="10">
        <v>1</v>
      </c>
      <c r="AY19" s="10"/>
      <c r="AZ19" s="116"/>
    </row>
    <row r="20" spans="1:52" x14ac:dyDescent="0.25">
      <c r="A20" s="308">
        <v>45191</v>
      </c>
      <c r="B20" s="305">
        <v>418525</v>
      </c>
      <c r="C20" s="412" t="str">
        <f>IFERROR(INDEX(Table14[],MATCH($B20,Table14[SAPNo],0),3),"")</f>
        <v>Drop In 1308 CT31   (B)</v>
      </c>
      <c r="D20" s="306"/>
      <c r="E20" s="305">
        <v>6</v>
      </c>
      <c r="F20" s="305"/>
      <c r="G20" s="306" t="s">
        <v>1077</v>
      </c>
      <c r="H20" s="306">
        <v>14056981</v>
      </c>
      <c r="I20" s="306" t="s">
        <v>1076</v>
      </c>
      <c r="J20" s="248"/>
      <c r="K20" s="248"/>
      <c r="M20" s="248"/>
      <c r="Q20" s="310">
        <v>376826</v>
      </c>
      <c r="R20" s="10"/>
      <c r="S20" s="313">
        <v>0</v>
      </c>
      <c r="W20" s="384">
        <v>376826</v>
      </c>
      <c r="X20" s="116"/>
      <c r="Y20" s="116"/>
      <c r="Z20" s="116"/>
      <c r="AA20" s="391">
        <v>3</v>
      </c>
      <c r="AF20">
        <v>6</v>
      </c>
      <c r="AM20" s="396">
        <v>1145493</v>
      </c>
      <c r="AN20" s="396"/>
      <c r="AO20" s="397">
        <v>20231206</v>
      </c>
      <c r="AP20" s="396">
        <v>0</v>
      </c>
      <c r="AQ20" s="396" t="s">
        <v>1078</v>
      </c>
      <c r="AR20" s="396"/>
      <c r="AS20" s="5">
        <v>376826</v>
      </c>
      <c r="AT20" s="10"/>
      <c r="AU20" s="116"/>
      <c r="AV20" s="6">
        <v>0</v>
      </c>
      <c r="AW20" s="116">
        <v>0</v>
      </c>
      <c r="AX20" s="10">
        <v>0</v>
      </c>
      <c r="AY20" s="10"/>
      <c r="AZ20" s="116"/>
    </row>
    <row r="21" spans="1:52" x14ac:dyDescent="0.25">
      <c r="A21" s="308">
        <v>45191</v>
      </c>
      <c r="B21" s="305">
        <v>1112229</v>
      </c>
      <c r="C21" s="412" t="str">
        <f>IFERROR(INDEX(Table14[],MATCH($B21,Table14[SAPNo],0),3),"")</f>
        <v>1613 CT147 18C</v>
      </c>
      <c r="D21" s="306"/>
      <c r="E21" s="305">
        <v>17</v>
      </c>
      <c r="F21" s="305"/>
      <c r="G21" s="306" t="s">
        <v>1077</v>
      </c>
      <c r="H21" s="306">
        <v>14056981</v>
      </c>
      <c r="I21" s="306" t="s">
        <v>1076</v>
      </c>
      <c r="J21" s="248"/>
      <c r="K21" s="248"/>
      <c r="M21" s="248"/>
      <c r="Q21" s="310">
        <v>621152</v>
      </c>
      <c r="R21" s="10"/>
      <c r="S21" s="313">
        <v>32</v>
      </c>
      <c r="W21" s="42">
        <v>621152</v>
      </c>
      <c r="X21" s="116">
        <v>10</v>
      </c>
      <c r="Y21" s="116"/>
      <c r="Z21" s="116"/>
      <c r="AA21" s="391">
        <v>0</v>
      </c>
      <c r="AF21">
        <v>17</v>
      </c>
      <c r="AM21" s="404">
        <v>971055</v>
      </c>
      <c r="AN21" s="404"/>
      <c r="AO21" s="405">
        <v>20231207</v>
      </c>
      <c r="AP21" s="404">
        <v>0</v>
      </c>
      <c r="AQ21" s="404" t="s">
        <v>1079</v>
      </c>
      <c r="AR21" s="404"/>
      <c r="AS21" s="2">
        <v>621152</v>
      </c>
      <c r="AT21" s="10">
        <v>9</v>
      </c>
      <c r="AU21" s="116"/>
      <c r="AV21" s="6">
        <v>0</v>
      </c>
      <c r="AW21" s="116">
        <v>0</v>
      </c>
      <c r="AX21" s="10">
        <v>32</v>
      </c>
      <c r="AY21" s="10">
        <v>1</v>
      </c>
      <c r="AZ21" s="116"/>
    </row>
    <row r="22" spans="1:52" x14ac:dyDescent="0.25">
      <c r="A22" s="308">
        <v>45191</v>
      </c>
      <c r="B22" s="305">
        <v>1238832</v>
      </c>
      <c r="C22" s="412" t="str">
        <f>IFERROR(INDEX(Table14[],MATCH($B22,Table14[SAPNo],0),3),"")</f>
        <v>1613 CT418 25-75</v>
      </c>
      <c r="D22" s="306"/>
      <c r="E22" s="305">
        <v>6</v>
      </c>
      <c r="F22" s="305"/>
      <c r="G22" s="306" t="s">
        <v>1077</v>
      </c>
      <c r="H22" s="306">
        <v>14056981</v>
      </c>
      <c r="I22" s="306" t="s">
        <v>1076</v>
      </c>
      <c r="J22" s="248"/>
      <c r="K22" s="248"/>
      <c r="M22" s="248"/>
      <c r="Q22" s="310">
        <v>643435</v>
      </c>
      <c r="R22" s="10"/>
      <c r="S22" s="313">
        <v>0</v>
      </c>
      <c r="W22" s="42">
        <v>643435</v>
      </c>
      <c r="X22" s="116">
        <v>6</v>
      </c>
      <c r="Y22" s="116"/>
      <c r="Z22" s="116"/>
      <c r="AA22" s="391">
        <v>4</v>
      </c>
      <c r="AF22">
        <v>6</v>
      </c>
      <c r="AM22" s="406">
        <v>971055</v>
      </c>
      <c r="AN22" s="406"/>
      <c r="AO22" s="407">
        <v>20231208</v>
      </c>
      <c r="AP22" s="406">
        <v>0</v>
      </c>
      <c r="AQ22" s="406" t="s">
        <v>1080</v>
      </c>
      <c r="AR22" s="406"/>
      <c r="AS22" s="2">
        <v>643435</v>
      </c>
      <c r="AT22" s="10">
        <v>0</v>
      </c>
      <c r="AU22" s="116">
        <v>6</v>
      </c>
      <c r="AV22" s="6">
        <v>0</v>
      </c>
      <c r="AW22" s="116">
        <v>0</v>
      </c>
      <c r="AX22" s="10">
        <v>0</v>
      </c>
      <c r="AY22" s="10"/>
      <c r="AZ22" s="116"/>
    </row>
    <row r="23" spans="1:52" x14ac:dyDescent="0.25">
      <c r="A23" s="308">
        <v>45191</v>
      </c>
      <c r="B23" s="305">
        <v>1208601</v>
      </c>
      <c r="C23" s="412" t="str">
        <f>IFERROR(INDEX(Table14[],MATCH($B23,Table14[SAPNo],0),3),"")</f>
        <v>1613 CT418 U-60</v>
      </c>
      <c r="D23" s="306"/>
      <c r="E23" s="305">
        <v>8</v>
      </c>
      <c r="F23" s="305"/>
      <c r="G23" s="306" t="s">
        <v>1081</v>
      </c>
      <c r="H23" s="306">
        <v>14056720</v>
      </c>
      <c r="I23" s="306" t="s">
        <v>1076</v>
      </c>
      <c r="J23" s="248"/>
      <c r="K23" s="248"/>
      <c r="M23" s="248"/>
      <c r="Q23" s="310">
        <v>638561</v>
      </c>
      <c r="R23" s="10"/>
      <c r="S23" s="313">
        <v>0</v>
      </c>
      <c r="W23" s="42">
        <v>638561</v>
      </c>
      <c r="X23" s="116">
        <v>30</v>
      </c>
      <c r="Y23" s="116"/>
      <c r="Z23" s="116">
        <v>5</v>
      </c>
      <c r="AA23" s="391">
        <v>16</v>
      </c>
      <c r="AF23">
        <v>8</v>
      </c>
      <c r="AM23" s="398">
        <v>1133896</v>
      </c>
      <c r="AN23" s="398"/>
      <c r="AO23" s="399" t="s">
        <v>1082</v>
      </c>
      <c r="AP23" s="398">
        <v>0</v>
      </c>
      <c r="AQ23" s="398">
        <v>14081147</v>
      </c>
      <c r="AR23" s="398"/>
      <c r="AS23" s="2">
        <v>638561</v>
      </c>
      <c r="AT23" s="10">
        <v>2</v>
      </c>
      <c r="AU23" s="116">
        <v>27</v>
      </c>
      <c r="AV23" s="6"/>
      <c r="AW23" s="116">
        <v>12</v>
      </c>
      <c r="AX23" s="10">
        <v>0</v>
      </c>
      <c r="AY23" s="10"/>
      <c r="AZ23" s="116"/>
    </row>
    <row r="24" spans="1:52" x14ac:dyDescent="0.25">
      <c r="A24" s="308">
        <v>45191</v>
      </c>
      <c r="B24" s="305">
        <v>1078377</v>
      </c>
      <c r="C24" s="412" t="str">
        <f>IFERROR(INDEX(Table14[],MATCH($B24,Table14[SAPNo],0),3),"")</f>
        <v>13MM CT221 R1</v>
      </c>
      <c r="D24" s="306"/>
      <c r="E24" s="305">
        <v>15</v>
      </c>
      <c r="F24" s="305"/>
      <c r="G24" s="306" t="s">
        <v>1081</v>
      </c>
      <c r="H24" s="306">
        <v>14056720</v>
      </c>
      <c r="I24" s="306" t="s">
        <v>1076</v>
      </c>
      <c r="J24" s="248"/>
      <c r="K24" s="248"/>
      <c r="M24" s="248"/>
      <c r="Q24" s="310">
        <v>745576</v>
      </c>
      <c r="R24" s="10"/>
      <c r="S24" s="313">
        <v>3</v>
      </c>
      <c r="W24" s="42">
        <v>745576</v>
      </c>
      <c r="X24" s="116">
        <v>76</v>
      </c>
      <c r="Y24" s="116"/>
      <c r="Z24" s="116">
        <v>5</v>
      </c>
      <c r="AA24" s="391">
        <v>0</v>
      </c>
      <c r="AF24">
        <v>15</v>
      </c>
      <c r="AM24" s="400">
        <v>1145493</v>
      </c>
      <c r="AN24" s="400"/>
      <c r="AO24" s="401" t="s">
        <v>1083</v>
      </c>
      <c r="AP24" s="400">
        <v>0</v>
      </c>
      <c r="AQ24" s="400">
        <v>14023085</v>
      </c>
      <c r="AR24" s="400"/>
      <c r="AS24" s="2">
        <v>745576</v>
      </c>
      <c r="AT24" s="10">
        <v>14</v>
      </c>
      <c r="AU24" s="116"/>
      <c r="AV24" s="6">
        <v>0</v>
      </c>
      <c r="AW24" s="116">
        <v>0</v>
      </c>
      <c r="AX24" s="10">
        <f>1</f>
        <v>1</v>
      </c>
      <c r="AY24" s="10">
        <v>11</v>
      </c>
      <c r="AZ24" s="116"/>
    </row>
    <row r="25" spans="1:52" x14ac:dyDescent="0.25">
      <c r="A25" s="308">
        <v>45191</v>
      </c>
      <c r="B25" s="305">
        <v>418525</v>
      </c>
      <c r="C25" s="412" t="str">
        <f>IFERROR(INDEX(Table14[],MATCH($B25,Table14[SAPNo],0),3),"")</f>
        <v>Drop In 1308 CT31   (B)</v>
      </c>
      <c r="D25" s="306"/>
      <c r="E25" s="305">
        <v>6</v>
      </c>
      <c r="F25" s="305"/>
      <c r="G25" s="306" t="s">
        <v>1081</v>
      </c>
      <c r="H25" s="306">
        <v>14056720</v>
      </c>
      <c r="I25" s="306" t="s">
        <v>1076</v>
      </c>
      <c r="J25" s="248"/>
      <c r="K25" s="248"/>
      <c r="M25" s="248"/>
      <c r="Q25" s="310">
        <v>729688</v>
      </c>
      <c r="R25" s="10"/>
      <c r="S25" s="313">
        <v>7</v>
      </c>
      <c r="W25" s="42">
        <v>729688</v>
      </c>
      <c r="X25" s="116">
        <v>14</v>
      </c>
      <c r="Y25" s="116"/>
      <c r="Z25" s="116"/>
      <c r="AA25" s="391">
        <v>1</v>
      </c>
      <c r="AF25">
        <v>6</v>
      </c>
      <c r="AM25" s="402">
        <v>1145493</v>
      </c>
      <c r="AN25" s="402"/>
      <c r="AO25" s="403" t="s">
        <v>1084</v>
      </c>
      <c r="AP25" s="402">
        <v>0</v>
      </c>
      <c r="AQ25" s="402" t="s">
        <v>1085</v>
      </c>
      <c r="AR25" s="402"/>
      <c r="AS25" s="2">
        <v>729688</v>
      </c>
      <c r="AT25" s="10">
        <v>0</v>
      </c>
      <c r="AU25" s="116"/>
      <c r="AV25" s="6">
        <v>0</v>
      </c>
      <c r="AW25" s="116">
        <v>0</v>
      </c>
      <c r="AX25" s="10">
        <v>7</v>
      </c>
      <c r="AY25" s="10"/>
      <c r="AZ25" s="116"/>
    </row>
    <row r="26" spans="1:52" x14ac:dyDescent="0.25">
      <c r="A26" s="308">
        <v>45191</v>
      </c>
      <c r="B26" s="305">
        <v>1112229</v>
      </c>
      <c r="C26" s="412" t="str">
        <f>IFERROR(INDEX(Table14[],MATCH($B26,Table14[SAPNo],0),3),"")</f>
        <v>1613 CT147 18C</v>
      </c>
      <c r="D26" s="306"/>
      <c r="E26" s="305">
        <v>0</v>
      </c>
      <c r="F26" s="305"/>
      <c r="G26" s="306" t="s">
        <v>1081</v>
      </c>
      <c r="H26" s="306">
        <v>14056720</v>
      </c>
      <c r="I26" s="306" t="s">
        <v>1076</v>
      </c>
      <c r="J26" s="248"/>
      <c r="K26" s="248"/>
      <c r="M26" s="248"/>
      <c r="Q26" s="310">
        <v>729691</v>
      </c>
      <c r="R26" s="10"/>
      <c r="S26" s="313">
        <v>0</v>
      </c>
      <c r="W26" s="384">
        <v>729691</v>
      </c>
      <c r="X26" s="116">
        <v>0</v>
      </c>
      <c r="Y26" s="116">
        <v>94</v>
      </c>
      <c r="Z26" s="116">
        <v>3</v>
      </c>
      <c r="AA26" s="391">
        <v>2</v>
      </c>
      <c r="AF26">
        <v>0</v>
      </c>
      <c r="AM26" s="408">
        <v>971055</v>
      </c>
      <c r="AN26" s="408"/>
      <c r="AO26" s="409" t="s">
        <v>1086</v>
      </c>
      <c r="AP26" s="408">
        <v>0</v>
      </c>
      <c r="AQ26" s="408" t="s">
        <v>1087</v>
      </c>
      <c r="AR26" s="408"/>
      <c r="AS26" s="5">
        <v>729691</v>
      </c>
      <c r="AT26" s="10">
        <v>2</v>
      </c>
      <c r="AU26" s="116">
        <v>82</v>
      </c>
      <c r="AV26" s="6"/>
      <c r="AW26" s="116">
        <v>0</v>
      </c>
      <c r="AX26" s="10">
        <v>0</v>
      </c>
      <c r="AY26" s="10"/>
      <c r="AZ26" s="116"/>
    </row>
    <row r="27" spans="1:52" x14ac:dyDescent="0.25">
      <c r="A27" s="308">
        <v>45191</v>
      </c>
      <c r="B27" s="305">
        <v>1238832</v>
      </c>
      <c r="C27" s="412" t="str">
        <f>IFERROR(INDEX(Table14[],MATCH($B27,Table14[SAPNo],0),3),"")</f>
        <v>1613 CT418 25-75</v>
      </c>
      <c r="D27" s="306"/>
      <c r="E27" s="305">
        <v>6</v>
      </c>
      <c r="F27" s="305"/>
      <c r="G27" s="306" t="s">
        <v>1081</v>
      </c>
      <c r="H27" s="306">
        <v>14056720</v>
      </c>
      <c r="I27" s="306" t="s">
        <v>1076</v>
      </c>
      <c r="J27" s="248"/>
      <c r="K27" s="248"/>
      <c r="M27" s="248"/>
      <c r="Q27" s="310">
        <v>643433</v>
      </c>
      <c r="R27" s="10"/>
      <c r="S27" s="313">
        <v>0</v>
      </c>
      <c r="W27" s="42">
        <v>643433</v>
      </c>
      <c r="X27" s="116"/>
      <c r="Y27" s="116"/>
      <c r="Z27" s="116"/>
      <c r="AA27" s="391">
        <v>14</v>
      </c>
      <c r="AF27">
        <v>6</v>
      </c>
      <c r="AM27" s="402">
        <v>1145493</v>
      </c>
      <c r="AN27" s="402"/>
      <c r="AO27" s="403">
        <v>20231231</v>
      </c>
      <c r="AP27" s="402">
        <v>0</v>
      </c>
      <c r="AQ27" s="402" t="s">
        <v>1088</v>
      </c>
      <c r="AR27" s="402"/>
      <c r="AS27" s="2">
        <v>643433</v>
      </c>
      <c r="AT27" s="10"/>
      <c r="AU27" s="116"/>
      <c r="AV27" s="6">
        <v>0</v>
      </c>
      <c r="AW27" s="116">
        <v>14</v>
      </c>
      <c r="AX27" s="10">
        <v>0</v>
      </c>
      <c r="AY27" s="10"/>
      <c r="AZ27" s="116"/>
    </row>
    <row r="28" spans="1:52" x14ac:dyDescent="0.25">
      <c r="A28" s="308">
        <v>45191</v>
      </c>
      <c r="B28" s="305">
        <v>1175118</v>
      </c>
      <c r="C28" s="412" t="str">
        <f>IFERROR(INDEX(Table14[],MATCH($B28,Table14[SAPNo],0),3),"")</f>
        <v>1613 CT147 18-60</v>
      </c>
      <c r="D28" s="306"/>
      <c r="E28" s="305">
        <v>17</v>
      </c>
      <c r="F28" s="305"/>
      <c r="G28" s="306" t="s">
        <v>1081</v>
      </c>
      <c r="H28" s="306">
        <v>14056720</v>
      </c>
      <c r="I28" s="306" t="s">
        <v>1076</v>
      </c>
      <c r="J28" s="248"/>
      <c r="K28" s="248"/>
      <c r="M28" s="248"/>
      <c r="Q28" s="310">
        <v>729687</v>
      </c>
      <c r="R28" s="10"/>
      <c r="S28" s="313">
        <v>82</v>
      </c>
      <c r="W28" s="42">
        <v>729687</v>
      </c>
      <c r="X28" s="116"/>
      <c r="Y28" s="116"/>
      <c r="Z28" s="116"/>
      <c r="AA28" s="391">
        <v>51</v>
      </c>
      <c r="AF28">
        <v>17</v>
      </c>
      <c r="AS28" s="2">
        <v>729687</v>
      </c>
      <c r="AT28" s="10"/>
      <c r="AU28" s="116"/>
      <c r="AV28" s="6">
        <v>5</v>
      </c>
      <c r="AW28" s="116">
        <v>27</v>
      </c>
      <c r="AX28" s="10">
        <v>77</v>
      </c>
      <c r="AY28" s="10"/>
      <c r="AZ28" s="116"/>
    </row>
    <row r="29" spans="1:52" x14ac:dyDescent="0.25">
      <c r="A29" s="308">
        <v>45195</v>
      </c>
      <c r="B29" s="305">
        <v>1130200</v>
      </c>
      <c r="C29" s="412" t="str">
        <f>IFERROR(INDEX(Table14[],MATCH($B29,Table14[SAPNo],0),3),"")</f>
        <v>Round 1913 CT182  0.018" (S)</v>
      </c>
      <c r="D29" s="306"/>
      <c r="E29" s="305">
        <v>24</v>
      </c>
      <c r="F29" s="305"/>
      <c r="G29" s="306" t="s">
        <v>1089</v>
      </c>
      <c r="H29" s="306">
        <v>13899519</v>
      </c>
      <c r="I29" s="306" t="s">
        <v>1090</v>
      </c>
      <c r="J29" s="248"/>
      <c r="K29" s="248"/>
      <c r="M29" s="248"/>
      <c r="Q29" s="310">
        <v>177778</v>
      </c>
      <c r="R29" s="10"/>
      <c r="S29" s="313">
        <v>6</v>
      </c>
      <c r="W29" s="42">
        <v>177778</v>
      </c>
      <c r="X29" s="116"/>
      <c r="Y29" s="116"/>
      <c r="Z29" s="116"/>
      <c r="AA29" s="391">
        <v>0</v>
      </c>
      <c r="AF29">
        <v>24</v>
      </c>
      <c r="AS29" s="2">
        <v>177778</v>
      </c>
      <c r="AT29" s="10"/>
      <c r="AU29" s="116"/>
      <c r="AV29" s="6">
        <v>0</v>
      </c>
      <c r="AW29" s="116">
        <v>0</v>
      </c>
      <c r="AX29" s="10">
        <v>3</v>
      </c>
      <c r="AY29" s="10"/>
      <c r="AZ29" s="116"/>
    </row>
    <row r="30" spans="1:52" x14ac:dyDescent="0.25">
      <c r="A30" s="308">
        <v>45195</v>
      </c>
      <c r="B30" s="305">
        <v>708306</v>
      </c>
      <c r="C30" s="412" t="str">
        <f>IFERROR(INDEX(Table14[],MATCH($B30,Table14[SAPNo],0),3),"")</f>
        <v>Round 1913 CT200  0.018" (B)</v>
      </c>
      <c r="D30" s="306"/>
      <c r="E30" s="305">
        <v>34</v>
      </c>
      <c r="F30" s="305"/>
      <c r="G30" s="306" t="s">
        <v>1089</v>
      </c>
      <c r="H30" s="306">
        <v>13899519</v>
      </c>
      <c r="I30" s="306" t="s">
        <v>1090</v>
      </c>
      <c r="J30" s="248"/>
      <c r="K30" s="248"/>
      <c r="M30" s="248"/>
      <c r="Q30" s="310">
        <v>638560</v>
      </c>
      <c r="R30" s="10"/>
      <c r="S30" s="313">
        <v>0</v>
      </c>
      <c r="W30" s="42">
        <v>638560</v>
      </c>
      <c r="X30" s="116">
        <v>77</v>
      </c>
      <c r="Y30" s="116">
        <v>9</v>
      </c>
      <c r="Z30" s="116">
        <v>1</v>
      </c>
      <c r="AA30" s="391">
        <v>0</v>
      </c>
      <c r="AF30">
        <v>34</v>
      </c>
      <c r="AS30" s="2">
        <v>638560</v>
      </c>
      <c r="AT30" s="10">
        <v>31</v>
      </c>
      <c r="AU30" s="116">
        <v>9</v>
      </c>
      <c r="AV30" s="6">
        <v>0</v>
      </c>
      <c r="AW30" s="116">
        <v>0</v>
      </c>
      <c r="AX30" s="10">
        <v>0</v>
      </c>
      <c r="AY30" s="10"/>
      <c r="AZ30" s="116"/>
    </row>
    <row r="31" spans="1:52" x14ac:dyDescent="0.25">
      <c r="A31" s="308">
        <v>45195</v>
      </c>
      <c r="B31" s="305">
        <v>1130198</v>
      </c>
      <c r="C31" s="412" t="str">
        <f>IFERROR(INDEX(Table14[],MATCH($B31,Table14[SAPNo],0),3),"")</f>
        <v>Round 1613 CT182  0.018" (S)</v>
      </c>
      <c r="D31" s="306"/>
      <c r="E31" s="305">
        <v>5</v>
      </c>
      <c r="F31" s="305"/>
      <c r="G31" s="306" t="s">
        <v>1089</v>
      </c>
      <c r="H31" s="306">
        <v>13899519</v>
      </c>
      <c r="I31" s="306" t="s">
        <v>1090</v>
      </c>
      <c r="J31" s="248"/>
      <c r="K31" s="248"/>
      <c r="M31" s="248"/>
      <c r="Q31" s="310">
        <v>578502</v>
      </c>
      <c r="R31" s="10"/>
      <c r="S31" s="313">
        <v>0</v>
      </c>
      <c r="W31" s="42">
        <v>578502</v>
      </c>
      <c r="X31" s="116"/>
      <c r="Y31" s="116"/>
      <c r="Z31" s="116"/>
      <c r="AA31" s="391">
        <v>18</v>
      </c>
      <c r="AF31">
        <v>5</v>
      </c>
      <c r="AS31" s="2">
        <v>578502</v>
      </c>
      <c r="AT31" s="10"/>
      <c r="AU31" s="116"/>
      <c r="AV31" s="6">
        <v>0</v>
      </c>
      <c r="AW31" s="116">
        <v>6</v>
      </c>
      <c r="AX31" s="10">
        <v>0</v>
      </c>
      <c r="AY31" s="10"/>
      <c r="AZ31" s="116"/>
    </row>
    <row r="32" spans="1:52" x14ac:dyDescent="0.25">
      <c r="A32" s="308">
        <v>45195</v>
      </c>
      <c r="B32" s="305">
        <v>1100759</v>
      </c>
      <c r="C32" s="412" t="str">
        <f>IFERROR(INDEX(Table14[],MATCH($B32,Table14[SAPNo],0),3),"")</f>
        <v>1913 CT421 0.018"</v>
      </c>
      <c r="D32" s="306"/>
      <c r="E32" s="305">
        <v>24</v>
      </c>
      <c r="F32" s="305"/>
      <c r="G32" s="306" t="s">
        <v>1089</v>
      </c>
      <c r="H32" s="306">
        <v>13899519</v>
      </c>
      <c r="I32" s="306" t="s">
        <v>1090</v>
      </c>
      <c r="J32" s="248"/>
      <c r="K32" s="248"/>
      <c r="M32" s="248"/>
      <c r="Q32" s="310">
        <v>781580</v>
      </c>
      <c r="R32" s="10"/>
      <c r="S32" s="313">
        <v>0</v>
      </c>
      <c r="W32" s="42">
        <v>781580</v>
      </c>
      <c r="X32" s="116"/>
      <c r="Y32" s="116"/>
      <c r="Z32" s="116"/>
      <c r="AA32" s="391">
        <v>0</v>
      </c>
      <c r="AF32">
        <v>24</v>
      </c>
      <c r="AS32" s="2">
        <v>781580</v>
      </c>
      <c r="AT32" s="10"/>
      <c r="AU32" s="116"/>
      <c r="AV32" s="6">
        <v>0</v>
      </c>
      <c r="AW32" s="116">
        <v>0</v>
      </c>
      <c r="AX32" s="10">
        <v>0</v>
      </c>
      <c r="AY32" s="10"/>
      <c r="AZ32" s="116"/>
    </row>
    <row r="33" spans="1:52" x14ac:dyDescent="0.25">
      <c r="A33" s="308">
        <v>45195</v>
      </c>
      <c r="B33" s="305">
        <v>871781</v>
      </c>
      <c r="C33" s="412" t="str">
        <f>IFERROR(INDEX(Table14[],MATCH($B33,Table14[SAPNo],0),3),"")</f>
        <v>Round 1313 CT200  0.018" (B)</v>
      </c>
      <c r="D33" s="306"/>
      <c r="E33" s="305">
        <v>8</v>
      </c>
      <c r="F33" s="305"/>
      <c r="G33" s="306" t="s">
        <v>1089</v>
      </c>
      <c r="H33" s="306">
        <v>13899519</v>
      </c>
      <c r="I33" s="306" t="s">
        <v>1090</v>
      </c>
      <c r="J33" s="248"/>
      <c r="K33" s="248"/>
      <c r="M33" s="248"/>
      <c r="Q33" s="310">
        <v>646938</v>
      </c>
      <c r="R33" s="10"/>
      <c r="S33" s="313">
        <v>0</v>
      </c>
      <c r="W33" s="42">
        <v>646938</v>
      </c>
      <c r="X33" s="116"/>
      <c r="Y33" s="116"/>
      <c r="Z33" s="116"/>
      <c r="AA33" s="391">
        <v>5</v>
      </c>
      <c r="AF33">
        <v>8</v>
      </c>
      <c r="AS33" s="2">
        <v>646938</v>
      </c>
      <c r="AT33" s="10"/>
      <c r="AU33" s="116"/>
      <c r="AV33" s="6">
        <v>0</v>
      </c>
      <c r="AW33" s="116">
        <v>5</v>
      </c>
      <c r="AX33" s="10">
        <v>0</v>
      </c>
      <c r="AY33" s="10"/>
      <c r="AZ33" s="116"/>
    </row>
    <row r="34" spans="1:52" x14ac:dyDescent="0.25">
      <c r="A34" s="308">
        <v>45195</v>
      </c>
      <c r="B34" s="305">
        <v>1100755</v>
      </c>
      <c r="C34" s="412" t="str">
        <f>IFERROR(INDEX(Table14[],MATCH($B34,Table14[SAPNo],0),3),"")</f>
        <v>Round 1613 CT421  0.018" (S)</v>
      </c>
      <c r="D34" s="306"/>
      <c r="E34" s="305">
        <v>4</v>
      </c>
      <c r="F34" s="305"/>
      <c r="G34" s="306" t="s">
        <v>1089</v>
      </c>
      <c r="H34" s="306">
        <v>13899519</v>
      </c>
      <c r="I34" s="306" t="s">
        <v>1090</v>
      </c>
      <c r="J34" s="248"/>
      <c r="K34" s="248"/>
      <c r="M34" s="248"/>
      <c r="Q34" s="310">
        <v>780654</v>
      </c>
      <c r="R34" s="10"/>
      <c r="S34" s="313">
        <v>1</v>
      </c>
      <c r="W34" s="42">
        <v>780654</v>
      </c>
      <c r="X34" s="116"/>
      <c r="Y34" s="116"/>
      <c r="Z34" s="116"/>
      <c r="AA34" s="391">
        <v>0</v>
      </c>
      <c r="AF34">
        <v>4</v>
      </c>
      <c r="AS34" s="2">
        <v>780654</v>
      </c>
      <c r="AT34" s="10"/>
      <c r="AU34" s="116"/>
      <c r="AV34" s="6">
        <v>0</v>
      </c>
      <c r="AW34" s="116">
        <v>0</v>
      </c>
      <c r="AX34" s="10">
        <v>0</v>
      </c>
      <c r="AY34" s="10"/>
      <c r="AZ34" s="116"/>
    </row>
    <row r="35" spans="1:52" x14ac:dyDescent="0.25">
      <c r="A35" s="308">
        <v>45196</v>
      </c>
      <c r="B35" s="305">
        <v>1130198</v>
      </c>
      <c r="C35" s="412" t="str">
        <f>IFERROR(INDEX(Table14[],MATCH($B35,Table14[SAPNo],0),3),"")</f>
        <v>Round 1613 CT182  0.018" (S)</v>
      </c>
      <c r="D35" s="306"/>
      <c r="E35" s="305">
        <v>0</v>
      </c>
      <c r="F35" s="305"/>
      <c r="G35" s="306" t="s">
        <v>1091</v>
      </c>
      <c r="H35" s="306">
        <v>14036280</v>
      </c>
      <c r="I35" s="306" t="s">
        <v>1092</v>
      </c>
      <c r="J35" s="248"/>
      <c r="K35" s="248"/>
      <c r="M35" s="248"/>
      <c r="Q35" s="310">
        <v>729434</v>
      </c>
      <c r="R35" s="10"/>
      <c r="S35" s="313">
        <v>0</v>
      </c>
      <c r="W35" s="42">
        <v>729434</v>
      </c>
      <c r="X35" s="116"/>
      <c r="Y35" s="116"/>
      <c r="Z35" s="116"/>
      <c r="AA35" s="391">
        <v>0</v>
      </c>
      <c r="AF35">
        <v>0</v>
      </c>
      <c r="AS35" s="2">
        <v>729434</v>
      </c>
      <c r="AT35" s="10"/>
      <c r="AU35" s="116"/>
      <c r="AV35" s="6">
        <v>0</v>
      </c>
      <c r="AW35" s="116">
        <v>0</v>
      </c>
      <c r="AX35" s="10">
        <v>0</v>
      </c>
      <c r="AY35" s="10"/>
      <c r="AZ35" s="116"/>
    </row>
    <row r="36" spans="1:52" x14ac:dyDescent="0.25">
      <c r="A36" s="308">
        <v>45196</v>
      </c>
      <c r="B36" s="305">
        <v>1130196</v>
      </c>
      <c r="C36" s="412" t="str">
        <f>IFERROR(INDEX(Table14[],MATCH($B36,Table14[SAPNo],0),3),"")</f>
        <v>Round 1313 CT182  0.018" (S)</v>
      </c>
      <c r="D36" s="306"/>
      <c r="E36" s="305">
        <v>22</v>
      </c>
      <c r="F36" s="305"/>
      <c r="G36" s="306" t="s">
        <v>1091</v>
      </c>
      <c r="H36" s="306">
        <v>14036280</v>
      </c>
      <c r="I36" s="306" t="s">
        <v>1092</v>
      </c>
      <c r="J36" s="248"/>
      <c r="K36" s="248"/>
      <c r="M36" s="248"/>
      <c r="Q36" s="310">
        <v>802064</v>
      </c>
      <c r="R36" s="10"/>
      <c r="S36" s="313">
        <v>14</v>
      </c>
      <c r="W36" s="42">
        <v>802064</v>
      </c>
      <c r="X36" s="116"/>
      <c r="Y36" s="116"/>
      <c r="Z36" s="116"/>
      <c r="AA36" s="391">
        <v>5</v>
      </c>
      <c r="AF36">
        <v>22</v>
      </c>
      <c r="AS36" s="2">
        <v>802064</v>
      </c>
      <c r="AT36" s="10"/>
      <c r="AU36" s="116"/>
      <c r="AV36" s="6">
        <v>0</v>
      </c>
      <c r="AW36" s="116">
        <v>8</v>
      </c>
      <c r="AX36" s="10">
        <v>14</v>
      </c>
      <c r="AY36" s="10"/>
      <c r="AZ36" s="116"/>
    </row>
    <row r="37" spans="1:52" x14ac:dyDescent="0.25">
      <c r="A37" s="308">
        <v>45196</v>
      </c>
      <c r="B37" s="305">
        <v>1209410</v>
      </c>
      <c r="C37" s="412" t="str">
        <f>IFERROR(INDEX(Table14[],MATCH($B37,Table14[SAPNo],0),3),"")</f>
        <v>1613 CT430MV3 U TBO</v>
      </c>
      <c r="D37" s="306"/>
      <c r="E37" s="305">
        <v>10</v>
      </c>
      <c r="F37" s="305"/>
      <c r="G37" s="306" t="s">
        <v>1091</v>
      </c>
      <c r="H37" s="306">
        <v>14036280</v>
      </c>
      <c r="I37" s="306" t="s">
        <v>1092</v>
      </c>
      <c r="J37" s="248"/>
      <c r="K37" s="248"/>
      <c r="M37" s="248"/>
      <c r="Q37" s="310">
        <v>717748</v>
      </c>
      <c r="R37" s="10">
        <v>175</v>
      </c>
      <c r="S37" s="313">
        <v>1</v>
      </c>
      <c r="W37" s="42">
        <v>717748</v>
      </c>
      <c r="X37" s="116"/>
      <c r="Y37" s="116"/>
      <c r="Z37" s="116"/>
      <c r="AA37" s="391">
        <v>183</v>
      </c>
      <c r="AF37">
        <v>10</v>
      </c>
      <c r="AS37" s="2">
        <v>717748</v>
      </c>
      <c r="AT37" s="10"/>
      <c r="AU37" s="116"/>
      <c r="AV37" s="6">
        <v>0</v>
      </c>
      <c r="AW37" s="116">
        <v>0</v>
      </c>
      <c r="AX37" s="10">
        <v>110</v>
      </c>
      <c r="AY37" s="10"/>
      <c r="AZ37" s="116"/>
    </row>
    <row r="38" spans="1:52" x14ac:dyDescent="0.25">
      <c r="A38" s="308">
        <v>45196</v>
      </c>
      <c r="B38" s="305">
        <v>871781</v>
      </c>
      <c r="C38" s="412" t="str">
        <f>IFERROR(INDEX(Table14[],MATCH($B38,Table14[SAPNo],0),3),"")</f>
        <v>Round 1313 CT200  0.018" (B)</v>
      </c>
      <c r="D38" s="306"/>
      <c r="E38" s="305">
        <v>5</v>
      </c>
      <c r="F38" s="305"/>
      <c r="G38" s="306" t="s">
        <v>1091</v>
      </c>
      <c r="H38" s="306">
        <v>14036280</v>
      </c>
      <c r="I38" s="306" t="s">
        <v>1092</v>
      </c>
      <c r="J38" s="248"/>
      <c r="K38" s="248"/>
      <c r="M38" s="248"/>
      <c r="Q38" s="310">
        <v>752294</v>
      </c>
      <c r="R38" s="10"/>
      <c r="S38" s="313">
        <v>13</v>
      </c>
      <c r="W38" s="42">
        <v>752294</v>
      </c>
      <c r="X38" s="116"/>
      <c r="Y38" s="116"/>
      <c r="Z38" s="116"/>
      <c r="AA38" s="391">
        <v>0</v>
      </c>
      <c r="AF38">
        <v>5</v>
      </c>
      <c r="AS38" s="2">
        <v>752294</v>
      </c>
      <c r="AT38" s="10"/>
      <c r="AU38" s="116"/>
      <c r="AV38" s="6">
        <v>0</v>
      </c>
      <c r="AW38" s="116">
        <v>0</v>
      </c>
      <c r="AX38" s="10">
        <v>0</v>
      </c>
      <c r="AY38" s="10"/>
      <c r="AZ38" s="116"/>
    </row>
    <row r="39" spans="1:52" x14ac:dyDescent="0.25">
      <c r="A39" s="308">
        <v>45196</v>
      </c>
      <c r="B39" s="305">
        <v>1175118</v>
      </c>
      <c r="C39" s="412" t="str">
        <f>IFERROR(INDEX(Table14[],MATCH($B39,Table14[SAPNo],0),3),"")</f>
        <v>1613 CT147 18-60</v>
      </c>
      <c r="D39" s="306"/>
      <c r="E39" s="305">
        <v>30</v>
      </c>
      <c r="F39" s="305"/>
      <c r="G39" s="306" t="s">
        <v>1091</v>
      </c>
      <c r="H39" s="306">
        <v>14036280</v>
      </c>
      <c r="I39" s="306" t="s">
        <v>1092</v>
      </c>
      <c r="J39" s="248"/>
      <c r="K39" s="248"/>
      <c r="M39" s="248"/>
      <c r="Q39" s="310">
        <v>761304</v>
      </c>
      <c r="R39" s="10"/>
      <c r="S39" s="313">
        <v>21</v>
      </c>
      <c r="W39" s="42">
        <v>761304</v>
      </c>
      <c r="X39" s="116"/>
      <c r="Y39" s="116"/>
      <c r="Z39" s="116"/>
      <c r="AA39" s="391">
        <v>0</v>
      </c>
      <c r="AF39">
        <v>30</v>
      </c>
      <c r="AS39" s="2">
        <v>761304</v>
      </c>
      <c r="AT39" s="10"/>
      <c r="AU39" s="116"/>
      <c r="AV39" s="6">
        <v>0</v>
      </c>
      <c r="AW39" s="116">
        <v>0</v>
      </c>
      <c r="AX39" s="10">
        <v>21</v>
      </c>
      <c r="AY39" s="10"/>
      <c r="AZ39" s="116"/>
    </row>
    <row r="40" spans="1:52" x14ac:dyDescent="0.25">
      <c r="A40" s="308">
        <v>45196</v>
      </c>
      <c r="B40" s="305">
        <v>1238832</v>
      </c>
      <c r="C40" s="412" t="str">
        <f>IFERROR(INDEX(Table14[],MATCH($B40,Table14[SAPNo],0),3),"")</f>
        <v>1613 CT418 25-75</v>
      </c>
      <c r="D40" s="306"/>
      <c r="E40" s="305">
        <v>9</v>
      </c>
      <c r="F40" s="305"/>
      <c r="G40" s="306" t="s">
        <v>1091</v>
      </c>
      <c r="H40" s="306">
        <v>14036280</v>
      </c>
      <c r="I40" s="306" t="s">
        <v>1092</v>
      </c>
      <c r="J40" s="248"/>
      <c r="K40" s="248"/>
      <c r="M40" s="248"/>
      <c r="Q40" s="310">
        <v>770450</v>
      </c>
      <c r="R40" s="10"/>
      <c r="S40" s="313">
        <v>1</v>
      </c>
      <c r="W40" s="42">
        <v>770450</v>
      </c>
      <c r="X40" s="116"/>
      <c r="Y40" s="116"/>
      <c r="Z40" s="116"/>
      <c r="AA40" s="391">
        <v>15</v>
      </c>
      <c r="AF40">
        <v>9</v>
      </c>
      <c r="AS40" s="2">
        <v>770450</v>
      </c>
      <c r="AT40" s="10"/>
      <c r="AU40" s="116"/>
      <c r="AV40" s="6">
        <v>0</v>
      </c>
      <c r="AW40" s="116">
        <v>13</v>
      </c>
      <c r="AX40" s="10">
        <v>1</v>
      </c>
      <c r="AY40" s="10"/>
      <c r="AZ40" s="116"/>
    </row>
    <row r="41" spans="1:52" x14ac:dyDescent="0.25">
      <c r="A41" s="308">
        <v>45196</v>
      </c>
      <c r="B41" s="305">
        <v>1100741</v>
      </c>
      <c r="C41" s="412" t="str">
        <f>IFERROR(INDEX(Table14[],MATCH($B41,Table14[SAPNo],0),3),"")</f>
        <v>Round 1613 CT418  0.018" (S)</v>
      </c>
      <c r="D41" s="306"/>
      <c r="E41" s="305">
        <v>1</v>
      </c>
      <c r="F41" s="305"/>
      <c r="G41" s="306" t="s">
        <v>1091</v>
      </c>
      <c r="H41" s="306">
        <v>14036280</v>
      </c>
      <c r="I41" s="306" t="s">
        <v>1092</v>
      </c>
      <c r="J41" s="248"/>
      <c r="K41" s="248"/>
      <c r="M41" s="248"/>
      <c r="Q41" s="310">
        <v>761246</v>
      </c>
      <c r="R41" s="10"/>
      <c r="S41" s="313">
        <v>92</v>
      </c>
      <c r="W41" s="42">
        <v>761246</v>
      </c>
      <c r="X41" s="116"/>
      <c r="Y41" s="116"/>
      <c r="Z41" s="116"/>
      <c r="AA41" s="391">
        <v>0</v>
      </c>
      <c r="AF41">
        <v>1</v>
      </c>
      <c r="AS41" s="2">
        <v>761246</v>
      </c>
      <c r="AT41" s="10"/>
      <c r="AU41" s="116"/>
      <c r="AV41" s="6">
        <v>0</v>
      </c>
      <c r="AW41" s="116">
        <v>0</v>
      </c>
      <c r="AX41" s="10">
        <v>92</v>
      </c>
      <c r="AY41" s="10"/>
      <c r="AZ41" s="116"/>
    </row>
    <row r="42" spans="1:52" x14ac:dyDescent="0.25">
      <c r="A42" s="308">
        <v>45196</v>
      </c>
      <c r="B42" s="305">
        <v>1145493</v>
      </c>
      <c r="C42" s="412" t="str">
        <f>IFERROR(INDEX(Table14[],MATCH($B42,Table14[SAPNo],0),3),"")</f>
        <v>Round 1313 CT427  10C (S)</v>
      </c>
      <c r="D42" s="306"/>
      <c r="E42" s="305">
        <v>0</v>
      </c>
      <c r="F42" s="305"/>
      <c r="G42" s="306">
        <v>20231206</v>
      </c>
      <c r="H42" s="306" t="s">
        <v>1078</v>
      </c>
      <c r="I42" s="306" t="s">
        <v>1093</v>
      </c>
      <c r="J42" s="374">
        <v>3</v>
      </c>
      <c r="K42" s="248"/>
      <c r="M42" s="248"/>
      <c r="Q42" s="310">
        <v>745573</v>
      </c>
      <c r="R42" s="10"/>
      <c r="S42" s="313">
        <v>51</v>
      </c>
      <c r="W42" s="42">
        <v>745573</v>
      </c>
      <c r="X42" s="116"/>
      <c r="Y42" s="116"/>
      <c r="Z42" s="116"/>
      <c r="AA42" s="391">
        <v>0</v>
      </c>
      <c r="AF42">
        <v>0</v>
      </c>
      <c r="AS42" s="2">
        <v>745573</v>
      </c>
      <c r="AT42" s="10"/>
      <c r="AU42" s="116"/>
      <c r="AV42" s="6">
        <v>10</v>
      </c>
      <c r="AW42" s="116">
        <v>0</v>
      </c>
      <c r="AX42" s="10">
        <v>27</v>
      </c>
      <c r="AY42" s="10"/>
      <c r="AZ42" s="116"/>
    </row>
    <row r="43" spans="1:52" x14ac:dyDescent="0.25">
      <c r="A43" s="308">
        <v>45196</v>
      </c>
      <c r="B43" s="305">
        <v>418525</v>
      </c>
      <c r="C43" s="412" t="str">
        <f>IFERROR(INDEX(Table14[],MATCH($B43,Table14[SAPNo],0),3),"")</f>
        <v>Drop In 1308 CT31   (B)</v>
      </c>
      <c r="D43" s="306"/>
      <c r="E43" s="305">
        <v>0</v>
      </c>
      <c r="F43" s="305"/>
      <c r="G43" s="306">
        <v>20231206</v>
      </c>
      <c r="H43" s="306" t="s">
        <v>1078</v>
      </c>
      <c r="I43" s="306" t="s">
        <v>1093</v>
      </c>
      <c r="J43" s="248"/>
      <c r="K43" s="248"/>
      <c r="M43" s="248"/>
      <c r="Q43" s="310">
        <v>418525</v>
      </c>
      <c r="R43" s="10">
        <v>571</v>
      </c>
      <c r="S43" s="313">
        <v>249</v>
      </c>
      <c r="W43" s="42">
        <v>418525</v>
      </c>
      <c r="X43" s="116">
        <v>0</v>
      </c>
      <c r="Y43" s="116"/>
      <c r="Z43" s="116">
        <v>8</v>
      </c>
      <c r="AA43" s="391">
        <v>1</v>
      </c>
      <c r="AF43">
        <v>0</v>
      </c>
      <c r="AS43" s="2">
        <v>418525</v>
      </c>
      <c r="AT43" s="10">
        <v>0</v>
      </c>
      <c r="AU43" s="116"/>
      <c r="AV43" s="6">
        <v>0</v>
      </c>
      <c r="AW43" s="116">
        <v>0</v>
      </c>
      <c r="AX43" s="10">
        <v>310</v>
      </c>
      <c r="AY43" s="10">
        <v>11</v>
      </c>
      <c r="AZ43" s="116">
        <v>1</v>
      </c>
    </row>
    <row r="44" spans="1:52" x14ac:dyDescent="0.25">
      <c r="A44" s="308">
        <v>45196</v>
      </c>
      <c r="B44" s="305">
        <v>1209332</v>
      </c>
      <c r="C44" s="412" t="str">
        <f>IFERROR(INDEX(Table14[],MATCH($B44,Table14[SAPNo],0),3),"")</f>
        <v>1313 CT147G U</v>
      </c>
      <c r="D44" s="306"/>
      <c r="E44" s="305">
        <v>6</v>
      </c>
      <c r="F44" s="305"/>
      <c r="G44" s="306">
        <v>20231206</v>
      </c>
      <c r="H44" s="306" t="s">
        <v>1078</v>
      </c>
      <c r="I44" s="306" t="s">
        <v>1093</v>
      </c>
      <c r="J44" s="248"/>
      <c r="K44" s="248"/>
      <c r="M44" s="248"/>
      <c r="Q44" s="310">
        <v>717751</v>
      </c>
      <c r="R44" s="10">
        <v>79</v>
      </c>
      <c r="S44" s="313">
        <v>6</v>
      </c>
      <c r="W44" s="42">
        <v>717751</v>
      </c>
      <c r="X44" s="116"/>
      <c r="Y44" s="116"/>
      <c r="Z44" s="116"/>
      <c r="AA44" s="391">
        <v>0</v>
      </c>
      <c r="AF44">
        <v>6</v>
      </c>
      <c r="AS44" s="2">
        <v>717751</v>
      </c>
      <c r="AT44" s="10"/>
      <c r="AU44" s="116"/>
      <c r="AV44" s="6">
        <v>0</v>
      </c>
      <c r="AW44" s="116">
        <v>0</v>
      </c>
      <c r="AX44" s="10">
        <v>144</v>
      </c>
      <c r="AY44" s="10"/>
      <c r="AZ44" s="116"/>
    </row>
    <row r="45" spans="1:52" x14ac:dyDescent="0.25">
      <c r="A45" s="308">
        <v>45196</v>
      </c>
      <c r="B45" s="305">
        <v>418525</v>
      </c>
      <c r="C45" s="412" t="str">
        <f>IFERROR(INDEX(Table14[],MATCH($B45,Table14[SAPNo],0),3),"")</f>
        <v>Drop In 1308 CT31   (B)</v>
      </c>
      <c r="D45" s="306"/>
      <c r="E45" s="305">
        <v>1</v>
      </c>
      <c r="F45" s="305"/>
      <c r="G45" s="306">
        <v>20231204</v>
      </c>
      <c r="H45" s="306" t="s">
        <v>1094</v>
      </c>
      <c r="I45" s="306" t="s">
        <v>1093</v>
      </c>
      <c r="J45" s="248"/>
      <c r="K45" s="248"/>
      <c r="M45" s="248"/>
      <c r="Q45" s="310">
        <v>729435</v>
      </c>
      <c r="R45" s="10"/>
      <c r="S45" s="313">
        <v>0</v>
      </c>
      <c r="W45" s="42">
        <v>729435</v>
      </c>
      <c r="X45" s="116"/>
      <c r="Y45" s="116"/>
      <c r="Z45" s="116"/>
      <c r="AA45" s="391">
        <v>0</v>
      </c>
      <c r="AF45">
        <v>1</v>
      </c>
      <c r="AS45" s="2">
        <v>729435</v>
      </c>
      <c r="AT45" s="10"/>
      <c r="AU45" s="116"/>
      <c r="AV45" s="6">
        <v>0</v>
      </c>
      <c r="AW45" s="116">
        <v>0</v>
      </c>
      <c r="AX45" s="10">
        <v>0</v>
      </c>
      <c r="AY45" s="10"/>
      <c r="AZ45" s="116"/>
    </row>
    <row r="46" spans="1:52" x14ac:dyDescent="0.25">
      <c r="A46" s="308">
        <v>45190</v>
      </c>
      <c r="B46" s="305">
        <v>1100696</v>
      </c>
      <c r="C46" s="412" t="str">
        <f>IFERROR(INDEX(Table14[],MATCH($B46,Table14[SAPNo],0),3),"")</f>
        <v>Round 1313 CT418  10C (S)</v>
      </c>
      <c r="D46" s="306"/>
      <c r="E46" s="305">
        <v>2</v>
      </c>
      <c r="F46" s="305"/>
      <c r="G46" s="306" t="s">
        <v>1073</v>
      </c>
      <c r="H46" s="306">
        <v>14036270</v>
      </c>
      <c r="I46" s="306" t="s">
        <v>1074</v>
      </c>
      <c r="J46" s="248"/>
      <c r="K46" s="248"/>
      <c r="M46" s="248"/>
      <c r="Q46" s="310">
        <v>729689</v>
      </c>
      <c r="R46" s="10"/>
      <c r="S46" s="313">
        <v>3</v>
      </c>
      <c r="W46" s="42">
        <v>729689</v>
      </c>
      <c r="X46" s="116">
        <v>5</v>
      </c>
      <c r="Y46" s="116">
        <v>39</v>
      </c>
      <c r="Z46" s="116"/>
      <c r="AA46" s="391">
        <v>0</v>
      </c>
      <c r="AF46">
        <v>2</v>
      </c>
      <c r="AS46" s="2">
        <v>729689</v>
      </c>
      <c r="AT46" s="10">
        <v>0</v>
      </c>
      <c r="AU46" s="116">
        <v>39</v>
      </c>
      <c r="AV46" s="6">
        <v>0</v>
      </c>
      <c r="AW46" s="116">
        <v>0</v>
      </c>
      <c r="AX46" s="10">
        <v>2</v>
      </c>
      <c r="AY46" s="10"/>
      <c r="AZ46" s="116"/>
    </row>
    <row r="47" spans="1:52" x14ac:dyDescent="0.25">
      <c r="A47" s="308">
        <v>45197</v>
      </c>
      <c r="B47" s="305">
        <v>418525</v>
      </c>
      <c r="C47" s="412" t="str">
        <f>IFERROR(INDEX(Table14[],MATCH($B47,Table14[SAPNo],0),3),"")</f>
        <v>Drop In 1308 CT31   (B)</v>
      </c>
      <c r="D47" s="306"/>
      <c r="E47" s="305">
        <v>1</v>
      </c>
      <c r="F47" s="305"/>
      <c r="G47" s="306" t="s">
        <v>1095</v>
      </c>
      <c r="H47" s="306" t="s">
        <v>1096</v>
      </c>
      <c r="I47" s="306" t="s">
        <v>1097</v>
      </c>
      <c r="J47" s="248"/>
      <c r="K47" s="248"/>
      <c r="M47" s="248"/>
      <c r="Q47" s="310">
        <v>742473</v>
      </c>
      <c r="R47" s="10"/>
      <c r="S47" s="313">
        <v>11</v>
      </c>
      <c r="W47" s="42">
        <v>742473</v>
      </c>
      <c r="X47" s="116"/>
      <c r="Y47" s="116"/>
      <c r="Z47" s="116"/>
      <c r="AA47" s="391">
        <v>0</v>
      </c>
      <c r="AF47">
        <v>1</v>
      </c>
      <c r="AS47" s="2">
        <v>742473</v>
      </c>
      <c r="AT47" s="10"/>
      <c r="AU47" s="116"/>
      <c r="AV47" s="6">
        <v>0</v>
      </c>
      <c r="AW47" s="116">
        <v>0</v>
      </c>
      <c r="AX47" s="10">
        <v>11</v>
      </c>
      <c r="AY47" s="10"/>
      <c r="AZ47" s="116"/>
    </row>
    <row r="48" spans="1:52" x14ac:dyDescent="0.25">
      <c r="A48" s="308">
        <v>45197</v>
      </c>
      <c r="B48" s="305">
        <v>418525</v>
      </c>
      <c r="C48" s="412" t="str">
        <f>IFERROR(INDEX(Table14[],MATCH($B48,Table14[SAPNo],0),3),"")</f>
        <v>Drop In 1308 CT31   (B)</v>
      </c>
      <c r="D48" s="306"/>
      <c r="E48" s="305">
        <v>6</v>
      </c>
      <c r="F48" s="305"/>
      <c r="G48" s="306" t="s">
        <v>1098</v>
      </c>
      <c r="H48" s="306">
        <v>13885234</v>
      </c>
      <c r="I48" s="306" t="s">
        <v>1099</v>
      </c>
      <c r="J48" s="248"/>
      <c r="K48" s="248"/>
      <c r="M48" s="248"/>
      <c r="Q48" s="310">
        <v>742617</v>
      </c>
      <c r="R48" s="10"/>
      <c r="S48" s="313">
        <v>2</v>
      </c>
      <c r="W48" s="42">
        <v>742617</v>
      </c>
      <c r="X48" s="116"/>
      <c r="Y48" s="116"/>
      <c r="Z48" s="116"/>
      <c r="AA48" s="391">
        <v>0</v>
      </c>
      <c r="AF48">
        <v>6</v>
      </c>
      <c r="AS48" s="2">
        <v>742617</v>
      </c>
      <c r="AT48" s="10"/>
      <c r="AU48" s="116"/>
      <c r="AV48" s="6">
        <v>0</v>
      </c>
      <c r="AW48" s="116">
        <v>0</v>
      </c>
      <c r="AX48" s="10">
        <v>2</v>
      </c>
      <c r="AY48" s="10"/>
      <c r="AZ48" s="116"/>
    </row>
    <row r="49" spans="1:52" x14ac:dyDescent="0.25">
      <c r="A49" s="308">
        <v>45197</v>
      </c>
      <c r="B49" s="305">
        <v>1130198</v>
      </c>
      <c r="C49" s="412" t="str">
        <f>IFERROR(INDEX(Table14[],MATCH($B49,Table14[SAPNo],0),3),"")</f>
        <v>Round 1613 CT182  0.018" (S)</v>
      </c>
      <c r="D49" s="306"/>
      <c r="E49" s="305">
        <v>33</v>
      </c>
      <c r="F49" s="305"/>
      <c r="G49" s="306" t="s">
        <v>1098</v>
      </c>
      <c r="H49" s="306">
        <v>13885234</v>
      </c>
      <c r="I49" s="306" t="s">
        <v>1099</v>
      </c>
      <c r="J49" s="248"/>
      <c r="K49" s="248"/>
      <c r="M49" s="248"/>
      <c r="Q49" s="310">
        <v>882800</v>
      </c>
      <c r="R49" s="10">
        <v>259</v>
      </c>
      <c r="S49" s="313">
        <v>16</v>
      </c>
      <c r="W49" s="42">
        <v>882800</v>
      </c>
      <c r="X49" s="116"/>
      <c r="Y49" s="116"/>
      <c r="Z49" s="116"/>
      <c r="AA49" s="391">
        <v>18</v>
      </c>
      <c r="AF49">
        <v>33</v>
      </c>
      <c r="AS49" s="2">
        <v>882800</v>
      </c>
      <c r="AT49" s="10"/>
      <c r="AU49" s="116"/>
      <c r="AV49" s="6">
        <v>0</v>
      </c>
      <c r="AW49" s="116">
        <v>8</v>
      </c>
      <c r="AX49" s="10">
        <v>40</v>
      </c>
      <c r="AY49" s="10"/>
      <c r="AZ49" s="116"/>
    </row>
    <row r="50" spans="1:52" x14ac:dyDescent="0.25">
      <c r="A50" s="308">
        <v>45197</v>
      </c>
      <c r="B50" s="305">
        <v>1130197</v>
      </c>
      <c r="C50" s="412" t="str">
        <f>IFERROR(INDEX(Table14[],MATCH($B50,Table14[SAPNo],0),3),"")</f>
        <v>Round 1608 CT182  0.018" (S)</v>
      </c>
      <c r="D50" s="306"/>
      <c r="E50" s="305">
        <v>23</v>
      </c>
      <c r="F50" s="305"/>
      <c r="G50" s="306" t="s">
        <v>1098</v>
      </c>
      <c r="H50" s="306">
        <v>13885234</v>
      </c>
      <c r="I50" s="306" t="s">
        <v>1099</v>
      </c>
      <c r="J50" s="248"/>
      <c r="K50" s="248"/>
      <c r="M50" s="248"/>
      <c r="Q50" s="310">
        <v>729690</v>
      </c>
      <c r="R50" s="10"/>
      <c r="S50" s="313">
        <v>23</v>
      </c>
      <c r="W50" s="42">
        <v>729690</v>
      </c>
      <c r="X50" s="116"/>
      <c r="Y50" s="116"/>
      <c r="Z50" s="116"/>
      <c r="AA50" s="391">
        <v>0</v>
      </c>
      <c r="AF50">
        <v>23</v>
      </c>
      <c r="AS50" s="2">
        <v>729690</v>
      </c>
      <c r="AT50" s="10"/>
      <c r="AU50" s="116"/>
      <c r="AV50" s="6">
        <v>0</v>
      </c>
      <c r="AW50" s="116">
        <v>0</v>
      </c>
      <c r="AX50" s="10">
        <v>0</v>
      </c>
      <c r="AY50" s="10"/>
      <c r="AZ50" s="116"/>
    </row>
    <row r="51" spans="1:52" x14ac:dyDescent="0.25">
      <c r="A51" s="308">
        <v>45197</v>
      </c>
      <c r="B51" s="305">
        <v>418525</v>
      </c>
      <c r="C51" s="412" t="str">
        <f>IFERROR(INDEX(Table14[],MATCH($B51,Table14[SAPNo],0),3),"")</f>
        <v>Drop In 1308 CT31   (B)</v>
      </c>
      <c r="D51" s="306"/>
      <c r="E51" s="305">
        <v>6</v>
      </c>
      <c r="F51" s="305"/>
      <c r="G51" s="306" t="s">
        <v>1100</v>
      </c>
      <c r="H51" s="306">
        <v>13885446</v>
      </c>
      <c r="I51" s="306" t="s">
        <v>1099</v>
      </c>
      <c r="J51" s="248"/>
      <c r="K51" s="248"/>
      <c r="M51" s="248"/>
      <c r="Q51" s="310">
        <v>1010264</v>
      </c>
      <c r="R51" s="10"/>
      <c r="S51" s="313">
        <v>5</v>
      </c>
      <c r="W51" s="42">
        <v>1010264</v>
      </c>
      <c r="X51" s="116"/>
      <c r="Y51" s="116"/>
      <c r="Z51" s="116"/>
      <c r="AA51" s="391">
        <v>0</v>
      </c>
      <c r="AF51">
        <v>6</v>
      </c>
      <c r="AS51" s="2">
        <v>1010264</v>
      </c>
      <c r="AT51" s="10"/>
      <c r="AU51" s="116"/>
      <c r="AV51" s="6">
        <v>0</v>
      </c>
      <c r="AW51" s="116">
        <v>0</v>
      </c>
      <c r="AX51" s="10">
        <v>5</v>
      </c>
      <c r="AY51" s="10"/>
      <c r="AZ51" s="116"/>
    </row>
    <row r="52" spans="1:52" x14ac:dyDescent="0.25">
      <c r="A52" s="308">
        <v>45197</v>
      </c>
      <c r="B52" s="305">
        <v>1130198</v>
      </c>
      <c r="C52" s="412" t="str">
        <f>IFERROR(INDEX(Table14[],MATCH($B52,Table14[SAPNo],0),3),"")</f>
        <v>Round 1613 CT182  0.018" (S)</v>
      </c>
      <c r="D52" s="306"/>
      <c r="E52" s="305">
        <v>33</v>
      </c>
      <c r="F52" s="305"/>
      <c r="G52" s="306" t="s">
        <v>1100</v>
      </c>
      <c r="H52" s="306">
        <v>13885446</v>
      </c>
      <c r="I52" s="306" t="s">
        <v>1099</v>
      </c>
      <c r="J52" s="248"/>
      <c r="K52" s="248"/>
      <c r="M52" s="248"/>
      <c r="Q52" s="310">
        <v>930925</v>
      </c>
      <c r="R52" s="10"/>
      <c r="S52" s="313">
        <v>7</v>
      </c>
      <c r="W52" s="42">
        <v>930925</v>
      </c>
      <c r="X52" s="116"/>
      <c r="Y52" s="116"/>
      <c r="Z52" s="116"/>
      <c r="AA52" s="391">
        <v>0</v>
      </c>
      <c r="AF52">
        <v>33</v>
      </c>
      <c r="AS52" s="2">
        <v>930925</v>
      </c>
      <c r="AT52" s="10"/>
      <c r="AU52" s="116"/>
      <c r="AV52" s="6">
        <v>0</v>
      </c>
      <c r="AW52" s="116">
        <v>0</v>
      </c>
      <c r="AX52" s="10">
        <v>0</v>
      </c>
      <c r="AY52" s="10"/>
      <c r="AZ52" s="116"/>
    </row>
    <row r="53" spans="1:52" x14ac:dyDescent="0.25">
      <c r="A53" s="308">
        <v>45197</v>
      </c>
      <c r="B53" s="305">
        <v>1130197</v>
      </c>
      <c r="C53" s="412" t="str">
        <f>IFERROR(INDEX(Table14[],MATCH($B53,Table14[SAPNo],0),3),"")</f>
        <v>Round 1608 CT182  0.018" (S)</v>
      </c>
      <c r="D53" s="306"/>
      <c r="E53" s="305">
        <v>23</v>
      </c>
      <c r="F53" s="305"/>
      <c r="G53" s="306" t="s">
        <v>1100</v>
      </c>
      <c r="H53" s="306">
        <v>13885446</v>
      </c>
      <c r="I53" s="306" t="s">
        <v>1099</v>
      </c>
      <c r="J53" s="248"/>
      <c r="K53" s="248"/>
      <c r="M53" s="248"/>
      <c r="Q53" s="310">
        <v>752563</v>
      </c>
      <c r="R53" s="10"/>
      <c r="S53" s="313">
        <v>0</v>
      </c>
      <c r="W53" s="42">
        <v>752563</v>
      </c>
      <c r="X53" s="116"/>
      <c r="Y53" s="116"/>
      <c r="Z53" s="116"/>
      <c r="AA53" s="391">
        <v>0</v>
      </c>
      <c r="AF53">
        <v>23</v>
      </c>
      <c r="AS53" s="2">
        <v>752563</v>
      </c>
      <c r="AT53" s="10"/>
      <c r="AU53" s="116"/>
      <c r="AV53" s="6">
        <v>0</v>
      </c>
      <c r="AW53" s="116">
        <v>0</v>
      </c>
      <c r="AX53" s="10">
        <v>0</v>
      </c>
      <c r="AY53" s="10"/>
      <c r="AZ53" s="116"/>
    </row>
    <row r="54" spans="1:52" x14ac:dyDescent="0.25">
      <c r="A54" s="308">
        <v>45200</v>
      </c>
      <c r="B54" s="305">
        <v>708306</v>
      </c>
      <c r="C54" s="412" t="str">
        <f>IFERROR(INDEX(Table14[],MATCH($B54,Table14[SAPNo],0),3),"")</f>
        <v>Round 1913 CT200  0.018" (B)</v>
      </c>
      <c r="D54" s="306"/>
      <c r="E54" s="305">
        <v>7</v>
      </c>
      <c r="F54" s="305"/>
      <c r="G54" s="306" t="s">
        <v>1101</v>
      </c>
      <c r="H54" s="306">
        <v>13899519</v>
      </c>
      <c r="I54" s="306" t="s">
        <v>1090</v>
      </c>
      <c r="J54" s="248"/>
      <c r="K54" s="248"/>
      <c r="M54" s="248"/>
      <c r="Q54" s="310">
        <v>708306</v>
      </c>
      <c r="R54" s="10">
        <v>419</v>
      </c>
      <c r="S54" s="313">
        <v>58</v>
      </c>
      <c r="W54" s="42">
        <v>708306</v>
      </c>
      <c r="X54" s="116"/>
      <c r="Y54" s="116"/>
      <c r="Z54" s="116"/>
      <c r="AA54" s="391">
        <v>1</v>
      </c>
      <c r="AF54">
        <v>7</v>
      </c>
      <c r="AS54" s="2">
        <v>708306</v>
      </c>
      <c r="AT54" s="10"/>
      <c r="AU54" s="116"/>
      <c r="AV54" s="6">
        <v>0</v>
      </c>
      <c r="AW54" s="116">
        <v>1</v>
      </c>
      <c r="AX54" s="10">
        <v>46</v>
      </c>
      <c r="AY54" s="10"/>
      <c r="AZ54" s="116"/>
    </row>
    <row r="55" spans="1:52" x14ac:dyDescent="0.25">
      <c r="A55" s="308">
        <v>45201</v>
      </c>
      <c r="B55" s="305">
        <v>1209410</v>
      </c>
      <c r="C55" s="412" t="str">
        <f>IFERROR(INDEX(Table14[],MATCH($B55,Table14[SAPNo],0),3),"")</f>
        <v>1613 CT430MV3 U TBO</v>
      </c>
      <c r="D55" s="306"/>
      <c r="E55" s="305">
        <v>10</v>
      </c>
      <c r="F55" s="305"/>
      <c r="G55" s="306" t="s">
        <v>1102</v>
      </c>
      <c r="H55" s="306">
        <v>14056722</v>
      </c>
      <c r="I55" s="306" t="s">
        <v>1092</v>
      </c>
      <c r="J55" s="248"/>
      <c r="K55" s="248"/>
      <c r="M55" s="248"/>
      <c r="Q55" s="310">
        <v>744015</v>
      </c>
      <c r="R55" s="10"/>
      <c r="S55" s="313">
        <v>0</v>
      </c>
      <c r="W55" s="42">
        <v>744015</v>
      </c>
      <c r="X55" s="116"/>
      <c r="Y55" s="116"/>
      <c r="Z55" s="116"/>
      <c r="AA55" s="391">
        <v>17</v>
      </c>
      <c r="AF55">
        <v>10</v>
      </c>
      <c r="AS55" s="2">
        <v>744015</v>
      </c>
      <c r="AT55" s="10"/>
      <c r="AU55" s="116"/>
      <c r="AV55" s="6">
        <v>0</v>
      </c>
      <c r="AW55" s="116">
        <v>0</v>
      </c>
      <c r="AX55" s="10">
        <v>0</v>
      </c>
      <c r="AY55" s="10"/>
      <c r="AZ55" s="116"/>
    </row>
    <row r="56" spans="1:52" x14ac:dyDescent="0.25">
      <c r="A56" s="308">
        <v>45201</v>
      </c>
      <c r="B56" s="305">
        <v>1100741</v>
      </c>
      <c r="C56" s="412" t="str">
        <f>IFERROR(INDEX(Table14[],MATCH($B56,Table14[SAPNo],0),3),"")</f>
        <v>Round 1613 CT418  0.018" (S)</v>
      </c>
      <c r="D56" s="306"/>
      <c r="E56" s="305">
        <v>10</v>
      </c>
      <c r="F56" s="305"/>
      <c r="G56" s="306" t="s">
        <v>1102</v>
      </c>
      <c r="H56" s="306">
        <v>14056722</v>
      </c>
      <c r="I56" s="306" t="s">
        <v>1092</v>
      </c>
      <c r="J56" s="248"/>
      <c r="K56" s="248"/>
      <c r="M56" s="248"/>
      <c r="Q56" s="310">
        <v>932725</v>
      </c>
      <c r="R56" s="10"/>
      <c r="S56" s="313">
        <v>0</v>
      </c>
      <c r="W56" s="42">
        <v>932725</v>
      </c>
      <c r="X56" s="116"/>
      <c r="Y56" s="116"/>
      <c r="Z56" s="116"/>
      <c r="AA56" s="391">
        <v>0</v>
      </c>
      <c r="AF56">
        <v>10</v>
      </c>
      <c r="AS56" s="2">
        <v>932725</v>
      </c>
      <c r="AT56" s="10"/>
      <c r="AU56" s="116"/>
      <c r="AV56" s="6">
        <v>0</v>
      </c>
      <c r="AW56" s="116">
        <v>0</v>
      </c>
      <c r="AX56" s="10">
        <v>0</v>
      </c>
      <c r="AY56" s="10"/>
      <c r="AZ56" s="116"/>
    </row>
    <row r="57" spans="1:52" x14ac:dyDescent="0.25">
      <c r="A57" s="308">
        <v>45201</v>
      </c>
      <c r="B57" s="305">
        <v>1112229</v>
      </c>
      <c r="C57" s="412" t="str">
        <f>IFERROR(INDEX(Table14[],MATCH($B57,Table14[SAPNo],0),3),"")</f>
        <v>1613 CT147 18C</v>
      </c>
      <c r="D57" s="306"/>
      <c r="E57" s="305">
        <v>30</v>
      </c>
      <c r="F57" s="305"/>
      <c r="G57" s="306" t="s">
        <v>1102</v>
      </c>
      <c r="H57" s="306">
        <v>14056722</v>
      </c>
      <c r="I57" s="306" t="s">
        <v>1092</v>
      </c>
      <c r="J57" s="248"/>
      <c r="K57" s="248"/>
      <c r="M57" s="248"/>
      <c r="Q57" s="310">
        <v>983094</v>
      </c>
      <c r="R57" s="10"/>
      <c r="S57" s="313">
        <v>0</v>
      </c>
      <c r="W57" s="42">
        <v>983094</v>
      </c>
      <c r="X57" s="116"/>
      <c r="Y57" s="116"/>
      <c r="Z57" s="116"/>
      <c r="AA57" s="391">
        <v>0</v>
      </c>
      <c r="AF57">
        <v>30</v>
      </c>
      <c r="AS57" s="2">
        <v>983094</v>
      </c>
      <c r="AT57" s="10"/>
      <c r="AU57" s="116"/>
      <c r="AV57" s="6">
        <v>0</v>
      </c>
      <c r="AW57" s="116">
        <v>0</v>
      </c>
      <c r="AX57" s="10">
        <v>0</v>
      </c>
      <c r="AY57" s="10"/>
      <c r="AZ57" s="116"/>
    </row>
    <row r="58" spans="1:52" x14ac:dyDescent="0.25">
      <c r="A58" s="308">
        <v>45201</v>
      </c>
      <c r="B58" s="305">
        <v>1130196</v>
      </c>
      <c r="C58" s="412" t="str">
        <f>IFERROR(INDEX(Table14[],MATCH($B58,Table14[SAPNo],0),3),"")</f>
        <v>Round 1313 CT182  0.018" (S)</v>
      </c>
      <c r="D58" s="306"/>
      <c r="E58" s="305">
        <v>22</v>
      </c>
      <c r="F58" s="305"/>
      <c r="G58" s="306" t="s">
        <v>1102</v>
      </c>
      <c r="H58" s="306">
        <v>14056722</v>
      </c>
      <c r="I58" s="306" t="s">
        <v>1092</v>
      </c>
      <c r="J58" s="248"/>
      <c r="K58" s="248"/>
      <c r="M58" s="248"/>
      <c r="Q58" s="310">
        <v>752555</v>
      </c>
      <c r="R58" s="10"/>
      <c r="S58" s="313">
        <v>1</v>
      </c>
      <c r="W58" s="42">
        <v>752555</v>
      </c>
      <c r="X58" s="116"/>
      <c r="Y58" s="116"/>
      <c r="Z58" s="116"/>
      <c r="AA58" s="391">
        <v>0</v>
      </c>
      <c r="AF58">
        <v>22</v>
      </c>
      <c r="AS58" s="2">
        <v>752555</v>
      </c>
      <c r="AT58" s="10"/>
      <c r="AU58" s="116"/>
      <c r="AV58" s="6">
        <v>0</v>
      </c>
      <c r="AW58" s="116">
        <v>0</v>
      </c>
      <c r="AX58" s="10">
        <v>1</v>
      </c>
      <c r="AY58" s="10"/>
      <c r="AZ58" s="116"/>
    </row>
    <row r="59" spans="1:52" x14ac:dyDescent="0.25">
      <c r="A59" s="308">
        <v>45201</v>
      </c>
      <c r="B59" s="305">
        <v>871781</v>
      </c>
      <c r="C59" s="412" t="str">
        <f>IFERROR(INDEX(Table14[],MATCH($B59,Table14[SAPNo],0),3),"")</f>
        <v>Round 1313 CT200  0.018" (B)</v>
      </c>
      <c r="D59" s="306"/>
      <c r="E59" s="305">
        <v>5</v>
      </c>
      <c r="F59" s="305"/>
      <c r="G59" s="306" t="s">
        <v>1102</v>
      </c>
      <c r="H59" s="306">
        <v>14056722</v>
      </c>
      <c r="I59" s="306" t="s">
        <v>1092</v>
      </c>
      <c r="J59" s="248"/>
      <c r="K59" s="248"/>
      <c r="M59" s="248"/>
      <c r="Q59" s="310">
        <v>647436</v>
      </c>
      <c r="R59" s="10">
        <v>348</v>
      </c>
      <c r="S59" s="313">
        <v>18</v>
      </c>
      <c r="W59" s="42">
        <v>647436</v>
      </c>
      <c r="X59" s="116"/>
      <c r="Y59" s="116">
        <v>43</v>
      </c>
      <c r="Z59" s="116">
        <v>1</v>
      </c>
      <c r="AA59" s="391">
        <v>1</v>
      </c>
      <c r="AF59">
        <v>5</v>
      </c>
      <c r="AS59" s="2">
        <v>647436</v>
      </c>
      <c r="AT59" s="10">
        <v>0</v>
      </c>
      <c r="AU59" s="116">
        <v>42</v>
      </c>
      <c r="AV59" s="6">
        <v>0</v>
      </c>
      <c r="AW59" s="116">
        <v>1</v>
      </c>
      <c r="AX59" s="10">
        <v>449</v>
      </c>
      <c r="AY59" s="10">
        <v>4</v>
      </c>
      <c r="AZ59" s="116"/>
    </row>
    <row r="60" spans="1:52" x14ac:dyDescent="0.25">
      <c r="A60" s="308">
        <v>45201</v>
      </c>
      <c r="B60" s="305">
        <v>1175118</v>
      </c>
      <c r="C60" s="412" t="str">
        <f>IFERROR(INDEX(Table14[],MATCH($B60,Table14[SAPNo],0),3),"")</f>
        <v>1613 CT147 18-60</v>
      </c>
      <c r="D60" s="306"/>
      <c r="E60" s="305">
        <v>17</v>
      </c>
      <c r="F60" s="305"/>
      <c r="G60" s="306" t="s">
        <v>1103</v>
      </c>
      <c r="H60" s="306">
        <v>14056980</v>
      </c>
      <c r="I60" s="306" t="s">
        <v>1104</v>
      </c>
      <c r="J60" s="248"/>
      <c r="K60" s="248"/>
      <c r="M60" s="248"/>
      <c r="Q60" s="310">
        <v>871781</v>
      </c>
      <c r="R60" s="10">
        <v>128</v>
      </c>
      <c r="S60" s="313">
        <v>7</v>
      </c>
      <c r="W60" s="42">
        <v>871781</v>
      </c>
      <c r="X60" s="116">
        <v>12</v>
      </c>
      <c r="Y60" s="116"/>
      <c r="Z60" s="116">
        <v>2</v>
      </c>
      <c r="AA60" s="391">
        <v>15</v>
      </c>
      <c r="AF60">
        <v>17</v>
      </c>
      <c r="AS60" s="2">
        <v>871781</v>
      </c>
      <c r="AT60" s="10">
        <v>4</v>
      </c>
      <c r="AU60" s="116">
        <v>3</v>
      </c>
      <c r="AV60" s="6">
        <v>0</v>
      </c>
      <c r="AW60" s="116">
        <v>22</v>
      </c>
      <c r="AX60" s="10">
        <v>346</v>
      </c>
      <c r="AY60" s="10">
        <v>7</v>
      </c>
      <c r="AZ60" s="116"/>
    </row>
    <row r="61" spans="1:52" x14ac:dyDescent="0.25">
      <c r="A61" s="308">
        <v>45201</v>
      </c>
      <c r="B61" s="305">
        <v>1078377</v>
      </c>
      <c r="C61" s="412" t="str">
        <f>IFERROR(INDEX(Table14[],MATCH($B61,Table14[SAPNo],0),3),"")</f>
        <v>13MM CT221 R1</v>
      </c>
      <c r="D61" s="306"/>
      <c r="E61" s="305">
        <v>15</v>
      </c>
      <c r="F61" s="305"/>
      <c r="G61" s="306" t="s">
        <v>1103</v>
      </c>
      <c r="H61" s="306">
        <v>14056980</v>
      </c>
      <c r="I61" s="306" t="s">
        <v>1104</v>
      </c>
      <c r="J61" s="248"/>
      <c r="K61" s="248"/>
      <c r="M61" s="248"/>
      <c r="Q61" s="310">
        <v>625854</v>
      </c>
      <c r="R61" s="10">
        <v>176</v>
      </c>
      <c r="S61" s="313">
        <v>96</v>
      </c>
      <c r="W61" s="42">
        <v>625854</v>
      </c>
      <c r="X61" s="116"/>
      <c r="Y61" s="116"/>
      <c r="Z61" s="116"/>
      <c r="AA61" s="391">
        <v>5</v>
      </c>
      <c r="AF61">
        <v>15</v>
      </c>
      <c r="AS61" s="2">
        <v>625854</v>
      </c>
      <c r="AT61" s="10">
        <v>18</v>
      </c>
      <c r="AU61" s="116">
        <v>0</v>
      </c>
      <c r="AV61" s="6"/>
      <c r="AW61" s="116">
        <v>0</v>
      </c>
      <c r="AX61" s="10">
        <f>114+3</f>
        <v>117</v>
      </c>
      <c r="AY61" s="10"/>
      <c r="AZ61" s="116"/>
    </row>
    <row r="62" spans="1:52" x14ac:dyDescent="0.25">
      <c r="A62" s="308">
        <v>45201</v>
      </c>
      <c r="B62" s="305">
        <v>1208601</v>
      </c>
      <c r="C62" s="412" t="str">
        <f>IFERROR(INDEX(Table14[],MATCH($B62,Table14[SAPNo],0),3),"")</f>
        <v>1613 CT418 U-60</v>
      </c>
      <c r="D62" s="306"/>
      <c r="E62" s="305">
        <v>8</v>
      </c>
      <c r="F62" s="305"/>
      <c r="G62" s="306" t="s">
        <v>1103</v>
      </c>
      <c r="H62" s="306">
        <v>14056980</v>
      </c>
      <c r="I62" s="306" t="s">
        <v>1104</v>
      </c>
      <c r="J62" s="248"/>
      <c r="K62" s="248"/>
      <c r="M62" s="248"/>
      <c r="Q62" s="310">
        <v>770451</v>
      </c>
      <c r="R62" s="10"/>
      <c r="S62" s="313">
        <v>12</v>
      </c>
      <c r="W62" s="42">
        <v>770451</v>
      </c>
      <c r="X62" s="116"/>
      <c r="Y62" s="116"/>
      <c r="Z62" s="116"/>
      <c r="AA62" s="391">
        <v>11</v>
      </c>
      <c r="AF62">
        <v>8</v>
      </c>
      <c r="AS62" s="2">
        <v>770451</v>
      </c>
      <c r="AT62" s="10"/>
      <c r="AU62" s="116"/>
      <c r="AV62" s="6">
        <v>0</v>
      </c>
      <c r="AW62" s="116">
        <v>6</v>
      </c>
      <c r="AX62" s="10">
        <v>12</v>
      </c>
      <c r="AY62" s="10"/>
      <c r="AZ62" s="116"/>
    </row>
    <row r="63" spans="1:52" x14ac:dyDescent="0.25">
      <c r="A63" s="308">
        <v>45201</v>
      </c>
      <c r="B63" s="305">
        <v>1238832</v>
      </c>
      <c r="C63" s="412" t="str">
        <f>IFERROR(INDEX(Table14[],MATCH($B63,Table14[SAPNo],0),3),"")</f>
        <v>1613 CT418 25-75</v>
      </c>
      <c r="D63" s="306"/>
      <c r="E63" s="305">
        <v>6</v>
      </c>
      <c r="F63" s="305"/>
      <c r="G63" s="306" t="s">
        <v>1103</v>
      </c>
      <c r="H63" s="306">
        <v>14056980</v>
      </c>
      <c r="I63" s="306" t="s">
        <v>1104</v>
      </c>
      <c r="J63" s="248"/>
      <c r="K63" s="248"/>
      <c r="M63" s="248"/>
      <c r="Q63" s="310">
        <v>755975</v>
      </c>
      <c r="R63" s="10"/>
      <c r="S63" s="313">
        <v>0</v>
      </c>
      <c r="W63" s="42">
        <v>755975</v>
      </c>
      <c r="X63" s="116"/>
      <c r="Y63" s="116"/>
      <c r="Z63" s="116"/>
      <c r="AA63" s="391">
        <v>2</v>
      </c>
      <c r="AF63">
        <v>6</v>
      </c>
      <c r="AS63" s="2">
        <v>755975</v>
      </c>
      <c r="AT63" s="10"/>
      <c r="AU63" s="116"/>
      <c r="AV63" s="6">
        <v>0</v>
      </c>
      <c r="AW63" s="116">
        <v>1</v>
      </c>
      <c r="AX63" s="10">
        <v>0</v>
      </c>
      <c r="AY63" s="10"/>
      <c r="AZ63" s="116"/>
    </row>
    <row r="64" spans="1:52" x14ac:dyDescent="0.25">
      <c r="A64" s="308">
        <v>45201</v>
      </c>
      <c r="B64" s="305">
        <v>418525</v>
      </c>
      <c r="C64" s="412" t="str">
        <f>IFERROR(INDEX(Table14[],MATCH($B64,Table14[SAPNo],0),3),"")</f>
        <v>Drop In 1308 CT31   (B)</v>
      </c>
      <c r="D64" s="306"/>
      <c r="E64" s="305">
        <v>6</v>
      </c>
      <c r="F64" s="305"/>
      <c r="G64" s="306" t="s">
        <v>1103</v>
      </c>
      <c r="H64" s="306">
        <v>14056980</v>
      </c>
      <c r="I64" s="306" t="s">
        <v>1104</v>
      </c>
      <c r="J64" s="248"/>
      <c r="K64" s="248"/>
      <c r="M64" s="248"/>
      <c r="Q64" s="310">
        <v>745338</v>
      </c>
      <c r="R64" s="10"/>
      <c r="S64" s="313">
        <v>0</v>
      </c>
      <c r="W64" s="42">
        <v>745338</v>
      </c>
      <c r="X64" s="116"/>
      <c r="Y64" s="116"/>
      <c r="Z64" s="116"/>
      <c r="AA64" s="391">
        <v>14</v>
      </c>
      <c r="AF64">
        <v>6</v>
      </c>
      <c r="AS64" s="2">
        <v>745338</v>
      </c>
      <c r="AT64" s="10"/>
      <c r="AU64" s="116"/>
      <c r="AV64" s="6">
        <v>0</v>
      </c>
      <c r="AW64" s="116">
        <v>4</v>
      </c>
      <c r="AX64" s="10">
        <v>0</v>
      </c>
      <c r="AY64" s="10"/>
      <c r="AZ64" s="116"/>
    </row>
    <row r="65" spans="1:52" x14ac:dyDescent="0.25">
      <c r="A65" s="308">
        <v>45202</v>
      </c>
      <c r="B65" s="305">
        <v>647436</v>
      </c>
      <c r="C65" s="412" t="str">
        <f>IFERROR(INDEX(Table14[],MATCH($B65,Table14[SAPNo],0),3),"")</f>
        <v>Round 1613 CT200  0.018" (B)</v>
      </c>
      <c r="D65" s="306"/>
      <c r="E65" s="305">
        <v>31</v>
      </c>
      <c r="F65" s="305"/>
      <c r="G65" s="306" t="s">
        <v>1105</v>
      </c>
      <c r="H65" s="306">
        <v>14036275</v>
      </c>
      <c r="I65" s="306" t="s">
        <v>1106</v>
      </c>
      <c r="J65" s="248"/>
      <c r="K65" s="248"/>
      <c r="M65" s="248"/>
      <c r="Q65" s="310">
        <v>642299</v>
      </c>
      <c r="R65" s="10"/>
      <c r="S65" s="313">
        <v>0</v>
      </c>
      <c r="W65" s="42">
        <v>642299</v>
      </c>
      <c r="X65" s="116"/>
      <c r="Y65" s="116"/>
      <c r="Z65" s="116"/>
      <c r="AA65" s="391">
        <v>1</v>
      </c>
      <c r="AF65">
        <v>31</v>
      </c>
      <c r="AS65" s="2">
        <v>642299</v>
      </c>
      <c r="AT65" s="10"/>
      <c r="AU65" s="116"/>
      <c r="AV65" s="6">
        <v>0</v>
      </c>
      <c r="AW65" s="116">
        <v>0</v>
      </c>
      <c r="AX65" s="10">
        <v>0</v>
      </c>
      <c r="AY65" s="10"/>
      <c r="AZ65" s="116"/>
    </row>
    <row r="66" spans="1:52" x14ac:dyDescent="0.25">
      <c r="A66" s="308">
        <v>45202</v>
      </c>
      <c r="B66" s="305">
        <v>418525</v>
      </c>
      <c r="C66" s="412" t="str">
        <f>IFERROR(INDEX(Table14[],MATCH($B66,Table14[SAPNo],0),3),"")</f>
        <v>Drop In 1308 CT31   (B)</v>
      </c>
      <c r="D66" s="306"/>
      <c r="E66" s="305">
        <v>8</v>
      </c>
      <c r="F66" s="305"/>
      <c r="G66" s="306" t="s">
        <v>1105</v>
      </c>
      <c r="H66" s="306">
        <v>14036275</v>
      </c>
      <c r="I66" s="306" t="s">
        <v>1106</v>
      </c>
      <c r="J66" s="248"/>
      <c r="K66" s="248"/>
      <c r="M66" s="248"/>
      <c r="Q66" s="310">
        <v>661065</v>
      </c>
      <c r="R66" s="10"/>
      <c r="S66" s="313">
        <v>11</v>
      </c>
      <c r="W66" s="385">
        <v>661065</v>
      </c>
      <c r="X66" s="116"/>
      <c r="Y66" s="116"/>
      <c r="Z66" s="116"/>
      <c r="AA66" s="391">
        <v>0</v>
      </c>
      <c r="AF66">
        <v>8</v>
      </c>
      <c r="AS66" s="2">
        <v>661065</v>
      </c>
      <c r="AT66" s="10"/>
      <c r="AU66" s="116"/>
      <c r="AV66" s="6">
        <v>0</v>
      </c>
      <c r="AW66" s="116">
        <v>0</v>
      </c>
      <c r="AX66" s="10">
        <v>11</v>
      </c>
      <c r="AY66" s="10"/>
      <c r="AZ66" s="116"/>
    </row>
    <row r="67" spans="1:52" x14ac:dyDescent="0.25">
      <c r="A67" s="308">
        <v>45202</v>
      </c>
      <c r="B67" s="305">
        <v>1130198</v>
      </c>
      <c r="C67" s="412" t="str">
        <f>IFERROR(INDEX(Table14[],MATCH($B67,Table14[SAPNo],0),3),"")</f>
        <v>Round 1613 CT182  0.018" (S)</v>
      </c>
      <c r="D67" s="306"/>
      <c r="E67" s="305">
        <v>50</v>
      </c>
      <c r="F67" s="305"/>
      <c r="G67" s="306" t="s">
        <v>1105</v>
      </c>
      <c r="H67" s="306">
        <v>14036275</v>
      </c>
      <c r="I67" s="306" t="s">
        <v>1106</v>
      </c>
      <c r="J67" s="248"/>
      <c r="K67" s="248"/>
      <c r="M67" s="248"/>
      <c r="Q67" s="310">
        <v>738227</v>
      </c>
      <c r="R67" s="10"/>
      <c r="S67" s="313">
        <v>69</v>
      </c>
      <c r="W67" s="385">
        <v>738227</v>
      </c>
      <c r="X67" s="116"/>
      <c r="Y67" s="116"/>
      <c r="Z67" s="116"/>
      <c r="AA67" s="391">
        <v>0</v>
      </c>
      <c r="AF67">
        <v>50</v>
      </c>
      <c r="AS67" s="2">
        <v>738227</v>
      </c>
      <c r="AT67" s="10"/>
      <c r="AU67" s="116"/>
      <c r="AV67" s="6">
        <v>0</v>
      </c>
      <c r="AW67" s="116">
        <v>0</v>
      </c>
      <c r="AX67" s="10">
        <v>69</v>
      </c>
      <c r="AY67" s="10"/>
      <c r="AZ67" s="116"/>
    </row>
    <row r="68" spans="1:52" x14ac:dyDescent="0.25">
      <c r="A68" s="308">
        <v>45202</v>
      </c>
      <c r="B68" s="305">
        <v>418525</v>
      </c>
      <c r="C68" s="412" t="str">
        <f>IFERROR(INDEX(Table14[],MATCH($B68,Table14[SAPNo],0),3),"")</f>
        <v>Drop In 1308 CT31   (B)</v>
      </c>
      <c r="D68" s="306"/>
      <c r="E68" s="305">
        <v>10</v>
      </c>
      <c r="F68" s="305"/>
      <c r="G68" s="306" t="s">
        <v>1107</v>
      </c>
      <c r="H68" s="306">
        <v>14023085</v>
      </c>
      <c r="I68" s="306" t="s">
        <v>1108</v>
      </c>
      <c r="J68" s="248"/>
      <c r="K68" s="248"/>
      <c r="M68" s="248"/>
      <c r="Q68" s="310">
        <v>886466</v>
      </c>
      <c r="R68" s="10"/>
      <c r="S68" s="313">
        <v>7</v>
      </c>
      <c r="W68" s="42">
        <v>886466</v>
      </c>
      <c r="X68" s="116"/>
      <c r="Y68" s="116"/>
      <c r="Z68" s="116"/>
      <c r="AA68" s="391">
        <v>0</v>
      </c>
      <c r="AF68">
        <v>10</v>
      </c>
      <c r="AS68" s="2">
        <v>886466</v>
      </c>
      <c r="AT68" s="10"/>
      <c r="AU68" s="116"/>
      <c r="AV68" s="6">
        <v>0</v>
      </c>
      <c r="AW68" s="116">
        <v>0</v>
      </c>
      <c r="AX68" s="10">
        <v>7</v>
      </c>
      <c r="AY68" s="10"/>
      <c r="AZ68" s="116"/>
    </row>
    <row r="69" spans="1:52" x14ac:dyDescent="0.25">
      <c r="A69" s="308">
        <v>45202</v>
      </c>
      <c r="B69" s="305">
        <v>1244299</v>
      </c>
      <c r="C69" s="412" t="str">
        <f>IFERROR(INDEX(Table14[],MATCH($B69,Table14[SAPNo],0),3),"")</f>
        <v>1313 CT147CV4 U</v>
      </c>
      <c r="D69" s="306"/>
      <c r="E69" s="305">
        <v>7</v>
      </c>
      <c r="F69" s="305"/>
      <c r="G69" s="306" t="s">
        <v>1107</v>
      </c>
      <c r="H69" s="306">
        <v>14023085</v>
      </c>
      <c r="I69" s="306" t="s">
        <v>1108</v>
      </c>
      <c r="J69" s="248"/>
      <c r="K69" s="248"/>
      <c r="M69" s="248"/>
      <c r="Q69" s="310">
        <v>887028</v>
      </c>
      <c r="R69" s="10"/>
      <c r="S69" s="313">
        <v>26</v>
      </c>
      <c r="W69" s="42">
        <v>887028</v>
      </c>
      <c r="X69" s="116"/>
      <c r="Y69" s="116"/>
      <c r="Z69" s="116"/>
      <c r="AA69" s="391">
        <v>0</v>
      </c>
      <c r="AF69">
        <v>7</v>
      </c>
      <c r="AS69" s="2">
        <v>887028</v>
      </c>
      <c r="AT69" s="10"/>
      <c r="AU69" s="116">
        <v>0</v>
      </c>
      <c r="AV69" s="6">
        <v>12</v>
      </c>
      <c r="AW69" s="116">
        <v>0</v>
      </c>
      <c r="AX69" s="10">
        <v>0</v>
      </c>
      <c r="AY69" s="10"/>
      <c r="AZ69" s="116"/>
    </row>
    <row r="70" spans="1:52" x14ac:dyDescent="0.25">
      <c r="A70" s="308">
        <v>45202</v>
      </c>
      <c r="B70" s="305">
        <v>1145493</v>
      </c>
      <c r="C70" s="412" t="str">
        <f>IFERROR(INDEX(Table14[],MATCH($B70,Table14[SAPNo],0),3),"")</f>
        <v>Round 1313 CT427  10C (S)</v>
      </c>
      <c r="D70" s="306"/>
      <c r="E70" s="305">
        <v>16</v>
      </c>
      <c r="F70" s="305"/>
      <c r="G70" s="306" t="s">
        <v>1107</v>
      </c>
      <c r="H70" s="306">
        <v>14023085</v>
      </c>
      <c r="I70" s="306" t="s">
        <v>1108</v>
      </c>
      <c r="J70" s="374"/>
      <c r="K70" s="248"/>
      <c r="M70" s="248"/>
      <c r="Q70" s="310">
        <v>773384</v>
      </c>
      <c r="R70" s="10">
        <v>70</v>
      </c>
      <c r="S70" s="313">
        <v>13</v>
      </c>
      <c r="W70" s="42">
        <v>773384</v>
      </c>
      <c r="X70" s="116"/>
      <c r="Y70" s="116"/>
      <c r="Z70" s="116"/>
      <c r="AA70" s="391">
        <v>0</v>
      </c>
      <c r="AF70">
        <v>16</v>
      </c>
      <c r="AS70" s="2">
        <v>773384</v>
      </c>
      <c r="AT70" s="10"/>
      <c r="AU70" s="116"/>
      <c r="AV70" s="6">
        <v>0</v>
      </c>
      <c r="AW70" s="116">
        <v>0</v>
      </c>
      <c r="AX70" s="10">
        <v>53</v>
      </c>
      <c r="AY70" s="10"/>
      <c r="AZ70" s="116"/>
    </row>
    <row r="71" spans="1:52" x14ac:dyDescent="0.25">
      <c r="A71" s="308">
        <v>45202</v>
      </c>
      <c r="B71" s="305">
        <v>1175118</v>
      </c>
      <c r="C71" s="412" t="str">
        <f>IFERROR(INDEX(Table14[],MATCH($B71,Table14[SAPNo],0),3),"")</f>
        <v>1613 CT147 18-60</v>
      </c>
      <c r="D71" s="306"/>
      <c r="E71" s="305">
        <v>17</v>
      </c>
      <c r="F71" s="305"/>
      <c r="G71" s="306" t="s">
        <v>1109</v>
      </c>
      <c r="H71" s="306">
        <v>14056978</v>
      </c>
      <c r="I71" s="306" t="s">
        <v>1104</v>
      </c>
      <c r="J71" s="248"/>
      <c r="K71" s="248"/>
      <c r="M71" s="248"/>
      <c r="Q71" s="310">
        <v>971055</v>
      </c>
      <c r="R71" s="10">
        <v>3</v>
      </c>
      <c r="S71" s="313">
        <v>0</v>
      </c>
      <c r="W71" s="42">
        <v>971055</v>
      </c>
      <c r="X71" s="116"/>
      <c r="Y71" s="116"/>
      <c r="Z71" s="116"/>
      <c r="AA71" s="410">
        <f>34+6</f>
        <v>40</v>
      </c>
      <c r="AF71">
        <v>17</v>
      </c>
      <c r="AS71" s="2">
        <v>971055</v>
      </c>
      <c r="AT71" s="10"/>
      <c r="AU71" s="116"/>
      <c r="AV71" s="6">
        <v>0</v>
      </c>
      <c r="AW71" s="116">
        <v>22</v>
      </c>
      <c r="AX71" s="10">
        <v>0</v>
      </c>
      <c r="AY71" s="10"/>
      <c r="AZ71" s="116"/>
    </row>
    <row r="72" spans="1:52" x14ac:dyDescent="0.25">
      <c r="A72" s="308">
        <v>45202</v>
      </c>
      <c r="B72" s="305">
        <v>1238832</v>
      </c>
      <c r="C72" s="412" t="str">
        <f>IFERROR(INDEX(Table14[],MATCH($B72,Table14[SAPNo],0),3),"")</f>
        <v>1613 CT418 25-75</v>
      </c>
      <c r="D72" s="306"/>
      <c r="E72" s="305">
        <v>6</v>
      </c>
      <c r="F72" s="305"/>
      <c r="G72" s="306" t="s">
        <v>1109</v>
      </c>
      <c r="H72" s="306">
        <v>14056978</v>
      </c>
      <c r="I72" s="306" t="s">
        <v>1104</v>
      </c>
      <c r="J72" s="248"/>
      <c r="K72" s="248"/>
      <c r="M72" s="248"/>
      <c r="Q72" s="310">
        <v>1039036</v>
      </c>
      <c r="R72" s="10">
        <v>1</v>
      </c>
      <c r="S72" s="313">
        <v>40</v>
      </c>
      <c r="W72" s="42">
        <v>1039036</v>
      </c>
      <c r="X72" s="116"/>
      <c r="Y72" s="116"/>
      <c r="Z72" s="116"/>
      <c r="AA72" s="391">
        <v>0</v>
      </c>
      <c r="AF72">
        <v>6</v>
      </c>
      <c r="AS72" s="2">
        <v>1039036</v>
      </c>
      <c r="AT72" s="10"/>
      <c r="AU72" s="116"/>
      <c r="AV72" s="6">
        <v>6</v>
      </c>
      <c r="AW72" s="116">
        <v>0</v>
      </c>
      <c r="AX72" s="10">
        <f>13+18</f>
        <v>31</v>
      </c>
      <c r="AY72" s="10"/>
      <c r="AZ72" s="116"/>
    </row>
    <row r="73" spans="1:52" x14ac:dyDescent="0.25">
      <c r="A73" s="308">
        <v>45202</v>
      </c>
      <c r="B73" s="305">
        <v>418525</v>
      </c>
      <c r="C73" s="412" t="str">
        <f>IFERROR(INDEX(Table14[],MATCH($B73,Table14[SAPNo],0),3),"")</f>
        <v>Drop In 1308 CT31   (B)</v>
      </c>
      <c r="D73" s="306"/>
      <c r="E73" s="305">
        <v>6</v>
      </c>
      <c r="F73" s="305"/>
      <c r="G73" s="306" t="s">
        <v>1109</v>
      </c>
      <c r="H73" s="306">
        <v>14056978</v>
      </c>
      <c r="I73" s="306" t="s">
        <v>1104</v>
      </c>
      <c r="J73" s="248"/>
      <c r="K73" s="248"/>
      <c r="M73" s="248"/>
      <c r="Q73" s="310">
        <v>1039034</v>
      </c>
      <c r="R73" s="10">
        <v>39</v>
      </c>
      <c r="S73" s="313">
        <v>45</v>
      </c>
      <c r="W73" s="42">
        <v>1039034</v>
      </c>
      <c r="X73" s="116"/>
      <c r="Y73" s="116"/>
      <c r="Z73" s="116"/>
      <c r="AA73" s="391">
        <v>0</v>
      </c>
      <c r="AF73">
        <v>6</v>
      </c>
      <c r="AS73" s="2">
        <v>1039034</v>
      </c>
      <c r="AT73" s="10"/>
      <c r="AU73" s="116"/>
      <c r="AV73" s="6">
        <v>0</v>
      </c>
      <c r="AW73" s="116">
        <v>0</v>
      </c>
      <c r="AX73" s="10">
        <v>9</v>
      </c>
      <c r="AY73" s="10"/>
      <c r="AZ73" s="116"/>
    </row>
    <row r="74" spans="1:52" x14ac:dyDescent="0.25">
      <c r="A74" s="308">
        <v>45202</v>
      </c>
      <c r="B74" s="305">
        <v>1078377</v>
      </c>
      <c r="C74" s="412" t="str">
        <f>IFERROR(INDEX(Table14[],MATCH($B74,Table14[SAPNo],0),3),"")</f>
        <v>13MM CT221 R1</v>
      </c>
      <c r="D74" s="306"/>
      <c r="E74" s="305">
        <v>15</v>
      </c>
      <c r="F74" s="305"/>
      <c r="G74" s="306" t="s">
        <v>1109</v>
      </c>
      <c r="H74" s="306">
        <v>14056978</v>
      </c>
      <c r="I74" s="306" t="s">
        <v>1104</v>
      </c>
      <c r="J74" s="248"/>
      <c r="K74" s="248"/>
      <c r="M74" s="248"/>
      <c r="Q74" s="310">
        <v>1017002</v>
      </c>
      <c r="R74" s="10"/>
      <c r="S74" s="313">
        <v>3</v>
      </c>
      <c r="W74" s="42">
        <v>1017002</v>
      </c>
      <c r="X74" s="116"/>
      <c r="Y74" s="116"/>
      <c r="Z74" s="116"/>
      <c r="AA74" s="391">
        <v>0</v>
      </c>
      <c r="AF74">
        <v>15</v>
      </c>
      <c r="AS74" s="2">
        <v>1017002</v>
      </c>
      <c r="AT74" s="10"/>
      <c r="AU74" s="116"/>
      <c r="AV74" s="6">
        <v>0</v>
      </c>
      <c r="AW74" s="116">
        <v>0</v>
      </c>
      <c r="AX74" s="10">
        <v>3</v>
      </c>
      <c r="AY74" s="10"/>
      <c r="AZ74" s="116"/>
    </row>
    <row r="75" spans="1:52" x14ac:dyDescent="0.25">
      <c r="A75" s="308">
        <v>45202</v>
      </c>
      <c r="B75" s="305">
        <v>1208601</v>
      </c>
      <c r="C75" s="412" t="str">
        <f>IFERROR(INDEX(Table14[],MATCH($B75,Table14[SAPNo],0),3),"")</f>
        <v>1613 CT418 U-60</v>
      </c>
      <c r="D75" s="306"/>
      <c r="E75" s="305">
        <v>8</v>
      </c>
      <c r="F75" s="305"/>
      <c r="G75" s="306" t="s">
        <v>1109</v>
      </c>
      <c r="H75" s="306">
        <v>14056978</v>
      </c>
      <c r="I75" s="306" t="s">
        <v>1104</v>
      </c>
      <c r="J75" s="248"/>
      <c r="K75" s="248"/>
      <c r="M75" s="248"/>
      <c r="Q75" s="310">
        <v>1039060</v>
      </c>
      <c r="R75" s="10">
        <v>170</v>
      </c>
      <c r="S75" s="313">
        <v>2</v>
      </c>
      <c r="W75" s="42">
        <v>1039060</v>
      </c>
      <c r="X75" s="116"/>
      <c r="Y75" s="116"/>
      <c r="Z75" s="116"/>
      <c r="AA75" s="391">
        <v>9</v>
      </c>
      <c r="AF75">
        <v>8</v>
      </c>
      <c r="AS75" s="2">
        <v>1039060</v>
      </c>
      <c r="AT75" s="10"/>
      <c r="AU75" s="116"/>
      <c r="AV75" s="6">
        <v>0</v>
      </c>
      <c r="AW75" s="116">
        <v>7</v>
      </c>
      <c r="AX75" s="10">
        <v>1</v>
      </c>
      <c r="AY75" s="10"/>
      <c r="AZ75" s="116"/>
    </row>
    <row r="76" spans="1:52" x14ac:dyDescent="0.25">
      <c r="A76" s="308">
        <v>45204</v>
      </c>
      <c r="B76" s="305">
        <v>1130198</v>
      </c>
      <c r="C76" s="412" t="str">
        <f>IFERROR(INDEX(Table14[],MATCH($B76,Table14[SAPNo],0),3),"")</f>
        <v>Round 1613 CT182  0.018" (S)</v>
      </c>
      <c r="D76" s="306"/>
      <c r="E76" s="305">
        <v>0</v>
      </c>
      <c r="F76" s="305"/>
      <c r="G76" s="306" t="s">
        <v>1110</v>
      </c>
      <c r="H76" s="306">
        <v>14056982</v>
      </c>
      <c r="I76" s="306" t="s">
        <v>1092</v>
      </c>
      <c r="J76" s="248"/>
      <c r="K76" s="248"/>
      <c r="M76" s="248"/>
      <c r="Q76" s="310">
        <v>1039058</v>
      </c>
      <c r="R76" s="10">
        <v>27</v>
      </c>
      <c r="S76" s="313">
        <v>18</v>
      </c>
      <c r="W76" s="42">
        <v>1039058</v>
      </c>
      <c r="X76" s="116"/>
      <c r="Y76" s="116"/>
      <c r="Z76" s="116"/>
      <c r="AA76" s="391">
        <v>0</v>
      </c>
      <c r="AF76">
        <v>0</v>
      </c>
      <c r="AS76" s="2">
        <v>1039058</v>
      </c>
      <c r="AT76" s="10"/>
      <c r="AU76" s="116"/>
      <c r="AV76" s="6">
        <v>0</v>
      </c>
      <c r="AW76" s="116">
        <v>0</v>
      </c>
      <c r="AX76" s="10">
        <v>22</v>
      </c>
      <c r="AY76" s="10"/>
      <c r="AZ76" s="116"/>
    </row>
    <row r="77" spans="1:52" x14ac:dyDescent="0.25">
      <c r="A77" s="308">
        <v>45204</v>
      </c>
      <c r="B77" s="305">
        <v>1130196</v>
      </c>
      <c r="C77" s="412" t="str">
        <f>IFERROR(INDEX(Table14[],MATCH($B77,Table14[SAPNo],0),3),"")</f>
        <v>Round 1313 CT182  0.018" (S)</v>
      </c>
      <c r="D77" s="306"/>
      <c r="E77" s="305">
        <v>22</v>
      </c>
      <c r="F77" s="305"/>
      <c r="G77" s="306" t="s">
        <v>1110</v>
      </c>
      <c r="H77" s="306">
        <v>14056982</v>
      </c>
      <c r="I77" s="306" t="s">
        <v>1092</v>
      </c>
      <c r="J77" s="248"/>
      <c r="K77" s="248"/>
      <c r="M77" s="248"/>
      <c r="Q77" s="310">
        <v>1014885</v>
      </c>
      <c r="R77" s="10"/>
      <c r="S77" s="313">
        <v>0</v>
      </c>
      <c r="W77" s="42">
        <v>1014885</v>
      </c>
      <c r="X77" s="116"/>
      <c r="Y77" s="116"/>
      <c r="Z77" s="116"/>
      <c r="AA77" s="391">
        <v>16</v>
      </c>
      <c r="AF77">
        <v>22</v>
      </c>
      <c r="AS77" s="2">
        <v>1014885</v>
      </c>
      <c r="AT77" s="10"/>
      <c r="AU77" s="116"/>
      <c r="AV77" s="6">
        <v>0</v>
      </c>
      <c r="AW77" s="116">
        <v>0</v>
      </c>
      <c r="AX77" s="10">
        <v>0</v>
      </c>
      <c r="AY77" s="10"/>
      <c r="AZ77" s="116"/>
    </row>
    <row r="78" spans="1:52" x14ac:dyDescent="0.25">
      <c r="A78" s="308">
        <v>45204</v>
      </c>
      <c r="B78" s="305">
        <v>1209410</v>
      </c>
      <c r="C78" s="412" t="str">
        <f>IFERROR(INDEX(Table14[],MATCH($B78,Table14[SAPNo],0),3),"")</f>
        <v>1613 CT430MV3 U TBO</v>
      </c>
      <c r="D78" s="306"/>
      <c r="E78" s="305">
        <v>10</v>
      </c>
      <c r="F78" s="305"/>
      <c r="G78" s="306" t="s">
        <v>1110</v>
      </c>
      <c r="H78" s="306">
        <v>14056982</v>
      </c>
      <c r="I78" s="306" t="s">
        <v>1092</v>
      </c>
      <c r="J78" s="248"/>
      <c r="K78" s="248"/>
      <c r="M78" s="248"/>
      <c r="Q78" s="310">
        <v>1014939</v>
      </c>
      <c r="R78" s="10"/>
      <c r="S78" s="313">
        <v>0</v>
      </c>
      <c r="W78" s="42">
        <v>1014939</v>
      </c>
      <c r="X78" s="116"/>
      <c r="Y78" s="116"/>
      <c r="Z78" s="116"/>
      <c r="AA78" s="391">
        <v>16</v>
      </c>
      <c r="AF78">
        <v>10</v>
      </c>
      <c r="AS78" s="2">
        <v>1014939</v>
      </c>
      <c r="AT78" s="10"/>
      <c r="AU78" s="116"/>
      <c r="AV78" s="6">
        <v>0</v>
      </c>
      <c r="AW78" s="116">
        <v>16</v>
      </c>
      <c r="AX78" s="10">
        <v>0</v>
      </c>
      <c r="AY78" s="10"/>
      <c r="AZ78" s="116"/>
    </row>
    <row r="79" spans="1:52" x14ac:dyDescent="0.25">
      <c r="A79" s="308">
        <v>45204</v>
      </c>
      <c r="B79" s="305">
        <v>871781</v>
      </c>
      <c r="C79" s="412" t="str">
        <f>IFERROR(INDEX(Table14[],MATCH($B79,Table14[SAPNo],0),3),"")</f>
        <v>Round 1313 CT200  0.018" (B)</v>
      </c>
      <c r="D79" s="306"/>
      <c r="E79" s="305">
        <v>5</v>
      </c>
      <c r="F79" s="305"/>
      <c r="G79" s="306" t="s">
        <v>1110</v>
      </c>
      <c r="H79" s="306">
        <v>14056982</v>
      </c>
      <c r="I79" s="306" t="s">
        <v>1092</v>
      </c>
      <c r="J79" s="248"/>
      <c r="K79" s="248"/>
      <c r="M79" s="248"/>
      <c r="Q79" s="310">
        <v>646941</v>
      </c>
      <c r="R79" s="10"/>
      <c r="S79" s="313">
        <v>0</v>
      </c>
      <c r="W79" s="42">
        <v>646941</v>
      </c>
      <c r="X79" s="116"/>
      <c r="Y79" s="116"/>
      <c r="Z79" s="116"/>
      <c r="AA79" s="391">
        <v>4</v>
      </c>
      <c r="AF79">
        <v>5</v>
      </c>
      <c r="AS79" s="2">
        <v>646941</v>
      </c>
      <c r="AT79" s="10"/>
      <c r="AU79" s="116"/>
      <c r="AV79" s="6">
        <v>0</v>
      </c>
      <c r="AW79" s="116">
        <v>0</v>
      </c>
      <c r="AX79" s="10">
        <v>0</v>
      </c>
      <c r="AY79" s="10"/>
      <c r="AZ79" s="116"/>
    </row>
    <row r="80" spans="1:52" x14ac:dyDescent="0.25">
      <c r="A80" s="308">
        <v>45204</v>
      </c>
      <c r="B80" s="305">
        <v>1112229</v>
      </c>
      <c r="C80" s="412" t="str">
        <f>IFERROR(INDEX(Table14[],MATCH($B80,Table14[SAPNo],0),3),"")</f>
        <v>1613 CT147 18C</v>
      </c>
      <c r="D80" s="306"/>
      <c r="E80" s="305">
        <v>30</v>
      </c>
      <c r="F80" s="305"/>
      <c r="G80" s="306" t="s">
        <v>1110</v>
      </c>
      <c r="H80" s="306">
        <v>14056982</v>
      </c>
      <c r="I80" s="306" t="s">
        <v>1092</v>
      </c>
      <c r="J80" s="248"/>
      <c r="K80" s="248"/>
      <c r="M80" s="248"/>
      <c r="Q80" s="310">
        <v>647464</v>
      </c>
      <c r="R80" s="10"/>
      <c r="S80" s="313">
        <v>0</v>
      </c>
      <c r="W80" s="42">
        <v>647464</v>
      </c>
      <c r="X80" s="116"/>
      <c r="Y80" s="116"/>
      <c r="Z80" s="116"/>
      <c r="AA80" s="391">
        <v>8</v>
      </c>
      <c r="AF80">
        <v>30</v>
      </c>
      <c r="AS80" s="2">
        <v>647464</v>
      </c>
      <c r="AT80" s="10"/>
      <c r="AU80" s="116"/>
      <c r="AV80" s="6">
        <v>0</v>
      </c>
      <c r="AW80" s="116">
        <v>6</v>
      </c>
      <c r="AX80" s="10">
        <v>0</v>
      </c>
      <c r="AY80" s="10"/>
      <c r="AZ80" s="116"/>
    </row>
    <row r="81" spans="1:52" x14ac:dyDescent="0.25">
      <c r="A81" s="308">
        <v>45204</v>
      </c>
      <c r="B81" s="305">
        <v>1100741</v>
      </c>
      <c r="C81" s="412" t="str">
        <f>IFERROR(INDEX(Table14[],MATCH($B81,Table14[SAPNo],0),3),"")</f>
        <v>Round 1613 CT418  0.018" (S)</v>
      </c>
      <c r="D81" s="306"/>
      <c r="E81" s="305">
        <v>10</v>
      </c>
      <c r="F81" s="305"/>
      <c r="G81" s="306" t="s">
        <v>1110</v>
      </c>
      <c r="H81" s="306">
        <v>14056982</v>
      </c>
      <c r="I81" s="306" t="s">
        <v>1092</v>
      </c>
      <c r="J81" s="248"/>
      <c r="K81" s="248"/>
      <c r="M81" s="248"/>
      <c r="Q81" s="310">
        <v>647467</v>
      </c>
      <c r="R81" s="10"/>
      <c r="S81" s="313">
        <v>0</v>
      </c>
      <c r="W81" s="42">
        <v>647467</v>
      </c>
      <c r="X81" s="116"/>
      <c r="Y81" s="116"/>
      <c r="Z81" s="116"/>
      <c r="AA81" s="391">
        <v>4</v>
      </c>
      <c r="AF81">
        <v>10</v>
      </c>
      <c r="AS81" s="2">
        <v>647467</v>
      </c>
      <c r="AT81" s="10"/>
      <c r="AU81" s="116"/>
      <c r="AV81" s="6">
        <v>0</v>
      </c>
      <c r="AW81" s="116">
        <v>4</v>
      </c>
      <c r="AX81" s="10">
        <v>0</v>
      </c>
      <c r="AY81" s="10"/>
      <c r="AZ81" s="116"/>
    </row>
    <row r="82" spans="1:52" x14ac:dyDescent="0.25">
      <c r="A82" s="308">
        <v>45204</v>
      </c>
      <c r="B82" s="305">
        <v>1130198</v>
      </c>
      <c r="C82" s="412" t="str">
        <f>IFERROR(INDEX(Table14[],MATCH($B82,Table14[SAPNo],0),3),"")</f>
        <v>Round 1613 CT182  0.018" (S)</v>
      </c>
      <c r="D82" s="306"/>
      <c r="E82" s="305">
        <v>50</v>
      </c>
      <c r="F82" s="305"/>
      <c r="G82" s="306" t="s">
        <v>1111</v>
      </c>
      <c r="H82" s="306">
        <v>14036276</v>
      </c>
      <c r="I82" s="306" t="s">
        <v>1106</v>
      </c>
      <c r="J82" s="248"/>
      <c r="K82" s="248"/>
      <c r="M82" s="248"/>
      <c r="Q82" s="310">
        <v>907609</v>
      </c>
      <c r="R82" s="10"/>
      <c r="S82" s="313">
        <v>0</v>
      </c>
      <c r="W82" s="42">
        <v>907609</v>
      </c>
      <c r="X82" s="116"/>
      <c r="Y82" s="116"/>
      <c r="Z82" s="116"/>
      <c r="AA82" s="391">
        <v>5</v>
      </c>
      <c r="AF82">
        <v>50</v>
      </c>
      <c r="AS82" s="2">
        <v>907609</v>
      </c>
      <c r="AT82" s="10"/>
      <c r="AU82" s="116"/>
      <c r="AV82" s="6">
        <v>0</v>
      </c>
      <c r="AW82" s="116">
        <v>0</v>
      </c>
      <c r="AX82" s="10">
        <v>0</v>
      </c>
      <c r="AY82" s="10"/>
      <c r="AZ82" s="116"/>
    </row>
    <row r="83" spans="1:52" x14ac:dyDescent="0.25">
      <c r="A83" s="308">
        <v>45204</v>
      </c>
      <c r="B83" s="305">
        <v>647436</v>
      </c>
      <c r="C83" s="412" t="str">
        <f>IFERROR(INDEX(Table14[],MATCH($B83,Table14[SAPNo],0),3),"")</f>
        <v>Round 1613 CT200  0.018" (B)</v>
      </c>
      <c r="D83" s="306"/>
      <c r="E83" s="305">
        <v>31</v>
      </c>
      <c r="F83" s="305"/>
      <c r="G83" s="306" t="s">
        <v>1111</v>
      </c>
      <c r="H83" s="306">
        <v>14036276</v>
      </c>
      <c r="I83" s="306" t="s">
        <v>1106</v>
      </c>
      <c r="J83" s="248"/>
      <c r="K83" s="248"/>
      <c r="M83" s="248"/>
      <c r="Q83" s="310">
        <v>638559</v>
      </c>
      <c r="R83" s="10"/>
      <c r="S83" s="313">
        <v>0</v>
      </c>
      <c r="W83" s="42">
        <v>638559</v>
      </c>
      <c r="X83" s="116">
        <v>6</v>
      </c>
      <c r="Y83" s="116">
        <v>6</v>
      </c>
      <c r="Z83" s="116"/>
      <c r="AA83" s="391">
        <v>0</v>
      </c>
      <c r="AF83">
        <v>31</v>
      </c>
      <c r="AS83" s="2">
        <v>638559</v>
      </c>
      <c r="AT83" s="10">
        <v>6</v>
      </c>
      <c r="AU83" s="116">
        <v>6</v>
      </c>
      <c r="AV83" s="6">
        <v>0</v>
      </c>
      <c r="AW83" s="116">
        <v>0</v>
      </c>
      <c r="AX83" s="10">
        <v>0</v>
      </c>
      <c r="AY83" s="10"/>
      <c r="AZ83" s="116"/>
    </row>
    <row r="84" spans="1:52" x14ac:dyDescent="0.25">
      <c r="A84" s="308">
        <v>45204</v>
      </c>
      <c r="B84" s="305">
        <v>418525</v>
      </c>
      <c r="C84" s="412" t="str">
        <f>IFERROR(INDEX(Table14[],MATCH($B84,Table14[SAPNo],0),3),"")</f>
        <v>Drop In 1308 CT31   (B)</v>
      </c>
      <c r="D84" s="306"/>
      <c r="E84" s="305">
        <v>8</v>
      </c>
      <c r="F84" s="305"/>
      <c r="G84" s="306" t="s">
        <v>1111</v>
      </c>
      <c r="H84" s="306">
        <v>14036276</v>
      </c>
      <c r="I84" s="306" t="s">
        <v>1106</v>
      </c>
      <c r="J84" s="248"/>
      <c r="K84" s="248"/>
      <c r="M84" s="248"/>
      <c r="Q84" s="310">
        <v>773383</v>
      </c>
      <c r="R84" s="10">
        <v>110</v>
      </c>
      <c r="S84" s="313">
        <v>0</v>
      </c>
      <c r="W84" s="42">
        <v>773383</v>
      </c>
      <c r="X84" s="116"/>
      <c r="Y84" s="116"/>
      <c r="Z84" s="116"/>
      <c r="AA84" s="391">
        <v>6</v>
      </c>
      <c r="AF84">
        <v>8</v>
      </c>
      <c r="AS84" s="2">
        <v>773383</v>
      </c>
      <c r="AT84" s="10"/>
      <c r="AU84" s="116"/>
      <c r="AV84" s="6">
        <v>0</v>
      </c>
      <c r="AW84" s="116">
        <v>0</v>
      </c>
      <c r="AX84" s="10">
        <v>68</v>
      </c>
      <c r="AY84" s="10"/>
      <c r="AZ84" s="116"/>
    </row>
    <row r="85" spans="1:52" x14ac:dyDescent="0.25">
      <c r="A85" s="308">
        <v>45204</v>
      </c>
      <c r="B85" s="305">
        <v>971055</v>
      </c>
      <c r="C85" s="412" t="str">
        <f>IFERROR(INDEX(Table14[],MATCH($B85,Table14[SAPNo],0),3),"")</f>
        <v>MED Bullet 10.5 CT217 MBL 0.018" (B)</v>
      </c>
      <c r="D85" s="306"/>
      <c r="E85" s="305">
        <v>0</v>
      </c>
      <c r="F85" s="305"/>
      <c r="G85" s="306">
        <v>20231207</v>
      </c>
      <c r="H85" s="306" t="s">
        <v>1079</v>
      </c>
      <c r="I85" s="306" t="s">
        <v>1112</v>
      </c>
      <c r="J85" s="374">
        <v>3</v>
      </c>
      <c r="K85" s="248"/>
      <c r="M85" s="248"/>
      <c r="Q85" s="310">
        <v>1027339</v>
      </c>
      <c r="R85" s="10"/>
      <c r="S85" s="313">
        <v>16</v>
      </c>
      <c r="W85" s="42">
        <v>1027339</v>
      </c>
      <c r="X85" s="116"/>
      <c r="Y85" s="116"/>
      <c r="Z85" s="116"/>
      <c r="AA85" s="391">
        <v>0</v>
      </c>
      <c r="AF85">
        <v>0</v>
      </c>
      <c r="AS85" s="2">
        <v>1027339</v>
      </c>
      <c r="AT85" s="10"/>
      <c r="AU85" s="116"/>
      <c r="AV85" s="6">
        <v>0</v>
      </c>
      <c r="AW85" s="116">
        <v>0</v>
      </c>
      <c r="AX85" s="10">
        <v>16</v>
      </c>
      <c r="AY85" s="10"/>
      <c r="AZ85" s="116"/>
    </row>
    <row r="86" spans="1:52" x14ac:dyDescent="0.25">
      <c r="A86" s="308">
        <v>45204</v>
      </c>
      <c r="B86" s="305">
        <v>971055</v>
      </c>
      <c r="C86" s="412" t="str">
        <f>IFERROR(INDEX(Table14[],MATCH($B86,Table14[SAPNo],0),3),"")</f>
        <v>MED Bullet 10.5 CT217 MBL 0.018" (B)</v>
      </c>
      <c r="D86" s="306"/>
      <c r="E86" s="305">
        <v>0</v>
      </c>
      <c r="F86" s="305"/>
      <c r="G86" s="306">
        <v>20231208</v>
      </c>
      <c r="H86" s="306" t="s">
        <v>1080</v>
      </c>
      <c r="I86" s="306" t="s">
        <v>1112</v>
      </c>
      <c r="J86" s="374">
        <v>1</v>
      </c>
      <c r="K86" s="248"/>
      <c r="M86" s="248"/>
      <c r="Q86" s="310">
        <v>853552</v>
      </c>
      <c r="R86" s="10"/>
      <c r="S86" s="313">
        <v>65</v>
      </c>
      <c r="W86" s="42">
        <v>853552</v>
      </c>
      <c r="X86" s="116"/>
      <c r="Y86" s="116"/>
      <c r="Z86" s="116"/>
      <c r="AA86" s="391">
        <v>0</v>
      </c>
      <c r="AF86">
        <v>0</v>
      </c>
      <c r="AS86" s="2">
        <v>853552</v>
      </c>
      <c r="AT86" s="10"/>
      <c r="AU86" s="116"/>
      <c r="AV86" s="6">
        <v>13</v>
      </c>
      <c r="AW86" s="116">
        <v>0</v>
      </c>
      <c r="AX86" s="10">
        <v>47</v>
      </c>
      <c r="AY86" s="10"/>
      <c r="AZ86" s="116"/>
    </row>
    <row r="87" spans="1:52" x14ac:dyDescent="0.25">
      <c r="A87" s="308">
        <v>45204</v>
      </c>
      <c r="B87" s="305">
        <v>1100696</v>
      </c>
      <c r="C87" s="412" t="str">
        <f>IFERROR(INDEX(Table14[],MATCH($B87,Table14[SAPNo],0),3),"")</f>
        <v>Round 1313 CT418  10C (S)</v>
      </c>
      <c r="D87" s="306"/>
      <c r="E87" s="305">
        <v>1</v>
      </c>
      <c r="F87" s="305"/>
      <c r="G87" s="306">
        <v>20231211</v>
      </c>
      <c r="H87" s="306" t="s">
        <v>1113</v>
      </c>
      <c r="I87" s="306" t="s">
        <v>1097</v>
      </c>
      <c r="J87" s="248"/>
      <c r="K87" s="248"/>
      <c r="M87" s="248"/>
      <c r="Q87" s="310">
        <v>1039064</v>
      </c>
      <c r="R87" s="10"/>
      <c r="S87" s="313">
        <v>7</v>
      </c>
      <c r="W87" s="42">
        <v>1039064</v>
      </c>
      <c r="X87" s="116"/>
      <c r="Y87" s="116"/>
      <c r="Z87" s="116"/>
      <c r="AA87" s="391">
        <v>0</v>
      </c>
      <c r="AF87">
        <v>1</v>
      </c>
      <c r="AS87" s="2">
        <v>1039064</v>
      </c>
      <c r="AT87" s="10"/>
      <c r="AU87" s="116"/>
      <c r="AV87" s="6">
        <v>0</v>
      </c>
      <c r="AW87" s="116">
        <v>0</v>
      </c>
      <c r="AX87" s="10">
        <v>7</v>
      </c>
      <c r="AY87" s="10"/>
      <c r="AZ87" s="116"/>
    </row>
    <row r="88" spans="1:52" x14ac:dyDescent="0.25">
      <c r="A88" s="308">
        <v>45204</v>
      </c>
      <c r="B88" s="305">
        <v>418525</v>
      </c>
      <c r="C88" s="412" t="str">
        <f>IFERROR(INDEX(Table14[],MATCH($B88,Table14[SAPNo],0),3),"")</f>
        <v>Drop In 1308 CT31   (B)</v>
      </c>
      <c r="D88" s="306"/>
      <c r="E88" s="305">
        <v>4</v>
      </c>
      <c r="F88" s="305"/>
      <c r="G88" s="306">
        <v>20231211</v>
      </c>
      <c r="H88" s="306" t="s">
        <v>1113</v>
      </c>
      <c r="I88" s="306" t="s">
        <v>1097</v>
      </c>
      <c r="J88" s="248"/>
      <c r="K88" s="248"/>
      <c r="M88" s="248"/>
      <c r="Q88" s="310">
        <v>983150</v>
      </c>
      <c r="R88" s="10"/>
      <c r="S88" s="313">
        <v>89</v>
      </c>
      <c r="W88" s="42">
        <v>983150</v>
      </c>
      <c r="X88" s="116"/>
      <c r="Y88" s="116"/>
      <c r="Z88" s="116"/>
      <c r="AA88" s="391">
        <v>0</v>
      </c>
      <c r="AF88">
        <v>4</v>
      </c>
      <c r="AS88" s="2">
        <v>983150</v>
      </c>
      <c r="AT88" s="10"/>
      <c r="AU88" s="116"/>
      <c r="AV88" s="6">
        <v>0</v>
      </c>
      <c r="AW88" s="116">
        <v>0</v>
      </c>
      <c r="AX88" s="10">
        <v>47</v>
      </c>
      <c r="AY88" s="10"/>
      <c r="AZ88" s="116"/>
    </row>
    <row r="89" spans="1:52" x14ac:dyDescent="0.25">
      <c r="A89" s="308">
        <v>45204</v>
      </c>
      <c r="B89" s="305">
        <v>418525</v>
      </c>
      <c r="C89" s="412" t="str">
        <f>IFERROR(INDEX(Table14[],MATCH($B89,Table14[SAPNo],0),3),"")</f>
        <v>Drop In 1308 CT31   (B)</v>
      </c>
      <c r="D89" s="306"/>
      <c r="E89" s="305">
        <v>3</v>
      </c>
      <c r="F89" s="305"/>
      <c r="G89" s="306">
        <v>20231209</v>
      </c>
      <c r="H89" s="306" t="s">
        <v>1114</v>
      </c>
      <c r="I89" s="306" t="s">
        <v>1115</v>
      </c>
      <c r="J89" s="248"/>
      <c r="K89" s="248"/>
      <c r="M89" s="248"/>
      <c r="Q89" s="310">
        <v>983096</v>
      </c>
      <c r="R89" s="10"/>
      <c r="S89" s="313">
        <v>24</v>
      </c>
      <c r="W89" s="42">
        <v>983096</v>
      </c>
      <c r="X89" s="116"/>
      <c r="Y89" s="116"/>
      <c r="Z89" s="116"/>
      <c r="AA89" s="391">
        <v>0</v>
      </c>
      <c r="AF89">
        <v>3</v>
      </c>
      <c r="AS89" s="2">
        <v>983096</v>
      </c>
      <c r="AT89" s="10"/>
      <c r="AU89" s="116"/>
      <c r="AV89" s="6">
        <v>0</v>
      </c>
      <c r="AW89" s="116">
        <v>0</v>
      </c>
      <c r="AX89" s="10">
        <v>2</v>
      </c>
      <c r="AY89" s="10"/>
      <c r="AZ89" s="116"/>
    </row>
    <row r="90" spans="1:52" x14ac:dyDescent="0.25">
      <c r="A90" s="308">
        <v>45204</v>
      </c>
      <c r="B90" s="305">
        <v>1136984</v>
      </c>
      <c r="C90" s="412" t="str">
        <f>IFERROR(INDEX(Table14[],MATCH($B90,Table14[SAPNo],0),3),"")</f>
        <v>DBLMCHT 1313 CT182DM  10C (S)</v>
      </c>
      <c r="D90" s="306"/>
      <c r="E90" s="305">
        <v>13</v>
      </c>
      <c r="F90" s="305"/>
      <c r="G90" s="306" t="s">
        <v>1116</v>
      </c>
      <c r="H90" s="306">
        <v>14042321</v>
      </c>
      <c r="I90" s="306" t="s">
        <v>1074</v>
      </c>
      <c r="J90" s="248"/>
      <c r="K90" s="248"/>
      <c r="M90" s="248"/>
      <c r="Q90" s="310">
        <v>983152</v>
      </c>
      <c r="R90" s="10"/>
      <c r="S90" s="313">
        <v>23</v>
      </c>
      <c r="W90" s="42">
        <v>983152</v>
      </c>
      <c r="X90" s="116"/>
      <c r="Y90" s="116"/>
      <c r="Z90" s="116"/>
      <c r="AA90" s="391">
        <v>0</v>
      </c>
      <c r="AF90">
        <v>13</v>
      </c>
      <c r="AS90" s="2">
        <v>983152</v>
      </c>
      <c r="AT90" s="10"/>
      <c r="AU90" s="116"/>
      <c r="AV90" s="6">
        <v>0</v>
      </c>
      <c r="AW90" s="116">
        <v>0</v>
      </c>
      <c r="AX90" s="10">
        <v>23</v>
      </c>
      <c r="AY90" s="10"/>
      <c r="AZ90" s="116"/>
    </row>
    <row r="91" spans="1:52" x14ac:dyDescent="0.25">
      <c r="A91" s="308">
        <v>45204</v>
      </c>
      <c r="B91" s="305">
        <v>1100696</v>
      </c>
      <c r="C91" s="412" t="str">
        <f>IFERROR(INDEX(Table14[],MATCH($B91,Table14[SAPNo],0),3),"")</f>
        <v>Round 1313 CT418  10C (S)</v>
      </c>
      <c r="D91" s="306"/>
      <c r="E91" s="305">
        <v>12</v>
      </c>
      <c r="F91" s="305"/>
      <c r="G91" s="306" t="s">
        <v>1116</v>
      </c>
      <c r="H91" s="306">
        <v>14042321</v>
      </c>
      <c r="I91" s="306" t="s">
        <v>1074</v>
      </c>
      <c r="J91" s="248"/>
      <c r="K91" s="248"/>
      <c r="M91" s="248"/>
      <c r="Q91" s="310">
        <v>853551</v>
      </c>
      <c r="R91" s="10"/>
      <c r="S91" s="313">
        <v>49</v>
      </c>
      <c r="W91" s="42">
        <v>853551</v>
      </c>
      <c r="X91" s="116"/>
      <c r="Y91" s="116"/>
      <c r="Z91" s="116"/>
      <c r="AA91" s="391">
        <v>0</v>
      </c>
      <c r="AF91">
        <v>12</v>
      </c>
      <c r="AS91" s="2">
        <v>853551</v>
      </c>
      <c r="AT91" s="10"/>
      <c r="AU91" s="116"/>
      <c r="AV91" s="6">
        <v>20</v>
      </c>
      <c r="AW91" s="116">
        <v>0</v>
      </c>
      <c r="AX91" s="10">
        <v>26</v>
      </c>
      <c r="AY91" s="10"/>
      <c r="AZ91" s="116"/>
    </row>
    <row r="92" spans="1:52" x14ac:dyDescent="0.25">
      <c r="A92" s="308">
        <v>45204</v>
      </c>
      <c r="B92" s="305">
        <v>418525</v>
      </c>
      <c r="C92" s="412" t="str">
        <f>IFERROR(INDEX(Table14[],MATCH($B92,Table14[SAPNo],0),3),"")</f>
        <v>Drop In 1308 CT31   (B)</v>
      </c>
      <c r="D92" s="306"/>
      <c r="E92" s="305">
        <v>6</v>
      </c>
      <c r="F92" s="305"/>
      <c r="G92" s="306" t="s">
        <v>1116</v>
      </c>
      <c r="H92" s="306">
        <v>14042321</v>
      </c>
      <c r="I92" s="306" t="s">
        <v>1074</v>
      </c>
      <c r="J92" s="248"/>
      <c r="K92" s="248"/>
      <c r="M92" s="248"/>
      <c r="Q92" s="310">
        <v>717747</v>
      </c>
      <c r="R92" s="10"/>
      <c r="S92" s="313">
        <v>12</v>
      </c>
      <c r="W92" s="42">
        <v>717747</v>
      </c>
      <c r="X92" s="116"/>
      <c r="Y92" s="116"/>
      <c r="Z92" s="116"/>
      <c r="AA92" s="391">
        <v>0</v>
      </c>
      <c r="AF92">
        <v>6</v>
      </c>
      <c r="AS92" s="2">
        <v>717747</v>
      </c>
      <c r="AT92" s="10"/>
      <c r="AU92" s="116"/>
      <c r="AV92" s="6">
        <v>0</v>
      </c>
      <c r="AW92" s="116">
        <v>0</v>
      </c>
      <c r="AX92" s="10">
        <v>0</v>
      </c>
      <c r="AY92" s="10"/>
      <c r="AZ92" s="116"/>
    </row>
    <row r="93" spans="1:52" x14ac:dyDescent="0.25">
      <c r="A93" s="308">
        <v>45204</v>
      </c>
      <c r="B93" s="305">
        <v>1101509</v>
      </c>
      <c r="C93" s="412" t="str">
        <f>IFERROR(INDEX(Table14[],MATCH($B93,Table14[SAPNo],0),3),"")</f>
        <v>Short IA 8    (C)</v>
      </c>
      <c r="D93" s="306"/>
      <c r="E93" s="305">
        <v>5</v>
      </c>
      <c r="F93" s="305"/>
      <c r="G93" s="306" t="s">
        <v>1116</v>
      </c>
      <c r="H93" s="306">
        <v>14042321</v>
      </c>
      <c r="I93" s="306" t="s">
        <v>1074</v>
      </c>
      <c r="J93" s="248"/>
      <c r="K93" s="248"/>
      <c r="M93" s="248"/>
      <c r="Q93" s="310">
        <v>768848</v>
      </c>
      <c r="R93" s="10"/>
      <c r="S93" s="313">
        <v>10</v>
      </c>
      <c r="W93" s="42">
        <v>768848</v>
      </c>
      <c r="X93" s="116"/>
      <c r="Y93" s="116"/>
      <c r="Z93" s="116"/>
      <c r="AA93" s="391">
        <v>0</v>
      </c>
      <c r="AF93">
        <v>5</v>
      </c>
      <c r="AS93" s="2">
        <v>768848</v>
      </c>
      <c r="AT93" s="10"/>
      <c r="AU93" s="116"/>
      <c r="AV93" s="6">
        <v>0</v>
      </c>
      <c r="AW93" s="116">
        <v>0</v>
      </c>
      <c r="AX93" s="10">
        <v>7</v>
      </c>
      <c r="AY93" s="10"/>
      <c r="AZ93" s="116"/>
    </row>
    <row r="94" spans="1:52" x14ac:dyDescent="0.25">
      <c r="A94" s="308">
        <v>45204</v>
      </c>
      <c r="B94" s="305">
        <v>1104083</v>
      </c>
      <c r="C94" s="412" t="str">
        <f>IFERROR(INDEX(Table14[],MATCH($B94,Table14[SAPNo],0),3),"")</f>
        <v>1313 CT144H  10C (S)</v>
      </c>
      <c r="D94" s="306"/>
      <c r="E94" s="305">
        <v>1</v>
      </c>
      <c r="F94" s="305"/>
      <c r="G94" s="306" t="s">
        <v>1116</v>
      </c>
      <c r="H94" s="306">
        <v>14042321</v>
      </c>
      <c r="I94" s="306" t="s">
        <v>1074</v>
      </c>
      <c r="J94" s="248"/>
      <c r="K94" s="248"/>
      <c r="M94" s="248"/>
      <c r="Q94" s="310">
        <v>785001</v>
      </c>
      <c r="R94" s="10"/>
      <c r="S94" s="313">
        <v>3</v>
      </c>
      <c r="W94" s="42">
        <v>785001</v>
      </c>
      <c r="X94" s="116"/>
      <c r="Y94" s="116"/>
      <c r="Z94" s="116"/>
      <c r="AA94" s="391">
        <v>0</v>
      </c>
      <c r="AF94">
        <v>1</v>
      </c>
      <c r="AS94" s="2">
        <v>785001</v>
      </c>
      <c r="AT94" s="10"/>
      <c r="AU94" s="116"/>
      <c r="AV94" s="6">
        <v>0</v>
      </c>
      <c r="AW94" s="116">
        <v>0</v>
      </c>
      <c r="AX94" s="10">
        <v>3</v>
      </c>
      <c r="AY94" s="10"/>
      <c r="AZ94" s="116"/>
    </row>
    <row r="95" spans="1:52" x14ac:dyDescent="0.25">
      <c r="A95" s="308">
        <v>45207</v>
      </c>
      <c r="B95" s="305">
        <v>1145493</v>
      </c>
      <c r="C95" s="412" t="str">
        <f>IFERROR(INDEX(Table14[],MATCH($B95,Table14[SAPNo],0),3),"")</f>
        <v>Round 1313 CT427  10C (S)</v>
      </c>
      <c r="D95" s="306"/>
      <c r="E95" s="305">
        <v>16</v>
      </c>
      <c r="F95" s="305"/>
      <c r="G95" s="306" t="s">
        <v>1117</v>
      </c>
      <c r="H95" s="306">
        <v>14023083</v>
      </c>
      <c r="I95" s="306" t="s">
        <v>1118</v>
      </c>
      <c r="J95" s="374"/>
      <c r="K95" s="248"/>
      <c r="M95" s="248"/>
      <c r="Q95" s="310">
        <v>932807</v>
      </c>
      <c r="R95" s="10"/>
      <c r="S95" s="313">
        <v>0</v>
      </c>
      <c r="W95" s="42">
        <v>932807</v>
      </c>
      <c r="X95" s="116"/>
      <c r="Y95" s="116"/>
      <c r="Z95" s="116"/>
      <c r="AA95" s="391">
        <v>0</v>
      </c>
      <c r="AF95">
        <v>16</v>
      </c>
      <c r="AS95" s="2">
        <v>932807</v>
      </c>
      <c r="AT95" s="10"/>
      <c r="AU95" s="116"/>
      <c r="AV95" s="6">
        <v>0</v>
      </c>
      <c r="AW95" s="116">
        <v>0</v>
      </c>
      <c r="AX95" s="10">
        <v>0</v>
      </c>
      <c r="AY95" s="10"/>
      <c r="AZ95" s="116"/>
    </row>
    <row r="96" spans="1:52" x14ac:dyDescent="0.25">
      <c r="A96" s="308">
        <v>45207</v>
      </c>
      <c r="B96" s="305">
        <v>418525</v>
      </c>
      <c r="C96" s="412" t="str">
        <f>IFERROR(INDEX(Table14[],MATCH($B96,Table14[SAPNo],0),3),"")</f>
        <v>Drop In 1308 CT31   (B)</v>
      </c>
      <c r="D96" s="306"/>
      <c r="E96" s="305">
        <v>10</v>
      </c>
      <c r="F96" s="305"/>
      <c r="G96" s="306" t="s">
        <v>1117</v>
      </c>
      <c r="H96" s="306">
        <v>14023083</v>
      </c>
      <c r="I96" s="306" t="s">
        <v>1118</v>
      </c>
      <c r="J96" s="248"/>
      <c r="K96" s="248"/>
      <c r="M96" s="248"/>
      <c r="Q96" s="310">
        <v>703671</v>
      </c>
      <c r="R96" s="10"/>
      <c r="S96" s="313">
        <v>2</v>
      </c>
      <c r="W96" s="42">
        <v>703671</v>
      </c>
      <c r="X96" s="116">
        <v>6</v>
      </c>
      <c r="Y96" s="116"/>
      <c r="Z96" s="116"/>
      <c r="AA96" s="391">
        <v>0</v>
      </c>
      <c r="AF96">
        <v>10</v>
      </c>
      <c r="AS96" s="2">
        <v>703671</v>
      </c>
      <c r="AT96" s="10">
        <v>0</v>
      </c>
      <c r="AU96" s="116">
        <v>6</v>
      </c>
      <c r="AV96" s="6">
        <v>0</v>
      </c>
      <c r="AW96" s="116">
        <v>0</v>
      </c>
      <c r="AX96" s="10">
        <v>2</v>
      </c>
      <c r="AY96" s="10"/>
      <c r="AZ96" s="116"/>
    </row>
    <row r="97" spans="1:52" x14ac:dyDescent="0.25">
      <c r="A97" s="308">
        <v>45207</v>
      </c>
      <c r="B97" s="305">
        <v>1209332</v>
      </c>
      <c r="C97" s="412" t="str">
        <f>IFERROR(INDEX(Table14[],MATCH($B97,Table14[SAPNo],0),3),"")</f>
        <v>1313 CT147G U</v>
      </c>
      <c r="D97" s="306"/>
      <c r="E97" s="305">
        <v>7</v>
      </c>
      <c r="F97" s="305"/>
      <c r="G97" s="306" t="s">
        <v>1117</v>
      </c>
      <c r="H97" s="306">
        <v>14023083</v>
      </c>
      <c r="I97" s="306" t="s">
        <v>1118</v>
      </c>
      <c r="J97" s="248"/>
      <c r="K97" s="248"/>
      <c r="M97" s="248"/>
      <c r="Q97" s="310">
        <v>932811</v>
      </c>
      <c r="R97" s="10"/>
      <c r="S97" s="313">
        <v>10</v>
      </c>
      <c r="W97" s="42">
        <v>932811</v>
      </c>
      <c r="X97" s="116"/>
      <c r="Y97" s="116"/>
      <c r="Z97" s="116"/>
      <c r="AA97" s="391">
        <v>0</v>
      </c>
      <c r="AF97">
        <v>7</v>
      </c>
      <c r="AS97" s="2">
        <v>932811</v>
      </c>
      <c r="AT97" s="10"/>
      <c r="AU97" s="116"/>
      <c r="AV97" s="6">
        <v>0</v>
      </c>
      <c r="AW97" s="116">
        <v>0</v>
      </c>
      <c r="AX97" s="10">
        <v>10</v>
      </c>
      <c r="AY97" s="10"/>
      <c r="AZ97" s="116"/>
    </row>
    <row r="98" spans="1:52" x14ac:dyDescent="0.25">
      <c r="A98" s="308">
        <v>45207</v>
      </c>
      <c r="B98" s="305">
        <v>1130198</v>
      </c>
      <c r="C98" s="412" t="str">
        <f>IFERROR(INDEX(Table14[],MATCH($B98,Table14[SAPNo],0),3),"")</f>
        <v>Round 1613 CT182  0.018" (S)</v>
      </c>
      <c r="D98" s="306"/>
      <c r="E98" s="305">
        <v>33</v>
      </c>
      <c r="F98" s="305"/>
      <c r="G98" s="306" t="s">
        <v>1119</v>
      </c>
      <c r="H98" s="306">
        <v>13862294</v>
      </c>
      <c r="I98" s="306" t="s">
        <v>1099</v>
      </c>
      <c r="J98" s="248"/>
      <c r="K98" s="248"/>
      <c r="M98" s="248"/>
      <c r="Q98" s="310">
        <v>410851</v>
      </c>
      <c r="R98" s="10">
        <v>174</v>
      </c>
      <c r="S98" s="313">
        <v>0</v>
      </c>
      <c r="W98" s="42">
        <v>410851</v>
      </c>
      <c r="X98" s="116">
        <v>0</v>
      </c>
      <c r="Y98" s="116"/>
      <c r="Z98" s="116">
        <v>11</v>
      </c>
      <c r="AA98" s="391">
        <v>0</v>
      </c>
      <c r="AF98">
        <v>33</v>
      </c>
      <c r="AS98" s="2">
        <v>410851</v>
      </c>
      <c r="AT98" s="10">
        <v>0</v>
      </c>
      <c r="AU98" s="116"/>
      <c r="AV98" s="6">
        <v>0</v>
      </c>
      <c r="AW98" s="116">
        <v>0</v>
      </c>
      <c r="AX98" s="10">
        <v>392</v>
      </c>
      <c r="AY98" s="10">
        <v>11</v>
      </c>
      <c r="AZ98" s="116"/>
    </row>
    <row r="99" spans="1:52" x14ac:dyDescent="0.25">
      <c r="A99" s="308">
        <v>45207</v>
      </c>
      <c r="B99" s="305">
        <v>1130197</v>
      </c>
      <c r="C99" s="412" t="str">
        <f>IFERROR(INDEX(Table14[],MATCH($B99,Table14[SAPNo],0),3),"")</f>
        <v>Round 1608 CT182  0.018" (S)</v>
      </c>
      <c r="D99" s="306"/>
      <c r="E99" s="305">
        <v>23</v>
      </c>
      <c r="F99" s="305"/>
      <c r="G99" s="306" t="s">
        <v>1119</v>
      </c>
      <c r="H99" s="306">
        <v>13862294</v>
      </c>
      <c r="I99" s="306" t="s">
        <v>1099</v>
      </c>
      <c r="J99" s="248"/>
      <c r="K99" s="248"/>
      <c r="M99" s="248"/>
      <c r="Q99" s="310">
        <v>802063</v>
      </c>
      <c r="R99" s="10"/>
      <c r="S99" s="313">
        <v>21</v>
      </c>
      <c r="W99" s="42">
        <v>802063</v>
      </c>
      <c r="X99" s="116"/>
      <c r="Y99" s="116"/>
      <c r="Z99" s="116"/>
      <c r="AA99" s="391">
        <v>0</v>
      </c>
      <c r="AF99">
        <v>23</v>
      </c>
      <c r="AS99" s="2">
        <v>802063</v>
      </c>
      <c r="AT99" s="10"/>
      <c r="AU99" s="116"/>
      <c r="AV99" s="6">
        <v>0</v>
      </c>
      <c r="AW99" s="116">
        <v>0</v>
      </c>
      <c r="AX99" s="10">
        <v>21</v>
      </c>
      <c r="AY99" s="10"/>
      <c r="AZ99" s="116"/>
    </row>
    <row r="100" spans="1:52" x14ac:dyDescent="0.25">
      <c r="A100" s="308">
        <v>45207</v>
      </c>
      <c r="B100" s="305">
        <v>418525</v>
      </c>
      <c r="C100" s="412" t="str">
        <f>IFERROR(INDEX(Table14[],MATCH($B100,Table14[SAPNo],0),3),"")</f>
        <v>Drop In 1308 CT31   (B)</v>
      </c>
      <c r="D100" s="306"/>
      <c r="E100" s="305">
        <v>6</v>
      </c>
      <c r="F100" s="305"/>
      <c r="G100" s="306" t="s">
        <v>1119</v>
      </c>
      <c r="H100" s="306">
        <v>13862294</v>
      </c>
      <c r="I100" s="306" t="s">
        <v>1099</v>
      </c>
      <c r="J100" s="248"/>
      <c r="K100" s="248"/>
      <c r="M100" s="248"/>
      <c r="Q100" s="310">
        <v>794672</v>
      </c>
      <c r="R100" s="10"/>
      <c r="S100" s="313">
        <v>3</v>
      </c>
      <c r="W100" s="42">
        <v>794672</v>
      </c>
      <c r="X100" s="116"/>
      <c r="Y100" s="116"/>
      <c r="Z100" s="116"/>
      <c r="AA100" s="391">
        <v>0</v>
      </c>
      <c r="AF100">
        <v>6</v>
      </c>
      <c r="AS100" s="2">
        <v>794672</v>
      </c>
      <c r="AT100" s="10"/>
      <c r="AU100" s="116"/>
      <c r="AV100" s="6">
        <v>0</v>
      </c>
      <c r="AW100" s="116">
        <v>0</v>
      </c>
      <c r="AX100" s="10">
        <v>3</v>
      </c>
      <c r="AY100" s="10"/>
      <c r="AZ100" s="116"/>
    </row>
    <row r="101" spans="1:52" x14ac:dyDescent="0.25">
      <c r="A101" s="308">
        <v>45207</v>
      </c>
      <c r="B101" s="640">
        <v>1133896</v>
      </c>
      <c r="C101" s="641" t="str">
        <f>IFERROR(INDEX(Table14[],MATCH($B101,Table14[SAPNo],0),3),"")</f>
        <v>1613 CT418 U</v>
      </c>
      <c r="D101" s="732"/>
      <c r="E101" s="640">
        <v>41</v>
      </c>
      <c r="F101" s="305"/>
      <c r="G101" s="306" t="s">
        <v>1120</v>
      </c>
      <c r="H101" s="306">
        <v>13999833</v>
      </c>
      <c r="I101" s="306" t="s">
        <v>1121</v>
      </c>
      <c r="J101" s="248"/>
      <c r="K101" s="248"/>
      <c r="M101" s="248"/>
      <c r="Q101" s="310">
        <v>755889</v>
      </c>
      <c r="R101" s="10"/>
      <c r="S101" s="313">
        <v>15</v>
      </c>
      <c r="W101" s="42">
        <v>755889</v>
      </c>
      <c r="X101" s="116"/>
      <c r="Y101" s="116"/>
      <c r="Z101" s="116"/>
      <c r="AA101" s="391">
        <v>0</v>
      </c>
      <c r="AF101">
        <v>41</v>
      </c>
      <c r="AS101" s="2">
        <v>755889</v>
      </c>
      <c r="AT101" s="10"/>
      <c r="AU101" s="116"/>
      <c r="AV101" s="6">
        <v>0</v>
      </c>
      <c r="AW101" s="116">
        <v>0</v>
      </c>
      <c r="AX101" s="10">
        <v>15</v>
      </c>
      <c r="AY101" s="10"/>
      <c r="AZ101" s="116"/>
    </row>
    <row r="102" spans="1:52" x14ac:dyDescent="0.25">
      <c r="A102" s="308">
        <v>45207</v>
      </c>
      <c r="B102" s="640">
        <v>1219562</v>
      </c>
      <c r="C102" s="641" t="str">
        <f>IFERROR(INDEX(Table14[],MATCH($B102,Table14[SAPNo],0),3),"")</f>
        <v>1613 CT147R U</v>
      </c>
      <c r="D102" s="732"/>
      <c r="E102" s="640">
        <v>41</v>
      </c>
      <c r="F102" s="305"/>
      <c r="G102" s="306" t="s">
        <v>1120</v>
      </c>
      <c r="H102" s="306">
        <v>13999833</v>
      </c>
      <c r="I102" s="306" t="s">
        <v>1121</v>
      </c>
      <c r="J102" s="248"/>
      <c r="K102" s="248"/>
      <c r="M102" s="248"/>
      <c r="Q102" s="310">
        <v>853550</v>
      </c>
      <c r="R102" s="10"/>
      <c r="S102" s="313">
        <v>22</v>
      </c>
      <c r="W102" s="42">
        <v>853550</v>
      </c>
      <c r="X102" s="116"/>
      <c r="Y102" s="116"/>
      <c r="Z102" s="116"/>
      <c r="AA102" s="391">
        <v>6</v>
      </c>
      <c r="AF102">
        <v>41</v>
      </c>
      <c r="AS102" s="2">
        <v>853550</v>
      </c>
      <c r="AT102" s="10"/>
      <c r="AU102" s="116"/>
      <c r="AV102" s="6">
        <v>0</v>
      </c>
      <c r="AW102" s="116">
        <v>6</v>
      </c>
      <c r="AX102" s="10">
        <v>6</v>
      </c>
      <c r="AY102" s="10"/>
      <c r="AZ102" s="116"/>
    </row>
    <row r="103" spans="1:52" x14ac:dyDescent="0.25">
      <c r="A103" s="308">
        <v>45207</v>
      </c>
      <c r="B103" s="640">
        <v>179733</v>
      </c>
      <c r="C103" s="641" t="str">
        <f>IFERROR(INDEX(Table14[],MATCH($B103,Table14[SAPNo],0),3),"")</f>
        <v>Short IA 13    (C)</v>
      </c>
      <c r="D103" s="732"/>
      <c r="E103" s="640">
        <v>20</v>
      </c>
      <c r="F103" s="305"/>
      <c r="G103" s="306" t="s">
        <v>1120</v>
      </c>
      <c r="H103" s="306">
        <v>13999833</v>
      </c>
      <c r="I103" s="306" t="s">
        <v>1121</v>
      </c>
      <c r="J103" s="248"/>
      <c r="K103" s="248"/>
      <c r="M103" s="248"/>
      <c r="Q103" s="310">
        <v>933120</v>
      </c>
      <c r="R103" s="10"/>
      <c r="S103" s="313">
        <v>0</v>
      </c>
      <c r="W103" s="42">
        <v>933120</v>
      </c>
      <c r="X103" s="116"/>
      <c r="Y103" s="116"/>
      <c r="Z103" s="116"/>
      <c r="AA103" s="391">
        <v>0</v>
      </c>
      <c r="AF103">
        <v>20</v>
      </c>
      <c r="AS103" s="2">
        <v>933120</v>
      </c>
      <c r="AT103" s="10"/>
      <c r="AU103" s="116"/>
      <c r="AV103" s="6">
        <v>0</v>
      </c>
      <c r="AW103" s="116">
        <v>0</v>
      </c>
      <c r="AX103" s="10">
        <v>0</v>
      </c>
      <c r="AY103" s="10"/>
      <c r="AZ103" s="116"/>
    </row>
    <row r="104" spans="1:52" x14ac:dyDescent="0.25">
      <c r="A104" s="308">
        <v>45207</v>
      </c>
      <c r="B104" s="640">
        <v>1100745</v>
      </c>
      <c r="C104" s="641" t="str">
        <f>IFERROR(INDEX(Table14[],MATCH($B104,Table14[SAPNo],0),3),"")</f>
        <v>Round 1913 CT418  0.018" (S)</v>
      </c>
      <c r="D104" s="732"/>
      <c r="E104" s="640">
        <v>20</v>
      </c>
      <c r="F104" s="305"/>
      <c r="G104" s="306" t="s">
        <v>1120</v>
      </c>
      <c r="H104" s="306">
        <v>13999833</v>
      </c>
      <c r="I104" s="306" t="s">
        <v>1121</v>
      </c>
      <c r="J104" s="248"/>
      <c r="K104" s="248"/>
      <c r="M104" s="248"/>
      <c r="Q104" s="310">
        <v>971093</v>
      </c>
      <c r="R104" s="10"/>
      <c r="S104" s="313">
        <v>2</v>
      </c>
      <c r="W104" s="42">
        <v>971093</v>
      </c>
      <c r="X104" s="116"/>
      <c r="Y104" s="116"/>
      <c r="Z104" s="116"/>
      <c r="AA104" s="391">
        <v>0</v>
      </c>
      <c r="AF104">
        <v>20</v>
      </c>
      <c r="AS104" s="2">
        <v>971093</v>
      </c>
      <c r="AT104" s="10"/>
      <c r="AU104" s="116"/>
      <c r="AV104" s="6">
        <v>0</v>
      </c>
      <c r="AW104" s="116">
        <v>0</v>
      </c>
      <c r="AX104" s="10">
        <v>2</v>
      </c>
      <c r="AY104" s="10"/>
      <c r="AZ104" s="116"/>
    </row>
    <row r="105" spans="1:52" x14ac:dyDescent="0.25">
      <c r="A105" s="308">
        <v>45207</v>
      </c>
      <c r="B105" s="640">
        <v>418525</v>
      </c>
      <c r="C105" s="641" t="str">
        <f>IFERROR(INDEX(Table14[],MATCH($B105,Table14[SAPNo],0),3),"")</f>
        <v>Drop In 1308 CT31   (B)</v>
      </c>
      <c r="D105" s="732"/>
      <c r="E105" s="640">
        <v>7</v>
      </c>
      <c r="F105" s="305"/>
      <c r="G105" s="306" t="s">
        <v>1120</v>
      </c>
      <c r="H105" s="306">
        <v>13999833</v>
      </c>
      <c r="I105" s="306" t="s">
        <v>1121</v>
      </c>
      <c r="J105" s="248"/>
      <c r="K105" s="248"/>
      <c r="M105" s="248"/>
      <c r="Q105" s="310">
        <v>1086351</v>
      </c>
      <c r="R105" s="10"/>
      <c r="S105" s="313">
        <v>1</v>
      </c>
      <c r="W105" s="42">
        <v>1086351</v>
      </c>
      <c r="X105" s="116"/>
      <c r="Y105" s="116"/>
      <c r="Z105" s="116"/>
      <c r="AA105" s="391">
        <v>0</v>
      </c>
      <c r="AF105">
        <v>7</v>
      </c>
      <c r="AS105" s="2">
        <v>1086351</v>
      </c>
      <c r="AT105" s="10"/>
      <c r="AU105" s="116"/>
      <c r="AV105" s="6">
        <v>0</v>
      </c>
      <c r="AW105" s="116">
        <v>3</v>
      </c>
      <c r="AX105" s="10">
        <v>1</v>
      </c>
      <c r="AY105" s="10"/>
      <c r="AZ105" s="116"/>
    </row>
    <row r="106" spans="1:52" x14ac:dyDescent="0.25">
      <c r="A106" s="308">
        <v>45207</v>
      </c>
      <c r="B106" s="640">
        <v>1100741</v>
      </c>
      <c r="C106" s="641" t="str">
        <f>IFERROR(INDEX(Table14[],MATCH($B106,Table14[SAPNo],0),3),"")</f>
        <v>Round 1613 CT418  0.018" (S)</v>
      </c>
      <c r="D106" s="732"/>
      <c r="E106" s="640">
        <v>7</v>
      </c>
      <c r="F106" s="305"/>
      <c r="G106" s="306" t="s">
        <v>1120</v>
      </c>
      <c r="H106" s="306">
        <v>13999833</v>
      </c>
      <c r="I106" s="306" t="s">
        <v>1121</v>
      </c>
      <c r="J106" s="248"/>
      <c r="K106" s="248"/>
      <c r="M106" s="248"/>
      <c r="Q106" s="310">
        <v>632948</v>
      </c>
      <c r="R106" s="10"/>
      <c r="S106" s="313">
        <v>0</v>
      </c>
      <c r="W106" s="384">
        <v>632948</v>
      </c>
      <c r="X106" s="116"/>
      <c r="Y106" s="116"/>
      <c r="Z106" s="116"/>
      <c r="AA106" s="391">
        <v>0</v>
      </c>
      <c r="AF106">
        <v>7</v>
      </c>
      <c r="AS106" s="5">
        <v>632948</v>
      </c>
      <c r="AT106" s="10"/>
      <c r="AU106" s="116"/>
      <c r="AV106" s="6">
        <v>0</v>
      </c>
      <c r="AW106" s="116">
        <v>0</v>
      </c>
      <c r="AX106" s="10">
        <v>0</v>
      </c>
      <c r="AY106" s="10"/>
      <c r="AZ106" s="116"/>
    </row>
    <row r="107" spans="1:52" x14ac:dyDescent="0.25">
      <c r="A107" s="308">
        <v>45208</v>
      </c>
      <c r="B107" s="305">
        <v>1133896</v>
      </c>
      <c r="C107" s="412" t="str">
        <f>IFERROR(INDEX(Table14[],MATCH($B107,Table14[SAPNo],0),3),"")</f>
        <v>1613 CT418 U</v>
      </c>
      <c r="D107" s="306"/>
      <c r="E107" s="305">
        <v>41</v>
      </c>
      <c r="F107" s="305"/>
      <c r="G107" s="306" t="s">
        <v>1122</v>
      </c>
      <c r="H107" s="306">
        <v>13999835</v>
      </c>
      <c r="I107" s="306" t="s">
        <v>1121</v>
      </c>
      <c r="J107" s="248"/>
      <c r="K107" s="248"/>
      <c r="M107" s="248"/>
      <c r="Q107" s="310">
        <v>647435</v>
      </c>
      <c r="R107" s="10">
        <v>215</v>
      </c>
      <c r="S107" s="313">
        <v>22</v>
      </c>
      <c r="W107" s="42">
        <v>647435</v>
      </c>
      <c r="X107" s="116"/>
      <c r="Y107" s="116"/>
      <c r="Z107" s="116"/>
      <c r="AA107" s="391">
        <v>0</v>
      </c>
      <c r="AF107">
        <v>41</v>
      </c>
      <c r="AS107" s="2">
        <v>647435</v>
      </c>
      <c r="AT107" s="10"/>
      <c r="AU107" s="116"/>
      <c r="AV107" s="6">
        <v>0</v>
      </c>
      <c r="AW107" s="116">
        <v>0</v>
      </c>
      <c r="AX107" s="10">
        <v>101</v>
      </c>
      <c r="AY107" s="10"/>
      <c r="AZ107" s="116"/>
    </row>
    <row r="108" spans="1:52" x14ac:dyDescent="0.25">
      <c r="A108" s="308">
        <v>45208</v>
      </c>
      <c r="B108" s="305">
        <v>1219562</v>
      </c>
      <c r="C108" s="412" t="str">
        <f>IFERROR(INDEX(Table14[],MATCH($B108,Table14[SAPNo],0),3),"")</f>
        <v>1613 CT147R U</v>
      </c>
      <c r="D108" s="306"/>
      <c r="E108" s="305">
        <v>41</v>
      </c>
      <c r="F108" s="305"/>
      <c r="G108" s="306" t="s">
        <v>1122</v>
      </c>
      <c r="H108" s="306">
        <v>13999835</v>
      </c>
      <c r="I108" s="306" t="s">
        <v>1121</v>
      </c>
      <c r="J108" s="248"/>
      <c r="K108" s="248"/>
      <c r="M108" s="248"/>
      <c r="Q108" s="310">
        <v>983148</v>
      </c>
      <c r="R108" s="10"/>
      <c r="S108" s="313">
        <v>0</v>
      </c>
      <c r="W108" s="42">
        <v>983148</v>
      </c>
      <c r="X108" s="116"/>
      <c r="Y108" s="116"/>
      <c r="Z108" s="116"/>
      <c r="AA108" s="391">
        <v>0</v>
      </c>
      <c r="AF108">
        <v>41</v>
      </c>
      <c r="AS108" s="2">
        <v>983148</v>
      </c>
      <c r="AT108" s="10"/>
      <c r="AU108" s="116"/>
      <c r="AV108" s="6">
        <v>0</v>
      </c>
      <c r="AW108" s="116">
        <v>0</v>
      </c>
      <c r="AX108" s="10">
        <v>0</v>
      </c>
      <c r="AY108" s="10"/>
      <c r="AZ108" s="116"/>
    </row>
    <row r="109" spans="1:52" x14ac:dyDescent="0.25">
      <c r="A109" s="308">
        <v>45208</v>
      </c>
      <c r="B109" s="305">
        <v>179733</v>
      </c>
      <c r="C109" s="412" t="str">
        <f>IFERROR(INDEX(Table14[],MATCH($B109,Table14[SAPNo],0),3),"")</f>
        <v>Short IA 13    (C)</v>
      </c>
      <c r="D109" s="306"/>
      <c r="E109" s="305">
        <v>20</v>
      </c>
      <c r="F109" s="305"/>
      <c r="G109" s="306" t="s">
        <v>1122</v>
      </c>
      <c r="H109" s="306">
        <v>13999835</v>
      </c>
      <c r="I109" s="306" t="s">
        <v>1121</v>
      </c>
      <c r="J109" s="248"/>
      <c r="K109" s="248"/>
      <c r="M109" s="248"/>
      <c r="Q109" s="310">
        <v>738228</v>
      </c>
      <c r="R109" s="10"/>
      <c r="S109" s="313">
        <v>70</v>
      </c>
      <c r="W109" s="385">
        <v>738228</v>
      </c>
      <c r="X109" s="116"/>
      <c r="Y109" s="116"/>
      <c r="Z109" s="116"/>
      <c r="AA109" s="391">
        <v>0</v>
      </c>
      <c r="AF109">
        <v>20</v>
      </c>
      <c r="AS109" s="2">
        <v>738228</v>
      </c>
      <c r="AT109" s="10"/>
      <c r="AU109" s="116"/>
      <c r="AV109" s="6">
        <v>0</v>
      </c>
      <c r="AW109" s="116">
        <v>0</v>
      </c>
      <c r="AX109" s="10">
        <v>70</v>
      </c>
      <c r="AY109" s="10"/>
      <c r="AZ109" s="116"/>
    </row>
    <row r="110" spans="1:52" x14ac:dyDescent="0.25">
      <c r="A110" s="308">
        <v>45208</v>
      </c>
      <c r="B110" s="305">
        <v>1100745</v>
      </c>
      <c r="C110" s="412" t="str">
        <f>IFERROR(INDEX(Table14[],MATCH($B110,Table14[SAPNo],0),3),"")</f>
        <v>Round 1913 CT418  0.018" (S)</v>
      </c>
      <c r="D110" s="306"/>
      <c r="E110" s="305">
        <v>20</v>
      </c>
      <c r="F110" s="305"/>
      <c r="G110" s="306" t="s">
        <v>1122</v>
      </c>
      <c r="H110" s="306">
        <v>13999835</v>
      </c>
      <c r="I110" s="306" t="s">
        <v>1121</v>
      </c>
      <c r="J110" s="248"/>
      <c r="K110" s="248"/>
      <c r="M110" s="248"/>
      <c r="Q110" s="310" t="s">
        <v>1123</v>
      </c>
      <c r="R110" s="10"/>
      <c r="S110" s="313">
        <v>52</v>
      </c>
      <c r="W110" s="385" t="s">
        <v>1123</v>
      </c>
      <c r="X110" s="116"/>
      <c r="Y110" s="116"/>
      <c r="Z110" s="116"/>
      <c r="AA110" s="391">
        <v>0</v>
      </c>
      <c r="AF110">
        <v>20</v>
      </c>
      <c r="AS110" s="2">
        <v>661066</v>
      </c>
      <c r="AT110" s="10"/>
      <c r="AU110" s="116"/>
      <c r="AV110" s="6">
        <v>0</v>
      </c>
      <c r="AW110" s="116">
        <v>0</v>
      </c>
      <c r="AX110" s="10">
        <v>19</v>
      </c>
      <c r="AY110" s="10"/>
      <c r="AZ110" s="116"/>
    </row>
    <row r="111" spans="1:52" x14ac:dyDescent="0.25">
      <c r="A111" s="308">
        <v>45208</v>
      </c>
      <c r="B111" s="305">
        <v>418525</v>
      </c>
      <c r="C111" s="412" t="str">
        <f>IFERROR(INDEX(Table14[],MATCH($B111,Table14[SAPNo],0),3),"")</f>
        <v>Drop In 1308 CT31   (B)</v>
      </c>
      <c r="D111" s="306"/>
      <c r="E111" s="305">
        <v>7</v>
      </c>
      <c r="F111" s="305"/>
      <c r="G111" s="306" t="s">
        <v>1122</v>
      </c>
      <c r="H111" s="306">
        <v>13999835</v>
      </c>
      <c r="I111" s="306" t="s">
        <v>1121</v>
      </c>
      <c r="J111" s="248"/>
      <c r="K111" s="248"/>
      <c r="M111" s="248"/>
      <c r="Q111" s="310">
        <v>1104743</v>
      </c>
      <c r="R111" s="10"/>
      <c r="S111" s="313">
        <v>9</v>
      </c>
      <c r="W111" s="385">
        <v>1104743</v>
      </c>
      <c r="X111" s="116"/>
      <c r="Y111" s="116"/>
      <c r="Z111" s="116"/>
      <c r="AA111" s="391">
        <v>0</v>
      </c>
      <c r="AF111">
        <v>7</v>
      </c>
      <c r="AS111" s="2">
        <v>1104743</v>
      </c>
      <c r="AT111" s="10"/>
      <c r="AU111" s="116"/>
      <c r="AV111" s="6">
        <v>0</v>
      </c>
      <c r="AW111" s="116">
        <v>0</v>
      </c>
      <c r="AX111" s="10">
        <v>9</v>
      </c>
      <c r="AY111" s="10"/>
      <c r="AZ111" s="116"/>
    </row>
    <row r="112" spans="1:52" x14ac:dyDescent="0.25">
      <c r="A112" s="308">
        <v>45208</v>
      </c>
      <c r="B112" s="305">
        <v>1100741</v>
      </c>
      <c r="C112" s="412" t="str">
        <f>IFERROR(INDEX(Table14[],MATCH($B112,Table14[SAPNo],0),3),"")</f>
        <v>Round 1613 CT418  0.018" (S)</v>
      </c>
      <c r="D112" s="306"/>
      <c r="E112" s="305">
        <v>7</v>
      </c>
      <c r="F112" s="305"/>
      <c r="G112" s="306" t="s">
        <v>1122</v>
      </c>
      <c r="H112" s="306">
        <v>13999835</v>
      </c>
      <c r="I112" s="306" t="s">
        <v>1121</v>
      </c>
      <c r="J112" s="248"/>
      <c r="K112" s="248"/>
      <c r="M112" s="248"/>
      <c r="Q112" s="310">
        <v>1100696</v>
      </c>
      <c r="R112" s="10">
        <v>3</v>
      </c>
      <c r="S112" s="313">
        <v>2</v>
      </c>
      <c r="W112" s="42">
        <v>1100696</v>
      </c>
      <c r="X112" s="116"/>
      <c r="Y112" s="116"/>
      <c r="Z112" s="116"/>
      <c r="AA112" s="391">
        <v>0</v>
      </c>
      <c r="AF112">
        <v>7</v>
      </c>
      <c r="AS112" s="2">
        <v>1100696</v>
      </c>
      <c r="AT112" s="10">
        <f>17+17+17-4-13-2-2-2-4-1-5-5-3-1-9</f>
        <v>0</v>
      </c>
      <c r="AU112" s="116"/>
      <c r="AV112" s="6">
        <v>1</v>
      </c>
      <c r="AW112" s="116">
        <v>0</v>
      </c>
      <c r="AX112" s="10">
        <v>148</v>
      </c>
      <c r="AY112" s="10"/>
      <c r="AZ112" s="116"/>
    </row>
    <row r="113" spans="1:52" x14ac:dyDescent="0.25">
      <c r="A113" s="308">
        <v>45208</v>
      </c>
      <c r="B113" s="305">
        <v>1136984</v>
      </c>
      <c r="C113" s="412" t="str">
        <f>IFERROR(INDEX(Table14[],MATCH($B113,Table14[SAPNo],0),3),"")</f>
        <v>DBLMCHT 1313 CT182DM  10C (S)</v>
      </c>
      <c r="D113" s="306"/>
      <c r="E113" s="305">
        <v>13</v>
      </c>
      <c r="F113" s="305"/>
      <c r="G113" s="306" t="s">
        <v>1124</v>
      </c>
      <c r="H113" s="306">
        <v>14042322</v>
      </c>
      <c r="I113" s="306" t="s">
        <v>1074</v>
      </c>
      <c r="J113" s="248"/>
      <c r="K113" s="248"/>
      <c r="M113" s="248"/>
      <c r="Q113" s="310">
        <v>1100745</v>
      </c>
      <c r="R113" s="10">
        <v>40</v>
      </c>
      <c r="S113" s="313">
        <v>3</v>
      </c>
      <c r="W113" s="42">
        <v>1100745</v>
      </c>
      <c r="X113" s="116"/>
      <c r="Y113" s="116"/>
      <c r="Z113" s="116"/>
      <c r="AA113" s="391">
        <v>0</v>
      </c>
      <c r="AF113">
        <v>13</v>
      </c>
      <c r="AS113" s="2">
        <v>1100745</v>
      </c>
      <c r="AT113" s="10"/>
      <c r="AU113" s="116"/>
      <c r="AV113" s="6">
        <v>0</v>
      </c>
      <c r="AW113" s="116">
        <v>0</v>
      </c>
      <c r="AX113" s="10">
        <v>0</v>
      </c>
      <c r="AY113" s="10"/>
      <c r="AZ113" s="116"/>
    </row>
    <row r="114" spans="1:52" x14ac:dyDescent="0.25">
      <c r="A114" s="308">
        <v>45208</v>
      </c>
      <c r="B114" s="305">
        <v>1100696</v>
      </c>
      <c r="C114" s="412" t="str">
        <f>IFERROR(INDEX(Table14[],MATCH($B114,Table14[SAPNo],0),3),"")</f>
        <v>Round 1313 CT418  10C (S)</v>
      </c>
      <c r="D114" s="306"/>
      <c r="E114" s="305">
        <v>5</v>
      </c>
      <c r="F114" s="305"/>
      <c r="G114" s="306" t="s">
        <v>1124</v>
      </c>
      <c r="H114" s="306">
        <v>14042322</v>
      </c>
      <c r="I114" s="306" t="s">
        <v>1074</v>
      </c>
      <c r="J114" s="248"/>
      <c r="K114" s="248"/>
      <c r="M114" s="248"/>
      <c r="Q114" s="310">
        <v>1130198</v>
      </c>
      <c r="R114" s="10">
        <v>4334</v>
      </c>
      <c r="S114" s="313">
        <v>510</v>
      </c>
      <c r="W114" s="42">
        <v>1130198</v>
      </c>
      <c r="X114" s="116">
        <v>1</v>
      </c>
      <c r="Y114" s="116">
        <v>34</v>
      </c>
      <c r="Z114" s="116">
        <v>1</v>
      </c>
      <c r="AA114" s="391">
        <v>15</v>
      </c>
      <c r="AF114">
        <v>5</v>
      </c>
      <c r="AS114" s="2">
        <v>1130198</v>
      </c>
      <c r="AT114" s="10">
        <v>0</v>
      </c>
      <c r="AU114" s="116">
        <v>6</v>
      </c>
      <c r="AV114" s="6">
        <v>116</v>
      </c>
      <c r="AW114" s="116">
        <v>30</v>
      </c>
      <c r="AX114" s="10">
        <f>123+764</f>
        <v>887</v>
      </c>
      <c r="AY114" s="10">
        <v>3</v>
      </c>
      <c r="AZ114" s="116"/>
    </row>
    <row r="115" spans="1:52" x14ac:dyDescent="0.25">
      <c r="A115" s="308">
        <v>45208</v>
      </c>
      <c r="B115" s="305">
        <v>418525</v>
      </c>
      <c r="C115" s="412" t="str">
        <f>IFERROR(INDEX(Table14[],MATCH($B115,Table14[SAPNo],0),3),"")</f>
        <v>Drop In 1308 CT31   (B)</v>
      </c>
      <c r="D115" s="306"/>
      <c r="E115" s="305">
        <v>6</v>
      </c>
      <c r="F115" s="305"/>
      <c r="G115" s="306" t="s">
        <v>1124</v>
      </c>
      <c r="H115" s="306">
        <v>14042322</v>
      </c>
      <c r="I115" s="306" t="s">
        <v>1074</v>
      </c>
      <c r="J115" s="248"/>
      <c r="K115" s="248"/>
      <c r="M115" s="248"/>
      <c r="Q115" s="310">
        <v>1130196</v>
      </c>
      <c r="R115" s="10">
        <v>194</v>
      </c>
      <c r="S115" s="313">
        <v>0</v>
      </c>
      <c r="W115" s="42">
        <v>1130196</v>
      </c>
      <c r="X115" s="116"/>
      <c r="Y115" s="116"/>
      <c r="Z115" s="116"/>
      <c r="AA115" s="391">
        <v>12</v>
      </c>
      <c r="AF115">
        <v>6</v>
      </c>
      <c r="AS115" s="2">
        <v>1130196</v>
      </c>
      <c r="AT115" s="10"/>
      <c r="AU115" s="116"/>
      <c r="AV115" s="6">
        <v>0</v>
      </c>
      <c r="AW115" s="116">
        <v>6</v>
      </c>
      <c r="AX115" s="10">
        <v>6</v>
      </c>
      <c r="AY115" s="10"/>
      <c r="AZ115" s="116"/>
    </row>
    <row r="116" spans="1:52" x14ac:dyDescent="0.25">
      <c r="A116" s="308">
        <v>45208</v>
      </c>
      <c r="B116" s="305">
        <v>1101509</v>
      </c>
      <c r="C116" s="412" t="str">
        <f>IFERROR(INDEX(Table14[],MATCH($B116,Table14[SAPNo],0),3),"")</f>
        <v>Short IA 8    (C)</v>
      </c>
      <c r="D116" s="306"/>
      <c r="E116" s="305">
        <v>5</v>
      </c>
      <c r="F116" s="305"/>
      <c r="G116" s="306" t="s">
        <v>1124</v>
      </c>
      <c r="H116" s="306">
        <v>14042322</v>
      </c>
      <c r="I116" s="306" t="s">
        <v>1074</v>
      </c>
      <c r="J116" s="248"/>
      <c r="K116" s="248"/>
      <c r="M116" s="248"/>
      <c r="Q116" s="310">
        <v>752583</v>
      </c>
      <c r="R116" s="10"/>
      <c r="S116" s="313">
        <v>0</v>
      </c>
      <c r="W116" s="42">
        <v>752583</v>
      </c>
      <c r="X116" s="116"/>
      <c r="Y116" s="116"/>
      <c r="Z116" s="116"/>
      <c r="AA116" s="391">
        <v>3</v>
      </c>
      <c r="AF116">
        <v>5</v>
      </c>
      <c r="AS116" s="2">
        <v>752583</v>
      </c>
      <c r="AT116" s="10"/>
      <c r="AU116" s="116"/>
      <c r="AV116" s="6">
        <v>0</v>
      </c>
      <c r="AW116" s="116">
        <v>3</v>
      </c>
      <c r="AX116" s="10">
        <v>0</v>
      </c>
      <c r="AY116" s="10"/>
      <c r="AZ116" s="116"/>
    </row>
    <row r="117" spans="1:52" x14ac:dyDescent="0.25">
      <c r="A117" s="308">
        <v>45208</v>
      </c>
      <c r="B117" s="305">
        <v>1104083</v>
      </c>
      <c r="C117" s="412" t="str">
        <f>IFERROR(INDEX(Table14[],MATCH($B117,Table14[SAPNo],0),3),"")</f>
        <v>1313 CT144H  10C (S)</v>
      </c>
      <c r="D117" s="306"/>
      <c r="E117" s="305">
        <v>1</v>
      </c>
      <c r="F117" s="305"/>
      <c r="G117" s="306" t="s">
        <v>1124</v>
      </c>
      <c r="H117" s="306">
        <v>14042322</v>
      </c>
      <c r="I117" s="306" t="s">
        <v>1074</v>
      </c>
      <c r="J117" s="248"/>
      <c r="K117" s="248"/>
      <c r="M117" s="248"/>
      <c r="Q117" s="310">
        <v>1100741</v>
      </c>
      <c r="R117" s="10">
        <v>368</v>
      </c>
      <c r="S117" s="313">
        <v>25</v>
      </c>
      <c r="W117" s="42">
        <v>1100741</v>
      </c>
      <c r="X117" s="116"/>
      <c r="Y117" s="116"/>
      <c r="Z117" s="116"/>
      <c r="AA117" s="391">
        <v>0</v>
      </c>
      <c r="AF117">
        <v>1</v>
      </c>
      <c r="AS117" s="2">
        <v>1100741</v>
      </c>
      <c r="AT117" s="10"/>
      <c r="AU117" s="116"/>
      <c r="AV117" s="6">
        <v>0</v>
      </c>
      <c r="AW117" s="116">
        <v>0</v>
      </c>
      <c r="AX117" s="10">
        <v>7</v>
      </c>
      <c r="AY117" s="10"/>
      <c r="AZ117" s="116"/>
    </row>
    <row r="118" spans="1:52" x14ac:dyDescent="0.25">
      <c r="A118" s="308">
        <v>45208</v>
      </c>
      <c r="B118" s="305">
        <v>1238831</v>
      </c>
      <c r="C118" s="412" t="str">
        <f>IFERROR(INDEX(Table14[],MATCH($B118,Table14[SAPNo],0),3),"")</f>
        <v>1313 CT418 25-75</v>
      </c>
      <c r="D118" s="306"/>
      <c r="E118" s="305">
        <v>7</v>
      </c>
      <c r="F118" s="305"/>
      <c r="G118" s="306" t="s">
        <v>1124</v>
      </c>
      <c r="H118" s="306">
        <v>14042322</v>
      </c>
      <c r="I118" s="306" t="s">
        <v>1074</v>
      </c>
      <c r="J118" s="248"/>
      <c r="K118" s="248"/>
      <c r="M118" s="248"/>
      <c r="Q118" s="310">
        <v>1014941</v>
      </c>
      <c r="R118" s="10"/>
      <c r="S118" s="313">
        <v>1</v>
      </c>
      <c r="W118" s="42">
        <v>1014941</v>
      </c>
      <c r="X118" s="116"/>
      <c r="Y118" s="116"/>
      <c r="Z118" s="116"/>
      <c r="AA118" s="391">
        <v>6</v>
      </c>
      <c r="AF118">
        <v>7</v>
      </c>
      <c r="AS118" s="2">
        <v>1014941</v>
      </c>
      <c r="AT118" s="10"/>
      <c r="AU118" s="116"/>
      <c r="AV118" s="6">
        <v>0</v>
      </c>
      <c r="AW118" s="116">
        <v>6</v>
      </c>
      <c r="AX118" s="10">
        <v>1</v>
      </c>
      <c r="AY118" s="10"/>
      <c r="AZ118" s="116"/>
    </row>
    <row r="119" spans="1:52" x14ac:dyDescent="0.25">
      <c r="A119" s="308">
        <v>45208</v>
      </c>
      <c r="B119" s="305">
        <v>1130198</v>
      </c>
      <c r="C119" s="412" t="str">
        <f>IFERROR(INDEX(Table14[],MATCH($B119,Table14[SAPNo],0),3),"")</f>
        <v>Round 1613 CT182  0.018" (S)</v>
      </c>
      <c r="D119" s="306"/>
      <c r="E119" s="305">
        <v>31</v>
      </c>
      <c r="F119" s="305"/>
      <c r="G119" s="306" t="s">
        <v>1125</v>
      </c>
      <c r="H119" s="306">
        <v>14056977</v>
      </c>
      <c r="I119" s="306" t="s">
        <v>1076</v>
      </c>
      <c r="J119" s="248"/>
      <c r="K119" s="248"/>
      <c r="M119" s="248"/>
      <c r="Q119" s="310">
        <v>1130200</v>
      </c>
      <c r="R119" s="10">
        <v>842</v>
      </c>
      <c r="S119" s="313">
        <v>31</v>
      </c>
      <c r="W119" s="42">
        <v>1130200</v>
      </c>
      <c r="X119" s="116">
        <v>1</v>
      </c>
      <c r="Y119" s="116"/>
      <c r="Z119" s="116"/>
      <c r="AA119" s="391">
        <v>0</v>
      </c>
      <c r="AF119">
        <v>31</v>
      </c>
      <c r="AS119" s="2">
        <v>1130200</v>
      </c>
      <c r="AT119" s="10">
        <v>1</v>
      </c>
      <c r="AU119" s="116"/>
      <c r="AV119" s="6">
        <v>10</v>
      </c>
      <c r="AW119" s="116">
        <v>0</v>
      </c>
      <c r="AX119" s="10">
        <v>1</v>
      </c>
      <c r="AY119" s="10"/>
      <c r="AZ119" s="116"/>
    </row>
    <row r="120" spans="1:52" x14ac:dyDescent="0.25">
      <c r="A120" s="308">
        <v>45208</v>
      </c>
      <c r="B120" s="305">
        <v>1078377</v>
      </c>
      <c r="C120" s="412" t="str">
        <f>IFERROR(INDEX(Table14[],MATCH($B120,Table14[SAPNo],0),3),"")</f>
        <v>13MM CT221 R1</v>
      </c>
      <c r="D120" s="306"/>
      <c r="E120" s="305">
        <v>15</v>
      </c>
      <c r="F120" s="305"/>
      <c r="G120" s="306" t="s">
        <v>1125</v>
      </c>
      <c r="H120" s="306">
        <v>14056977</v>
      </c>
      <c r="I120" s="306" t="s">
        <v>1076</v>
      </c>
      <c r="J120" s="248"/>
      <c r="K120" s="248"/>
      <c r="M120" s="248"/>
      <c r="Q120" s="310">
        <v>1144821</v>
      </c>
      <c r="R120" s="10"/>
      <c r="S120" s="313">
        <v>110</v>
      </c>
      <c r="W120" s="385">
        <v>1144821</v>
      </c>
      <c r="X120" s="116"/>
      <c r="Y120" s="116"/>
      <c r="Z120" s="116"/>
      <c r="AA120" s="391">
        <v>0</v>
      </c>
      <c r="AF120">
        <v>15</v>
      </c>
      <c r="AS120" s="2">
        <v>1144821</v>
      </c>
      <c r="AT120" s="10"/>
      <c r="AU120" s="116"/>
      <c r="AV120" s="6">
        <v>0</v>
      </c>
      <c r="AW120" s="116">
        <v>0</v>
      </c>
      <c r="AX120" s="10">
        <v>110</v>
      </c>
      <c r="AY120" s="10"/>
      <c r="AZ120" s="116"/>
    </row>
    <row r="121" spans="1:52" x14ac:dyDescent="0.25">
      <c r="A121" s="308">
        <v>45208</v>
      </c>
      <c r="B121" s="305">
        <v>418525</v>
      </c>
      <c r="C121" s="412" t="str">
        <f>IFERROR(INDEX(Table14[],MATCH($B121,Table14[SAPNo],0),3),"")</f>
        <v>Drop In 1308 CT31   (B)</v>
      </c>
      <c r="D121" s="306"/>
      <c r="E121" s="305">
        <v>6</v>
      </c>
      <c r="F121" s="305"/>
      <c r="G121" s="306" t="s">
        <v>1125</v>
      </c>
      <c r="H121" s="306">
        <v>14056977</v>
      </c>
      <c r="I121" s="306" t="s">
        <v>1076</v>
      </c>
      <c r="J121" s="248"/>
      <c r="K121" s="248"/>
      <c r="M121" s="248"/>
      <c r="Q121" s="310">
        <v>1134752</v>
      </c>
      <c r="R121" s="10">
        <v>89</v>
      </c>
      <c r="S121" s="313">
        <v>20</v>
      </c>
      <c r="W121" s="42">
        <v>1134752</v>
      </c>
      <c r="X121" s="116">
        <v>9</v>
      </c>
      <c r="Y121" s="116"/>
      <c r="Z121" s="116"/>
      <c r="AA121" s="391">
        <v>0</v>
      </c>
      <c r="AF121">
        <v>6</v>
      </c>
      <c r="AS121" s="2">
        <v>1134752</v>
      </c>
      <c r="AT121" s="10">
        <v>4</v>
      </c>
      <c r="AU121" s="116">
        <v>2</v>
      </c>
      <c r="AV121" s="6">
        <v>0</v>
      </c>
      <c r="AW121" s="116">
        <v>0</v>
      </c>
      <c r="AX121" s="10">
        <f>106+3</f>
        <v>109</v>
      </c>
      <c r="AY121" s="10">
        <v>3</v>
      </c>
      <c r="AZ121" s="116"/>
    </row>
    <row r="122" spans="1:52" x14ac:dyDescent="0.25">
      <c r="A122" s="308">
        <v>45209</v>
      </c>
      <c r="B122" s="305">
        <v>1104083</v>
      </c>
      <c r="C122" s="412" t="str">
        <f>IFERROR(INDEX(Table14[],MATCH($B122,Table14[SAPNo],0),3),"")</f>
        <v>1313 CT144H  10C (S)</v>
      </c>
      <c r="D122" s="306"/>
      <c r="E122" s="305">
        <v>1</v>
      </c>
      <c r="F122" s="305"/>
      <c r="G122" s="306" t="s">
        <v>1126</v>
      </c>
      <c r="H122" s="306" t="s">
        <v>1127</v>
      </c>
      <c r="I122" s="306" t="s">
        <v>1128</v>
      </c>
      <c r="J122" s="248"/>
      <c r="K122" s="248"/>
      <c r="M122" s="248"/>
      <c r="Q122" s="310">
        <v>1130197</v>
      </c>
      <c r="R122" s="10">
        <v>445</v>
      </c>
      <c r="S122" s="313">
        <v>19</v>
      </c>
      <c r="W122" s="42">
        <v>1130197</v>
      </c>
      <c r="X122" s="116"/>
      <c r="Y122" s="116"/>
      <c r="Z122" s="116"/>
      <c r="AA122" s="391">
        <v>0</v>
      </c>
      <c r="AF122">
        <v>1</v>
      </c>
      <c r="AS122" s="2">
        <v>1130197</v>
      </c>
      <c r="AT122" s="10"/>
      <c r="AU122" s="116"/>
      <c r="AV122" s="6">
        <v>0</v>
      </c>
      <c r="AW122" s="116">
        <v>0</v>
      </c>
      <c r="AX122" s="10">
        <v>135</v>
      </c>
      <c r="AY122" s="10"/>
      <c r="AZ122" s="116"/>
    </row>
    <row r="123" spans="1:52" x14ac:dyDescent="0.25">
      <c r="A123" s="308">
        <v>45209</v>
      </c>
      <c r="B123" s="305">
        <v>1136984</v>
      </c>
      <c r="C123" s="412" t="str">
        <f>IFERROR(INDEX(Table14[],MATCH($B123,Table14[SAPNo],0),3),"")</f>
        <v>DBLMCHT 1313 CT182DM  10C (S)</v>
      </c>
      <c r="D123" s="306"/>
      <c r="E123" s="305">
        <v>1</v>
      </c>
      <c r="F123" s="305"/>
      <c r="G123" s="306" t="s">
        <v>1126</v>
      </c>
      <c r="H123" s="306" t="s">
        <v>1127</v>
      </c>
      <c r="I123" s="306" t="s">
        <v>1128</v>
      </c>
      <c r="J123" s="248"/>
      <c r="K123" s="248"/>
      <c r="M123" s="248"/>
      <c r="Q123" s="310">
        <v>1130204</v>
      </c>
      <c r="R123" s="10"/>
      <c r="S123" s="313">
        <v>89</v>
      </c>
      <c r="W123" s="42">
        <v>1130204</v>
      </c>
      <c r="X123" s="116"/>
      <c r="Y123" s="116"/>
      <c r="Z123" s="116"/>
      <c r="AA123" s="391">
        <v>0</v>
      </c>
      <c r="AF123">
        <v>1</v>
      </c>
      <c r="AS123" s="2">
        <v>1130204</v>
      </c>
      <c r="AT123" s="10"/>
      <c r="AU123" s="116"/>
      <c r="AV123" s="6">
        <v>0</v>
      </c>
      <c r="AW123" s="116">
        <v>0</v>
      </c>
      <c r="AX123" s="10">
        <v>89</v>
      </c>
      <c r="AY123" s="10"/>
      <c r="AZ123" s="116"/>
    </row>
    <row r="124" spans="1:52" x14ac:dyDescent="0.25">
      <c r="A124" s="308">
        <v>45209</v>
      </c>
      <c r="B124" s="305">
        <v>1100696</v>
      </c>
      <c r="C124" s="412" t="str">
        <f>IFERROR(INDEX(Table14[],MATCH($B124,Table14[SAPNo],0),3),"")</f>
        <v>Round 1313 CT418  10C (S)</v>
      </c>
      <c r="D124" s="306"/>
      <c r="E124" s="305">
        <v>1</v>
      </c>
      <c r="F124" s="305"/>
      <c r="G124" s="306" t="s">
        <v>1126</v>
      </c>
      <c r="H124" s="306" t="s">
        <v>1127</v>
      </c>
      <c r="I124" s="306" t="s">
        <v>1128</v>
      </c>
      <c r="J124" s="248"/>
      <c r="K124" s="248"/>
      <c r="M124" s="248"/>
      <c r="Q124" s="310">
        <v>971088</v>
      </c>
      <c r="R124" s="10"/>
      <c r="S124" s="313">
        <v>117</v>
      </c>
      <c r="W124" s="42">
        <v>971088</v>
      </c>
      <c r="X124" s="116"/>
      <c r="Y124" s="116"/>
      <c r="Z124" s="116"/>
      <c r="AA124" s="391">
        <v>0</v>
      </c>
      <c r="AF124">
        <v>1</v>
      </c>
      <c r="AS124" s="2">
        <v>971088</v>
      </c>
      <c r="AT124" s="10"/>
      <c r="AU124" s="116"/>
      <c r="AV124" s="6">
        <v>0</v>
      </c>
      <c r="AW124" s="116">
        <v>0</v>
      </c>
      <c r="AX124" s="10">
        <v>117</v>
      </c>
      <c r="AY124" s="10"/>
      <c r="AZ124" s="116"/>
    </row>
    <row r="125" spans="1:52" x14ac:dyDescent="0.25">
      <c r="A125" s="308">
        <v>45209</v>
      </c>
      <c r="B125" s="305">
        <v>708306</v>
      </c>
      <c r="C125" s="412" t="str">
        <f>IFERROR(INDEX(Table14[],MATCH($B125,Table14[SAPNo],0),3),"")</f>
        <v>Round 1913 CT200  0.018" (B)</v>
      </c>
      <c r="D125" s="306"/>
      <c r="E125" s="305">
        <v>34</v>
      </c>
      <c r="F125" s="305"/>
      <c r="G125" s="306" t="s">
        <v>1129</v>
      </c>
      <c r="H125" s="306">
        <v>14056705</v>
      </c>
      <c r="I125" s="306" t="s">
        <v>1130</v>
      </c>
      <c r="J125" s="248"/>
      <c r="K125" s="248"/>
      <c r="M125" s="248"/>
      <c r="Q125" s="310">
        <v>1039033</v>
      </c>
      <c r="R125" s="10">
        <v>8</v>
      </c>
      <c r="S125" s="313">
        <v>14</v>
      </c>
      <c r="W125" s="42">
        <v>1039033</v>
      </c>
      <c r="X125" s="116"/>
      <c r="Y125" s="116"/>
      <c r="Z125" s="116"/>
      <c r="AA125" s="391">
        <v>0</v>
      </c>
      <c r="AF125">
        <v>34</v>
      </c>
      <c r="AS125" s="2">
        <v>1039033</v>
      </c>
      <c r="AT125" s="10"/>
      <c r="AU125" s="116"/>
      <c r="AV125" s="6">
        <v>0</v>
      </c>
      <c r="AW125" s="116">
        <v>0</v>
      </c>
      <c r="AX125" s="10">
        <v>0</v>
      </c>
      <c r="AY125" s="10"/>
      <c r="AZ125" s="116"/>
    </row>
    <row r="126" spans="1:52" x14ac:dyDescent="0.25">
      <c r="A126" s="308">
        <v>45209</v>
      </c>
      <c r="B126" s="305">
        <v>1130198</v>
      </c>
      <c r="C126" s="412" t="str">
        <f>IFERROR(INDEX(Table14[],MATCH($B126,Table14[SAPNo],0),3),"")</f>
        <v>Round 1613 CT182  0.018" (S)</v>
      </c>
      <c r="D126" s="306"/>
      <c r="E126" s="305">
        <v>9</v>
      </c>
      <c r="F126" s="305"/>
      <c r="G126" s="306" t="s">
        <v>1129</v>
      </c>
      <c r="H126" s="306">
        <v>14056705</v>
      </c>
      <c r="I126" s="306" t="s">
        <v>1130</v>
      </c>
      <c r="J126" s="248"/>
      <c r="K126" s="248"/>
      <c r="M126" s="248"/>
      <c r="Q126" s="310">
        <v>1144818</v>
      </c>
      <c r="R126" s="10"/>
      <c r="S126" s="313">
        <v>12</v>
      </c>
      <c r="W126" s="385">
        <v>1144818</v>
      </c>
      <c r="X126" s="116"/>
      <c r="Y126" s="116"/>
      <c r="Z126" s="116"/>
      <c r="AA126" s="391">
        <v>0</v>
      </c>
      <c r="AF126">
        <v>9</v>
      </c>
      <c r="AS126" s="2">
        <v>1144818</v>
      </c>
      <c r="AT126" s="10"/>
      <c r="AU126" s="116"/>
      <c r="AV126" s="6">
        <v>0</v>
      </c>
      <c r="AW126" s="116">
        <v>0</v>
      </c>
      <c r="AX126" s="10">
        <v>12</v>
      </c>
      <c r="AY126" s="10"/>
      <c r="AZ126" s="116"/>
    </row>
    <row r="127" spans="1:52" x14ac:dyDescent="0.25">
      <c r="A127" s="308">
        <v>45209</v>
      </c>
      <c r="B127" s="305">
        <v>871781</v>
      </c>
      <c r="C127" s="412" t="str">
        <f>IFERROR(INDEX(Table14[],MATCH($B127,Table14[SAPNo],0),3),"")</f>
        <v>Round 1313 CT200  0.018" (B)</v>
      </c>
      <c r="D127" s="306"/>
      <c r="E127" s="305">
        <v>8</v>
      </c>
      <c r="F127" s="305"/>
      <c r="G127" s="306" t="s">
        <v>1129</v>
      </c>
      <c r="H127" s="306">
        <v>14056705</v>
      </c>
      <c r="I127" s="306" t="s">
        <v>1130</v>
      </c>
      <c r="J127" s="248"/>
      <c r="K127" s="248"/>
      <c r="M127" s="248"/>
      <c r="Q127" s="310">
        <v>1144820</v>
      </c>
      <c r="R127" s="10"/>
      <c r="S127" s="313">
        <v>6</v>
      </c>
      <c r="W127" s="385">
        <v>1144820</v>
      </c>
      <c r="X127" s="116"/>
      <c r="Y127" s="116"/>
      <c r="Z127" s="116"/>
      <c r="AA127" s="391">
        <v>0</v>
      </c>
      <c r="AF127">
        <v>8</v>
      </c>
      <c r="AS127" s="2">
        <v>1144820</v>
      </c>
      <c r="AT127" s="10"/>
      <c r="AU127" s="116"/>
      <c r="AV127" s="6">
        <v>0</v>
      </c>
      <c r="AW127" s="116">
        <v>0</v>
      </c>
      <c r="AX127" s="10">
        <v>6</v>
      </c>
      <c r="AY127" s="10"/>
      <c r="AZ127" s="116"/>
    </row>
    <row r="128" spans="1:52" x14ac:dyDescent="0.25">
      <c r="A128" s="308">
        <v>45209</v>
      </c>
      <c r="B128" s="305">
        <v>1130200</v>
      </c>
      <c r="C128" s="412" t="str">
        <f>IFERROR(INDEX(Table14[],MATCH($B128,Table14[SAPNo],0),3),"")</f>
        <v>Round 1913 CT182  0.018" (S)</v>
      </c>
      <c r="D128" s="306"/>
      <c r="E128" s="305">
        <v>48</v>
      </c>
      <c r="F128" s="305"/>
      <c r="G128" s="306" t="s">
        <v>1129</v>
      </c>
      <c r="H128" s="306">
        <v>14056705</v>
      </c>
      <c r="I128" s="306" t="s">
        <v>1130</v>
      </c>
      <c r="J128" s="248"/>
      <c r="K128" s="248"/>
      <c r="M128" s="248"/>
      <c r="Q128" s="310">
        <v>1144689</v>
      </c>
      <c r="R128" s="10"/>
      <c r="S128" s="313">
        <v>9</v>
      </c>
      <c r="W128" s="385">
        <v>1144689</v>
      </c>
      <c r="X128" s="116"/>
      <c r="Y128" s="116"/>
      <c r="Z128" s="116"/>
      <c r="AA128" s="391">
        <v>0</v>
      </c>
      <c r="AF128">
        <v>48</v>
      </c>
      <c r="AS128" s="2">
        <v>1144689</v>
      </c>
      <c r="AT128" s="10"/>
      <c r="AU128" s="116"/>
      <c r="AV128" s="6">
        <v>0</v>
      </c>
      <c r="AW128" s="116">
        <v>0</v>
      </c>
      <c r="AX128" s="10">
        <v>0</v>
      </c>
      <c r="AY128" s="10"/>
      <c r="AZ128" s="116"/>
    </row>
    <row r="129" spans="1:52" x14ac:dyDescent="0.25">
      <c r="A129" s="320">
        <v>45209</v>
      </c>
      <c r="B129" s="321">
        <v>1130200</v>
      </c>
      <c r="C129" s="413" t="str">
        <f>IFERROR(INDEX(Table14[],MATCH($B129,Table14[SAPNo],0),3),"")</f>
        <v>Round 1913 CT182  0.018" (S)</v>
      </c>
      <c r="D129" s="306"/>
      <c r="E129" s="321">
        <v>48</v>
      </c>
      <c r="F129" s="321"/>
      <c r="G129" s="306" t="s">
        <v>1131</v>
      </c>
      <c r="H129" s="322">
        <v>13915698</v>
      </c>
      <c r="I129" s="322" t="s">
        <v>1130</v>
      </c>
      <c r="J129" s="248"/>
      <c r="K129" s="248"/>
      <c r="M129" s="248"/>
      <c r="Q129" s="310">
        <v>1039035</v>
      </c>
      <c r="R129" s="10"/>
      <c r="S129" s="313">
        <v>12</v>
      </c>
      <c r="W129" s="42">
        <v>1039035</v>
      </c>
      <c r="X129" s="116"/>
      <c r="Y129" s="116"/>
      <c r="Z129" s="116"/>
      <c r="AA129" s="391">
        <v>0</v>
      </c>
      <c r="AF129">
        <v>48</v>
      </c>
      <c r="AS129" s="2">
        <v>1039035</v>
      </c>
      <c r="AT129" s="10"/>
      <c r="AU129" s="116"/>
      <c r="AV129" s="6">
        <v>0</v>
      </c>
      <c r="AW129" s="116">
        <v>0</v>
      </c>
      <c r="AX129" s="10">
        <v>12</v>
      </c>
      <c r="AY129" s="10"/>
      <c r="AZ129" s="116"/>
    </row>
    <row r="130" spans="1:52" x14ac:dyDescent="0.25">
      <c r="A130" s="320">
        <v>45209</v>
      </c>
      <c r="B130" s="321">
        <v>708306</v>
      </c>
      <c r="C130" s="413" t="str">
        <f>IFERROR(INDEX(Table14[],MATCH($B130,Table14[SAPNo],0),3),"")</f>
        <v>Round 1913 CT200  0.018" (B)</v>
      </c>
      <c r="D130" s="306"/>
      <c r="E130" s="321">
        <v>34</v>
      </c>
      <c r="F130" s="321"/>
      <c r="G130" s="322" t="s">
        <v>1131</v>
      </c>
      <c r="H130" s="322">
        <v>13915698</v>
      </c>
      <c r="I130" s="322" t="s">
        <v>1130</v>
      </c>
      <c r="J130" s="248"/>
      <c r="K130" s="248"/>
      <c r="M130" s="248"/>
      <c r="Q130" s="310">
        <v>1104083</v>
      </c>
      <c r="R130" s="10">
        <v>24</v>
      </c>
      <c r="S130" s="313"/>
      <c r="W130" s="384">
        <v>1104083</v>
      </c>
      <c r="X130" s="116"/>
      <c r="Y130" s="116"/>
      <c r="Z130" s="116"/>
      <c r="AA130" s="391">
        <v>2</v>
      </c>
      <c r="AF130">
        <v>34</v>
      </c>
      <c r="AS130" s="5">
        <v>1104083</v>
      </c>
      <c r="AT130" s="10"/>
      <c r="AU130" s="116"/>
      <c r="AV130" s="6">
        <v>0</v>
      </c>
      <c r="AW130" s="116">
        <v>0</v>
      </c>
      <c r="AX130" s="10">
        <v>5</v>
      </c>
      <c r="AY130" s="10"/>
      <c r="AZ130" s="116"/>
    </row>
    <row r="131" spans="1:52" x14ac:dyDescent="0.25">
      <c r="A131" s="308">
        <v>45209</v>
      </c>
      <c r="B131" s="305">
        <v>1130198</v>
      </c>
      <c r="C131" s="412" t="str">
        <f>IFERROR(INDEX(Table14[],MATCH($B131,Table14[SAPNo],0),3),"")</f>
        <v>Round 1613 CT182  0.018" (S)</v>
      </c>
      <c r="D131" s="306"/>
      <c r="E131" s="305">
        <v>9</v>
      </c>
      <c r="F131" s="305"/>
      <c r="G131" s="306" t="s">
        <v>1131</v>
      </c>
      <c r="H131" s="306">
        <v>13915698</v>
      </c>
      <c r="I131" s="306" t="s">
        <v>1130</v>
      </c>
      <c r="J131" s="248"/>
      <c r="K131" s="248"/>
      <c r="M131" s="248"/>
      <c r="Q131" s="310">
        <v>1136984</v>
      </c>
      <c r="R131" s="10">
        <v>63</v>
      </c>
      <c r="S131" s="313">
        <v>0</v>
      </c>
      <c r="W131" s="42">
        <v>1136984</v>
      </c>
      <c r="X131" s="116"/>
      <c r="Y131" s="116"/>
      <c r="Z131" s="116"/>
      <c r="AA131" s="391">
        <v>11</v>
      </c>
      <c r="AF131">
        <v>9</v>
      </c>
      <c r="AS131" s="2">
        <v>1136984</v>
      </c>
      <c r="AT131" s="10"/>
      <c r="AU131" s="116"/>
      <c r="AV131" s="6">
        <v>0</v>
      </c>
      <c r="AW131" s="116">
        <v>0</v>
      </c>
      <c r="AX131" s="10">
        <v>67</v>
      </c>
      <c r="AY131" s="10"/>
      <c r="AZ131" s="116"/>
    </row>
    <row r="132" spans="1:52" x14ac:dyDescent="0.25">
      <c r="A132" s="308">
        <v>45209</v>
      </c>
      <c r="B132" s="305">
        <v>871781</v>
      </c>
      <c r="C132" s="412" t="str">
        <f>IFERROR(INDEX(Table14[],MATCH($B132,Table14[SAPNo],0),3),"")</f>
        <v>Round 1313 CT200  0.018" (B)</v>
      </c>
      <c r="D132" s="306"/>
      <c r="E132" s="305">
        <v>8</v>
      </c>
      <c r="F132" s="305"/>
      <c r="G132" s="306" t="s">
        <v>1131</v>
      </c>
      <c r="H132" s="306">
        <v>13915698</v>
      </c>
      <c r="I132" s="306" t="s">
        <v>1130</v>
      </c>
      <c r="J132" s="248"/>
      <c r="K132" s="248"/>
      <c r="M132" s="248"/>
      <c r="Q132" s="310">
        <v>1039029</v>
      </c>
      <c r="R132" s="10"/>
      <c r="S132" s="313">
        <v>0</v>
      </c>
      <c r="W132" s="42">
        <v>1039029</v>
      </c>
      <c r="X132" s="116"/>
      <c r="Y132" s="116"/>
      <c r="Z132" s="116"/>
      <c r="AA132" s="391">
        <v>0</v>
      </c>
      <c r="AF132">
        <v>8</v>
      </c>
      <c r="AS132" s="2">
        <v>1039029</v>
      </c>
      <c r="AT132" s="10"/>
      <c r="AU132" s="116"/>
      <c r="AV132" s="6">
        <v>0</v>
      </c>
      <c r="AW132" s="116">
        <v>0</v>
      </c>
      <c r="AX132" s="10">
        <v>0</v>
      </c>
      <c r="AY132" s="10"/>
      <c r="AZ132" s="116"/>
    </row>
    <row r="133" spans="1:52" x14ac:dyDescent="0.25">
      <c r="A133" s="308">
        <v>45210</v>
      </c>
      <c r="B133" s="305">
        <v>1130198</v>
      </c>
      <c r="C133" s="412" t="str">
        <f>IFERROR(INDEX(Table14[],MATCH($B133,Table14[SAPNo],0),3),"")</f>
        <v>Round 1613 CT182  0.018" (S)</v>
      </c>
      <c r="D133" s="306"/>
      <c r="E133" s="305">
        <v>92</v>
      </c>
      <c r="F133" s="305"/>
      <c r="G133" s="306" t="s">
        <v>1132</v>
      </c>
      <c r="H133" s="306">
        <v>14056710</v>
      </c>
      <c r="I133" s="306" t="s">
        <v>1133</v>
      </c>
      <c r="J133" s="248"/>
      <c r="K133" s="248"/>
      <c r="M133" s="248"/>
      <c r="Q133" s="310">
        <v>976348</v>
      </c>
      <c r="R133" s="10"/>
      <c r="S133" s="313">
        <v>24</v>
      </c>
      <c r="W133" s="385">
        <v>976348</v>
      </c>
      <c r="X133" s="116"/>
      <c r="Y133" s="116"/>
      <c r="Z133" s="116"/>
      <c r="AA133" s="391">
        <v>0</v>
      </c>
      <c r="AF133">
        <v>92</v>
      </c>
      <c r="AS133" s="2">
        <v>976348</v>
      </c>
      <c r="AT133" s="10"/>
      <c r="AU133" s="116"/>
      <c r="AV133" s="6">
        <v>0</v>
      </c>
      <c r="AW133" s="116">
        <v>0</v>
      </c>
      <c r="AX133" s="10">
        <v>20</v>
      </c>
      <c r="AY133" s="10"/>
      <c r="AZ133" s="116"/>
    </row>
    <row r="134" spans="1:52" x14ac:dyDescent="0.25">
      <c r="A134" s="308">
        <v>45210</v>
      </c>
      <c r="B134" s="305">
        <v>418525</v>
      </c>
      <c r="C134" s="412" t="str">
        <f>IFERROR(INDEX(Table14[],MATCH($B134,Table14[SAPNo],0),3),"")</f>
        <v>Drop In 1308 CT31   (B)</v>
      </c>
      <c r="D134" s="306"/>
      <c r="E134" s="305">
        <v>8</v>
      </c>
      <c r="F134" s="305"/>
      <c r="G134" s="306" t="s">
        <v>1132</v>
      </c>
      <c r="H134" s="306">
        <v>14056710</v>
      </c>
      <c r="I134" s="306" t="s">
        <v>1133</v>
      </c>
      <c r="J134" s="248"/>
      <c r="K134" s="248"/>
      <c r="M134" s="248"/>
      <c r="Q134" s="310">
        <v>409593</v>
      </c>
      <c r="R134" s="10"/>
      <c r="S134" s="313">
        <v>0</v>
      </c>
      <c r="W134" s="42">
        <v>409593</v>
      </c>
      <c r="X134" s="116">
        <v>1</v>
      </c>
      <c r="Y134" s="116">
        <v>2</v>
      </c>
      <c r="Z134" s="116">
        <v>1</v>
      </c>
      <c r="AA134" s="391">
        <v>0</v>
      </c>
      <c r="AF134">
        <v>8</v>
      </c>
      <c r="AS134" s="2">
        <v>409593</v>
      </c>
      <c r="AT134" s="10">
        <v>1</v>
      </c>
      <c r="AU134" s="116">
        <v>2</v>
      </c>
      <c r="AV134" s="6"/>
      <c r="AW134" s="116">
        <v>0</v>
      </c>
      <c r="AX134" s="10">
        <v>0</v>
      </c>
      <c r="AY134" s="10">
        <v>1</v>
      </c>
      <c r="AZ134" s="116"/>
    </row>
    <row r="135" spans="1:52" x14ac:dyDescent="0.25">
      <c r="A135" s="308">
        <v>45210</v>
      </c>
      <c r="B135" s="305">
        <v>647435</v>
      </c>
      <c r="C135" s="412" t="str">
        <f>IFERROR(INDEX(Table14[],MATCH($B135,Table14[SAPNo],0),3),"")</f>
        <v>Round 1608 CT200  0.018" (B)</v>
      </c>
      <c r="D135" s="306"/>
      <c r="E135" s="305">
        <v>16</v>
      </c>
      <c r="F135" s="305"/>
      <c r="G135" s="306" t="s">
        <v>1132</v>
      </c>
      <c r="H135" s="306">
        <v>14056710</v>
      </c>
      <c r="I135" s="306" t="s">
        <v>1133</v>
      </c>
      <c r="J135" s="248"/>
      <c r="K135" s="248"/>
      <c r="M135" s="248"/>
      <c r="Q135" s="310">
        <v>397470</v>
      </c>
      <c r="R135" s="10"/>
      <c r="S135" s="313">
        <v>0</v>
      </c>
      <c r="W135" s="42">
        <v>397470</v>
      </c>
      <c r="X135" s="116"/>
      <c r="Y135" s="116">
        <v>18</v>
      </c>
      <c r="Z135" s="116"/>
      <c r="AA135" s="391">
        <v>0</v>
      </c>
      <c r="AF135">
        <v>16</v>
      </c>
      <c r="AS135" s="2">
        <v>397470</v>
      </c>
      <c r="AT135" s="10"/>
      <c r="AU135" s="116">
        <v>18</v>
      </c>
      <c r="AV135" s="6">
        <v>0</v>
      </c>
      <c r="AW135" s="116">
        <v>0</v>
      </c>
      <c r="AX135" s="10">
        <v>0</v>
      </c>
      <c r="AY135" s="10"/>
      <c r="AZ135" s="116"/>
    </row>
    <row r="136" spans="1:52" x14ac:dyDescent="0.25">
      <c r="A136" s="308">
        <v>45210</v>
      </c>
      <c r="B136" s="305">
        <v>647436</v>
      </c>
      <c r="C136" s="412" t="str">
        <f>IFERROR(INDEX(Table14[],MATCH($B136,Table14[SAPNo],0),3),"")</f>
        <v>Round 1613 CT200  0.018" (B)</v>
      </c>
      <c r="D136" s="306"/>
      <c r="E136" s="305">
        <v>64</v>
      </c>
      <c r="F136" s="305"/>
      <c r="G136" s="306" t="s">
        <v>1132</v>
      </c>
      <c r="H136" s="306">
        <v>14056710</v>
      </c>
      <c r="I136" s="306" t="s">
        <v>1133</v>
      </c>
      <c r="J136" s="248"/>
      <c r="K136" s="248"/>
      <c r="M136" s="248"/>
      <c r="Q136" s="310">
        <v>1145493</v>
      </c>
      <c r="R136" s="10">
        <v>133</v>
      </c>
      <c r="S136" s="313">
        <v>0</v>
      </c>
      <c r="W136" s="42">
        <v>1145493</v>
      </c>
      <c r="X136" s="116"/>
      <c r="Y136" s="116"/>
      <c r="Z136" s="116"/>
      <c r="AA136" s="410">
        <f>46+12</f>
        <v>58</v>
      </c>
      <c r="AF136">
        <v>64</v>
      </c>
      <c r="AS136" s="2">
        <v>1145493</v>
      </c>
      <c r="AT136" s="10">
        <v>0</v>
      </c>
      <c r="AU136" s="116"/>
      <c r="AV136" s="6">
        <v>0</v>
      </c>
      <c r="AW136" s="116">
        <v>0</v>
      </c>
      <c r="AX136" s="10">
        <f>0+1</f>
        <v>1</v>
      </c>
      <c r="AY136" s="10"/>
      <c r="AZ136" s="116"/>
    </row>
    <row r="137" spans="1:52" x14ac:dyDescent="0.25">
      <c r="A137" s="308">
        <v>45210</v>
      </c>
      <c r="B137" s="305">
        <v>1112229</v>
      </c>
      <c r="C137" s="412" t="str">
        <f>IFERROR(INDEX(Table14[],MATCH($B137,Table14[SAPNo],0),3),"")</f>
        <v>1613 CT147 18C</v>
      </c>
      <c r="D137" s="306"/>
      <c r="E137" s="305">
        <v>3</v>
      </c>
      <c r="F137" s="305"/>
      <c r="G137" s="306" t="s">
        <v>1134</v>
      </c>
      <c r="H137" s="306">
        <v>14056719</v>
      </c>
      <c r="I137" s="306" t="s">
        <v>1076</v>
      </c>
      <c r="J137" s="248"/>
      <c r="K137" s="248"/>
      <c r="M137" s="248"/>
      <c r="Q137" s="310">
        <v>1050785</v>
      </c>
      <c r="R137" s="10"/>
      <c r="S137" s="313">
        <v>5</v>
      </c>
      <c r="W137" s="42">
        <v>1050785</v>
      </c>
      <c r="X137" s="116"/>
      <c r="Y137" s="116"/>
      <c r="Z137" s="116"/>
      <c r="AA137" s="391">
        <v>0</v>
      </c>
      <c r="AF137">
        <v>3</v>
      </c>
      <c r="AS137" s="2">
        <v>1050785</v>
      </c>
      <c r="AT137" s="10"/>
      <c r="AU137" s="116"/>
      <c r="AV137" s="6">
        <v>0</v>
      </c>
      <c r="AW137" s="116">
        <v>0</v>
      </c>
      <c r="AX137" s="10">
        <v>5</v>
      </c>
      <c r="AY137" s="10"/>
      <c r="AZ137" s="116"/>
    </row>
    <row r="138" spans="1:52" x14ac:dyDescent="0.25">
      <c r="A138" s="308">
        <v>45210</v>
      </c>
      <c r="B138" s="305">
        <v>1238832</v>
      </c>
      <c r="C138" s="412" t="str">
        <f>IFERROR(INDEX(Table14[],MATCH($B138,Table14[SAPNo],0),3),"")</f>
        <v>1613 CT418 25-75</v>
      </c>
      <c r="D138" s="306"/>
      <c r="E138" s="305">
        <v>6</v>
      </c>
      <c r="F138" s="305"/>
      <c r="G138" s="306" t="s">
        <v>1134</v>
      </c>
      <c r="H138" s="306">
        <v>14056719</v>
      </c>
      <c r="I138" s="306" t="s">
        <v>1076</v>
      </c>
      <c r="J138" s="248"/>
      <c r="K138" s="248"/>
      <c r="M138" s="248"/>
      <c r="Q138" s="310">
        <v>874583</v>
      </c>
      <c r="R138" s="10"/>
      <c r="S138" s="313">
        <v>4</v>
      </c>
      <c r="W138" s="42">
        <v>874583</v>
      </c>
      <c r="X138" s="116"/>
      <c r="Y138" s="116"/>
      <c r="Z138" s="116"/>
      <c r="AA138" s="391">
        <v>0</v>
      </c>
      <c r="AF138">
        <v>6</v>
      </c>
      <c r="AS138" s="2">
        <v>874583</v>
      </c>
      <c r="AT138" s="10"/>
      <c r="AU138" s="116"/>
      <c r="AV138" s="6">
        <v>0</v>
      </c>
      <c r="AW138" s="116">
        <v>0</v>
      </c>
      <c r="AX138" s="10">
        <v>4</v>
      </c>
      <c r="AY138" s="10"/>
      <c r="AZ138" s="116"/>
    </row>
    <row r="139" spans="1:52" x14ac:dyDescent="0.25">
      <c r="A139" s="308">
        <v>45210</v>
      </c>
      <c r="B139" s="305">
        <v>1078377</v>
      </c>
      <c r="C139" s="412" t="str">
        <f>IFERROR(INDEX(Table14[],MATCH($B139,Table14[SAPNo],0),3),"")</f>
        <v>13MM CT221 R1</v>
      </c>
      <c r="D139" s="306"/>
      <c r="E139" s="305">
        <v>15</v>
      </c>
      <c r="F139" s="305"/>
      <c r="G139" s="306" t="s">
        <v>1134</v>
      </c>
      <c r="H139" s="306">
        <v>14056719</v>
      </c>
      <c r="I139" s="306" t="s">
        <v>1076</v>
      </c>
      <c r="J139" s="248"/>
      <c r="K139" s="248"/>
      <c r="M139" s="248"/>
      <c r="Q139" s="310">
        <v>1014950</v>
      </c>
      <c r="R139" s="10"/>
      <c r="S139" s="313">
        <v>0</v>
      </c>
      <c r="W139" s="42">
        <v>1014950</v>
      </c>
      <c r="X139" s="116"/>
      <c r="Y139" s="116"/>
      <c r="Z139" s="116"/>
      <c r="AA139" s="391">
        <v>0</v>
      </c>
      <c r="AF139">
        <v>15</v>
      </c>
      <c r="AS139" s="2">
        <v>1014950</v>
      </c>
      <c r="AT139" s="10"/>
      <c r="AU139" s="116"/>
      <c r="AV139" s="6">
        <v>0</v>
      </c>
      <c r="AW139" s="116">
        <v>0</v>
      </c>
      <c r="AX139" s="10">
        <v>0</v>
      </c>
      <c r="AY139" s="10"/>
      <c r="AZ139" s="116"/>
    </row>
    <row r="140" spans="1:52" x14ac:dyDescent="0.25">
      <c r="A140" s="308">
        <v>45210</v>
      </c>
      <c r="B140" s="305">
        <v>1208601</v>
      </c>
      <c r="C140" s="412" t="str">
        <f>IFERROR(INDEX(Table14[],MATCH($B140,Table14[SAPNo],0),3),"")</f>
        <v>1613 CT418 U-60</v>
      </c>
      <c r="D140" s="306"/>
      <c r="E140" s="305">
        <v>8</v>
      </c>
      <c r="F140" s="305"/>
      <c r="G140" s="306" t="s">
        <v>1134</v>
      </c>
      <c r="H140" s="306">
        <v>14056719</v>
      </c>
      <c r="I140" s="306" t="s">
        <v>1076</v>
      </c>
      <c r="J140" s="248"/>
      <c r="K140" s="248"/>
      <c r="M140" s="248"/>
      <c r="Q140" s="310">
        <v>1118470</v>
      </c>
      <c r="R140" s="10"/>
      <c r="S140" s="313">
        <v>35</v>
      </c>
      <c r="W140" s="42">
        <v>1118470</v>
      </c>
      <c r="X140" s="116"/>
      <c r="Y140" s="116"/>
      <c r="Z140" s="116"/>
      <c r="AA140" s="391">
        <v>0</v>
      </c>
      <c r="AF140">
        <v>8</v>
      </c>
      <c r="AS140" s="2">
        <v>1118470</v>
      </c>
      <c r="AT140" s="10"/>
      <c r="AU140" s="116"/>
      <c r="AV140" s="6">
        <v>0</v>
      </c>
      <c r="AW140" s="116">
        <v>0</v>
      </c>
      <c r="AX140" s="10">
        <v>35</v>
      </c>
      <c r="AY140" s="10"/>
      <c r="AZ140" s="116"/>
    </row>
    <row r="141" spans="1:52" x14ac:dyDescent="0.25">
      <c r="A141" s="308">
        <v>45210</v>
      </c>
      <c r="B141" s="305">
        <v>418525</v>
      </c>
      <c r="C141" s="412" t="str">
        <f>IFERROR(INDEX(Table14[],MATCH($B141,Table14[SAPNo],0),3),"")</f>
        <v>Drop In 1308 CT31   (B)</v>
      </c>
      <c r="D141" s="306"/>
      <c r="E141" s="305">
        <v>6</v>
      </c>
      <c r="F141" s="305"/>
      <c r="G141" s="306" t="s">
        <v>1134</v>
      </c>
      <c r="H141" s="306">
        <v>14056719</v>
      </c>
      <c r="I141" s="306" t="s">
        <v>1076</v>
      </c>
      <c r="J141" s="248"/>
      <c r="K141" s="248"/>
      <c r="M141" s="248"/>
      <c r="Q141" s="310">
        <v>1118517</v>
      </c>
      <c r="R141" s="10"/>
      <c r="S141" s="313">
        <v>1</v>
      </c>
      <c r="W141" s="42">
        <v>1118517</v>
      </c>
      <c r="X141" s="116"/>
      <c r="Y141" s="116"/>
      <c r="Z141" s="116"/>
      <c r="AA141" s="391">
        <v>0</v>
      </c>
      <c r="AF141">
        <v>6</v>
      </c>
      <c r="AS141" s="2">
        <v>1118517</v>
      </c>
      <c r="AT141" s="10"/>
      <c r="AU141" s="116"/>
      <c r="AV141" s="6">
        <v>0</v>
      </c>
      <c r="AW141" s="116">
        <v>0</v>
      </c>
      <c r="AX141" s="10">
        <v>1</v>
      </c>
      <c r="AY141" s="10"/>
      <c r="AZ141" s="116"/>
    </row>
    <row r="142" spans="1:52" x14ac:dyDescent="0.25">
      <c r="A142" s="308">
        <v>45210</v>
      </c>
      <c r="B142" s="305">
        <v>1175118</v>
      </c>
      <c r="C142" s="412" t="str">
        <f>IFERROR(INDEX(Table14[],MATCH($B142,Table14[SAPNo],0),3),"")</f>
        <v>1613 CT147 18-60</v>
      </c>
      <c r="D142" s="306"/>
      <c r="E142" s="305">
        <v>14</v>
      </c>
      <c r="F142" s="305"/>
      <c r="G142" s="306" t="s">
        <v>1134</v>
      </c>
      <c r="H142" s="306">
        <v>14056719</v>
      </c>
      <c r="I142" s="306" t="s">
        <v>1076</v>
      </c>
      <c r="J142" s="248"/>
      <c r="K142" s="248"/>
      <c r="M142" s="248"/>
      <c r="Q142" s="310">
        <v>1123324</v>
      </c>
      <c r="R142" s="10"/>
      <c r="S142" s="313">
        <v>0</v>
      </c>
      <c r="W142" s="384">
        <v>1123324</v>
      </c>
      <c r="X142" s="116"/>
      <c r="Y142" s="116"/>
      <c r="Z142" s="116"/>
      <c r="AA142" s="391">
        <v>0</v>
      </c>
      <c r="AF142">
        <v>14</v>
      </c>
      <c r="AS142" s="5">
        <v>1123324</v>
      </c>
      <c r="AT142" s="10"/>
      <c r="AU142" s="116"/>
      <c r="AV142" s="6">
        <v>0</v>
      </c>
      <c r="AW142" s="116">
        <v>0</v>
      </c>
      <c r="AX142" s="10">
        <v>0</v>
      </c>
      <c r="AY142" s="10"/>
      <c r="AZ142" s="116"/>
    </row>
    <row r="143" spans="1:52" x14ac:dyDescent="0.25">
      <c r="A143" s="308">
        <v>45211</v>
      </c>
      <c r="B143" s="305">
        <v>708306</v>
      </c>
      <c r="C143" s="412" t="str">
        <f>IFERROR(INDEX(Table14[],MATCH($B143,Table14[SAPNo],0),3),"")</f>
        <v>Round 1913 CT200  0.018" (B)</v>
      </c>
      <c r="D143" s="306"/>
      <c r="E143" s="305">
        <v>34</v>
      </c>
      <c r="F143" s="305"/>
      <c r="G143" s="306" t="s">
        <v>1135</v>
      </c>
      <c r="H143" s="306">
        <v>13917849</v>
      </c>
      <c r="I143" s="306" t="s">
        <v>1130</v>
      </c>
      <c r="J143" s="248"/>
      <c r="K143" s="248"/>
      <c r="M143" s="248"/>
      <c r="Q143" s="311">
        <v>1137793</v>
      </c>
      <c r="R143" s="11"/>
      <c r="S143" s="314">
        <v>1</v>
      </c>
      <c r="W143" s="384">
        <v>1137793</v>
      </c>
      <c r="X143" s="116"/>
      <c r="Y143" s="116"/>
      <c r="Z143" s="116"/>
      <c r="AA143" s="391">
        <v>0</v>
      </c>
      <c r="AF143">
        <v>34</v>
      </c>
      <c r="AS143" s="5">
        <v>1137793</v>
      </c>
      <c r="AT143" s="10"/>
      <c r="AU143" s="116"/>
      <c r="AV143" s="6">
        <v>0</v>
      </c>
      <c r="AW143" s="116">
        <v>0</v>
      </c>
      <c r="AX143" s="10">
        <v>1</v>
      </c>
      <c r="AY143" s="10"/>
      <c r="AZ143" s="116"/>
    </row>
    <row r="144" spans="1:52" x14ac:dyDescent="0.25">
      <c r="A144" s="308">
        <v>45211</v>
      </c>
      <c r="B144" s="305">
        <v>1130198</v>
      </c>
      <c r="C144" s="412" t="str">
        <f>IFERROR(INDEX(Table14[],MATCH($B144,Table14[SAPNo],0),3),"")</f>
        <v>Round 1613 CT182  0.018" (S)</v>
      </c>
      <c r="D144" s="306"/>
      <c r="E144" s="305">
        <v>9</v>
      </c>
      <c r="F144" s="305"/>
      <c r="G144" s="306" t="s">
        <v>1135</v>
      </c>
      <c r="H144" s="306">
        <v>13917849</v>
      </c>
      <c r="I144" s="306" t="s">
        <v>1130</v>
      </c>
      <c r="J144" s="248"/>
      <c r="K144" s="248"/>
      <c r="M144" s="248"/>
      <c r="Q144" s="310">
        <v>1104744</v>
      </c>
      <c r="R144" s="10"/>
      <c r="S144" s="313">
        <v>0</v>
      </c>
      <c r="W144" s="385">
        <v>1104744</v>
      </c>
      <c r="X144" s="116"/>
      <c r="Y144" s="116"/>
      <c r="Z144" s="116"/>
      <c r="AA144" s="391">
        <v>0</v>
      </c>
      <c r="AF144">
        <v>9</v>
      </c>
      <c r="AS144" s="2">
        <v>1104744</v>
      </c>
      <c r="AT144" s="10"/>
      <c r="AU144" s="116"/>
      <c r="AV144" s="6">
        <v>0</v>
      </c>
      <c r="AW144" s="116">
        <v>0</v>
      </c>
      <c r="AX144" s="10">
        <v>0</v>
      </c>
      <c r="AY144" s="10"/>
      <c r="AZ144" s="116"/>
    </row>
    <row r="145" spans="1:52" x14ac:dyDescent="0.25">
      <c r="A145" s="308">
        <v>45211</v>
      </c>
      <c r="B145" s="305">
        <v>1130200</v>
      </c>
      <c r="C145" s="412" t="str">
        <f>IFERROR(INDEX(Table14[],MATCH($B145,Table14[SAPNo],0),3),"")</f>
        <v>Round 1913 CT182  0.018" (S)</v>
      </c>
      <c r="D145" s="306"/>
      <c r="E145" s="305">
        <v>48</v>
      </c>
      <c r="F145" s="305"/>
      <c r="G145" s="306" t="s">
        <v>1135</v>
      </c>
      <c r="H145" s="306">
        <v>13917849</v>
      </c>
      <c r="I145" s="306" t="s">
        <v>1130</v>
      </c>
      <c r="J145" s="248"/>
      <c r="K145" s="248"/>
      <c r="M145" s="248"/>
      <c r="Q145" s="310">
        <v>643738</v>
      </c>
      <c r="R145" s="10"/>
      <c r="S145" s="313">
        <v>0</v>
      </c>
      <c r="W145" s="42">
        <v>643738</v>
      </c>
      <c r="X145" s="116">
        <v>38</v>
      </c>
      <c r="Y145" s="116">
        <v>2</v>
      </c>
      <c r="Z145" s="116"/>
      <c r="AA145" s="391">
        <v>0</v>
      </c>
      <c r="AF145">
        <v>48</v>
      </c>
      <c r="AS145" s="2">
        <v>643738</v>
      </c>
      <c r="AT145" s="10">
        <v>31</v>
      </c>
      <c r="AU145" s="116">
        <v>9</v>
      </c>
      <c r="AV145" s="6">
        <v>0</v>
      </c>
      <c r="AW145" s="116">
        <v>0</v>
      </c>
      <c r="AX145" s="10">
        <v>0</v>
      </c>
      <c r="AY145" s="10"/>
      <c r="AZ145" s="116"/>
    </row>
    <row r="146" spans="1:52" x14ac:dyDescent="0.25">
      <c r="A146" s="308">
        <v>45211</v>
      </c>
      <c r="B146" s="305">
        <v>871781</v>
      </c>
      <c r="C146" s="412" t="str">
        <f>IFERROR(INDEX(Table14[],MATCH($B146,Table14[SAPNo],0),3),"")</f>
        <v>Round 1313 CT200  0.018" (B)</v>
      </c>
      <c r="D146" s="306"/>
      <c r="E146" s="305">
        <v>8</v>
      </c>
      <c r="F146" s="305"/>
      <c r="G146" s="306" t="s">
        <v>1135</v>
      </c>
      <c r="H146" s="306">
        <v>13917849</v>
      </c>
      <c r="I146" s="306" t="s">
        <v>1130</v>
      </c>
      <c r="J146" s="248"/>
      <c r="K146" s="248"/>
      <c r="M146" s="248"/>
      <c r="Q146" s="310">
        <v>1130219</v>
      </c>
      <c r="R146" s="10">
        <v>50</v>
      </c>
      <c r="S146" s="313">
        <v>2</v>
      </c>
      <c r="W146" s="42">
        <v>1130219</v>
      </c>
      <c r="X146" s="116"/>
      <c r="Y146" s="116"/>
      <c r="Z146" s="116"/>
      <c r="AA146" s="391">
        <v>0</v>
      </c>
      <c r="AF146">
        <v>8</v>
      </c>
      <c r="AS146" s="2">
        <v>1130219</v>
      </c>
      <c r="AT146" s="10"/>
      <c r="AU146" s="116"/>
      <c r="AV146" s="6">
        <v>0</v>
      </c>
      <c r="AW146" s="116">
        <v>0</v>
      </c>
      <c r="AX146" s="10">
        <v>44</v>
      </c>
      <c r="AY146" s="10"/>
      <c r="AZ146" s="116"/>
    </row>
    <row r="147" spans="1:52" x14ac:dyDescent="0.25">
      <c r="A147" s="308">
        <v>45211</v>
      </c>
      <c r="B147" s="305">
        <v>717748</v>
      </c>
      <c r="C147" s="412" t="str">
        <f>IFERROR(INDEX(Table14[],MATCH($B147,Table14[SAPNo],0),3),"")</f>
        <v>Round 1010 CT200  0.018" (B)</v>
      </c>
      <c r="D147" s="306"/>
      <c r="E147" s="305">
        <v>23</v>
      </c>
      <c r="F147" s="305"/>
      <c r="G147" s="306" t="s">
        <v>1136</v>
      </c>
      <c r="H147" s="306">
        <v>14035946</v>
      </c>
      <c r="I147" s="306" t="s">
        <v>1137</v>
      </c>
      <c r="J147" s="248"/>
      <c r="K147" s="248"/>
      <c r="M147" s="248"/>
      <c r="Q147" s="310">
        <v>1101509</v>
      </c>
      <c r="R147" s="10">
        <v>103</v>
      </c>
      <c r="S147" s="313">
        <v>0</v>
      </c>
      <c r="W147" s="42">
        <v>1101509</v>
      </c>
      <c r="X147" s="116"/>
      <c r="Y147" s="116"/>
      <c r="Z147" s="116"/>
      <c r="AA147" s="391">
        <v>0</v>
      </c>
      <c r="AF147">
        <v>23</v>
      </c>
      <c r="AS147" s="2">
        <v>1101509</v>
      </c>
      <c r="AT147" s="10"/>
      <c r="AU147" s="116"/>
      <c r="AV147" s="6">
        <v>0</v>
      </c>
      <c r="AW147" s="116">
        <v>0</v>
      </c>
      <c r="AX147" s="10">
        <v>49</v>
      </c>
      <c r="AY147" s="10"/>
      <c r="AZ147" s="116"/>
    </row>
    <row r="148" spans="1:52" x14ac:dyDescent="0.25">
      <c r="A148" s="308">
        <v>45211</v>
      </c>
      <c r="B148" s="305">
        <v>773384</v>
      </c>
      <c r="C148" s="412" t="str">
        <f>IFERROR(INDEX(Table14[],MATCH($B148,Table14[SAPNo],0),3),"")</f>
        <v>Round 1005 CT200  0.018" (B)</v>
      </c>
      <c r="D148" s="306"/>
      <c r="E148" s="305">
        <v>10</v>
      </c>
      <c r="F148" s="305"/>
      <c r="G148" s="306" t="s">
        <v>1136</v>
      </c>
      <c r="H148" s="306">
        <v>14035946</v>
      </c>
      <c r="I148" s="306" t="s">
        <v>1137</v>
      </c>
      <c r="J148" s="248"/>
      <c r="K148" s="248"/>
      <c r="M148" s="248"/>
      <c r="Q148" s="310">
        <v>1100755</v>
      </c>
      <c r="R148" s="10">
        <v>185</v>
      </c>
      <c r="S148" s="313">
        <v>0</v>
      </c>
      <c r="W148" s="42">
        <v>1100755</v>
      </c>
      <c r="X148" s="116"/>
      <c r="Y148" s="116"/>
      <c r="Z148" s="116"/>
      <c r="AA148" s="391">
        <v>0</v>
      </c>
      <c r="AF148">
        <v>10</v>
      </c>
      <c r="AS148" s="2">
        <v>1100755</v>
      </c>
      <c r="AT148" s="10"/>
      <c r="AU148" s="116"/>
      <c r="AV148" s="6">
        <v>0</v>
      </c>
      <c r="AW148" s="116">
        <v>0</v>
      </c>
      <c r="AX148" s="10">
        <v>251</v>
      </c>
      <c r="AY148" s="10"/>
      <c r="AZ148" s="116"/>
    </row>
    <row r="149" spans="1:52" x14ac:dyDescent="0.25">
      <c r="A149" s="308">
        <v>45211</v>
      </c>
      <c r="B149" s="305">
        <v>882800</v>
      </c>
      <c r="C149" s="412" t="str">
        <f>IFERROR(INDEX(Table14[],MATCH($B149,Table14[SAPNo],0),3),"")</f>
        <v>Round 0808 CT80  0.018" (B)</v>
      </c>
      <c r="D149" s="306"/>
      <c r="E149" s="305">
        <v>10</v>
      </c>
      <c r="F149" s="305"/>
      <c r="G149" s="306" t="s">
        <v>1136</v>
      </c>
      <c r="H149" s="306">
        <v>14035946</v>
      </c>
      <c r="I149" s="306" t="s">
        <v>1137</v>
      </c>
      <c r="J149" s="248"/>
      <c r="K149" s="248"/>
      <c r="M149" s="248"/>
      <c r="Q149" s="310">
        <v>1146740</v>
      </c>
      <c r="R149" s="10"/>
      <c r="S149" s="313">
        <v>1</v>
      </c>
      <c r="W149" s="42">
        <v>1146740</v>
      </c>
      <c r="X149" s="116"/>
      <c r="Y149" s="116"/>
      <c r="Z149" s="116"/>
      <c r="AA149" s="391"/>
      <c r="AF149">
        <v>10</v>
      </c>
      <c r="AS149" s="2">
        <v>1146740</v>
      </c>
      <c r="AT149" s="10"/>
      <c r="AU149" s="116"/>
      <c r="AV149" s="6">
        <v>0</v>
      </c>
      <c r="AW149" s="116">
        <v>0</v>
      </c>
      <c r="AX149" s="10">
        <v>0</v>
      </c>
      <c r="AY149" s="10"/>
      <c r="AZ149" s="116"/>
    </row>
    <row r="150" spans="1:52" x14ac:dyDescent="0.25">
      <c r="A150" s="308">
        <v>45211</v>
      </c>
      <c r="B150" s="305">
        <v>1165788</v>
      </c>
      <c r="C150" s="412" t="str">
        <f>IFERROR(INDEX(Table14[],MATCH($B150,Table14[SAPNo],0),3),"")</f>
        <v>1913 PMT 18C</v>
      </c>
      <c r="D150" s="306"/>
      <c r="E150" s="305">
        <v>0</v>
      </c>
      <c r="F150" s="305"/>
      <c r="G150" s="306" t="s">
        <v>1138</v>
      </c>
      <c r="H150" s="306">
        <v>14056706</v>
      </c>
      <c r="I150" s="306" t="s">
        <v>1130</v>
      </c>
      <c r="J150" s="248"/>
      <c r="K150" s="248"/>
      <c r="M150" s="248"/>
      <c r="Q150" s="310">
        <v>1130217</v>
      </c>
      <c r="R150" s="10">
        <v>283</v>
      </c>
      <c r="S150" s="313">
        <v>0</v>
      </c>
      <c r="W150" s="42">
        <v>1130217</v>
      </c>
      <c r="X150" s="116"/>
      <c r="Y150" s="116"/>
      <c r="Z150" s="116"/>
      <c r="AA150" s="391"/>
      <c r="AF150">
        <v>0</v>
      </c>
      <c r="AS150" s="2">
        <v>1130217</v>
      </c>
      <c r="AT150" s="10"/>
      <c r="AU150" s="116"/>
      <c r="AV150" s="6">
        <v>0</v>
      </c>
      <c r="AW150" s="116">
        <v>0</v>
      </c>
      <c r="AX150" s="10">
        <v>43</v>
      </c>
      <c r="AY150" s="10"/>
      <c r="AZ150" s="116"/>
    </row>
    <row r="151" spans="1:52" x14ac:dyDescent="0.25">
      <c r="A151" s="308">
        <v>45211</v>
      </c>
      <c r="B151" s="305">
        <v>708306</v>
      </c>
      <c r="C151" s="412" t="str">
        <f>IFERROR(INDEX(Table14[],MATCH($B151,Table14[SAPNo],0),3),"")</f>
        <v>Round 1913 CT200  0.018" (B)</v>
      </c>
      <c r="D151" s="306"/>
      <c r="E151" s="305">
        <v>34</v>
      </c>
      <c r="F151" s="305"/>
      <c r="G151" s="306" t="s">
        <v>1138</v>
      </c>
      <c r="H151" s="306">
        <v>14056706</v>
      </c>
      <c r="I151" s="306" t="s">
        <v>1130</v>
      </c>
      <c r="J151" s="248"/>
      <c r="K151" s="248"/>
      <c r="M151" s="248"/>
      <c r="Q151" s="310">
        <v>179733</v>
      </c>
      <c r="R151" s="10">
        <v>100</v>
      </c>
      <c r="S151" s="313">
        <v>76</v>
      </c>
      <c r="W151" s="42">
        <v>179733</v>
      </c>
      <c r="X151" s="116"/>
      <c r="Y151" s="116"/>
      <c r="Z151" s="116"/>
      <c r="AA151" s="391">
        <v>21</v>
      </c>
      <c r="AF151">
        <v>34</v>
      </c>
      <c r="AS151" s="2">
        <v>179733</v>
      </c>
      <c r="AT151" s="10"/>
      <c r="AU151" s="116"/>
      <c r="AV151" s="6">
        <v>0</v>
      </c>
      <c r="AW151" s="116">
        <v>24</v>
      </c>
      <c r="AX151" s="10">
        <v>159</v>
      </c>
      <c r="AY151" s="10"/>
      <c r="AZ151" s="116"/>
    </row>
    <row r="152" spans="1:52" x14ac:dyDescent="0.25">
      <c r="A152" s="308">
        <v>45211</v>
      </c>
      <c r="B152" s="305">
        <v>1130198</v>
      </c>
      <c r="C152" s="412" t="str">
        <f>IFERROR(INDEX(Table14[],MATCH($B152,Table14[SAPNo],0),3),"")</f>
        <v>Round 1613 CT182  0.018" (S)</v>
      </c>
      <c r="D152" s="306"/>
      <c r="E152" s="305">
        <v>9</v>
      </c>
      <c r="F152" s="305"/>
      <c r="G152" s="306" t="s">
        <v>1138</v>
      </c>
      <c r="H152" s="306">
        <v>14056706</v>
      </c>
      <c r="I152" s="306" t="s">
        <v>1130</v>
      </c>
      <c r="J152" s="248"/>
      <c r="K152" s="248"/>
      <c r="M152" s="248"/>
      <c r="Q152" s="310">
        <v>649901</v>
      </c>
      <c r="R152" s="10">
        <v>0</v>
      </c>
      <c r="S152" s="313">
        <v>0</v>
      </c>
      <c r="W152" s="42">
        <v>649901</v>
      </c>
      <c r="X152" s="116"/>
      <c r="Y152" s="116"/>
      <c r="Z152" s="116"/>
      <c r="AA152" s="391"/>
      <c r="AF152">
        <v>9</v>
      </c>
      <c r="AS152" s="2">
        <v>649901</v>
      </c>
      <c r="AT152" s="10">
        <v>0</v>
      </c>
      <c r="AU152" s="116"/>
      <c r="AV152" s="6">
        <v>0</v>
      </c>
      <c r="AW152" s="116">
        <v>0</v>
      </c>
      <c r="AX152" s="10">
        <v>10</v>
      </c>
      <c r="AY152" s="10"/>
      <c r="AZ152" s="116"/>
    </row>
    <row r="153" spans="1:52" x14ac:dyDescent="0.25">
      <c r="A153" s="308">
        <v>45211</v>
      </c>
      <c r="B153" s="305">
        <v>871781</v>
      </c>
      <c r="C153" s="412" t="str">
        <f>IFERROR(INDEX(Table14[],MATCH($B153,Table14[SAPNo],0),3),"")</f>
        <v>Round 1313 CT200  0.018" (B)</v>
      </c>
      <c r="D153" s="306"/>
      <c r="E153" s="305">
        <v>8</v>
      </c>
      <c r="F153" s="305"/>
      <c r="G153" s="306" t="s">
        <v>1138</v>
      </c>
      <c r="H153" s="306">
        <v>14056706</v>
      </c>
      <c r="I153" s="306" t="s">
        <v>1130</v>
      </c>
      <c r="J153" s="248"/>
      <c r="K153" s="248"/>
      <c r="M153" s="248"/>
      <c r="Q153" s="310">
        <v>1129936</v>
      </c>
      <c r="R153" s="10">
        <v>61</v>
      </c>
      <c r="S153" s="313">
        <v>0</v>
      </c>
      <c r="W153" s="42">
        <v>1129936</v>
      </c>
      <c r="X153" s="116"/>
      <c r="Y153" s="116"/>
      <c r="Z153" s="116"/>
      <c r="AA153" s="391"/>
      <c r="AF153">
        <v>8</v>
      </c>
      <c r="AS153" s="2">
        <v>1129936</v>
      </c>
      <c r="AT153" s="10"/>
      <c r="AU153" s="116"/>
      <c r="AV153" s="6">
        <v>0</v>
      </c>
      <c r="AW153" s="116">
        <v>0</v>
      </c>
      <c r="AX153" s="10">
        <v>28</v>
      </c>
      <c r="AY153" s="10"/>
      <c r="AZ153" s="116"/>
    </row>
    <row r="154" spans="1:52" x14ac:dyDescent="0.25">
      <c r="A154" s="320">
        <v>45211</v>
      </c>
      <c r="B154" s="321">
        <v>1130200</v>
      </c>
      <c r="C154" s="413" t="str">
        <f>IFERROR(INDEX(Table14[],MATCH($B154,Table14[SAPNo],0),3),"")</f>
        <v>Round 1913 CT182  0.018" (S)</v>
      </c>
      <c r="D154" s="306"/>
      <c r="E154" s="321">
        <v>48</v>
      </c>
      <c r="F154" s="321"/>
      <c r="G154" s="322" t="s">
        <v>1138</v>
      </c>
      <c r="H154" s="322">
        <v>14056706</v>
      </c>
      <c r="I154" s="322" t="s">
        <v>1130</v>
      </c>
      <c r="J154" s="248"/>
      <c r="K154" s="248"/>
      <c r="M154" s="248"/>
      <c r="Q154" s="310">
        <v>774371</v>
      </c>
      <c r="R154" s="10"/>
      <c r="S154" s="313">
        <v>0</v>
      </c>
      <c r="W154" s="42">
        <v>774371</v>
      </c>
      <c r="X154" s="116"/>
      <c r="Y154" s="116"/>
      <c r="Z154" s="116"/>
      <c r="AA154" s="391"/>
      <c r="AF154">
        <v>48</v>
      </c>
      <c r="AS154" s="2">
        <v>774371</v>
      </c>
      <c r="AT154" s="10"/>
      <c r="AU154" s="116"/>
      <c r="AV154" s="6">
        <v>0</v>
      </c>
      <c r="AW154" s="116">
        <v>0</v>
      </c>
      <c r="AX154" s="10">
        <v>0</v>
      </c>
      <c r="AY154" s="10"/>
      <c r="AZ154" s="116"/>
    </row>
    <row r="155" spans="1:52" x14ac:dyDescent="0.25">
      <c r="A155" s="308">
        <v>45211</v>
      </c>
      <c r="B155" s="305">
        <v>717748</v>
      </c>
      <c r="C155" s="412" t="str">
        <f>IFERROR(INDEX(Table14[],MATCH($B155,Table14[SAPNo],0),3),"")</f>
        <v>Round 1010 CT200  0.018" (B)</v>
      </c>
      <c r="D155" s="306"/>
      <c r="E155" s="305">
        <v>23</v>
      </c>
      <c r="F155" s="305"/>
      <c r="G155" s="306" t="s">
        <v>1139</v>
      </c>
      <c r="H155" s="306">
        <v>14035947</v>
      </c>
      <c r="I155" s="306" t="s">
        <v>1137</v>
      </c>
      <c r="J155" s="248"/>
      <c r="K155" s="248"/>
      <c r="M155" s="248"/>
      <c r="Q155" s="310">
        <v>1078371</v>
      </c>
      <c r="R155" s="10">
        <v>5</v>
      </c>
      <c r="S155" s="313">
        <v>0</v>
      </c>
      <c r="W155" s="42">
        <v>1078371</v>
      </c>
      <c r="X155" s="116"/>
      <c r="Y155" s="116"/>
      <c r="Z155" s="116"/>
      <c r="AA155" s="391">
        <v>10</v>
      </c>
      <c r="AF155">
        <v>23</v>
      </c>
      <c r="AS155" s="2">
        <v>1078371</v>
      </c>
      <c r="AT155" s="10"/>
      <c r="AU155" s="116"/>
      <c r="AV155" s="6">
        <v>0</v>
      </c>
      <c r="AW155" s="116">
        <v>10</v>
      </c>
      <c r="AX155" s="10">
        <v>0</v>
      </c>
      <c r="AY155" s="10"/>
      <c r="AZ155" s="116"/>
    </row>
    <row r="156" spans="1:52" x14ac:dyDescent="0.25">
      <c r="A156" s="308">
        <v>45211</v>
      </c>
      <c r="B156" s="305">
        <v>773384</v>
      </c>
      <c r="C156" s="412" t="str">
        <f>IFERROR(INDEX(Table14[],MATCH($B156,Table14[SAPNo],0),3),"")</f>
        <v>Round 1005 CT200  0.018" (B)</v>
      </c>
      <c r="D156" s="306"/>
      <c r="E156" s="305">
        <v>10</v>
      </c>
      <c r="F156" s="305"/>
      <c r="G156" s="306" t="s">
        <v>1139</v>
      </c>
      <c r="H156" s="306">
        <v>14035947</v>
      </c>
      <c r="I156" s="306" t="s">
        <v>1137</v>
      </c>
      <c r="J156" s="248"/>
      <c r="K156" s="248"/>
      <c r="M156" s="248"/>
      <c r="Q156" s="310">
        <v>1181761</v>
      </c>
      <c r="R156" s="10">
        <v>9</v>
      </c>
      <c r="S156" s="313">
        <v>0</v>
      </c>
      <c r="W156" s="385">
        <v>1181761</v>
      </c>
      <c r="X156" s="116"/>
      <c r="Y156" s="116"/>
      <c r="Z156" s="116"/>
      <c r="AA156" s="391"/>
      <c r="AF156">
        <v>10</v>
      </c>
      <c r="AS156" s="2">
        <v>1181761</v>
      </c>
      <c r="AT156" s="10"/>
      <c r="AU156" s="116"/>
      <c r="AV156" s="6">
        <v>0</v>
      </c>
      <c r="AW156" s="116">
        <v>0</v>
      </c>
      <c r="AX156" s="10">
        <v>9</v>
      </c>
      <c r="AY156" s="10"/>
      <c r="AZ156" s="116"/>
    </row>
    <row r="157" spans="1:52" x14ac:dyDescent="0.25">
      <c r="A157" s="308">
        <v>45211</v>
      </c>
      <c r="B157" s="305">
        <v>882800</v>
      </c>
      <c r="C157" s="412" t="str">
        <f>IFERROR(INDEX(Table14[],MATCH($B157,Table14[SAPNo],0),3),"")</f>
        <v>Round 0808 CT80  0.018" (B)</v>
      </c>
      <c r="D157" s="306"/>
      <c r="E157" s="305">
        <v>10</v>
      </c>
      <c r="F157" s="305"/>
      <c r="G157" s="306" t="s">
        <v>1139</v>
      </c>
      <c r="H157" s="306">
        <v>14035947</v>
      </c>
      <c r="I157" s="306" t="s">
        <v>1137</v>
      </c>
      <c r="J157" s="248"/>
      <c r="K157" s="248"/>
      <c r="M157" s="248"/>
      <c r="Q157" s="310">
        <v>1176639</v>
      </c>
      <c r="R157" s="10">
        <v>5</v>
      </c>
      <c r="S157" s="313">
        <v>0</v>
      </c>
      <c r="W157" s="385">
        <v>1176639</v>
      </c>
      <c r="X157" s="116"/>
      <c r="Y157" s="116"/>
      <c r="Z157" s="116"/>
      <c r="AA157" s="391"/>
      <c r="AF157">
        <v>10</v>
      </c>
      <c r="AS157" s="2">
        <v>1176639</v>
      </c>
      <c r="AT157" s="10"/>
      <c r="AU157" s="116"/>
      <c r="AV157" s="6">
        <v>0</v>
      </c>
      <c r="AW157" s="116">
        <v>0</v>
      </c>
      <c r="AX157" s="10">
        <v>5</v>
      </c>
      <c r="AY157" s="10"/>
      <c r="AZ157" s="116"/>
    </row>
    <row r="158" spans="1:52" x14ac:dyDescent="0.25">
      <c r="A158" s="308">
        <v>45214</v>
      </c>
      <c r="B158" s="305">
        <v>1100696</v>
      </c>
      <c r="C158" s="412" t="str">
        <f>IFERROR(INDEX(Table14[],MATCH($B158,Table14[SAPNo],0),3),"")</f>
        <v>Round 1313 CT418  10C (S)</v>
      </c>
      <c r="D158" s="306"/>
      <c r="E158" s="305">
        <v>2</v>
      </c>
      <c r="F158" s="305"/>
      <c r="G158" s="306" t="s">
        <v>1140</v>
      </c>
      <c r="H158" s="306" t="s">
        <v>1141</v>
      </c>
      <c r="I158" s="306" t="s">
        <v>1093</v>
      </c>
      <c r="J158" s="248"/>
      <c r="K158" s="248"/>
      <c r="M158" s="248"/>
      <c r="Q158" s="310">
        <v>1039057</v>
      </c>
      <c r="R158" s="10">
        <v>12</v>
      </c>
      <c r="S158" s="313">
        <v>0</v>
      </c>
      <c r="W158" s="42">
        <v>1039057</v>
      </c>
      <c r="X158" s="116"/>
      <c r="Y158" s="116"/>
      <c r="Z158" s="116"/>
      <c r="AA158" s="391"/>
      <c r="AF158">
        <v>2</v>
      </c>
      <c r="AS158" s="2">
        <v>1039057</v>
      </c>
      <c r="AT158" s="10"/>
      <c r="AU158" s="116"/>
      <c r="AV158" s="6">
        <v>0</v>
      </c>
      <c r="AW158" s="116">
        <v>0</v>
      </c>
      <c r="AX158" s="10">
        <v>12</v>
      </c>
      <c r="AY158" s="10"/>
      <c r="AZ158" s="116"/>
    </row>
    <row r="159" spans="1:52" x14ac:dyDescent="0.25">
      <c r="A159" s="308">
        <v>45214</v>
      </c>
      <c r="B159" s="305">
        <v>418525</v>
      </c>
      <c r="C159" s="412" t="str">
        <f>IFERROR(INDEX(Table14[],MATCH($B159,Table14[SAPNo],0),3),"")</f>
        <v>Drop In 1308 CT31   (B)</v>
      </c>
      <c r="D159" s="306"/>
      <c r="E159" s="305">
        <v>2</v>
      </c>
      <c r="F159" s="305"/>
      <c r="G159" s="306" t="s">
        <v>1140</v>
      </c>
      <c r="H159" s="306" t="s">
        <v>1141</v>
      </c>
      <c r="I159" s="306" t="s">
        <v>1093</v>
      </c>
      <c r="J159" s="248"/>
      <c r="K159" s="248"/>
      <c r="M159" s="248"/>
      <c r="Q159" s="310">
        <v>976360</v>
      </c>
      <c r="R159" s="10"/>
      <c r="S159" s="313">
        <v>11</v>
      </c>
      <c r="W159" s="385">
        <v>976360</v>
      </c>
      <c r="X159" s="116"/>
      <c r="Y159" s="116"/>
      <c r="Z159" s="116"/>
      <c r="AA159" s="391"/>
      <c r="AF159">
        <v>2</v>
      </c>
      <c r="AS159" s="2">
        <v>976360</v>
      </c>
      <c r="AT159" s="10"/>
      <c r="AU159" s="116"/>
      <c r="AV159" s="6">
        <v>0</v>
      </c>
      <c r="AW159" s="116">
        <v>0</v>
      </c>
      <c r="AX159" s="10">
        <v>11</v>
      </c>
      <c r="AY159" s="10"/>
      <c r="AZ159" s="116"/>
    </row>
    <row r="160" spans="1:52" x14ac:dyDescent="0.25">
      <c r="A160" s="308">
        <v>45214</v>
      </c>
      <c r="B160" s="305">
        <v>410851</v>
      </c>
      <c r="C160" s="412" t="str">
        <f>IFERROR(INDEX(Table14[],MATCH($B160,Table14[SAPNo],0),3),"")</f>
        <v>PDC Dome 1308 CT31   (B)</v>
      </c>
      <c r="D160" s="306"/>
      <c r="E160" s="305">
        <v>42</v>
      </c>
      <c r="F160" s="305"/>
      <c r="G160" s="306" t="s">
        <v>1142</v>
      </c>
      <c r="H160" s="306">
        <v>13925619</v>
      </c>
      <c r="I160" s="306" t="s">
        <v>1143</v>
      </c>
      <c r="J160" s="248"/>
      <c r="K160" s="248"/>
      <c r="M160" s="248"/>
      <c r="Q160" s="310">
        <v>1130193</v>
      </c>
      <c r="R160" s="10">
        <v>115</v>
      </c>
      <c r="S160" s="313">
        <v>13</v>
      </c>
      <c r="W160" s="42">
        <v>1130193</v>
      </c>
      <c r="X160" s="116"/>
      <c r="Y160" s="116"/>
      <c r="Z160" s="116"/>
      <c r="AA160" s="391"/>
      <c r="AF160">
        <v>42</v>
      </c>
      <c r="AS160" s="3">
        <v>1130193</v>
      </c>
      <c r="AT160" s="10"/>
      <c r="AU160" s="116"/>
      <c r="AV160" s="6">
        <v>0</v>
      </c>
      <c r="AW160" s="116">
        <v>0</v>
      </c>
      <c r="AX160" s="10">
        <v>11</v>
      </c>
      <c r="AY160" s="10"/>
      <c r="AZ160" s="116"/>
    </row>
    <row r="161" spans="1:52" x14ac:dyDescent="0.25">
      <c r="A161" s="308">
        <v>45214</v>
      </c>
      <c r="B161" s="305">
        <v>1130197</v>
      </c>
      <c r="C161" s="412" t="str">
        <f>IFERROR(INDEX(Table14[],MATCH($B161,Table14[SAPNo],0),3),"")</f>
        <v>Round 1608 CT182  0.018" (S)</v>
      </c>
      <c r="D161" s="306"/>
      <c r="E161" s="305">
        <v>13</v>
      </c>
      <c r="F161" s="305"/>
      <c r="G161" s="306" t="s">
        <v>1142</v>
      </c>
      <c r="H161" s="306">
        <v>13925619</v>
      </c>
      <c r="I161" s="306" t="s">
        <v>1143</v>
      </c>
      <c r="J161" s="248"/>
      <c r="K161" s="248"/>
      <c r="M161" s="248"/>
      <c r="Q161" s="310">
        <v>1130223</v>
      </c>
      <c r="R161" s="10"/>
      <c r="S161" s="313">
        <v>0</v>
      </c>
      <c r="W161" s="42">
        <v>1130223</v>
      </c>
      <c r="X161" s="116">
        <v>20</v>
      </c>
      <c r="Y161" s="116"/>
      <c r="Z161" s="116"/>
      <c r="AA161" s="391"/>
      <c r="AF161">
        <v>13</v>
      </c>
      <c r="AS161" s="3">
        <v>1130223</v>
      </c>
      <c r="AT161" s="10">
        <v>15</v>
      </c>
      <c r="AU161" s="116"/>
      <c r="AV161" s="6">
        <v>0</v>
      </c>
      <c r="AW161" s="116">
        <v>0</v>
      </c>
      <c r="AX161" s="10">
        <v>0</v>
      </c>
      <c r="AY161" s="10">
        <v>1</v>
      </c>
      <c r="AZ161" s="116"/>
    </row>
    <row r="162" spans="1:52" x14ac:dyDescent="0.25">
      <c r="A162" s="308">
        <v>45214</v>
      </c>
      <c r="B162" s="305">
        <v>179733</v>
      </c>
      <c r="C162" s="412" t="str">
        <f>IFERROR(INDEX(Table14[],MATCH($B162,Table14[SAPNo],0),3),"")</f>
        <v>Short IA 13    (C)</v>
      </c>
      <c r="D162" s="306"/>
      <c r="E162" s="305">
        <v>23</v>
      </c>
      <c r="F162" s="305"/>
      <c r="G162" s="306" t="s">
        <v>1142</v>
      </c>
      <c r="H162" s="306">
        <v>13925619</v>
      </c>
      <c r="I162" s="306" t="s">
        <v>1143</v>
      </c>
      <c r="J162" s="248"/>
      <c r="K162" s="248"/>
      <c r="M162" s="248"/>
      <c r="Q162" s="310">
        <v>1130221</v>
      </c>
      <c r="R162" s="10"/>
      <c r="S162" s="313">
        <v>0</v>
      </c>
      <c r="W162" s="42">
        <v>1130221</v>
      </c>
      <c r="X162" s="116">
        <v>0</v>
      </c>
      <c r="Y162" s="116">
        <v>18</v>
      </c>
      <c r="Z162" s="116"/>
      <c r="AA162" s="391"/>
      <c r="AF162">
        <v>23</v>
      </c>
      <c r="AS162" s="3">
        <v>1130221</v>
      </c>
      <c r="AT162" s="10">
        <v>0</v>
      </c>
      <c r="AU162" s="116">
        <v>17</v>
      </c>
      <c r="AV162" s="6">
        <v>0</v>
      </c>
      <c r="AW162" s="116">
        <v>0</v>
      </c>
      <c r="AX162" s="10">
        <v>0</v>
      </c>
      <c r="AY162" s="10"/>
      <c r="AZ162" s="116"/>
    </row>
    <row r="163" spans="1:52" x14ac:dyDescent="0.25">
      <c r="A163" s="308">
        <v>45214</v>
      </c>
      <c r="B163" s="305">
        <v>1130198</v>
      </c>
      <c r="C163" s="412" t="str">
        <f>IFERROR(INDEX(Table14[],MATCH($B163,Table14[SAPNo],0),3),"")</f>
        <v>Round 1613 CT182  0.018" (S)</v>
      </c>
      <c r="D163" s="306"/>
      <c r="E163" s="305">
        <v>56</v>
      </c>
      <c r="F163" s="305"/>
      <c r="G163" s="306" t="s">
        <v>1142</v>
      </c>
      <c r="H163" s="306">
        <v>13925619</v>
      </c>
      <c r="I163" s="306" t="s">
        <v>1143</v>
      </c>
      <c r="J163" s="248"/>
      <c r="K163" s="248"/>
      <c r="M163" s="248"/>
      <c r="Q163" s="310">
        <v>1130206</v>
      </c>
      <c r="R163" s="10"/>
      <c r="S163" s="313">
        <v>13</v>
      </c>
      <c r="W163" s="42">
        <v>1130206</v>
      </c>
      <c r="X163" s="116"/>
      <c r="Y163" s="116"/>
      <c r="Z163" s="116"/>
      <c r="AA163" s="391"/>
      <c r="AF163">
        <v>56</v>
      </c>
      <c r="AS163" s="3">
        <v>1130206</v>
      </c>
      <c r="AT163" s="10"/>
      <c r="AU163" s="116"/>
      <c r="AV163" s="6">
        <v>0</v>
      </c>
      <c r="AW163" s="116">
        <v>0</v>
      </c>
      <c r="AX163" s="10">
        <v>13</v>
      </c>
      <c r="AY163" s="10"/>
      <c r="AZ163" s="116"/>
    </row>
    <row r="164" spans="1:52" x14ac:dyDescent="0.25">
      <c r="A164" s="308">
        <v>45214</v>
      </c>
      <c r="B164" s="305">
        <v>418525</v>
      </c>
      <c r="C164" s="412" t="str">
        <f>IFERROR(INDEX(Table14[],MATCH($B164,Table14[SAPNo],0),3),"")</f>
        <v>Drop In 1308 CT31   (B)</v>
      </c>
      <c r="D164" s="306"/>
      <c r="E164" s="305">
        <v>14</v>
      </c>
      <c r="F164" s="305"/>
      <c r="G164" s="306" t="s">
        <v>1142</v>
      </c>
      <c r="H164" s="306">
        <v>13925619</v>
      </c>
      <c r="I164" s="306" t="s">
        <v>1143</v>
      </c>
      <c r="J164" s="248"/>
      <c r="K164" s="248"/>
      <c r="M164" s="248"/>
      <c r="Q164" s="310">
        <v>1104086</v>
      </c>
      <c r="R164" s="10"/>
      <c r="S164" s="313">
        <v>4</v>
      </c>
      <c r="W164" s="42">
        <v>1104086</v>
      </c>
      <c r="X164" s="116"/>
      <c r="Y164" s="116"/>
      <c r="Z164" s="116"/>
      <c r="AA164" s="391"/>
      <c r="AF164">
        <v>14</v>
      </c>
      <c r="AS164" s="3">
        <v>1104086</v>
      </c>
      <c r="AT164" s="10"/>
      <c r="AU164" s="116"/>
      <c r="AV164" s="6">
        <v>0</v>
      </c>
      <c r="AW164" s="116">
        <v>0</v>
      </c>
      <c r="AX164" s="10">
        <v>2</v>
      </c>
      <c r="AY164" s="10"/>
      <c r="AZ164" s="116"/>
    </row>
    <row r="165" spans="1:52" x14ac:dyDescent="0.25">
      <c r="A165" s="308">
        <v>45214</v>
      </c>
      <c r="B165" s="305">
        <v>717751</v>
      </c>
      <c r="C165" s="412" t="str">
        <f>IFERROR(INDEX(Table14[],MATCH($B165,Table14[SAPNo],0),3),"")</f>
        <v>Round 1308 CT200  0.018" (B)</v>
      </c>
      <c r="D165" s="306"/>
      <c r="E165" s="305">
        <v>39</v>
      </c>
      <c r="F165" s="305"/>
      <c r="G165" s="306" t="s">
        <v>1142</v>
      </c>
      <c r="H165" s="306">
        <v>13925619</v>
      </c>
      <c r="I165" s="306" t="s">
        <v>1143</v>
      </c>
      <c r="J165" s="248"/>
      <c r="K165" s="248"/>
      <c r="M165" s="248"/>
      <c r="Q165" s="310">
        <v>1022971</v>
      </c>
      <c r="R165" s="10">
        <v>29</v>
      </c>
      <c r="S165" s="313">
        <v>0</v>
      </c>
      <c r="W165" s="42">
        <v>1022971</v>
      </c>
      <c r="X165" s="116"/>
      <c r="Y165" s="116"/>
      <c r="Z165" s="116"/>
      <c r="AA165" s="391">
        <v>29</v>
      </c>
      <c r="AF165">
        <v>39</v>
      </c>
      <c r="AS165" s="3">
        <v>1022971</v>
      </c>
      <c r="AT165" s="10"/>
      <c r="AU165" s="116"/>
      <c r="AV165" s="6">
        <v>0</v>
      </c>
      <c r="AW165" s="116">
        <v>29</v>
      </c>
      <c r="AX165" s="10">
        <v>29</v>
      </c>
      <c r="AY165" s="10"/>
      <c r="AZ165" s="116"/>
    </row>
    <row r="166" spans="1:52" x14ac:dyDescent="0.25">
      <c r="A166" s="308">
        <v>45214</v>
      </c>
      <c r="B166" s="305">
        <v>410851</v>
      </c>
      <c r="C166" s="412" t="str">
        <f>IFERROR(INDEX(Table14[],MATCH($B166,Table14[SAPNo],0),3),"")</f>
        <v>PDC Dome 1308 CT31   (B)</v>
      </c>
      <c r="D166" s="306"/>
      <c r="E166" s="305">
        <v>1</v>
      </c>
      <c r="F166" s="305"/>
      <c r="G166" s="306" t="s">
        <v>1144</v>
      </c>
      <c r="H166" s="306">
        <v>13925619</v>
      </c>
      <c r="I166" s="306" t="s">
        <v>1143</v>
      </c>
      <c r="J166" s="248"/>
      <c r="K166" s="248"/>
      <c r="M166" s="248"/>
      <c r="Q166" s="310">
        <v>1134751</v>
      </c>
      <c r="R166" s="10">
        <v>41</v>
      </c>
      <c r="S166" s="313">
        <v>0</v>
      </c>
      <c r="W166" s="42">
        <v>1134751</v>
      </c>
      <c r="X166" s="116">
        <v>16</v>
      </c>
      <c r="Y166" s="116"/>
      <c r="Z166" s="116"/>
      <c r="AA166" s="391"/>
      <c r="AF166">
        <v>1</v>
      </c>
      <c r="AS166" s="3">
        <v>1134751</v>
      </c>
      <c r="AT166" s="10">
        <v>0</v>
      </c>
      <c r="AU166" s="116"/>
      <c r="AV166" s="6">
        <v>0</v>
      </c>
      <c r="AW166" s="116">
        <v>0</v>
      </c>
      <c r="AX166" s="10">
        <v>0</v>
      </c>
      <c r="AY166" s="10"/>
      <c r="AZ166" s="116"/>
    </row>
    <row r="167" spans="1:52" x14ac:dyDescent="0.25">
      <c r="A167" s="308">
        <v>45214</v>
      </c>
      <c r="B167" s="305">
        <v>418525</v>
      </c>
      <c r="C167" s="412" t="str">
        <f>IFERROR(INDEX(Table14[],MATCH($B167,Table14[SAPNo],0),3),"")</f>
        <v>Drop In 1308 CT31   (B)</v>
      </c>
      <c r="D167" s="306"/>
      <c r="E167" s="305">
        <v>6</v>
      </c>
      <c r="F167" s="305"/>
      <c r="G167" s="306" t="s">
        <v>1145</v>
      </c>
      <c r="H167" s="306">
        <v>14056979</v>
      </c>
      <c r="I167" s="306" t="s">
        <v>1076</v>
      </c>
      <c r="J167" s="248"/>
      <c r="K167" s="248"/>
      <c r="M167" s="248"/>
      <c r="Q167" s="310">
        <v>1078348</v>
      </c>
      <c r="R167" s="10"/>
      <c r="S167" s="313">
        <v>54</v>
      </c>
      <c r="W167" s="42">
        <v>1078348</v>
      </c>
      <c r="X167" s="116"/>
      <c r="Y167" s="116"/>
      <c r="Z167" s="116"/>
      <c r="AA167" s="391"/>
      <c r="AF167">
        <v>6</v>
      </c>
      <c r="AS167" s="3">
        <v>1078348</v>
      </c>
      <c r="AT167" s="10"/>
      <c r="AU167" s="116"/>
      <c r="AV167" s="6">
        <v>0</v>
      </c>
      <c r="AW167" s="116">
        <v>0</v>
      </c>
      <c r="AX167" s="10">
        <v>54</v>
      </c>
      <c r="AY167" s="10"/>
      <c r="AZ167" s="116"/>
    </row>
    <row r="168" spans="1:52" x14ac:dyDescent="0.25">
      <c r="A168" s="308">
        <v>45214</v>
      </c>
      <c r="B168" s="305">
        <v>1146737</v>
      </c>
      <c r="C168" s="412" t="str">
        <f>IFERROR(INDEX(Table14[],MATCH($B168,Table14[SAPNo],0),3),"")</f>
        <v>1613 CT418 18-60</v>
      </c>
      <c r="D168" s="306"/>
      <c r="E168" s="305">
        <v>6</v>
      </c>
      <c r="F168" s="305"/>
      <c r="G168" s="306" t="s">
        <v>1145</v>
      </c>
      <c r="H168" s="306">
        <v>14056979</v>
      </c>
      <c r="I168" s="306" t="s">
        <v>1076</v>
      </c>
      <c r="J168" s="248"/>
      <c r="K168" s="248"/>
      <c r="M168" s="248"/>
      <c r="Q168" s="310">
        <v>562195</v>
      </c>
      <c r="R168" s="10">
        <v>5</v>
      </c>
      <c r="S168" s="313">
        <v>0</v>
      </c>
      <c r="W168" s="42">
        <v>562195</v>
      </c>
      <c r="X168" s="116"/>
      <c r="Y168" s="116"/>
      <c r="Z168" s="116"/>
      <c r="AA168" s="391"/>
      <c r="AF168">
        <v>6</v>
      </c>
      <c r="AS168" s="3">
        <v>562195</v>
      </c>
      <c r="AT168" s="10"/>
      <c r="AU168" s="116"/>
      <c r="AV168" s="6">
        <v>0</v>
      </c>
      <c r="AW168" s="116">
        <v>0</v>
      </c>
      <c r="AX168" s="10">
        <v>5</v>
      </c>
      <c r="AY168" s="10"/>
      <c r="AZ168" s="116"/>
    </row>
    <row r="169" spans="1:52" x14ac:dyDescent="0.25">
      <c r="A169" s="308">
        <v>45214</v>
      </c>
      <c r="B169" s="305">
        <v>1208601</v>
      </c>
      <c r="C169" s="412" t="str">
        <f>IFERROR(INDEX(Table14[],MATCH($B169,Table14[SAPNo],0),3),"")</f>
        <v>1613 CT418 U-60</v>
      </c>
      <c r="D169" s="306"/>
      <c r="E169" s="305">
        <v>8</v>
      </c>
      <c r="F169" s="305"/>
      <c r="G169" s="306" t="s">
        <v>1145</v>
      </c>
      <c r="H169" s="306">
        <v>14056979</v>
      </c>
      <c r="I169" s="306" t="s">
        <v>1076</v>
      </c>
      <c r="J169" s="248"/>
      <c r="K169" s="248"/>
      <c r="M169" s="248"/>
      <c r="Q169" s="310">
        <v>1078377</v>
      </c>
      <c r="R169" s="10">
        <v>90</v>
      </c>
      <c r="S169" s="313">
        <v>9</v>
      </c>
      <c r="W169" s="42">
        <v>1078377</v>
      </c>
      <c r="X169" s="116"/>
      <c r="Y169" s="116"/>
      <c r="Z169" s="116"/>
      <c r="AA169" s="391"/>
      <c r="AF169">
        <v>8</v>
      </c>
      <c r="AS169" s="3">
        <v>1078377</v>
      </c>
      <c r="AT169" s="10"/>
      <c r="AU169" s="116"/>
      <c r="AV169" s="6">
        <v>0</v>
      </c>
      <c r="AW169" s="116">
        <v>0</v>
      </c>
      <c r="AX169" s="10">
        <v>80</v>
      </c>
      <c r="AY169" s="10">
        <v>2</v>
      </c>
      <c r="AZ169" s="116"/>
    </row>
    <row r="170" spans="1:52" x14ac:dyDescent="0.25">
      <c r="A170" s="308">
        <v>45214</v>
      </c>
      <c r="B170" s="305">
        <v>1078377</v>
      </c>
      <c r="C170" s="412" t="str">
        <f>IFERROR(INDEX(Table14[],MATCH($B170,Table14[SAPNo],0),3),"")</f>
        <v>13MM CT221 R1</v>
      </c>
      <c r="D170" s="306"/>
      <c r="E170" s="305">
        <v>15</v>
      </c>
      <c r="F170" s="305"/>
      <c r="G170" s="306" t="s">
        <v>1145</v>
      </c>
      <c r="H170" s="306">
        <v>14056979</v>
      </c>
      <c r="I170" s="306" t="s">
        <v>1076</v>
      </c>
      <c r="J170" s="248"/>
      <c r="K170" s="248"/>
      <c r="M170" s="248"/>
      <c r="Q170" s="310">
        <v>1176641</v>
      </c>
      <c r="R170" s="10">
        <v>2</v>
      </c>
      <c r="S170" s="313"/>
      <c r="W170" s="42">
        <v>1176641</v>
      </c>
      <c r="X170" s="116"/>
      <c r="Y170" s="116"/>
      <c r="Z170" s="116"/>
      <c r="AA170" s="391"/>
      <c r="AF170">
        <v>15</v>
      </c>
      <c r="AS170" s="3">
        <v>1176641</v>
      </c>
      <c r="AT170" s="10"/>
      <c r="AU170" s="116"/>
      <c r="AV170" s="6">
        <v>0</v>
      </c>
      <c r="AW170" s="116">
        <v>0</v>
      </c>
      <c r="AX170" s="10">
        <v>2</v>
      </c>
      <c r="AY170" s="10"/>
      <c r="AZ170" s="116"/>
    </row>
    <row r="171" spans="1:52" x14ac:dyDescent="0.25">
      <c r="A171" s="308">
        <v>45214</v>
      </c>
      <c r="B171" s="305">
        <v>1112229</v>
      </c>
      <c r="C171" s="412" t="str">
        <f>IFERROR(INDEX(Table14[],MATCH($B171,Table14[SAPNo],0),3),"")</f>
        <v>1613 CT147 18C</v>
      </c>
      <c r="D171" s="306"/>
      <c r="E171" s="305">
        <v>17</v>
      </c>
      <c r="F171" s="305"/>
      <c r="G171" s="306" t="s">
        <v>1145</v>
      </c>
      <c r="H171" s="306">
        <v>14056979</v>
      </c>
      <c r="I171" s="306" t="s">
        <v>1076</v>
      </c>
      <c r="J171" s="248"/>
      <c r="K171" s="248"/>
      <c r="M171" s="248"/>
      <c r="Q171" s="310">
        <v>1162516</v>
      </c>
      <c r="R171" s="10"/>
      <c r="S171" s="313"/>
      <c r="W171" s="386">
        <v>1162516</v>
      </c>
      <c r="X171" s="116"/>
      <c r="Y171" s="116"/>
      <c r="Z171" s="116"/>
      <c r="AA171" s="391"/>
      <c r="AF171">
        <v>17</v>
      </c>
      <c r="AS171" s="3">
        <v>1162516</v>
      </c>
      <c r="AT171" s="10"/>
      <c r="AU171" s="116"/>
      <c r="AV171" s="6">
        <v>0</v>
      </c>
      <c r="AW171" s="116">
        <v>0</v>
      </c>
      <c r="AX171" s="10">
        <v>0</v>
      </c>
      <c r="AY171" s="10"/>
      <c r="AZ171" s="116"/>
    </row>
    <row r="172" spans="1:52" x14ac:dyDescent="0.25">
      <c r="A172" s="308">
        <v>45215</v>
      </c>
      <c r="B172" s="305">
        <v>971055</v>
      </c>
      <c r="C172" s="412" t="str">
        <f>IFERROR(INDEX(Table14[],MATCH($B172,Table14[SAPNo],0),3),"")</f>
        <v>MED Bullet 10.5 CT217 MBL 0.018" (B)</v>
      </c>
      <c r="D172" s="306"/>
      <c r="E172" s="305">
        <v>3</v>
      </c>
      <c r="F172" s="305"/>
      <c r="G172" s="306" t="s">
        <v>1146</v>
      </c>
      <c r="H172" s="306" t="s">
        <v>1147</v>
      </c>
      <c r="I172" s="306" t="s">
        <v>1112</v>
      </c>
      <c r="J172" s="248"/>
      <c r="K172" s="248"/>
      <c r="M172" s="248"/>
      <c r="Q172" s="310">
        <v>1162518</v>
      </c>
      <c r="R172" s="10"/>
      <c r="S172" s="313"/>
      <c r="W172" s="42">
        <v>1162518</v>
      </c>
      <c r="X172" s="116"/>
      <c r="Y172" s="116"/>
      <c r="Z172" s="116"/>
      <c r="AA172" s="391"/>
      <c r="AF172">
        <v>3</v>
      </c>
      <c r="AS172" s="3">
        <v>1162518</v>
      </c>
      <c r="AT172" s="10"/>
      <c r="AU172" s="116"/>
      <c r="AV172" s="6">
        <v>0</v>
      </c>
      <c r="AW172" s="116">
        <v>0</v>
      </c>
      <c r="AX172" s="10">
        <v>0</v>
      </c>
      <c r="AY172" s="10"/>
      <c r="AZ172" s="116"/>
    </row>
    <row r="173" spans="1:52" x14ac:dyDescent="0.25">
      <c r="A173" s="351">
        <v>45215</v>
      </c>
      <c r="B173" s="352">
        <v>1130198</v>
      </c>
      <c r="C173" s="414" t="str">
        <f>IFERROR(INDEX(Table14[],MATCH($B173,Table14[SAPNo],0),3),"")</f>
        <v>Round 1613 CT182  0.018" (S)</v>
      </c>
      <c r="D173" s="306"/>
      <c r="E173" s="352">
        <v>56</v>
      </c>
      <c r="F173" s="352"/>
      <c r="G173" s="353" t="s">
        <v>1148</v>
      </c>
      <c r="H173" s="353">
        <v>13955542</v>
      </c>
      <c r="I173" s="353" t="s">
        <v>1143</v>
      </c>
      <c r="J173" s="248"/>
      <c r="K173" s="375" t="s">
        <v>1149</v>
      </c>
      <c r="M173" s="375"/>
      <c r="Q173" s="310">
        <v>1100759</v>
      </c>
      <c r="R173" s="10">
        <v>396</v>
      </c>
      <c r="S173" s="313">
        <v>0</v>
      </c>
      <c r="W173" s="42">
        <v>1100759</v>
      </c>
      <c r="X173" s="116"/>
      <c r="Y173" s="116"/>
      <c r="Z173" s="116"/>
      <c r="AA173" s="391"/>
      <c r="AF173">
        <v>56</v>
      </c>
      <c r="AS173" s="3">
        <v>1100759</v>
      </c>
      <c r="AT173" s="10"/>
      <c r="AU173" s="116"/>
      <c r="AV173" s="6">
        <v>0</v>
      </c>
      <c r="AW173" s="116">
        <v>0</v>
      </c>
      <c r="AX173" s="10">
        <v>180</v>
      </c>
      <c r="AY173" s="10"/>
      <c r="AZ173" s="116"/>
    </row>
    <row r="174" spans="1:52" x14ac:dyDescent="0.25">
      <c r="A174" s="351">
        <v>45215</v>
      </c>
      <c r="B174" s="352">
        <v>1130197</v>
      </c>
      <c r="C174" s="414" t="str">
        <f>IFERROR(INDEX(Table14[],MATCH($B174,Table14[SAPNo],0),3),"")</f>
        <v>Round 1608 CT182  0.018" (S)</v>
      </c>
      <c r="D174" s="306"/>
      <c r="E174" s="352">
        <v>13</v>
      </c>
      <c r="F174" s="352"/>
      <c r="G174" s="353" t="s">
        <v>1148</v>
      </c>
      <c r="H174" s="353">
        <v>13955542</v>
      </c>
      <c r="I174" s="353" t="s">
        <v>1143</v>
      </c>
      <c r="J174" s="248"/>
      <c r="K174" s="375" t="s">
        <v>1149</v>
      </c>
      <c r="M174" s="375"/>
      <c r="Q174" s="310">
        <v>1163820</v>
      </c>
      <c r="R174" s="10">
        <v>40</v>
      </c>
      <c r="S174" s="313">
        <v>66</v>
      </c>
      <c r="W174" s="42">
        <v>1163820</v>
      </c>
      <c r="X174" s="116"/>
      <c r="Y174" s="116"/>
      <c r="Z174" s="116"/>
      <c r="AA174" s="391"/>
      <c r="AF174">
        <v>13</v>
      </c>
      <c r="AS174" s="3">
        <v>1163820</v>
      </c>
      <c r="AT174" s="10"/>
      <c r="AU174" s="116"/>
      <c r="AV174" s="6">
        <v>0</v>
      </c>
      <c r="AW174" s="116">
        <v>0</v>
      </c>
      <c r="AX174" s="10">
        <v>40</v>
      </c>
      <c r="AY174" s="10"/>
      <c r="AZ174" s="116"/>
    </row>
    <row r="175" spans="1:52" x14ac:dyDescent="0.25">
      <c r="A175" s="351">
        <v>45215</v>
      </c>
      <c r="B175" s="352">
        <v>179733</v>
      </c>
      <c r="C175" s="414" t="str">
        <f>IFERROR(INDEX(Table14[],MATCH($B175,Table14[SAPNo],0),3),"")</f>
        <v>Short IA 13    (C)</v>
      </c>
      <c r="D175" s="306"/>
      <c r="E175" s="352">
        <v>23</v>
      </c>
      <c r="F175" s="352"/>
      <c r="G175" s="353" t="s">
        <v>1148</v>
      </c>
      <c r="H175" s="353">
        <v>13955542</v>
      </c>
      <c r="I175" s="353" t="s">
        <v>1143</v>
      </c>
      <c r="J175" s="248"/>
      <c r="K175" s="375" t="s">
        <v>1149</v>
      </c>
      <c r="M175" s="375"/>
      <c r="Q175" s="310">
        <v>1162508</v>
      </c>
      <c r="R175" s="10">
        <v>6</v>
      </c>
      <c r="S175" s="313"/>
      <c r="W175" s="42">
        <v>1162508</v>
      </c>
      <c r="X175" s="116"/>
      <c r="Y175" s="116"/>
      <c r="Z175" s="116"/>
      <c r="AA175" s="391"/>
      <c r="AF175">
        <v>23</v>
      </c>
      <c r="AS175" s="3">
        <v>1162508</v>
      </c>
      <c r="AT175" s="10"/>
      <c r="AU175" s="116"/>
      <c r="AV175" s="6">
        <v>0</v>
      </c>
      <c r="AW175" s="116">
        <v>0</v>
      </c>
      <c r="AX175" s="10">
        <v>6</v>
      </c>
      <c r="AY175" s="10"/>
      <c r="AZ175" s="116"/>
    </row>
    <row r="176" spans="1:52" x14ac:dyDescent="0.25">
      <c r="A176" s="351">
        <v>45215</v>
      </c>
      <c r="B176" s="352">
        <v>717751</v>
      </c>
      <c r="C176" s="414" t="str">
        <f>IFERROR(INDEX(Table14[],MATCH($B176,Table14[SAPNo],0),3),"")</f>
        <v>Round 1308 CT200  0.018" (B)</v>
      </c>
      <c r="D176" s="306"/>
      <c r="E176" s="352">
        <v>39</v>
      </c>
      <c r="F176" s="352"/>
      <c r="G176" s="353" t="s">
        <v>1148</v>
      </c>
      <c r="H176" s="353">
        <v>13955542</v>
      </c>
      <c r="I176" s="353" t="s">
        <v>1143</v>
      </c>
      <c r="J176" s="248"/>
      <c r="K176" s="375" t="s">
        <v>1149</v>
      </c>
      <c r="M176" s="375"/>
      <c r="Q176" s="310">
        <v>1100751</v>
      </c>
      <c r="R176" s="10">
        <v>79</v>
      </c>
      <c r="S176" s="313"/>
      <c r="W176" s="42">
        <v>1100751</v>
      </c>
      <c r="X176" s="116"/>
      <c r="Y176" s="116"/>
      <c r="Z176" s="116"/>
      <c r="AA176" s="391"/>
      <c r="AF176">
        <v>39</v>
      </c>
      <c r="AS176" s="3">
        <v>1100751</v>
      </c>
      <c r="AT176" s="10"/>
      <c r="AU176" s="116"/>
      <c r="AV176" s="6">
        <v>0</v>
      </c>
      <c r="AW176" s="116">
        <v>0</v>
      </c>
      <c r="AX176" s="10">
        <v>47</v>
      </c>
      <c r="AY176" s="10"/>
      <c r="AZ176" s="116"/>
    </row>
    <row r="177" spans="1:52" x14ac:dyDescent="0.25">
      <c r="A177" s="351">
        <v>45215</v>
      </c>
      <c r="B177" s="352">
        <v>418525</v>
      </c>
      <c r="C177" s="414" t="str">
        <f>IFERROR(INDEX(Table14[],MATCH($B177,Table14[SAPNo],0),3),"")</f>
        <v>Drop In 1308 CT31   (B)</v>
      </c>
      <c r="D177" s="306"/>
      <c r="E177" s="352">
        <v>14</v>
      </c>
      <c r="F177" s="352"/>
      <c r="G177" s="353" t="s">
        <v>1148</v>
      </c>
      <c r="H177" s="353">
        <v>13955542</v>
      </c>
      <c r="I177" s="353" t="s">
        <v>1143</v>
      </c>
      <c r="J177" s="248"/>
      <c r="K177" s="375" t="s">
        <v>1149</v>
      </c>
      <c r="M177" s="375"/>
      <c r="Q177" s="310">
        <v>1162510</v>
      </c>
      <c r="R177" s="10">
        <v>5</v>
      </c>
      <c r="S177" s="313"/>
      <c r="W177" s="42">
        <v>1162510</v>
      </c>
      <c r="X177" s="116"/>
      <c r="Y177" s="116"/>
      <c r="Z177" s="116"/>
      <c r="AA177" s="391"/>
      <c r="AF177">
        <v>14</v>
      </c>
      <c r="AS177" s="3">
        <v>1162510</v>
      </c>
      <c r="AT177" s="10"/>
      <c r="AU177" s="116"/>
      <c r="AV177" s="6">
        <v>0</v>
      </c>
      <c r="AW177" s="116">
        <v>0</v>
      </c>
      <c r="AX177" s="10">
        <v>5</v>
      </c>
      <c r="AY177" s="10"/>
      <c r="AZ177" s="116"/>
    </row>
    <row r="178" spans="1:52" x14ac:dyDescent="0.25">
      <c r="A178" s="351">
        <v>45215</v>
      </c>
      <c r="B178" s="352">
        <v>410851</v>
      </c>
      <c r="C178" s="414" t="str">
        <f>IFERROR(INDEX(Table14[],MATCH($B178,Table14[SAPNo],0),3),"")</f>
        <v>PDC Dome 1308 CT31   (B)</v>
      </c>
      <c r="D178" s="306"/>
      <c r="E178" s="352">
        <v>42</v>
      </c>
      <c r="F178" s="352"/>
      <c r="G178" s="353" t="s">
        <v>1148</v>
      </c>
      <c r="H178" s="353">
        <v>13955542</v>
      </c>
      <c r="I178" s="353" t="s">
        <v>1143</v>
      </c>
      <c r="J178" s="248"/>
      <c r="K178" s="375" t="s">
        <v>1149</v>
      </c>
      <c r="M178" s="375"/>
      <c r="Q178" s="310">
        <v>1161587</v>
      </c>
      <c r="R178" s="10"/>
      <c r="S178" s="313">
        <v>0</v>
      </c>
      <c r="W178" s="42">
        <v>1161587</v>
      </c>
      <c r="X178" s="116"/>
      <c r="Y178" s="116"/>
      <c r="Z178" s="116"/>
      <c r="AA178" s="391"/>
      <c r="AF178">
        <v>42</v>
      </c>
      <c r="AS178" s="3">
        <v>1161587</v>
      </c>
      <c r="AT178" s="10"/>
      <c r="AU178" s="116"/>
      <c r="AV178" s="6">
        <v>0</v>
      </c>
      <c r="AW178" s="116">
        <v>0</v>
      </c>
      <c r="AX178" s="10">
        <v>0</v>
      </c>
      <c r="AY178" s="10"/>
      <c r="AZ178" s="116"/>
    </row>
    <row r="179" spans="1:52" x14ac:dyDescent="0.25">
      <c r="A179" s="308">
        <v>45215</v>
      </c>
      <c r="B179" s="305">
        <v>882800</v>
      </c>
      <c r="C179" s="412" t="str">
        <f>IFERROR(INDEX(Table14[],MATCH($B179,Table14[SAPNo],0),3),"")</f>
        <v>Round 0808 CT80  0.018" (B)</v>
      </c>
      <c r="D179" s="306"/>
      <c r="E179" s="305">
        <v>10</v>
      </c>
      <c r="F179" s="305"/>
      <c r="G179" s="306" t="s">
        <v>1150</v>
      </c>
      <c r="H179" s="306">
        <v>14035948</v>
      </c>
      <c r="I179" s="306" t="s">
        <v>1137</v>
      </c>
      <c r="J179" s="248"/>
      <c r="K179" s="248"/>
      <c r="M179" s="248"/>
      <c r="Q179" s="310">
        <v>1209410</v>
      </c>
      <c r="R179" s="10">
        <v>55</v>
      </c>
      <c r="S179" s="313">
        <v>50</v>
      </c>
      <c r="W179" s="42">
        <v>1209410</v>
      </c>
      <c r="X179" s="116"/>
      <c r="Y179" s="116"/>
      <c r="Z179" s="116"/>
      <c r="AA179" s="391">
        <v>19</v>
      </c>
      <c r="AF179">
        <v>10</v>
      </c>
      <c r="AS179" s="3">
        <v>1209410</v>
      </c>
      <c r="AT179" s="10"/>
      <c r="AU179" s="116"/>
      <c r="AV179" s="6">
        <v>0</v>
      </c>
      <c r="AW179" s="116">
        <v>19</v>
      </c>
      <c r="AX179" s="10">
        <v>106</v>
      </c>
      <c r="AY179" s="10"/>
      <c r="AZ179" s="116"/>
    </row>
    <row r="180" spans="1:52" x14ac:dyDescent="0.25">
      <c r="A180" s="308">
        <v>45215</v>
      </c>
      <c r="B180" s="305">
        <v>773384</v>
      </c>
      <c r="C180" s="412" t="str">
        <f>IFERROR(INDEX(Table14[],MATCH($B180,Table14[SAPNo],0),3),"")</f>
        <v>Round 1005 CT200  0.018" (B)</v>
      </c>
      <c r="D180" s="306"/>
      <c r="E180" s="305">
        <v>10</v>
      </c>
      <c r="F180" s="305"/>
      <c r="G180" s="306" t="s">
        <v>1150</v>
      </c>
      <c r="H180" s="306">
        <v>14035948</v>
      </c>
      <c r="I180" s="306" t="s">
        <v>1137</v>
      </c>
      <c r="J180" s="248"/>
      <c r="K180" s="248"/>
      <c r="M180" s="248"/>
      <c r="Q180" s="310">
        <v>1177229</v>
      </c>
      <c r="R180" s="10">
        <f>52-19</f>
        <v>33</v>
      </c>
      <c r="S180" s="313">
        <v>37</v>
      </c>
      <c r="W180" s="42">
        <v>1177229</v>
      </c>
      <c r="X180" s="116"/>
      <c r="Y180" s="116"/>
      <c r="Z180" s="116"/>
      <c r="AA180" s="391"/>
      <c r="AF180">
        <v>10</v>
      </c>
      <c r="AS180" s="3">
        <v>1177229</v>
      </c>
      <c r="AT180" s="10"/>
      <c r="AU180" s="116"/>
      <c r="AV180" s="6">
        <v>0</v>
      </c>
      <c r="AW180" s="116">
        <v>0</v>
      </c>
      <c r="AX180" s="10">
        <v>0</v>
      </c>
      <c r="AY180" s="10"/>
      <c r="AZ180" s="116"/>
    </row>
    <row r="181" spans="1:52" x14ac:dyDescent="0.25">
      <c r="A181" s="308">
        <v>45215</v>
      </c>
      <c r="B181" s="305">
        <v>717748</v>
      </c>
      <c r="C181" s="412" t="str">
        <f>IFERROR(INDEX(Table14[],MATCH($B181,Table14[SAPNo],0),3),"")</f>
        <v>Round 1010 CT200  0.018" (B)</v>
      </c>
      <c r="D181" s="306"/>
      <c r="E181" s="305">
        <v>23</v>
      </c>
      <c r="F181" s="305"/>
      <c r="G181" s="306" t="s">
        <v>1150</v>
      </c>
      <c r="H181" s="306">
        <v>14035948</v>
      </c>
      <c r="I181" s="306" t="s">
        <v>1137</v>
      </c>
      <c r="J181" s="248"/>
      <c r="K181" s="248"/>
      <c r="M181" s="248"/>
      <c r="Q181" s="310">
        <v>1209332</v>
      </c>
      <c r="R181" s="10">
        <v>99</v>
      </c>
      <c r="S181" s="313"/>
      <c r="W181" s="42">
        <v>1209332</v>
      </c>
      <c r="X181" s="116"/>
      <c r="Y181" s="116"/>
      <c r="Z181" s="116"/>
      <c r="AA181" s="391"/>
      <c r="AF181">
        <v>23</v>
      </c>
      <c r="AS181" s="3">
        <v>1209332</v>
      </c>
      <c r="AT181" s="10">
        <f>8-1-1-2-4</f>
        <v>0</v>
      </c>
      <c r="AU181" s="116"/>
      <c r="AV181" s="6">
        <v>0</v>
      </c>
      <c r="AW181" s="116">
        <v>0</v>
      </c>
      <c r="AX181" s="10">
        <v>0</v>
      </c>
      <c r="AY181" s="10"/>
      <c r="AZ181" s="116"/>
    </row>
    <row r="182" spans="1:52" x14ac:dyDescent="0.25">
      <c r="A182" s="308">
        <v>45215</v>
      </c>
      <c r="B182" s="305">
        <v>1130196</v>
      </c>
      <c r="C182" s="412" t="str">
        <f>IFERROR(INDEX(Table14[],MATCH($B182,Table14[SAPNo],0),3),"")</f>
        <v>Round 1313 CT182  0.018" (S)</v>
      </c>
      <c r="D182" s="306"/>
      <c r="E182" s="305">
        <v>22</v>
      </c>
      <c r="F182" s="305"/>
      <c r="G182" s="306" t="s">
        <v>1151</v>
      </c>
      <c r="H182" s="306">
        <v>14056983</v>
      </c>
      <c r="I182" s="306" t="s">
        <v>1092</v>
      </c>
      <c r="J182" s="248"/>
      <c r="K182" s="248"/>
      <c r="M182" s="248"/>
      <c r="Q182" s="310">
        <v>1100694</v>
      </c>
      <c r="R182" s="10">
        <v>8</v>
      </c>
      <c r="S182" s="313"/>
      <c r="W182" s="42">
        <v>1100694</v>
      </c>
      <c r="X182" s="116"/>
      <c r="Y182" s="116"/>
      <c r="Z182" s="116"/>
      <c r="AA182" s="391"/>
      <c r="AF182">
        <v>22</v>
      </c>
      <c r="AS182" s="3">
        <v>1100694</v>
      </c>
      <c r="AT182" s="10"/>
      <c r="AU182" s="116"/>
      <c r="AV182" s="6">
        <v>0</v>
      </c>
      <c r="AW182" s="116">
        <v>0</v>
      </c>
      <c r="AX182" s="10">
        <v>8</v>
      </c>
      <c r="AY182" s="10"/>
      <c r="AZ182" s="116"/>
    </row>
    <row r="183" spans="1:52" x14ac:dyDescent="0.25">
      <c r="A183" s="308">
        <v>45215</v>
      </c>
      <c r="B183" s="305">
        <v>1209410</v>
      </c>
      <c r="C183" s="412" t="str">
        <f>IFERROR(INDEX(Table14[],MATCH($B183,Table14[SAPNo],0),3),"")</f>
        <v>1613 CT430MV3 U TBO</v>
      </c>
      <c r="D183" s="306"/>
      <c r="E183" s="305">
        <v>10</v>
      </c>
      <c r="F183" s="305"/>
      <c r="G183" s="306" t="s">
        <v>1151</v>
      </c>
      <c r="H183" s="306">
        <v>14056983</v>
      </c>
      <c r="I183" s="306" t="s">
        <v>1092</v>
      </c>
      <c r="J183" s="248"/>
      <c r="K183" s="248"/>
      <c r="M183" s="248"/>
      <c r="Q183" s="310">
        <v>1199265</v>
      </c>
      <c r="R183" s="10">
        <v>66</v>
      </c>
      <c r="S183" s="313">
        <v>0</v>
      </c>
      <c r="W183" s="42">
        <v>1199265</v>
      </c>
      <c r="X183" s="116"/>
      <c r="Y183" s="116"/>
      <c r="Z183" s="116"/>
      <c r="AA183" s="391"/>
      <c r="AF183">
        <v>10</v>
      </c>
      <c r="AS183" s="3">
        <v>1199265</v>
      </c>
      <c r="AT183" s="10"/>
      <c r="AU183" s="116"/>
      <c r="AV183" s="6">
        <v>0</v>
      </c>
      <c r="AW183" s="116">
        <v>0</v>
      </c>
      <c r="AX183" s="10">
        <v>206</v>
      </c>
      <c r="AY183" s="10"/>
      <c r="AZ183" s="116"/>
    </row>
    <row r="184" spans="1:52" x14ac:dyDescent="0.25">
      <c r="A184" s="308">
        <v>45215</v>
      </c>
      <c r="B184" s="305">
        <v>1100741</v>
      </c>
      <c r="C184" s="412" t="str">
        <f>IFERROR(INDEX(Table14[],MATCH($B184,Table14[SAPNo],0),3),"")</f>
        <v>Round 1613 CT418  0.018" (S)</v>
      </c>
      <c r="D184" s="306"/>
      <c r="E184" s="305">
        <v>10</v>
      </c>
      <c r="F184" s="305"/>
      <c r="G184" s="306" t="s">
        <v>1151</v>
      </c>
      <c r="H184" s="306">
        <v>14056983</v>
      </c>
      <c r="I184" s="306" t="s">
        <v>1092</v>
      </c>
      <c r="J184" s="248"/>
      <c r="K184" s="248"/>
      <c r="M184" s="248"/>
      <c r="Q184" s="310">
        <v>1199266</v>
      </c>
      <c r="R184" s="10">
        <v>96</v>
      </c>
      <c r="S184" s="313"/>
      <c r="W184" s="42">
        <v>1199266</v>
      </c>
      <c r="X184" s="116"/>
      <c r="Y184" s="116"/>
      <c r="Z184" s="116"/>
      <c r="AA184" s="391"/>
      <c r="AF184">
        <v>10</v>
      </c>
      <c r="AS184" s="3">
        <v>1199266</v>
      </c>
      <c r="AT184" s="10"/>
      <c r="AU184" s="116"/>
      <c r="AV184" s="6">
        <v>0</v>
      </c>
      <c r="AW184" s="116">
        <v>0</v>
      </c>
      <c r="AX184" s="10">
        <v>0</v>
      </c>
      <c r="AY184" s="10"/>
      <c r="AZ184" s="116"/>
    </row>
    <row r="185" spans="1:52" x14ac:dyDescent="0.25">
      <c r="A185" s="308">
        <v>45215</v>
      </c>
      <c r="B185" s="305">
        <v>1112229</v>
      </c>
      <c r="C185" s="412" t="str">
        <f>IFERROR(INDEX(Table14[],MATCH($B185,Table14[SAPNo],0),3),"")</f>
        <v>1613 CT147 18C</v>
      </c>
      <c r="D185" s="306"/>
      <c r="E185" s="305">
        <v>30</v>
      </c>
      <c r="F185" s="305"/>
      <c r="G185" s="306" t="s">
        <v>1151</v>
      </c>
      <c r="H185" s="306">
        <v>14056983</v>
      </c>
      <c r="I185" s="306" t="s">
        <v>1092</v>
      </c>
      <c r="J185" s="248"/>
      <c r="K185" s="248"/>
      <c r="M185" s="248"/>
      <c r="Q185" s="310">
        <v>1145491</v>
      </c>
      <c r="R185" s="10">
        <v>10</v>
      </c>
      <c r="S185" s="313"/>
      <c r="W185" s="42">
        <v>1145491</v>
      </c>
      <c r="X185" s="116"/>
      <c r="Y185" s="116"/>
      <c r="Z185" s="116"/>
      <c r="AA185" s="391"/>
      <c r="AF185">
        <v>30</v>
      </c>
      <c r="AS185" s="3">
        <v>1145491</v>
      </c>
      <c r="AT185" s="10"/>
      <c r="AU185" s="116"/>
      <c r="AV185" s="6">
        <v>0</v>
      </c>
      <c r="AW185" s="116">
        <v>0</v>
      </c>
      <c r="AX185" s="10">
        <v>10</v>
      </c>
      <c r="AY185" s="10"/>
      <c r="AZ185" s="116"/>
    </row>
    <row r="186" spans="1:52" x14ac:dyDescent="0.25">
      <c r="A186" s="308">
        <v>45215</v>
      </c>
      <c r="B186" s="305">
        <v>871781</v>
      </c>
      <c r="C186" s="412" t="str">
        <f>IFERROR(INDEX(Table14[],MATCH($B186,Table14[SAPNo],0),3),"")</f>
        <v>Round 1313 CT200  0.018" (B)</v>
      </c>
      <c r="D186" s="306"/>
      <c r="E186" s="305">
        <v>5</v>
      </c>
      <c r="F186" s="305"/>
      <c r="G186" s="306" t="s">
        <v>1151</v>
      </c>
      <c r="H186" s="306">
        <v>14056983</v>
      </c>
      <c r="I186" s="306" t="s">
        <v>1092</v>
      </c>
      <c r="J186" s="248"/>
      <c r="K186" s="248"/>
      <c r="M186" s="248"/>
      <c r="Q186" s="310">
        <v>1100740</v>
      </c>
      <c r="R186" s="10">
        <v>0</v>
      </c>
      <c r="S186" s="313">
        <v>10</v>
      </c>
      <c r="W186" s="42">
        <v>1100740</v>
      </c>
      <c r="X186" s="116"/>
      <c r="Y186" s="116"/>
      <c r="Z186" s="116"/>
      <c r="AA186" s="391"/>
      <c r="AF186">
        <v>5</v>
      </c>
      <c r="AS186" s="3">
        <v>1100740</v>
      </c>
      <c r="AT186" s="10"/>
      <c r="AU186" s="116"/>
      <c r="AV186" s="6">
        <v>0</v>
      </c>
      <c r="AW186" s="116">
        <v>0</v>
      </c>
      <c r="AX186" s="10">
        <v>10</v>
      </c>
      <c r="AY186" s="10"/>
      <c r="AZ186" s="116"/>
    </row>
    <row r="187" spans="1:52" x14ac:dyDescent="0.25">
      <c r="A187" s="308">
        <v>45216</v>
      </c>
      <c r="B187" s="305">
        <v>1100741</v>
      </c>
      <c r="C187" s="412" t="str">
        <f>IFERROR(INDEX(Table14[],MATCH($B187,Table14[SAPNo],0),3),"")</f>
        <v>Round 1613 CT418  0.018" (S)</v>
      </c>
      <c r="D187" s="306"/>
      <c r="E187" s="305">
        <v>9</v>
      </c>
      <c r="F187" s="305"/>
      <c r="G187" s="306" t="s">
        <v>1152</v>
      </c>
      <c r="H187" s="306">
        <v>13913122</v>
      </c>
      <c r="I187" s="306" t="s">
        <v>1153</v>
      </c>
      <c r="J187" s="248"/>
      <c r="K187" s="248"/>
      <c r="M187" s="248"/>
      <c r="Q187" s="310">
        <v>1165840</v>
      </c>
      <c r="R187" s="10"/>
      <c r="S187" s="313"/>
      <c r="W187" s="42">
        <v>1165840</v>
      </c>
      <c r="X187" s="116"/>
      <c r="Y187" s="116"/>
      <c r="Z187" s="116"/>
      <c r="AA187" s="391"/>
      <c r="AF187">
        <v>9</v>
      </c>
      <c r="AS187" s="3">
        <v>1165840</v>
      </c>
      <c r="AT187" s="10"/>
      <c r="AU187" s="116"/>
      <c r="AV187" s="6">
        <v>0</v>
      </c>
      <c r="AW187" s="116">
        <v>0</v>
      </c>
      <c r="AX187" s="10">
        <v>0</v>
      </c>
      <c r="AY187" s="10"/>
      <c r="AZ187" s="116"/>
    </row>
    <row r="188" spans="1:52" x14ac:dyDescent="0.25">
      <c r="A188" s="308">
        <v>45216</v>
      </c>
      <c r="B188" s="305">
        <v>1130197</v>
      </c>
      <c r="C188" s="412" t="str">
        <f>IFERROR(INDEX(Table14[],MATCH($B188,Table14[SAPNo],0),3),"")</f>
        <v>Round 1608 CT182  0.018" (S)</v>
      </c>
      <c r="D188" s="306"/>
      <c r="E188" s="305">
        <v>8</v>
      </c>
      <c r="F188" s="305"/>
      <c r="G188" s="306" t="s">
        <v>1152</v>
      </c>
      <c r="H188" s="306">
        <v>13913122</v>
      </c>
      <c r="I188" s="306" t="s">
        <v>1153</v>
      </c>
      <c r="J188" s="248"/>
      <c r="K188" s="248"/>
      <c r="M188" s="248"/>
      <c r="Q188" s="310">
        <v>1133896</v>
      </c>
      <c r="R188" s="10">
        <v>82</v>
      </c>
      <c r="S188" s="313"/>
      <c r="W188" s="42">
        <v>1133896</v>
      </c>
      <c r="X188" s="116"/>
      <c r="Y188" s="116"/>
      <c r="Z188" s="116"/>
      <c r="AA188" s="410">
        <f>9+30</f>
        <v>39</v>
      </c>
      <c r="AF188">
        <v>8</v>
      </c>
      <c r="AS188" s="3">
        <v>1133896</v>
      </c>
      <c r="AT188" s="10"/>
      <c r="AU188" s="116"/>
      <c r="AV188" s="6">
        <v>0</v>
      </c>
      <c r="AW188" s="116">
        <v>3</v>
      </c>
      <c r="AX188" s="10">
        <v>0</v>
      </c>
      <c r="AY188" s="10"/>
      <c r="AZ188" s="116"/>
    </row>
    <row r="189" spans="1:52" x14ac:dyDescent="0.25">
      <c r="A189" s="308">
        <v>45216</v>
      </c>
      <c r="B189" s="305">
        <v>418525</v>
      </c>
      <c r="C189" s="412" t="str">
        <f>IFERROR(INDEX(Table14[],MATCH($B189,Table14[SAPNo],0),3),"")</f>
        <v>Drop In 1308 CT31   (B)</v>
      </c>
      <c r="D189" s="306"/>
      <c r="E189" s="305">
        <v>8</v>
      </c>
      <c r="F189" s="305"/>
      <c r="G189" s="306" t="s">
        <v>1152</v>
      </c>
      <c r="H189" s="306">
        <v>13913122</v>
      </c>
      <c r="I189" s="306" t="s">
        <v>1153</v>
      </c>
      <c r="J189" s="248"/>
      <c r="K189" s="248"/>
      <c r="M189" s="248"/>
      <c r="Q189" s="310">
        <v>1130194</v>
      </c>
      <c r="R189" s="10">
        <v>27</v>
      </c>
      <c r="S189" s="313"/>
      <c r="W189" s="42">
        <v>1130194</v>
      </c>
      <c r="X189" s="116"/>
      <c r="Y189" s="116"/>
      <c r="Z189" s="116"/>
      <c r="AA189" s="391"/>
      <c r="AF189">
        <v>8</v>
      </c>
      <c r="AS189" s="3">
        <v>1130194</v>
      </c>
      <c r="AT189" s="10"/>
      <c r="AU189" s="116"/>
      <c r="AV189" s="6">
        <v>0</v>
      </c>
      <c r="AW189" s="116">
        <v>0</v>
      </c>
      <c r="AX189" s="10">
        <v>28</v>
      </c>
      <c r="AY189" s="10"/>
      <c r="AZ189" s="116"/>
    </row>
    <row r="190" spans="1:52" x14ac:dyDescent="0.25">
      <c r="A190" s="308">
        <v>45216</v>
      </c>
      <c r="B190" s="305">
        <v>1130198</v>
      </c>
      <c r="C190" s="412" t="str">
        <f>IFERROR(INDEX(Table14[],MATCH($B190,Table14[SAPNo],0),3),"")</f>
        <v>Round 1613 CT182  0.018" (S)</v>
      </c>
      <c r="D190" s="306"/>
      <c r="E190" s="305">
        <v>77</v>
      </c>
      <c r="F190" s="305"/>
      <c r="G190" s="306" t="s">
        <v>1152</v>
      </c>
      <c r="H190" s="306">
        <v>13913122</v>
      </c>
      <c r="I190" s="306" t="s">
        <v>1153</v>
      </c>
      <c r="J190" s="248"/>
      <c r="K190" s="248"/>
      <c r="M190" s="248"/>
      <c r="Q190" s="310">
        <v>1217988</v>
      </c>
      <c r="R190" s="10"/>
      <c r="S190" s="313"/>
      <c r="W190" s="42">
        <v>1217988</v>
      </c>
      <c r="X190" s="116"/>
      <c r="Y190" s="116"/>
      <c r="Z190" s="116"/>
      <c r="AA190" s="391"/>
      <c r="AF190">
        <v>77</v>
      </c>
      <c r="AS190" s="3">
        <v>1217988</v>
      </c>
      <c r="AT190" s="10"/>
      <c r="AU190" s="116"/>
      <c r="AV190" s="6">
        <v>0</v>
      </c>
      <c r="AW190" s="116">
        <v>0</v>
      </c>
      <c r="AX190" s="10">
        <v>0</v>
      </c>
      <c r="AY190" s="10"/>
      <c r="AZ190" s="116"/>
    </row>
    <row r="191" spans="1:52" x14ac:dyDescent="0.25">
      <c r="A191" s="308">
        <v>45216</v>
      </c>
      <c r="B191" s="305">
        <v>1130200</v>
      </c>
      <c r="C191" s="412" t="str">
        <f>IFERROR(INDEX(Table14[],MATCH($B191,Table14[SAPNo],0),3),"")</f>
        <v>Round 1913 CT182  0.018" (S)</v>
      </c>
      <c r="D191" s="306"/>
      <c r="E191" s="305">
        <v>24</v>
      </c>
      <c r="F191" s="305"/>
      <c r="G191" s="306" t="s">
        <v>1152</v>
      </c>
      <c r="H191" s="306">
        <v>13913122</v>
      </c>
      <c r="I191" s="306" t="s">
        <v>1153</v>
      </c>
      <c r="J191" s="248"/>
      <c r="K191" s="248"/>
      <c r="M191" s="248"/>
      <c r="Q191" s="310">
        <v>1209333</v>
      </c>
      <c r="R191" s="10">
        <v>44</v>
      </c>
      <c r="S191" s="313"/>
      <c r="W191" s="387">
        <v>1209333</v>
      </c>
      <c r="X191" s="116"/>
      <c r="Y191" s="116"/>
      <c r="Z191" s="116"/>
      <c r="AA191" s="391"/>
      <c r="AF191">
        <v>24</v>
      </c>
      <c r="AS191" s="258">
        <v>1209333</v>
      </c>
      <c r="AT191" s="10"/>
      <c r="AU191" s="116"/>
      <c r="AV191" s="6">
        <v>0</v>
      </c>
      <c r="AW191" s="116">
        <v>0</v>
      </c>
      <c r="AX191" s="10">
        <v>0</v>
      </c>
      <c r="AY191" s="10"/>
      <c r="AZ191" s="116"/>
    </row>
    <row r="192" spans="1:52" x14ac:dyDescent="0.25">
      <c r="A192" s="308">
        <v>45216</v>
      </c>
      <c r="B192" s="305">
        <v>1100741</v>
      </c>
      <c r="C192" s="412" t="str">
        <f>IFERROR(INDEX(Table14[],MATCH($B192,Table14[SAPNo],0),3),"")</f>
        <v>Round 1613 CT418  0.018" (S)</v>
      </c>
      <c r="D192" s="306"/>
      <c r="E192" s="305">
        <v>10</v>
      </c>
      <c r="F192" s="305"/>
      <c r="G192" s="306" t="s">
        <v>1154</v>
      </c>
      <c r="H192" s="306">
        <v>14064448</v>
      </c>
      <c r="I192" s="306" t="s">
        <v>1092</v>
      </c>
      <c r="J192" s="248"/>
      <c r="K192" s="248"/>
      <c r="M192" s="248"/>
      <c r="Q192" s="312">
        <v>1050703</v>
      </c>
      <c r="R192" s="290"/>
      <c r="S192" s="315">
        <v>30</v>
      </c>
      <c r="W192" s="388">
        <v>1050703</v>
      </c>
      <c r="X192" s="289"/>
      <c r="Y192" s="289"/>
      <c r="Z192" s="289"/>
      <c r="AA192" s="392"/>
      <c r="AF192">
        <v>10</v>
      </c>
      <c r="AS192" s="461">
        <v>1050703</v>
      </c>
      <c r="AT192" s="10"/>
      <c r="AU192" s="289"/>
      <c r="AV192" s="6">
        <v>0</v>
      </c>
      <c r="AW192" s="116">
        <v>0</v>
      </c>
      <c r="AX192" s="10">
        <v>30</v>
      </c>
      <c r="AY192" s="10"/>
      <c r="AZ192" s="116"/>
    </row>
    <row r="193" spans="1:52" x14ac:dyDescent="0.25">
      <c r="A193" s="308">
        <v>45216</v>
      </c>
      <c r="B193" s="305">
        <v>1112229</v>
      </c>
      <c r="C193" s="412" t="str">
        <f>IFERROR(INDEX(Table14[],MATCH($B193,Table14[SAPNo],0),3),"")</f>
        <v>1613 CT147 18C</v>
      </c>
      <c r="D193" s="306"/>
      <c r="E193" s="305">
        <v>30</v>
      </c>
      <c r="F193" s="305"/>
      <c r="G193" s="306" t="s">
        <v>1154</v>
      </c>
      <c r="H193" s="306">
        <v>14064448</v>
      </c>
      <c r="I193" s="306" t="s">
        <v>1092</v>
      </c>
      <c r="J193" s="248"/>
      <c r="K193" s="248"/>
      <c r="M193" s="248"/>
      <c r="Q193" s="310">
        <v>1233855</v>
      </c>
      <c r="R193" s="10"/>
      <c r="S193" s="313"/>
      <c r="W193" s="387">
        <v>1233855</v>
      </c>
      <c r="X193" s="116"/>
      <c r="Y193" s="116"/>
      <c r="Z193" s="116"/>
      <c r="AA193" s="391"/>
      <c r="AF193">
        <v>30</v>
      </c>
      <c r="AS193" s="258">
        <v>1233855</v>
      </c>
      <c r="AT193" s="10"/>
      <c r="AU193" s="116"/>
      <c r="AV193" s="6">
        <v>0</v>
      </c>
      <c r="AW193" s="116">
        <v>0</v>
      </c>
      <c r="AX193" s="10">
        <v>0</v>
      </c>
      <c r="AY193" s="10"/>
      <c r="AZ193" s="116"/>
    </row>
    <row r="194" spans="1:52" x14ac:dyDescent="0.25">
      <c r="A194" s="308">
        <v>45216</v>
      </c>
      <c r="B194" s="305">
        <v>1130196</v>
      </c>
      <c r="C194" s="412" t="str">
        <f>IFERROR(INDEX(Table14[],MATCH($B194,Table14[SAPNo],0),3),"")</f>
        <v>Round 1313 CT182  0.018" (S)</v>
      </c>
      <c r="D194" s="306"/>
      <c r="E194" s="305">
        <v>22</v>
      </c>
      <c r="F194" s="305"/>
      <c r="G194" s="306" t="s">
        <v>1154</v>
      </c>
      <c r="H194" s="306">
        <v>14064448</v>
      </c>
      <c r="I194" s="306" t="s">
        <v>1092</v>
      </c>
      <c r="J194" s="248"/>
      <c r="K194" s="248"/>
      <c r="M194" s="248"/>
      <c r="Q194" s="310">
        <v>1208601</v>
      </c>
      <c r="R194" s="10">
        <v>54</v>
      </c>
      <c r="S194" s="313"/>
      <c r="W194" s="387">
        <v>1208601</v>
      </c>
      <c r="X194" s="116"/>
      <c r="Y194" s="116"/>
      <c r="Z194" s="116"/>
      <c r="AA194" s="391"/>
      <c r="AF194">
        <v>22</v>
      </c>
      <c r="AS194" s="258">
        <v>1208601</v>
      </c>
      <c r="AT194" s="10"/>
      <c r="AU194" s="116"/>
      <c r="AV194" s="6">
        <v>0</v>
      </c>
      <c r="AW194" s="116">
        <v>0</v>
      </c>
      <c r="AX194" s="10">
        <v>137</v>
      </c>
      <c r="AY194" s="10"/>
      <c r="AZ194" s="116"/>
    </row>
    <row r="195" spans="1:52" x14ac:dyDescent="0.25">
      <c r="A195" s="308">
        <v>45216</v>
      </c>
      <c r="B195" s="305">
        <v>871781</v>
      </c>
      <c r="C195" s="412" t="str">
        <f>IFERROR(INDEX(Table14[],MATCH($B195,Table14[SAPNo],0),3),"")</f>
        <v>Round 1313 CT200  0.018" (B)</v>
      </c>
      <c r="D195" s="306"/>
      <c r="E195" s="305">
        <v>5</v>
      </c>
      <c r="F195" s="305"/>
      <c r="G195" s="306" t="s">
        <v>1154</v>
      </c>
      <c r="H195" s="306">
        <v>14064448</v>
      </c>
      <c r="I195" s="306" t="s">
        <v>1092</v>
      </c>
      <c r="J195" s="248"/>
      <c r="K195" s="248"/>
      <c r="M195" s="248"/>
      <c r="Q195" s="310">
        <v>1235963</v>
      </c>
      <c r="R195" s="10">
        <v>25</v>
      </c>
      <c r="S195" s="313"/>
      <c r="W195" s="387">
        <v>1235963</v>
      </c>
      <c r="X195" s="116"/>
      <c r="Y195" s="116"/>
      <c r="Z195" s="116"/>
      <c r="AA195" s="391"/>
      <c r="AF195">
        <v>5</v>
      </c>
      <c r="AS195" s="258">
        <v>1235963</v>
      </c>
      <c r="AT195" s="10"/>
      <c r="AU195" s="116"/>
      <c r="AV195" s="6">
        <v>0</v>
      </c>
      <c r="AW195" s="116">
        <v>0</v>
      </c>
      <c r="AX195" s="10">
        <v>25</v>
      </c>
      <c r="AY195" s="10"/>
      <c r="AZ195" s="116"/>
    </row>
    <row r="196" spans="1:52" x14ac:dyDescent="0.25">
      <c r="A196" s="320">
        <v>45216</v>
      </c>
      <c r="B196" s="321">
        <v>1209410</v>
      </c>
      <c r="C196" s="413" t="str">
        <f>IFERROR(INDEX(Table14[],MATCH($B196,Table14[SAPNo],0),3),"")</f>
        <v>1613 CT430MV3 U TBO</v>
      </c>
      <c r="D196" s="306"/>
      <c r="E196" s="321">
        <v>10</v>
      </c>
      <c r="F196" s="321"/>
      <c r="G196" s="322" t="s">
        <v>1154</v>
      </c>
      <c r="H196" s="322">
        <v>14064448</v>
      </c>
      <c r="I196" s="322" t="s">
        <v>1092</v>
      </c>
      <c r="J196" s="248"/>
      <c r="K196" s="248"/>
      <c r="M196" s="248"/>
      <c r="Q196" s="310">
        <v>1152018</v>
      </c>
      <c r="R196" s="10">
        <v>31</v>
      </c>
      <c r="S196" s="313"/>
      <c r="W196" s="387">
        <v>1152018</v>
      </c>
      <c r="X196" s="116"/>
      <c r="Y196" s="116"/>
      <c r="Z196" s="116"/>
      <c r="AA196" s="391"/>
      <c r="AF196">
        <v>10</v>
      </c>
      <c r="AS196" s="258">
        <v>1152018</v>
      </c>
      <c r="AT196" s="10"/>
      <c r="AU196" s="116"/>
      <c r="AV196" s="6">
        <v>0</v>
      </c>
      <c r="AW196" s="116">
        <v>0</v>
      </c>
      <c r="AX196" s="10">
        <v>0</v>
      </c>
      <c r="AY196" s="10"/>
      <c r="AZ196" s="116"/>
    </row>
    <row r="197" spans="1:52" x14ac:dyDescent="0.25">
      <c r="A197" s="308">
        <v>45217</v>
      </c>
      <c r="B197" s="305">
        <v>1130198</v>
      </c>
      <c r="C197" s="412" t="str">
        <f>IFERROR(INDEX(Table14[],MATCH($B197,Table14[SAPNo],0),3),"")</f>
        <v>Round 1613 CT182  0.018" (S)</v>
      </c>
      <c r="D197" s="306"/>
      <c r="E197" s="305">
        <v>77</v>
      </c>
      <c r="F197" s="305"/>
      <c r="G197" s="306" t="s">
        <v>1155</v>
      </c>
      <c r="H197" s="306">
        <v>13886502</v>
      </c>
      <c r="I197" s="306" t="s">
        <v>1153</v>
      </c>
      <c r="J197" s="248"/>
      <c r="K197" s="248"/>
      <c r="M197" s="248"/>
      <c r="Q197" s="310">
        <v>1219562</v>
      </c>
      <c r="R197" s="10">
        <f>77+205</f>
        <v>282</v>
      </c>
      <c r="S197" s="313"/>
      <c r="W197" s="387">
        <v>1219562</v>
      </c>
      <c r="X197" s="116"/>
      <c r="Y197" s="116"/>
      <c r="Z197" s="116"/>
      <c r="AA197" s="391"/>
      <c r="AF197">
        <v>77</v>
      </c>
      <c r="AS197" s="258">
        <v>1219562</v>
      </c>
      <c r="AT197" s="10"/>
      <c r="AU197" s="116"/>
      <c r="AV197" s="6">
        <v>0</v>
      </c>
      <c r="AW197" s="116">
        <v>0</v>
      </c>
      <c r="AX197" s="10">
        <v>82</v>
      </c>
      <c r="AY197" s="10"/>
      <c r="AZ197" s="116"/>
    </row>
    <row r="198" spans="1:52" x14ac:dyDescent="0.25">
      <c r="A198" s="308">
        <v>45217</v>
      </c>
      <c r="B198" s="305">
        <v>1100741</v>
      </c>
      <c r="C198" s="412" t="str">
        <f>IFERROR(INDEX(Table14[],MATCH($B198,Table14[SAPNo],0),3),"")</f>
        <v>Round 1613 CT418  0.018" (S)</v>
      </c>
      <c r="D198" s="306"/>
      <c r="E198" s="305">
        <v>9</v>
      </c>
      <c r="F198" s="305"/>
      <c r="G198" s="306" t="s">
        <v>1155</v>
      </c>
      <c r="H198" s="306">
        <v>13886502</v>
      </c>
      <c r="I198" s="306" t="s">
        <v>1153</v>
      </c>
      <c r="J198" s="248"/>
      <c r="K198" s="248"/>
      <c r="M198" s="248"/>
      <c r="Q198" s="310">
        <v>1219561</v>
      </c>
      <c r="R198" s="10">
        <v>32</v>
      </c>
      <c r="S198" s="313"/>
      <c r="W198" s="387">
        <v>1219561</v>
      </c>
      <c r="X198" s="116"/>
      <c r="Y198" s="116"/>
      <c r="Z198" s="116"/>
      <c r="AA198" s="391"/>
      <c r="AF198">
        <v>9</v>
      </c>
      <c r="AS198" s="258">
        <v>1219561</v>
      </c>
      <c r="AT198" s="10"/>
      <c r="AU198" s="116"/>
      <c r="AV198" s="6">
        <v>0</v>
      </c>
      <c r="AW198" s="116">
        <v>0</v>
      </c>
      <c r="AX198" s="10">
        <f>20</f>
        <v>20</v>
      </c>
      <c r="AY198" s="10"/>
      <c r="AZ198" s="116"/>
    </row>
    <row r="199" spans="1:52" x14ac:dyDescent="0.25">
      <c r="A199" s="308">
        <v>45217</v>
      </c>
      <c r="B199" s="305">
        <v>418525</v>
      </c>
      <c r="C199" s="412" t="str">
        <f>IFERROR(INDEX(Table14[],MATCH($B199,Table14[SAPNo],0),3),"")</f>
        <v>Drop In 1308 CT31   (B)</v>
      </c>
      <c r="D199" s="306"/>
      <c r="E199" s="305">
        <v>8</v>
      </c>
      <c r="F199" s="305"/>
      <c r="G199" s="306" t="s">
        <v>1155</v>
      </c>
      <c r="H199" s="306">
        <v>13886502</v>
      </c>
      <c r="I199" s="306" t="s">
        <v>1153</v>
      </c>
      <c r="J199" s="248"/>
      <c r="K199" s="248"/>
      <c r="M199" s="248"/>
      <c r="Q199" s="310">
        <v>1223172</v>
      </c>
      <c r="R199" s="10">
        <v>30</v>
      </c>
      <c r="S199" s="313"/>
      <c r="W199" s="42">
        <v>1223172</v>
      </c>
      <c r="X199" s="116"/>
      <c r="Y199" s="116"/>
      <c r="Z199" s="116"/>
      <c r="AA199" s="391"/>
      <c r="AF199">
        <v>8</v>
      </c>
      <c r="AS199" s="3">
        <v>1223172</v>
      </c>
      <c r="AT199" s="10"/>
      <c r="AU199" s="116"/>
      <c r="AV199" s="6">
        <v>0</v>
      </c>
      <c r="AW199" s="116">
        <v>0</v>
      </c>
      <c r="AX199" s="10">
        <v>30</v>
      </c>
      <c r="AY199" s="10"/>
      <c r="AZ199" s="116"/>
    </row>
    <row r="200" spans="1:52" x14ac:dyDescent="0.25">
      <c r="A200" s="308">
        <v>45217</v>
      </c>
      <c r="B200" s="305">
        <v>1130197</v>
      </c>
      <c r="C200" s="412" t="str">
        <f>IFERROR(INDEX(Table14[],MATCH($B200,Table14[SAPNo],0),3),"")</f>
        <v>Round 1608 CT182  0.018" (S)</v>
      </c>
      <c r="D200" s="306"/>
      <c r="E200" s="305">
        <v>8</v>
      </c>
      <c r="F200" s="305"/>
      <c r="G200" s="306" t="s">
        <v>1155</v>
      </c>
      <c r="H200" s="306">
        <v>13886502</v>
      </c>
      <c r="I200" s="306" t="s">
        <v>1153</v>
      </c>
      <c r="J200" s="248"/>
      <c r="K200" s="248"/>
      <c r="M200" s="248"/>
      <c r="Q200" s="310">
        <v>1234679</v>
      </c>
      <c r="R200" s="10">
        <v>50</v>
      </c>
      <c r="S200" s="313"/>
      <c r="W200" s="387">
        <v>1234679</v>
      </c>
      <c r="X200" s="116"/>
      <c r="Y200" s="116"/>
      <c r="Z200" s="116"/>
      <c r="AA200" s="391"/>
      <c r="AF200">
        <v>8</v>
      </c>
      <c r="AS200" s="258">
        <v>1234679</v>
      </c>
      <c r="AT200" s="10">
        <v>0</v>
      </c>
      <c r="AU200" s="116"/>
      <c r="AV200" s="6">
        <v>0</v>
      </c>
      <c r="AW200" s="116">
        <v>0</v>
      </c>
      <c r="AX200" s="10">
        <v>26</v>
      </c>
      <c r="AY200" s="10"/>
      <c r="AZ200" s="116"/>
    </row>
    <row r="201" spans="1:52" x14ac:dyDescent="0.25">
      <c r="A201" s="308">
        <v>45217</v>
      </c>
      <c r="B201" s="305">
        <v>1130200</v>
      </c>
      <c r="C201" s="412" t="str">
        <f>IFERROR(INDEX(Table14[],MATCH($B201,Table14[SAPNo],0),3),"")</f>
        <v>Round 1913 CT182  0.018" (S)</v>
      </c>
      <c r="D201" s="306"/>
      <c r="E201" s="305">
        <v>24</v>
      </c>
      <c r="F201" s="305"/>
      <c r="G201" s="306" t="s">
        <v>1155</v>
      </c>
      <c r="H201" s="306">
        <v>13886502</v>
      </c>
      <c r="I201" s="306" t="s">
        <v>1153</v>
      </c>
      <c r="J201" s="248"/>
      <c r="K201" s="248"/>
      <c r="M201" s="248"/>
      <c r="Q201" s="310">
        <v>1226868</v>
      </c>
      <c r="R201" s="10">
        <v>17</v>
      </c>
      <c r="S201" s="313"/>
      <c r="W201" s="387">
        <v>1226868</v>
      </c>
      <c r="X201" s="116"/>
      <c r="Y201" s="116"/>
      <c r="Z201" s="116"/>
      <c r="AA201" s="391"/>
      <c r="AF201">
        <v>24</v>
      </c>
      <c r="AS201" s="258">
        <v>1226868</v>
      </c>
      <c r="AT201" s="10"/>
      <c r="AU201" s="116"/>
      <c r="AV201" s="6">
        <v>0</v>
      </c>
      <c r="AW201" s="116">
        <v>0</v>
      </c>
      <c r="AX201" s="10">
        <v>17</v>
      </c>
      <c r="AY201" s="10"/>
      <c r="AZ201" s="116"/>
    </row>
    <row r="202" spans="1:52" x14ac:dyDescent="0.25">
      <c r="A202" s="308">
        <v>45217</v>
      </c>
      <c r="B202" s="305">
        <v>1100741</v>
      </c>
      <c r="C202" s="412" t="str">
        <f>IFERROR(INDEX(Table14[],MATCH($B202,Table14[SAPNo],0),3),"")</f>
        <v>Round 1613 CT418  0.018" (S)</v>
      </c>
      <c r="D202" s="306"/>
      <c r="E202" s="305">
        <v>9</v>
      </c>
      <c r="F202" s="305"/>
      <c r="G202" s="306" t="s">
        <v>1156</v>
      </c>
      <c r="H202" s="306">
        <v>13912279</v>
      </c>
      <c r="I202" s="306" t="s">
        <v>1153</v>
      </c>
      <c r="J202" s="248"/>
      <c r="K202" s="248"/>
      <c r="M202" s="248"/>
      <c r="Q202" s="310">
        <v>1146737</v>
      </c>
      <c r="R202" s="10">
        <v>40</v>
      </c>
      <c r="S202" s="313"/>
      <c r="W202" s="387">
        <v>1146737</v>
      </c>
      <c r="X202" s="116"/>
      <c r="Y202" s="116"/>
      <c r="Z202" s="116"/>
      <c r="AA202" s="391"/>
      <c r="AF202">
        <v>9</v>
      </c>
      <c r="AS202" s="258">
        <v>1146737</v>
      </c>
      <c r="AT202" s="10"/>
      <c r="AU202" s="116"/>
      <c r="AV202" s="6">
        <v>0</v>
      </c>
      <c r="AW202" s="116">
        <v>0</v>
      </c>
      <c r="AX202" s="10">
        <v>637</v>
      </c>
      <c r="AY202" s="10"/>
      <c r="AZ202" s="116"/>
    </row>
    <row r="203" spans="1:52" x14ac:dyDescent="0.25">
      <c r="A203" s="308">
        <v>45217</v>
      </c>
      <c r="B203" s="305">
        <v>1130198</v>
      </c>
      <c r="C203" s="412" t="str">
        <f>IFERROR(INDEX(Table14[],MATCH($B203,Table14[SAPNo],0),3),"")</f>
        <v>Round 1613 CT182  0.018" (S)</v>
      </c>
      <c r="D203" s="306"/>
      <c r="E203" s="305">
        <v>77</v>
      </c>
      <c r="F203" s="305"/>
      <c r="G203" s="306" t="s">
        <v>1156</v>
      </c>
      <c r="H203" s="306">
        <v>13912279</v>
      </c>
      <c r="I203" s="306" t="s">
        <v>1153</v>
      </c>
      <c r="J203" s="248"/>
      <c r="K203" s="248"/>
      <c r="M203" s="248"/>
      <c r="Q203" s="310">
        <v>1165786</v>
      </c>
      <c r="R203" s="10"/>
      <c r="S203" s="313"/>
      <c r="W203" s="387">
        <v>1165786</v>
      </c>
      <c r="X203" s="116"/>
      <c r="Y203" s="116"/>
      <c r="Z203" s="116"/>
      <c r="AA203" s="391"/>
      <c r="AF203">
        <v>77</v>
      </c>
      <c r="AS203" s="258">
        <v>1165786</v>
      </c>
      <c r="AT203" s="10"/>
      <c r="AU203" s="116"/>
      <c r="AV203" s="6">
        <v>0</v>
      </c>
      <c r="AW203" s="116">
        <v>0</v>
      </c>
      <c r="AX203" s="10">
        <v>0</v>
      </c>
      <c r="AY203" s="10"/>
      <c r="AZ203" s="116"/>
    </row>
    <row r="204" spans="1:52" x14ac:dyDescent="0.25">
      <c r="A204" s="308">
        <v>45217</v>
      </c>
      <c r="B204" s="305">
        <v>1130200</v>
      </c>
      <c r="C204" s="412" t="str">
        <f>IFERROR(INDEX(Table14[],MATCH($B204,Table14[SAPNo],0),3),"")</f>
        <v>Round 1913 CT182  0.018" (S)</v>
      </c>
      <c r="D204" s="306"/>
      <c r="E204" s="305">
        <v>24</v>
      </c>
      <c r="F204" s="305"/>
      <c r="G204" s="306" t="s">
        <v>1156</v>
      </c>
      <c r="H204" s="306">
        <v>13912279</v>
      </c>
      <c r="I204" s="306" t="s">
        <v>1153</v>
      </c>
      <c r="J204" s="248"/>
      <c r="K204" s="248"/>
      <c r="M204" s="248"/>
      <c r="Q204" s="310">
        <v>1165788</v>
      </c>
      <c r="R204" s="10"/>
      <c r="S204" s="313"/>
      <c r="W204" s="387">
        <v>1165788</v>
      </c>
      <c r="X204" s="116"/>
      <c r="Y204" s="116"/>
      <c r="Z204" s="116"/>
      <c r="AA204" s="391"/>
      <c r="AF204">
        <v>24</v>
      </c>
      <c r="AS204" s="258">
        <v>1165788</v>
      </c>
      <c r="AT204" s="10"/>
      <c r="AU204" s="116"/>
      <c r="AV204" s="6">
        <v>0</v>
      </c>
      <c r="AW204" s="116">
        <v>0</v>
      </c>
      <c r="AX204" s="10">
        <v>0</v>
      </c>
      <c r="AY204" s="10"/>
      <c r="AZ204" s="116"/>
    </row>
    <row r="205" spans="1:52" x14ac:dyDescent="0.25">
      <c r="A205" s="308">
        <v>45217</v>
      </c>
      <c r="B205" s="305">
        <v>418525</v>
      </c>
      <c r="C205" s="412" t="str">
        <f>IFERROR(INDEX(Table14[],MATCH($B205,Table14[SAPNo],0),3),"")</f>
        <v>Drop In 1308 CT31   (B)</v>
      </c>
      <c r="D205" s="306"/>
      <c r="E205" s="305">
        <v>8</v>
      </c>
      <c r="F205" s="305"/>
      <c r="G205" s="306" t="s">
        <v>1156</v>
      </c>
      <c r="H205" s="306">
        <v>13912279</v>
      </c>
      <c r="I205" s="306" t="s">
        <v>1153</v>
      </c>
      <c r="J205" s="248"/>
      <c r="K205" s="248"/>
      <c r="M205" s="248"/>
      <c r="Q205" s="310">
        <v>1165785</v>
      </c>
      <c r="R205" s="10"/>
      <c r="S205" s="313"/>
      <c r="W205" s="387">
        <v>1165785</v>
      </c>
      <c r="X205" s="116"/>
      <c r="Y205" s="116"/>
      <c r="Z205" s="116"/>
      <c r="AA205" s="391"/>
      <c r="AF205">
        <v>8</v>
      </c>
      <c r="AS205" s="258">
        <v>1165785</v>
      </c>
      <c r="AT205" s="10"/>
      <c r="AU205" s="116"/>
      <c r="AV205" s="6">
        <v>0</v>
      </c>
      <c r="AW205" s="116">
        <v>0</v>
      </c>
      <c r="AX205" s="10">
        <v>0</v>
      </c>
      <c r="AY205" s="10"/>
      <c r="AZ205" s="116"/>
    </row>
    <row r="206" spans="1:52" x14ac:dyDescent="0.25">
      <c r="A206" s="308">
        <v>45217</v>
      </c>
      <c r="B206" s="305">
        <v>1130197</v>
      </c>
      <c r="C206" s="412" t="str">
        <f>IFERROR(INDEX(Table14[],MATCH($B206,Table14[SAPNo],0),3),"")</f>
        <v>Round 1608 CT182  0.018" (S)</v>
      </c>
      <c r="D206" s="306"/>
      <c r="E206" s="305">
        <v>8</v>
      </c>
      <c r="F206" s="305"/>
      <c r="G206" s="306" t="s">
        <v>1156</v>
      </c>
      <c r="H206" s="306">
        <v>13912279</v>
      </c>
      <c r="I206" s="306" t="s">
        <v>1153</v>
      </c>
      <c r="J206" s="248"/>
      <c r="K206" s="248"/>
      <c r="M206" s="248"/>
      <c r="Q206" s="310">
        <v>1141583</v>
      </c>
      <c r="R206" s="10"/>
      <c r="S206" s="313"/>
      <c r="W206" s="387">
        <v>1141583</v>
      </c>
      <c r="X206" s="116"/>
      <c r="Y206" s="116"/>
      <c r="Z206" s="116"/>
      <c r="AA206" s="391">
        <v>47</v>
      </c>
      <c r="AF206">
        <v>8</v>
      </c>
      <c r="AS206" s="258">
        <v>1141583</v>
      </c>
      <c r="AT206" s="10"/>
      <c r="AU206" s="116"/>
      <c r="AV206" s="6">
        <v>0</v>
      </c>
      <c r="AW206" s="116">
        <v>47</v>
      </c>
      <c r="AX206" s="10">
        <v>0</v>
      </c>
      <c r="AY206" s="10"/>
      <c r="AZ206" s="116"/>
    </row>
    <row r="207" spans="1:52" x14ac:dyDescent="0.25">
      <c r="A207" s="308">
        <v>45217</v>
      </c>
      <c r="B207" s="305">
        <v>1136984</v>
      </c>
      <c r="C207" s="412" t="str">
        <f>IFERROR(INDEX(Table14[],MATCH($B207,Table14[SAPNo],0),3),"")</f>
        <v>DBLMCHT 1313 CT182DM  10C (S)</v>
      </c>
      <c r="D207" s="306"/>
      <c r="E207" s="305">
        <v>13</v>
      </c>
      <c r="F207" s="305"/>
      <c r="G207" s="306" t="s">
        <v>1157</v>
      </c>
      <c r="H207" s="306">
        <v>14042323</v>
      </c>
      <c r="I207" s="306" t="s">
        <v>1158</v>
      </c>
      <c r="J207" s="248"/>
      <c r="K207" s="248"/>
      <c r="M207" s="248"/>
      <c r="Q207" s="310">
        <v>1146742</v>
      </c>
      <c r="R207" s="10">
        <v>100</v>
      </c>
      <c r="S207" s="313"/>
      <c r="W207" s="387">
        <v>1146742</v>
      </c>
      <c r="X207" s="116"/>
      <c r="Y207" s="116"/>
      <c r="Z207" s="116"/>
      <c r="AA207" s="391"/>
      <c r="AF207">
        <v>13</v>
      </c>
      <c r="AS207" s="258">
        <v>1146742</v>
      </c>
      <c r="AT207" s="10"/>
      <c r="AU207" s="116"/>
      <c r="AV207" s="6">
        <v>0</v>
      </c>
      <c r="AW207" s="116">
        <v>0</v>
      </c>
      <c r="AX207" s="10">
        <v>63</v>
      </c>
      <c r="AY207" s="10"/>
      <c r="AZ207" s="116"/>
    </row>
    <row r="208" spans="1:52" x14ac:dyDescent="0.25">
      <c r="A208" s="308">
        <v>45217</v>
      </c>
      <c r="B208" s="305">
        <v>1152018</v>
      </c>
      <c r="C208" s="412" t="str">
        <f>IFERROR(INDEX(Table14[],MATCH($B208,Table14[SAPNo],0),3),"")</f>
        <v>1313 CT418 U</v>
      </c>
      <c r="D208" s="306"/>
      <c r="E208" s="305">
        <v>7</v>
      </c>
      <c r="F208" s="305"/>
      <c r="G208" s="306" t="s">
        <v>1157</v>
      </c>
      <c r="H208" s="306">
        <v>14042323</v>
      </c>
      <c r="I208" s="306" t="s">
        <v>1158</v>
      </c>
      <c r="J208" s="248"/>
      <c r="K208" s="248"/>
      <c r="M208" s="248"/>
      <c r="Q208" s="310">
        <v>1244299</v>
      </c>
      <c r="R208" s="10">
        <v>10</v>
      </c>
      <c r="S208" s="313">
        <v>3</v>
      </c>
      <c r="W208" s="387">
        <v>1244299</v>
      </c>
      <c r="X208" s="116"/>
      <c r="Y208" s="116"/>
      <c r="Z208" s="116"/>
      <c r="AA208" s="391"/>
      <c r="AF208">
        <v>7</v>
      </c>
      <c r="AS208" s="258">
        <v>1244299</v>
      </c>
      <c r="AT208" s="10"/>
      <c r="AU208" s="116"/>
      <c r="AV208" s="6">
        <v>0</v>
      </c>
      <c r="AW208" s="116">
        <v>7</v>
      </c>
      <c r="AX208" s="10">
        <v>45</v>
      </c>
      <c r="AY208" s="10"/>
      <c r="AZ208" s="116"/>
    </row>
    <row r="209" spans="1:52" x14ac:dyDescent="0.25">
      <c r="A209" s="308">
        <v>45217</v>
      </c>
      <c r="B209" s="305">
        <v>1100696</v>
      </c>
      <c r="C209" s="412" t="str">
        <f>IFERROR(INDEX(Table14[],MATCH($B209,Table14[SAPNo],0),3),"")</f>
        <v>Round 1313 CT418  10C (S)</v>
      </c>
      <c r="D209" s="306"/>
      <c r="E209" s="305">
        <v>5</v>
      </c>
      <c r="F209" s="305"/>
      <c r="G209" s="306" t="s">
        <v>1157</v>
      </c>
      <c r="H209" s="306">
        <v>14042323</v>
      </c>
      <c r="I209" s="306" t="s">
        <v>1158</v>
      </c>
      <c r="J209" s="248"/>
      <c r="K209" s="248"/>
      <c r="M209" s="248"/>
      <c r="Q209" s="310">
        <v>1112229</v>
      </c>
      <c r="R209" s="10">
        <v>38</v>
      </c>
      <c r="S209" s="313"/>
      <c r="W209" s="387">
        <v>1112229</v>
      </c>
      <c r="X209" s="116"/>
      <c r="Y209" s="116"/>
      <c r="Z209" s="116"/>
      <c r="AA209" s="391"/>
      <c r="AF209">
        <v>5</v>
      </c>
      <c r="AS209" s="258">
        <v>1112229</v>
      </c>
      <c r="AT209" s="10"/>
      <c r="AU209" s="116"/>
      <c r="AV209" s="6">
        <v>0</v>
      </c>
      <c r="AW209" s="116">
        <v>0</v>
      </c>
      <c r="AX209" s="10">
        <v>49</v>
      </c>
      <c r="AY209" s="10"/>
      <c r="AZ209" s="116"/>
    </row>
    <row r="210" spans="1:52" x14ac:dyDescent="0.25">
      <c r="A210" s="308">
        <v>45217</v>
      </c>
      <c r="B210" s="305">
        <v>1104083</v>
      </c>
      <c r="C210" s="412" t="str">
        <f>IFERROR(INDEX(Table14[],MATCH($B210,Table14[SAPNo],0),3),"")</f>
        <v>1313 CT144H  10C (S)</v>
      </c>
      <c r="D210" s="306"/>
      <c r="E210" s="305">
        <v>1</v>
      </c>
      <c r="F210" s="305"/>
      <c r="G210" s="306" t="s">
        <v>1157</v>
      </c>
      <c r="H210" s="306">
        <v>14042323</v>
      </c>
      <c r="I210" s="306" t="s">
        <v>1158</v>
      </c>
      <c r="J210" s="248"/>
      <c r="K210" s="248"/>
      <c r="M210" s="248"/>
      <c r="Q210" s="310">
        <v>1228501</v>
      </c>
      <c r="R210" s="10"/>
      <c r="S210" s="313"/>
      <c r="W210" s="389">
        <v>1228501</v>
      </c>
      <c r="X210" s="116"/>
      <c r="Y210" s="116"/>
      <c r="Z210" s="116"/>
      <c r="AA210" s="391"/>
      <c r="AF210">
        <v>1</v>
      </c>
      <c r="AS210" s="258">
        <v>1228501</v>
      </c>
      <c r="AT210" s="10"/>
      <c r="AU210" s="116"/>
      <c r="AV210" s="6">
        <v>0</v>
      </c>
      <c r="AW210" s="116">
        <v>0</v>
      </c>
      <c r="AX210" s="10">
        <v>160</v>
      </c>
      <c r="AY210" s="10"/>
      <c r="AZ210" s="116"/>
    </row>
    <row r="211" spans="1:52" x14ac:dyDescent="0.25">
      <c r="A211" s="308">
        <v>45217</v>
      </c>
      <c r="B211" s="305">
        <v>1101509</v>
      </c>
      <c r="C211" s="412" t="str">
        <f>IFERROR(INDEX(Table14[],MATCH($B211,Table14[SAPNo],0),3),"")</f>
        <v>Short IA 8    (C)</v>
      </c>
      <c r="D211" s="306"/>
      <c r="E211" s="305">
        <v>5</v>
      </c>
      <c r="F211" s="305"/>
      <c r="G211" s="306" t="s">
        <v>1157</v>
      </c>
      <c r="H211" s="306">
        <v>14042323</v>
      </c>
      <c r="I211" s="306" t="s">
        <v>1158</v>
      </c>
      <c r="J211" s="248"/>
      <c r="K211" s="248"/>
      <c r="M211" s="248"/>
      <c r="Q211" s="310">
        <v>1228502</v>
      </c>
      <c r="R211" s="10">
        <v>39</v>
      </c>
      <c r="S211" s="313"/>
      <c r="W211" s="389">
        <v>1228502</v>
      </c>
      <c r="X211" s="116"/>
      <c r="Y211" s="116"/>
      <c r="Z211" s="116"/>
      <c r="AA211" s="391"/>
      <c r="AF211">
        <v>5</v>
      </c>
      <c r="AS211" s="258">
        <v>1228502</v>
      </c>
      <c r="AT211" s="10"/>
      <c r="AU211" s="116"/>
      <c r="AV211" s="6">
        <v>0</v>
      </c>
      <c r="AW211" s="116">
        <v>0</v>
      </c>
      <c r="AX211" s="10">
        <v>195</v>
      </c>
      <c r="AY211" s="10"/>
      <c r="AZ211" s="116"/>
    </row>
    <row r="212" spans="1:52" x14ac:dyDescent="0.25">
      <c r="A212" s="308">
        <v>45217</v>
      </c>
      <c r="B212" s="305">
        <v>418525</v>
      </c>
      <c r="C212" s="412" t="str">
        <f>IFERROR(INDEX(Table14[],MATCH($B212,Table14[SAPNo],0),3),"")</f>
        <v>Drop In 1308 CT31   (B)</v>
      </c>
      <c r="D212" s="306"/>
      <c r="E212" s="305">
        <v>6</v>
      </c>
      <c r="F212" s="305"/>
      <c r="G212" s="306" t="s">
        <v>1157</v>
      </c>
      <c r="H212" s="306">
        <v>14042323</v>
      </c>
      <c r="I212" s="306" t="s">
        <v>1158</v>
      </c>
      <c r="J212" s="248"/>
      <c r="K212" s="248"/>
      <c r="M212" s="248"/>
      <c r="Q212" s="310">
        <v>1261319</v>
      </c>
      <c r="R212" s="10"/>
      <c r="S212" s="313"/>
      <c r="W212" s="387">
        <v>1261319</v>
      </c>
      <c r="X212" s="116"/>
      <c r="Y212" s="116"/>
      <c r="Z212" s="116"/>
      <c r="AA212" s="391"/>
      <c r="AF212">
        <v>6</v>
      </c>
      <c r="AS212" s="258">
        <v>1261319</v>
      </c>
      <c r="AT212" s="10"/>
      <c r="AU212" s="116"/>
      <c r="AV212" s="6">
        <v>0</v>
      </c>
      <c r="AW212" s="116">
        <v>0</v>
      </c>
      <c r="AX212" s="10">
        <v>198</v>
      </c>
      <c r="AY212" s="10"/>
      <c r="AZ212" s="116"/>
    </row>
    <row r="213" spans="1:52" x14ac:dyDescent="0.25">
      <c r="A213" s="308">
        <v>45217</v>
      </c>
      <c r="B213" s="305">
        <v>1136984</v>
      </c>
      <c r="C213" s="412" t="str">
        <f>IFERROR(INDEX(Table14[],MATCH($B213,Table14[SAPNo],0),3),"")</f>
        <v>DBLMCHT 1313 CT182DM  10C (S)</v>
      </c>
      <c r="D213" s="306"/>
      <c r="E213" s="305">
        <v>13</v>
      </c>
      <c r="F213" s="305"/>
      <c r="G213" s="306" t="s">
        <v>1159</v>
      </c>
      <c r="H213" s="306">
        <v>14036267</v>
      </c>
      <c r="I213" s="306" t="s">
        <v>1160</v>
      </c>
      <c r="J213" s="248"/>
      <c r="K213" s="248"/>
      <c r="M213" s="248"/>
      <c r="Q213" s="310">
        <v>1238831</v>
      </c>
      <c r="R213" s="10"/>
      <c r="S213" s="313"/>
      <c r="W213" s="387">
        <v>1238831</v>
      </c>
      <c r="X213" s="116"/>
      <c r="Y213" s="116"/>
      <c r="Z213" s="116"/>
      <c r="AA213" s="391"/>
      <c r="AF213">
        <v>13</v>
      </c>
      <c r="AS213" s="258">
        <v>1238831</v>
      </c>
      <c r="AT213" s="10"/>
      <c r="AU213" s="116"/>
      <c r="AV213" s="6">
        <v>0</v>
      </c>
      <c r="AW213" s="116">
        <v>0</v>
      </c>
      <c r="AX213" s="10">
        <v>0</v>
      </c>
      <c r="AY213" s="10"/>
      <c r="AZ213" s="116"/>
    </row>
    <row r="214" spans="1:52" x14ac:dyDescent="0.25">
      <c r="A214" s="308">
        <v>45217</v>
      </c>
      <c r="B214" s="305">
        <v>418525</v>
      </c>
      <c r="C214" s="412" t="str">
        <f>IFERROR(INDEX(Table14[],MATCH($B214,Table14[SAPNo],0),3),"")</f>
        <v>Drop In 1308 CT31   (B)</v>
      </c>
      <c r="D214" s="306"/>
      <c r="E214" s="305">
        <v>6</v>
      </c>
      <c r="F214" s="305"/>
      <c r="G214" s="306" t="s">
        <v>1159</v>
      </c>
      <c r="H214" s="306">
        <v>14036267</v>
      </c>
      <c r="I214" s="306" t="s">
        <v>1160</v>
      </c>
      <c r="J214" s="248"/>
      <c r="K214" s="248"/>
      <c r="M214" s="248"/>
      <c r="Q214" s="310">
        <v>1261320</v>
      </c>
      <c r="R214" s="10"/>
      <c r="S214" s="313"/>
      <c r="W214" s="387">
        <v>1261320</v>
      </c>
      <c r="X214" s="116"/>
      <c r="Y214" s="116"/>
      <c r="Z214" s="116"/>
      <c r="AA214" s="391"/>
      <c r="AF214">
        <v>6</v>
      </c>
      <c r="AS214" s="258">
        <v>1261320</v>
      </c>
      <c r="AT214" s="10"/>
      <c r="AU214" s="116"/>
      <c r="AV214" s="6">
        <v>0</v>
      </c>
      <c r="AW214" s="116">
        <v>0</v>
      </c>
      <c r="AX214" s="10">
        <v>47</v>
      </c>
      <c r="AY214" s="10"/>
      <c r="AZ214" s="116"/>
    </row>
    <row r="215" spans="1:52" x14ac:dyDescent="0.25">
      <c r="A215" s="308">
        <v>45217</v>
      </c>
      <c r="B215" s="305">
        <v>1152018</v>
      </c>
      <c r="C215" s="412" t="str">
        <f>IFERROR(INDEX(Table14[],MATCH($B215,Table14[SAPNo],0),3),"")</f>
        <v>1313 CT418 U</v>
      </c>
      <c r="D215" s="306"/>
      <c r="E215" s="305">
        <v>7</v>
      </c>
      <c r="F215" s="305"/>
      <c r="G215" s="306" t="s">
        <v>1159</v>
      </c>
      <c r="H215" s="306">
        <v>14036267</v>
      </c>
      <c r="I215" s="306" t="s">
        <v>1160</v>
      </c>
      <c r="J215" s="248"/>
      <c r="K215" s="248"/>
      <c r="M215" s="248"/>
      <c r="Q215" s="310">
        <v>1175118</v>
      </c>
      <c r="R215" s="10"/>
      <c r="S215" s="313"/>
      <c r="W215" s="387">
        <v>1175118</v>
      </c>
      <c r="X215" s="116"/>
      <c r="Y215" s="116"/>
      <c r="Z215" s="116"/>
      <c r="AA215" s="391"/>
      <c r="AF215">
        <v>7</v>
      </c>
      <c r="AS215" s="258">
        <v>1175118</v>
      </c>
      <c r="AT215" s="10"/>
      <c r="AU215" s="116"/>
      <c r="AV215" s="6">
        <v>0</v>
      </c>
      <c r="AW215" s="116">
        <v>0</v>
      </c>
      <c r="AX215" s="10">
        <v>2</v>
      </c>
      <c r="AY215" s="10"/>
      <c r="AZ215" s="116"/>
    </row>
    <row r="216" spans="1:52" x14ac:dyDescent="0.25">
      <c r="A216" s="308">
        <v>45217</v>
      </c>
      <c r="B216" s="305">
        <v>1104083</v>
      </c>
      <c r="C216" s="412" t="str">
        <f>IFERROR(INDEX(Table14[],MATCH($B216,Table14[SAPNo],0),3),"")</f>
        <v>1313 CT144H  10C (S)</v>
      </c>
      <c r="D216" s="306"/>
      <c r="E216" s="305">
        <v>1</v>
      </c>
      <c r="F216" s="305"/>
      <c r="G216" s="306" t="s">
        <v>1159</v>
      </c>
      <c r="H216" s="306">
        <v>14036267</v>
      </c>
      <c r="I216" s="306" t="s">
        <v>1160</v>
      </c>
      <c r="J216" s="248"/>
      <c r="K216" s="248"/>
      <c r="M216" s="248"/>
      <c r="Q216" s="310">
        <v>1238832</v>
      </c>
      <c r="R216" s="10"/>
      <c r="S216" s="313"/>
      <c r="W216" s="387">
        <v>1238832</v>
      </c>
      <c r="X216" s="116"/>
      <c r="Y216" s="116"/>
      <c r="Z216" s="116"/>
      <c r="AA216" s="391"/>
      <c r="AF216">
        <v>1</v>
      </c>
      <c r="AS216" s="258">
        <v>1238832</v>
      </c>
      <c r="AT216" s="10"/>
      <c r="AU216" s="116"/>
      <c r="AV216" s="6">
        <v>0</v>
      </c>
      <c r="AW216" s="116">
        <v>0</v>
      </c>
      <c r="AX216" s="10">
        <v>1</v>
      </c>
      <c r="AY216" s="10"/>
      <c r="AZ216" s="116"/>
    </row>
    <row r="217" spans="1:52" x14ac:dyDescent="0.25">
      <c r="A217" s="308">
        <v>45217</v>
      </c>
      <c r="B217" s="305">
        <v>1101509</v>
      </c>
      <c r="C217" s="412" t="str">
        <f>IFERROR(INDEX(Table14[],MATCH($B217,Table14[SAPNo],0),3),"")</f>
        <v>Short IA 8    (C)</v>
      </c>
      <c r="D217" s="306"/>
      <c r="E217" s="305">
        <v>5</v>
      </c>
      <c r="F217" s="305"/>
      <c r="G217" s="306" t="s">
        <v>1159</v>
      </c>
      <c r="H217" s="306">
        <v>14036267</v>
      </c>
      <c r="I217" s="306" t="s">
        <v>1160</v>
      </c>
      <c r="J217" s="248"/>
      <c r="K217" s="248"/>
      <c r="M217" s="248"/>
      <c r="Q217" s="312">
        <v>1261321</v>
      </c>
      <c r="R217" s="290"/>
      <c r="S217" s="315"/>
      <c r="W217" s="387">
        <v>1261321</v>
      </c>
      <c r="X217" s="116"/>
      <c r="Y217" s="116"/>
      <c r="Z217" s="116"/>
      <c r="AA217" s="391"/>
      <c r="AF217">
        <v>5</v>
      </c>
      <c r="AS217" s="258">
        <v>1261321</v>
      </c>
      <c r="AT217" s="10"/>
      <c r="AU217" s="116"/>
      <c r="AV217" s="6">
        <v>0</v>
      </c>
      <c r="AW217" s="116">
        <v>0</v>
      </c>
      <c r="AX217" s="10">
        <v>55</v>
      </c>
      <c r="AY217" s="10"/>
      <c r="AZ217" s="116"/>
    </row>
    <row r="218" spans="1:52" x14ac:dyDescent="0.25">
      <c r="A218" s="320">
        <v>45217</v>
      </c>
      <c r="B218" s="321">
        <v>1100696</v>
      </c>
      <c r="C218" s="413" t="str">
        <f>IFERROR(INDEX(Table14[],MATCH($B218,Table14[SAPNo],0),3),"")</f>
        <v>Round 1313 CT418  10C (S)</v>
      </c>
      <c r="D218" s="306"/>
      <c r="E218" s="321">
        <v>5</v>
      </c>
      <c r="F218" s="321"/>
      <c r="G218" s="322" t="s">
        <v>1159</v>
      </c>
      <c r="H218" s="322">
        <v>14036267</v>
      </c>
      <c r="I218" s="322" t="s">
        <v>1160</v>
      </c>
      <c r="J218" s="248"/>
      <c r="K218" s="248"/>
      <c r="M218" s="248"/>
      <c r="W218" s="389">
        <v>1228503</v>
      </c>
      <c r="X218" s="116"/>
      <c r="Y218" s="116"/>
      <c r="Z218" s="116"/>
      <c r="AA218" s="391"/>
      <c r="AF218">
        <v>5</v>
      </c>
      <c r="AS218" s="258">
        <v>1228503</v>
      </c>
      <c r="AT218" s="10"/>
      <c r="AU218" s="116"/>
      <c r="AV218" s="6">
        <v>0</v>
      </c>
      <c r="AW218" s="116">
        <v>0</v>
      </c>
      <c r="AX218" s="10">
        <v>186</v>
      </c>
      <c r="AY218" s="10"/>
      <c r="AZ218" s="116"/>
    </row>
    <row r="219" spans="1:52" x14ac:dyDescent="0.25">
      <c r="A219" s="308">
        <v>45218</v>
      </c>
      <c r="B219" s="305">
        <v>647436</v>
      </c>
      <c r="C219" s="412" t="str">
        <f>IFERROR(INDEX(Table14[],MATCH($B219,Table14[SAPNo],0),3),"")</f>
        <v>Round 1613 CT200  0.018" (B)</v>
      </c>
      <c r="D219" s="306"/>
      <c r="E219" s="305">
        <v>27</v>
      </c>
      <c r="F219" s="305"/>
      <c r="G219" s="306" t="s">
        <v>1161</v>
      </c>
      <c r="H219" s="306">
        <v>13845747</v>
      </c>
      <c r="I219" s="306" t="s">
        <v>1162</v>
      </c>
      <c r="J219" s="248"/>
      <c r="K219" s="248"/>
      <c r="M219" s="248"/>
      <c r="Q219"/>
      <c r="R219"/>
      <c r="S219"/>
      <c r="W219" s="389">
        <v>1220554</v>
      </c>
      <c r="X219" s="116"/>
      <c r="Y219" s="116"/>
      <c r="Z219" s="116"/>
      <c r="AA219" s="391"/>
      <c r="AF219">
        <v>27</v>
      </c>
      <c r="AS219" s="258">
        <v>1220554</v>
      </c>
      <c r="AT219" s="10"/>
      <c r="AU219" s="116"/>
      <c r="AV219" s="6">
        <v>0</v>
      </c>
      <c r="AW219" s="116">
        <v>0</v>
      </c>
      <c r="AX219" s="10">
        <v>178</v>
      </c>
      <c r="AY219" s="10"/>
      <c r="AZ219" s="116"/>
    </row>
    <row r="220" spans="1:52" x14ac:dyDescent="0.25">
      <c r="A220" s="308">
        <v>45218</v>
      </c>
      <c r="B220" s="305">
        <v>418525</v>
      </c>
      <c r="C220" s="412" t="str">
        <f>IFERROR(INDEX(Table14[],MATCH($B220,Table14[SAPNo],0),3),"")</f>
        <v>Drop In 1308 CT31   (B)</v>
      </c>
      <c r="D220" s="306"/>
      <c r="E220" s="305">
        <v>14</v>
      </c>
      <c r="F220" s="305"/>
      <c r="G220" s="306" t="s">
        <v>1161</v>
      </c>
      <c r="H220" s="306">
        <v>13845747</v>
      </c>
      <c r="I220" s="306" t="s">
        <v>1162</v>
      </c>
      <c r="J220" s="248"/>
      <c r="K220" s="248"/>
      <c r="M220" s="248"/>
      <c r="W220" s="390">
        <v>1234189</v>
      </c>
      <c r="X220" s="116"/>
      <c r="Y220" s="116"/>
      <c r="Z220" s="116"/>
      <c r="AA220" s="391"/>
      <c r="AF220">
        <v>14</v>
      </c>
      <c r="AS220" s="258">
        <v>1234189</v>
      </c>
      <c r="AT220" s="10"/>
      <c r="AU220" s="116"/>
      <c r="AV220" s="6">
        <v>0</v>
      </c>
      <c r="AW220" s="116">
        <v>0</v>
      </c>
      <c r="AX220" s="10">
        <v>19</v>
      </c>
      <c r="AY220" s="10"/>
      <c r="AZ220" s="116"/>
    </row>
    <row r="221" spans="1:52" x14ac:dyDescent="0.25">
      <c r="A221" s="308">
        <v>45218</v>
      </c>
      <c r="B221" s="305">
        <v>410851</v>
      </c>
      <c r="C221" s="412" t="str">
        <f>IFERROR(INDEX(Table14[],MATCH($B221,Table14[SAPNo],0),3),"")</f>
        <v>PDC Dome 1308 CT31   (B)</v>
      </c>
      <c r="D221" s="306"/>
      <c r="E221" s="305">
        <v>28</v>
      </c>
      <c r="F221" s="305"/>
      <c r="G221" s="306" t="s">
        <v>1161</v>
      </c>
      <c r="H221" s="306">
        <v>13845747</v>
      </c>
      <c r="I221" s="306" t="s">
        <v>1162</v>
      </c>
      <c r="J221" s="248"/>
      <c r="K221" s="248"/>
      <c r="M221" s="248"/>
      <c r="W221" s="390">
        <v>1231982</v>
      </c>
      <c r="X221" s="116"/>
      <c r="Y221" s="116"/>
      <c r="Z221" s="116"/>
      <c r="AA221" s="391"/>
      <c r="AF221">
        <v>28</v>
      </c>
      <c r="AS221" s="258">
        <v>1231982</v>
      </c>
      <c r="AT221" s="10"/>
      <c r="AU221" s="116"/>
      <c r="AV221" s="6">
        <v>0</v>
      </c>
      <c r="AW221" s="116">
        <v>0</v>
      </c>
      <c r="AX221" s="10">
        <v>4</v>
      </c>
      <c r="AY221" s="10"/>
      <c r="AZ221" s="116"/>
    </row>
    <row r="222" spans="1:52" x14ac:dyDescent="0.25">
      <c r="A222" s="308">
        <v>45218</v>
      </c>
      <c r="B222" s="305">
        <v>179734</v>
      </c>
      <c r="C222" s="412" t="str">
        <f>IFERROR(INDEX(Table14[],MATCH($B222,Table14[SAPNo],0),3),"")</f>
        <v>Long IPA 13    (C)</v>
      </c>
      <c r="D222" s="306"/>
      <c r="E222" s="305">
        <v>35</v>
      </c>
      <c r="F222" s="305"/>
      <c r="G222" s="306" t="s">
        <v>1161</v>
      </c>
      <c r="H222" s="306">
        <v>13845747</v>
      </c>
      <c r="I222" s="306" t="s">
        <v>1162</v>
      </c>
      <c r="J222" s="248"/>
      <c r="K222" s="248"/>
      <c r="M222" s="248"/>
      <c r="W222" s="390">
        <v>1142711</v>
      </c>
      <c r="X222" s="116"/>
      <c r="Y222" s="116"/>
      <c r="Z222" s="116"/>
      <c r="AA222" s="391"/>
      <c r="AF222">
        <v>35</v>
      </c>
      <c r="AS222" s="258">
        <v>1142711</v>
      </c>
      <c r="AT222" s="10"/>
      <c r="AU222" s="116"/>
      <c r="AV222" s="6">
        <v>0</v>
      </c>
      <c r="AW222" s="116">
        <v>0</v>
      </c>
      <c r="AX222" s="10">
        <v>5</v>
      </c>
      <c r="AY222" s="10"/>
      <c r="AZ222" s="116"/>
    </row>
    <row r="223" spans="1:52" x14ac:dyDescent="0.25">
      <c r="A223" s="320">
        <v>45218</v>
      </c>
      <c r="B223" s="321">
        <v>1130198</v>
      </c>
      <c r="C223" s="413" t="str">
        <f>IFERROR(INDEX(Table14[],MATCH($B223,Table14[SAPNo],0),3),"")</f>
        <v>Round 1613 CT182  0.018" (S)</v>
      </c>
      <c r="D223" s="306"/>
      <c r="E223" s="321">
        <v>80</v>
      </c>
      <c r="F223" s="321"/>
      <c r="G223" s="322" t="s">
        <v>1161</v>
      </c>
      <c r="H223" s="322">
        <v>13845747</v>
      </c>
      <c r="I223" s="322" t="s">
        <v>1162</v>
      </c>
      <c r="J223" s="248"/>
      <c r="K223" s="248"/>
      <c r="M223" s="248"/>
      <c r="W223" s="390">
        <v>1263281</v>
      </c>
      <c r="X223" s="116"/>
      <c r="Y223" s="116"/>
      <c r="Z223" s="116"/>
      <c r="AA223" s="391"/>
      <c r="AF223">
        <v>80</v>
      </c>
      <c r="AS223" s="258">
        <v>1263281</v>
      </c>
      <c r="AT223" s="10"/>
      <c r="AU223" s="116"/>
      <c r="AV223" s="6">
        <v>0</v>
      </c>
      <c r="AW223" s="116">
        <v>0</v>
      </c>
      <c r="AX223" s="10">
        <v>20</v>
      </c>
      <c r="AY223" s="10"/>
      <c r="AZ223" s="116"/>
    </row>
    <row r="224" spans="1:52" x14ac:dyDescent="0.25">
      <c r="A224" s="308">
        <v>45221</v>
      </c>
      <c r="B224" s="305">
        <v>418525</v>
      </c>
      <c r="C224" s="412" t="str">
        <f>IFERROR(INDEX(Table14[],MATCH($B224,Table14[SAPNo],0),3),"")</f>
        <v>Drop In 1308 CT31   (B)</v>
      </c>
      <c r="D224" s="306"/>
      <c r="E224" s="305">
        <v>3</v>
      </c>
      <c r="F224" s="305"/>
      <c r="G224" s="306" t="s">
        <v>1163</v>
      </c>
      <c r="H224" s="306">
        <v>13903294</v>
      </c>
      <c r="I224" s="306" t="s">
        <v>1164</v>
      </c>
      <c r="J224" s="248"/>
      <c r="K224" s="248"/>
      <c r="M224" s="248"/>
      <c r="W224" s="390">
        <v>1200972</v>
      </c>
      <c r="X224" s="116"/>
      <c r="Y224" s="116"/>
      <c r="Z224" s="116"/>
      <c r="AA224" s="391"/>
      <c r="AF224">
        <v>3</v>
      </c>
      <c r="AS224" s="258">
        <v>1200972</v>
      </c>
      <c r="AT224" s="10"/>
      <c r="AU224" s="116"/>
      <c r="AV224" s="6">
        <v>0</v>
      </c>
      <c r="AW224" s="116">
        <v>0</v>
      </c>
      <c r="AX224" s="10">
        <v>15</v>
      </c>
      <c r="AY224" s="10"/>
      <c r="AZ224" s="116"/>
    </row>
    <row r="225" spans="1:52" x14ac:dyDescent="0.25">
      <c r="A225" s="308">
        <v>45221</v>
      </c>
      <c r="B225" s="305">
        <v>1130200</v>
      </c>
      <c r="C225" s="412" t="str">
        <f>IFERROR(INDEX(Table14[],MATCH($B225,Table14[SAPNo],0),3),"")</f>
        <v>Round 1913 CT182  0.018" (S)</v>
      </c>
      <c r="D225" s="306"/>
      <c r="E225" s="305">
        <v>32</v>
      </c>
      <c r="F225" s="305"/>
      <c r="G225" s="306" t="s">
        <v>1163</v>
      </c>
      <c r="H225" s="306">
        <v>13903294</v>
      </c>
      <c r="I225" s="306" t="s">
        <v>1164</v>
      </c>
      <c r="J225" s="248"/>
      <c r="K225" s="248"/>
      <c r="M225" s="248"/>
      <c r="W225" s="387">
        <v>1165800</v>
      </c>
      <c r="X225" s="116"/>
      <c r="Y225" s="116"/>
      <c r="Z225" s="116"/>
      <c r="AA225" s="391"/>
      <c r="AF225">
        <v>32</v>
      </c>
      <c r="AS225" s="258">
        <v>1165800</v>
      </c>
      <c r="AT225" s="10"/>
      <c r="AU225" s="116"/>
      <c r="AV225" s="6">
        <v>0</v>
      </c>
      <c r="AW225" s="116">
        <v>0</v>
      </c>
      <c r="AX225" s="10">
        <v>0</v>
      </c>
      <c r="AY225" s="10"/>
      <c r="AZ225" s="116"/>
    </row>
    <row r="226" spans="1:52" x14ac:dyDescent="0.25">
      <c r="A226" s="308">
        <v>45221</v>
      </c>
      <c r="B226" s="305">
        <v>1130198</v>
      </c>
      <c r="C226" s="412" t="str">
        <f>IFERROR(INDEX(Table14[],MATCH($B226,Table14[SAPNo],0),3),"")</f>
        <v>Round 1613 CT182  0.018" (S)</v>
      </c>
      <c r="D226" s="306"/>
      <c r="E226" s="305">
        <v>9</v>
      </c>
      <c r="F226" s="305"/>
      <c r="G226" s="306" t="s">
        <v>1163</v>
      </c>
      <c r="H226" s="306">
        <v>13903294</v>
      </c>
      <c r="I226" s="306" t="s">
        <v>1164</v>
      </c>
      <c r="J226" s="248"/>
      <c r="K226" s="248"/>
      <c r="M226" s="248"/>
      <c r="Q226" s="4"/>
      <c r="R226" s="4"/>
      <c r="W226" s="387">
        <v>1146346</v>
      </c>
      <c r="X226" s="116"/>
      <c r="Y226" s="116"/>
      <c r="Z226" s="116"/>
      <c r="AA226" s="391"/>
      <c r="AF226">
        <v>9</v>
      </c>
      <c r="AS226" s="258">
        <v>1146346</v>
      </c>
      <c r="AT226" s="10">
        <v>0</v>
      </c>
      <c r="AU226" s="116"/>
      <c r="AV226" s="6">
        <v>0</v>
      </c>
      <c r="AW226" s="116">
        <v>0</v>
      </c>
      <c r="AX226" s="10">
        <v>99</v>
      </c>
      <c r="AY226" s="10"/>
      <c r="AZ226" s="116"/>
    </row>
    <row r="227" spans="1:52" x14ac:dyDescent="0.25">
      <c r="A227" s="308">
        <v>45221</v>
      </c>
      <c r="B227" s="305">
        <v>1130196</v>
      </c>
      <c r="C227" s="412" t="str">
        <f>IFERROR(INDEX(Table14[],MATCH($B227,Table14[SAPNo],0),3),"")</f>
        <v>Round 1313 CT182  0.018" (S)</v>
      </c>
      <c r="D227" s="306"/>
      <c r="E227" s="305">
        <v>12</v>
      </c>
      <c r="F227" s="305"/>
      <c r="G227" s="306" t="s">
        <v>1163</v>
      </c>
      <c r="H227" s="306">
        <v>13903294</v>
      </c>
      <c r="I227" s="306" t="s">
        <v>1164</v>
      </c>
      <c r="J227" s="248"/>
      <c r="K227" s="248"/>
      <c r="M227" s="248"/>
      <c r="Q227" s="4"/>
      <c r="R227" s="4"/>
      <c r="W227" s="387">
        <v>1271790</v>
      </c>
      <c r="X227" s="116"/>
      <c r="Y227" s="116"/>
      <c r="Z227" s="116"/>
      <c r="AA227" s="391"/>
      <c r="AF227">
        <v>12</v>
      </c>
      <c r="AS227" s="258">
        <v>1271790</v>
      </c>
      <c r="AT227" s="10"/>
      <c r="AU227" s="116"/>
      <c r="AV227" s="6">
        <v>0</v>
      </c>
      <c r="AW227" s="116">
        <v>0</v>
      </c>
      <c r="AX227" s="10">
        <v>670</v>
      </c>
      <c r="AY227" s="10"/>
      <c r="AZ227" s="116"/>
    </row>
    <row r="228" spans="1:52" x14ac:dyDescent="0.25">
      <c r="A228" s="308">
        <v>45221</v>
      </c>
      <c r="B228" s="305">
        <v>871781</v>
      </c>
      <c r="C228" s="412" t="str">
        <f>IFERROR(INDEX(Table14[],MATCH($B228,Table14[SAPNo],0),3),"")</f>
        <v>Round 1313 CT200  0.018" (B)</v>
      </c>
      <c r="D228" s="306"/>
      <c r="E228" s="305">
        <v>4</v>
      </c>
      <c r="F228" s="305"/>
      <c r="G228" s="306" t="s">
        <v>1163</v>
      </c>
      <c r="H228" s="306">
        <v>13903294</v>
      </c>
      <c r="I228" s="306" t="s">
        <v>1164</v>
      </c>
      <c r="J228" s="248"/>
      <c r="K228" s="248"/>
      <c r="M228" s="248"/>
      <c r="Q228" s="4"/>
      <c r="R228" s="4"/>
      <c r="W228" s="387"/>
      <c r="X228" s="116"/>
      <c r="Y228" s="116"/>
      <c r="Z228" s="116"/>
      <c r="AA228" s="391"/>
      <c r="AF228">
        <v>4</v>
      </c>
      <c r="AS228" s="258">
        <v>1220688</v>
      </c>
      <c r="AT228" s="10"/>
      <c r="AU228" s="116"/>
      <c r="AV228" s="6">
        <v>0</v>
      </c>
      <c r="AW228" s="116">
        <v>0</v>
      </c>
      <c r="AX228" s="10">
        <v>561</v>
      </c>
      <c r="AY228" s="10"/>
      <c r="AZ228" s="116"/>
    </row>
    <row r="229" spans="1:52" x14ac:dyDescent="0.25">
      <c r="A229" s="308">
        <v>45221</v>
      </c>
      <c r="B229" s="305">
        <v>1209332</v>
      </c>
      <c r="C229" s="412" t="str">
        <f>IFERROR(INDEX(Table14[],MATCH($B229,Table14[SAPNo],0),3),"")</f>
        <v>1313 CT147G U</v>
      </c>
      <c r="D229" s="306"/>
      <c r="E229" s="305">
        <v>7</v>
      </c>
      <c r="F229" s="305"/>
      <c r="G229" s="306" t="s">
        <v>1165</v>
      </c>
      <c r="H229" s="306">
        <v>14023084</v>
      </c>
      <c r="I229" s="306" t="s">
        <v>1118</v>
      </c>
      <c r="J229" s="248"/>
      <c r="K229" s="248"/>
      <c r="M229" s="248"/>
      <c r="Q229" s="4"/>
      <c r="R229" s="4"/>
      <c r="W229" s="387"/>
      <c r="X229" s="116"/>
      <c r="Y229" s="116"/>
      <c r="Z229" s="116"/>
      <c r="AA229" s="391"/>
      <c r="AF229">
        <v>7</v>
      </c>
      <c r="AS229" s="258">
        <v>1244957</v>
      </c>
      <c r="AT229" s="10"/>
      <c r="AU229" s="116"/>
      <c r="AV229" s="6">
        <v>0</v>
      </c>
      <c r="AW229" s="116">
        <v>0</v>
      </c>
      <c r="AX229" s="10">
        <v>72</v>
      </c>
      <c r="AY229" s="10"/>
      <c r="AZ229" s="116"/>
    </row>
    <row r="230" spans="1:52" x14ac:dyDescent="0.25">
      <c r="A230" s="308">
        <v>45221</v>
      </c>
      <c r="B230" s="305">
        <v>1145493</v>
      </c>
      <c r="C230" s="412" t="str">
        <f>IFERROR(INDEX(Table14[],MATCH($B230,Table14[SAPNo],0),3),"")</f>
        <v>Round 1313 CT427  10C (S)</v>
      </c>
      <c r="D230" s="306"/>
      <c r="E230" s="305">
        <v>16</v>
      </c>
      <c r="F230" s="305"/>
      <c r="G230" s="306" t="s">
        <v>1165</v>
      </c>
      <c r="H230" s="306">
        <v>14023084</v>
      </c>
      <c r="I230" s="306" t="s">
        <v>1118</v>
      </c>
      <c r="J230" s="374"/>
      <c r="K230" s="248"/>
      <c r="M230" s="248"/>
      <c r="Q230" s="4"/>
      <c r="R230" s="4"/>
      <c r="W230" s="387"/>
      <c r="X230" s="116"/>
      <c r="Y230" s="116"/>
      <c r="Z230" s="116"/>
      <c r="AA230" s="391"/>
      <c r="AF230">
        <v>16</v>
      </c>
      <c r="AS230" s="258">
        <v>1126402</v>
      </c>
      <c r="AT230" s="10"/>
      <c r="AU230" s="116"/>
      <c r="AV230" s="6">
        <v>0</v>
      </c>
      <c r="AW230" s="116">
        <v>0</v>
      </c>
      <c r="AX230" s="10">
        <v>133</v>
      </c>
      <c r="AY230" s="10"/>
      <c r="AZ230" s="116"/>
    </row>
    <row r="231" spans="1:52" x14ac:dyDescent="0.25">
      <c r="A231" s="308">
        <v>45221</v>
      </c>
      <c r="B231" s="305">
        <v>418525</v>
      </c>
      <c r="C231" s="412" t="str">
        <f>IFERROR(INDEX(Table14[],MATCH($B231,Table14[SAPNo],0),3),"")</f>
        <v>Drop In 1308 CT31   (B)</v>
      </c>
      <c r="D231" s="306"/>
      <c r="E231" s="305">
        <v>10</v>
      </c>
      <c r="F231" s="305"/>
      <c r="G231" s="306" t="s">
        <v>1165</v>
      </c>
      <c r="H231" s="306">
        <v>14023084</v>
      </c>
      <c r="I231" s="306" t="s">
        <v>1118</v>
      </c>
      <c r="J231" s="248"/>
      <c r="K231" s="248"/>
      <c r="M231" s="248"/>
      <c r="Q231" s="4"/>
      <c r="R231" s="4"/>
      <c r="W231" s="387"/>
      <c r="X231" s="116"/>
      <c r="Y231" s="116"/>
      <c r="Z231" s="116"/>
      <c r="AA231" s="391"/>
      <c r="AF231">
        <v>10</v>
      </c>
      <c r="AS231" s="258">
        <v>1250971</v>
      </c>
      <c r="AT231" s="10"/>
      <c r="AU231" s="116"/>
      <c r="AV231" s="6">
        <v>0</v>
      </c>
      <c r="AW231" s="116">
        <v>0</v>
      </c>
      <c r="AX231" s="10">
        <v>129</v>
      </c>
      <c r="AY231" s="10"/>
      <c r="AZ231" s="116"/>
    </row>
    <row r="232" spans="1:52" x14ac:dyDescent="0.25">
      <c r="A232" s="308">
        <v>45221</v>
      </c>
      <c r="B232" s="305">
        <v>1112229</v>
      </c>
      <c r="C232" s="412" t="str">
        <f>IFERROR(INDEX(Table14[],MATCH($B232,Table14[SAPNo],0),3),"")</f>
        <v>1613 CT147 18C</v>
      </c>
      <c r="D232" s="306"/>
      <c r="E232" s="305">
        <v>17</v>
      </c>
      <c r="F232" s="305"/>
      <c r="G232" s="306" t="s">
        <v>1166</v>
      </c>
      <c r="H232" s="306">
        <v>14067155</v>
      </c>
      <c r="I232" s="306" t="s">
        <v>1076</v>
      </c>
      <c r="J232" s="248"/>
      <c r="K232" s="248"/>
      <c r="M232" s="248"/>
      <c r="Q232" s="4"/>
      <c r="R232" s="4"/>
      <c r="W232" s="387"/>
      <c r="X232" s="116"/>
      <c r="Y232" s="116"/>
      <c r="Z232" s="116"/>
      <c r="AA232" s="391"/>
      <c r="AF232">
        <v>17</v>
      </c>
      <c r="AS232" s="258">
        <v>1266910</v>
      </c>
      <c r="AT232" s="10"/>
      <c r="AU232" s="116"/>
      <c r="AV232" s="6">
        <v>0</v>
      </c>
      <c r="AW232" s="116">
        <v>0</v>
      </c>
      <c r="AX232" s="10">
        <v>17</v>
      </c>
      <c r="AY232" s="10"/>
      <c r="AZ232" s="116"/>
    </row>
    <row r="233" spans="1:52" x14ac:dyDescent="0.25">
      <c r="A233" s="308">
        <v>45221</v>
      </c>
      <c r="B233" s="305">
        <v>1078377</v>
      </c>
      <c r="C233" s="412" t="str">
        <f>IFERROR(INDEX(Table14[],MATCH($B233,Table14[SAPNo],0),3),"")</f>
        <v>13MM CT221 R1</v>
      </c>
      <c r="D233" s="306"/>
      <c r="E233" s="305">
        <v>15</v>
      </c>
      <c r="F233" s="305"/>
      <c r="G233" s="306" t="s">
        <v>1166</v>
      </c>
      <c r="H233" s="306">
        <v>14067155</v>
      </c>
      <c r="I233" s="306" t="s">
        <v>1076</v>
      </c>
      <c r="J233" s="248"/>
      <c r="K233" s="248"/>
      <c r="M233" s="248"/>
      <c r="Q233" s="4"/>
      <c r="R233" s="4"/>
      <c r="W233" s="387"/>
      <c r="X233" s="116"/>
      <c r="Y233" s="116"/>
      <c r="Z233" s="116"/>
      <c r="AA233" s="391"/>
      <c r="AF233">
        <v>15</v>
      </c>
      <c r="AS233" s="258">
        <v>1255773</v>
      </c>
      <c r="AT233" s="10"/>
      <c r="AU233" s="116"/>
      <c r="AV233" s="6">
        <v>0</v>
      </c>
      <c r="AW233" s="116">
        <v>0</v>
      </c>
      <c r="AX233" s="10">
        <v>40</v>
      </c>
      <c r="AY233" s="10"/>
      <c r="AZ233" s="116"/>
    </row>
    <row r="234" spans="1:52" x14ac:dyDescent="0.25">
      <c r="A234" s="308">
        <v>45221</v>
      </c>
      <c r="B234" s="305">
        <v>1146737</v>
      </c>
      <c r="C234" s="412" t="str">
        <f>IFERROR(INDEX(Table14[],MATCH($B234,Table14[SAPNo],0),3),"")</f>
        <v>1613 CT418 18-60</v>
      </c>
      <c r="D234" s="306"/>
      <c r="E234" s="305">
        <v>6</v>
      </c>
      <c r="F234" s="305"/>
      <c r="G234" s="306" t="s">
        <v>1166</v>
      </c>
      <c r="H234" s="306">
        <v>14067155</v>
      </c>
      <c r="I234" s="306" t="s">
        <v>1076</v>
      </c>
      <c r="J234" s="248"/>
      <c r="K234" s="248"/>
      <c r="M234" s="248"/>
      <c r="Q234" s="4"/>
      <c r="R234" s="4"/>
      <c r="W234" s="388"/>
      <c r="X234" s="289"/>
      <c r="Y234" s="289"/>
      <c r="Z234" s="289"/>
      <c r="AA234" s="392"/>
      <c r="AF234">
        <v>6</v>
      </c>
      <c r="AS234" s="258">
        <v>653400</v>
      </c>
      <c r="AT234" s="10"/>
      <c r="AU234" s="116"/>
      <c r="AV234" s="6">
        <v>0</v>
      </c>
      <c r="AW234" s="116">
        <v>0</v>
      </c>
      <c r="AX234" s="10">
        <v>0</v>
      </c>
      <c r="AY234" s="10"/>
      <c r="AZ234" s="116"/>
    </row>
    <row r="235" spans="1:52" x14ac:dyDescent="0.25">
      <c r="A235" s="308">
        <v>45221</v>
      </c>
      <c r="B235" s="305">
        <v>1208601</v>
      </c>
      <c r="C235" s="412" t="str">
        <f>IFERROR(INDEX(Table14[],MATCH($B235,Table14[SAPNo],0),3),"")</f>
        <v>1613 CT418 U-60</v>
      </c>
      <c r="D235" s="306"/>
      <c r="E235" s="305">
        <v>8</v>
      </c>
      <c r="F235" s="305"/>
      <c r="G235" s="306" t="s">
        <v>1166</v>
      </c>
      <c r="H235" s="306">
        <v>14067155</v>
      </c>
      <c r="I235" s="306" t="s">
        <v>1076</v>
      </c>
      <c r="J235" s="248"/>
      <c r="K235" s="248"/>
      <c r="M235" s="248"/>
      <c r="X235" s="1">
        <f>SUM(X2:X234)</f>
        <v>385</v>
      </c>
      <c r="Y235" s="1">
        <f t="shared" ref="Y235:AA235" si="0">SUM(Y2:Y234)</f>
        <v>279</v>
      </c>
      <c r="Z235" s="1">
        <f t="shared" si="0"/>
        <v>42</v>
      </c>
      <c r="AA235" s="1">
        <f t="shared" si="0"/>
        <v>959</v>
      </c>
      <c r="AF235">
        <v>8</v>
      </c>
      <c r="AS235" s="258">
        <v>1201518</v>
      </c>
      <c r="AT235" s="10"/>
      <c r="AU235" s="116"/>
      <c r="AV235" s="6">
        <v>0</v>
      </c>
      <c r="AW235" s="116">
        <v>0</v>
      </c>
      <c r="AX235" s="10">
        <v>15</v>
      </c>
      <c r="AY235" s="10"/>
      <c r="AZ235" s="116"/>
    </row>
    <row r="236" spans="1:52" x14ac:dyDescent="0.25">
      <c r="A236" s="308">
        <v>45221</v>
      </c>
      <c r="B236" s="305">
        <v>418525</v>
      </c>
      <c r="C236" s="412" t="str">
        <f>IFERROR(INDEX(Table14[],MATCH($B236,Table14[SAPNo],0),3),"")</f>
        <v>Drop In 1308 CT31   (B)</v>
      </c>
      <c r="D236" s="306"/>
      <c r="E236" s="305">
        <v>6</v>
      </c>
      <c r="F236" s="305"/>
      <c r="G236" s="306" t="s">
        <v>1166</v>
      </c>
      <c r="H236" s="306">
        <v>14067155</v>
      </c>
      <c r="I236" s="306" t="s">
        <v>1076</v>
      </c>
      <c r="J236" s="248"/>
      <c r="K236" s="248"/>
      <c r="M236" s="248"/>
      <c r="W236"/>
      <c r="X236"/>
      <c r="Y236"/>
      <c r="Z236"/>
      <c r="AA236"/>
      <c r="AF236">
        <v>6</v>
      </c>
      <c r="AS236" s="258">
        <v>1168064</v>
      </c>
      <c r="AT236" s="10"/>
      <c r="AU236" s="116"/>
      <c r="AV236" s="6">
        <v>0</v>
      </c>
      <c r="AW236" s="116">
        <v>0</v>
      </c>
      <c r="AX236" s="10">
        <v>0</v>
      </c>
      <c r="AY236" s="10"/>
      <c r="AZ236" s="116"/>
    </row>
    <row r="237" spans="1:52" x14ac:dyDescent="0.25">
      <c r="A237" s="308">
        <v>45222</v>
      </c>
      <c r="B237" s="305">
        <v>1100755</v>
      </c>
      <c r="C237" s="412" t="str">
        <f>IFERROR(INDEX(Table14[],MATCH($B237,Table14[SAPNo],0),3),"")</f>
        <v>Round 1613 CT421  0.018" (S)</v>
      </c>
      <c r="D237" s="306"/>
      <c r="E237" s="305">
        <v>147</v>
      </c>
      <c r="F237" s="305"/>
      <c r="G237" s="306" t="s">
        <v>1167</v>
      </c>
      <c r="H237" s="306">
        <v>14056707</v>
      </c>
      <c r="I237" s="306" t="s">
        <v>1168</v>
      </c>
      <c r="J237" s="248"/>
      <c r="K237" s="248"/>
      <c r="M237" s="248"/>
      <c r="Q237"/>
      <c r="R237"/>
      <c r="S237"/>
      <c r="W237"/>
      <c r="X237"/>
      <c r="Y237"/>
      <c r="Z237"/>
      <c r="AA237"/>
      <c r="AF237">
        <v>147</v>
      </c>
      <c r="AS237" s="258">
        <v>1261615</v>
      </c>
      <c r="AT237" s="10"/>
      <c r="AU237" s="116"/>
      <c r="AV237" s="6">
        <v>0</v>
      </c>
      <c r="AW237" s="116">
        <v>0</v>
      </c>
      <c r="AX237" s="10">
        <v>38</v>
      </c>
      <c r="AY237" s="10"/>
      <c r="AZ237" s="116"/>
    </row>
    <row r="238" spans="1:52" x14ac:dyDescent="0.25">
      <c r="A238" s="308">
        <v>45222</v>
      </c>
      <c r="B238" s="305">
        <v>418525</v>
      </c>
      <c r="C238" s="412" t="str">
        <f>IFERROR(INDEX(Table14[],MATCH($B238,Table14[SAPNo],0),3),"")</f>
        <v>Drop In 1308 CT31   (B)</v>
      </c>
      <c r="D238" s="306"/>
      <c r="E238" s="305">
        <v>8</v>
      </c>
      <c r="F238" s="305"/>
      <c r="G238" s="306" t="s">
        <v>1167</v>
      </c>
      <c r="H238" s="306">
        <v>14056707</v>
      </c>
      <c r="I238" s="306" t="s">
        <v>1168</v>
      </c>
      <c r="J238" s="248"/>
      <c r="K238" s="248"/>
      <c r="M238" s="248"/>
      <c r="Q238"/>
      <c r="R238"/>
      <c r="S238"/>
      <c r="W238"/>
      <c r="X238"/>
      <c r="Y238"/>
      <c r="Z238"/>
      <c r="AA238"/>
      <c r="AF238">
        <v>8</v>
      </c>
      <c r="AS238" s="258">
        <v>1100739</v>
      </c>
      <c r="AT238" s="10"/>
      <c r="AU238" s="116"/>
      <c r="AV238" s="6">
        <v>0</v>
      </c>
      <c r="AW238" s="116">
        <v>0</v>
      </c>
      <c r="AX238" s="10">
        <v>0</v>
      </c>
      <c r="AY238" s="10"/>
      <c r="AZ238" s="116"/>
    </row>
    <row r="239" spans="1:52" x14ac:dyDescent="0.25">
      <c r="A239" s="308">
        <v>45222</v>
      </c>
      <c r="B239" s="305">
        <v>1130197</v>
      </c>
      <c r="C239" s="412" t="str">
        <f>IFERROR(INDEX(Table14[],MATCH($B239,Table14[SAPNo],0),3),"")</f>
        <v>Round 1608 CT182  0.018" (S)</v>
      </c>
      <c r="D239" s="306"/>
      <c r="E239" s="305">
        <v>23</v>
      </c>
      <c r="F239" s="305"/>
      <c r="G239" s="306" t="s">
        <v>1169</v>
      </c>
      <c r="H239" s="306">
        <v>13870631</v>
      </c>
      <c r="I239" s="306" t="s">
        <v>1170</v>
      </c>
      <c r="J239" s="248"/>
      <c r="K239" s="248"/>
      <c r="M239" s="248"/>
      <c r="Q239"/>
      <c r="R239"/>
      <c r="S239"/>
      <c r="W239"/>
      <c r="X239"/>
      <c r="Y239"/>
      <c r="Z239"/>
      <c r="AA239"/>
      <c r="AF239">
        <v>23</v>
      </c>
      <c r="AS239" s="258">
        <v>1180935</v>
      </c>
      <c r="AT239" s="10"/>
      <c r="AU239" s="116"/>
      <c r="AV239" s="6">
        <v>0</v>
      </c>
      <c r="AW239" s="116">
        <v>0</v>
      </c>
      <c r="AX239" s="10">
        <v>0</v>
      </c>
      <c r="AY239" s="10"/>
      <c r="AZ239" s="116"/>
    </row>
    <row r="240" spans="1:52" x14ac:dyDescent="0.25">
      <c r="A240" s="308">
        <v>45222</v>
      </c>
      <c r="B240" s="305">
        <v>1130198</v>
      </c>
      <c r="C240" s="412" t="str">
        <f>IFERROR(INDEX(Table14[],MATCH($B240,Table14[SAPNo],0),3),"")</f>
        <v>Round 1613 CT182  0.018" (S)</v>
      </c>
      <c r="D240" s="306"/>
      <c r="E240" s="305">
        <v>33</v>
      </c>
      <c r="F240" s="305"/>
      <c r="G240" s="306" t="s">
        <v>1169</v>
      </c>
      <c r="H240" s="306">
        <v>13870631</v>
      </c>
      <c r="I240" s="306" t="s">
        <v>1170</v>
      </c>
      <c r="J240" s="248"/>
      <c r="K240" s="248"/>
      <c r="M240" s="248"/>
      <c r="Q240"/>
      <c r="R240"/>
      <c r="S240"/>
      <c r="W240"/>
      <c r="X240"/>
      <c r="Y240"/>
      <c r="Z240"/>
      <c r="AA240"/>
      <c r="AF240">
        <v>33</v>
      </c>
      <c r="AS240" s="258">
        <v>1199247</v>
      </c>
      <c r="AT240" s="10"/>
      <c r="AU240" s="116"/>
      <c r="AV240" s="6">
        <v>0</v>
      </c>
      <c r="AW240" s="116">
        <v>0</v>
      </c>
      <c r="AX240" s="10">
        <v>8</v>
      </c>
      <c r="AY240" s="10"/>
      <c r="AZ240" s="116"/>
    </row>
    <row r="241" spans="1:52" x14ac:dyDescent="0.25">
      <c r="A241" s="308">
        <v>45222</v>
      </c>
      <c r="B241" s="305">
        <v>418525</v>
      </c>
      <c r="C241" s="412" t="str">
        <f>IFERROR(INDEX(Table14[],MATCH($B241,Table14[SAPNo],0),3),"")</f>
        <v>Drop In 1308 CT31   (B)</v>
      </c>
      <c r="D241" s="306"/>
      <c r="E241" s="305">
        <v>6</v>
      </c>
      <c r="F241" s="305"/>
      <c r="G241" s="306" t="s">
        <v>1169</v>
      </c>
      <c r="H241" s="306">
        <v>13870631</v>
      </c>
      <c r="I241" s="306" t="s">
        <v>1170</v>
      </c>
      <c r="J241" s="248"/>
      <c r="K241" s="248"/>
      <c r="M241" s="248"/>
      <c r="Q241"/>
      <c r="R241"/>
      <c r="S241"/>
      <c r="W241"/>
      <c r="X241"/>
      <c r="Y241"/>
      <c r="Z241"/>
      <c r="AA241"/>
      <c r="AF241">
        <v>6</v>
      </c>
      <c r="AS241" s="258">
        <v>1187118</v>
      </c>
      <c r="AT241" s="10"/>
      <c r="AU241" s="116"/>
      <c r="AV241" s="6">
        <v>0</v>
      </c>
      <c r="AW241" s="116">
        <v>0</v>
      </c>
      <c r="AX241" s="10">
        <v>0</v>
      </c>
      <c r="AY241" s="10"/>
      <c r="AZ241" s="116"/>
    </row>
    <row r="242" spans="1:52" x14ac:dyDescent="0.25">
      <c r="A242" s="308">
        <v>45222</v>
      </c>
      <c r="B242" s="305">
        <v>1208601</v>
      </c>
      <c r="C242" s="412" t="str">
        <f>IFERROR(INDEX(Table14[],MATCH($B242,Table14[SAPNo],0),3),"")</f>
        <v>1613 CT418 U-60</v>
      </c>
      <c r="D242" s="306"/>
      <c r="E242" s="305">
        <v>8</v>
      </c>
      <c r="F242" s="305"/>
      <c r="G242" s="306" t="s">
        <v>1171</v>
      </c>
      <c r="H242" s="306">
        <v>14056721</v>
      </c>
      <c r="I242" s="306" t="s">
        <v>1076</v>
      </c>
      <c r="J242" s="248"/>
      <c r="K242" s="248"/>
      <c r="M242" s="248"/>
      <c r="Q242"/>
      <c r="R242"/>
      <c r="S242"/>
      <c r="W242"/>
      <c r="X242"/>
      <c r="Y242"/>
      <c r="Z242"/>
      <c r="AA242"/>
      <c r="AF242">
        <v>8</v>
      </c>
      <c r="AS242" s="258">
        <v>1100753</v>
      </c>
      <c r="AT242" s="10"/>
      <c r="AU242" s="116"/>
      <c r="AV242" s="6">
        <v>0</v>
      </c>
      <c r="AW242" s="116">
        <v>0</v>
      </c>
      <c r="AX242" s="10">
        <v>0</v>
      </c>
      <c r="AY242" s="10"/>
      <c r="AZ242" s="116"/>
    </row>
    <row r="243" spans="1:52" x14ac:dyDescent="0.25">
      <c r="A243" s="308">
        <v>45222</v>
      </c>
      <c r="B243" s="305">
        <v>1146737</v>
      </c>
      <c r="C243" s="412" t="str">
        <f>IFERROR(INDEX(Table14[],MATCH($B243,Table14[SAPNo],0),3),"")</f>
        <v>1613 CT418 18-60</v>
      </c>
      <c r="D243" s="306"/>
      <c r="E243" s="305">
        <v>6</v>
      </c>
      <c r="F243" s="305"/>
      <c r="G243" s="306" t="s">
        <v>1171</v>
      </c>
      <c r="H243" s="306">
        <v>14056721</v>
      </c>
      <c r="I243" s="306" t="s">
        <v>1076</v>
      </c>
      <c r="J243" s="248"/>
      <c r="K243" s="248"/>
      <c r="M243" s="248"/>
      <c r="Q243"/>
      <c r="R243"/>
      <c r="S243"/>
      <c r="W243"/>
      <c r="X243"/>
      <c r="Y243"/>
      <c r="Z243"/>
      <c r="AA243"/>
      <c r="AF243">
        <v>6</v>
      </c>
      <c r="AS243" s="258">
        <v>1282370</v>
      </c>
      <c r="AT243" s="10"/>
      <c r="AU243" s="116"/>
      <c r="AV243" s="6">
        <v>0</v>
      </c>
      <c r="AW243" s="116">
        <v>0</v>
      </c>
      <c r="AX243" s="10">
        <v>0</v>
      </c>
      <c r="AY243" s="10"/>
      <c r="AZ243" s="116"/>
    </row>
    <row r="244" spans="1:52" x14ac:dyDescent="0.25">
      <c r="A244" s="308">
        <v>45222</v>
      </c>
      <c r="B244" s="305">
        <v>418525</v>
      </c>
      <c r="C244" s="412" t="str">
        <f>IFERROR(INDEX(Table14[],MATCH($B244,Table14[SAPNo],0),3),"")</f>
        <v>Drop In 1308 CT31   (B)</v>
      </c>
      <c r="D244" s="306"/>
      <c r="E244" s="305">
        <v>6</v>
      </c>
      <c r="F244" s="305"/>
      <c r="G244" s="306" t="s">
        <v>1171</v>
      </c>
      <c r="H244" s="306">
        <v>14056721</v>
      </c>
      <c r="I244" s="306" t="s">
        <v>1076</v>
      </c>
      <c r="J244" s="248"/>
      <c r="K244" s="248"/>
      <c r="M244" s="248"/>
      <c r="Q244"/>
      <c r="R244"/>
      <c r="S244"/>
      <c r="W244"/>
      <c r="X244"/>
      <c r="Y244"/>
      <c r="Z244"/>
      <c r="AA244"/>
      <c r="AF244">
        <v>6</v>
      </c>
      <c r="AS244" s="258">
        <v>1272309</v>
      </c>
      <c r="AT244" s="10"/>
      <c r="AU244" s="116"/>
      <c r="AV244" s="6">
        <v>0</v>
      </c>
      <c r="AW244" s="116">
        <v>0</v>
      </c>
      <c r="AX244" s="10">
        <v>23</v>
      </c>
      <c r="AY244" s="10"/>
      <c r="AZ244" s="116"/>
    </row>
    <row r="245" spans="1:52" x14ac:dyDescent="0.25">
      <c r="A245" s="308">
        <v>45222</v>
      </c>
      <c r="B245" s="305">
        <v>1175118</v>
      </c>
      <c r="C245" s="412" t="str">
        <f>IFERROR(INDEX(Table14[],MATCH($B245,Table14[SAPNo],0),3),"")</f>
        <v>1613 CT147 18-60</v>
      </c>
      <c r="D245" s="306"/>
      <c r="E245" s="305">
        <v>17</v>
      </c>
      <c r="F245" s="305"/>
      <c r="G245" s="306" t="s">
        <v>1171</v>
      </c>
      <c r="H245" s="306">
        <v>14056721</v>
      </c>
      <c r="I245" s="306" t="s">
        <v>1076</v>
      </c>
      <c r="J245" s="248"/>
      <c r="K245" s="248"/>
      <c r="M245" s="248"/>
      <c r="Q245"/>
      <c r="R245"/>
      <c r="S245"/>
      <c r="W245"/>
      <c r="X245"/>
      <c r="Y245"/>
      <c r="Z245"/>
      <c r="AA245"/>
      <c r="AF245">
        <v>17</v>
      </c>
      <c r="AS245" s="258">
        <v>1263823</v>
      </c>
      <c r="AT245" s="10"/>
      <c r="AU245" s="116"/>
      <c r="AV245" s="6">
        <v>0</v>
      </c>
      <c r="AW245" s="116">
        <v>0</v>
      </c>
      <c r="AX245" s="10">
        <v>214</v>
      </c>
      <c r="AY245" s="10"/>
      <c r="AZ245" s="116"/>
    </row>
    <row r="246" spans="1:52" x14ac:dyDescent="0.25">
      <c r="A246" s="308">
        <v>45222</v>
      </c>
      <c r="B246" s="305">
        <v>1078377</v>
      </c>
      <c r="C246" s="412" t="str">
        <f>IFERROR(INDEX(Table14[],MATCH($B246,Table14[SAPNo],0),3),"")</f>
        <v>13MM CT221 R1</v>
      </c>
      <c r="D246" s="306"/>
      <c r="E246" s="305">
        <v>15</v>
      </c>
      <c r="F246" s="305"/>
      <c r="G246" s="306" t="s">
        <v>1171</v>
      </c>
      <c r="H246" s="306">
        <v>14056721</v>
      </c>
      <c r="I246" s="306" t="s">
        <v>1076</v>
      </c>
      <c r="J246" s="248"/>
      <c r="K246" s="248"/>
      <c r="M246" s="248"/>
      <c r="Q246"/>
      <c r="R246"/>
      <c r="S246"/>
      <c r="W246"/>
      <c r="X246"/>
      <c r="Y246"/>
      <c r="Z246"/>
      <c r="AA246"/>
      <c r="AF246">
        <v>15</v>
      </c>
      <c r="AS246" s="258">
        <v>1199261</v>
      </c>
      <c r="AT246" s="10"/>
      <c r="AU246" s="116"/>
      <c r="AV246" s="6">
        <v>0</v>
      </c>
      <c r="AW246" s="116">
        <v>0</v>
      </c>
      <c r="AX246" s="10">
        <v>0</v>
      </c>
      <c r="AY246" s="10"/>
      <c r="AZ246" s="116"/>
    </row>
    <row r="247" spans="1:52" x14ac:dyDescent="0.25">
      <c r="A247" s="308">
        <v>45222</v>
      </c>
      <c r="B247" s="305">
        <v>1146737</v>
      </c>
      <c r="C247" s="412" t="str">
        <f>IFERROR(INDEX(Table14[],MATCH($B247,Table14[SAPNo],0),3),"")</f>
        <v>1613 CT418 18-60</v>
      </c>
      <c r="D247" s="306"/>
      <c r="E247" s="305">
        <v>6</v>
      </c>
      <c r="F247" s="305"/>
      <c r="G247" s="306" t="s">
        <v>1172</v>
      </c>
      <c r="H247" s="306">
        <v>14067153</v>
      </c>
      <c r="I247" s="306" t="s">
        <v>1076</v>
      </c>
      <c r="J247" s="248"/>
      <c r="K247" s="248"/>
      <c r="M247" s="248"/>
      <c r="Q247"/>
      <c r="R247"/>
      <c r="S247"/>
      <c r="W247"/>
      <c r="X247"/>
      <c r="Y247"/>
      <c r="Z247"/>
      <c r="AA247"/>
      <c r="AF247">
        <v>6</v>
      </c>
      <c r="AS247" s="258">
        <v>1230916</v>
      </c>
      <c r="AT247" s="10"/>
      <c r="AU247" s="116"/>
      <c r="AV247" s="6">
        <v>0</v>
      </c>
      <c r="AW247" s="116">
        <v>0</v>
      </c>
      <c r="AX247" s="10">
        <v>4</v>
      </c>
      <c r="AY247" s="10"/>
      <c r="AZ247" s="116"/>
    </row>
    <row r="248" spans="1:52" x14ac:dyDescent="0.25">
      <c r="A248" s="308">
        <v>45222</v>
      </c>
      <c r="B248" s="305">
        <v>1208601</v>
      </c>
      <c r="C248" s="412" t="str">
        <f>IFERROR(INDEX(Table14[],MATCH($B248,Table14[SAPNo],0),3),"")</f>
        <v>1613 CT418 U-60</v>
      </c>
      <c r="D248" s="306"/>
      <c r="E248" s="305">
        <v>8</v>
      </c>
      <c r="F248" s="305"/>
      <c r="G248" s="306" t="s">
        <v>1172</v>
      </c>
      <c r="H248" s="306">
        <v>14067153</v>
      </c>
      <c r="I248" s="306" t="s">
        <v>1076</v>
      </c>
      <c r="J248" s="248"/>
      <c r="K248" s="248"/>
      <c r="M248" s="248"/>
      <c r="Q248"/>
      <c r="R248"/>
      <c r="S248"/>
      <c r="W248"/>
      <c r="X248"/>
      <c r="Y248"/>
      <c r="Z248"/>
      <c r="AA248"/>
      <c r="AF248">
        <v>8</v>
      </c>
      <c r="AS248" s="258">
        <v>1288721</v>
      </c>
      <c r="AT248" s="10"/>
      <c r="AU248" s="116"/>
      <c r="AV248" s="6">
        <v>0</v>
      </c>
      <c r="AW248" s="116">
        <v>0</v>
      </c>
      <c r="AX248" s="10">
        <v>14</v>
      </c>
      <c r="AY248" s="10"/>
      <c r="AZ248" s="116"/>
    </row>
    <row r="249" spans="1:52" x14ac:dyDescent="0.25">
      <c r="A249" s="308">
        <v>45222</v>
      </c>
      <c r="B249" s="305">
        <v>1175118</v>
      </c>
      <c r="C249" s="412" t="str">
        <f>IFERROR(INDEX(Table14[],MATCH($B249,Table14[SAPNo],0),3),"")</f>
        <v>1613 CT147 18-60</v>
      </c>
      <c r="D249" s="306"/>
      <c r="E249" s="305">
        <v>17</v>
      </c>
      <c r="F249" s="305"/>
      <c r="G249" s="306" t="s">
        <v>1172</v>
      </c>
      <c r="H249" s="306">
        <v>14067153</v>
      </c>
      <c r="I249" s="306" t="s">
        <v>1076</v>
      </c>
      <c r="J249" s="248"/>
      <c r="K249" s="248"/>
      <c r="M249" s="248"/>
      <c r="Q249"/>
      <c r="R249"/>
      <c r="S249"/>
      <c r="W249"/>
      <c r="X249"/>
      <c r="Y249"/>
      <c r="Z249"/>
      <c r="AA249"/>
      <c r="AF249">
        <v>17</v>
      </c>
      <c r="AS249" s="258">
        <v>1282746</v>
      </c>
      <c r="AT249" s="10"/>
      <c r="AU249" s="116"/>
      <c r="AV249" s="6">
        <v>0</v>
      </c>
      <c r="AW249" s="116">
        <v>0</v>
      </c>
      <c r="AX249" s="10">
        <v>0</v>
      </c>
      <c r="AY249" s="10"/>
      <c r="AZ249" s="116"/>
    </row>
    <row r="250" spans="1:52" x14ac:dyDescent="0.25">
      <c r="A250" s="308">
        <v>45222</v>
      </c>
      <c r="B250" s="305">
        <v>418525</v>
      </c>
      <c r="C250" s="412" t="str">
        <f>IFERROR(INDEX(Table14[],MATCH($B250,Table14[SAPNo],0),3),"")</f>
        <v>Drop In 1308 CT31   (B)</v>
      </c>
      <c r="D250" s="306"/>
      <c r="E250" s="305">
        <v>6</v>
      </c>
      <c r="F250" s="305"/>
      <c r="G250" s="306" t="s">
        <v>1172</v>
      </c>
      <c r="H250" s="306">
        <v>14067153</v>
      </c>
      <c r="I250" s="306" t="s">
        <v>1076</v>
      </c>
      <c r="J250" s="248"/>
      <c r="K250" s="248"/>
      <c r="M250" s="248"/>
      <c r="Q250"/>
      <c r="R250"/>
      <c r="S250"/>
      <c r="W250"/>
      <c r="X250"/>
      <c r="Y250"/>
      <c r="Z250"/>
      <c r="AA250"/>
      <c r="AF250">
        <v>6</v>
      </c>
      <c r="AS250" s="258">
        <v>1263929</v>
      </c>
      <c r="AT250" s="10"/>
      <c r="AU250" s="116"/>
      <c r="AV250" s="6">
        <v>0</v>
      </c>
      <c r="AW250" s="116">
        <v>0</v>
      </c>
      <c r="AX250" s="10">
        <v>49</v>
      </c>
      <c r="AY250" s="10"/>
      <c r="AZ250" s="116"/>
    </row>
    <row r="251" spans="1:52" x14ac:dyDescent="0.25">
      <c r="A251" s="308">
        <v>45222</v>
      </c>
      <c r="B251" s="305">
        <v>1078377</v>
      </c>
      <c r="C251" s="412" t="str">
        <f>IFERROR(INDEX(Table14[],MATCH($B251,Table14[SAPNo],0),3),"")</f>
        <v>13MM CT221 R1</v>
      </c>
      <c r="D251" s="306"/>
      <c r="E251" s="305">
        <v>15</v>
      </c>
      <c r="F251" s="305"/>
      <c r="G251" s="306" t="s">
        <v>1172</v>
      </c>
      <c r="H251" s="306">
        <v>14067153</v>
      </c>
      <c r="I251" s="306" t="s">
        <v>1076</v>
      </c>
      <c r="J251" s="248"/>
      <c r="K251" s="248"/>
      <c r="M251" s="248"/>
      <c r="W251"/>
      <c r="X251"/>
      <c r="Y251"/>
      <c r="Z251"/>
      <c r="AA251"/>
      <c r="AF251">
        <v>15</v>
      </c>
      <c r="AS251" s="258">
        <v>1186963</v>
      </c>
      <c r="AT251" s="10"/>
      <c r="AU251" s="116"/>
      <c r="AV251" s="6">
        <v>0</v>
      </c>
      <c r="AW251" s="116">
        <v>0</v>
      </c>
      <c r="AX251" s="10">
        <v>5</v>
      </c>
      <c r="AY251" s="10"/>
      <c r="AZ251" s="116"/>
    </row>
    <row r="252" spans="1:52" x14ac:dyDescent="0.25">
      <c r="A252" s="308">
        <v>45222</v>
      </c>
      <c r="B252" s="305">
        <v>1175118</v>
      </c>
      <c r="C252" s="412" t="str">
        <f>IFERROR(INDEX(Table14[],MATCH($B252,Table14[SAPNo],0),3),"")</f>
        <v>1613 CT147 18-60</v>
      </c>
      <c r="D252" s="306"/>
      <c r="E252" s="305">
        <v>17</v>
      </c>
      <c r="F252" s="305"/>
      <c r="G252" s="306" t="s">
        <v>1173</v>
      </c>
      <c r="H252" s="306">
        <v>14067154</v>
      </c>
      <c r="I252" s="306" t="s">
        <v>1076</v>
      </c>
      <c r="J252" s="248"/>
      <c r="K252" s="248"/>
      <c r="M252" s="248"/>
      <c r="W252"/>
      <c r="X252"/>
      <c r="Y252"/>
      <c r="Z252"/>
      <c r="AA252"/>
      <c r="AF252">
        <v>17</v>
      </c>
      <c r="AS252" s="258">
        <v>1288783</v>
      </c>
      <c r="AT252" s="10"/>
      <c r="AU252" s="116"/>
      <c r="AV252" s="6">
        <v>0</v>
      </c>
      <c r="AW252" s="116">
        <v>0</v>
      </c>
      <c r="AX252" s="10">
        <v>92</v>
      </c>
      <c r="AY252" s="10"/>
      <c r="AZ252" s="116"/>
    </row>
    <row r="253" spans="1:52" x14ac:dyDescent="0.25">
      <c r="A253" s="308">
        <v>45222</v>
      </c>
      <c r="B253" s="305">
        <v>1208601</v>
      </c>
      <c r="C253" s="412" t="str">
        <f>IFERROR(INDEX(Table14[],MATCH($B253,Table14[SAPNo],0),3),"")</f>
        <v>1613 CT418 U-60</v>
      </c>
      <c r="D253" s="306"/>
      <c r="E253" s="305">
        <v>8</v>
      </c>
      <c r="F253" s="305"/>
      <c r="G253" s="306" t="s">
        <v>1173</v>
      </c>
      <c r="H253" s="306">
        <v>14067154</v>
      </c>
      <c r="I253" s="306" t="s">
        <v>1076</v>
      </c>
      <c r="J253" s="248"/>
      <c r="K253" s="248"/>
      <c r="M253" s="248"/>
      <c r="W253"/>
      <c r="X253"/>
      <c r="Y253"/>
      <c r="Z253"/>
      <c r="AA253"/>
      <c r="AF253">
        <v>8</v>
      </c>
      <c r="AS253" s="258">
        <v>2002243</v>
      </c>
      <c r="AT253" s="10"/>
      <c r="AU253" s="116"/>
      <c r="AV253" s="6">
        <v>0</v>
      </c>
      <c r="AW253" s="116">
        <v>0</v>
      </c>
      <c r="AX253" s="10">
        <v>0</v>
      </c>
      <c r="AY253" s="10"/>
      <c r="AZ253" s="116"/>
    </row>
    <row r="254" spans="1:52" x14ac:dyDescent="0.25">
      <c r="A254" s="308">
        <v>45222</v>
      </c>
      <c r="B254" s="305">
        <v>1146737</v>
      </c>
      <c r="C254" s="412" t="str">
        <f>IFERROR(INDEX(Table14[],MATCH($B254,Table14[SAPNo],0),3),"")</f>
        <v>1613 CT418 18-60</v>
      </c>
      <c r="D254" s="306"/>
      <c r="E254" s="305">
        <v>6</v>
      </c>
      <c r="F254" s="305"/>
      <c r="G254" s="306" t="s">
        <v>1173</v>
      </c>
      <c r="H254" s="306">
        <v>14067154</v>
      </c>
      <c r="I254" s="306" t="s">
        <v>1076</v>
      </c>
      <c r="J254" s="248"/>
      <c r="K254" s="248"/>
      <c r="M254" s="248"/>
      <c r="W254"/>
      <c r="X254"/>
      <c r="Y254"/>
      <c r="Z254"/>
      <c r="AA254"/>
      <c r="AF254">
        <v>6</v>
      </c>
      <c r="AS254" s="258">
        <v>1266417</v>
      </c>
      <c r="AT254" s="10"/>
      <c r="AU254" s="116"/>
      <c r="AV254" s="6">
        <v>0</v>
      </c>
      <c r="AW254" s="116">
        <v>0</v>
      </c>
      <c r="AX254" s="10">
        <v>21</v>
      </c>
      <c r="AY254" s="10"/>
      <c r="AZ254" s="116"/>
    </row>
    <row r="255" spans="1:52" x14ac:dyDescent="0.25">
      <c r="A255" s="308">
        <v>45222</v>
      </c>
      <c r="B255" s="305">
        <v>418525</v>
      </c>
      <c r="C255" s="412" t="str">
        <f>IFERROR(INDEX(Table14[],MATCH($B255,Table14[SAPNo],0),3),"")</f>
        <v>Drop In 1308 CT31   (B)</v>
      </c>
      <c r="D255" s="306"/>
      <c r="E255" s="305">
        <v>6</v>
      </c>
      <c r="F255" s="305"/>
      <c r="G255" s="306" t="s">
        <v>1173</v>
      </c>
      <c r="H255" s="306">
        <v>14067154</v>
      </c>
      <c r="I255" s="306" t="s">
        <v>1076</v>
      </c>
      <c r="J255" s="248"/>
      <c r="K255" s="248"/>
      <c r="M255" s="248"/>
      <c r="W255"/>
      <c r="X255"/>
      <c r="Y255"/>
      <c r="Z255"/>
      <c r="AA255"/>
      <c r="AF255">
        <v>6</v>
      </c>
      <c r="AS255" s="258">
        <v>1296685</v>
      </c>
      <c r="AT255" s="10"/>
      <c r="AU255" s="116"/>
      <c r="AV255" s="6">
        <v>0</v>
      </c>
      <c r="AW255" s="116">
        <v>0</v>
      </c>
      <c r="AX255" s="10">
        <v>0</v>
      </c>
      <c r="AY255" s="10"/>
      <c r="AZ255" s="116"/>
    </row>
    <row r="256" spans="1:52" x14ac:dyDescent="0.25">
      <c r="A256" s="308">
        <v>45222</v>
      </c>
      <c r="B256" s="305">
        <v>1078377</v>
      </c>
      <c r="C256" s="412" t="str">
        <f>IFERROR(INDEX(Table14[],MATCH($B256,Table14[SAPNo],0),3),"")</f>
        <v>13MM CT221 R1</v>
      </c>
      <c r="D256" s="306"/>
      <c r="E256" s="305">
        <v>15</v>
      </c>
      <c r="F256" s="305"/>
      <c r="G256" s="306" t="s">
        <v>1173</v>
      </c>
      <c r="H256" s="306">
        <v>14067154</v>
      </c>
      <c r="I256" s="306" t="s">
        <v>1076</v>
      </c>
      <c r="J256" s="248"/>
      <c r="K256" s="248"/>
      <c r="M256" s="248"/>
      <c r="W256"/>
      <c r="X256"/>
      <c r="Y256"/>
      <c r="Z256"/>
      <c r="AA256"/>
      <c r="AF256">
        <v>15</v>
      </c>
      <c r="AS256" s="258">
        <v>1290837</v>
      </c>
      <c r="AT256" s="10"/>
      <c r="AU256" s="116"/>
      <c r="AV256" s="6">
        <v>0</v>
      </c>
      <c r="AW256" s="116">
        <v>0</v>
      </c>
      <c r="AX256" s="10">
        <v>0</v>
      </c>
      <c r="AY256" s="10"/>
      <c r="AZ256" s="116"/>
    </row>
    <row r="257" spans="1:52" x14ac:dyDescent="0.25">
      <c r="A257" s="308">
        <v>45222</v>
      </c>
      <c r="B257" s="305">
        <v>1228502</v>
      </c>
      <c r="C257" s="412" t="str">
        <f>IFERROR(INDEX(Table14[],MATCH($B257,Table14[SAPNo],0),3),"")</f>
        <v>1618 CT182 U-60 Rotor</v>
      </c>
      <c r="D257" s="306"/>
      <c r="E257" s="305">
        <v>10</v>
      </c>
      <c r="F257" s="305"/>
      <c r="G257" s="306" t="s">
        <v>1174</v>
      </c>
      <c r="H257" s="306">
        <v>14056700</v>
      </c>
      <c r="I257" s="306" t="s">
        <v>1175</v>
      </c>
      <c r="J257" s="248"/>
      <c r="K257" s="248"/>
      <c r="M257" s="248"/>
      <c r="W257"/>
      <c r="X257"/>
      <c r="Y257"/>
      <c r="Z257"/>
      <c r="AA257"/>
      <c r="AF257">
        <v>10</v>
      </c>
      <c r="AS257" s="258">
        <v>2002235</v>
      </c>
      <c r="AT257" s="10"/>
      <c r="AU257" s="116"/>
      <c r="AV257" s="6">
        <v>0</v>
      </c>
      <c r="AW257" s="116">
        <v>0</v>
      </c>
      <c r="AX257" s="10">
        <v>0</v>
      </c>
      <c r="AY257" s="10"/>
      <c r="AZ257" s="116"/>
    </row>
    <row r="258" spans="1:52" x14ac:dyDescent="0.25">
      <c r="A258" s="308">
        <v>45222</v>
      </c>
      <c r="B258" s="305">
        <v>1261321</v>
      </c>
      <c r="C258" s="412" t="str">
        <f>IFERROR(INDEX(Table14[],MATCH($B258,Table14[SAPNo],0),3),"")</f>
        <v>1613 CT155 U-60</v>
      </c>
      <c r="D258" s="306"/>
      <c r="E258" s="305">
        <v>4</v>
      </c>
      <c r="F258" s="305"/>
      <c r="G258" s="306" t="s">
        <v>1174</v>
      </c>
      <c r="H258" s="306">
        <v>14056700</v>
      </c>
      <c r="I258" s="306" t="s">
        <v>1175</v>
      </c>
      <c r="J258" s="248"/>
      <c r="K258" s="248"/>
      <c r="M258" s="248"/>
      <c r="W258"/>
      <c r="X258"/>
      <c r="Y258"/>
      <c r="Z258"/>
      <c r="AA258"/>
      <c r="AF258">
        <v>4</v>
      </c>
      <c r="AS258" s="258">
        <v>1272937</v>
      </c>
      <c r="AT258" s="10"/>
      <c r="AU258" s="116"/>
      <c r="AV258" s="6">
        <v>0</v>
      </c>
      <c r="AW258" s="116">
        <v>0</v>
      </c>
      <c r="AX258" s="10">
        <v>0</v>
      </c>
      <c r="AY258" s="10"/>
      <c r="AZ258" s="116"/>
    </row>
    <row r="259" spans="1:52" x14ac:dyDescent="0.25">
      <c r="A259" s="308">
        <v>45222</v>
      </c>
      <c r="B259" s="305">
        <v>1261320</v>
      </c>
      <c r="C259" s="412" t="str">
        <f>IFERROR(INDEX(Table14[],MATCH($B259,Table14[SAPNo],0),3),"")</f>
        <v>1313 CT155 U-60</v>
      </c>
      <c r="D259" s="306"/>
      <c r="E259" s="305">
        <v>6</v>
      </c>
      <c r="F259" s="305"/>
      <c r="G259" s="306" t="s">
        <v>1174</v>
      </c>
      <c r="H259" s="306">
        <v>14056700</v>
      </c>
      <c r="I259" s="306" t="s">
        <v>1175</v>
      </c>
      <c r="J259" s="248"/>
      <c r="K259" s="248"/>
      <c r="M259" s="248"/>
      <c r="W259"/>
      <c r="X259"/>
      <c r="Y259"/>
      <c r="Z259"/>
      <c r="AA259"/>
      <c r="AF259">
        <v>6</v>
      </c>
      <c r="AS259" s="258">
        <v>1282369</v>
      </c>
      <c r="AT259" s="10"/>
      <c r="AU259" s="116"/>
      <c r="AV259" s="6">
        <v>0</v>
      </c>
      <c r="AW259" s="116">
        <v>0</v>
      </c>
      <c r="AX259" s="10">
        <v>0</v>
      </c>
      <c r="AY259" s="10"/>
      <c r="AZ259" s="116"/>
    </row>
    <row r="260" spans="1:52" x14ac:dyDescent="0.25">
      <c r="A260" s="308">
        <v>45222</v>
      </c>
      <c r="B260" s="305">
        <v>1228503</v>
      </c>
      <c r="C260" s="412" t="str">
        <f>IFERROR(INDEX(Table14[],MATCH($B260,Table14[SAPNo],0),3),"")</f>
        <v>1618 CT182 U-60 Ring</v>
      </c>
      <c r="D260" s="306"/>
      <c r="E260" s="305">
        <v>10</v>
      </c>
      <c r="F260" s="305"/>
      <c r="G260" s="306" t="s">
        <v>1174</v>
      </c>
      <c r="H260" s="306">
        <v>14056700</v>
      </c>
      <c r="I260" s="306" t="s">
        <v>1175</v>
      </c>
      <c r="J260" s="248"/>
      <c r="K260" s="248"/>
      <c r="M260" s="248"/>
      <c r="W260"/>
      <c r="X260"/>
      <c r="Y260"/>
      <c r="Z260"/>
      <c r="AA260"/>
      <c r="AF260">
        <v>10</v>
      </c>
      <c r="AS260" s="250">
        <v>1162285</v>
      </c>
      <c r="AT260" s="10"/>
      <c r="AU260" s="116"/>
      <c r="AV260" s="6">
        <v>0</v>
      </c>
      <c r="AW260" s="116">
        <v>0</v>
      </c>
      <c r="AX260" s="10">
        <v>0</v>
      </c>
      <c r="AY260" s="10"/>
      <c r="AZ260" s="116"/>
    </row>
    <row r="261" spans="1:52" x14ac:dyDescent="0.25">
      <c r="A261" s="308">
        <v>45222</v>
      </c>
      <c r="B261" s="305">
        <v>871781</v>
      </c>
      <c r="C261" s="412" t="str">
        <f>IFERROR(INDEX(Table14[],MATCH($B261,Table14[SAPNo],0),3),"")</f>
        <v>Round 1313 CT200  0.018" (B)</v>
      </c>
      <c r="D261" s="306"/>
      <c r="E261" s="305">
        <v>6</v>
      </c>
      <c r="F261" s="305"/>
      <c r="G261" s="306" t="s">
        <v>1174</v>
      </c>
      <c r="H261" s="306">
        <v>14056700</v>
      </c>
      <c r="I261" s="306" t="s">
        <v>1175</v>
      </c>
      <c r="J261" s="248"/>
      <c r="K261" s="248"/>
      <c r="M261" s="248"/>
      <c r="W261"/>
      <c r="X261"/>
      <c r="Y261"/>
      <c r="Z261"/>
      <c r="AA261"/>
      <c r="AF261">
        <v>6</v>
      </c>
      <c r="AS261" s="250">
        <v>1255772</v>
      </c>
      <c r="AT261" s="10"/>
      <c r="AU261" s="116"/>
      <c r="AV261" s="6">
        <v>0</v>
      </c>
      <c r="AW261" s="116">
        <v>0</v>
      </c>
      <c r="AX261" s="10">
        <v>0</v>
      </c>
      <c r="AY261" s="10"/>
      <c r="AZ261" s="116"/>
    </row>
    <row r="262" spans="1:52" x14ac:dyDescent="0.25">
      <c r="A262" s="308">
        <v>45222</v>
      </c>
      <c r="B262" s="305">
        <v>1228501</v>
      </c>
      <c r="C262" s="412" t="str">
        <f>IFERROR(INDEX(Table14[],MATCH($B262,Table14[SAPNo],0),3),"")</f>
        <v>1618 CT182 U-60 stator</v>
      </c>
      <c r="D262" s="306"/>
      <c r="E262" s="305">
        <v>10</v>
      </c>
      <c r="F262" s="305"/>
      <c r="G262" s="306" t="s">
        <v>1174</v>
      </c>
      <c r="H262" s="306">
        <v>14056700</v>
      </c>
      <c r="I262" s="306" t="s">
        <v>1175</v>
      </c>
      <c r="J262" s="248"/>
      <c r="K262" s="248"/>
      <c r="M262" s="248"/>
      <c r="W262"/>
      <c r="X262"/>
      <c r="Y262"/>
      <c r="Z262"/>
      <c r="AA262"/>
      <c r="AF262">
        <v>10</v>
      </c>
      <c r="AS262" s="250">
        <v>1136983</v>
      </c>
      <c r="AT262" s="10"/>
      <c r="AU262" s="116"/>
      <c r="AV262" s="6">
        <v>0</v>
      </c>
      <c r="AW262" s="116">
        <v>0</v>
      </c>
      <c r="AX262" s="10">
        <v>0</v>
      </c>
      <c r="AY262" s="10"/>
      <c r="AZ262" s="116"/>
    </row>
    <row r="263" spans="1:52" x14ac:dyDescent="0.25">
      <c r="A263" s="308">
        <v>45222</v>
      </c>
      <c r="B263" s="305">
        <v>1261319</v>
      </c>
      <c r="C263" s="412" t="str">
        <f>IFERROR(INDEX(Table14[],MATCH($B263,Table14[SAPNo],0),3),"")</f>
        <v>1308 CT155 U-60</v>
      </c>
      <c r="D263" s="306"/>
      <c r="E263" s="305">
        <v>24</v>
      </c>
      <c r="F263" s="305"/>
      <c r="G263" s="306" t="s">
        <v>1174</v>
      </c>
      <c r="H263" s="306">
        <v>14056700</v>
      </c>
      <c r="I263" s="306" t="s">
        <v>1175</v>
      </c>
      <c r="J263" s="248"/>
      <c r="K263" s="248"/>
      <c r="M263" s="248"/>
      <c r="W263"/>
      <c r="X263"/>
      <c r="Y263"/>
      <c r="Z263"/>
      <c r="AA263"/>
      <c r="AF263">
        <v>24</v>
      </c>
      <c r="AS263" s="250">
        <v>2004484</v>
      </c>
      <c r="AT263" s="10"/>
      <c r="AU263" s="116"/>
      <c r="AV263" s="6">
        <v>0</v>
      </c>
      <c r="AW263" s="116">
        <v>0</v>
      </c>
      <c r="AX263" s="10">
        <v>0</v>
      </c>
      <c r="AY263" s="10"/>
      <c r="AZ263" s="116"/>
    </row>
    <row r="264" spans="1:52" x14ac:dyDescent="0.25">
      <c r="A264" s="308">
        <v>45223</v>
      </c>
      <c r="B264" s="305">
        <v>1078377</v>
      </c>
      <c r="C264" s="412" t="str">
        <f>IFERROR(INDEX(Table14[],MATCH($B264,Table14[SAPNo],0),3),"")</f>
        <v>13MM CT221 R1</v>
      </c>
      <c r="D264" s="306"/>
      <c r="E264" s="305">
        <v>15</v>
      </c>
      <c r="F264" s="305"/>
      <c r="G264" s="306" t="s">
        <v>1176</v>
      </c>
      <c r="H264" s="306">
        <v>14067156</v>
      </c>
      <c r="I264" s="306" t="s">
        <v>1076</v>
      </c>
      <c r="J264" s="248"/>
      <c r="K264" s="248"/>
      <c r="M264" s="248"/>
      <c r="W264"/>
      <c r="X264"/>
      <c r="Y264"/>
      <c r="Z264"/>
      <c r="AA264"/>
      <c r="AF264">
        <v>15</v>
      </c>
      <c r="AS264" s="250">
        <v>2000450</v>
      </c>
      <c r="AT264" s="10"/>
      <c r="AU264" s="116"/>
      <c r="AV264" s="6">
        <v>0</v>
      </c>
      <c r="AW264" s="116">
        <v>0</v>
      </c>
      <c r="AX264" s="10">
        <v>0</v>
      </c>
      <c r="AY264" s="10"/>
      <c r="AZ264" s="116"/>
    </row>
    <row r="265" spans="1:52" x14ac:dyDescent="0.25">
      <c r="A265" s="308">
        <v>45223</v>
      </c>
      <c r="B265" s="305">
        <v>1175118</v>
      </c>
      <c r="C265" s="412" t="str">
        <f>IFERROR(INDEX(Table14[],MATCH($B265,Table14[SAPNo],0),3),"")</f>
        <v>1613 CT147 18-60</v>
      </c>
      <c r="D265" s="306"/>
      <c r="E265" s="305">
        <v>17</v>
      </c>
      <c r="F265" s="305"/>
      <c r="G265" s="306" t="s">
        <v>1176</v>
      </c>
      <c r="H265" s="306">
        <v>14067156</v>
      </c>
      <c r="I265" s="306" t="s">
        <v>1076</v>
      </c>
      <c r="J265" s="248"/>
      <c r="K265" s="248"/>
      <c r="M265" s="248"/>
      <c r="W265"/>
      <c r="X265"/>
      <c r="Y265"/>
      <c r="Z265"/>
      <c r="AA265"/>
      <c r="AF265">
        <v>17</v>
      </c>
      <c r="AS265" s="250">
        <v>2007571</v>
      </c>
      <c r="AT265" s="10"/>
      <c r="AU265" s="116"/>
      <c r="AV265" s="6">
        <v>0</v>
      </c>
      <c r="AW265" s="116">
        <v>0</v>
      </c>
      <c r="AX265" s="10">
        <v>0</v>
      </c>
      <c r="AY265" s="10"/>
      <c r="AZ265" s="116"/>
    </row>
    <row r="266" spans="1:52" x14ac:dyDescent="0.25">
      <c r="A266" s="308">
        <v>45223</v>
      </c>
      <c r="B266" s="305">
        <v>1208601</v>
      </c>
      <c r="C266" s="412" t="str">
        <f>IFERROR(INDEX(Table14[],MATCH($B266,Table14[SAPNo],0),3),"")</f>
        <v>1613 CT418 U-60</v>
      </c>
      <c r="D266" s="306"/>
      <c r="E266" s="305">
        <v>8</v>
      </c>
      <c r="F266" s="305"/>
      <c r="G266" s="306" t="s">
        <v>1176</v>
      </c>
      <c r="H266" s="306">
        <v>14067156</v>
      </c>
      <c r="I266" s="306" t="s">
        <v>1076</v>
      </c>
      <c r="J266" s="248"/>
      <c r="K266" s="248"/>
      <c r="M266" s="248"/>
      <c r="W266"/>
      <c r="X266"/>
      <c r="Y266"/>
      <c r="Z266"/>
      <c r="AA266"/>
      <c r="AF266">
        <v>8</v>
      </c>
      <c r="AS266" s="250">
        <v>2002299</v>
      </c>
      <c r="AT266" s="10"/>
      <c r="AU266" s="116"/>
      <c r="AV266" s="6">
        <v>0</v>
      </c>
      <c r="AW266" s="116">
        <v>0</v>
      </c>
      <c r="AX266" s="10">
        <v>0</v>
      </c>
      <c r="AY266" s="10"/>
      <c r="AZ266" s="116"/>
    </row>
    <row r="267" spans="1:52" x14ac:dyDescent="0.25">
      <c r="A267" s="308">
        <v>45223</v>
      </c>
      <c r="B267" s="305">
        <v>1146737</v>
      </c>
      <c r="C267" s="412" t="str">
        <f>IFERROR(INDEX(Table14[],MATCH($B267,Table14[SAPNo],0),3),"")</f>
        <v>1613 CT418 18-60</v>
      </c>
      <c r="D267" s="306"/>
      <c r="E267" s="305">
        <v>6</v>
      </c>
      <c r="F267" s="305"/>
      <c r="G267" s="306" t="s">
        <v>1176</v>
      </c>
      <c r="H267" s="306">
        <v>14067156</v>
      </c>
      <c r="I267" s="306" t="s">
        <v>1076</v>
      </c>
      <c r="J267" s="248"/>
      <c r="K267" s="248"/>
      <c r="M267" s="248"/>
      <c r="W267"/>
      <c r="X267"/>
      <c r="Y267"/>
      <c r="Z267"/>
      <c r="AA267"/>
      <c r="AF267">
        <v>6</v>
      </c>
      <c r="AT267" s="1">
        <f t="shared" ref="AT267:AZ267" si="1">SUM(AT2:AT266)</f>
        <v>186</v>
      </c>
      <c r="AU267" s="1">
        <f t="shared" si="1"/>
        <v>294</v>
      </c>
      <c r="AV267" s="1">
        <f t="shared" si="1"/>
        <v>193</v>
      </c>
      <c r="AW267" s="1">
        <f t="shared" si="1"/>
        <v>537</v>
      </c>
      <c r="AX267" s="1">
        <f t="shared" si="1"/>
        <v>11052</v>
      </c>
      <c r="AY267" s="1">
        <f t="shared" si="1"/>
        <v>63</v>
      </c>
      <c r="AZ267" s="1">
        <f t="shared" si="1"/>
        <v>1</v>
      </c>
    </row>
    <row r="268" spans="1:52" x14ac:dyDescent="0.25">
      <c r="A268" s="320">
        <v>45223</v>
      </c>
      <c r="B268" s="321">
        <v>418525</v>
      </c>
      <c r="C268" s="413" t="str">
        <f>IFERROR(INDEX(Table14[],MATCH($B268,Table14[SAPNo],0),3),"")</f>
        <v>Drop In 1308 CT31   (B)</v>
      </c>
      <c r="D268" s="306"/>
      <c r="E268" s="321">
        <v>6</v>
      </c>
      <c r="F268" s="321"/>
      <c r="G268" s="322" t="s">
        <v>1176</v>
      </c>
      <c r="H268" s="322">
        <v>14067156</v>
      </c>
      <c r="I268" s="322" t="s">
        <v>1076</v>
      </c>
      <c r="J268" s="248"/>
      <c r="K268" s="248"/>
      <c r="M268" s="248"/>
      <c r="W268"/>
      <c r="X268"/>
      <c r="Y268"/>
      <c r="Z268"/>
      <c r="AA268"/>
      <c r="AF268">
        <v>6</v>
      </c>
      <c r="AS268" s="471"/>
      <c r="AT268"/>
      <c r="AU268"/>
      <c r="AV268"/>
      <c r="AW268"/>
      <c r="AX268"/>
      <c r="AY268"/>
      <c r="AZ268"/>
    </row>
    <row r="269" spans="1:52" x14ac:dyDescent="0.25">
      <c r="A269" s="308">
        <v>45223</v>
      </c>
      <c r="B269" s="305">
        <v>1130198</v>
      </c>
      <c r="C269" s="412" t="str">
        <f>IFERROR(INDEX(Table14[],MATCH($B269,Table14[SAPNo],0),3),"")</f>
        <v>Round 1613 CT182  0.018" (S)</v>
      </c>
      <c r="D269" s="306"/>
      <c r="E269" s="305">
        <v>0</v>
      </c>
      <c r="F269" s="305"/>
      <c r="G269" s="306" t="s">
        <v>1177</v>
      </c>
      <c r="H269" s="306">
        <v>14067149</v>
      </c>
      <c r="I269" s="306" t="s">
        <v>1092</v>
      </c>
      <c r="J269" s="248"/>
      <c r="K269" s="248"/>
      <c r="M269" s="248"/>
      <c r="W269"/>
      <c r="X269"/>
      <c r="Y269"/>
      <c r="Z269"/>
      <c r="AA269"/>
      <c r="AF269">
        <v>0</v>
      </c>
      <c r="AS269" s="471"/>
      <c r="AT269"/>
      <c r="AU269"/>
      <c r="AV269"/>
      <c r="AW269"/>
      <c r="AX269"/>
      <c r="AY269"/>
      <c r="AZ269"/>
    </row>
    <row r="270" spans="1:52" x14ac:dyDescent="0.25">
      <c r="A270" s="308">
        <v>45223</v>
      </c>
      <c r="B270" s="305">
        <v>1130196</v>
      </c>
      <c r="C270" s="412" t="str">
        <f>IFERROR(INDEX(Table14[],MATCH($B270,Table14[SAPNo],0),3),"")</f>
        <v>Round 1313 CT182  0.018" (S)</v>
      </c>
      <c r="D270" s="306"/>
      <c r="E270" s="305">
        <v>22</v>
      </c>
      <c r="F270" s="305"/>
      <c r="G270" s="306" t="s">
        <v>1177</v>
      </c>
      <c r="H270" s="306">
        <v>14067149</v>
      </c>
      <c r="I270" s="306" t="s">
        <v>1092</v>
      </c>
      <c r="J270" s="248"/>
      <c r="K270" s="248"/>
      <c r="M270" s="248"/>
      <c r="W270"/>
      <c r="X270"/>
      <c r="Y270"/>
      <c r="Z270"/>
      <c r="AA270"/>
      <c r="AF270">
        <v>22</v>
      </c>
      <c r="AS270" s="471"/>
      <c r="AT270"/>
      <c r="AU270"/>
      <c r="AV270"/>
      <c r="AW270"/>
      <c r="AX270"/>
      <c r="AY270"/>
      <c r="AZ270"/>
    </row>
    <row r="271" spans="1:52" x14ac:dyDescent="0.25">
      <c r="A271" s="308">
        <v>45222</v>
      </c>
      <c r="B271" s="305">
        <v>1220554</v>
      </c>
      <c r="C271" s="412" t="str">
        <f>IFERROR(INDEX(Table14[],MATCH($B271,Table14[SAPNo],0),3),"")</f>
        <v xml:space="preserve">1618 CT182 U-60 Carbide </v>
      </c>
      <c r="D271" s="306"/>
      <c r="E271" s="305">
        <v>15</v>
      </c>
      <c r="F271" s="305"/>
      <c r="G271" s="306" t="s">
        <v>1174</v>
      </c>
      <c r="H271" s="306">
        <v>14056700</v>
      </c>
      <c r="I271" s="306" t="s">
        <v>1175</v>
      </c>
      <c r="J271" s="248"/>
      <c r="K271" s="248"/>
      <c r="M271" s="248"/>
      <c r="W271"/>
      <c r="X271"/>
      <c r="Y271"/>
      <c r="Z271"/>
      <c r="AA271"/>
      <c r="AF271">
        <v>15</v>
      </c>
      <c r="AS271" s="471"/>
      <c r="AT271"/>
      <c r="AU271"/>
      <c r="AV271"/>
      <c r="AW271"/>
      <c r="AX271"/>
      <c r="AY271"/>
      <c r="AZ271"/>
    </row>
    <row r="272" spans="1:52" x14ac:dyDescent="0.25">
      <c r="A272" s="308">
        <v>45223</v>
      </c>
      <c r="B272" s="305">
        <v>871781</v>
      </c>
      <c r="C272" s="412" t="str">
        <f>IFERROR(INDEX(Table14[],MATCH($B272,Table14[SAPNo],0),3),"")</f>
        <v>Round 1313 CT200  0.018" (B)</v>
      </c>
      <c r="D272" s="306"/>
      <c r="E272" s="305">
        <v>5</v>
      </c>
      <c r="F272" s="305"/>
      <c r="G272" s="306" t="s">
        <v>1177</v>
      </c>
      <c r="H272" s="306">
        <v>14067149</v>
      </c>
      <c r="I272" s="306" t="s">
        <v>1092</v>
      </c>
      <c r="J272" s="248"/>
      <c r="K272" s="248"/>
      <c r="M272" s="248"/>
      <c r="W272"/>
      <c r="X272"/>
      <c r="Y272"/>
      <c r="Z272"/>
      <c r="AA272"/>
      <c r="AF272">
        <v>5</v>
      </c>
      <c r="AS272" s="471"/>
      <c r="AT272"/>
      <c r="AU272"/>
      <c r="AV272"/>
      <c r="AW272"/>
      <c r="AX272"/>
      <c r="AY272"/>
      <c r="AZ272"/>
    </row>
    <row r="273" spans="1:32" x14ac:dyDescent="0.25">
      <c r="A273" s="308">
        <v>45223</v>
      </c>
      <c r="B273" s="305">
        <v>1175118</v>
      </c>
      <c r="C273" s="412" t="str">
        <f>IFERROR(INDEX(Table14[],MATCH($B273,Table14[SAPNo],0),3),"")</f>
        <v>1613 CT147 18-60</v>
      </c>
      <c r="D273" s="306"/>
      <c r="E273" s="305">
        <v>30</v>
      </c>
      <c r="F273" s="305"/>
      <c r="G273" s="306" t="s">
        <v>1177</v>
      </c>
      <c r="H273" s="306">
        <v>14067149</v>
      </c>
      <c r="I273" s="306" t="s">
        <v>1092</v>
      </c>
      <c r="J273" s="248"/>
      <c r="K273" s="248"/>
      <c r="M273" s="248"/>
      <c r="W273"/>
      <c r="X273"/>
      <c r="Y273"/>
      <c r="Z273"/>
      <c r="AA273"/>
      <c r="AF273">
        <v>30</v>
      </c>
    </row>
    <row r="274" spans="1:32" x14ac:dyDescent="0.25">
      <c r="A274" s="320">
        <v>45222</v>
      </c>
      <c r="B274" s="321">
        <v>1228501</v>
      </c>
      <c r="C274" s="413" t="str">
        <f>IFERROR(INDEX(Table14[],MATCH($B274,Table14[SAPNo],0),3),"")</f>
        <v>1618 CT182 U-60 stator</v>
      </c>
      <c r="D274" s="306"/>
      <c r="E274" s="321">
        <v>10</v>
      </c>
      <c r="F274" s="321"/>
      <c r="G274" s="322" t="s">
        <v>1178</v>
      </c>
      <c r="H274" s="322">
        <v>14056701</v>
      </c>
      <c r="I274" s="322" t="s">
        <v>1175</v>
      </c>
      <c r="J274" s="248"/>
      <c r="K274" s="248"/>
      <c r="M274" s="248"/>
      <c r="W274"/>
      <c r="X274"/>
      <c r="Y274"/>
      <c r="Z274"/>
      <c r="AA274"/>
      <c r="AF274">
        <v>10</v>
      </c>
    </row>
    <row r="275" spans="1:32" x14ac:dyDescent="0.25">
      <c r="A275" s="308">
        <v>45222</v>
      </c>
      <c r="B275" s="305">
        <v>1228503</v>
      </c>
      <c r="C275" s="412" t="str">
        <f>IFERROR(INDEX(Table14[],MATCH($B275,Table14[SAPNo],0),3),"")</f>
        <v>1618 CT182 U-60 Ring</v>
      </c>
      <c r="D275" s="306"/>
      <c r="E275" s="305">
        <v>10</v>
      </c>
      <c r="F275" s="305"/>
      <c r="G275" s="306" t="s">
        <v>1178</v>
      </c>
      <c r="H275" s="306">
        <v>14056701</v>
      </c>
      <c r="I275" s="306" t="s">
        <v>1175</v>
      </c>
      <c r="J275" s="248"/>
      <c r="K275" s="248"/>
      <c r="M275" s="248"/>
      <c r="W275"/>
      <c r="Z275"/>
      <c r="AA275"/>
      <c r="AF275">
        <v>10</v>
      </c>
    </row>
    <row r="276" spans="1:32" x14ac:dyDescent="0.25">
      <c r="A276" s="308">
        <v>45223</v>
      </c>
      <c r="B276" s="305">
        <v>1261319</v>
      </c>
      <c r="C276" s="412" t="str">
        <f>IFERROR(INDEX(Table14[],MATCH($B276,Table14[SAPNo],0),3),"")</f>
        <v>1308 CT155 U-60</v>
      </c>
      <c r="D276" s="306"/>
      <c r="E276" s="305">
        <v>24</v>
      </c>
      <c r="F276" s="305"/>
      <c r="G276" s="306" t="s">
        <v>1178</v>
      </c>
      <c r="H276" s="306">
        <v>14056701</v>
      </c>
      <c r="I276" s="306" t="s">
        <v>1175</v>
      </c>
      <c r="J276" s="248"/>
      <c r="K276" s="248"/>
      <c r="M276" s="248"/>
      <c r="W276"/>
      <c r="Z276"/>
      <c r="AA276"/>
      <c r="AF276">
        <v>24</v>
      </c>
    </row>
    <row r="277" spans="1:32" x14ac:dyDescent="0.25">
      <c r="A277" s="308">
        <v>45222</v>
      </c>
      <c r="B277" s="305">
        <v>1220554</v>
      </c>
      <c r="C277" s="412" t="str">
        <f>IFERROR(INDEX(Table14[],MATCH($B277,Table14[SAPNo],0),3),"")</f>
        <v xml:space="preserve">1618 CT182 U-60 Carbide </v>
      </c>
      <c r="D277" s="306"/>
      <c r="E277" s="305">
        <v>10</v>
      </c>
      <c r="F277" s="305"/>
      <c r="G277" s="306" t="s">
        <v>1178</v>
      </c>
      <c r="H277" s="306">
        <v>14056701</v>
      </c>
      <c r="I277" s="306" t="s">
        <v>1175</v>
      </c>
      <c r="J277" s="248"/>
      <c r="K277" s="248"/>
      <c r="M277" s="248"/>
      <c r="W277"/>
      <c r="Z277"/>
      <c r="AA277"/>
      <c r="AF277">
        <v>10</v>
      </c>
    </row>
    <row r="278" spans="1:32" x14ac:dyDescent="0.25">
      <c r="A278" s="308">
        <v>45223</v>
      </c>
      <c r="B278" s="305">
        <v>871781</v>
      </c>
      <c r="C278" s="412" t="str">
        <f>IFERROR(INDEX(Table14[],MATCH($B278,Table14[SAPNo],0),3),"")</f>
        <v>Round 1313 CT200  0.018" (B)</v>
      </c>
      <c r="D278" s="306"/>
      <c r="E278" s="305">
        <v>6</v>
      </c>
      <c r="F278" s="305"/>
      <c r="G278" s="306" t="s">
        <v>1178</v>
      </c>
      <c r="H278" s="306">
        <v>14056701</v>
      </c>
      <c r="I278" s="306" t="s">
        <v>1175</v>
      </c>
      <c r="J278" s="248"/>
      <c r="K278" s="248"/>
      <c r="M278" s="248"/>
      <c r="W278"/>
      <c r="Z278"/>
      <c r="AA278"/>
      <c r="AF278">
        <v>6</v>
      </c>
    </row>
    <row r="279" spans="1:32" x14ac:dyDescent="0.25">
      <c r="A279" s="320">
        <v>45223</v>
      </c>
      <c r="B279" s="321">
        <v>1261320</v>
      </c>
      <c r="C279" s="413" t="str">
        <f>IFERROR(INDEX(Table14[],MATCH($B279,Table14[SAPNo],0),3),"")</f>
        <v>1313 CT155 U-60</v>
      </c>
      <c r="D279" s="306"/>
      <c r="E279" s="321">
        <v>6</v>
      </c>
      <c r="F279" s="321"/>
      <c r="G279" s="322" t="s">
        <v>1178</v>
      </c>
      <c r="H279" s="322">
        <v>14056701</v>
      </c>
      <c r="I279" s="322" t="s">
        <v>1175</v>
      </c>
      <c r="J279" s="248"/>
      <c r="K279" s="248"/>
      <c r="M279" s="248"/>
      <c r="W279"/>
      <c r="Z279"/>
      <c r="AA279"/>
      <c r="AF279">
        <v>6</v>
      </c>
    </row>
    <row r="280" spans="1:32" x14ac:dyDescent="0.25">
      <c r="A280" s="320">
        <v>45223</v>
      </c>
      <c r="B280" s="305">
        <v>1261321</v>
      </c>
      <c r="C280" s="412" t="str">
        <f>IFERROR(INDEX(Table14[],MATCH($B280,Table14[SAPNo],0),3),"")</f>
        <v>1613 CT155 U-60</v>
      </c>
      <c r="D280" s="306"/>
      <c r="E280" s="305">
        <v>4</v>
      </c>
      <c r="F280" s="305"/>
      <c r="G280" s="306" t="s">
        <v>1178</v>
      </c>
      <c r="H280" s="306">
        <v>14056701</v>
      </c>
      <c r="I280" s="306" t="s">
        <v>1175</v>
      </c>
      <c r="J280" s="248"/>
      <c r="K280" s="248"/>
      <c r="M280" s="248"/>
      <c r="W280"/>
      <c r="Z280"/>
      <c r="AA280"/>
      <c r="AF280">
        <v>4</v>
      </c>
    </row>
    <row r="281" spans="1:32" x14ac:dyDescent="0.25">
      <c r="A281" s="308">
        <v>45223</v>
      </c>
      <c r="B281" s="305">
        <v>1228502</v>
      </c>
      <c r="C281" s="412" t="str">
        <f>IFERROR(INDEX(Table14[],MATCH($B281,Table14[SAPNo],0),3),"")</f>
        <v>1618 CT182 U-60 Rotor</v>
      </c>
      <c r="D281" s="306"/>
      <c r="E281" s="305">
        <v>10</v>
      </c>
      <c r="F281" s="305"/>
      <c r="G281" s="306" t="s">
        <v>1178</v>
      </c>
      <c r="H281" s="306">
        <v>14056701</v>
      </c>
      <c r="I281" s="306" t="s">
        <v>1175</v>
      </c>
      <c r="J281" s="248"/>
      <c r="K281" s="248"/>
      <c r="M281" s="248"/>
      <c r="W281"/>
      <c r="Z281"/>
      <c r="AA281"/>
      <c r="AF281">
        <v>10</v>
      </c>
    </row>
    <row r="282" spans="1:32" x14ac:dyDescent="0.25">
      <c r="A282" s="308">
        <v>45228</v>
      </c>
      <c r="B282" s="305">
        <v>1228502</v>
      </c>
      <c r="C282" s="412" t="str">
        <f>IFERROR(INDEX(Table14[],MATCH($B282,Table14[SAPNo],0),3),"")</f>
        <v>1618 CT182 U-60 Rotor</v>
      </c>
      <c r="D282" s="306"/>
      <c r="E282" s="305">
        <v>10</v>
      </c>
      <c r="F282" s="305"/>
      <c r="G282" s="306" t="s">
        <v>1179</v>
      </c>
      <c r="H282" s="306">
        <v>14056704</v>
      </c>
      <c r="I282" s="306" t="s">
        <v>1175</v>
      </c>
      <c r="J282" s="248"/>
      <c r="K282" s="248"/>
      <c r="M282" s="248"/>
      <c r="W282"/>
      <c r="X282"/>
      <c r="Y282"/>
      <c r="Z282"/>
      <c r="AA282"/>
      <c r="AF282">
        <v>10</v>
      </c>
    </row>
    <row r="283" spans="1:32" x14ac:dyDescent="0.25">
      <c r="A283" s="308">
        <v>45228</v>
      </c>
      <c r="B283" s="305">
        <v>1228501</v>
      </c>
      <c r="C283" s="412" t="str">
        <f>IFERROR(INDEX(Table14[],MATCH($B283,Table14[SAPNo],0),3),"")</f>
        <v>1618 CT182 U-60 stator</v>
      </c>
      <c r="D283" s="306"/>
      <c r="E283" s="305">
        <v>10</v>
      </c>
      <c r="F283" s="305"/>
      <c r="G283" s="306" t="s">
        <v>1179</v>
      </c>
      <c r="H283" s="306">
        <v>14056704</v>
      </c>
      <c r="I283" s="306" t="s">
        <v>1175</v>
      </c>
      <c r="J283" s="248"/>
      <c r="K283" s="248"/>
      <c r="M283" s="248"/>
      <c r="W283"/>
      <c r="X283"/>
      <c r="Y283"/>
      <c r="Z283"/>
      <c r="AA283"/>
      <c r="AF283">
        <v>10</v>
      </c>
    </row>
    <row r="284" spans="1:32" x14ac:dyDescent="0.25">
      <c r="A284" s="308">
        <v>45228</v>
      </c>
      <c r="B284" s="305">
        <v>871781</v>
      </c>
      <c r="C284" s="412" t="str">
        <f>IFERROR(INDEX(Table14[],MATCH($B284,Table14[SAPNo],0),3),"")</f>
        <v>Round 1313 CT200  0.018" (B)</v>
      </c>
      <c r="D284" s="306"/>
      <c r="E284" s="305">
        <v>6</v>
      </c>
      <c r="F284" s="305"/>
      <c r="G284" s="306" t="s">
        <v>1179</v>
      </c>
      <c r="H284" s="306">
        <v>14056704</v>
      </c>
      <c r="I284" s="306" t="s">
        <v>1175</v>
      </c>
      <c r="J284" s="248"/>
      <c r="K284" s="248"/>
      <c r="M284" s="248"/>
      <c r="W284"/>
      <c r="X284"/>
      <c r="Y284"/>
      <c r="Z284"/>
      <c r="AA284"/>
      <c r="AF284">
        <v>6</v>
      </c>
    </row>
    <row r="285" spans="1:32" x14ac:dyDescent="0.25">
      <c r="A285" s="308">
        <v>45228</v>
      </c>
      <c r="B285" s="305">
        <v>1228503</v>
      </c>
      <c r="C285" s="412" t="str">
        <f>IFERROR(INDEX(Table14[],MATCH($B285,Table14[SAPNo],0),3),"")</f>
        <v>1618 CT182 U-60 Ring</v>
      </c>
      <c r="D285" s="306"/>
      <c r="E285" s="305">
        <v>10</v>
      </c>
      <c r="F285" s="305"/>
      <c r="G285" s="306" t="s">
        <v>1179</v>
      </c>
      <c r="H285" s="306">
        <v>14056704</v>
      </c>
      <c r="I285" s="306" t="s">
        <v>1175</v>
      </c>
      <c r="J285" s="248"/>
      <c r="K285" s="248"/>
      <c r="M285" s="248"/>
      <c r="W285"/>
      <c r="X285"/>
      <c r="Y285"/>
      <c r="Z285"/>
      <c r="AA285"/>
      <c r="AF285">
        <v>10</v>
      </c>
    </row>
    <row r="286" spans="1:32" x14ac:dyDescent="0.25">
      <c r="A286" s="308">
        <v>45223</v>
      </c>
      <c r="B286" s="305">
        <v>1209410</v>
      </c>
      <c r="C286" s="412" t="str">
        <f>IFERROR(INDEX(Table14[],MATCH($B286,Table14[SAPNo],0),3),"")</f>
        <v>1613 CT430MV3 U TBO</v>
      </c>
      <c r="D286" s="306"/>
      <c r="E286" s="305">
        <v>10</v>
      </c>
      <c r="F286" s="305"/>
      <c r="G286" s="306" t="s">
        <v>1177</v>
      </c>
      <c r="H286" s="306">
        <v>14067149</v>
      </c>
      <c r="I286" s="306" t="s">
        <v>1092</v>
      </c>
      <c r="J286" s="248"/>
      <c r="K286" s="248"/>
      <c r="M286" s="248"/>
      <c r="W286"/>
      <c r="X286"/>
      <c r="Y286"/>
      <c r="Z286"/>
      <c r="AA286"/>
      <c r="AF286">
        <v>10</v>
      </c>
    </row>
    <row r="287" spans="1:32" x14ac:dyDescent="0.25">
      <c r="A287" s="308">
        <v>45228</v>
      </c>
      <c r="B287" s="305">
        <v>1220554</v>
      </c>
      <c r="C287" s="412" t="str">
        <f>IFERROR(INDEX(Table14[],MATCH($B287,Table14[SAPNo],0),3),"")</f>
        <v xml:space="preserve">1618 CT182 U-60 Carbide </v>
      </c>
      <c r="D287" s="306"/>
      <c r="E287" s="305">
        <v>10</v>
      </c>
      <c r="F287" s="305"/>
      <c r="G287" s="306" t="s">
        <v>1179</v>
      </c>
      <c r="H287" s="306">
        <v>14056704</v>
      </c>
      <c r="I287" s="306" t="s">
        <v>1175</v>
      </c>
      <c r="J287" s="248"/>
      <c r="K287" s="248"/>
      <c r="M287" s="248"/>
      <c r="W287"/>
      <c r="X287"/>
      <c r="Y287"/>
      <c r="Z287"/>
      <c r="AA287"/>
      <c r="AF287">
        <v>10</v>
      </c>
    </row>
    <row r="288" spans="1:32" x14ac:dyDescent="0.25">
      <c r="A288" s="308">
        <v>45228</v>
      </c>
      <c r="B288" s="305">
        <v>1261319</v>
      </c>
      <c r="C288" s="412" t="str">
        <f>IFERROR(INDEX(Table14[],MATCH($B288,Table14[SAPNo],0),3),"")</f>
        <v>1308 CT155 U-60</v>
      </c>
      <c r="D288" s="306"/>
      <c r="E288" s="305">
        <v>24</v>
      </c>
      <c r="F288" s="305"/>
      <c r="G288" s="306" t="s">
        <v>1179</v>
      </c>
      <c r="H288" s="306">
        <v>14056704</v>
      </c>
      <c r="I288" s="306" t="s">
        <v>1175</v>
      </c>
      <c r="J288" s="248"/>
      <c r="K288" s="248"/>
      <c r="M288" s="248"/>
      <c r="W288"/>
      <c r="X288"/>
      <c r="Y288"/>
      <c r="Z288"/>
      <c r="AA288"/>
      <c r="AF288">
        <v>24</v>
      </c>
    </row>
    <row r="289" spans="1:32" x14ac:dyDescent="0.25">
      <c r="A289" s="320">
        <v>45228</v>
      </c>
      <c r="B289" s="321">
        <v>1261320</v>
      </c>
      <c r="C289" s="413" t="str">
        <f>IFERROR(INDEX(Table14[],MATCH($B289,Table14[SAPNo],0),3),"")</f>
        <v>1313 CT155 U-60</v>
      </c>
      <c r="D289" s="306"/>
      <c r="E289" s="321">
        <v>6</v>
      </c>
      <c r="F289" s="321"/>
      <c r="G289" s="322" t="s">
        <v>1179</v>
      </c>
      <c r="H289" s="322">
        <v>14056704</v>
      </c>
      <c r="I289" s="322" t="s">
        <v>1175</v>
      </c>
      <c r="J289" s="248"/>
      <c r="K289" s="248"/>
      <c r="M289" s="248"/>
      <c r="W289"/>
      <c r="X289"/>
      <c r="Y289"/>
      <c r="Z289"/>
      <c r="AA289"/>
      <c r="AF289">
        <v>6</v>
      </c>
    </row>
    <row r="290" spans="1:32" x14ac:dyDescent="0.25">
      <c r="A290" s="308">
        <v>45224</v>
      </c>
      <c r="B290" s="305">
        <v>1130198</v>
      </c>
      <c r="C290" s="412" t="str">
        <f>IFERROR(INDEX(Table14[],MATCH($B290,Table14[SAPNo],0),3),"")</f>
        <v>Round 1613 CT182  0.018" (S)</v>
      </c>
      <c r="D290" s="306"/>
      <c r="E290" s="305">
        <v>0</v>
      </c>
      <c r="F290" s="305"/>
      <c r="G290" s="306" t="s">
        <v>1180</v>
      </c>
      <c r="H290" s="306">
        <v>14067150</v>
      </c>
      <c r="I290" s="306" t="s">
        <v>1092</v>
      </c>
      <c r="J290" s="248"/>
      <c r="K290" s="248"/>
      <c r="M290" s="248"/>
      <c r="W290"/>
      <c r="X290"/>
      <c r="Y290"/>
      <c r="Z290"/>
      <c r="AA290"/>
      <c r="AF290">
        <v>0</v>
      </c>
    </row>
    <row r="291" spans="1:32" x14ac:dyDescent="0.25">
      <c r="A291" s="308">
        <v>45224</v>
      </c>
      <c r="B291" s="305">
        <v>1130196</v>
      </c>
      <c r="C291" s="412" t="str">
        <f>IFERROR(INDEX(Table14[],MATCH($B291,Table14[SAPNo],0),3),"")</f>
        <v>Round 1313 CT182  0.018" (S)</v>
      </c>
      <c r="D291" s="306"/>
      <c r="E291" s="305">
        <v>22</v>
      </c>
      <c r="F291" s="305"/>
      <c r="G291" s="306" t="s">
        <v>1180</v>
      </c>
      <c r="H291" s="306">
        <v>14067150</v>
      </c>
      <c r="I291" s="306" t="s">
        <v>1092</v>
      </c>
      <c r="J291" s="248"/>
      <c r="K291" s="248"/>
      <c r="M291" s="248"/>
      <c r="W291"/>
      <c r="X291"/>
      <c r="Y291"/>
      <c r="Z291"/>
      <c r="AA291"/>
      <c r="AF291">
        <v>22</v>
      </c>
    </row>
    <row r="292" spans="1:32" x14ac:dyDescent="0.25">
      <c r="A292" s="308">
        <v>45223</v>
      </c>
      <c r="B292" s="305">
        <v>1100741</v>
      </c>
      <c r="C292" s="412" t="str">
        <f>IFERROR(INDEX(Table14[],MATCH($B292,Table14[SAPNo],0),3),"")</f>
        <v>Round 1613 CT418  0.018" (S)</v>
      </c>
      <c r="D292" s="306"/>
      <c r="E292" s="305">
        <v>10</v>
      </c>
      <c r="F292" s="305"/>
      <c r="G292" s="306" t="s">
        <v>1177</v>
      </c>
      <c r="H292" s="306">
        <v>14067149</v>
      </c>
      <c r="I292" s="306" t="s">
        <v>1092</v>
      </c>
      <c r="J292" s="248"/>
      <c r="K292" s="248"/>
      <c r="M292" s="248"/>
      <c r="W292"/>
      <c r="X292"/>
      <c r="Y292"/>
      <c r="Z292"/>
      <c r="AA292"/>
      <c r="AF292">
        <v>10</v>
      </c>
    </row>
    <row r="293" spans="1:32" x14ac:dyDescent="0.25">
      <c r="A293" s="308">
        <v>45224</v>
      </c>
      <c r="B293" s="305">
        <v>871781</v>
      </c>
      <c r="C293" s="412" t="str">
        <f>IFERROR(INDEX(Table14[],MATCH($B293,Table14[SAPNo],0),3),"")</f>
        <v>Round 1313 CT200  0.018" (B)</v>
      </c>
      <c r="D293" s="306"/>
      <c r="E293" s="305">
        <v>5</v>
      </c>
      <c r="F293" s="305"/>
      <c r="G293" s="306" t="s">
        <v>1180</v>
      </c>
      <c r="H293" s="306">
        <v>14067150</v>
      </c>
      <c r="I293" s="306" t="s">
        <v>1092</v>
      </c>
      <c r="J293" s="248"/>
      <c r="K293" s="248"/>
      <c r="M293" s="248"/>
      <c r="W293"/>
      <c r="X293"/>
      <c r="Y293"/>
      <c r="Z293"/>
      <c r="AA293"/>
      <c r="AF293">
        <v>5</v>
      </c>
    </row>
    <row r="294" spans="1:32" x14ac:dyDescent="0.25">
      <c r="A294" s="308">
        <v>45224</v>
      </c>
      <c r="B294" s="305">
        <v>1112229</v>
      </c>
      <c r="C294" s="412" t="str">
        <f>IFERROR(INDEX(Table14[],MATCH($B294,Table14[SAPNo],0),3),"")</f>
        <v>1613 CT147 18C</v>
      </c>
      <c r="D294" s="306"/>
      <c r="E294" s="305">
        <v>30</v>
      </c>
      <c r="F294" s="305"/>
      <c r="G294" s="306" t="s">
        <v>1180</v>
      </c>
      <c r="H294" s="306">
        <v>14067150</v>
      </c>
      <c r="I294" s="306" t="s">
        <v>1092</v>
      </c>
      <c r="J294" s="248"/>
      <c r="K294" s="248"/>
      <c r="M294" s="248"/>
      <c r="W294"/>
      <c r="X294"/>
      <c r="Y294"/>
      <c r="Z294"/>
      <c r="AA294"/>
      <c r="AF294">
        <v>30</v>
      </c>
    </row>
    <row r="295" spans="1:32" x14ac:dyDescent="0.25">
      <c r="A295" s="320">
        <v>45224</v>
      </c>
      <c r="B295" s="321">
        <v>1209410</v>
      </c>
      <c r="C295" s="413" t="str">
        <f>IFERROR(INDEX(Table14[],MATCH($B295,Table14[SAPNo],0),3),"")</f>
        <v>1613 CT430MV3 U TBO</v>
      </c>
      <c r="D295" s="306"/>
      <c r="E295" s="321">
        <v>10</v>
      </c>
      <c r="F295" s="321"/>
      <c r="G295" s="322" t="s">
        <v>1180</v>
      </c>
      <c r="H295" s="322">
        <v>14067150</v>
      </c>
      <c r="I295" s="322" t="s">
        <v>1092</v>
      </c>
      <c r="J295" s="248"/>
      <c r="K295" s="248"/>
      <c r="M295" s="248"/>
      <c r="W295"/>
      <c r="X295"/>
      <c r="Y295"/>
      <c r="Z295"/>
      <c r="AA295"/>
      <c r="AF295">
        <v>10</v>
      </c>
    </row>
    <row r="296" spans="1:32" x14ac:dyDescent="0.25">
      <c r="A296" s="308">
        <v>45224</v>
      </c>
      <c r="B296" s="305">
        <v>1130198</v>
      </c>
      <c r="C296" s="412" t="str">
        <f>IFERROR(INDEX(Table14[],MATCH($B296,Table14[SAPNo],0),3),"")</f>
        <v>Round 1613 CT182  0.018" (S)</v>
      </c>
      <c r="D296" s="306"/>
      <c r="E296" s="305">
        <v>147</v>
      </c>
      <c r="F296" s="305"/>
      <c r="G296" s="306" t="s">
        <v>1181</v>
      </c>
      <c r="H296" s="306">
        <v>14056708</v>
      </c>
      <c r="I296" s="306" t="s">
        <v>1071</v>
      </c>
      <c r="J296" s="248"/>
      <c r="K296" s="248"/>
      <c r="M296" s="248"/>
      <c r="W296"/>
      <c r="X296"/>
      <c r="Y296"/>
      <c r="Z296"/>
      <c r="AA296"/>
      <c r="AF296">
        <v>147</v>
      </c>
    </row>
    <row r="297" spans="1:32" x14ac:dyDescent="0.25">
      <c r="A297" s="320">
        <v>45224</v>
      </c>
      <c r="B297" s="321">
        <v>418525</v>
      </c>
      <c r="C297" s="413" t="str">
        <f>IFERROR(INDEX(Table14[],MATCH($B297,Table14[SAPNo],0),3),"")</f>
        <v>Drop In 1308 CT31   (B)</v>
      </c>
      <c r="D297" s="306"/>
      <c r="E297" s="321">
        <v>8</v>
      </c>
      <c r="F297" s="321"/>
      <c r="G297" s="322" t="s">
        <v>1181</v>
      </c>
      <c r="H297" s="322">
        <v>14056708</v>
      </c>
      <c r="I297" s="322" t="s">
        <v>1071</v>
      </c>
      <c r="J297" s="248"/>
      <c r="K297" s="248"/>
      <c r="M297" s="248"/>
      <c r="W297"/>
      <c r="X297"/>
      <c r="Y297"/>
      <c r="Z297"/>
      <c r="AA297"/>
      <c r="AF297">
        <v>8</v>
      </c>
    </row>
    <row r="298" spans="1:32" x14ac:dyDescent="0.25">
      <c r="A298" s="320">
        <v>45228</v>
      </c>
      <c r="B298" s="321">
        <v>1261321</v>
      </c>
      <c r="C298" s="413" t="str">
        <f>IFERROR(INDEX(Table14[],MATCH($B298,Table14[SAPNo],0),3),"")</f>
        <v>1613 CT155 U-60</v>
      </c>
      <c r="D298" s="306"/>
      <c r="E298" s="321">
        <v>4</v>
      </c>
      <c r="F298" s="321"/>
      <c r="G298" s="322" t="s">
        <v>1179</v>
      </c>
      <c r="H298" s="322">
        <v>14056704</v>
      </c>
      <c r="I298" s="322" t="s">
        <v>1175</v>
      </c>
      <c r="J298" s="248"/>
      <c r="K298" s="248"/>
      <c r="M298" s="248"/>
      <c r="W298"/>
      <c r="X298"/>
      <c r="Y298"/>
      <c r="Z298"/>
      <c r="AA298"/>
      <c r="AF298">
        <v>4</v>
      </c>
    </row>
    <row r="299" spans="1:32" x14ac:dyDescent="0.25">
      <c r="A299" s="320">
        <v>45224</v>
      </c>
      <c r="B299" s="321">
        <v>1100741</v>
      </c>
      <c r="C299" s="413" t="str">
        <f>IFERROR(INDEX(Table14[],MATCH($B299,Table14[SAPNo],0),3),"")</f>
        <v>Round 1613 CT418  0.018" (S)</v>
      </c>
      <c r="D299" s="306"/>
      <c r="E299" s="321">
        <v>10</v>
      </c>
      <c r="F299" s="321"/>
      <c r="G299" s="322" t="s">
        <v>1180</v>
      </c>
      <c r="H299" s="322">
        <v>14067150</v>
      </c>
      <c r="I299" s="322" t="s">
        <v>1092</v>
      </c>
      <c r="J299" s="248"/>
      <c r="K299" s="248"/>
      <c r="M299" s="248"/>
      <c r="W299"/>
      <c r="X299"/>
      <c r="Y299"/>
      <c r="Z299"/>
      <c r="AA299"/>
      <c r="AF299">
        <v>10</v>
      </c>
    </row>
    <row r="300" spans="1:32" x14ac:dyDescent="0.25">
      <c r="A300" s="320">
        <v>45236</v>
      </c>
      <c r="B300" s="321">
        <v>1228503</v>
      </c>
      <c r="C300" s="413" t="str">
        <f>IFERROR(INDEX(Table14[],MATCH($B300,Table14[SAPNo],0),3),"")</f>
        <v>1618 CT182 U-60 Ring</v>
      </c>
      <c r="D300" s="306"/>
      <c r="E300" s="321">
        <v>10</v>
      </c>
      <c r="F300" s="321"/>
      <c r="G300" s="322" t="s">
        <v>1182</v>
      </c>
      <c r="H300" s="322">
        <v>14073986</v>
      </c>
      <c r="I300" s="322" t="s">
        <v>1175</v>
      </c>
      <c r="J300" s="248"/>
      <c r="K300" s="248"/>
      <c r="M300" s="248"/>
      <c r="W300"/>
      <c r="X300"/>
      <c r="Y300"/>
      <c r="Z300"/>
      <c r="AA300"/>
      <c r="AF300">
        <v>10</v>
      </c>
    </row>
    <row r="301" spans="1:32" x14ac:dyDescent="0.25">
      <c r="A301" s="308">
        <v>45236</v>
      </c>
      <c r="B301" s="305">
        <v>1261319</v>
      </c>
      <c r="C301" s="412" t="str">
        <f>IFERROR(INDEX(Table14[],MATCH($B301,Table14[SAPNo],0),3),"")</f>
        <v>1308 CT155 U-60</v>
      </c>
      <c r="D301" s="306"/>
      <c r="E301" s="305">
        <v>24</v>
      </c>
      <c r="F301" s="305"/>
      <c r="G301" s="306" t="s">
        <v>1182</v>
      </c>
      <c r="H301" s="306">
        <v>14073986</v>
      </c>
      <c r="I301" s="306" t="s">
        <v>1175</v>
      </c>
      <c r="J301" s="248"/>
      <c r="K301" s="248"/>
      <c r="M301" s="248"/>
      <c r="W301"/>
      <c r="X301"/>
      <c r="Y301"/>
      <c r="Z301"/>
      <c r="AA301"/>
      <c r="AF301">
        <v>24</v>
      </c>
    </row>
    <row r="302" spans="1:32" x14ac:dyDescent="0.25">
      <c r="A302" s="308">
        <v>45236</v>
      </c>
      <c r="B302" s="305">
        <v>1261321</v>
      </c>
      <c r="C302" s="412" t="str">
        <f>IFERROR(INDEX(Table14[],MATCH($B302,Table14[SAPNo],0),3),"")</f>
        <v>1613 CT155 U-60</v>
      </c>
      <c r="D302" s="306"/>
      <c r="E302" s="305">
        <v>4</v>
      </c>
      <c r="F302" s="305"/>
      <c r="G302" s="306" t="s">
        <v>1182</v>
      </c>
      <c r="H302" s="306">
        <v>14073986</v>
      </c>
      <c r="I302" s="306" t="s">
        <v>1175</v>
      </c>
      <c r="J302" s="248"/>
      <c r="K302" s="248"/>
      <c r="M302" s="248"/>
      <c r="W302"/>
      <c r="X302"/>
      <c r="Y302"/>
      <c r="Z302"/>
      <c r="AA302"/>
      <c r="AF302">
        <v>4</v>
      </c>
    </row>
    <row r="303" spans="1:32" x14ac:dyDescent="0.25">
      <c r="A303" s="320">
        <v>45236</v>
      </c>
      <c r="B303" s="321">
        <v>1228501</v>
      </c>
      <c r="C303" s="413" t="str">
        <f>IFERROR(INDEX(Table14[],MATCH($B303,Table14[SAPNo],0),3),"")</f>
        <v>1618 CT182 U-60 stator</v>
      </c>
      <c r="D303" s="306"/>
      <c r="E303" s="321">
        <v>10</v>
      </c>
      <c r="F303" s="321"/>
      <c r="G303" s="322" t="s">
        <v>1182</v>
      </c>
      <c r="H303" s="322">
        <v>14073986</v>
      </c>
      <c r="I303" s="322" t="s">
        <v>1175</v>
      </c>
      <c r="J303" s="248"/>
      <c r="K303" s="248"/>
      <c r="M303" s="248"/>
      <c r="W303"/>
      <c r="X303"/>
      <c r="Y303"/>
      <c r="Z303"/>
      <c r="AA303"/>
      <c r="AF303">
        <v>10</v>
      </c>
    </row>
    <row r="304" spans="1:32" x14ac:dyDescent="0.25">
      <c r="A304" s="308">
        <v>45236</v>
      </c>
      <c r="B304" s="305">
        <v>871781</v>
      </c>
      <c r="C304" s="412" t="str">
        <f>IFERROR(INDEX(Table14[],MATCH($B304,Table14[SAPNo],0),3),"")</f>
        <v>Round 1313 CT200  0.018" (B)</v>
      </c>
      <c r="D304" s="306"/>
      <c r="E304" s="305">
        <v>6</v>
      </c>
      <c r="F304" s="305"/>
      <c r="G304" s="306" t="s">
        <v>1182</v>
      </c>
      <c r="H304" s="306">
        <v>14073986</v>
      </c>
      <c r="I304" s="306" t="s">
        <v>1175</v>
      </c>
      <c r="J304" s="248"/>
      <c r="K304" s="248"/>
      <c r="M304" s="248"/>
      <c r="W304"/>
      <c r="X304"/>
      <c r="Y304"/>
      <c r="Z304"/>
      <c r="AA304"/>
      <c r="AF304">
        <v>6</v>
      </c>
    </row>
    <row r="305" spans="1:32" x14ac:dyDescent="0.25">
      <c r="A305" s="308">
        <v>45236</v>
      </c>
      <c r="B305" s="305">
        <v>1228502</v>
      </c>
      <c r="C305" s="412" t="str">
        <f>IFERROR(INDEX(Table14[],MATCH($B305,Table14[SAPNo],0),3),"")</f>
        <v>1618 CT182 U-60 Rotor</v>
      </c>
      <c r="D305" s="306"/>
      <c r="E305" s="305">
        <v>10</v>
      </c>
      <c r="F305" s="305"/>
      <c r="G305" s="306" t="s">
        <v>1182</v>
      </c>
      <c r="H305" s="306">
        <v>14073986</v>
      </c>
      <c r="I305" s="306" t="s">
        <v>1175</v>
      </c>
      <c r="J305" s="248"/>
      <c r="K305" s="248"/>
      <c r="M305" s="248"/>
      <c r="W305"/>
      <c r="X305"/>
      <c r="Y305"/>
      <c r="Z305"/>
      <c r="AA305"/>
      <c r="AF305">
        <v>10</v>
      </c>
    </row>
    <row r="306" spans="1:32" x14ac:dyDescent="0.25">
      <c r="A306" s="308">
        <v>45236</v>
      </c>
      <c r="B306" s="305">
        <v>1261320</v>
      </c>
      <c r="C306" s="412" t="str">
        <f>IFERROR(INDEX(Table14[],MATCH($B306,Table14[SAPNo],0),3),"")</f>
        <v>1313 CT155 U-60</v>
      </c>
      <c r="D306" s="306"/>
      <c r="E306" s="305">
        <v>6</v>
      </c>
      <c r="F306" s="305"/>
      <c r="G306" s="306" t="s">
        <v>1182</v>
      </c>
      <c r="H306" s="306">
        <v>14073986</v>
      </c>
      <c r="I306" s="306" t="s">
        <v>1175</v>
      </c>
      <c r="J306" s="248"/>
      <c r="K306" s="248"/>
      <c r="M306" s="248"/>
      <c r="W306"/>
      <c r="X306"/>
      <c r="Y306"/>
      <c r="Z306"/>
      <c r="AA306"/>
      <c r="AF306">
        <v>6</v>
      </c>
    </row>
    <row r="307" spans="1:32" x14ac:dyDescent="0.25">
      <c r="A307" s="308">
        <v>45236</v>
      </c>
      <c r="B307" s="305">
        <v>1220554</v>
      </c>
      <c r="C307" s="412" t="str">
        <f>IFERROR(INDEX(Table14[],MATCH($B307,Table14[SAPNo],0),3),"")</f>
        <v xml:space="preserve">1618 CT182 U-60 Carbide </v>
      </c>
      <c r="D307" s="306"/>
      <c r="E307" s="305">
        <v>10</v>
      </c>
      <c r="F307" s="305"/>
      <c r="G307" s="306" t="s">
        <v>1182</v>
      </c>
      <c r="H307" s="306">
        <v>14073986</v>
      </c>
      <c r="I307" s="306" t="s">
        <v>1175</v>
      </c>
      <c r="J307" s="248"/>
      <c r="K307" s="248"/>
      <c r="M307" s="248"/>
      <c r="W307"/>
      <c r="X307"/>
      <c r="Y307"/>
      <c r="Z307"/>
      <c r="AA307"/>
      <c r="AF307">
        <v>10</v>
      </c>
    </row>
    <row r="308" spans="1:32" x14ac:dyDescent="0.25">
      <c r="A308" s="308">
        <v>45224</v>
      </c>
      <c r="B308" s="305">
        <v>418525</v>
      </c>
      <c r="C308" s="412" t="str">
        <f>IFERROR(INDEX(Table14[],MATCH($B308,Table14[SAPNo],0),3),"")</f>
        <v>Drop In 1308 CT31   (B)</v>
      </c>
      <c r="D308" s="306"/>
      <c r="E308" s="305">
        <v>6</v>
      </c>
      <c r="F308" s="305"/>
      <c r="G308" s="306" t="s">
        <v>1183</v>
      </c>
      <c r="H308" s="306">
        <v>13870634</v>
      </c>
      <c r="I308" s="306" t="s">
        <v>1170</v>
      </c>
      <c r="J308" s="248"/>
      <c r="K308" s="248"/>
      <c r="M308" s="248"/>
      <c r="W308"/>
      <c r="X308"/>
      <c r="Y308"/>
      <c r="Z308"/>
      <c r="AA308"/>
      <c r="AF308">
        <v>6</v>
      </c>
    </row>
    <row r="309" spans="1:32" x14ac:dyDescent="0.25">
      <c r="A309" s="320">
        <v>45224</v>
      </c>
      <c r="B309" s="321">
        <v>1130197</v>
      </c>
      <c r="C309" s="413" t="str">
        <f>IFERROR(INDEX(Table14[],MATCH($B309,Table14[SAPNo],0),3),"")</f>
        <v>Round 1608 CT182  0.018" (S)</v>
      </c>
      <c r="D309" s="306"/>
      <c r="E309" s="321">
        <v>23</v>
      </c>
      <c r="F309" s="321"/>
      <c r="G309" s="322" t="s">
        <v>1183</v>
      </c>
      <c r="H309" s="322">
        <v>13870634</v>
      </c>
      <c r="I309" s="322" t="s">
        <v>1170</v>
      </c>
      <c r="J309" s="248"/>
      <c r="K309" s="248"/>
      <c r="M309" s="248"/>
      <c r="W309"/>
      <c r="X309"/>
      <c r="Y309"/>
      <c r="Z309"/>
      <c r="AA309"/>
      <c r="AF309">
        <v>23</v>
      </c>
    </row>
    <row r="310" spans="1:32" x14ac:dyDescent="0.25">
      <c r="A310" s="308">
        <v>45224</v>
      </c>
      <c r="B310" s="305">
        <v>1100755</v>
      </c>
      <c r="C310" s="412" t="str">
        <f>IFERROR(INDEX(Table14[],MATCH($B310,Table14[SAPNo],0),3),"")</f>
        <v>Round 1613 CT421  0.018" (S)</v>
      </c>
      <c r="D310" s="306"/>
      <c r="E310" s="305">
        <v>33</v>
      </c>
      <c r="F310" s="305"/>
      <c r="G310" s="306" t="s">
        <v>1183</v>
      </c>
      <c r="H310" s="306">
        <v>13870634</v>
      </c>
      <c r="I310" s="306" t="s">
        <v>1170</v>
      </c>
      <c r="J310" s="248"/>
      <c r="K310" s="248"/>
      <c r="M310" s="248"/>
      <c r="W310"/>
      <c r="X310"/>
      <c r="Y310"/>
      <c r="Z310"/>
      <c r="AA310"/>
      <c r="AF310">
        <v>33</v>
      </c>
    </row>
    <row r="311" spans="1:32" x14ac:dyDescent="0.25">
      <c r="A311" s="308">
        <v>45225</v>
      </c>
      <c r="B311" s="305">
        <v>1209410</v>
      </c>
      <c r="C311" s="412" t="str">
        <f>IFERROR(INDEX(Table14[],MATCH($B311,Table14[SAPNo],0),3),"")</f>
        <v>1613 CT430MV3 U TBO</v>
      </c>
      <c r="D311" s="306"/>
      <c r="E311" s="305">
        <v>46</v>
      </c>
      <c r="F311" s="305"/>
      <c r="G311" s="306" t="s">
        <v>1184</v>
      </c>
      <c r="H311" s="306">
        <v>13893309</v>
      </c>
      <c r="I311" s="306" t="s">
        <v>1185</v>
      </c>
      <c r="J311" s="248"/>
      <c r="K311" s="248"/>
      <c r="M311" s="248"/>
      <c r="W311"/>
      <c r="X311"/>
      <c r="Y311"/>
      <c r="Z311"/>
      <c r="AA311"/>
      <c r="AF311">
        <v>46</v>
      </c>
    </row>
    <row r="312" spans="1:32" x14ac:dyDescent="0.25">
      <c r="A312" s="308">
        <v>45225</v>
      </c>
      <c r="B312" s="305">
        <v>1100741</v>
      </c>
      <c r="C312" s="412" t="str">
        <f>IFERROR(INDEX(Table14[],MATCH($B312,Table14[SAPNo],0),3),"")</f>
        <v>Round 1613 CT418  0.018" (S)</v>
      </c>
      <c r="D312" s="306"/>
      <c r="E312" s="305">
        <v>61</v>
      </c>
      <c r="F312" s="305"/>
      <c r="G312" s="306" t="s">
        <v>1184</v>
      </c>
      <c r="H312" s="306">
        <v>13893309</v>
      </c>
      <c r="I312" s="306" t="s">
        <v>1185</v>
      </c>
      <c r="J312" s="248"/>
      <c r="K312" s="248"/>
      <c r="M312" s="248"/>
      <c r="W312"/>
      <c r="X312"/>
      <c r="Y312"/>
      <c r="Z312"/>
      <c r="AA312"/>
      <c r="AF312">
        <v>61</v>
      </c>
    </row>
    <row r="313" spans="1:32" x14ac:dyDescent="0.25">
      <c r="A313" s="308">
        <v>45225</v>
      </c>
      <c r="B313" s="305">
        <v>1165840</v>
      </c>
      <c r="C313" s="412" t="str">
        <f>IFERROR(INDEX(Table14[],MATCH($B313,Table14[SAPNo],0),3),"")</f>
        <v>1613 MT U</v>
      </c>
      <c r="D313" s="306"/>
      <c r="E313" s="305">
        <v>0</v>
      </c>
      <c r="F313" s="305"/>
      <c r="G313" s="306" t="s">
        <v>1184</v>
      </c>
      <c r="H313" s="306">
        <v>13893309</v>
      </c>
      <c r="I313" s="306" t="s">
        <v>1185</v>
      </c>
      <c r="J313" s="248"/>
      <c r="K313" s="248"/>
      <c r="M313" s="248"/>
      <c r="W313"/>
      <c r="X313"/>
      <c r="Y313"/>
      <c r="Z313"/>
      <c r="AA313"/>
      <c r="AF313">
        <v>0</v>
      </c>
    </row>
    <row r="314" spans="1:32" x14ac:dyDescent="0.25">
      <c r="A314" s="308">
        <v>45225</v>
      </c>
      <c r="B314" s="305">
        <v>625854</v>
      </c>
      <c r="C314" s="412" t="str">
        <f>IFERROR(INDEX(Table14[],MATCH($B314,Table14[SAPNo],0),3),"")</f>
        <v>Carbide IA 1318    (C)</v>
      </c>
      <c r="D314" s="306"/>
      <c r="E314" s="305">
        <v>17</v>
      </c>
      <c r="F314" s="305"/>
      <c r="G314" s="306" t="s">
        <v>1184</v>
      </c>
      <c r="H314" s="306">
        <v>13893309</v>
      </c>
      <c r="I314" s="306" t="s">
        <v>1185</v>
      </c>
      <c r="J314" s="248"/>
      <c r="K314" s="248"/>
      <c r="M314" s="248"/>
      <c r="W314"/>
      <c r="X314"/>
      <c r="Y314"/>
      <c r="Z314"/>
      <c r="AA314"/>
      <c r="AF314">
        <v>17</v>
      </c>
    </row>
    <row r="315" spans="1:32" x14ac:dyDescent="0.25">
      <c r="A315" s="320">
        <v>45225</v>
      </c>
      <c r="B315" s="321">
        <v>418525</v>
      </c>
      <c r="C315" s="413" t="str">
        <f>IFERROR(INDEX(Table14[],MATCH($B315,Table14[SAPNo],0),3),"")</f>
        <v>Drop In 1308 CT31   (B)</v>
      </c>
      <c r="D315" s="306"/>
      <c r="E315" s="321">
        <v>6</v>
      </c>
      <c r="F315" s="321"/>
      <c r="G315" s="322" t="s">
        <v>1184</v>
      </c>
      <c r="H315" s="322">
        <v>13893309</v>
      </c>
      <c r="I315" s="322" t="s">
        <v>1185</v>
      </c>
      <c r="J315" s="248"/>
      <c r="K315" s="248"/>
      <c r="M315" s="248"/>
      <c r="W315"/>
      <c r="X315"/>
      <c r="Y315"/>
      <c r="Z315"/>
      <c r="AA315"/>
      <c r="AF315">
        <v>6</v>
      </c>
    </row>
    <row r="316" spans="1:32" x14ac:dyDescent="0.25">
      <c r="A316" s="308">
        <v>45228</v>
      </c>
      <c r="B316" s="305">
        <v>1130197</v>
      </c>
      <c r="C316" s="412" t="str">
        <f>IFERROR(INDEX(Table14[],MATCH($B316,Table14[SAPNo],0),3),"")</f>
        <v>Round 1608 CT182  0.018" (S)</v>
      </c>
      <c r="D316" s="306"/>
      <c r="E316" s="305">
        <v>23</v>
      </c>
      <c r="F316" s="305"/>
      <c r="G316" s="306" t="s">
        <v>1186</v>
      </c>
      <c r="H316" s="306">
        <v>13870633</v>
      </c>
      <c r="I316" s="306" t="s">
        <v>1170</v>
      </c>
      <c r="J316" s="248"/>
      <c r="K316" s="248"/>
      <c r="M316" s="248"/>
      <c r="W316"/>
      <c r="X316"/>
      <c r="Y316"/>
      <c r="Z316"/>
      <c r="AA316"/>
      <c r="AF316">
        <v>23</v>
      </c>
    </row>
    <row r="317" spans="1:32" x14ac:dyDescent="0.25">
      <c r="A317" s="308">
        <v>45228</v>
      </c>
      <c r="B317" s="305">
        <v>1130198</v>
      </c>
      <c r="C317" s="412" t="str">
        <f>IFERROR(INDEX(Table14[],MATCH($B317,Table14[SAPNo],0),3),"")</f>
        <v>Round 1613 CT182  0.018" (S)</v>
      </c>
      <c r="D317" s="306"/>
      <c r="E317" s="305">
        <v>33</v>
      </c>
      <c r="F317" s="305"/>
      <c r="G317" s="306" t="s">
        <v>1186</v>
      </c>
      <c r="H317" s="306">
        <v>13870633</v>
      </c>
      <c r="I317" s="306" t="s">
        <v>1170</v>
      </c>
      <c r="J317" s="248"/>
      <c r="K317" s="248"/>
      <c r="M317" s="248"/>
      <c r="W317"/>
      <c r="X317"/>
      <c r="Y317"/>
      <c r="Z317"/>
      <c r="AA317"/>
      <c r="AF317">
        <v>33</v>
      </c>
    </row>
    <row r="318" spans="1:32" x14ac:dyDescent="0.25">
      <c r="A318" s="308">
        <v>45228</v>
      </c>
      <c r="B318" s="305">
        <v>418525</v>
      </c>
      <c r="C318" s="412" t="str">
        <f>IFERROR(INDEX(Table14[],MATCH($B318,Table14[SAPNo],0),3),"")</f>
        <v>Drop In 1308 CT31   (B)</v>
      </c>
      <c r="D318" s="306"/>
      <c r="E318" s="305">
        <v>6</v>
      </c>
      <c r="F318" s="305"/>
      <c r="G318" s="306" t="s">
        <v>1186</v>
      </c>
      <c r="H318" s="306">
        <v>13870633</v>
      </c>
      <c r="I318" s="306" t="s">
        <v>1170</v>
      </c>
      <c r="J318" s="248"/>
      <c r="K318" s="248"/>
      <c r="M318" s="248"/>
      <c r="W318"/>
      <c r="X318"/>
      <c r="Y318"/>
      <c r="Z318"/>
      <c r="AA318"/>
      <c r="AF318">
        <v>6</v>
      </c>
    </row>
    <row r="319" spans="1:32" x14ac:dyDescent="0.25">
      <c r="A319" s="308">
        <v>45237</v>
      </c>
      <c r="B319" s="305">
        <v>1261320</v>
      </c>
      <c r="C319" s="412" t="str">
        <f>IFERROR(INDEX(Table14[],MATCH($B319,Table14[SAPNo],0),3),"")</f>
        <v>1313 CT155 U-60</v>
      </c>
      <c r="D319" s="306"/>
      <c r="E319" s="305">
        <v>6</v>
      </c>
      <c r="F319" s="305"/>
      <c r="G319" s="306" t="s">
        <v>1187</v>
      </c>
      <c r="H319" s="306">
        <v>14073990</v>
      </c>
      <c r="I319" s="306" t="s">
        <v>1175</v>
      </c>
      <c r="J319" s="248"/>
      <c r="K319" s="248"/>
      <c r="M319" s="248"/>
      <c r="W319"/>
      <c r="X319"/>
      <c r="Y319"/>
      <c r="Z319"/>
      <c r="AA319"/>
      <c r="AF319">
        <v>6</v>
      </c>
    </row>
    <row r="320" spans="1:32" x14ac:dyDescent="0.25">
      <c r="A320" s="308">
        <v>45237</v>
      </c>
      <c r="B320" s="305">
        <v>871781</v>
      </c>
      <c r="C320" s="412" t="str">
        <f>IFERROR(INDEX(Table14[],MATCH($B320,Table14[SAPNo],0),3),"")</f>
        <v>Round 1313 CT200  0.018" (B)</v>
      </c>
      <c r="D320" s="306"/>
      <c r="E320" s="305">
        <v>6</v>
      </c>
      <c r="F320" s="305"/>
      <c r="G320" s="306" t="s">
        <v>1187</v>
      </c>
      <c r="H320" s="306">
        <v>14073990</v>
      </c>
      <c r="I320" s="306" t="s">
        <v>1175</v>
      </c>
      <c r="J320" s="248"/>
      <c r="K320" s="248"/>
      <c r="M320" s="248"/>
      <c r="W320"/>
      <c r="X320"/>
      <c r="Y320"/>
      <c r="Z320"/>
      <c r="AA320"/>
      <c r="AF320">
        <v>6</v>
      </c>
    </row>
    <row r="321" spans="1:32" x14ac:dyDescent="0.25">
      <c r="A321" s="308">
        <v>45237</v>
      </c>
      <c r="B321" s="305">
        <v>1228501</v>
      </c>
      <c r="C321" s="412" t="str">
        <f>IFERROR(INDEX(Table14[],MATCH($B321,Table14[SAPNo],0),3),"")</f>
        <v>1618 CT182 U-60 stator</v>
      </c>
      <c r="D321" s="306"/>
      <c r="E321" s="305">
        <v>10</v>
      </c>
      <c r="F321" s="305"/>
      <c r="G321" s="306" t="s">
        <v>1187</v>
      </c>
      <c r="H321" s="306">
        <v>14073990</v>
      </c>
      <c r="I321" s="306" t="s">
        <v>1175</v>
      </c>
      <c r="J321" s="248"/>
      <c r="K321" s="248"/>
      <c r="M321" s="248"/>
      <c r="W321"/>
      <c r="X321"/>
      <c r="Y321"/>
      <c r="Z321"/>
      <c r="AA321"/>
      <c r="AF321">
        <v>10</v>
      </c>
    </row>
    <row r="322" spans="1:32" x14ac:dyDescent="0.25">
      <c r="A322" s="308">
        <v>45237</v>
      </c>
      <c r="B322" s="305">
        <v>1261321</v>
      </c>
      <c r="C322" s="412" t="str">
        <f>IFERROR(INDEX(Table14[],MATCH($B322,Table14[SAPNo],0),3),"")</f>
        <v>1613 CT155 U-60</v>
      </c>
      <c r="D322" s="306"/>
      <c r="E322" s="305">
        <v>4</v>
      </c>
      <c r="F322" s="305"/>
      <c r="G322" s="306" t="s">
        <v>1187</v>
      </c>
      <c r="H322" s="306">
        <v>14073990</v>
      </c>
      <c r="I322" s="306" t="s">
        <v>1175</v>
      </c>
      <c r="J322" s="248"/>
      <c r="K322" s="248"/>
      <c r="M322" s="248"/>
      <c r="W322"/>
      <c r="X322"/>
      <c r="Y322"/>
      <c r="Z322"/>
      <c r="AA322"/>
      <c r="AF322">
        <v>4</v>
      </c>
    </row>
    <row r="323" spans="1:32" x14ac:dyDescent="0.25">
      <c r="A323" s="308">
        <v>45237</v>
      </c>
      <c r="B323" s="305">
        <v>1228502</v>
      </c>
      <c r="C323" s="412" t="str">
        <f>IFERROR(INDEX(Table14[],MATCH($B323,Table14[SAPNo],0),3),"")</f>
        <v>1618 CT182 U-60 Rotor</v>
      </c>
      <c r="D323" s="306"/>
      <c r="E323" s="305">
        <v>10</v>
      </c>
      <c r="F323" s="305"/>
      <c r="G323" s="306" t="s">
        <v>1187</v>
      </c>
      <c r="H323" s="306">
        <v>14073990</v>
      </c>
      <c r="I323" s="306" t="s">
        <v>1175</v>
      </c>
      <c r="J323" s="248"/>
      <c r="K323" s="248"/>
      <c r="M323" s="248"/>
      <c r="W323"/>
      <c r="X323"/>
      <c r="Y323"/>
      <c r="Z323"/>
      <c r="AA323"/>
      <c r="AF323">
        <v>10</v>
      </c>
    </row>
    <row r="324" spans="1:32" x14ac:dyDescent="0.25">
      <c r="A324" s="308">
        <v>45237</v>
      </c>
      <c r="B324" s="305">
        <v>1261319</v>
      </c>
      <c r="C324" s="412" t="str">
        <f>IFERROR(INDEX(Table14[],MATCH($B324,Table14[SAPNo],0),3),"")</f>
        <v>1308 CT155 U-60</v>
      </c>
      <c r="D324" s="306"/>
      <c r="E324" s="305">
        <v>24</v>
      </c>
      <c r="F324" s="305"/>
      <c r="G324" s="306" t="s">
        <v>1187</v>
      </c>
      <c r="H324" s="306">
        <v>14073990</v>
      </c>
      <c r="I324" s="306" t="s">
        <v>1175</v>
      </c>
      <c r="J324" s="248"/>
      <c r="K324" s="248"/>
      <c r="M324" s="248"/>
      <c r="W324"/>
      <c r="X324"/>
      <c r="Y324"/>
      <c r="Z324"/>
      <c r="AA324"/>
      <c r="AF324">
        <v>24</v>
      </c>
    </row>
    <row r="325" spans="1:32" x14ac:dyDescent="0.25">
      <c r="A325" s="308">
        <v>45237</v>
      </c>
      <c r="B325" s="305">
        <v>1228503</v>
      </c>
      <c r="C325" s="412" t="str">
        <f>IFERROR(INDEX(Table14[],MATCH($B325,Table14[SAPNo],0),3),"")</f>
        <v>1618 CT182 U-60 Ring</v>
      </c>
      <c r="D325" s="306"/>
      <c r="E325" s="305">
        <v>10</v>
      </c>
      <c r="F325" s="305"/>
      <c r="G325" s="306" t="s">
        <v>1187</v>
      </c>
      <c r="H325" s="306">
        <v>14073990</v>
      </c>
      <c r="I325" s="306" t="s">
        <v>1175</v>
      </c>
      <c r="J325" s="248"/>
      <c r="K325" s="248"/>
      <c r="M325" s="248"/>
      <c r="W325"/>
      <c r="X325"/>
      <c r="Y325"/>
      <c r="Z325"/>
      <c r="AA325"/>
      <c r="AF325">
        <v>10</v>
      </c>
    </row>
    <row r="326" spans="1:32" x14ac:dyDescent="0.25">
      <c r="A326" s="308">
        <v>45237</v>
      </c>
      <c r="B326" s="305">
        <v>1220554</v>
      </c>
      <c r="C326" s="412" t="str">
        <f>IFERROR(INDEX(Table14[],MATCH($B326,Table14[SAPNo],0),3),"")</f>
        <v xml:space="preserve">1618 CT182 U-60 Carbide </v>
      </c>
      <c r="D326" s="306"/>
      <c r="E326" s="305">
        <v>10</v>
      </c>
      <c r="F326" s="305"/>
      <c r="G326" s="306" t="s">
        <v>1187</v>
      </c>
      <c r="H326" s="306">
        <v>14073990</v>
      </c>
      <c r="I326" s="306" t="s">
        <v>1175</v>
      </c>
      <c r="J326" s="248"/>
      <c r="K326" s="248"/>
      <c r="M326" s="248"/>
      <c r="W326"/>
      <c r="X326"/>
      <c r="Y326"/>
      <c r="Z326"/>
      <c r="AA326"/>
      <c r="AF326">
        <v>10</v>
      </c>
    </row>
    <row r="327" spans="1:32" x14ac:dyDescent="0.25">
      <c r="A327" s="308">
        <v>45228</v>
      </c>
      <c r="B327" s="305">
        <v>418525</v>
      </c>
      <c r="C327" s="412" t="str">
        <f>IFERROR(INDEX(Table14[],MATCH($B327,Table14[SAPNo],0),3),"")</f>
        <v>Drop In 1308 CT31   (B)</v>
      </c>
      <c r="D327" s="306"/>
      <c r="E327" s="305">
        <v>6</v>
      </c>
      <c r="F327" s="305"/>
      <c r="G327" s="306" t="s">
        <v>1188</v>
      </c>
      <c r="H327" s="306">
        <v>14036269</v>
      </c>
      <c r="I327" s="306" t="s">
        <v>1074</v>
      </c>
      <c r="J327" s="248"/>
      <c r="K327" s="248"/>
      <c r="M327" s="248"/>
      <c r="W327"/>
      <c r="X327"/>
      <c r="Y327"/>
      <c r="Z327"/>
      <c r="AA327"/>
      <c r="AF327">
        <v>6</v>
      </c>
    </row>
    <row r="328" spans="1:32" x14ac:dyDescent="0.25">
      <c r="A328" s="308">
        <v>45228</v>
      </c>
      <c r="B328" s="305">
        <v>1100696</v>
      </c>
      <c r="C328" s="412" t="str">
        <f>IFERROR(INDEX(Table14[],MATCH($B328,Table14[SAPNo],0),3),"")</f>
        <v>Round 1313 CT418  10C (S)</v>
      </c>
      <c r="D328" s="306"/>
      <c r="E328" s="305">
        <v>12</v>
      </c>
      <c r="F328" s="305"/>
      <c r="G328" s="306" t="s">
        <v>1188</v>
      </c>
      <c r="H328" s="306">
        <v>14036269</v>
      </c>
      <c r="I328" s="306" t="s">
        <v>1074</v>
      </c>
      <c r="J328" s="248"/>
      <c r="K328" s="248"/>
      <c r="M328" s="248"/>
      <c r="W328"/>
      <c r="X328"/>
      <c r="Y328"/>
      <c r="Z328"/>
      <c r="AA328"/>
      <c r="AF328">
        <v>12</v>
      </c>
    </row>
    <row r="329" spans="1:32" x14ac:dyDescent="0.25">
      <c r="A329" s="308">
        <v>45228</v>
      </c>
      <c r="B329" s="305">
        <v>1136984</v>
      </c>
      <c r="C329" s="412" t="str">
        <f>IFERROR(INDEX(Table14[],MATCH($B329,Table14[SAPNo],0),3),"")</f>
        <v>DBLMCHT 1313 CT182DM  10C (S)</v>
      </c>
      <c r="D329" s="306"/>
      <c r="E329" s="305">
        <v>13</v>
      </c>
      <c r="F329" s="305"/>
      <c r="G329" s="306" t="s">
        <v>1188</v>
      </c>
      <c r="H329" s="306">
        <v>14036269</v>
      </c>
      <c r="I329" s="306" t="s">
        <v>1074</v>
      </c>
      <c r="J329" s="248"/>
      <c r="K329" s="248"/>
      <c r="M329" s="248"/>
      <c r="W329"/>
      <c r="X329"/>
      <c r="Y329"/>
      <c r="Z329"/>
      <c r="AA329"/>
      <c r="AF329">
        <v>13</v>
      </c>
    </row>
    <row r="330" spans="1:32" x14ac:dyDescent="0.25">
      <c r="A330" s="308">
        <v>45228</v>
      </c>
      <c r="B330" s="305">
        <v>1104083</v>
      </c>
      <c r="C330" s="412" t="str">
        <f>IFERROR(INDEX(Table14[],MATCH($B330,Table14[SAPNo],0),3),"")</f>
        <v>1313 CT144H  10C (S)</v>
      </c>
      <c r="D330" s="306"/>
      <c r="E330" s="305">
        <v>1</v>
      </c>
      <c r="F330" s="305"/>
      <c r="G330" s="306" t="s">
        <v>1188</v>
      </c>
      <c r="H330" s="306">
        <v>14036269</v>
      </c>
      <c r="I330" s="306" t="s">
        <v>1074</v>
      </c>
      <c r="J330" s="248"/>
      <c r="K330" s="248"/>
      <c r="M330" s="248"/>
      <c r="W330"/>
      <c r="X330"/>
      <c r="Y330"/>
      <c r="Z330"/>
      <c r="AA330"/>
      <c r="AF330">
        <v>1</v>
      </c>
    </row>
    <row r="331" spans="1:32" x14ac:dyDescent="0.25">
      <c r="A331" s="308">
        <v>45228</v>
      </c>
      <c r="B331" s="305">
        <v>1101509</v>
      </c>
      <c r="C331" s="412" t="str">
        <f>IFERROR(INDEX(Table14[],MATCH($B331,Table14[SAPNo],0),3),"")</f>
        <v>Short IA 8    (C)</v>
      </c>
      <c r="D331" s="306"/>
      <c r="E331" s="305">
        <v>5</v>
      </c>
      <c r="F331" s="305"/>
      <c r="G331" s="306" t="s">
        <v>1188</v>
      </c>
      <c r="H331" s="306">
        <v>14036269</v>
      </c>
      <c r="I331" s="306" t="s">
        <v>1074</v>
      </c>
      <c r="J331" s="248"/>
      <c r="K331" s="248"/>
      <c r="M331" s="248"/>
      <c r="W331"/>
      <c r="X331"/>
      <c r="Y331"/>
      <c r="Z331"/>
      <c r="AA331"/>
      <c r="AF331">
        <v>5</v>
      </c>
    </row>
    <row r="332" spans="1:32" x14ac:dyDescent="0.25">
      <c r="A332" s="308">
        <v>45228</v>
      </c>
      <c r="B332" s="305">
        <v>418525</v>
      </c>
      <c r="C332" s="412" t="str">
        <f>IFERROR(INDEX(Table14[],MATCH($B332,Table14[SAPNo],0),3),"")</f>
        <v>Drop In 1308 CT31   (B)</v>
      </c>
      <c r="D332" s="306"/>
      <c r="E332" s="305">
        <v>6</v>
      </c>
      <c r="F332" s="305"/>
      <c r="G332" s="306" t="s">
        <v>1189</v>
      </c>
      <c r="H332" s="306">
        <v>14036268</v>
      </c>
      <c r="I332" s="306" t="s">
        <v>1074</v>
      </c>
      <c r="J332" s="248"/>
      <c r="K332" s="248"/>
      <c r="M332" s="248"/>
      <c r="W332"/>
      <c r="X332"/>
      <c r="Y332"/>
      <c r="Z332"/>
      <c r="AA332"/>
      <c r="AF332">
        <v>6</v>
      </c>
    </row>
    <row r="333" spans="1:32" x14ac:dyDescent="0.25">
      <c r="A333" s="308">
        <v>45228</v>
      </c>
      <c r="B333" s="305">
        <v>1104083</v>
      </c>
      <c r="C333" s="412" t="str">
        <f>IFERROR(INDEX(Table14[],MATCH($B333,Table14[SAPNo],0),3),"")</f>
        <v>1313 CT144H  10C (S)</v>
      </c>
      <c r="D333" s="306"/>
      <c r="E333" s="305">
        <v>1</v>
      </c>
      <c r="F333" s="305"/>
      <c r="G333" s="306" t="s">
        <v>1189</v>
      </c>
      <c r="H333" s="306">
        <v>14036268</v>
      </c>
      <c r="I333" s="306" t="s">
        <v>1074</v>
      </c>
      <c r="J333" s="248"/>
      <c r="K333" s="248"/>
      <c r="M333" s="248"/>
      <c r="W333"/>
      <c r="X333"/>
      <c r="Y333"/>
      <c r="Z333"/>
      <c r="AA333"/>
      <c r="AF333">
        <v>1</v>
      </c>
    </row>
    <row r="334" spans="1:32" x14ac:dyDescent="0.25">
      <c r="A334" s="308">
        <v>45228</v>
      </c>
      <c r="B334" s="305">
        <v>1101509</v>
      </c>
      <c r="C334" s="412" t="str">
        <f>IFERROR(INDEX(Table14[],MATCH($B334,Table14[SAPNo],0),3),"")</f>
        <v>Short IA 8    (C)</v>
      </c>
      <c r="D334" s="306"/>
      <c r="E334" s="305">
        <v>5</v>
      </c>
      <c r="F334" s="305"/>
      <c r="G334" s="306" t="s">
        <v>1189</v>
      </c>
      <c r="H334" s="306">
        <v>14036268</v>
      </c>
      <c r="I334" s="306" t="s">
        <v>1074</v>
      </c>
      <c r="J334" s="248"/>
      <c r="K334" s="248"/>
      <c r="M334" s="248"/>
      <c r="W334"/>
      <c r="X334"/>
      <c r="Y334"/>
      <c r="Z334"/>
      <c r="AA334"/>
      <c r="AF334">
        <v>5</v>
      </c>
    </row>
    <row r="335" spans="1:32" x14ac:dyDescent="0.25">
      <c r="A335" s="308">
        <v>45228</v>
      </c>
      <c r="B335" s="305">
        <v>1100696</v>
      </c>
      <c r="C335" s="412" t="str">
        <f>IFERROR(INDEX(Table14[],MATCH($B335,Table14[SAPNo],0),3),"")</f>
        <v>Round 1313 CT418  10C (S)</v>
      </c>
      <c r="D335" s="306"/>
      <c r="E335" s="305">
        <v>12</v>
      </c>
      <c r="F335" s="305"/>
      <c r="G335" s="306" t="s">
        <v>1189</v>
      </c>
      <c r="H335" s="306">
        <v>14036268</v>
      </c>
      <c r="I335" s="306" t="s">
        <v>1074</v>
      </c>
      <c r="J335" s="248"/>
      <c r="K335" s="248"/>
      <c r="M335" s="248"/>
      <c r="W335"/>
      <c r="X335"/>
      <c r="Y335"/>
      <c r="Z335"/>
      <c r="AA335"/>
      <c r="AF335">
        <v>12</v>
      </c>
    </row>
    <row r="336" spans="1:32" x14ac:dyDescent="0.25">
      <c r="A336" s="308">
        <v>45228</v>
      </c>
      <c r="B336" s="305">
        <v>1136984</v>
      </c>
      <c r="C336" s="412" t="str">
        <f>IFERROR(INDEX(Table14[],MATCH($B336,Table14[SAPNo],0),3),"")</f>
        <v>DBLMCHT 1313 CT182DM  10C (S)</v>
      </c>
      <c r="D336" s="306"/>
      <c r="E336" s="305">
        <v>13</v>
      </c>
      <c r="F336" s="305"/>
      <c r="G336" s="306" t="s">
        <v>1189</v>
      </c>
      <c r="H336" s="306">
        <v>14036268</v>
      </c>
      <c r="I336" s="306" t="s">
        <v>1074</v>
      </c>
      <c r="J336" s="248"/>
      <c r="K336" s="248"/>
      <c r="M336" s="248"/>
      <c r="W336"/>
      <c r="X336"/>
      <c r="Y336"/>
      <c r="Z336"/>
      <c r="AA336"/>
      <c r="AF336">
        <v>13</v>
      </c>
    </row>
    <row r="337" spans="1:32" x14ac:dyDescent="0.25">
      <c r="A337" s="320">
        <v>45228</v>
      </c>
      <c r="B337" s="321">
        <v>717748</v>
      </c>
      <c r="C337" s="413" t="str">
        <f>IFERROR(INDEX(Table14[],MATCH($B337,Table14[SAPNo],0),3),"")</f>
        <v>Round 1010 CT200  0.018" (B)</v>
      </c>
      <c r="D337" s="306"/>
      <c r="E337" s="321">
        <v>3</v>
      </c>
      <c r="F337" s="321"/>
      <c r="G337" s="322" t="s">
        <v>1190</v>
      </c>
      <c r="H337" s="322" t="s">
        <v>1191</v>
      </c>
      <c r="I337" s="322" t="s">
        <v>1069</v>
      </c>
      <c r="J337" s="248"/>
      <c r="K337" s="248"/>
      <c r="M337" s="248"/>
      <c r="W337"/>
      <c r="X337"/>
      <c r="Y337"/>
      <c r="Z337"/>
      <c r="AA337"/>
      <c r="AF337">
        <v>3</v>
      </c>
    </row>
    <row r="338" spans="1:32" x14ac:dyDescent="0.25">
      <c r="A338" s="320">
        <v>45224</v>
      </c>
      <c r="B338" s="321">
        <v>1261319</v>
      </c>
      <c r="C338" s="413" t="str">
        <f>IFERROR(INDEX(Table14[],MATCH($B338,Table14[SAPNo],0),3),"")</f>
        <v>1308 CT155 U-60</v>
      </c>
      <c r="D338" s="306"/>
      <c r="E338" s="321">
        <v>24</v>
      </c>
      <c r="F338" s="321"/>
      <c r="G338" s="306" t="s">
        <v>1192</v>
      </c>
      <c r="H338" s="322">
        <v>14056702</v>
      </c>
      <c r="I338" s="322" t="s">
        <v>1175</v>
      </c>
      <c r="J338" s="248"/>
      <c r="K338" s="248"/>
      <c r="M338" s="248"/>
      <c r="W338"/>
      <c r="X338"/>
      <c r="Y338"/>
      <c r="Z338"/>
      <c r="AA338"/>
      <c r="AF338">
        <v>24</v>
      </c>
    </row>
    <row r="339" spans="1:32" x14ac:dyDescent="0.25">
      <c r="A339" s="308">
        <v>45229</v>
      </c>
      <c r="B339" s="305">
        <v>1100755</v>
      </c>
      <c r="C339" s="412" t="str">
        <f>IFERROR(INDEX(Table14[],MATCH($B339,Table14[SAPNo],0),3),"")</f>
        <v>Round 1613 CT421  0.018" (S)</v>
      </c>
      <c r="D339" s="306"/>
      <c r="E339" s="305">
        <v>92</v>
      </c>
      <c r="F339" s="305"/>
      <c r="G339" s="306" t="s">
        <v>1193</v>
      </c>
      <c r="H339" s="306">
        <v>14056713</v>
      </c>
      <c r="I339" s="306" t="s">
        <v>1133</v>
      </c>
      <c r="J339" s="248"/>
      <c r="K339" s="248"/>
      <c r="M339" s="248"/>
      <c r="W339"/>
      <c r="X339"/>
      <c r="Y339"/>
      <c r="Z339"/>
      <c r="AA339"/>
      <c r="AF339">
        <v>92</v>
      </c>
    </row>
    <row r="340" spans="1:32" x14ac:dyDescent="0.25">
      <c r="A340" s="308">
        <v>45229</v>
      </c>
      <c r="B340" s="305">
        <v>647436</v>
      </c>
      <c r="C340" s="412" t="str">
        <f>IFERROR(INDEX(Table14[],MATCH($B340,Table14[SAPNo],0),3),"")</f>
        <v>Round 1613 CT200  0.018" (B)</v>
      </c>
      <c r="D340" s="306"/>
      <c r="E340" s="305">
        <v>64</v>
      </c>
      <c r="F340" s="305"/>
      <c r="G340" s="306" t="s">
        <v>1193</v>
      </c>
      <c r="H340" s="306">
        <v>14056713</v>
      </c>
      <c r="I340" s="306" t="s">
        <v>1133</v>
      </c>
      <c r="J340" s="248"/>
      <c r="K340" s="248"/>
      <c r="M340" s="248"/>
      <c r="W340"/>
      <c r="X340"/>
      <c r="Y340"/>
      <c r="Z340"/>
      <c r="AA340"/>
      <c r="AF340">
        <v>64</v>
      </c>
    </row>
    <row r="341" spans="1:32" x14ac:dyDescent="0.25">
      <c r="A341" s="308">
        <v>45229</v>
      </c>
      <c r="B341" s="305">
        <v>647435</v>
      </c>
      <c r="C341" s="412" t="str">
        <f>IFERROR(INDEX(Table14[],MATCH($B341,Table14[SAPNo],0),3),"")</f>
        <v>Round 1608 CT200  0.018" (B)</v>
      </c>
      <c r="D341" s="306"/>
      <c r="E341" s="305">
        <v>16</v>
      </c>
      <c r="F341" s="305"/>
      <c r="G341" s="306" t="s">
        <v>1193</v>
      </c>
      <c r="H341" s="306">
        <v>14056713</v>
      </c>
      <c r="I341" s="306" t="s">
        <v>1133</v>
      </c>
      <c r="J341" s="248"/>
      <c r="K341" s="248"/>
      <c r="M341" s="248"/>
      <c r="W341"/>
      <c r="X341"/>
      <c r="Y341"/>
      <c r="Z341"/>
      <c r="AA341"/>
      <c r="AF341">
        <v>16</v>
      </c>
    </row>
    <row r="342" spans="1:32" x14ac:dyDescent="0.25">
      <c r="A342" s="320">
        <v>45229</v>
      </c>
      <c r="B342" s="321">
        <v>418525</v>
      </c>
      <c r="C342" s="413" t="str">
        <f>IFERROR(INDEX(Table14[],MATCH($B342,Table14[SAPNo],0),3),"")</f>
        <v>Drop In 1308 CT31   (B)</v>
      </c>
      <c r="D342" s="306"/>
      <c r="E342" s="321">
        <v>8</v>
      </c>
      <c r="F342" s="321"/>
      <c r="G342" s="322" t="s">
        <v>1193</v>
      </c>
      <c r="H342" s="322">
        <v>14056713</v>
      </c>
      <c r="I342" s="322" t="s">
        <v>1133</v>
      </c>
      <c r="J342" s="248"/>
      <c r="K342" s="248"/>
      <c r="M342" s="248"/>
      <c r="W342"/>
      <c r="X342"/>
      <c r="Y342"/>
      <c r="Z342"/>
      <c r="AA342"/>
      <c r="AF342">
        <v>8</v>
      </c>
    </row>
    <row r="343" spans="1:32" x14ac:dyDescent="0.25">
      <c r="A343" s="308">
        <v>45231</v>
      </c>
      <c r="B343" s="305">
        <v>647436</v>
      </c>
      <c r="C343" s="412" t="str">
        <f>IFERROR(INDEX(Table14[],MATCH($B343,Table14[SAPNo],0),3),"")</f>
        <v>Round 1613 CT200  0.018" (B)</v>
      </c>
      <c r="D343" s="306"/>
      <c r="E343" s="305">
        <v>64</v>
      </c>
      <c r="F343" s="305"/>
      <c r="G343" s="306" t="s">
        <v>1194</v>
      </c>
      <c r="H343" s="306">
        <v>14056711</v>
      </c>
      <c r="I343" s="306" t="s">
        <v>1133</v>
      </c>
      <c r="J343" s="248"/>
      <c r="K343" s="248"/>
      <c r="M343" s="248"/>
      <c r="W343"/>
      <c r="X343"/>
      <c r="Y343"/>
      <c r="Z343"/>
      <c r="AA343"/>
      <c r="AF343">
        <v>64</v>
      </c>
    </row>
    <row r="344" spans="1:32" x14ac:dyDescent="0.25">
      <c r="A344" s="308">
        <v>45231</v>
      </c>
      <c r="B344" s="305">
        <v>647435</v>
      </c>
      <c r="C344" s="412" t="str">
        <f>IFERROR(INDEX(Table14[],MATCH($B344,Table14[SAPNo],0),3),"")</f>
        <v>Round 1608 CT200  0.018" (B)</v>
      </c>
      <c r="D344" s="306"/>
      <c r="E344" s="305">
        <v>16</v>
      </c>
      <c r="F344" s="305"/>
      <c r="G344" s="306" t="s">
        <v>1194</v>
      </c>
      <c r="H344" s="306">
        <v>14056711</v>
      </c>
      <c r="I344" s="306" t="s">
        <v>1133</v>
      </c>
      <c r="J344" s="248"/>
      <c r="K344" s="248"/>
      <c r="M344" s="248"/>
      <c r="W344"/>
      <c r="X344"/>
      <c r="Y344"/>
      <c r="Z344"/>
      <c r="AA344"/>
      <c r="AF344">
        <v>16</v>
      </c>
    </row>
    <row r="345" spans="1:32" x14ac:dyDescent="0.25">
      <c r="A345" s="308">
        <v>45231</v>
      </c>
      <c r="B345" s="305">
        <v>1130198</v>
      </c>
      <c r="C345" s="412" t="str">
        <f>IFERROR(INDEX(Table14[],MATCH($B345,Table14[SAPNo],0),3),"")</f>
        <v>Round 1613 CT182  0.018" (S)</v>
      </c>
      <c r="D345" s="306"/>
      <c r="E345" s="305">
        <v>92</v>
      </c>
      <c r="F345" s="305"/>
      <c r="G345" s="306" t="s">
        <v>1194</v>
      </c>
      <c r="H345" s="306">
        <v>14056711</v>
      </c>
      <c r="I345" s="306" t="s">
        <v>1133</v>
      </c>
      <c r="J345" s="248"/>
      <c r="K345" s="248"/>
      <c r="M345" s="248"/>
      <c r="W345"/>
      <c r="X345"/>
      <c r="Y345"/>
      <c r="Z345"/>
      <c r="AA345"/>
      <c r="AF345">
        <v>92</v>
      </c>
    </row>
    <row r="346" spans="1:32" x14ac:dyDescent="0.25">
      <c r="A346" s="308">
        <v>45231</v>
      </c>
      <c r="B346" s="305">
        <v>418525</v>
      </c>
      <c r="C346" s="412" t="str">
        <f>IFERROR(INDEX(Table14[],MATCH($B346,Table14[SAPNo],0),3),"")</f>
        <v>Drop In 1308 CT31   (B)</v>
      </c>
      <c r="D346" s="306"/>
      <c r="E346" s="305">
        <v>8</v>
      </c>
      <c r="F346" s="305"/>
      <c r="G346" s="306" t="s">
        <v>1194</v>
      </c>
      <c r="H346" s="306">
        <v>14056711</v>
      </c>
      <c r="I346" s="306" t="s">
        <v>1133</v>
      </c>
      <c r="J346" s="248"/>
      <c r="K346" s="248"/>
      <c r="M346" s="248"/>
      <c r="W346"/>
      <c r="X346"/>
      <c r="Y346"/>
      <c r="Z346"/>
      <c r="AA346"/>
      <c r="AF346">
        <v>8</v>
      </c>
    </row>
    <row r="347" spans="1:32" x14ac:dyDescent="0.25">
      <c r="A347" s="308">
        <v>45231</v>
      </c>
      <c r="B347" s="305">
        <v>1130198</v>
      </c>
      <c r="C347" s="412" t="str">
        <f>IFERROR(INDEX(Table14[],MATCH($B347,Table14[SAPNo],0),3),"")</f>
        <v>Round 1613 CT182  0.018" (S)</v>
      </c>
      <c r="D347" s="306"/>
      <c r="E347" s="305">
        <v>152</v>
      </c>
      <c r="F347" s="305"/>
      <c r="G347" s="306" t="s">
        <v>1195</v>
      </c>
      <c r="H347" s="306">
        <v>13925705</v>
      </c>
      <c r="I347" s="306" t="s">
        <v>1196</v>
      </c>
      <c r="J347" s="248"/>
      <c r="K347" s="248"/>
      <c r="M347" s="248"/>
      <c r="W347"/>
      <c r="X347"/>
      <c r="Y347"/>
      <c r="Z347"/>
      <c r="AA347"/>
      <c r="AF347">
        <v>152</v>
      </c>
    </row>
    <row r="348" spans="1:32" x14ac:dyDescent="0.25">
      <c r="A348" s="308">
        <v>45231</v>
      </c>
      <c r="B348" s="305">
        <v>625854</v>
      </c>
      <c r="C348" s="412" t="str">
        <f>IFERROR(INDEX(Table14[],MATCH($B348,Table14[SAPNo],0),3),"")</f>
        <v>Carbide IA 1318    (C)</v>
      </c>
      <c r="D348" s="306"/>
      <c r="E348" s="305">
        <v>9</v>
      </c>
      <c r="F348" s="305"/>
      <c r="G348" s="306" t="s">
        <v>1195</v>
      </c>
      <c r="H348" s="306">
        <v>13925705</v>
      </c>
      <c r="I348" s="306" t="s">
        <v>1196</v>
      </c>
      <c r="J348" s="248"/>
      <c r="K348" s="248"/>
      <c r="M348" s="248"/>
      <c r="W348"/>
      <c r="X348"/>
      <c r="Y348"/>
      <c r="Z348"/>
      <c r="AA348"/>
      <c r="AF348">
        <v>9</v>
      </c>
    </row>
    <row r="349" spans="1:32" x14ac:dyDescent="0.25">
      <c r="A349" s="308">
        <v>45231</v>
      </c>
      <c r="B349" s="305">
        <v>418525</v>
      </c>
      <c r="C349" s="412" t="str">
        <f>IFERROR(INDEX(Table14[],MATCH($B349,Table14[SAPNo],0),3),"")</f>
        <v>Drop In 1308 CT31   (B)</v>
      </c>
      <c r="D349" s="306"/>
      <c r="E349" s="305">
        <v>7</v>
      </c>
      <c r="F349" s="305"/>
      <c r="G349" s="306" t="s">
        <v>1195</v>
      </c>
      <c r="H349" s="306">
        <v>13925705</v>
      </c>
      <c r="I349" s="306" t="s">
        <v>1196</v>
      </c>
      <c r="J349" s="248"/>
      <c r="K349" s="248"/>
      <c r="M349" s="248"/>
      <c r="W349"/>
      <c r="X349"/>
      <c r="Y349"/>
      <c r="Z349"/>
      <c r="AA349"/>
      <c r="AF349">
        <v>7</v>
      </c>
    </row>
    <row r="350" spans="1:32" x14ac:dyDescent="0.25">
      <c r="A350" s="308">
        <v>45231</v>
      </c>
      <c r="B350" s="305">
        <v>1130198</v>
      </c>
      <c r="C350" s="412" t="str">
        <f>IFERROR(INDEX(Table14[],MATCH($B350,Table14[SAPNo],0),3),"")</f>
        <v>Round 1613 CT182  0.018" (S)</v>
      </c>
      <c r="D350" s="306"/>
      <c r="E350" s="305">
        <v>152</v>
      </c>
      <c r="F350" s="305"/>
      <c r="G350" s="306" t="s">
        <v>1197</v>
      </c>
      <c r="H350" s="306">
        <v>13925589</v>
      </c>
      <c r="I350" s="306" t="s">
        <v>1196</v>
      </c>
      <c r="J350" s="248"/>
      <c r="K350" s="248"/>
      <c r="M350" s="248"/>
      <c r="W350"/>
      <c r="X350"/>
      <c r="Y350"/>
      <c r="Z350"/>
      <c r="AA350"/>
      <c r="AF350">
        <v>152</v>
      </c>
    </row>
    <row r="351" spans="1:32" x14ac:dyDescent="0.25">
      <c r="A351" s="308">
        <v>45231</v>
      </c>
      <c r="B351" s="305">
        <v>418525</v>
      </c>
      <c r="C351" s="412" t="str">
        <f>IFERROR(INDEX(Table14[],MATCH($B351,Table14[SAPNo],0),3),"")</f>
        <v>Drop In 1308 CT31   (B)</v>
      </c>
      <c r="D351" s="306"/>
      <c r="E351" s="305">
        <v>7</v>
      </c>
      <c r="F351" s="305"/>
      <c r="G351" s="306" t="s">
        <v>1197</v>
      </c>
      <c r="H351" s="306">
        <v>13925589</v>
      </c>
      <c r="I351" s="306" t="s">
        <v>1196</v>
      </c>
      <c r="J351" s="248"/>
      <c r="K351" s="248"/>
      <c r="M351" s="248"/>
      <c r="W351"/>
      <c r="X351"/>
      <c r="Y351"/>
      <c r="Z351"/>
      <c r="AA351"/>
      <c r="AF351">
        <v>7</v>
      </c>
    </row>
    <row r="352" spans="1:32" x14ac:dyDescent="0.25">
      <c r="A352" s="308">
        <v>45231</v>
      </c>
      <c r="B352" s="305">
        <v>625854</v>
      </c>
      <c r="C352" s="412" t="str">
        <f>IFERROR(INDEX(Table14[],MATCH($B352,Table14[SAPNo],0),3),"")</f>
        <v>Carbide IA 1318    (C)</v>
      </c>
      <c r="D352" s="306"/>
      <c r="E352" s="305">
        <v>9</v>
      </c>
      <c r="F352" s="305"/>
      <c r="G352" s="306" t="s">
        <v>1197</v>
      </c>
      <c r="H352" s="306">
        <v>13925589</v>
      </c>
      <c r="I352" s="306" t="s">
        <v>1196</v>
      </c>
      <c r="J352" s="248"/>
      <c r="K352" s="248"/>
      <c r="M352" s="248"/>
      <c r="W352"/>
      <c r="X352"/>
      <c r="Y352"/>
      <c r="Z352"/>
      <c r="AA352"/>
      <c r="AF352">
        <v>9</v>
      </c>
    </row>
    <row r="353" spans="1:32" x14ac:dyDescent="0.25">
      <c r="A353" s="308">
        <v>45231</v>
      </c>
      <c r="B353" s="305">
        <v>882800</v>
      </c>
      <c r="C353" s="412" t="str">
        <f>IFERROR(INDEX(Table14[],MATCH($B353,Table14[SAPNo],0),3),"")</f>
        <v>Round 0808 CT80  0.018" (B)</v>
      </c>
      <c r="D353" s="306"/>
      <c r="E353" s="305">
        <v>10</v>
      </c>
      <c r="F353" s="305"/>
      <c r="G353" s="306" t="s">
        <v>1198</v>
      </c>
      <c r="H353" s="306">
        <v>14036260</v>
      </c>
      <c r="I353" s="306" t="s">
        <v>1199</v>
      </c>
      <c r="J353" s="248"/>
      <c r="K353" s="248"/>
      <c r="M353" s="248"/>
      <c r="W353"/>
      <c r="X353"/>
      <c r="Y353"/>
      <c r="Z353"/>
      <c r="AA353"/>
      <c r="AF353">
        <v>10</v>
      </c>
    </row>
    <row r="354" spans="1:32" x14ac:dyDescent="0.25">
      <c r="A354" s="308">
        <v>45231</v>
      </c>
      <c r="B354" s="305">
        <v>1130193</v>
      </c>
      <c r="C354" s="412" t="str">
        <f>IFERROR(INDEX(Table14[],MATCH($B354,Table14[SAPNo],0),3),"")</f>
        <v xml:space="preserve"> 1005 CT182  0.018 (S)</v>
      </c>
      <c r="D354" s="306"/>
      <c r="E354" s="305">
        <v>8</v>
      </c>
      <c r="F354" s="305"/>
      <c r="G354" s="306" t="s">
        <v>1198</v>
      </c>
      <c r="H354" s="306">
        <v>14036260</v>
      </c>
      <c r="I354" s="306" t="s">
        <v>1199</v>
      </c>
      <c r="J354" s="248"/>
      <c r="K354" s="248"/>
      <c r="M354" s="248"/>
      <c r="W354"/>
      <c r="X354"/>
      <c r="Y354"/>
      <c r="Z354"/>
      <c r="AA354"/>
      <c r="AF354">
        <v>8</v>
      </c>
    </row>
    <row r="355" spans="1:32" x14ac:dyDescent="0.25">
      <c r="A355" s="320">
        <v>45231</v>
      </c>
      <c r="B355" s="321">
        <v>1130194</v>
      </c>
      <c r="C355" s="413" t="str">
        <f>IFERROR(INDEX(Table14[],MATCH($B355,Table14[SAPNo],0),3),"")</f>
        <v>1010 CT182 18C</v>
      </c>
      <c r="D355" s="306"/>
      <c r="E355" s="321">
        <v>26</v>
      </c>
      <c r="F355" s="321"/>
      <c r="G355" s="322" t="s">
        <v>1198</v>
      </c>
      <c r="H355" s="322">
        <v>14036260</v>
      </c>
      <c r="I355" s="322" t="s">
        <v>1199</v>
      </c>
      <c r="J355" s="248"/>
      <c r="K355" s="248"/>
      <c r="M355" s="248"/>
      <c r="W355"/>
      <c r="X355"/>
      <c r="Y355"/>
      <c r="Z355"/>
      <c r="AA355"/>
      <c r="AF355">
        <v>26</v>
      </c>
    </row>
    <row r="356" spans="1:32" x14ac:dyDescent="0.25">
      <c r="A356" s="308">
        <v>45232</v>
      </c>
      <c r="B356" s="305">
        <v>882800</v>
      </c>
      <c r="C356" s="412" t="str">
        <f>IFERROR(INDEX(Table14[],MATCH($B356,Table14[SAPNo],0),3),"")</f>
        <v>Round 0808 CT80  0.018" (B)</v>
      </c>
      <c r="D356" s="306"/>
      <c r="E356" s="305">
        <v>10</v>
      </c>
      <c r="F356" s="305"/>
      <c r="G356" s="306" t="s">
        <v>1200</v>
      </c>
      <c r="H356" s="306">
        <v>14036261</v>
      </c>
      <c r="I356" s="306" t="s">
        <v>1199</v>
      </c>
      <c r="J356" s="248"/>
      <c r="K356" s="248"/>
      <c r="M356" s="248"/>
      <c r="W356"/>
      <c r="X356"/>
      <c r="Y356"/>
      <c r="Z356"/>
      <c r="AA356"/>
      <c r="AF356">
        <v>10</v>
      </c>
    </row>
    <row r="357" spans="1:32" x14ac:dyDescent="0.25">
      <c r="A357" s="308">
        <v>45232</v>
      </c>
      <c r="B357" s="305">
        <v>1130194</v>
      </c>
      <c r="C357" s="412" t="str">
        <f>IFERROR(INDEX(Table14[],MATCH($B357,Table14[SAPNo],0),3),"")</f>
        <v>1010 CT182 18C</v>
      </c>
      <c r="D357" s="306"/>
      <c r="E357" s="305">
        <v>26</v>
      </c>
      <c r="F357" s="305"/>
      <c r="G357" s="306" t="s">
        <v>1200</v>
      </c>
      <c r="H357" s="306">
        <v>14036261</v>
      </c>
      <c r="I357" s="306" t="s">
        <v>1199</v>
      </c>
      <c r="J357" s="248"/>
      <c r="K357" s="248"/>
      <c r="M357" s="248"/>
      <c r="W357"/>
      <c r="X357"/>
      <c r="Y357"/>
      <c r="Z357"/>
      <c r="AA357"/>
      <c r="AF357">
        <v>26</v>
      </c>
    </row>
    <row r="358" spans="1:32" x14ac:dyDescent="0.25">
      <c r="A358" s="308">
        <v>45232</v>
      </c>
      <c r="B358" s="305">
        <v>1130193</v>
      </c>
      <c r="C358" s="412" t="str">
        <f>IFERROR(INDEX(Table14[],MATCH($B358,Table14[SAPNo],0),3),"")</f>
        <v xml:space="preserve"> 1005 CT182  0.018 (S)</v>
      </c>
      <c r="D358" s="306"/>
      <c r="E358" s="305">
        <v>8</v>
      </c>
      <c r="F358" s="305"/>
      <c r="G358" s="306" t="s">
        <v>1200</v>
      </c>
      <c r="H358" s="306">
        <v>14036261</v>
      </c>
      <c r="I358" s="306" t="s">
        <v>1199</v>
      </c>
      <c r="J358" s="248"/>
      <c r="K358" s="248"/>
      <c r="M358" s="248"/>
      <c r="W358"/>
      <c r="X358"/>
      <c r="Y358"/>
      <c r="Z358"/>
      <c r="AA358"/>
      <c r="AF358">
        <v>8</v>
      </c>
    </row>
    <row r="359" spans="1:32" x14ac:dyDescent="0.25">
      <c r="A359" s="308">
        <v>45232</v>
      </c>
      <c r="B359" s="305">
        <v>882800</v>
      </c>
      <c r="C359" s="412" t="str">
        <f>IFERROR(INDEX(Table14[],MATCH($B359,Table14[SAPNo],0),3),"")</f>
        <v>Round 0808 CT80  0.018" (B)</v>
      </c>
      <c r="D359" s="306"/>
      <c r="E359" s="305">
        <v>10</v>
      </c>
      <c r="F359" s="305"/>
      <c r="G359" s="306" t="s">
        <v>1201</v>
      </c>
      <c r="H359" s="306">
        <v>14036257</v>
      </c>
      <c r="I359" s="306" t="s">
        <v>1199</v>
      </c>
      <c r="J359" s="248"/>
      <c r="K359" s="248"/>
      <c r="M359" s="248"/>
      <c r="W359"/>
      <c r="X359"/>
      <c r="Y359"/>
      <c r="Z359"/>
      <c r="AA359"/>
      <c r="AF359">
        <v>10</v>
      </c>
    </row>
    <row r="360" spans="1:32" x14ac:dyDescent="0.25">
      <c r="A360" s="308">
        <v>45232</v>
      </c>
      <c r="B360" s="305">
        <v>1130194</v>
      </c>
      <c r="C360" s="412" t="str">
        <f>IFERROR(INDEX(Table14[],MATCH($B360,Table14[SAPNo],0),3),"")</f>
        <v>1010 CT182 18C</v>
      </c>
      <c r="D360" s="306"/>
      <c r="E360" s="305">
        <v>26</v>
      </c>
      <c r="F360" s="305"/>
      <c r="G360" s="306" t="s">
        <v>1201</v>
      </c>
      <c r="H360" s="306">
        <v>14036257</v>
      </c>
      <c r="I360" s="306" t="s">
        <v>1199</v>
      </c>
      <c r="J360" s="248"/>
      <c r="K360" s="248"/>
      <c r="M360" s="248"/>
      <c r="W360"/>
      <c r="X360"/>
      <c r="Y360"/>
      <c r="Z360"/>
      <c r="AA360"/>
      <c r="AF360">
        <v>26</v>
      </c>
    </row>
    <row r="361" spans="1:32" x14ac:dyDescent="0.25">
      <c r="A361" s="320">
        <v>45232</v>
      </c>
      <c r="B361" s="321">
        <v>1130193</v>
      </c>
      <c r="C361" s="413" t="str">
        <f>IFERROR(INDEX(Table14[],MATCH($B361,Table14[SAPNo],0),3),"")</f>
        <v xml:space="preserve"> 1005 CT182  0.018 (S)</v>
      </c>
      <c r="D361" s="306"/>
      <c r="E361" s="321">
        <v>8</v>
      </c>
      <c r="F361" s="321"/>
      <c r="G361" s="322" t="s">
        <v>1201</v>
      </c>
      <c r="H361" s="322">
        <v>14036257</v>
      </c>
      <c r="I361" s="322" t="s">
        <v>1199</v>
      </c>
      <c r="J361" s="248"/>
      <c r="K361" s="248"/>
      <c r="M361" s="248"/>
      <c r="W361"/>
      <c r="X361"/>
      <c r="Y361"/>
      <c r="Z361"/>
      <c r="AA361"/>
      <c r="AF361">
        <v>8</v>
      </c>
    </row>
    <row r="362" spans="1:32" x14ac:dyDescent="0.25">
      <c r="A362" s="308">
        <v>45235</v>
      </c>
      <c r="B362" s="305">
        <v>976348</v>
      </c>
      <c r="C362" s="412" t="str">
        <f>IFERROR(INDEX(Table14[],MATCH($B362,Table14[SAPNo],0),3),"")</f>
        <v>Round 1308 CR45 Test Cutter 10C (T)</v>
      </c>
      <c r="D362" s="306"/>
      <c r="E362" s="305">
        <v>4</v>
      </c>
      <c r="F362" s="305"/>
      <c r="G362" s="306" t="s">
        <v>1202</v>
      </c>
      <c r="H362" s="306">
        <v>13730514</v>
      </c>
      <c r="I362" s="306" t="s">
        <v>1203</v>
      </c>
      <c r="J362" s="248"/>
      <c r="K362" s="248"/>
      <c r="M362" s="248"/>
      <c r="W362"/>
      <c r="X362"/>
      <c r="Y362"/>
      <c r="Z362"/>
      <c r="AA362"/>
      <c r="AF362">
        <v>4</v>
      </c>
    </row>
    <row r="363" spans="1:32" x14ac:dyDescent="0.25">
      <c r="A363" s="308">
        <v>45235</v>
      </c>
      <c r="B363" s="305">
        <v>1144689</v>
      </c>
      <c r="C363" s="412" t="str">
        <f>IFERROR(INDEX(Table14[],MATCH($B363,Table14[SAPNo],0),3),"")</f>
        <v>Round 1308 CT153/CR42 Test Cutter 10C (T)</v>
      </c>
      <c r="D363" s="306"/>
      <c r="E363" s="305">
        <v>2</v>
      </c>
      <c r="F363" s="305"/>
      <c r="G363" s="306" t="s">
        <v>1202</v>
      </c>
      <c r="H363" s="306">
        <v>13730514</v>
      </c>
      <c r="I363" s="306" t="s">
        <v>1203</v>
      </c>
      <c r="J363" s="248"/>
      <c r="K363" s="248"/>
      <c r="M363" s="248"/>
      <c r="W363"/>
      <c r="X363"/>
      <c r="Y363"/>
      <c r="Z363"/>
      <c r="AA363"/>
      <c r="AF363">
        <v>2</v>
      </c>
    </row>
    <row r="364" spans="1:32" x14ac:dyDescent="0.25">
      <c r="A364" s="308">
        <v>45235</v>
      </c>
      <c r="B364" s="305">
        <v>871781</v>
      </c>
      <c r="C364" s="412" t="str">
        <f>IFERROR(INDEX(Table14[],MATCH($B364,Table14[SAPNo],0),3),"")</f>
        <v>Round 1313 CT200  0.018" (B)</v>
      </c>
      <c r="D364" s="306"/>
      <c r="E364" s="305">
        <v>4</v>
      </c>
      <c r="F364" s="305"/>
      <c r="G364" s="306" t="s">
        <v>1204</v>
      </c>
      <c r="H364" s="306">
        <v>13918075</v>
      </c>
      <c r="I364" s="306" t="s">
        <v>1164</v>
      </c>
      <c r="J364" s="248"/>
      <c r="K364" s="248"/>
      <c r="M364" s="248"/>
      <c r="W364"/>
      <c r="X364"/>
      <c r="Y364"/>
      <c r="Z364"/>
      <c r="AA364"/>
      <c r="AF364">
        <v>4</v>
      </c>
    </row>
    <row r="365" spans="1:32" x14ac:dyDescent="0.25">
      <c r="A365" s="308">
        <v>45235</v>
      </c>
      <c r="B365" s="305">
        <v>418525</v>
      </c>
      <c r="C365" s="412" t="str">
        <f>IFERROR(INDEX(Table14[],MATCH($B365,Table14[SAPNo],0),3),"")</f>
        <v>Drop In 1308 CT31   (B)</v>
      </c>
      <c r="D365" s="306"/>
      <c r="E365" s="305">
        <v>3</v>
      </c>
      <c r="F365" s="305"/>
      <c r="G365" s="306" t="s">
        <v>1204</v>
      </c>
      <c r="H365" s="306">
        <v>13918075</v>
      </c>
      <c r="I365" s="306" t="s">
        <v>1164</v>
      </c>
      <c r="J365" s="248"/>
      <c r="K365" s="248"/>
      <c r="M365" s="248"/>
      <c r="W365"/>
      <c r="X365"/>
      <c r="Y365"/>
      <c r="Z365"/>
      <c r="AA365"/>
      <c r="AF365">
        <v>3</v>
      </c>
    </row>
    <row r="366" spans="1:32" x14ac:dyDescent="0.25">
      <c r="A366" s="308">
        <v>45236</v>
      </c>
      <c r="B366" s="305">
        <v>1130200</v>
      </c>
      <c r="C366" s="412" t="str">
        <f>IFERROR(INDEX(Table14[],MATCH($B366,Table14[SAPNo],0),3),"")</f>
        <v>Round 1913 CT182  0.018" (S)</v>
      </c>
      <c r="D366" s="306"/>
      <c r="E366" s="305">
        <v>32</v>
      </c>
      <c r="F366" s="305"/>
      <c r="G366" s="306" t="s">
        <v>1204</v>
      </c>
      <c r="H366" s="306">
        <v>13918075</v>
      </c>
      <c r="I366" s="306" t="s">
        <v>1164</v>
      </c>
      <c r="J366" s="248"/>
      <c r="K366" s="248"/>
      <c r="M366" s="248"/>
      <c r="W366"/>
      <c r="X366"/>
      <c r="Y366"/>
      <c r="Z366"/>
      <c r="AA366"/>
      <c r="AF366">
        <v>32</v>
      </c>
    </row>
    <row r="367" spans="1:32" x14ac:dyDescent="0.25">
      <c r="A367" s="308">
        <v>45235</v>
      </c>
      <c r="B367" s="305">
        <v>1130198</v>
      </c>
      <c r="C367" s="412" t="str">
        <f>IFERROR(INDEX(Table14[],MATCH($B367,Table14[SAPNo],0),3),"")</f>
        <v>Round 1613 CT182  0.018" (S)</v>
      </c>
      <c r="D367" s="306"/>
      <c r="E367" s="305">
        <v>9</v>
      </c>
      <c r="F367" s="305"/>
      <c r="G367" s="306" t="s">
        <v>1204</v>
      </c>
      <c r="H367" s="306">
        <v>13918075</v>
      </c>
      <c r="I367" s="306" t="s">
        <v>1164</v>
      </c>
      <c r="J367" s="248"/>
      <c r="K367" s="248"/>
      <c r="M367" s="248"/>
      <c r="W367"/>
      <c r="X367"/>
      <c r="Y367"/>
      <c r="Z367"/>
      <c r="AA367"/>
      <c r="AF367">
        <v>9</v>
      </c>
    </row>
    <row r="368" spans="1:32" x14ac:dyDescent="0.25">
      <c r="A368" s="308">
        <v>45235</v>
      </c>
      <c r="B368" s="305">
        <v>1130196</v>
      </c>
      <c r="C368" s="412" t="str">
        <f>IFERROR(INDEX(Table14[],MATCH($B368,Table14[SAPNo],0),3),"")</f>
        <v>Round 1313 CT182  0.018" (S)</v>
      </c>
      <c r="D368" s="306"/>
      <c r="E368" s="305">
        <v>12</v>
      </c>
      <c r="F368" s="305"/>
      <c r="G368" s="306" t="s">
        <v>1204</v>
      </c>
      <c r="H368" s="306">
        <v>13918075</v>
      </c>
      <c r="I368" s="306" t="s">
        <v>1164</v>
      </c>
      <c r="J368" s="248"/>
      <c r="K368" s="248"/>
      <c r="M368" s="248"/>
      <c r="W368"/>
      <c r="X368"/>
      <c r="Y368"/>
      <c r="Z368"/>
      <c r="AA368"/>
      <c r="AF368">
        <v>12</v>
      </c>
    </row>
    <row r="369" spans="1:32" x14ac:dyDescent="0.25">
      <c r="A369" s="308">
        <v>45235</v>
      </c>
      <c r="B369" s="305">
        <v>871781</v>
      </c>
      <c r="C369" s="412" t="str">
        <f>IFERROR(INDEX(Table14[],MATCH($B369,Table14[SAPNo],0),3),"")</f>
        <v>Round 1313 CT200  0.018" (B)</v>
      </c>
      <c r="D369" s="306"/>
      <c r="E369" s="305">
        <v>4</v>
      </c>
      <c r="F369" s="305"/>
      <c r="G369" s="306" t="s">
        <v>1205</v>
      </c>
      <c r="H369" s="306">
        <v>13939970</v>
      </c>
      <c r="I369" s="306" t="s">
        <v>1164</v>
      </c>
      <c r="J369" s="248"/>
      <c r="K369" s="248"/>
      <c r="M369" s="248"/>
      <c r="W369"/>
      <c r="X369"/>
      <c r="Y369"/>
      <c r="Z369"/>
      <c r="AA369"/>
      <c r="AF369">
        <v>4</v>
      </c>
    </row>
    <row r="370" spans="1:32" x14ac:dyDescent="0.25">
      <c r="A370" s="308">
        <v>45235</v>
      </c>
      <c r="B370" s="305">
        <v>418525</v>
      </c>
      <c r="C370" s="412" t="str">
        <f>IFERROR(INDEX(Table14[],MATCH($B370,Table14[SAPNo],0),3),"")</f>
        <v>Drop In 1308 CT31   (B)</v>
      </c>
      <c r="D370" s="306"/>
      <c r="E370" s="305">
        <v>3</v>
      </c>
      <c r="F370" s="305"/>
      <c r="G370" s="306" t="s">
        <v>1205</v>
      </c>
      <c r="H370" s="306">
        <v>13939970</v>
      </c>
      <c r="I370" s="306" t="s">
        <v>1164</v>
      </c>
      <c r="J370" s="248"/>
      <c r="K370" s="248"/>
      <c r="M370" s="248"/>
      <c r="W370"/>
      <c r="X370"/>
      <c r="Y370"/>
      <c r="Z370"/>
      <c r="AA370"/>
      <c r="AF370">
        <v>3</v>
      </c>
    </row>
    <row r="371" spans="1:32" x14ac:dyDescent="0.25">
      <c r="A371" s="308">
        <v>45235</v>
      </c>
      <c r="B371" s="305">
        <v>1130200</v>
      </c>
      <c r="C371" s="412" t="str">
        <f>IFERROR(INDEX(Table14[],MATCH($B371,Table14[SAPNo],0),3),"")</f>
        <v>Round 1913 CT182  0.018" (S)</v>
      </c>
      <c r="D371" s="306"/>
      <c r="E371" s="305">
        <v>32</v>
      </c>
      <c r="F371" s="305"/>
      <c r="G371" s="306" t="s">
        <v>1205</v>
      </c>
      <c r="H371" s="306">
        <v>13939970</v>
      </c>
      <c r="I371" s="306" t="s">
        <v>1164</v>
      </c>
      <c r="J371" s="248"/>
      <c r="K371" s="248"/>
      <c r="M371" s="248"/>
      <c r="W371"/>
      <c r="X371"/>
      <c r="Y371"/>
      <c r="Z371"/>
      <c r="AA371"/>
      <c r="AF371">
        <v>32</v>
      </c>
    </row>
    <row r="372" spans="1:32" x14ac:dyDescent="0.25">
      <c r="A372" s="308">
        <v>45235</v>
      </c>
      <c r="B372" s="305">
        <v>1130198</v>
      </c>
      <c r="C372" s="412" t="str">
        <f>IFERROR(INDEX(Table14[],MATCH($B372,Table14[SAPNo],0),3),"")</f>
        <v>Round 1613 CT182  0.018" (S)</v>
      </c>
      <c r="D372" s="306"/>
      <c r="E372" s="305">
        <v>9</v>
      </c>
      <c r="F372" s="305"/>
      <c r="G372" s="306" t="s">
        <v>1205</v>
      </c>
      <c r="H372" s="306">
        <v>13939970</v>
      </c>
      <c r="I372" s="306" t="s">
        <v>1164</v>
      </c>
      <c r="J372" s="248"/>
      <c r="K372" s="248"/>
      <c r="M372" s="248"/>
      <c r="W372"/>
      <c r="X372"/>
      <c r="Y372"/>
      <c r="Z372"/>
      <c r="AA372"/>
      <c r="AF372">
        <v>9</v>
      </c>
    </row>
    <row r="373" spans="1:32" x14ac:dyDescent="0.25">
      <c r="A373" s="320">
        <v>45235</v>
      </c>
      <c r="B373" s="321">
        <v>1130196</v>
      </c>
      <c r="C373" s="413" t="str">
        <f>IFERROR(INDEX(Table14[],MATCH($B373,Table14[SAPNo],0),3),"")</f>
        <v>Round 1313 CT182  0.018" (S)</v>
      </c>
      <c r="D373" s="306"/>
      <c r="E373" s="321">
        <v>12</v>
      </c>
      <c r="F373" s="321"/>
      <c r="G373" s="322" t="s">
        <v>1205</v>
      </c>
      <c r="H373" s="322">
        <v>13939970</v>
      </c>
      <c r="I373" s="322" t="s">
        <v>1164</v>
      </c>
      <c r="J373" s="248"/>
      <c r="K373" s="248"/>
      <c r="M373" s="248"/>
      <c r="W373"/>
      <c r="X373"/>
      <c r="Y373"/>
      <c r="Z373"/>
      <c r="AA373"/>
      <c r="AF373">
        <v>12</v>
      </c>
    </row>
    <row r="374" spans="1:32" x14ac:dyDescent="0.25">
      <c r="A374" s="308">
        <v>45236</v>
      </c>
      <c r="B374" s="305">
        <v>1209332</v>
      </c>
      <c r="C374" s="412" t="str">
        <f>IFERROR(INDEX(Table14[],MATCH($B374,Table14[SAPNo],0),3),"")</f>
        <v>1313 CT147G U</v>
      </c>
      <c r="D374" s="306"/>
      <c r="E374" s="305">
        <v>1</v>
      </c>
      <c r="F374" s="305"/>
      <c r="G374" s="306" t="s">
        <v>1206</v>
      </c>
      <c r="H374" s="306" t="s">
        <v>1207</v>
      </c>
      <c r="I374" s="306" t="s">
        <v>1093</v>
      </c>
      <c r="J374" s="248"/>
      <c r="K374" s="248"/>
      <c r="M374" s="248"/>
      <c r="W374"/>
      <c r="X374"/>
      <c r="Y374"/>
      <c r="Z374"/>
      <c r="AA374"/>
      <c r="AF374">
        <v>1</v>
      </c>
    </row>
    <row r="375" spans="1:32" x14ac:dyDescent="0.25">
      <c r="A375" s="308">
        <v>45236</v>
      </c>
      <c r="B375" s="305">
        <v>1130200</v>
      </c>
      <c r="C375" s="412" t="str">
        <f>IFERROR(INDEX(Table14[],MATCH($B375,Table14[SAPNo],0),3),"")</f>
        <v>Round 1913 CT182  0.018" (S)</v>
      </c>
      <c r="D375" s="306"/>
      <c r="E375" s="305">
        <v>32</v>
      </c>
      <c r="F375" s="305"/>
      <c r="G375" s="306" t="s">
        <v>1208</v>
      </c>
      <c r="H375" s="306">
        <v>13917052</v>
      </c>
      <c r="I375" s="306" t="s">
        <v>1164</v>
      </c>
      <c r="J375" s="248"/>
      <c r="K375" s="248"/>
      <c r="M375" s="248"/>
      <c r="W375"/>
      <c r="X375"/>
      <c r="Y375"/>
      <c r="Z375"/>
      <c r="AA375"/>
      <c r="AF375">
        <v>32</v>
      </c>
    </row>
    <row r="376" spans="1:32" x14ac:dyDescent="0.25">
      <c r="A376" s="308">
        <v>45236</v>
      </c>
      <c r="B376" s="305">
        <v>1130198</v>
      </c>
      <c r="C376" s="412" t="str">
        <f>IFERROR(INDEX(Table14[],MATCH($B376,Table14[SAPNo],0),3),"")</f>
        <v>Round 1613 CT182  0.018" (S)</v>
      </c>
      <c r="D376" s="306"/>
      <c r="E376" s="305">
        <v>9</v>
      </c>
      <c r="F376" s="305"/>
      <c r="G376" s="306" t="s">
        <v>1208</v>
      </c>
      <c r="H376" s="306">
        <v>13917052</v>
      </c>
      <c r="I376" s="306" t="s">
        <v>1164</v>
      </c>
      <c r="J376" s="248"/>
      <c r="K376" s="248"/>
      <c r="M376" s="248"/>
      <c r="W376"/>
      <c r="X376"/>
      <c r="Y376"/>
      <c r="Z376"/>
      <c r="AA376"/>
      <c r="AF376">
        <v>9</v>
      </c>
    </row>
    <row r="377" spans="1:32" x14ac:dyDescent="0.25">
      <c r="A377" s="308">
        <v>45236</v>
      </c>
      <c r="B377" s="305">
        <v>418525</v>
      </c>
      <c r="C377" s="412" t="str">
        <f>IFERROR(INDEX(Table14[],MATCH($B377,Table14[SAPNo],0),3),"")</f>
        <v>Drop In 1308 CT31   (B)</v>
      </c>
      <c r="D377" s="306"/>
      <c r="E377" s="305">
        <v>3</v>
      </c>
      <c r="F377" s="305"/>
      <c r="G377" s="306" t="s">
        <v>1208</v>
      </c>
      <c r="H377" s="306">
        <v>13917052</v>
      </c>
      <c r="I377" s="306" t="s">
        <v>1164</v>
      </c>
      <c r="J377" s="248"/>
      <c r="K377" s="248"/>
      <c r="M377" s="248"/>
      <c r="W377"/>
      <c r="X377"/>
      <c r="Y377"/>
      <c r="Z377"/>
      <c r="AA377"/>
      <c r="AF377">
        <v>3</v>
      </c>
    </row>
    <row r="378" spans="1:32" x14ac:dyDescent="0.25">
      <c r="A378" s="308">
        <v>45236</v>
      </c>
      <c r="B378" s="305">
        <v>1130196</v>
      </c>
      <c r="C378" s="412" t="str">
        <f>IFERROR(INDEX(Table14[],MATCH($B378,Table14[SAPNo],0),3),"")</f>
        <v>Round 1313 CT182  0.018" (S)</v>
      </c>
      <c r="D378" s="306"/>
      <c r="E378" s="305">
        <v>12</v>
      </c>
      <c r="F378" s="305"/>
      <c r="G378" s="306" t="s">
        <v>1208</v>
      </c>
      <c r="H378" s="306">
        <v>13917052</v>
      </c>
      <c r="I378" s="306" t="s">
        <v>1164</v>
      </c>
      <c r="J378" s="248"/>
      <c r="K378" s="248"/>
      <c r="M378" s="248"/>
      <c r="W378"/>
      <c r="X378"/>
      <c r="Y378"/>
      <c r="Z378"/>
      <c r="AA378"/>
      <c r="AF378">
        <v>12</v>
      </c>
    </row>
    <row r="379" spans="1:32" x14ac:dyDescent="0.25">
      <c r="A379" s="308">
        <v>45236</v>
      </c>
      <c r="B379" s="305">
        <v>871781</v>
      </c>
      <c r="C379" s="412" t="str">
        <f>IFERROR(INDEX(Table14[],MATCH($B379,Table14[SAPNo],0),3),"")</f>
        <v>Round 1313 CT200  0.018" (B)</v>
      </c>
      <c r="D379" s="306"/>
      <c r="E379" s="305">
        <v>4</v>
      </c>
      <c r="F379" s="305"/>
      <c r="G379" s="306" t="s">
        <v>1208</v>
      </c>
      <c r="H379" s="306">
        <v>13917052</v>
      </c>
      <c r="I379" s="306" t="s">
        <v>1164</v>
      </c>
      <c r="J379" s="248"/>
      <c r="K379" s="248"/>
      <c r="M379" s="248"/>
      <c r="W379"/>
      <c r="X379"/>
      <c r="Y379"/>
      <c r="Z379"/>
      <c r="AA379"/>
      <c r="AF379">
        <v>4</v>
      </c>
    </row>
    <row r="380" spans="1:32" x14ac:dyDescent="0.25">
      <c r="A380" s="308">
        <v>45224</v>
      </c>
      <c r="B380" s="305">
        <v>1228502</v>
      </c>
      <c r="C380" s="412" t="str">
        <f>IFERROR(INDEX(Table14[],MATCH($B380,Table14[SAPNo],0),3),"")</f>
        <v>1618 CT182 U-60 Rotor</v>
      </c>
      <c r="D380" s="306"/>
      <c r="E380" s="305">
        <v>10</v>
      </c>
      <c r="F380" s="305"/>
      <c r="G380" s="306" t="s">
        <v>1192</v>
      </c>
      <c r="H380" s="306">
        <v>14056702</v>
      </c>
      <c r="I380" s="306" t="s">
        <v>1175</v>
      </c>
      <c r="J380" s="248"/>
      <c r="K380" s="248"/>
      <c r="M380" s="248"/>
      <c r="W380"/>
      <c r="X380"/>
      <c r="Y380"/>
      <c r="Z380"/>
      <c r="AA380"/>
      <c r="AF380">
        <v>10</v>
      </c>
    </row>
    <row r="381" spans="1:32" x14ac:dyDescent="0.25">
      <c r="A381" s="308">
        <v>45224</v>
      </c>
      <c r="B381" s="305">
        <v>871781</v>
      </c>
      <c r="C381" s="412" t="str">
        <f>IFERROR(INDEX(Table14[],MATCH($B381,Table14[SAPNo],0),3),"")</f>
        <v>Round 1313 CT200  0.018" (B)</v>
      </c>
      <c r="D381" s="306"/>
      <c r="E381" s="305">
        <v>6</v>
      </c>
      <c r="F381" s="305"/>
      <c r="G381" s="306" t="s">
        <v>1192</v>
      </c>
      <c r="H381" s="306">
        <v>14056702</v>
      </c>
      <c r="I381" s="306" t="s">
        <v>1175</v>
      </c>
      <c r="J381" s="248"/>
      <c r="K381" s="248"/>
      <c r="M381" s="248"/>
      <c r="W381"/>
      <c r="X381"/>
      <c r="Y381"/>
      <c r="Z381"/>
      <c r="AA381"/>
      <c r="AF381">
        <v>6</v>
      </c>
    </row>
    <row r="382" spans="1:32" x14ac:dyDescent="0.25">
      <c r="A382" s="308">
        <v>45224</v>
      </c>
      <c r="B382" s="305">
        <v>1261320</v>
      </c>
      <c r="C382" s="412" t="str">
        <f>IFERROR(INDEX(Table14[],MATCH($B382,Table14[SAPNo],0),3),"")</f>
        <v>1313 CT155 U-60</v>
      </c>
      <c r="D382" s="306"/>
      <c r="E382" s="305">
        <v>6</v>
      </c>
      <c r="F382" s="305"/>
      <c r="G382" s="306" t="s">
        <v>1192</v>
      </c>
      <c r="H382" s="306">
        <v>14056702</v>
      </c>
      <c r="I382" s="306" t="s">
        <v>1175</v>
      </c>
      <c r="J382" s="248"/>
      <c r="K382" s="248"/>
      <c r="M382" s="248"/>
      <c r="W382"/>
      <c r="X382"/>
      <c r="Y382"/>
      <c r="Z382"/>
      <c r="AA382"/>
      <c r="AF382">
        <v>6</v>
      </c>
    </row>
    <row r="383" spans="1:32" x14ac:dyDescent="0.25">
      <c r="A383" s="308">
        <v>45224</v>
      </c>
      <c r="B383" s="305">
        <v>1261321</v>
      </c>
      <c r="C383" s="412" t="str">
        <f>IFERROR(INDEX(Table14[],MATCH($B383,Table14[SAPNo],0),3),"")</f>
        <v>1613 CT155 U-60</v>
      </c>
      <c r="D383" s="306"/>
      <c r="E383" s="305">
        <v>4</v>
      </c>
      <c r="F383" s="305"/>
      <c r="G383" s="306" t="s">
        <v>1192</v>
      </c>
      <c r="H383" s="306">
        <v>14056702</v>
      </c>
      <c r="I383" s="306" t="s">
        <v>1175</v>
      </c>
      <c r="J383" s="248"/>
      <c r="K383" s="248"/>
      <c r="M383" s="248"/>
      <c r="W383"/>
      <c r="X383"/>
      <c r="Y383"/>
      <c r="Z383"/>
      <c r="AA383"/>
      <c r="AF383">
        <v>4</v>
      </c>
    </row>
    <row r="384" spans="1:32" x14ac:dyDescent="0.25">
      <c r="A384" s="308">
        <v>45224</v>
      </c>
      <c r="B384" s="305">
        <v>1228501</v>
      </c>
      <c r="C384" s="412" t="str">
        <f>IFERROR(INDEX(Table14[],MATCH($B384,Table14[SAPNo],0),3),"")</f>
        <v>1618 CT182 U-60 stator</v>
      </c>
      <c r="D384" s="306"/>
      <c r="E384" s="305">
        <v>10</v>
      </c>
      <c r="F384" s="305"/>
      <c r="G384" s="306" t="s">
        <v>1192</v>
      </c>
      <c r="H384" s="306">
        <v>14056702</v>
      </c>
      <c r="I384" s="306" t="s">
        <v>1175</v>
      </c>
      <c r="J384" s="248"/>
      <c r="K384" s="248"/>
      <c r="M384" s="248"/>
      <c r="W384"/>
      <c r="X384"/>
      <c r="Y384"/>
      <c r="Z384"/>
      <c r="AA384"/>
      <c r="AF384">
        <v>10</v>
      </c>
    </row>
    <row r="385" spans="1:32" x14ac:dyDescent="0.25">
      <c r="A385" s="308">
        <v>45224</v>
      </c>
      <c r="B385" s="305">
        <v>1228503</v>
      </c>
      <c r="C385" s="412" t="str">
        <f>IFERROR(INDEX(Table14[],MATCH($B385,Table14[SAPNo],0),3),"")</f>
        <v>1618 CT182 U-60 Ring</v>
      </c>
      <c r="D385" s="306"/>
      <c r="E385" s="305">
        <v>10</v>
      </c>
      <c r="F385" s="305"/>
      <c r="G385" s="306" t="s">
        <v>1192</v>
      </c>
      <c r="H385" s="306">
        <v>14056702</v>
      </c>
      <c r="I385" s="306" t="s">
        <v>1175</v>
      </c>
      <c r="J385" s="248"/>
      <c r="K385" s="248"/>
      <c r="M385" s="248"/>
      <c r="W385"/>
      <c r="X385"/>
      <c r="Y385"/>
      <c r="Z385"/>
      <c r="AA385"/>
      <c r="AF385">
        <v>10</v>
      </c>
    </row>
    <row r="386" spans="1:32" x14ac:dyDescent="0.25">
      <c r="A386" s="308">
        <v>45224</v>
      </c>
      <c r="B386" s="305">
        <v>1220554</v>
      </c>
      <c r="C386" s="412" t="str">
        <f>IFERROR(INDEX(Table14[],MATCH($B386,Table14[SAPNo],0),3),"")</f>
        <v xml:space="preserve">1618 CT182 U-60 Carbide </v>
      </c>
      <c r="D386" s="306"/>
      <c r="E386" s="305">
        <v>10</v>
      </c>
      <c r="F386" s="305"/>
      <c r="G386" s="306" t="s">
        <v>1192</v>
      </c>
      <c r="H386" s="306">
        <v>14056702</v>
      </c>
      <c r="I386" s="306" t="s">
        <v>1175</v>
      </c>
      <c r="J386" s="248"/>
      <c r="K386" s="248"/>
      <c r="M386" s="248"/>
      <c r="W386"/>
      <c r="X386"/>
      <c r="Y386"/>
      <c r="Z386"/>
      <c r="AA386"/>
      <c r="AF386">
        <v>10</v>
      </c>
    </row>
    <row r="387" spans="1:32" x14ac:dyDescent="0.25">
      <c r="A387" s="308">
        <v>45229</v>
      </c>
      <c r="B387" s="305">
        <v>1220554</v>
      </c>
      <c r="C387" s="412" t="str">
        <f>IFERROR(INDEX(Table14[],MATCH($B387,Table14[SAPNo],0),3),"")</f>
        <v xml:space="preserve">1618 CT182 U-60 Carbide </v>
      </c>
      <c r="D387" s="306"/>
      <c r="E387" s="305">
        <v>2</v>
      </c>
      <c r="F387" s="305"/>
      <c r="G387" s="306" t="s">
        <v>1192</v>
      </c>
      <c r="H387" s="306">
        <v>14056702</v>
      </c>
      <c r="I387" s="306" t="s">
        <v>1175</v>
      </c>
      <c r="J387" s="248"/>
      <c r="K387" s="248" t="s">
        <v>1209</v>
      </c>
      <c r="M387" s="248"/>
      <c r="W387"/>
      <c r="X387"/>
      <c r="Y387"/>
      <c r="Z387"/>
      <c r="AA387"/>
      <c r="AF387">
        <v>2</v>
      </c>
    </row>
    <row r="388" spans="1:32" x14ac:dyDescent="0.25">
      <c r="A388" s="308">
        <v>45237</v>
      </c>
      <c r="B388" s="305">
        <v>1100741</v>
      </c>
      <c r="C388" s="412" t="str">
        <f>IFERROR(INDEX(Table14[],MATCH($B388,Table14[SAPNo],0),3),"")</f>
        <v>Round 1613 CT418  0.018" (S)</v>
      </c>
      <c r="D388" s="306"/>
      <c r="E388" s="305">
        <v>2</v>
      </c>
      <c r="F388" s="305"/>
      <c r="G388" s="306" t="s">
        <v>1210</v>
      </c>
      <c r="H388" s="306">
        <v>14067157</v>
      </c>
      <c r="I388" s="306" t="s">
        <v>1076</v>
      </c>
      <c r="J388" s="248"/>
      <c r="K388" s="248"/>
      <c r="M388" s="248"/>
      <c r="W388"/>
      <c r="X388"/>
      <c r="Y388"/>
      <c r="Z388"/>
      <c r="AA388"/>
      <c r="AF388">
        <v>2</v>
      </c>
    </row>
    <row r="389" spans="1:32" x14ac:dyDescent="0.25">
      <c r="A389" s="308">
        <v>45237</v>
      </c>
      <c r="B389" s="305">
        <v>418525</v>
      </c>
      <c r="C389" s="412" t="str">
        <f>IFERROR(INDEX(Table14[],MATCH($B389,Table14[SAPNo],0),3),"")</f>
        <v>Drop In 1308 CT31   (B)</v>
      </c>
      <c r="D389" s="306"/>
      <c r="E389" s="305">
        <v>6</v>
      </c>
      <c r="F389" s="305"/>
      <c r="G389" s="306" t="s">
        <v>1210</v>
      </c>
      <c r="H389" s="306">
        <v>14067157</v>
      </c>
      <c r="I389" s="306" t="s">
        <v>1076</v>
      </c>
      <c r="J389" s="248"/>
      <c r="K389" s="248"/>
      <c r="M389" s="248"/>
      <c r="W389"/>
      <c r="X389"/>
      <c r="Y389"/>
      <c r="Z389"/>
      <c r="AA389"/>
      <c r="AF389">
        <v>6</v>
      </c>
    </row>
    <row r="390" spans="1:32" x14ac:dyDescent="0.25">
      <c r="A390" s="308">
        <v>45237</v>
      </c>
      <c r="B390" s="305">
        <v>1078377</v>
      </c>
      <c r="C390" s="412" t="str">
        <f>IFERROR(INDEX(Table14[],MATCH($B390,Table14[SAPNo],0),3),"")</f>
        <v>13MM CT221 R1</v>
      </c>
      <c r="D390" s="306"/>
      <c r="E390" s="305">
        <v>15</v>
      </c>
      <c r="F390" s="305"/>
      <c r="G390" s="306" t="s">
        <v>1210</v>
      </c>
      <c r="H390" s="306">
        <v>14067157</v>
      </c>
      <c r="I390" s="306" t="s">
        <v>1076</v>
      </c>
      <c r="J390" s="248"/>
      <c r="K390" s="248"/>
      <c r="M390" s="248"/>
      <c r="W390"/>
      <c r="X390"/>
      <c r="Y390"/>
      <c r="Z390"/>
      <c r="AA390"/>
      <c r="AF390">
        <v>15</v>
      </c>
    </row>
    <row r="391" spans="1:32" x14ac:dyDescent="0.25">
      <c r="A391" s="308">
        <v>45237</v>
      </c>
      <c r="B391" s="305">
        <v>1208601</v>
      </c>
      <c r="C391" s="412" t="str">
        <f>IFERROR(INDEX(Table14[],MATCH($B391,Table14[SAPNo],0),3),"")</f>
        <v>1613 CT418 U-60</v>
      </c>
      <c r="D391" s="306"/>
      <c r="E391" s="305">
        <v>8</v>
      </c>
      <c r="F391" s="305"/>
      <c r="G391" s="306" t="s">
        <v>1210</v>
      </c>
      <c r="H391" s="306">
        <v>14067157</v>
      </c>
      <c r="I391" s="306" t="s">
        <v>1076</v>
      </c>
      <c r="J391" s="248"/>
      <c r="K391" s="248"/>
      <c r="M391" s="248"/>
      <c r="W391"/>
      <c r="X391"/>
      <c r="Y391"/>
      <c r="Z391"/>
      <c r="AA391"/>
      <c r="AF391">
        <v>8</v>
      </c>
    </row>
    <row r="392" spans="1:32" x14ac:dyDescent="0.25">
      <c r="A392" s="308">
        <v>45237</v>
      </c>
      <c r="B392" s="305">
        <v>1175118</v>
      </c>
      <c r="C392" s="412" t="str">
        <f>IFERROR(INDEX(Table14[],MATCH($B392,Table14[SAPNo],0),3),"")</f>
        <v>1613 CT147 18-60</v>
      </c>
      <c r="D392" s="306"/>
      <c r="E392" s="305">
        <v>17</v>
      </c>
      <c r="F392" s="305"/>
      <c r="G392" s="306" t="s">
        <v>1210</v>
      </c>
      <c r="H392" s="306">
        <v>14067157</v>
      </c>
      <c r="I392" s="306" t="s">
        <v>1076</v>
      </c>
      <c r="J392" s="248"/>
      <c r="K392" s="248"/>
      <c r="M392" s="248"/>
      <c r="W392"/>
      <c r="X392"/>
      <c r="Y392"/>
      <c r="Z392"/>
      <c r="AA392"/>
      <c r="AF392">
        <v>17</v>
      </c>
    </row>
    <row r="393" spans="1:32" x14ac:dyDescent="0.25">
      <c r="A393" s="308">
        <v>45237</v>
      </c>
      <c r="B393" s="305">
        <v>1146737</v>
      </c>
      <c r="C393" s="412" t="str">
        <f>IFERROR(INDEX(Table14[],MATCH($B393,Table14[SAPNo],0),3),"")</f>
        <v>1613 CT418 18-60</v>
      </c>
      <c r="D393" s="306"/>
      <c r="E393" s="305">
        <v>4</v>
      </c>
      <c r="F393" s="305"/>
      <c r="G393" s="306" t="s">
        <v>1210</v>
      </c>
      <c r="H393" s="306">
        <v>14067157</v>
      </c>
      <c r="I393" s="306" t="s">
        <v>1076</v>
      </c>
      <c r="J393" s="248"/>
      <c r="K393" s="248"/>
      <c r="M393" s="248"/>
      <c r="W393"/>
      <c r="X393"/>
      <c r="Y393"/>
      <c r="Z393"/>
      <c r="AA393"/>
      <c r="AF393">
        <v>4</v>
      </c>
    </row>
    <row r="394" spans="1:32" x14ac:dyDescent="0.25">
      <c r="A394" s="308">
        <v>45224</v>
      </c>
      <c r="B394" s="305">
        <v>1261319</v>
      </c>
      <c r="C394" s="412" t="str">
        <f>IFERROR(INDEX(Table14[],MATCH($B394,Table14[SAPNo],0),3),"")</f>
        <v>1308 CT155 U-60</v>
      </c>
      <c r="D394" s="306"/>
      <c r="E394" s="305">
        <v>24</v>
      </c>
      <c r="F394" s="305"/>
      <c r="G394" s="306" t="s">
        <v>1211</v>
      </c>
      <c r="H394" s="306">
        <v>14056703</v>
      </c>
      <c r="I394" s="306" t="s">
        <v>1175</v>
      </c>
      <c r="J394" s="248"/>
      <c r="K394" s="248"/>
      <c r="M394" s="248"/>
      <c r="W394"/>
      <c r="X394"/>
      <c r="Y394"/>
      <c r="Z394"/>
      <c r="AA394"/>
      <c r="AF394">
        <v>24</v>
      </c>
    </row>
    <row r="395" spans="1:32" x14ac:dyDescent="0.25">
      <c r="A395" s="308">
        <v>45224</v>
      </c>
      <c r="B395" s="305">
        <v>871781</v>
      </c>
      <c r="C395" s="412" t="str">
        <f>IFERROR(INDEX(Table14[],MATCH($B395,Table14[SAPNo],0),3),"")</f>
        <v>Round 1313 CT200  0.018" (B)</v>
      </c>
      <c r="D395" s="306"/>
      <c r="E395" s="305">
        <v>6</v>
      </c>
      <c r="F395" s="305"/>
      <c r="G395" s="306" t="s">
        <v>1211</v>
      </c>
      <c r="H395" s="306">
        <v>14056703</v>
      </c>
      <c r="I395" s="306" t="s">
        <v>1175</v>
      </c>
      <c r="J395" s="248"/>
      <c r="K395" s="248"/>
      <c r="M395" s="248"/>
      <c r="W395"/>
      <c r="X395"/>
      <c r="Y395"/>
      <c r="Z395"/>
      <c r="AA395"/>
      <c r="AF395">
        <v>6</v>
      </c>
    </row>
    <row r="396" spans="1:32" x14ac:dyDescent="0.25">
      <c r="A396" s="308">
        <v>45224</v>
      </c>
      <c r="B396" s="305">
        <v>1261320</v>
      </c>
      <c r="C396" s="412" t="str">
        <f>IFERROR(INDEX(Table14[],MATCH($B396,Table14[SAPNo],0),3),"")</f>
        <v>1313 CT155 U-60</v>
      </c>
      <c r="D396" s="306"/>
      <c r="E396" s="305">
        <v>6</v>
      </c>
      <c r="F396" s="305"/>
      <c r="G396" s="306" t="s">
        <v>1211</v>
      </c>
      <c r="H396" s="306">
        <v>14056703</v>
      </c>
      <c r="I396" s="306" t="s">
        <v>1175</v>
      </c>
      <c r="J396" s="248"/>
      <c r="K396" s="248"/>
      <c r="M396" s="248"/>
      <c r="W396"/>
      <c r="X396"/>
      <c r="Y396"/>
      <c r="Z396"/>
      <c r="AA396"/>
      <c r="AF396">
        <v>6</v>
      </c>
    </row>
    <row r="397" spans="1:32" x14ac:dyDescent="0.25">
      <c r="A397" s="308">
        <v>45224</v>
      </c>
      <c r="B397" s="305">
        <v>1261321</v>
      </c>
      <c r="C397" s="412" t="str">
        <f>IFERROR(INDEX(Table14[],MATCH($B397,Table14[SAPNo],0),3),"")</f>
        <v>1613 CT155 U-60</v>
      </c>
      <c r="D397" s="306"/>
      <c r="E397" s="305">
        <v>4</v>
      </c>
      <c r="F397" s="305"/>
      <c r="G397" s="306" t="s">
        <v>1211</v>
      </c>
      <c r="H397" s="306">
        <v>14056703</v>
      </c>
      <c r="I397" s="306" t="s">
        <v>1175</v>
      </c>
      <c r="J397" s="248"/>
      <c r="K397" s="248"/>
      <c r="M397" s="248"/>
      <c r="W397"/>
      <c r="X397"/>
      <c r="Y397"/>
      <c r="Z397"/>
      <c r="AA397"/>
      <c r="AF397">
        <v>4</v>
      </c>
    </row>
    <row r="398" spans="1:32" x14ac:dyDescent="0.25">
      <c r="A398" s="308">
        <v>45224</v>
      </c>
      <c r="B398" s="305">
        <v>1228502</v>
      </c>
      <c r="C398" s="412" t="str">
        <f>IFERROR(INDEX(Table14[],MATCH($B398,Table14[SAPNo],0),3),"")</f>
        <v>1618 CT182 U-60 Rotor</v>
      </c>
      <c r="D398" s="306"/>
      <c r="E398" s="305">
        <v>10</v>
      </c>
      <c r="F398" s="305"/>
      <c r="G398" s="306" t="s">
        <v>1211</v>
      </c>
      <c r="H398" s="306">
        <v>14056703</v>
      </c>
      <c r="I398" s="306" t="s">
        <v>1175</v>
      </c>
      <c r="J398" s="248"/>
      <c r="K398" s="248"/>
      <c r="M398" s="248"/>
      <c r="W398"/>
      <c r="X398"/>
      <c r="Y398"/>
      <c r="Z398"/>
      <c r="AA398"/>
      <c r="AF398">
        <v>10</v>
      </c>
    </row>
    <row r="399" spans="1:32" x14ac:dyDescent="0.25">
      <c r="A399" s="308">
        <v>45224</v>
      </c>
      <c r="B399" s="305">
        <v>1228501</v>
      </c>
      <c r="C399" s="412" t="str">
        <f>IFERROR(INDEX(Table14[],MATCH($B399,Table14[SAPNo],0),3),"")</f>
        <v>1618 CT182 U-60 stator</v>
      </c>
      <c r="D399" s="306"/>
      <c r="E399" s="305">
        <v>10</v>
      </c>
      <c r="F399" s="305"/>
      <c r="G399" s="306" t="s">
        <v>1211</v>
      </c>
      <c r="H399" s="306">
        <v>14056703</v>
      </c>
      <c r="I399" s="306" t="s">
        <v>1175</v>
      </c>
      <c r="J399" s="248"/>
      <c r="K399" s="248"/>
      <c r="M399" s="248"/>
      <c r="W399"/>
      <c r="X399"/>
      <c r="Y399"/>
      <c r="Z399"/>
      <c r="AA399"/>
      <c r="AF399">
        <v>10</v>
      </c>
    </row>
    <row r="400" spans="1:32" x14ac:dyDescent="0.25">
      <c r="A400" s="308">
        <v>45224</v>
      </c>
      <c r="B400" s="305">
        <v>1228503</v>
      </c>
      <c r="C400" s="412" t="str">
        <f>IFERROR(INDEX(Table14[],MATCH($B400,Table14[SAPNo],0),3),"")</f>
        <v>1618 CT182 U-60 Ring</v>
      </c>
      <c r="D400" s="306"/>
      <c r="E400" s="305">
        <v>11</v>
      </c>
      <c r="F400" s="305"/>
      <c r="G400" s="306" t="s">
        <v>1211</v>
      </c>
      <c r="H400" s="306">
        <v>14056703</v>
      </c>
      <c r="I400" s="306" t="s">
        <v>1175</v>
      </c>
      <c r="J400" s="248"/>
      <c r="K400" s="248"/>
      <c r="M400" s="248"/>
      <c r="W400"/>
      <c r="X400"/>
      <c r="Y400"/>
      <c r="Z400"/>
      <c r="AA400"/>
      <c r="AF400">
        <v>11</v>
      </c>
    </row>
    <row r="401" spans="1:32" x14ac:dyDescent="0.25">
      <c r="A401" s="308">
        <v>45224</v>
      </c>
      <c r="B401" s="305">
        <v>1220554</v>
      </c>
      <c r="C401" s="412" t="str">
        <f>IFERROR(INDEX(Table14[],MATCH($B401,Table14[SAPNo],0),3),"")</f>
        <v xml:space="preserve">1618 CT182 U-60 Carbide </v>
      </c>
      <c r="D401" s="306"/>
      <c r="E401" s="305">
        <v>10</v>
      </c>
      <c r="F401" s="305"/>
      <c r="G401" s="306" t="s">
        <v>1211</v>
      </c>
      <c r="H401" s="306">
        <v>14056703</v>
      </c>
      <c r="I401" s="306" t="s">
        <v>1175</v>
      </c>
      <c r="J401" s="248"/>
      <c r="K401" s="248"/>
      <c r="M401" s="248"/>
      <c r="W401"/>
      <c r="X401"/>
      <c r="Y401"/>
      <c r="Z401"/>
      <c r="AA401"/>
      <c r="AF401">
        <v>10</v>
      </c>
    </row>
    <row r="402" spans="1:32" x14ac:dyDescent="0.25">
      <c r="A402" s="308">
        <v>45237</v>
      </c>
      <c r="B402" s="305">
        <v>1244299</v>
      </c>
      <c r="C402" s="412" t="str">
        <f>IFERROR(INDEX(Table14[],MATCH($B402,Table14[SAPNo],0),3),"")</f>
        <v>1313 CT147CV4 U</v>
      </c>
      <c r="D402" s="306"/>
      <c r="E402" s="305">
        <v>9</v>
      </c>
      <c r="F402" s="305"/>
      <c r="G402" s="306" t="s">
        <v>1212</v>
      </c>
      <c r="H402" s="306">
        <v>14036277</v>
      </c>
      <c r="I402" s="306" t="s">
        <v>1213</v>
      </c>
      <c r="J402" s="248"/>
      <c r="K402" s="248"/>
      <c r="M402" s="248"/>
      <c r="W402"/>
      <c r="X402"/>
      <c r="Y402"/>
      <c r="Z402"/>
      <c r="AA402"/>
      <c r="AF402">
        <v>9</v>
      </c>
    </row>
    <row r="403" spans="1:32" x14ac:dyDescent="0.25">
      <c r="A403" s="308">
        <v>45237</v>
      </c>
      <c r="B403" s="305">
        <v>1146740</v>
      </c>
      <c r="C403" s="412" t="str">
        <f>IFERROR(INDEX(Table14[],MATCH($B403,Table14[SAPNo],0),3),"")</f>
        <v>Round 1313 CT418 60deg 10C (S)</v>
      </c>
      <c r="D403" s="306"/>
      <c r="E403" s="305">
        <v>1</v>
      </c>
      <c r="F403" s="305"/>
      <c r="G403" s="306" t="s">
        <v>1212</v>
      </c>
      <c r="H403" s="306">
        <v>14036277</v>
      </c>
      <c r="I403" s="306" t="s">
        <v>1213</v>
      </c>
      <c r="J403" s="248"/>
      <c r="K403" s="248"/>
      <c r="M403" s="248"/>
      <c r="W403"/>
      <c r="X403"/>
      <c r="Y403"/>
      <c r="Z403"/>
      <c r="AA403"/>
      <c r="AF403">
        <v>1</v>
      </c>
    </row>
    <row r="404" spans="1:32" x14ac:dyDescent="0.25">
      <c r="A404" s="308">
        <v>45237</v>
      </c>
      <c r="B404" s="305">
        <v>1152018</v>
      </c>
      <c r="C404" s="412" t="str">
        <f>IFERROR(INDEX(Table14[],MATCH($B404,Table14[SAPNo],0),3),"")</f>
        <v>1313 CT418 U</v>
      </c>
      <c r="D404" s="306"/>
      <c r="E404" s="305">
        <v>17</v>
      </c>
      <c r="F404" s="305"/>
      <c r="G404" s="306" t="s">
        <v>1212</v>
      </c>
      <c r="H404" s="306">
        <v>14036277</v>
      </c>
      <c r="I404" s="306" t="s">
        <v>1213</v>
      </c>
      <c r="J404" s="248"/>
      <c r="K404" s="248"/>
      <c r="M404" s="248"/>
      <c r="W404"/>
      <c r="X404"/>
      <c r="Y404"/>
      <c r="Z404"/>
      <c r="AA404"/>
      <c r="AF404">
        <v>17</v>
      </c>
    </row>
    <row r="405" spans="1:32" x14ac:dyDescent="0.25">
      <c r="A405" s="308">
        <v>45237</v>
      </c>
      <c r="B405" s="305">
        <v>625854</v>
      </c>
      <c r="C405" s="412" t="str">
        <f>IFERROR(INDEX(Table14[],MATCH($B405,Table14[SAPNo],0),3),"")</f>
        <v>Carbide IA 1318    (C)</v>
      </c>
      <c r="D405" s="306"/>
      <c r="E405" s="305">
        <v>6</v>
      </c>
      <c r="F405" s="305"/>
      <c r="G405" s="306" t="s">
        <v>1212</v>
      </c>
      <c r="H405" s="306">
        <v>14036277</v>
      </c>
      <c r="I405" s="306" t="s">
        <v>1213</v>
      </c>
      <c r="J405" s="248"/>
      <c r="K405" s="248"/>
      <c r="M405" s="248"/>
      <c r="W405"/>
      <c r="X405"/>
      <c r="Y405"/>
      <c r="Z405"/>
      <c r="AA405"/>
      <c r="AF405">
        <v>6</v>
      </c>
    </row>
    <row r="406" spans="1:32" x14ac:dyDescent="0.25">
      <c r="A406" s="308">
        <v>45237</v>
      </c>
      <c r="B406" s="305">
        <v>871781</v>
      </c>
      <c r="C406" s="412" t="str">
        <f>IFERROR(INDEX(Table14[],MATCH($B406,Table14[SAPNo],0),3),"")</f>
        <v>Round 1313 CT200  0.018" (B)</v>
      </c>
      <c r="D406" s="306"/>
      <c r="E406" s="305">
        <v>5</v>
      </c>
      <c r="F406" s="305"/>
      <c r="G406" s="306" t="s">
        <v>1212</v>
      </c>
      <c r="H406" s="306">
        <v>14036277</v>
      </c>
      <c r="I406" s="306" t="s">
        <v>1213</v>
      </c>
      <c r="J406" s="248"/>
      <c r="K406" s="248"/>
      <c r="M406" s="248"/>
      <c r="W406"/>
      <c r="X406"/>
      <c r="Y406"/>
      <c r="Z406"/>
      <c r="AA406"/>
      <c r="AF406">
        <v>5</v>
      </c>
    </row>
    <row r="407" spans="1:32" x14ac:dyDescent="0.25">
      <c r="A407" s="308">
        <v>45238</v>
      </c>
      <c r="B407" s="305">
        <v>1136984</v>
      </c>
      <c r="C407" s="412" t="str">
        <f>IFERROR(INDEX(Table14[],MATCH($B407,Table14[SAPNo],0),3),"")</f>
        <v>DBLMCHT 1313 CT182DM  10C (S)</v>
      </c>
      <c r="D407" s="306"/>
      <c r="E407" s="305">
        <v>13</v>
      </c>
      <c r="F407" s="305"/>
      <c r="G407" s="306" t="s">
        <v>1214</v>
      </c>
      <c r="H407" s="306">
        <v>14073992</v>
      </c>
      <c r="I407" s="306" t="s">
        <v>1074</v>
      </c>
      <c r="J407" s="248"/>
      <c r="K407" s="248"/>
      <c r="M407" s="248"/>
      <c r="W407"/>
      <c r="X407"/>
      <c r="Y407"/>
      <c r="Z407"/>
      <c r="AA407"/>
      <c r="AF407">
        <v>13</v>
      </c>
    </row>
    <row r="408" spans="1:32" x14ac:dyDescent="0.25">
      <c r="A408" s="308">
        <v>45238</v>
      </c>
      <c r="B408" s="305">
        <v>1104083</v>
      </c>
      <c r="C408" s="412" t="str">
        <f>IFERROR(INDEX(Table14[],MATCH($B408,Table14[SAPNo],0),3),"")</f>
        <v>1313 CT144H  10C (S)</v>
      </c>
      <c r="D408" s="306"/>
      <c r="E408" s="305">
        <v>1</v>
      </c>
      <c r="F408" s="305"/>
      <c r="G408" s="306" t="s">
        <v>1214</v>
      </c>
      <c r="H408" s="306">
        <v>14073992</v>
      </c>
      <c r="I408" s="306" t="s">
        <v>1074</v>
      </c>
      <c r="J408" s="248"/>
      <c r="K408" s="248"/>
      <c r="M408" s="248"/>
      <c r="W408"/>
      <c r="X408"/>
      <c r="Y408"/>
      <c r="Z408"/>
      <c r="AA408"/>
      <c r="AF408">
        <v>1</v>
      </c>
    </row>
    <row r="409" spans="1:32" x14ac:dyDescent="0.25">
      <c r="A409" s="308">
        <v>45238</v>
      </c>
      <c r="B409" s="305">
        <v>418525</v>
      </c>
      <c r="C409" s="412" t="str">
        <f>IFERROR(INDEX(Table14[],MATCH($B409,Table14[SAPNo],0),3),"")</f>
        <v>Drop In 1308 CT31   (B)</v>
      </c>
      <c r="D409" s="306"/>
      <c r="E409" s="305">
        <v>6</v>
      </c>
      <c r="F409" s="305"/>
      <c r="G409" s="306" t="s">
        <v>1214</v>
      </c>
      <c r="H409" s="306">
        <v>14073992</v>
      </c>
      <c r="I409" s="306" t="s">
        <v>1074</v>
      </c>
      <c r="J409" s="248"/>
      <c r="K409" s="248"/>
      <c r="M409" s="248"/>
      <c r="W409"/>
      <c r="X409"/>
      <c r="Y409"/>
      <c r="Z409"/>
      <c r="AA409"/>
      <c r="AF409">
        <v>6</v>
      </c>
    </row>
    <row r="410" spans="1:32" x14ac:dyDescent="0.25">
      <c r="A410" s="308">
        <v>45238</v>
      </c>
      <c r="B410" s="305">
        <v>1100696</v>
      </c>
      <c r="C410" s="412" t="str">
        <f>IFERROR(INDEX(Table14[],MATCH($B410,Table14[SAPNo],0),3),"")</f>
        <v>Round 1313 CT418  10C (S)</v>
      </c>
      <c r="D410" s="306"/>
      <c r="E410" s="305">
        <v>12</v>
      </c>
      <c r="F410" s="305"/>
      <c r="G410" s="306" t="s">
        <v>1214</v>
      </c>
      <c r="H410" s="306">
        <v>14073992</v>
      </c>
      <c r="I410" s="306" t="s">
        <v>1074</v>
      </c>
      <c r="J410" s="248"/>
      <c r="K410" s="248"/>
      <c r="M410" s="248"/>
      <c r="W410"/>
      <c r="X410"/>
      <c r="Y410"/>
      <c r="Z410"/>
      <c r="AA410"/>
      <c r="AF410">
        <v>12</v>
      </c>
    </row>
    <row r="411" spans="1:32" x14ac:dyDescent="0.25">
      <c r="A411" s="308">
        <v>45238</v>
      </c>
      <c r="B411" s="305">
        <v>1101509</v>
      </c>
      <c r="C411" s="412" t="str">
        <f>IFERROR(INDEX(Table14[],MATCH($B411,Table14[SAPNo],0),3),"")</f>
        <v>Short IA 8    (C)</v>
      </c>
      <c r="D411" s="306"/>
      <c r="E411" s="305">
        <v>5</v>
      </c>
      <c r="F411" s="305"/>
      <c r="G411" s="306" t="s">
        <v>1214</v>
      </c>
      <c r="H411" s="306">
        <v>14073992</v>
      </c>
      <c r="I411" s="306" t="s">
        <v>1074</v>
      </c>
      <c r="J411" s="248"/>
      <c r="K411" s="248"/>
      <c r="M411" s="248"/>
      <c r="W411"/>
      <c r="X411"/>
      <c r="Y411"/>
      <c r="Z411"/>
      <c r="AA411"/>
      <c r="AF411">
        <v>5</v>
      </c>
    </row>
    <row r="412" spans="1:32" x14ac:dyDescent="0.25">
      <c r="A412" s="308">
        <v>45238</v>
      </c>
      <c r="B412" s="305">
        <v>717748</v>
      </c>
      <c r="C412" s="412" t="str">
        <f>IFERROR(INDEX(Table14[],MATCH($B412,Table14[SAPNo],0),3),"")</f>
        <v>Round 1010 CT200  0.018" (B)</v>
      </c>
      <c r="D412" s="306"/>
      <c r="E412" s="305">
        <v>19</v>
      </c>
      <c r="F412" s="305"/>
      <c r="G412" s="306" t="s">
        <v>1215</v>
      </c>
      <c r="H412" s="306">
        <v>14012920</v>
      </c>
      <c r="I412" s="306" t="s">
        <v>1216</v>
      </c>
      <c r="J412" s="248"/>
      <c r="K412" s="248"/>
      <c r="M412" s="248"/>
      <c r="W412"/>
      <c r="X412"/>
      <c r="Y412"/>
      <c r="Z412"/>
      <c r="AA412"/>
      <c r="AF412">
        <v>19</v>
      </c>
    </row>
    <row r="413" spans="1:32" x14ac:dyDescent="0.25">
      <c r="A413" s="308">
        <v>45238</v>
      </c>
      <c r="B413" s="305">
        <v>717748</v>
      </c>
      <c r="C413" s="412" t="str">
        <f>IFERROR(INDEX(Table14[],MATCH($B413,Table14[SAPNo],0),3),"")</f>
        <v>Round 1010 CT200  0.018" (B)</v>
      </c>
      <c r="D413" s="306"/>
      <c r="E413" s="305">
        <v>19</v>
      </c>
      <c r="F413" s="305"/>
      <c r="G413" s="306" t="s">
        <v>1217</v>
      </c>
      <c r="H413" s="306">
        <v>14012924</v>
      </c>
      <c r="I413" s="306" t="s">
        <v>1216</v>
      </c>
      <c r="J413" s="248"/>
      <c r="K413" s="248"/>
      <c r="M413" s="248"/>
      <c r="W413"/>
      <c r="X413"/>
      <c r="Y413"/>
      <c r="Z413"/>
      <c r="AA413"/>
      <c r="AF413">
        <v>19</v>
      </c>
    </row>
    <row r="414" spans="1:32" x14ac:dyDescent="0.25">
      <c r="A414" s="308">
        <v>45238</v>
      </c>
      <c r="B414" s="305">
        <v>1136984</v>
      </c>
      <c r="C414" s="412" t="str">
        <f>IFERROR(INDEX(Table14[],MATCH($B414,Table14[SAPNo],0),3),"")</f>
        <v>DBLMCHT 1313 CT182DM  10C (S)</v>
      </c>
      <c r="D414" s="306"/>
      <c r="E414" s="305">
        <v>13</v>
      </c>
      <c r="F414" s="305"/>
      <c r="G414" s="306" t="s">
        <v>1218</v>
      </c>
      <c r="H414" s="306">
        <v>14073993</v>
      </c>
      <c r="I414" s="306" t="s">
        <v>1074</v>
      </c>
      <c r="J414" s="248"/>
      <c r="K414" s="248"/>
      <c r="M414" s="248"/>
      <c r="W414"/>
      <c r="X414"/>
      <c r="Y414"/>
      <c r="Z414"/>
      <c r="AA414"/>
      <c r="AF414">
        <v>13</v>
      </c>
    </row>
    <row r="415" spans="1:32" x14ac:dyDescent="0.25">
      <c r="A415" s="308">
        <v>45238</v>
      </c>
      <c r="B415" s="305">
        <v>1104083</v>
      </c>
      <c r="C415" s="412" t="str">
        <f>IFERROR(INDEX(Table14[],MATCH($B415,Table14[SAPNo],0),3),"")</f>
        <v>1313 CT144H  10C (S)</v>
      </c>
      <c r="D415" s="306"/>
      <c r="E415" s="305">
        <v>1</v>
      </c>
      <c r="F415" s="305"/>
      <c r="G415" s="306" t="s">
        <v>1218</v>
      </c>
      <c r="H415" s="306">
        <v>14073993</v>
      </c>
      <c r="I415" s="306" t="s">
        <v>1074</v>
      </c>
      <c r="J415" s="248"/>
      <c r="K415" s="248"/>
      <c r="M415" s="248"/>
      <c r="W415"/>
      <c r="X415"/>
      <c r="Y415"/>
      <c r="Z415"/>
      <c r="AA415"/>
      <c r="AF415">
        <v>1</v>
      </c>
    </row>
    <row r="416" spans="1:32" x14ac:dyDescent="0.25">
      <c r="A416" s="308">
        <v>45238</v>
      </c>
      <c r="B416" s="305">
        <v>1101509</v>
      </c>
      <c r="C416" s="412" t="str">
        <f>IFERROR(INDEX(Table14[],MATCH($B416,Table14[SAPNo],0),3),"")</f>
        <v>Short IA 8    (C)</v>
      </c>
      <c r="D416" s="306"/>
      <c r="E416" s="305">
        <v>5</v>
      </c>
      <c r="F416" s="305"/>
      <c r="G416" s="306" t="s">
        <v>1218</v>
      </c>
      <c r="H416" s="306">
        <v>14073993</v>
      </c>
      <c r="I416" s="306" t="s">
        <v>1074</v>
      </c>
      <c r="J416" s="248"/>
      <c r="K416" s="248"/>
      <c r="M416" s="248"/>
      <c r="W416"/>
      <c r="X416"/>
      <c r="Y416"/>
      <c r="Z416"/>
      <c r="AA416"/>
      <c r="AF416">
        <v>5</v>
      </c>
    </row>
    <row r="417" spans="1:32" x14ac:dyDescent="0.25">
      <c r="A417" s="308">
        <v>45238</v>
      </c>
      <c r="B417" s="305">
        <v>1100696</v>
      </c>
      <c r="C417" s="412" t="str">
        <f>IFERROR(INDEX(Table14[],MATCH($B417,Table14[SAPNo],0),3),"")</f>
        <v>Round 1313 CT418  10C (S)</v>
      </c>
      <c r="D417" s="306"/>
      <c r="E417" s="305">
        <v>12</v>
      </c>
      <c r="F417" s="305"/>
      <c r="G417" s="306" t="s">
        <v>1218</v>
      </c>
      <c r="H417" s="306">
        <v>14073993</v>
      </c>
      <c r="I417" s="306" t="s">
        <v>1074</v>
      </c>
      <c r="J417" s="248"/>
      <c r="K417" s="248"/>
      <c r="M417" s="248"/>
      <c r="W417"/>
      <c r="X417"/>
      <c r="Y417"/>
      <c r="Z417"/>
      <c r="AA417"/>
      <c r="AF417">
        <v>12</v>
      </c>
    </row>
    <row r="418" spans="1:32" x14ac:dyDescent="0.25">
      <c r="A418" s="320">
        <v>45238</v>
      </c>
      <c r="B418" s="321">
        <v>418525</v>
      </c>
      <c r="C418" s="413" t="str">
        <f>IFERROR(INDEX(Table14[],MATCH($B418,Table14[SAPNo],0),3),"")</f>
        <v>Drop In 1308 CT31   (B)</v>
      </c>
      <c r="D418" s="306"/>
      <c r="E418" s="321">
        <v>6</v>
      </c>
      <c r="F418" s="321"/>
      <c r="G418" s="322" t="s">
        <v>1218</v>
      </c>
      <c r="H418" s="322">
        <v>14073993</v>
      </c>
      <c r="I418" s="322" t="s">
        <v>1074</v>
      </c>
      <c r="J418" s="248"/>
      <c r="K418" s="248"/>
      <c r="M418" s="248"/>
      <c r="W418"/>
      <c r="X418"/>
      <c r="Y418"/>
      <c r="Z418"/>
      <c r="AA418"/>
      <c r="AF418">
        <v>6</v>
      </c>
    </row>
    <row r="419" spans="1:32" x14ac:dyDescent="0.25">
      <c r="A419" s="320">
        <v>45239</v>
      </c>
      <c r="B419" s="305">
        <v>1100696</v>
      </c>
      <c r="C419" s="412" t="str">
        <f>IFERROR(INDEX(Table14[],MATCH($B419,Table14[SAPNo],0),3),"")</f>
        <v>Round 1313 CT418  10C (S)</v>
      </c>
      <c r="D419" s="306"/>
      <c r="E419" s="305">
        <v>22</v>
      </c>
      <c r="F419" s="305"/>
      <c r="G419" s="306" t="s">
        <v>1219</v>
      </c>
      <c r="H419" s="306">
        <v>14036266</v>
      </c>
      <c r="I419" s="306" t="s">
        <v>1220</v>
      </c>
      <c r="J419" s="248"/>
      <c r="K419" s="248"/>
      <c r="M419" s="248"/>
      <c r="W419"/>
      <c r="X419"/>
      <c r="Y419"/>
      <c r="Z419"/>
      <c r="AA419"/>
      <c r="AF419">
        <v>22</v>
      </c>
    </row>
    <row r="420" spans="1:32" x14ac:dyDescent="0.25">
      <c r="A420" s="308">
        <v>45239</v>
      </c>
      <c r="B420" s="305">
        <v>871781</v>
      </c>
      <c r="C420" s="412" t="str">
        <f>IFERROR(INDEX(Table14[],MATCH($B420,Table14[SAPNo],0),3),"")</f>
        <v>Round 1313 CT200  0.018" (B)</v>
      </c>
      <c r="D420" s="306"/>
      <c r="E420" s="305">
        <v>6</v>
      </c>
      <c r="F420" s="305"/>
      <c r="G420" s="306" t="s">
        <v>1219</v>
      </c>
      <c r="H420" s="306">
        <v>14036266</v>
      </c>
      <c r="I420" s="306" t="s">
        <v>1220</v>
      </c>
      <c r="J420" s="248"/>
      <c r="K420" s="248"/>
      <c r="M420" s="248"/>
      <c r="W420"/>
      <c r="X420"/>
      <c r="Y420"/>
      <c r="Z420"/>
      <c r="AA420"/>
      <c r="AF420">
        <v>6</v>
      </c>
    </row>
    <row r="421" spans="1:32" x14ac:dyDescent="0.25">
      <c r="A421" s="320">
        <v>45239</v>
      </c>
      <c r="B421" s="321">
        <v>703670</v>
      </c>
      <c r="C421" s="413" t="str">
        <f>IFERROR(INDEX(Table14[],MATCH($B421,Table14[SAPNo],0),3),"")</f>
        <v>Round 1313 CT200  10C (B)</v>
      </c>
      <c r="D421" s="306"/>
      <c r="E421" s="321">
        <v>3</v>
      </c>
      <c r="F421" s="321"/>
      <c r="G421" s="322" t="s">
        <v>1219</v>
      </c>
      <c r="H421" s="322">
        <v>14036266</v>
      </c>
      <c r="I421" s="322" t="s">
        <v>1220</v>
      </c>
      <c r="J421" s="248"/>
      <c r="K421" s="248"/>
      <c r="M421" s="248"/>
      <c r="W421"/>
      <c r="X421"/>
      <c r="Y421"/>
      <c r="Z421"/>
      <c r="AA421"/>
      <c r="AF421">
        <v>3</v>
      </c>
    </row>
    <row r="422" spans="1:32" x14ac:dyDescent="0.25">
      <c r="A422" s="308">
        <v>45239</v>
      </c>
      <c r="B422" s="305">
        <v>1100696</v>
      </c>
      <c r="C422" s="413" t="str">
        <f>IFERROR(INDEX(Table14[],MATCH($B422,Table14[SAPNo],0),3),"")</f>
        <v>Round 1313 CT418  10C (S)</v>
      </c>
      <c r="D422" s="306"/>
      <c r="E422" s="321">
        <v>22</v>
      </c>
      <c r="F422" s="321"/>
      <c r="G422" s="322" t="s">
        <v>1221</v>
      </c>
      <c r="H422" s="306">
        <v>14036265</v>
      </c>
      <c r="I422" s="306" t="s">
        <v>1220</v>
      </c>
      <c r="J422" s="248"/>
      <c r="K422" s="248"/>
      <c r="M422" s="248"/>
      <c r="W422"/>
      <c r="X422"/>
      <c r="Y422"/>
      <c r="Z422"/>
      <c r="AA422"/>
      <c r="AF422">
        <v>22</v>
      </c>
    </row>
    <row r="423" spans="1:32" x14ac:dyDescent="0.25">
      <c r="A423" s="308">
        <v>45239</v>
      </c>
      <c r="B423" s="305">
        <v>871781</v>
      </c>
      <c r="C423" s="412" t="str">
        <f>IFERROR(INDEX(Table14[],MATCH($B423,Table14[SAPNo],0),3),"")</f>
        <v>Round 1313 CT200  0.018" (B)</v>
      </c>
      <c r="D423" s="306"/>
      <c r="E423" s="305">
        <v>6</v>
      </c>
      <c r="F423" s="305"/>
      <c r="G423" s="306" t="s">
        <v>1221</v>
      </c>
      <c r="H423" s="306">
        <v>14036265</v>
      </c>
      <c r="I423" s="306" t="s">
        <v>1220</v>
      </c>
      <c r="J423" s="248"/>
      <c r="K423" s="248"/>
      <c r="M423" s="248"/>
      <c r="W423"/>
      <c r="X423"/>
      <c r="Y423"/>
      <c r="Z423"/>
      <c r="AA423"/>
      <c r="AF423">
        <v>6</v>
      </c>
    </row>
    <row r="424" spans="1:32" x14ac:dyDescent="0.25">
      <c r="A424" s="308">
        <v>45239</v>
      </c>
      <c r="B424" s="305">
        <v>703670</v>
      </c>
      <c r="C424" s="412" t="str">
        <f>IFERROR(INDEX(Table14[],MATCH($B424,Table14[SAPNo],0),3),"")</f>
        <v>Round 1313 CT200  10C (B)</v>
      </c>
      <c r="D424" s="306"/>
      <c r="E424" s="305">
        <v>3</v>
      </c>
      <c r="F424" s="305"/>
      <c r="G424" s="306" t="s">
        <v>1221</v>
      </c>
      <c r="H424" s="306">
        <v>14036265</v>
      </c>
      <c r="I424" s="306" t="s">
        <v>1220</v>
      </c>
      <c r="J424" s="248"/>
      <c r="K424" s="248"/>
      <c r="M424" s="248"/>
      <c r="W424"/>
      <c r="X424"/>
      <c r="Y424"/>
      <c r="Z424"/>
      <c r="AA424"/>
      <c r="AF424">
        <v>3</v>
      </c>
    </row>
    <row r="425" spans="1:32" x14ac:dyDescent="0.25">
      <c r="A425" s="308">
        <v>45242</v>
      </c>
      <c r="B425" s="305">
        <v>418525</v>
      </c>
      <c r="C425" s="412" t="str">
        <f>IFERROR(INDEX(Table14[],MATCH($B425,Table14[SAPNo],0),3),"")</f>
        <v>Drop In 1308 CT31   (B)</v>
      </c>
      <c r="D425" s="306"/>
      <c r="E425" s="305">
        <v>7</v>
      </c>
      <c r="F425" s="305"/>
      <c r="G425" s="306" t="s">
        <v>1222</v>
      </c>
      <c r="H425" s="306">
        <v>13884767</v>
      </c>
      <c r="I425" s="306" t="s">
        <v>1223</v>
      </c>
      <c r="J425" s="248"/>
      <c r="K425" s="248"/>
      <c r="M425" s="248"/>
      <c r="W425"/>
      <c r="X425"/>
      <c r="Y425"/>
      <c r="Z425"/>
      <c r="AA425"/>
      <c r="AF425">
        <v>7</v>
      </c>
    </row>
    <row r="426" spans="1:32" x14ac:dyDescent="0.25">
      <c r="A426" s="308">
        <v>45242</v>
      </c>
      <c r="B426" s="305">
        <v>1101509</v>
      </c>
      <c r="C426" s="412" t="str">
        <f>IFERROR(INDEX(Table14[],MATCH($B426,Table14[SAPNo],0),3),"")</f>
        <v>Short IA 8    (C)</v>
      </c>
      <c r="D426" s="306"/>
      <c r="E426" s="305">
        <v>7</v>
      </c>
      <c r="F426" s="305"/>
      <c r="G426" s="306" t="s">
        <v>1222</v>
      </c>
      <c r="H426" s="306">
        <v>13884767</v>
      </c>
      <c r="I426" s="306" t="s">
        <v>1223</v>
      </c>
      <c r="J426" s="248"/>
      <c r="K426" s="248"/>
      <c r="M426" s="248"/>
      <c r="W426"/>
      <c r="X426"/>
      <c r="Y426"/>
      <c r="Z426"/>
      <c r="AA426"/>
      <c r="AF426">
        <v>7</v>
      </c>
    </row>
    <row r="427" spans="1:32" x14ac:dyDescent="0.25">
      <c r="A427" s="308">
        <v>45242</v>
      </c>
      <c r="B427" s="305">
        <v>773383</v>
      </c>
      <c r="C427" s="412" t="str">
        <f>IFERROR(INDEX(Table14[],MATCH($B427,Table14[SAPNo],0),3),"")</f>
        <v>Round 1005 CT200  10C (B)</v>
      </c>
      <c r="D427" s="306"/>
      <c r="E427" s="305">
        <v>14</v>
      </c>
      <c r="F427" s="305"/>
      <c r="G427" s="306" t="s">
        <v>1222</v>
      </c>
      <c r="H427" s="306">
        <v>13884767</v>
      </c>
      <c r="I427" s="306" t="s">
        <v>1223</v>
      </c>
      <c r="J427" s="248"/>
      <c r="K427" s="248"/>
      <c r="M427" s="248"/>
      <c r="W427"/>
      <c r="X427"/>
      <c r="Y427"/>
      <c r="Z427"/>
      <c r="AA427"/>
      <c r="AF427">
        <v>14</v>
      </c>
    </row>
    <row r="428" spans="1:32" x14ac:dyDescent="0.25">
      <c r="A428" s="308">
        <v>45242</v>
      </c>
      <c r="B428" s="305">
        <v>1130217</v>
      </c>
      <c r="C428" s="412" t="str">
        <f>IFERROR(INDEX(Table14[],MATCH($B428,Table14[SAPNo],0),3),"")</f>
        <v>Round 1010 CT182   10C (S)</v>
      </c>
      <c r="D428" s="306"/>
      <c r="E428" s="305">
        <v>37</v>
      </c>
      <c r="F428" s="305"/>
      <c r="G428" s="306" t="s">
        <v>1222</v>
      </c>
      <c r="H428" s="306">
        <v>13884767</v>
      </c>
      <c r="I428" s="306" t="s">
        <v>1223</v>
      </c>
      <c r="J428" s="248"/>
      <c r="K428" s="248"/>
      <c r="M428" s="248"/>
      <c r="W428"/>
      <c r="X428"/>
      <c r="Y428"/>
      <c r="Z428"/>
      <c r="AA428"/>
      <c r="AF428">
        <v>37</v>
      </c>
    </row>
    <row r="429" spans="1:32" x14ac:dyDescent="0.25">
      <c r="A429" s="308">
        <v>45242</v>
      </c>
      <c r="B429" s="305">
        <v>1101509</v>
      </c>
      <c r="C429" s="412" t="str">
        <f>IFERROR(INDEX(Table14[],MATCH($B429,Table14[SAPNo],0),3),"")</f>
        <v>Short IA 8    (C)</v>
      </c>
      <c r="D429" s="306"/>
      <c r="E429" s="305">
        <v>7</v>
      </c>
      <c r="F429" s="305"/>
      <c r="G429" s="306" t="s">
        <v>1224</v>
      </c>
      <c r="H429" s="306">
        <v>13899511</v>
      </c>
      <c r="I429" s="306" t="s">
        <v>1223</v>
      </c>
      <c r="J429" s="248"/>
      <c r="K429" s="248"/>
      <c r="M429" s="248"/>
      <c r="W429"/>
      <c r="X429"/>
      <c r="Y429"/>
      <c r="Z429"/>
      <c r="AA429"/>
      <c r="AF429">
        <v>7</v>
      </c>
    </row>
    <row r="430" spans="1:32" x14ac:dyDescent="0.25">
      <c r="A430" s="308">
        <v>45242</v>
      </c>
      <c r="B430" s="305">
        <v>1130217</v>
      </c>
      <c r="C430" s="412" t="str">
        <f>IFERROR(INDEX(Table14[],MATCH($B430,Table14[SAPNo],0),3),"")</f>
        <v>Round 1010 CT182   10C (S)</v>
      </c>
      <c r="D430" s="306"/>
      <c r="E430" s="305">
        <v>37</v>
      </c>
      <c r="F430" s="305"/>
      <c r="G430" s="306" t="s">
        <v>1224</v>
      </c>
      <c r="H430" s="306">
        <v>13899511</v>
      </c>
      <c r="I430" s="306" t="s">
        <v>1223</v>
      </c>
      <c r="J430" s="248"/>
      <c r="K430" s="248"/>
      <c r="M430" s="248"/>
      <c r="W430"/>
      <c r="X430"/>
      <c r="Y430"/>
      <c r="Z430"/>
      <c r="AA430"/>
      <c r="AF430">
        <v>37</v>
      </c>
    </row>
    <row r="431" spans="1:32" x14ac:dyDescent="0.25">
      <c r="A431" s="308">
        <v>45242</v>
      </c>
      <c r="B431" s="305">
        <v>418525</v>
      </c>
      <c r="C431" s="412" t="str">
        <f>IFERROR(INDEX(Table14[],MATCH($B431,Table14[SAPNo],0),3),"")</f>
        <v>Drop In 1308 CT31   (B)</v>
      </c>
      <c r="D431" s="306"/>
      <c r="E431" s="305">
        <v>7</v>
      </c>
      <c r="F431" s="305"/>
      <c r="G431" s="306" t="s">
        <v>1224</v>
      </c>
      <c r="H431" s="306">
        <v>13899511</v>
      </c>
      <c r="I431" s="306" t="s">
        <v>1223</v>
      </c>
      <c r="J431" s="248"/>
      <c r="K431" s="248"/>
      <c r="M431" s="248"/>
      <c r="W431"/>
      <c r="X431"/>
      <c r="Y431"/>
      <c r="Z431"/>
      <c r="AA431"/>
      <c r="AF431">
        <v>7</v>
      </c>
    </row>
    <row r="432" spans="1:32" x14ac:dyDescent="0.25">
      <c r="A432" s="308">
        <v>45242</v>
      </c>
      <c r="B432" s="305">
        <v>773383</v>
      </c>
      <c r="C432" s="412" t="str">
        <f>IFERROR(INDEX(Table14[],MATCH($B432,Table14[SAPNo],0),3),"")</f>
        <v>Round 1005 CT200  10C (B)</v>
      </c>
      <c r="D432" s="306"/>
      <c r="E432" s="305">
        <v>14</v>
      </c>
      <c r="F432" s="305"/>
      <c r="G432" s="306" t="s">
        <v>1224</v>
      </c>
      <c r="H432" s="306">
        <v>13899511</v>
      </c>
      <c r="I432" s="306" t="s">
        <v>1223</v>
      </c>
      <c r="J432" s="248"/>
      <c r="K432" s="248"/>
      <c r="M432" s="248"/>
      <c r="W432"/>
      <c r="X432"/>
      <c r="Y432"/>
      <c r="Z432"/>
      <c r="AA432"/>
      <c r="AF432">
        <v>14</v>
      </c>
    </row>
    <row r="433" spans="1:32" x14ac:dyDescent="0.25">
      <c r="A433" s="308">
        <v>45242</v>
      </c>
      <c r="B433" s="305">
        <v>418525</v>
      </c>
      <c r="C433" s="412" t="str">
        <f>IFERROR(INDEX(Table14[],MATCH($B433,Table14[SAPNo],0),3),"")</f>
        <v>Drop In 1308 CT31   (B)</v>
      </c>
      <c r="D433" s="306"/>
      <c r="E433" s="305">
        <v>7</v>
      </c>
      <c r="F433" s="305"/>
      <c r="G433" s="306" t="s">
        <v>4113</v>
      </c>
      <c r="H433" s="306">
        <v>13885438</v>
      </c>
      <c r="I433" s="306" t="s">
        <v>1223</v>
      </c>
      <c r="J433" s="248"/>
      <c r="K433" s="248"/>
      <c r="M433" s="248"/>
      <c r="W433"/>
      <c r="X433"/>
      <c r="Y433"/>
      <c r="Z433"/>
      <c r="AA433"/>
      <c r="AF433">
        <v>7</v>
      </c>
    </row>
    <row r="434" spans="1:32" x14ac:dyDescent="0.25">
      <c r="A434" s="308">
        <v>45242</v>
      </c>
      <c r="B434" s="305">
        <v>773383</v>
      </c>
      <c r="C434" s="412" t="str">
        <f>IFERROR(INDEX(Table14[],MATCH($B434,Table14[SAPNo],0),3),"")</f>
        <v>Round 1005 CT200  10C (B)</v>
      </c>
      <c r="D434" s="306"/>
      <c r="E434" s="305">
        <v>14</v>
      </c>
      <c r="F434" s="305"/>
      <c r="G434" s="306" t="s">
        <v>4113</v>
      </c>
      <c r="H434" s="306">
        <v>13885438</v>
      </c>
      <c r="I434" s="306" t="s">
        <v>1223</v>
      </c>
      <c r="J434" s="248"/>
      <c r="K434" s="248"/>
      <c r="M434" s="248"/>
      <c r="W434"/>
      <c r="X434"/>
      <c r="Y434"/>
      <c r="Z434"/>
      <c r="AA434"/>
      <c r="AF434">
        <v>14</v>
      </c>
    </row>
    <row r="435" spans="1:32" x14ac:dyDescent="0.25">
      <c r="A435" s="308">
        <v>45242</v>
      </c>
      <c r="B435" s="305">
        <v>1101509</v>
      </c>
      <c r="C435" s="412" t="str">
        <f>IFERROR(INDEX(Table14[],MATCH($B435,Table14[SAPNo],0),3),"")</f>
        <v>Short IA 8    (C)</v>
      </c>
      <c r="D435" s="306"/>
      <c r="E435" s="305">
        <v>7</v>
      </c>
      <c r="F435" s="305"/>
      <c r="G435" s="306" t="s">
        <v>4113</v>
      </c>
      <c r="H435" s="306">
        <v>13885438</v>
      </c>
      <c r="I435" s="306" t="s">
        <v>1223</v>
      </c>
      <c r="J435" s="248"/>
      <c r="K435" s="248"/>
      <c r="M435" s="248"/>
      <c r="W435"/>
      <c r="X435"/>
      <c r="Y435"/>
      <c r="Z435"/>
      <c r="AA435"/>
      <c r="AF435">
        <v>7</v>
      </c>
    </row>
    <row r="436" spans="1:32" x14ac:dyDescent="0.25">
      <c r="A436" s="308">
        <v>45242</v>
      </c>
      <c r="B436" s="305">
        <v>1130217</v>
      </c>
      <c r="C436" s="412" t="str">
        <f>IFERROR(INDEX(Table14[],MATCH($B436,Table14[SAPNo],0),3),"")</f>
        <v>Round 1010 CT182   10C (S)</v>
      </c>
      <c r="D436" s="306"/>
      <c r="E436" s="305">
        <v>37</v>
      </c>
      <c r="F436" s="305"/>
      <c r="G436" s="306" t="s">
        <v>4113</v>
      </c>
      <c r="H436" s="306">
        <v>13885438</v>
      </c>
      <c r="I436" s="306" t="s">
        <v>1223</v>
      </c>
      <c r="J436" s="248"/>
      <c r="K436" s="248"/>
      <c r="M436" s="248"/>
      <c r="W436"/>
      <c r="X436"/>
      <c r="Y436"/>
      <c r="Z436"/>
      <c r="AA436"/>
      <c r="AF436">
        <v>37</v>
      </c>
    </row>
    <row r="437" spans="1:32" x14ac:dyDescent="0.25">
      <c r="A437" s="308">
        <v>45242</v>
      </c>
      <c r="B437" s="305">
        <v>1078371</v>
      </c>
      <c r="C437" s="412" t="str">
        <f>IFERROR(INDEX(Table14[],MATCH($B437,Table14[SAPNo],0),3),"")</f>
        <v xml:space="preserve"> 13 CT143   ()</v>
      </c>
      <c r="D437" s="306"/>
      <c r="E437" s="305">
        <v>5</v>
      </c>
      <c r="F437" s="305"/>
      <c r="G437" s="306" t="s">
        <v>1225</v>
      </c>
      <c r="H437" s="306">
        <v>13771567</v>
      </c>
      <c r="I437" s="306" t="s">
        <v>1226</v>
      </c>
      <c r="J437" s="248"/>
      <c r="K437" s="248"/>
      <c r="M437" s="248"/>
      <c r="W437"/>
      <c r="X437"/>
      <c r="Y437"/>
      <c r="Z437"/>
      <c r="AA437"/>
      <c r="AF437">
        <v>5</v>
      </c>
    </row>
    <row r="438" spans="1:32" x14ac:dyDescent="0.25">
      <c r="A438" s="308">
        <v>45242</v>
      </c>
      <c r="B438" s="305">
        <v>1130198</v>
      </c>
      <c r="C438" s="412" t="str">
        <f>IFERROR(INDEX(Table14[],MATCH($B438,Table14[SAPNo],0),3),"")</f>
        <v>Round 1613 CT182  0.018" (S)</v>
      </c>
      <c r="D438" s="306"/>
      <c r="E438" s="305">
        <v>15</v>
      </c>
      <c r="F438" s="305"/>
      <c r="G438" s="306" t="s">
        <v>1225</v>
      </c>
      <c r="H438" s="306">
        <v>13771567</v>
      </c>
      <c r="I438" s="306" t="s">
        <v>1226</v>
      </c>
      <c r="J438" s="248"/>
      <c r="K438" s="248"/>
      <c r="M438" s="248"/>
      <c r="W438"/>
      <c r="X438"/>
      <c r="Y438"/>
      <c r="Z438"/>
      <c r="AA438"/>
      <c r="AF438">
        <v>15</v>
      </c>
    </row>
    <row r="439" spans="1:32" x14ac:dyDescent="0.25">
      <c r="A439" s="308">
        <v>45242</v>
      </c>
      <c r="B439" s="305">
        <v>1130196</v>
      </c>
      <c r="C439" s="412" t="str">
        <f>IFERROR(INDEX(Table14[],MATCH($B439,Table14[SAPNo],0),3),"")</f>
        <v>Round 1313 CT182  0.018" (S)</v>
      </c>
      <c r="D439" s="306"/>
      <c r="E439" s="305">
        <v>11</v>
      </c>
      <c r="F439" s="305"/>
      <c r="G439" s="306" t="s">
        <v>1225</v>
      </c>
      <c r="H439" s="306">
        <v>13771567</v>
      </c>
      <c r="I439" s="306" t="s">
        <v>1226</v>
      </c>
      <c r="J439" s="248"/>
      <c r="K439" s="248"/>
      <c r="M439" s="248"/>
      <c r="W439"/>
      <c r="X439"/>
      <c r="Y439"/>
      <c r="Z439"/>
      <c r="AA439"/>
      <c r="AF439">
        <v>11</v>
      </c>
    </row>
    <row r="440" spans="1:32" x14ac:dyDescent="0.25">
      <c r="A440" s="308">
        <v>45242</v>
      </c>
      <c r="B440" s="305">
        <v>717751</v>
      </c>
      <c r="C440" s="412" t="str">
        <f>IFERROR(INDEX(Table14[],MATCH($B440,Table14[SAPNo],0),3),"")</f>
        <v>Round 1308 CT200  0.018" (B)</v>
      </c>
      <c r="D440" s="306"/>
      <c r="E440" s="305">
        <v>1</v>
      </c>
      <c r="F440" s="305"/>
      <c r="G440" s="306" t="s">
        <v>1225</v>
      </c>
      <c r="H440" s="306">
        <v>13771567</v>
      </c>
      <c r="I440" s="306" t="s">
        <v>1226</v>
      </c>
      <c r="J440" s="248"/>
      <c r="K440" s="248"/>
      <c r="M440" s="248"/>
      <c r="W440"/>
      <c r="X440"/>
      <c r="Y440"/>
      <c r="Z440"/>
      <c r="AA440"/>
      <c r="AF440">
        <v>1</v>
      </c>
    </row>
    <row r="441" spans="1:32" x14ac:dyDescent="0.25">
      <c r="A441" s="308">
        <v>45242</v>
      </c>
      <c r="B441" s="305">
        <v>717751</v>
      </c>
      <c r="C441" s="412" t="str">
        <f>IFERROR(INDEX(Table14[],MATCH($B441,Table14[SAPNo],0),3),"")</f>
        <v>Round 1308 CT200  0.018" (B)</v>
      </c>
      <c r="D441" s="306"/>
      <c r="E441" s="305">
        <v>4</v>
      </c>
      <c r="F441" s="305"/>
      <c r="G441" s="306" t="s">
        <v>1225</v>
      </c>
      <c r="H441" s="306">
        <v>13771567</v>
      </c>
      <c r="I441" s="306" t="s">
        <v>1226</v>
      </c>
      <c r="J441" s="248"/>
      <c r="K441" s="248"/>
      <c r="M441" s="248"/>
      <c r="W441"/>
      <c r="X441"/>
      <c r="Y441"/>
      <c r="Z441"/>
      <c r="AA441"/>
      <c r="AF441">
        <v>4</v>
      </c>
    </row>
    <row r="442" spans="1:32" x14ac:dyDescent="0.25">
      <c r="A442" s="308">
        <v>45242</v>
      </c>
      <c r="B442" s="305">
        <v>717748</v>
      </c>
      <c r="C442" s="412" t="str">
        <f>IFERROR(INDEX(Table14[],MATCH($B442,Table14[SAPNo],0),3),"")</f>
        <v>Round 1010 CT200  0.018" (B)</v>
      </c>
      <c r="D442" s="306"/>
      <c r="E442" s="305">
        <v>1</v>
      </c>
      <c r="F442" s="305"/>
      <c r="G442" s="306" t="s">
        <v>1217</v>
      </c>
      <c r="H442" s="306">
        <v>14012924</v>
      </c>
      <c r="I442" s="306" t="s">
        <v>1216</v>
      </c>
      <c r="J442" s="248"/>
      <c r="K442" s="248" t="s">
        <v>1209</v>
      </c>
      <c r="M442" s="248"/>
      <c r="W442"/>
      <c r="X442"/>
      <c r="Y442"/>
      <c r="Z442"/>
      <c r="AA442"/>
      <c r="AF442">
        <v>1</v>
      </c>
    </row>
    <row r="443" spans="1:32" x14ac:dyDescent="0.25">
      <c r="A443" s="308">
        <v>45244</v>
      </c>
      <c r="B443" s="305">
        <v>418525</v>
      </c>
      <c r="C443" s="412" t="str">
        <f>IFERROR(INDEX(Table14[],MATCH($B443,Table14[SAPNo],0),3),"")</f>
        <v>Drop In 1308 CT31   (B)</v>
      </c>
      <c r="D443" s="306"/>
      <c r="E443" s="305">
        <v>7</v>
      </c>
      <c r="F443" s="305"/>
      <c r="G443" s="306" t="s">
        <v>1227</v>
      </c>
      <c r="H443" s="306">
        <v>13924726</v>
      </c>
      <c r="I443" s="306" t="s">
        <v>1196</v>
      </c>
      <c r="J443" s="248"/>
      <c r="K443" s="248"/>
      <c r="M443" s="248"/>
      <c r="W443"/>
      <c r="X443"/>
      <c r="Y443"/>
      <c r="Z443"/>
      <c r="AA443"/>
      <c r="AF443">
        <v>7</v>
      </c>
    </row>
    <row r="444" spans="1:32" x14ac:dyDescent="0.25">
      <c r="A444" s="308">
        <v>45244</v>
      </c>
      <c r="B444" s="305">
        <v>625854</v>
      </c>
      <c r="C444" s="412" t="str">
        <f>IFERROR(INDEX(Table14[],MATCH($B444,Table14[SAPNo],0),3),"")</f>
        <v>Carbide IA 1318    (C)</v>
      </c>
      <c r="D444" s="306"/>
      <c r="E444" s="305">
        <v>9</v>
      </c>
      <c r="F444" s="305"/>
      <c r="G444" s="306" t="s">
        <v>1227</v>
      </c>
      <c r="H444" s="306">
        <v>13924726</v>
      </c>
      <c r="I444" s="306" t="s">
        <v>1196</v>
      </c>
      <c r="J444" s="248"/>
      <c r="K444" s="248"/>
      <c r="M444" s="248"/>
      <c r="W444"/>
      <c r="X444"/>
      <c r="Y444"/>
      <c r="Z444"/>
      <c r="AA444"/>
      <c r="AF444">
        <v>9</v>
      </c>
    </row>
    <row r="445" spans="1:32" x14ac:dyDescent="0.25">
      <c r="A445" s="320">
        <v>45244</v>
      </c>
      <c r="B445" s="321">
        <v>1130198</v>
      </c>
      <c r="C445" s="413" t="str">
        <f>IFERROR(INDEX(Table14[],MATCH($B445,Table14[SAPNo],0),3),"")</f>
        <v>Round 1613 CT182  0.018" (S)</v>
      </c>
      <c r="D445" s="306"/>
      <c r="E445" s="321">
        <v>152</v>
      </c>
      <c r="F445" s="321"/>
      <c r="G445" s="322" t="s">
        <v>1227</v>
      </c>
      <c r="H445" s="322">
        <v>13924726</v>
      </c>
      <c r="I445" s="322" t="s">
        <v>1196</v>
      </c>
      <c r="J445" s="248"/>
      <c r="K445" s="248"/>
      <c r="M445" s="248"/>
      <c r="W445"/>
      <c r="X445"/>
      <c r="Y445"/>
      <c r="Z445"/>
      <c r="AA445"/>
      <c r="AF445">
        <v>152</v>
      </c>
    </row>
    <row r="446" spans="1:32" x14ac:dyDescent="0.25">
      <c r="A446" s="308">
        <v>45245</v>
      </c>
      <c r="B446" s="305">
        <v>418525</v>
      </c>
      <c r="C446" s="412" t="str">
        <f>IFERROR(INDEX(Table14[],MATCH($B446,Table14[SAPNo],0),3),"")</f>
        <v>Drop In 1308 CT31   (B)</v>
      </c>
      <c r="D446" s="306"/>
      <c r="E446" s="305">
        <v>1</v>
      </c>
      <c r="F446" s="305"/>
      <c r="G446" s="306" t="s">
        <v>1084</v>
      </c>
      <c r="H446" s="306" t="s">
        <v>1085</v>
      </c>
      <c r="I446" s="306" t="s">
        <v>1093</v>
      </c>
      <c r="J446" s="248"/>
      <c r="K446" s="248"/>
      <c r="M446" s="248"/>
      <c r="W446"/>
      <c r="X446"/>
      <c r="Y446"/>
      <c r="Z446"/>
      <c r="AA446"/>
      <c r="AF446">
        <v>1</v>
      </c>
    </row>
    <row r="447" spans="1:32" x14ac:dyDescent="0.25">
      <c r="A447" s="308">
        <v>45245</v>
      </c>
      <c r="B447" s="305">
        <v>625854</v>
      </c>
      <c r="C447" s="412" t="str">
        <f>IFERROR(INDEX(Table14[],MATCH($B447,Table14[SAPNo],0),3),"")</f>
        <v>Carbide IA 1318    (C)</v>
      </c>
      <c r="D447" s="306"/>
      <c r="E447" s="305">
        <v>9</v>
      </c>
      <c r="F447" s="305"/>
      <c r="G447" s="306" t="s">
        <v>1228</v>
      </c>
      <c r="H447" s="306">
        <v>13905842</v>
      </c>
      <c r="I447" s="306" t="s">
        <v>1196</v>
      </c>
      <c r="J447" s="248"/>
      <c r="K447" s="248"/>
      <c r="M447" s="248"/>
      <c r="W447"/>
      <c r="X447"/>
      <c r="Y447"/>
      <c r="Z447"/>
      <c r="AA447"/>
      <c r="AF447">
        <v>9</v>
      </c>
    </row>
    <row r="448" spans="1:32" x14ac:dyDescent="0.25">
      <c r="A448" s="308">
        <v>45245</v>
      </c>
      <c r="B448" s="305">
        <v>1130198</v>
      </c>
      <c r="C448" s="412" t="str">
        <f>IFERROR(INDEX(Table14[],MATCH($B448,Table14[SAPNo],0),3),"")</f>
        <v>Round 1613 CT182  0.018" (S)</v>
      </c>
      <c r="D448" s="306"/>
      <c r="E448" s="305">
        <v>152</v>
      </c>
      <c r="F448" s="305"/>
      <c r="G448" s="306" t="s">
        <v>1228</v>
      </c>
      <c r="H448" s="306">
        <v>13905842</v>
      </c>
      <c r="I448" s="306" t="s">
        <v>1196</v>
      </c>
      <c r="J448" s="248"/>
      <c r="K448" s="248"/>
      <c r="M448" s="248"/>
      <c r="W448"/>
      <c r="X448"/>
      <c r="Y448"/>
      <c r="Z448"/>
      <c r="AA448"/>
      <c r="AF448">
        <v>152</v>
      </c>
    </row>
    <row r="449" spans="1:32" x14ac:dyDescent="0.25">
      <c r="A449" s="308">
        <v>45245</v>
      </c>
      <c r="B449" s="305">
        <v>418525</v>
      </c>
      <c r="C449" s="412" t="str">
        <f>IFERROR(INDEX(Table14[],MATCH($B449,Table14[SAPNo],0),3),"")</f>
        <v>Drop In 1308 CT31   (B)</v>
      </c>
      <c r="D449" s="306"/>
      <c r="E449" s="305">
        <v>7</v>
      </c>
      <c r="F449" s="305"/>
      <c r="G449" s="306" t="s">
        <v>1228</v>
      </c>
      <c r="H449" s="306">
        <v>13905842</v>
      </c>
      <c r="I449" s="306" t="s">
        <v>1196</v>
      </c>
      <c r="J449" s="248"/>
      <c r="K449" s="248"/>
      <c r="M449" s="248"/>
      <c r="W449"/>
      <c r="X449"/>
      <c r="Y449"/>
      <c r="Z449"/>
      <c r="AA449"/>
      <c r="AF449">
        <v>7</v>
      </c>
    </row>
    <row r="450" spans="1:32" x14ac:dyDescent="0.25">
      <c r="A450" s="308">
        <v>45245</v>
      </c>
      <c r="B450" s="305">
        <v>1208601</v>
      </c>
      <c r="C450" s="412" t="str">
        <f>IFERROR(INDEX(Table14[],MATCH($B450,Table14[SAPNo],0),3),"")</f>
        <v>1613 CT418 U-60</v>
      </c>
      <c r="D450" s="306"/>
      <c r="E450" s="305">
        <v>7</v>
      </c>
      <c r="F450" s="305"/>
      <c r="G450" s="306" t="s">
        <v>1229</v>
      </c>
      <c r="H450" s="306">
        <v>14081910</v>
      </c>
      <c r="I450" s="306" t="s">
        <v>1076</v>
      </c>
      <c r="J450" s="248"/>
      <c r="K450" s="248"/>
      <c r="M450" s="248"/>
      <c r="W450"/>
      <c r="X450"/>
      <c r="Y450"/>
      <c r="Z450"/>
      <c r="AA450"/>
      <c r="AF450">
        <v>7</v>
      </c>
    </row>
    <row r="451" spans="1:32" x14ac:dyDescent="0.25">
      <c r="A451" s="308">
        <v>45245</v>
      </c>
      <c r="B451" s="305">
        <v>1146737</v>
      </c>
      <c r="C451" s="412" t="str">
        <f>IFERROR(INDEX(Table14[],MATCH($B451,Table14[SAPNo],0),3),"")</f>
        <v>1613 CT418 18-60</v>
      </c>
      <c r="D451" s="306"/>
      <c r="E451" s="305">
        <v>6</v>
      </c>
      <c r="F451" s="305"/>
      <c r="G451" s="306" t="s">
        <v>1229</v>
      </c>
      <c r="H451" s="306">
        <v>14081910</v>
      </c>
      <c r="I451" s="306" t="s">
        <v>1076</v>
      </c>
      <c r="J451" s="248"/>
      <c r="K451" s="248"/>
      <c r="M451" s="248"/>
      <c r="W451"/>
      <c r="X451"/>
      <c r="Y451"/>
      <c r="Z451"/>
      <c r="AA451"/>
      <c r="AF451">
        <v>6</v>
      </c>
    </row>
    <row r="452" spans="1:32" x14ac:dyDescent="0.25">
      <c r="A452" s="308">
        <v>45245</v>
      </c>
      <c r="B452" s="305">
        <v>1078377</v>
      </c>
      <c r="C452" s="412" t="str">
        <f>IFERROR(INDEX(Table14[],MATCH($B452,Table14[SAPNo],0),3),"")</f>
        <v>13MM CT221 R1</v>
      </c>
      <c r="D452" s="306"/>
      <c r="E452" s="305">
        <v>15</v>
      </c>
      <c r="F452" s="305"/>
      <c r="G452" s="306" t="s">
        <v>1229</v>
      </c>
      <c r="H452" s="306">
        <v>14081910</v>
      </c>
      <c r="I452" s="306" t="s">
        <v>1076</v>
      </c>
      <c r="J452" s="248"/>
      <c r="K452" s="248"/>
      <c r="M452" s="248"/>
      <c r="W452"/>
      <c r="X452"/>
      <c r="Y452"/>
      <c r="Z452"/>
      <c r="AA452"/>
      <c r="AF452">
        <v>15</v>
      </c>
    </row>
    <row r="453" spans="1:32" x14ac:dyDescent="0.25">
      <c r="A453" s="308">
        <v>45245</v>
      </c>
      <c r="B453" s="305">
        <v>1175118</v>
      </c>
      <c r="C453" s="412" t="str">
        <f>IFERROR(INDEX(Table14[],MATCH($B453,Table14[SAPNo],0),3),"")</f>
        <v>1613 CT147 18-60</v>
      </c>
      <c r="D453" s="306"/>
      <c r="E453" s="305">
        <v>18</v>
      </c>
      <c r="F453" s="305"/>
      <c r="G453" s="306" t="s">
        <v>1229</v>
      </c>
      <c r="H453" s="306">
        <v>14081910</v>
      </c>
      <c r="I453" s="306" t="s">
        <v>1076</v>
      </c>
      <c r="J453" s="248"/>
      <c r="K453" s="248"/>
      <c r="M453" s="248"/>
      <c r="W453"/>
      <c r="X453"/>
      <c r="Y453"/>
      <c r="Z453"/>
      <c r="AA453"/>
      <c r="AF453">
        <v>18</v>
      </c>
    </row>
    <row r="454" spans="1:32" x14ac:dyDescent="0.25">
      <c r="A454" s="308">
        <v>45245</v>
      </c>
      <c r="B454" s="305">
        <v>418525</v>
      </c>
      <c r="C454" s="412" t="str">
        <f>IFERROR(INDEX(Table14[],MATCH($B454,Table14[SAPNo],0),3),"")</f>
        <v>Drop In 1308 CT31   (B)</v>
      </c>
      <c r="D454" s="306"/>
      <c r="E454" s="305">
        <v>6</v>
      </c>
      <c r="F454" s="305"/>
      <c r="G454" s="306" t="s">
        <v>1229</v>
      </c>
      <c r="H454" s="306">
        <v>14081910</v>
      </c>
      <c r="I454" s="306" t="s">
        <v>1076</v>
      </c>
      <c r="J454" s="248"/>
      <c r="K454" s="248"/>
      <c r="M454" s="248"/>
      <c r="W454"/>
      <c r="X454"/>
      <c r="Y454"/>
      <c r="Z454"/>
      <c r="AA454"/>
      <c r="AF454">
        <v>6</v>
      </c>
    </row>
    <row r="455" spans="1:32" x14ac:dyDescent="0.25">
      <c r="A455" s="308">
        <v>45246</v>
      </c>
      <c r="B455" s="305">
        <v>625854</v>
      </c>
      <c r="C455" s="412" t="str">
        <f>IFERROR(INDEX(Table14[],MATCH($B455,Table14[SAPNo],0),3),"")</f>
        <v>Carbide IA 1318    (C)</v>
      </c>
      <c r="D455" s="306"/>
      <c r="E455" s="305">
        <v>17</v>
      </c>
      <c r="F455" s="305"/>
      <c r="G455" s="306" t="s">
        <v>1082</v>
      </c>
      <c r="H455" s="306">
        <v>13901739</v>
      </c>
      <c r="I455" s="306" t="s">
        <v>1185</v>
      </c>
      <c r="J455" s="248"/>
      <c r="K455" s="248"/>
      <c r="M455" s="248"/>
      <c r="W455"/>
      <c r="X455"/>
      <c r="Y455"/>
      <c r="Z455"/>
      <c r="AA455"/>
      <c r="AF455">
        <v>17</v>
      </c>
    </row>
    <row r="456" spans="1:32" x14ac:dyDescent="0.25">
      <c r="A456" s="308">
        <v>45246</v>
      </c>
      <c r="B456" s="305">
        <v>1100741</v>
      </c>
      <c r="C456" s="412" t="str">
        <f>IFERROR(INDEX(Table14[],MATCH($B456,Table14[SAPNo],0),3),"")</f>
        <v>Round 1613 CT418  0.018" (S)</v>
      </c>
      <c r="D456" s="306"/>
      <c r="E456" s="305">
        <v>31</v>
      </c>
      <c r="F456" s="305"/>
      <c r="G456" s="306" t="s">
        <v>1082</v>
      </c>
      <c r="H456" s="306">
        <v>13901739</v>
      </c>
      <c r="I456" s="306" t="s">
        <v>1185</v>
      </c>
      <c r="J456" s="248"/>
      <c r="K456" s="248"/>
      <c r="M456" s="248"/>
      <c r="W456"/>
      <c r="X456"/>
      <c r="Y456"/>
      <c r="Z456"/>
      <c r="AA456"/>
      <c r="AF456">
        <v>31</v>
      </c>
    </row>
    <row r="457" spans="1:32" x14ac:dyDescent="0.25">
      <c r="A457" s="308">
        <v>45246</v>
      </c>
      <c r="B457" s="305">
        <v>418525</v>
      </c>
      <c r="C457" s="412" t="str">
        <f>IFERROR(INDEX(Table14[],MATCH($B457,Table14[SAPNo],0),3),"")</f>
        <v>Drop In 1308 CT31   (B)</v>
      </c>
      <c r="D457" s="306"/>
      <c r="E457" s="305">
        <v>6</v>
      </c>
      <c r="F457" s="305"/>
      <c r="G457" s="306" t="s">
        <v>1082</v>
      </c>
      <c r="H457" s="306">
        <v>13901739</v>
      </c>
      <c r="I457" s="306" t="s">
        <v>1185</v>
      </c>
      <c r="J457" s="248"/>
      <c r="K457" s="248"/>
      <c r="M457" s="248"/>
      <c r="W457"/>
      <c r="X457"/>
      <c r="Y457"/>
      <c r="Z457"/>
      <c r="AA457"/>
      <c r="AF457">
        <v>6</v>
      </c>
    </row>
    <row r="458" spans="1:32" x14ac:dyDescent="0.25">
      <c r="A458" s="308">
        <v>45246</v>
      </c>
      <c r="B458" s="305">
        <v>1209410</v>
      </c>
      <c r="C458" s="412" t="str">
        <f>IFERROR(INDEX(Table14[],MATCH($B458,Table14[SAPNo],0),3),"")</f>
        <v>1613 CT430MV3 U TBO</v>
      </c>
      <c r="D458" s="306"/>
      <c r="E458" s="305">
        <v>46</v>
      </c>
      <c r="F458" s="305"/>
      <c r="G458" s="306" t="s">
        <v>1082</v>
      </c>
      <c r="H458" s="306">
        <v>13901739</v>
      </c>
      <c r="I458" s="306" t="s">
        <v>1185</v>
      </c>
      <c r="J458" s="248"/>
      <c r="K458" s="248"/>
      <c r="M458" s="248"/>
      <c r="W458"/>
      <c r="X458"/>
      <c r="Y458"/>
      <c r="Z458"/>
      <c r="AA458"/>
      <c r="AF458">
        <v>46</v>
      </c>
    </row>
    <row r="459" spans="1:32" x14ac:dyDescent="0.25">
      <c r="A459" s="308">
        <v>45246</v>
      </c>
      <c r="B459" s="305">
        <v>1133896</v>
      </c>
      <c r="C459" s="412" t="str">
        <f>IFERROR(INDEX(Table14[],MATCH($B459,Table14[SAPNo],0),3),"")</f>
        <v>1613 CT418 U</v>
      </c>
      <c r="D459" s="306"/>
      <c r="E459" s="305">
        <v>0</v>
      </c>
      <c r="F459" s="305"/>
      <c r="G459" s="306" t="s">
        <v>1082</v>
      </c>
      <c r="H459" s="306">
        <v>13901739</v>
      </c>
      <c r="I459" s="306" t="s">
        <v>1185</v>
      </c>
      <c r="J459" s="374">
        <v>30</v>
      </c>
      <c r="K459" s="248"/>
      <c r="M459" s="248"/>
      <c r="W459"/>
      <c r="X459"/>
      <c r="Y459"/>
      <c r="Z459"/>
      <c r="AA459"/>
      <c r="AF459">
        <v>0</v>
      </c>
    </row>
    <row r="460" spans="1:32" x14ac:dyDescent="0.25">
      <c r="A460" s="308">
        <v>45249</v>
      </c>
      <c r="B460" s="305">
        <v>1146737</v>
      </c>
      <c r="C460" s="412" t="str">
        <f>IFERROR(INDEX(Table14[],MATCH($B460,Table14[SAPNo],0),3),"")</f>
        <v>1613 CT418 18-60</v>
      </c>
      <c r="D460" s="306"/>
      <c r="E460" s="305">
        <v>6</v>
      </c>
      <c r="F460" s="305"/>
      <c r="G460" s="306" t="s">
        <v>1230</v>
      </c>
      <c r="H460" s="306">
        <v>14081147</v>
      </c>
      <c r="I460" s="306" t="s">
        <v>1076</v>
      </c>
      <c r="J460" s="248"/>
      <c r="K460" s="248"/>
      <c r="M460" s="248"/>
      <c r="W460"/>
      <c r="X460"/>
      <c r="Y460"/>
      <c r="Z460"/>
      <c r="AA460"/>
      <c r="AF460">
        <v>6</v>
      </c>
    </row>
    <row r="461" spans="1:32" x14ac:dyDescent="0.25">
      <c r="A461" s="308">
        <v>45249</v>
      </c>
      <c r="B461" s="305">
        <v>1112229</v>
      </c>
      <c r="C461" s="412" t="str">
        <f>IFERROR(INDEX(Table14[],MATCH($B461,Table14[SAPNo],0),3),"")</f>
        <v>1613 CT147 18C</v>
      </c>
      <c r="D461" s="306"/>
      <c r="E461" s="305">
        <v>18</v>
      </c>
      <c r="F461" s="305"/>
      <c r="G461" s="306" t="s">
        <v>1230</v>
      </c>
      <c r="H461" s="306">
        <v>14081147</v>
      </c>
      <c r="I461" s="306" t="s">
        <v>1076</v>
      </c>
      <c r="J461" s="248"/>
      <c r="K461" s="248"/>
      <c r="M461" s="248"/>
      <c r="W461"/>
      <c r="X461"/>
      <c r="Y461"/>
      <c r="Z461"/>
      <c r="AA461"/>
      <c r="AF461">
        <v>18</v>
      </c>
    </row>
    <row r="462" spans="1:32" x14ac:dyDescent="0.25">
      <c r="A462" s="308">
        <v>45249</v>
      </c>
      <c r="B462" s="305">
        <v>418525</v>
      </c>
      <c r="C462" s="412" t="str">
        <f>IFERROR(INDEX(Table14[],MATCH($B462,Table14[SAPNo],0),3),"")</f>
        <v>Drop In 1308 CT31   (B)</v>
      </c>
      <c r="D462" s="306"/>
      <c r="E462" s="305">
        <v>6</v>
      </c>
      <c r="F462" s="305"/>
      <c r="G462" s="306" t="s">
        <v>1230</v>
      </c>
      <c r="H462" s="306">
        <v>14081147</v>
      </c>
      <c r="I462" s="306" t="s">
        <v>1076</v>
      </c>
      <c r="J462" s="248"/>
      <c r="K462" s="248"/>
      <c r="M462" s="248"/>
      <c r="W462"/>
      <c r="X462"/>
      <c r="Y462"/>
      <c r="Z462"/>
      <c r="AA462"/>
      <c r="AF462">
        <v>6</v>
      </c>
    </row>
    <row r="463" spans="1:32" x14ac:dyDescent="0.25">
      <c r="A463" s="308">
        <v>45249</v>
      </c>
      <c r="B463" s="305">
        <v>1078377</v>
      </c>
      <c r="C463" s="412" t="str">
        <f>IFERROR(INDEX(Table14[],MATCH($B463,Table14[SAPNo],0),3),"")</f>
        <v>13MM CT221 R1</v>
      </c>
      <c r="D463" s="306"/>
      <c r="E463" s="305">
        <v>15</v>
      </c>
      <c r="F463" s="305"/>
      <c r="G463" s="306" t="s">
        <v>1230</v>
      </c>
      <c r="H463" s="306">
        <v>14081147</v>
      </c>
      <c r="I463" s="306" t="s">
        <v>1076</v>
      </c>
      <c r="J463" s="248"/>
      <c r="K463" s="248"/>
      <c r="M463" s="248"/>
      <c r="W463"/>
      <c r="X463"/>
      <c r="Y463"/>
      <c r="Z463"/>
      <c r="AA463"/>
      <c r="AF463">
        <v>15</v>
      </c>
    </row>
    <row r="464" spans="1:32" x14ac:dyDescent="0.25">
      <c r="A464" s="308">
        <v>45249</v>
      </c>
      <c r="B464" s="305">
        <v>1208601</v>
      </c>
      <c r="C464" s="412" t="str">
        <f>IFERROR(INDEX(Table14[],MATCH($B464,Table14[SAPNo],0),3),"")</f>
        <v>1613 CT418 U-60</v>
      </c>
      <c r="D464" s="306"/>
      <c r="E464" s="305">
        <v>7</v>
      </c>
      <c r="F464" s="305"/>
      <c r="G464" s="306" t="s">
        <v>1230</v>
      </c>
      <c r="H464" s="306">
        <v>14081147</v>
      </c>
      <c r="I464" s="306" t="s">
        <v>1076</v>
      </c>
      <c r="J464" s="248"/>
      <c r="K464" s="248"/>
      <c r="M464" s="248"/>
      <c r="W464"/>
      <c r="X464"/>
      <c r="Y464"/>
      <c r="Z464"/>
      <c r="AA464"/>
      <c r="AF464">
        <v>7</v>
      </c>
    </row>
    <row r="465" spans="1:32" x14ac:dyDescent="0.25">
      <c r="A465" s="308">
        <v>45249</v>
      </c>
      <c r="B465" s="305">
        <v>1146737</v>
      </c>
      <c r="C465" s="412" t="str">
        <f>IFERROR(INDEX(Table14[],MATCH($B465,Table14[SAPNo],0),3),"")</f>
        <v>1613 CT418 18-60</v>
      </c>
      <c r="D465" s="306"/>
      <c r="E465" s="305">
        <v>6</v>
      </c>
      <c r="F465" s="305"/>
      <c r="G465" s="306" t="s">
        <v>1231</v>
      </c>
      <c r="H465" s="306">
        <v>14081148</v>
      </c>
      <c r="I465" s="306" t="s">
        <v>1076</v>
      </c>
      <c r="J465" s="248"/>
      <c r="K465" s="248"/>
      <c r="M465" s="248"/>
      <c r="W465"/>
      <c r="X465"/>
      <c r="Y465"/>
      <c r="Z465"/>
      <c r="AA465"/>
      <c r="AF465">
        <v>6</v>
      </c>
    </row>
    <row r="466" spans="1:32" x14ac:dyDescent="0.25">
      <c r="A466" s="308">
        <v>45249</v>
      </c>
      <c r="B466" s="305">
        <v>1208601</v>
      </c>
      <c r="C466" s="412" t="str">
        <f>IFERROR(INDEX(Table14[],MATCH($B466,Table14[SAPNo],0),3),"")</f>
        <v>1613 CT418 U-60</v>
      </c>
      <c r="D466" s="306"/>
      <c r="E466" s="305">
        <v>7</v>
      </c>
      <c r="F466" s="305"/>
      <c r="G466" s="306" t="s">
        <v>1231</v>
      </c>
      <c r="H466" s="306">
        <v>14081148</v>
      </c>
      <c r="I466" s="306" t="s">
        <v>1076</v>
      </c>
      <c r="J466" s="248"/>
      <c r="K466" s="248"/>
      <c r="M466" s="248"/>
      <c r="W466"/>
      <c r="X466"/>
      <c r="Y466"/>
      <c r="Z466"/>
      <c r="AA466"/>
      <c r="AF466">
        <v>7</v>
      </c>
    </row>
    <row r="467" spans="1:32" x14ac:dyDescent="0.25">
      <c r="A467" s="308">
        <v>45249</v>
      </c>
      <c r="B467" s="305">
        <v>1112229</v>
      </c>
      <c r="C467" s="412" t="str">
        <f>IFERROR(INDEX(Table14[],MATCH($B467,Table14[SAPNo],0),3),"")</f>
        <v>1613 CT147 18C</v>
      </c>
      <c r="D467" s="306"/>
      <c r="E467" s="305">
        <v>18</v>
      </c>
      <c r="F467" s="305"/>
      <c r="G467" s="306" t="s">
        <v>1231</v>
      </c>
      <c r="H467" s="306">
        <v>14081148</v>
      </c>
      <c r="I467" s="306" t="s">
        <v>1076</v>
      </c>
      <c r="J467" s="248"/>
      <c r="K467" s="248"/>
      <c r="M467" s="248"/>
      <c r="W467"/>
      <c r="X467"/>
      <c r="Y467"/>
      <c r="Z467"/>
      <c r="AA467"/>
      <c r="AF467">
        <v>18</v>
      </c>
    </row>
    <row r="468" spans="1:32" x14ac:dyDescent="0.25">
      <c r="A468" s="308">
        <v>45249</v>
      </c>
      <c r="B468" s="305">
        <v>418525</v>
      </c>
      <c r="C468" s="412" t="str">
        <f>IFERROR(INDEX(Table14[],MATCH($B468,Table14[SAPNo],0),3),"")</f>
        <v>Drop In 1308 CT31   (B)</v>
      </c>
      <c r="D468" s="306"/>
      <c r="E468" s="305">
        <v>6</v>
      </c>
      <c r="F468" s="305"/>
      <c r="G468" s="306" t="s">
        <v>1231</v>
      </c>
      <c r="H468" s="306">
        <v>14081148</v>
      </c>
      <c r="I468" s="306" t="s">
        <v>1076</v>
      </c>
      <c r="J468" s="248"/>
      <c r="K468" s="248"/>
      <c r="M468" s="248"/>
      <c r="W468"/>
      <c r="X468"/>
      <c r="Y468"/>
      <c r="Z468"/>
      <c r="AA468"/>
      <c r="AF468">
        <v>6</v>
      </c>
    </row>
    <row r="469" spans="1:32" x14ac:dyDescent="0.25">
      <c r="A469" s="308">
        <v>45249</v>
      </c>
      <c r="B469" s="305">
        <v>1078377</v>
      </c>
      <c r="C469" s="412" t="str">
        <f>IFERROR(INDEX(Table14[],MATCH($B469,Table14[SAPNo],0),3),"")</f>
        <v>13MM CT221 R1</v>
      </c>
      <c r="D469" s="306"/>
      <c r="E469" s="305">
        <v>15</v>
      </c>
      <c r="F469" s="305"/>
      <c r="G469" s="306" t="s">
        <v>1231</v>
      </c>
      <c r="H469" s="306">
        <v>14081148</v>
      </c>
      <c r="I469" s="306" t="s">
        <v>1076</v>
      </c>
      <c r="J469" s="248"/>
      <c r="K469" s="248"/>
      <c r="M469" s="248"/>
      <c r="W469"/>
      <c r="X469"/>
      <c r="Y469"/>
      <c r="Z469"/>
      <c r="AA469"/>
      <c r="AF469">
        <v>15</v>
      </c>
    </row>
    <row r="470" spans="1:32" x14ac:dyDescent="0.25">
      <c r="A470" s="308">
        <v>45250</v>
      </c>
      <c r="B470" s="305">
        <v>708306</v>
      </c>
      <c r="C470" s="412" t="str">
        <f>IFERROR(INDEX(Table14[],MATCH($B470,Table14[SAPNo],0),3),"")</f>
        <v>Round 1913 CT200  0.018" (B)</v>
      </c>
      <c r="D470" s="306"/>
      <c r="E470" s="305">
        <v>34</v>
      </c>
      <c r="F470" s="305"/>
      <c r="G470" s="306" t="s">
        <v>1232</v>
      </c>
      <c r="H470" s="306">
        <v>14073997</v>
      </c>
      <c r="I470" s="306" t="s">
        <v>1130</v>
      </c>
      <c r="J470" s="248"/>
      <c r="K470" s="248"/>
      <c r="M470" s="248"/>
      <c r="W470"/>
      <c r="X470"/>
      <c r="Y470"/>
      <c r="Z470"/>
      <c r="AA470"/>
      <c r="AF470">
        <v>34</v>
      </c>
    </row>
    <row r="471" spans="1:32" x14ac:dyDescent="0.25">
      <c r="A471" s="308">
        <v>45250</v>
      </c>
      <c r="B471" s="305">
        <v>1100759</v>
      </c>
      <c r="C471" s="412" t="str">
        <f>IFERROR(INDEX(Table14[],MATCH($B471,Table14[SAPNo],0),3),"")</f>
        <v>1913 CT421 0.018"</v>
      </c>
      <c r="D471" s="306"/>
      <c r="E471" s="305">
        <v>48</v>
      </c>
      <c r="F471" s="305"/>
      <c r="G471" s="306" t="s">
        <v>1232</v>
      </c>
      <c r="H471" s="306">
        <v>14073997</v>
      </c>
      <c r="I471" s="306" t="s">
        <v>1130</v>
      </c>
      <c r="J471" s="248"/>
      <c r="K471" s="248"/>
      <c r="M471" s="248"/>
      <c r="W471"/>
      <c r="X471"/>
      <c r="Y471"/>
      <c r="Z471"/>
      <c r="AA471"/>
      <c r="AF471">
        <v>48</v>
      </c>
    </row>
    <row r="472" spans="1:32" x14ac:dyDescent="0.25">
      <c r="A472" s="308">
        <v>45250</v>
      </c>
      <c r="B472" s="305">
        <v>1130198</v>
      </c>
      <c r="C472" s="412" t="str">
        <f>IFERROR(INDEX(Table14[],MATCH($B472,Table14[SAPNo],0),3),"")</f>
        <v>Round 1613 CT182  0.018" (S)</v>
      </c>
      <c r="D472" s="306"/>
      <c r="E472" s="305">
        <v>9</v>
      </c>
      <c r="F472" s="305"/>
      <c r="G472" s="306" t="s">
        <v>1232</v>
      </c>
      <c r="H472" s="306">
        <v>14073997</v>
      </c>
      <c r="I472" s="306" t="s">
        <v>1130</v>
      </c>
      <c r="J472" s="248"/>
      <c r="K472" s="248"/>
      <c r="M472" s="248"/>
      <c r="W472"/>
      <c r="X472"/>
      <c r="Y472"/>
      <c r="Z472"/>
      <c r="AA472"/>
      <c r="AF472">
        <v>9</v>
      </c>
    </row>
    <row r="473" spans="1:32" x14ac:dyDescent="0.25">
      <c r="A473" s="320">
        <v>45250</v>
      </c>
      <c r="B473" s="321">
        <v>871781</v>
      </c>
      <c r="C473" s="413" t="str">
        <f>IFERROR(INDEX(Table14[],MATCH($B473,Table14[SAPNo],0),3),"")</f>
        <v>Round 1313 CT200  0.018" (B)</v>
      </c>
      <c r="D473" s="306"/>
      <c r="E473" s="321">
        <v>8</v>
      </c>
      <c r="F473" s="321"/>
      <c r="G473" s="322" t="s">
        <v>1232</v>
      </c>
      <c r="H473" s="322">
        <v>14073997</v>
      </c>
      <c r="I473" s="322" t="s">
        <v>1130</v>
      </c>
      <c r="J473" s="248"/>
      <c r="K473" s="248"/>
      <c r="M473" s="248"/>
      <c r="W473"/>
      <c r="X473"/>
      <c r="Y473"/>
      <c r="Z473"/>
      <c r="AA473"/>
      <c r="AF473">
        <v>8</v>
      </c>
    </row>
    <row r="474" spans="1:32" x14ac:dyDescent="0.25">
      <c r="A474" s="308">
        <v>45251</v>
      </c>
      <c r="B474" s="305">
        <v>1244299</v>
      </c>
      <c r="C474" s="412" t="str">
        <f>IFERROR(INDEX(Table14[],MATCH($B474,Table14[SAPNo],0),3),"")</f>
        <v>1313 CT147CV4 U</v>
      </c>
      <c r="D474" s="306"/>
      <c r="E474" s="305">
        <v>2</v>
      </c>
      <c r="F474" s="305"/>
      <c r="G474" s="306" t="s">
        <v>1083</v>
      </c>
      <c r="H474" s="306">
        <v>14023085</v>
      </c>
      <c r="I474" s="306" t="s">
        <v>1108</v>
      </c>
      <c r="J474" s="248"/>
      <c r="K474" s="248"/>
      <c r="M474" s="248"/>
      <c r="W474"/>
      <c r="X474"/>
      <c r="Y474"/>
      <c r="Z474"/>
      <c r="AA474"/>
      <c r="AF474">
        <v>2</v>
      </c>
    </row>
    <row r="475" spans="1:32" x14ac:dyDescent="0.25">
      <c r="A475" s="308">
        <v>45251</v>
      </c>
      <c r="B475" s="305">
        <v>871781</v>
      </c>
      <c r="C475" s="412" t="str">
        <f>IFERROR(INDEX(Table14[],MATCH($B475,Table14[SAPNo],0),3),"")</f>
        <v>Round 1313 CT200  0.018" (B)</v>
      </c>
      <c r="D475" s="306"/>
      <c r="E475" s="305">
        <v>5</v>
      </c>
      <c r="F475" s="305"/>
      <c r="G475" s="306" t="s">
        <v>1233</v>
      </c>
      <c r="H475" s="306">
        <v>13899525</v>
      </c>
      <c r="I475" s="306" t="s">
        <v>1234</v>
      </c>
      <c r="J475" s="248"/>
      <c r="K475" s="248"/>
      <c r="M475" s="248"/>
      <c r="W475"/>
      <c r="X475"/>
      <c r="Y475"/>
      <c r="Z475"/>
      <c r="AA475"/>
      <c r="AF475">
        <v>5</v>
      </c>
    </row>
    <row r="476" spans="1:32" x14ac:dyDescent="0.25">
      <c r="A476" s="308">
        <v>45251</v>
      </c>
      <c r="B476" s="305">
        <v>647436</v>
      </c>
      <c r="C476" s="412" t="str">
        <f>IFERROR(INDEX(Table14[],MATCH($B476,Table14[SAPNo],0),3),"")</f>
        <v>Round 1613 CT200  0.018" (B)</v>
      </c>
      <c r="D476" s="306"/>
      <c r="E476" s="305">
        <v>14</v>
      </c>
      <c r="F476" s="305"/>
      <c r="G476" s="306" t="s">
        <v>1233</v>
      </c>
      <c r="H476" s="306">
        <v>13899525</v>
      </c>
      <c r="I476" s="306" t="s">
        <v>1234</v>
      </c>
      <c r="J476" s="248"/>
      <c r="K476" s="248"/>
      <c r="M476" s="248"/>
      <c r="W476"/>
      <c r="X476"/>
      <c r="Y476"/>
      <c r="Z476"/>
      <c r="AA476"/>
      <c r="AF476">
        <v>14</v>
      </c>
    </row>
    <row r="477" spans="1:32" x14ac:dyDescent="0.25">
      <c r="A477" s="308">
        <v>45251</v>
      </c>
      <c r="B477" s="305">
        <v>1130198</v>
      </c>
      <c r="C477" s="412" t="str">
        <f>IFERROR(INDEX(Table14[],MATCH($B477,Table14[SAPNo],0),3),"")</f>
        <v>Round 1613 CT182  0.018" (S)</v>
      </c>
      <c r="D477" s="306"/>
      <c r="E477" s="305">
        <v>30</v>
      </c>
      <c r="F477" s="305"/>
      <c r="G477" s="306" t="s">
        <v>1233</v>
      </c>
      <c r="H477" s="306">
        <v>13899525</v>
      </c>
      <c r="I477" s="306" t="s">
        <v>1234</v>
      </c>
      <c r="J477" s="248"/>
      <c r="K477" s="248"/>
      <c r="M477" s="248"/>
      <c r="W477"/>
      <c r="X477"/>
      <c r="Y477"/>
      <c r="Z477"/>
      <c r="AA477"/>
      <c r="AF477">
        <v>30</v>
      </c>
    </row>
    <row r="478" spans="1:32" x14ac:dyDescent="0.25">
      <c r="A478" s="308">
        <v>45251</v>
      </c>
      <c r="B478" s="305">
        <v>1101509</v>
      </c>
      <c r="C478" s="412" t="str">
        <f>IFERROR(INDEX(Table14[],MATCH($B478,Table14[SAPNo],0),3),"")</f>
        <v>Short IA 8    (C)</v>
      </c>
      <c r="D478" s="306"/>
      <c r="E478" s="305">
        <v>5</v>
      </c>
      <c r="F478" s="305"/>
      <c r="G478" s="306" t="s">
        <v>1233</v>
      </c>
      <c r="H478" s="306">
        <v>13899525</v>
      </c>
      <c r="I478" s="306" t="s">
        <v>1234</v>
      </c>
      <c r="J478" s="248"/>
      <c r="K478" s="248"/>
      <c r="M478" s="248"/>
      <c r="W478"/>
      <c r="X478"/>
      <c r="Y478"/>
      <c r="Z478"/>
      <c r="AA478"/>
      <c r="AF478">
        <v>5</v>
      </c>
    </row>
    <row r="479" spans="1:32" x14ac:dyDescent="0.25">
      <c r="A479" s="308">
        <v>45251</v>
      </c>
      <c r="B479" s="305">
        <v>418525</v>
      </c>
      <c r="C479" s="412" t="str">
        <f>IFERROR(INDEX(Table14[],MATCH($B479,Table14[SAPNo],0),3),"")</f>
        <v>Drop In 1308 CT31   (B)</v>
      </c>
      <c r="D479" s="306"/>
      <c r="E479" s="305">
        <v>8</v>
      </c>
      <c r="F479" s="305"/>
      <c r="G479" s="306" t="s">
        <v>1235</v>
      </c>
      <c r="H479" s="306">
        <v>14056709</v>
      </c>
      <c r="I479" s="306" t="s">
        <v>1071</v>
      </c>
      <c r="J479" s="248"/>
      <c r="K479" s="248"/>
      <c r="M479" s="248"/>
      <c r="W479"/>
      <c r="X479"/>
      <c r="Y479"/>
      <c r="Z479"/>
      <c r="AA479"/>
      <c r="AF479">
        <v>8</v>
      </c>
    </row>
    <row r="480" spans="1:32" x14ac:dyDescent="0.25">
      <c r="A480" s="320">
        <v>45251</v>
      </c>
      <c r="B480" s="321">
        <v>1130198</v>
      </c>
      <c r="C480" s="413" t="str">
        <f>IFERROR(INDEX(Table14[],MATCH($B480,Table14[SAPNo],0),3),"")</f>
        <v>Round 1613 CT182  0.018" (S)</v>
      </c>
      <c r="D480" s="306"/>
      <c r="E480" s="321">
        <v>147</v>
      </c>
      <c r="F480" s="321"/>
      <c r="G480" s="322" t="s">
        <v>1235</v>
      </c>
      <c r="H480" s="322">
        <v>14056709</v>
      </c>
      <c r="I480" s="322" t="s">
        <v>1071</v>
      </c>
      <c r="J480" s="248"/>
      <c r="K480" s="248"/>
      <c r="M480" s="248"/>
      <c r="W480"/>
      <c r="X480"/>
      <c r="Y480"/>
      <c r="Z480"/>
      <c r="AA480"/>
      <c r="AF480">
        <v>147</v>
      </c>
    </row>
    <row r="481" spans="1:32" x14ac:dyDescent="0.25">
      <c r="A481" s="320">
        <v>45246</v>
      </c>
      <c r="B481" s="321">
        <v>1145493</v>
      </c>
      <c r="C481" s="413" t="str">
        <f>IFERROR(INDEX(Table14[],MATCH($B481,Table14[SAPNo],0),3),"")</f>
        <v>Round 1313 CT427  10C (S)</v>
      </c>
      <c r="D481" s="306"/>
      <c r="E481" s="321">
        <v>0</v>
      </c>
      <c r="F481" s="321"/>
      <c r="G481" s="322" t="s">
        <v>1083</v>
      </c>
      <c r="H481" s="322">
        <v>14023085</v>
      </c>
      <c r="I481" s="322" t="s">
        <v>1108</v>
      </c>
      <c r="J481" s="374">
        <v>3</v>
      </c>
      <c r="K481" s="248"/>
      <c r="M481" s="248"/>
      <c r="W481"/>
      <c r="X481"/>
      <c r="Y481"/>
      <c r="Z481"/>
      <c r="AA481"/>
      <c r="AF481">
        <v>0</v>
      </c>
    </row>
    <row r="482" spans="1:32" x14ac:dyDescent="0.25">
      <c r="A482" s="320">
        <v>45246</v>
      </c>
      <c r="B482" s="321">
        <v>1145493</v>
      </c>
      <c r="C482" s="413" t="str">
        <f>IFERROR(INDEX(Table14[],MATCH($B482,Table14[SAPNo],0),3),"")</f>
        <v>Round 1313 CT427  10C (S)</v>
      </c>
      <c r="D482" s="306"/>
      <c r="E482" s="321">
        <v>0</v>
      </c>
      <c r="F482" s="321"/>
      <c r="G482" s="322" t="s">
        <v>1084</v>
      </c>
      <c r="H482" s="322" t="s">
        <v>1085</v>
      </c>
      <c r="I482" s="322" t="s">
        <v>1093</v>
      </c>
      <c r="J482" s="374">
        <v>4</v>
      </c>
      <c r="K482" s="248"/>
      <c r="M482" s="248"/>
      <c r="W482"/>
      <c r="X482"/>
      <c r="Y482"/>
      <c r="Z482"/>
      <c r="AA482"/>
      <c r="AF482">
        <v>0</v>
      </c>
    </row>
    <row r="483" spans="1:32" x14ac:dyDescent="0.25">
      <c r="A483" s="308">
        <v>45252</v>
      </c>
      <c r="B483" s="305">
        <v>1130198</v>
      </c>
      <c r="C483" s="412" t="str">
        <f>IFERROR(INDEX(Table14[],MATCH($B483,Table14[SAPNo],0),3),"")</f>
        <v>Round 1613 CT182  0.018" (S)</v>
      </c>
      <c r="D483" s="306"/>
      <c r="E483" s="305">
        <v>105</v>
      </c>
      <c r="F483" s="305"/>
      <c r="G483" s="306" t="s">
        <v>1236</v>
      </c>
      <c r="H483" s="306">
        <v>13888897</v>
      </c>
      <c r="I483" s="306" t="s">
        <v>1237</v>
      </c>
      <c r="J483" s="248"/>
      <c r="K483" s="248"/>
      <c r="M483" s="248"/>
      <c r="W483"/>
      <c r="X483"/>
      <c r="Y483"/>
      <c r="Z483"/>
      <c r="AA483"/>
      <c r="AF483">
        <v>105</v>
      </c>
    </row>
    <row r="484" spans="1:32" x14ac:dyDescent="0.25">
      <c r="A484" s="308">
        <v>45252</v>
      </c>
      <c r="B484" s="305">
        <v>647436</v>
      </c>
      <c r="C484" s="412" t="str">
        <f>IFERROR(INDEX(Table14[],MATCH($B484,Table14[SAPNo],0),3),"")</f>
        <v>Round 1613 CT200  0.018" (B)</v>
      </c>
      <c r="D484" s="306"/>
      <c r="E484" s="305">
        <v>32</v>
      </c>
      <c r="F484" s="305"/>
      <c r="G484" s="306" t="s">
        <v>1236</v>
      </c>
      <c r="H484" s="306">
        <v>13888897</v>
      </c>
      <c r="I484" s="306" t="s">
        <v>1237</v>
      </c>
      <c r="J484" s="248"/>
      <c r="K484" s="248"/>
      <c r="M484" s="248"/>
      <c r="W484"/>
      <c r="X484"/>
      <c r="Y484"/>
      <c r="Z484"/>
      <c r="AA484"/>
      <c r="AF484">
        <v>32</v>
      </c>
    </row>
    <row r="485" spans="1:32" x14ac:dyDescent="0.25">
      <c r="A485" s="308">
        <v>45252</v>
      </c>
      <c r="B485" s="305">
        <v>418525</v>
      </c>
      <c r="C485" s="412" t="str">
        <f>IFERROR(INDEX(Table14[],MATCH($B485,Table14[SAPNo],0),3),"")</f>
        <v>Drop In 1308 CT31   (B)</v>
      </c>
      <c r="D485" s="306"/>
      <c r="E485" s="305">
        <v>8</v>
      </c>
      <c r="F485" s="305"/>
      <c r="G485" s="306" t="s">
        <v>1236</v>
      </c>
      <c r="H485" s="306">
        <v>13888897</v>
      </c>
      <c r="I485" s="306" t="s">
        <v>1237</v>
      </c>
      <c r="J485" s="248"/>
      <c r="K485" s="248"/>
      <c r="M485" s="248"/>
      <c r="W485"/>
      <c r="X485"/>
      <c r="Y485"/>
      <c r="Z485"/>
      <c r="AA485"/>
      <c r="AF485">
        <v>8</v>
      </c>
    </row>
    <row r="486" spans="1:32" x14ac:dyDescent="0.25">
      <c r="A486" s="308">
        <v>45252</v>
      </c>
      <c r="B486" s="305">
        <v>1208601</v>
      </c>
      <c r="C486" s="412" t="str">
        <f>IFERROR(INDEX(Table14[],MATCH($B486,Table14[SAPNo],0),3),"")</f>
        <v>1613 CT418 U-60</v>
      </c>
      <c r="D486" s="306"/>
      <c r="E486" s="305">
        <v>7</v>
      </c>
      <c r="F486" s="305"/>
      <c r="G486" s="306" t="s">
        <v>1238</v>
      </c>
      <c r="H486" s="306">
        <v>14081908</v>
      </c>
      <c r="I486" s="306" t="s">
        <v>1076</v>
      </c>
      <c r="J486" s="248"/>
      <c r="K486" s="248"/>
      <c r="M486" s="248"/>
      <c r="W486"/>
      <c r="X486"/>
      <c r="Y486"/>
      <c r="Z486"/>
      <c r="AA486"/>
      <c r="AF486">
        <v>7</v>
      </c>
    </row>
    <row r="487" spans="1:32" x14ac:dyDescent="0.25">
      <c r="A487" s="308">
        <v>45252</v>
      </c>
      <c r="B487" s="305">
        <v>418525</v>
      </c>
      <c r="C487" s="412" t="str">
        <f>IFERROR(INDEX(Table14[],MATCH($B487,Table14[SAPNo],0),3),"")</f>
        <v>Drop In 1308 CT31   (B)</v>
      </c>
      <c r="D487" s="306"/>
      <c r="E487" s="305">
        <v>6</v>
      </c>
      <c r="F487" s="305"/>
      <c r="G487" s="306" t="s">
        <v>1238</v>
      </c>
      <c r="H487" s="306">
        <v>14081908</v>
      </c>
      <c r="I487" s="306" t="s">
        <v>1076</v>
      </c>
      <c r="J487" s="248"/>
      <c r="K487" s="248"/>
      <c r="M487" s="248"/>
      <c r="W487"/>
      <c r="X487"/>
      <c r="Y487"/>
      <c r="Z487"/>
      <c r="AA487"/>
      <c r="AF487">
        <v>6</v>
      </c>
    </row>
    <row r="488" spans="1:32" x14ac:dyDescent="0.25">
      <c r="A488" s="308">
        <v>45252</v>
      </c>
      <c r="B488" s="305">
        <v>1078377</v>
      </c>
      <c r="C488" s="412" t="str">
        <f>IFERROR(INDEX(Table14[],MATCH($B488,Table14[SAPNo],0),3),"")</f>
        <v>13MM CT221 R1</v>
      </c>
      <c r="D488" s="306"/>
      <c r="E488" s="305">
        <v>15</v>
      </c>
      <c r="F488" s="305"/>
      <c r="G488" s="306" t="s">
        <v>1238</v>
      </c>
      <c r="H488" s="306">
        <v>14081908</v>
      </c>
      <c r="I488" s="306" t="s">
        <v>1076</v>
      </c>
      <c r="J488" s="248"/>
      <c r="K488" s="248"/>
      <c r="M488" s="248"/>
      <c r="W488"/>
      <c r="X488"/>
      <c r="Y488"/>
      <c r="Z488"/>
      <c r="AA488"/>
      <c r="AF488">
        <v>15</v>
      </c>
    </row>
    <row r="489" spans="1:32" x14ac:dyDescent="0.25">
      <c r="A489" s="308">
        <v>45252</v>
      </c>
      <c r="B489" s="305">
        <v>1175118</v>
      </c>
      <c r="C489" s="412" t="str">
        <f>IFERROR(INDEX(Table14[],MATCH($B489,Table14[SAPNo],0),3),"")</f>
        <v>1613 CT147 18-60</v>
      </c>
      <c r="D489" s="306"/>
      <c r="E489" s="305">
        <v>18</v>
      </c>
      <c r="F489" s="305"/>
      <c r="G489" s="306" t="s">
        <v>1238</v>
      </c>
      <c r="H489" s="306">
        <v>14081908</v>
      </c>
      <c r="I489" s="306" t="s">
        <v>1076</v>
      </c>
      <c r="J489" s="248"/>
      <c r="K489" s="248"/>
      <c r="M489" s="248"/>
      <c r="W489"/>
      <c r="X489"/>
      <c r="Y489"/>
      <c r="Z489"/>
      <c r="AA489"/>
      <c r="AF489">
        <v>18</v>
      </c>
    </row>
    <row r="490" spans="1:32" x14ac:dyDescent="0.25">
      <c r="A490" s="308">
        <v>45252</v>
      </c>
      <c r="B490" s="305">
        <v>1146737</v>
      </c>
      <c r="C490" s="412" t="str">
        <f>IFERROR(INDEX(Table14[],MATCH($B490,Table14[SAPNo],0),3),"")</f>
        <v>1613 CT418 18-60</v>
      </c>
      <c r="D490" s="306"/>
      <c r="E490" s="305">
        <v>6</v>
      </c>
      <c r="F490" s="305"/>
      <c r="G490" s="306" t="s">
        <v>1238</v>
      </c>
      <c r="H490" s="306">
        <v>14081908</v>
      </c>
      <c r="I490" s="306" t="s">
        <v>1076</v>
      </c>
      <c r="J490" s="248"/>
      <c r="K490" s="248"/>
      <c r="M490" s="248"/>
      <c r="W490"/>
      <c r="X490"/>
      <c r="Y490"/>
      <c r="Z490"/>
      <c r="AA490"/>
      <c r="AF490">
        <v>6</v>
      </c>
    </row>
    <row r="491" spans="1:32" x14ac:dyDescent="0.25">
      <c r="A491" s="308">
        <v>45253</v>
      </c>
      <c r="B491" s="305">
        <v>1100696</v>
      </c>
      <c r="C491" s="412" t="str">
        <f>IFERROR(INDEX(Table14[],MATCH($B491,Table14[SAPNo],0),3),"")</f>
        <v>Round 1313 CT418  10C (S)</v>
      </c>
      <c r="D491" s="306"/>
      <c r="E491" s="305">
        <v>23</v>
      </c>
      <c r="F491" s="305"/>
      <c r="G491" s="306" t="s">
        <v>1239</v>
      </c>
      <c r="H491" s="306">
        <v>14023086</v>
      </c>
      <c r="I491" s="306" t="s">
        <v>1240</v>
      </c>
      <c r="J491" s="248"/>
      <c r="K491" s="248"/>
      <c r="M491" s="248"/>
      <c r="W491"/>
      <c r="X491"/>
      <c r="Y491"/>
      <c r="Z491"/>
      <c r="AA491"/>
      <c r="AF491">
        <v>23</v>
      </c>
    </row>
    <row r="492" spans="1:32" x14ac:dyDescent="0.25">
      <c r="A492" s="308">
        <v>45253</v>
      </c>
      <c r="B492" s="305">
        <v>418525</v>
      </c>
      <c r="C492" s="412" t="str">
        <f>IFERROR(INDEX(Table14[],MATCH($B492,Table14[SAPNo],0),3),"")</f>
        <v>Drop In 1308 CT31   (B)</v>
      </c>
      <c r="D492" s="306"/>
      <c r="E492" s="305">
        <v>10</v>
      </c>
      <c r="F492" s="305"/>
      <c r="G492" s="306" t="s">
        <v>1239</v>
      </c>
      <c r="H492" s="306">
        <v>14023086</v>
      </c>
      <c r="I492" s="306" t="s">
        <v>1240</v>
      </c>
      <c r="J492" s="248"/>
      <c r="K492" s="248"/>
      <c r="M492" s="248"/>
      <c r="W492"/>
      <c r="X492"/>
      <c r="Y492"/>
      <c r="Z492"/>
      <c r="AA492"/>
      <c r="AF492">
        <v>10</v>
      </c>
    </row>
    <row r="493" spans="1:32" x14ac:dyDescent="0.25">
      <c r="A493" s="308">
        <v>45253</v>
      </c>
      <c r="B493" s="305">
        <v>418525</v>
      </c>
      <c r="C493" s="412" t="str">
        <f>IFERROR(INDEX(Table14[],MATCH($B493,Table14[SAPNo],0),3),"")</f>
        <v>Drop In 1308 CT31   (B)</v>
      </c>
      <c r="D493" s="306"/>
      <c r="E493" s="305">
        <v>10</v>
      </c>
      <c r="F493" s="305"/>
      <c r="G493" s="306" t="s">
        <v>1241</v>
      </c>
      <c r="H493" s="306">
        <v>13807907</v>
      </c>
      <c r="I493" s="306" t="s">
        <v>1242</v>
      </c>
      <c r="J493" s="248"/>
      <c r="K493" s="248"/>
      <c r="M493" s="248"/>
      <c r="W493"/>
      <c r="X493"/>
      <c r="Y493"/>
      <c r="Z493"/>
      <c r="AA493"/>
      <c r="AF493">
        <v>10</v>
      </c>
    </row>
    <row r="494" spans="1:32" x14ac:dyDescent="0.25">
      <c r="A494" s="308">
        <v>45253</v>
      </c>
      <c r="B494" s="305">
        <v>1145493</v>
      </c>
      <c r="C494" s="412" t="str">
        <f>IFERROR(INDEX(Table14[],MATCH($B494,Table14[SAPNo],0),3),"")</f>
        <v>Round 1313 CT427  10C (S)</v>
      </c>
      <c r="D494" s="306"/>
      <c r="E494" s="305">
        <v>23</v>
      </c>
      <c r="F494" s="305"/>
      <c r="G494" s="306" t="s">
        <v>1241</v>
      </c>
      <c r="H494" s="306">
        <v>13807907</v>
      </c>
      <c r="I494" s="306" t="s">
        <v>1242</v>
      </c>
      <c r="J494" s="374"/>
      <c r="K494" s="248"/>
      <c r="M494" s="248"/>
      <c r="W494"/>
      <c r="X494"/>
      <c r="Y494"/>
      <c r="Z494"/>
      <c r="AA494"/>
      <c r="AF494">
        <v>23</v>
      </c>
    </row>
    <row r="495" spans="1:32" x14ac:dyDescent="0.25">
      <c r="A495" s="308">
        <v>45253</v>
      </c>
      <c r="B495" s="305">
        <v>1078377</v>
      </c>
      <c r="C495" s="412" t="str">
        <f>IFERROR(INDEX(Table14[],MATCH($B495,Table14[SAPNo],0),3),"")</f>
        <v>13MM CT221 R1</v>
      </c>
      <c r="D495" s="306"/>
      <c r="E495" s="305">
        <v>15</v>
      </c>
      <c r="F495" s="305"/>
      <c r="G495" s="306" t="s">
        <v>1243</v>
      </c>
      <c r="H495" s="306">
        <v>14081911</v>
      </c>
      <c r="I495" s="306" t="s">
        <v>1076</v>
      </c>
      <c r="J495" s="248"/>
      <c r="K495" s="248"/>
      <c r="M495" s="248"/>
      <c r="W495"/>
      <c r="X495"/>
      <c r="Y495"/>
      <c r="Z495"/>
      <c r="AA495"/>
      <c r="AF495">
        <v>15</v>
      </c>
    </row>
    <row r="496" spans="1:32" x14ac:dyDescent="0.25">
      <c r="A496" s="308">
        <v>45253</v>
      </c>
      <c r="B496" s="305">
        <v>1146737</v>
      </c>
      <c r="C496" s="412" t="str">
        <f>IFERROR(INDEX(Table14[],MATCH($B496,Table14[SAPNo],0),3),"")</f>
        <v>1613 CT418 18-60</v>
      </c>
      <c r="D496" s="306"/>
      <c r="E496" s="305">
        <v>6</v>
      </c>
      <c r="F496" s="305"/>
      <c r="G496" s="306" t="s">
        <v>1243</v>
      </c>
      <c r="H496" s="306">
        <v>14081911</v>
      </c>
      <c r="I496" s="306" t="s">
        <v>1076</v>
      </c>
      <c r="J496" s="248"/>
      <c r="K496" s="248"/>
      <c r="M496" s="248"/>
      <c r="W496"/>
      <c r="X496"/>
      <c r="Y496"/>
      <c r="Z496"/>
      <c r="AA496"/>
      <c r="AF496">
        <v>6</v>
      </c>
    </row>
    <row r="497" spans="1:32" x14ac:dyDescent="0.25">
      <c r="A497" s="308">
        <v>45253</v>
      </c>
      <c r="B497" s="305">
        <v>1208601</v>
      </c>
      <c r="C497" s="412" t="str">
        <f>IFERROR(INDEX(Table14[],MATCH($B497,Table14[SAPNo],0),3),"")</f>
        <v>1613 CT418 U-60</v>
      </c>
      <c r="D497" s="306"/>
      <c r="E497" s="305">
        <v>7</v>
      </c>
      <c r="F497" s="305"/>
      <c r="G497" s="306" t="s">
        <v>1243</v>
      </c>
      <c r="H497" s="306">
        <v>14081911</v>
      </c>
      <c r="I497" s="306" t="s">
        <v>1076</v>
      </c>
      <c r="J497" s="248"/>
      <c r="K497" s="248"/>
      <c r="M497" s="248"/>
      <c r="W497"/>
      <c r="X497"/>
      <c r="Y497"/>
      <c r="Z497"/>
      <c r="AA497"/>
      <c r="AF497">
        <v>7</v>
      </c>
    </row>
    <row r="498" spans="1:32" x14ac:dyDescent="0.25">
      <c r="A498" s="308">
        <v>45253</v>
      </c>
      <c r="B498" s="305">
        <v>418525</v>
      </c>
      <c r="C498" s="412" t="str">
        <f>IFERROR(INDEX(Table14[],MATCH($B498,Table14[SAPNo],0),3),"")</f>
        <v>Drop In 1308 CT31   (B)</v>
      </c>
      <c r="D498" s="306"/>
      <c r="E498" s="305">
        <v>6</v>
      </c>
      <c r="F498" s="305"/>
      <c r="G498" s="306" t="s">
        <v>1243</v>
      </c>
      <c r="H498" s="306">
        <v>14081911</v>
      </c>
      <c r="I498" s="306" t="s">
        <v>1076</v>
      </c>
      <c r="J498" s="248"/>
      <c r="K498" s="248"/>
      <c r="M498" s="248"/>
      <c r="W498"/>
      <c r="X498"/>
      <c r="Y498"/>
      <c r="Z498"/>
      <c r="AA498"/>
      <c r="AF498">
        <v>6</v>
      </c>
    </row>
    <row r="499" spans="1:32" x14ac:dyDescent="0.25">
      <c r="A499" s="308">
        <v>45253</v>
      </c>
      <c r="B499" s="305">
        <v>1175118</v>
      </c>
      <c r="C499" s="412" t="str">
        <f>IFERROR(INDEX(Table14[],MATCH($B499,Table14[SAPNo],0),3),"")</f>
        <v>1613 CT147 18-60</v>
      </c>
      <c r="D499" s="306"/>
      <c r="E499" s="305">
        <v>18</v>
      </c>
      <c r="F499" s="305"/>
      <c r="G499" s="306" t="s">
        <v>1243</v>
      </c>
      <c r="H499" s="306">
        <v>14081911</v>
      </c>
      <c r="I499" s="306" t="s">
        <v>1076</v>
      </c>
      <c r="J499" s="248"/>
      <c r="K499" s="248"/>
      <c r="M499" s="248"/>
      <c r="AF499">
        <v>18</v>
      </c>
    </row>
    <row r="500" spans="1:32" x14ac:dyDescent="0.25">
      <c r="A500" s="308">
        <v>45256</v>
      </c>
      <c r="B500" s="305">
        <v>1100696</v>
      </c>
      <c r="C500" s="412" t="str">
        <f>IFERROR(INDEX(Table14[],MATCH($B500,Table14[SAPNo],0),3),"")</f>
        <v>Round 1313 CT418  10C (S)</v>
      </c>
      <c r="D500" s="306"/>
      <c r="E500" s="305">
        <v>23</v>
      </c>
      <c r="F500" s="305"/>
      <c r="G500" s="306" t="s">
        <v>1244</v>
      </c>
      <c r="H500" s="306">
        <v>14036264</v>
      </c>
      <c r="I500" s="306" t="s">
        <v>1240</v>
      </c>
      <c r="J500" s="248"/>
      <c r="K500" s="248"/>
      <c r="M500" s="248"/>
      <c r="AF500">
        <v>23</v>
      </c>
    </row>
    <row r="501" spans="1:32" x14ac:dyDescent="0.25">
      <c r="A501" s="308">
        <v>45256</v>
      </c>
      <c r="B501" s="305">
        <v>418525</v>
      </c>
      <c r="C501" s="412" t="str">
        <f>IFERROR(INDEX(Table14[],MATCH($B501,Table14[SAPNo],0),3),"")</f>
        <v>Drop In 1308 CT31   (B)</v>
      </c>
      <c r="D501" s="306"/>
      <c r="E501" s="305">
        <v>10</v>
      </c>
      <c r="F501" s="305"/>
      <c r="G501" s="306" t="s">
        <v>1244</v>
      </c>
      <c r="H501" s="306">
        <v>14036264</v>
      </c>
      <c r="I501" s="306" t="s">
        <v>1240</v>
      </c>
      <c r="J501" s="248"/>
      <c r="K501" s="248"/>
      <c r="M501" s="248"/>
      <c r="AF501">
        <v>10</v>
      </c>
    </row>
    <row r="502" spans="1:32" x14ac:dyDescent="0.25">
      <c r="A502" s="308">
        <v>45256</v>
      </c>
      <c r="B502" s="305">
        <v>1100696</v>
      </c>
      <c r="C502" s="412" t="str">
        <f>IFERROR(INDEX(Table14[],MATCH($B502,Table14[SAPNo],0),3),"")</f>
        <v>Round 1313 CT418  10C (S)</v>
      </c>
      <c r="D502" s="306"/>
      <c r="E502" s="305">
        <v>23</v>
      </c>
      <c r="F502" s="305"/>
      <c r="G502" s="306" t="s">
        <v>1245</v>
      </c>
      <c r="H502" s="306">
        <v>14036263</v>
      </c>
      <c r="I502" s="306" t="s">
        <v>1240</v>
      </c>
      <c r="J502" s="248"/>
      <c r="K502" s="248"/>
      <c r="M502" s="248"/>
      <c r="AF502">
        <v>23</v>
      </c>
    </row>
    <row r="503" spans="1:32" x14ac:dyDescent="0.25">
      <c r="A503" s="308">
        <v>45256</v>
      </c>
      <c r="B503" s="305">
        <v>418525</v>
      </c>
      <c r="C503" s="412" t="str">
        <f>IFERROR(INDEX(Table14[],MATCH($B503,Table14[SAPNo],0),3),"")</f>
        <v>Drop In 1308 CT31   (B)</v>
      </c>
      <c r="D503" s="306"/>
      <c r="E503" s="305">
        <v>10</v>
      </c>
      <c r="F503" s="305"/>
      <c r="G503" s="306" t="s">
        <v>1245</v>
      </c>
      <c r="H503" s="306">
        <v>14036263</v>
      </c>
      <c r="I503" s="306" t="s">
        <v>1240</v>
      </c>
      <c r="J503" s="248"/>
      <c r="K503" s="248"/>
      <c r="M503" s="248"/>
      <c r="AF503">
        <v>10</v>
      </c>
    </row>
    <row r="504" spans="1:32" x14ac:dyDescent="0.25">
      <c r="A504" s="308">
        <v>45256</v>
      </c>
      <c r="B504" s="305">
        <v>1130196</v>
      </c>
      <c r="C504" s="412" t="str">
        <f>IFERROR(INDEX(Table14[],MATCH($B504,Table14[SAPNo],0),3),"")</f>
        <v>Round 1313 CT182  0.018" (S)</v>
      </c>
      <c r="D504" s="306"/>
      <c r="E504" s="305">
        <v>22</v>
      </c>
      <c r="F504" s="305"/>
      <c r="G504" s="306" t="s">
        <v>1246</v>
      </c>
      <c r="H504" s="306">
        <v>14081902</v>
      </c>
      <c r="I504" s="306" t="s">
        <v>1092</v>
      </c>
      <c r="J504" s="248"/>
      <c r="K504" s="248"/>
      <c r="M504" s="248"/>
      <c r="AF504">
        <v>22</v>
      </c>
    </row>
    <row r="505" spans="1:32" x14ac:dyDescent="0.25">
      <c r="A505" s="308">
        <v>45256</v>
      </c>
      <c r="B505" s="305">
        <v>1146737</v>
      </c>
      <c r="C505" s="412" t="str">
        <f>IFERROR(INDEX(Table14[],MATCH($B505,Table14[SAPNo],0),3),"")</f>
        <v>1613 CT418 18-60</v>
      </c>
      <c r="D505" s="306"/>
      <c r="E505" s="305">
        <v>10</v>
      </c>
      <c r="F505" s="305"/>
      <c r="G505" s="306" t="s">
        <v>1246</v>
      </c>
      <c r="H505" s="306">
        <v>14081902</v>
      </c>
      <c r="I505" s="306" t="s">
        <v>1092</v>
      </c>
      <c r="J505" s="248"/>
      <c r="K505" s="248"/>
      <c r="M505" s="248"/>
      <c r="AF505">
        <v>10</v>
      </c>
    </row>
    <row r="506" spans="1:32" x14ac:dyDescent="0.25">
      <c r="A506" s="308">
        <v>45256</v>
      </c>
      <c r="B506" s="305">
        <v>1175118</v>
      </c>
      <c r="C506" s="412" t="str">
        <f>IFERROR(INDEX(Table14[],MATCH($B506,Table14[SAPNo],0),3),"")</f>
        <v>1613 CT147 18-60</v>
      </c>
      <c r="D506" s="306"/>
      <c r="E506" s="305">
        <v>30</v>
      </c>
      <c r="F506" s="305"/>
      <c r="G506" s="306" t="s">
        <v>1246</v>
      </c>
      <c r="H506" s="306">
        <v>14081902</v>
      </c>
      <c r="I506" s="306" t="s">
        <v>1092</v>
      </c>
      <c r="J506" s="248"/>
      <c r="K506" s="248"/>
      <c r="M506" s="248"/>
      <c r="AF506">
        <v>30</v>
      </c>
    </row>
    <row r="507" spans="1:32" x14ac:dyDescent="0.25">
      <c r="A507" s="308">
        <v>45256</v>
      </c>
      <c r="B507" s="305">
        <v>1209410</v>
      </c>
      <c r="C507" s="412" t="str">
        <f>IFERROR(INDEX(Table14[],MATCH($B507,Table14[SAPNo],0),3),"")</f>
        <v>1613 CT430MV3 U TBO</v>
      </c>
      <c r="D507" s="306"/>
      <c r="E507" s="305">
        <v>10</v>
      </c>
      <c r="F507" s="305"/>
      <c r="G507" s="306" t="s">
        <v>1246</v>
      </c>
      <c r="H507" s="306">
        <v>14081902</v>
      </c>
      <c r="I507" s="306" t="s">
        <v>1092</v>
      </c>
      <c r="J507" s="248"/>
      <c r="K507" s="248"/>
      <c r="M507" s="248"/>
      <c r="AF507">
        <v>10</v>
      </c>
    </row>
    <row r="508" spans="1:32" x14ac:dyDescent="0.25">
      <c r="A508" s="308">
        <v>45256</v>
      </c>
      <c r="B508" s="305">
        <v>871781</v>
      </c>
      <c r="C508" s="412" t="str">
        <f>IFERROR(INDEX(Table14[],MATCH($B508,Table14[SAPNo],0),3),"")</f>
        <v>Round 1313 CT200  0.018" (B)</v>
      </c>
      <c r="D508" s="306"/>
      <c r="E508" s="305">
        <v>5</v>
      </c>
      <c r="F508" s="305"/>
      <c r="G508" s="306" t="s">
        <v>1246</v>
      </c>
      <c r="H508" s="306">
        <v>14081902</v>
      </c>
      <c r="I508" s="306" t="s">
        <v>1092</v>
      </c>
      <c r="J508" s="248"/>
      <c r="K508" s="248"/>
      <c r="M508" s="248"/>
      <c r="AF508">
        <v>5</v>
      </c>
    </row>
    <row r="509" spans="1:32" x14ac:dyDescent="0.25">
      <c r="A509" s="308">
        <v>45257</v>
      </c>
      <c r="B509" s="305">
        <v>1209332</v>
      </c>
      <c r="C509" s="412" t="str">
        <f>IFERROR(INDEX(Table14[],MATCH($B509,Table14[SAPNo],0),3),"")</f>
        <v>1313 CT147G U</v>
      </c>
      <c r="D509" s="306"/>
      <c r="E509" s="305">
        <v>1</v>
      </c>
      <c r="F509" s="305"/>
      <c r="G509" s="306" t="s">
        <v>1247</v>
      </c>
      <c r="H509" s="306" t="s">
        <v>1088</v>
      </c>
      <c r="I509" s="306" t="s">
        <v>1093</v>
      </c>
      <c r="J509" s="248"/>
      <c r="K509" s="248"/>
      <c r="M509" s="248"/>
      <c r="AF509">
        <v>1</v>
      </c>
    </row>
    <row r="510" spans="1:32" x14ac:dyDescent="0.25">
      <c r="A510" s="308">
        <v>45257</v>
      </c>
      <c r="B510" s="305">
        <v>418525</v>
      </c>
      <c r="C510" s="412" t="str">
        <f>IFERROR(INDEX(Table14[],MATCH($B510,Table14[SAPNo],0),3),"")</f>
        <v>Drop In 1308 CT31   (B)</v>
      </c>
      <c r="D510" s="306"/>
      <c r="E510" s="305">
        <v>2</v>
      </c>
      <c r="F510" s="305"/>
      <c r="G510" s="306" t="s">
        <v>1247</v>
      </c>
      <c r="H510" s="306" t="s">
        <v>1088</v>
      </c>
      <c r="I510" s="306" t="s">
        <v>1093</v>
      </c>
      <c r="J510" s="248"/>
      <c r="K510" s="248"/>
      <c r="M510" s="248"/>
      <c r="AF510">
        <v>2</v>
      </c>
    </row>
    <row r="511" spans="1:32" x14ac:dyDescent="0.25">
      <c r="A511" s="308">
        <v>45257</v>
      </c>
      <c r="B511" s="305">
        <v>882800</v>
      </c>
      <c r="C511" s="412" t="str">
        <f>IFERROR(INDEX(Table14[],MATCH($B511,Table14[SAPNo],0),3),"")</f>
        <v>Round 0808 CT80  0.018" (B)</v>
      </c>
      <c r="D511" s="306"/>
      <c r="E511" s="305">
        <v>10</v>
      </c>
      <c r="F511" s="305"/>
      <c r="G511" s="306" t="s">
        <v>1248</v>
      </c>
      <c r="H511" s="306">
        <v>14036259</v>
      </c>
      <c r="I511" s="306" t="s">
        <v>1199</v>
      </c>
      <c r="J511" s="248"/>
      <c r="K511" s="248"/>
      <c r="M511" s="248"/>
      <c r="AF511">
        <v>10</v>
      </c>
    </row>
    <row r="512" spans="1:32" x14ac:dyDescent="0.25">
      <c r="A512" s="308">
        <v>45257</v>
      </c>
      <c r="B512" s="305">
        <v>1130194</v>
      </c>
      <c r="C512" s="412" t="str">
        <f>IFERROR(INDEX(Table14[],MATCH($B512,Table14[SAPNo],0),3),"")</f>
        <v>1010 CT182 18C</v>
      </c>
      <c r="D512" s="306"/>
      <c r="E512" s="305">
        <v>26</v>
      </c>
      <c r="F512" s="305"/>
      <c r="G512" s="306" t="s">
        <v>1248</v>
      </c>
      <c r="H512" s="306">
        <v>14036259</v>
      </c>
      <c r="I512" s="306" t="s">
        <v>1199</v>
      </c>
      <c r="J512" s="248"/>
      <c r="K512" s="248"/>
      <c r="M512" s="248"/>
      <c r="AF512">
        <v>26</v>
      </c>
    </row>
    <row r="513" spans="1:32" x14ac:dyDescent="0.25">
      <c r="A513" s="308">
        <v>45257</v>
      </c>
      <c r="B513" s="305">
        <v>1130193</v>
      </c>
      <c r="C513" s="412" t="str">
        <f>IFERROR(INDEX(Table14[],MATCH($B513,Table14[SAPNo],0),3),"")</f>
        <v xml:space="preserve"> 1005 CT182  0.018 (S)</v>
      </c>
      <c r="D513" s="306"/>
      <c r="E513" s="305">
        <v>8</v>
      </c>
      <c r="F513" s="305"/>
      <c r="G513" s="306" t="s">
        <v>1248</v>
      </c>
      <c r="H513" s="306">
        <v>14036259</v>
      </c>
      <c r="I513" s="306" t="s">
        <v>1199</v>
      </c>
      <c r="J513" s="248"/>
      <c r="K513" s="248"/>
      <c r="M513" s="248"/>
      <c r="AF513">
        <v>8</v>
      </c>
    </row>
    <row r="514" spans="1:32" x14ac:dyDescent="0.25">
      <c r="A514" s="308">
        <v>45257</v>
      </c>
      <c r="B514" s="305">
        <v>717748</v>
      </c>
      <c r="C514" s="412" t="str">
        <f>IFERROR(INDEX(Table14[],MATCH($B514,Table14[SAPNo],0),3),"")</f>
        <v>Round 1010 CT200  0.018" (B)</v>
      </c>
      <c r="D514" s="306"/>
      <c r="E514" s="305">
        <v>23</v>
      </c>
      <c r="F514" s="305"/>
      <c r="G514" s="306" t="s">
        <v>1249</v>
      </c>
      <c r="H514" s="306">
        <v>14036250</v>
      </c>
      <c r="I514" s="306" t="s">
        <v>1137</v>
      </c>
      <c r="J514" s="248"/>
      <c r="K514" s="248"/>
      <c r="M514" s="248"/>
      <c r="AF514">
        <v>23</v>
      </c>
    </row>
    <row r="515" spans="1:32" x14ac:dyDescent="0.25">
      <c r="A515" s="308">
        <v>45257</v>
      </c>
      <c r="B515" s="305">
        <v>773384</v>
      </c>
      <c r="C515" s="412" t="str">
        <f>IFERROR(INDEX(Table14[],MATCH($B515,Table14[SAPNo],0),3),"")</f>
        <v>Round 1005 CT200  0.018" (B)</v>
      </c>
      <c r="D515" s="306"/>
      <c r="E515" s="305">
        <v>10</v>
      </c>
      <c r="F515" s="305"/>
      <c r="G515" s="306" t="s">
        <v>1249</v>
      </c>
      <c r="H515" s="306">
        <v>14036250</v>
      </c>
      <c r="I515" s="306" t="s">
        <v>1137</v>
      </c>
      <c r="J515" s="248"/>
      <c r="K515" s="248"/>
      <c r="M515" s="248"/>
      <c r="AF515">
        <v>10</v>
      </c>
    </row>
    <row r="516" spans="1:32" x14ac:dyDescent="0.25">
      <c r="A516" s="320">
        <v>45257</v>
      </c>
      <c r="B516" s="321">
        <v>882800</v>
      </c>
      <c r="C516" s="413" t="str">
        <f>IFERROR(INDEX(Table14[],MATCH($B516,Table14[SAPNo],0),3),"")</f>
        <v>Round 0808 CT80  0.018" (B)</v>
      </c>
      <c r="D516" s="306"/>
      <c r="E516" s="321">
        <v>10</v>
      </c>
      <c r="F516" s="321"/>
      <c r="G516" s="322" t="s">
        <v>1249</v>
      </c>
      <c r="H516" s="322">
        <v>14036250</v>
      </c>
      <c r="I516" s="322" t="s">
        <v>1137</v>
      </c>
      <c r="J516" s="248"/>
      <c r="K516" s="248"/>
      <c r="M516" s="248"/>
      <c r="AF516">
        <v>10</v>
      </c>
    </row>
    <row r="517" spans="1:32" x14ac:dyDescent="0.25">
      <c r="A517" s="320">
        <v>45257</v>
      </c>
      <c r="B517" s="321">
        <v>971055</v>
      </c>
      <c r="C517" s="413" t="str">
        <f>IFERROR(INDEX(Table14[],MATCH($B517,Table14[SAPNo],0),3),"")</f>
        <v>MED Bullet 10.5 CT217 MBL 0.018" (B)</v>
      </c>
      <c r="D517" s="306"/>
      <c r="E517" s="321">
        <v>0</v>
      </c>
      <c r="F517" s="321"/>
      <c r="G517" s="322" t="s">
        <v>1086</v>
      </c>
      <c r="H517" s="322" t="s">
        <v>1087</v>
      </c>
      <c r="I517" s="322" t="s">
        <v>1112</v>
      </c>
      <c r="J517" s="374">
        <v>2</v>
      </c>
      <c r="K517" s="248"/>
      <c r="M517" s="248"/>
      <c r="AF517">
        <v>0</v>
      </c>
    </row>
    <row r="518" spans="1:32" x14ac:dyDescent="0.25">
      <c r="A518" s="320">
        <v>45257</v>
      </c>
      <c r="B518" s="321">
        <v>1145493</v>
      </c>
      <c r="C518" s="413" t="str">
        <f>IFERROR(INDEX(Table14[],MATCH($B518,Table14[SAPNo],0),3),"")</f>
        <v>Round 1313 CT427  10C (S)</v>
      </c>
      <c r="D518" s="306"/>
      <c r="E518" s="321">
        <v>0</v>
      </c>
      <c r="F518" s="321"/>
      <c r="G518" s="322">
        <v>20231231</v>
      </c>
      <c r="H518" s="322" t="s">
        <v>1088</v>
      </c>
      <c r="I518" s="322" t="s">
        <v>1093</v>
      </c>
      <c r="J518" s="374">
        <v>2</v>
      </c>
      <c r="K518" s="248"/>
      <c r="M518" s="248"/>
      <c r="AF518">
        <v>0</v>
      </c>
    </row>
    <row r="519" spans="1:32" x14ac:dyDescent="0.25">
      <c r="A519" s="308">
        <v>45258</v>
      </c>
      <c r="B519" s="416">
        <v>871781</v>
      </c>
      <c r="C519" s="413" t="str">
        <f>IFERROR(INDEX(Table14[],MATCH($B519,Table14[SAPNo],0),3),"")</f>
        <v>Round 1313 CT200  0.018" (B)</v>
      </c>
      <c r="D519" s="306"/>
      <c r="E519" s="421">
        <v>5</v>
      </c>
      <c r="F519" s="421"/>
      <c r="G519" s="417" t="s">
        <v>1250</v>
      </c>
      <c r="H519" s="598">
        <v>14081903</v>
      </c>
      <c r="I519" s="322" t="s">
        <v>1092</v>
      </c>
      <c r="J519" s="418"/>
      <c r="K519" s="248"/>
      <c r="M519" s="248"/>
      <c r="Q519"/>
      <c r="R519"/>
      <c r="S519"/>
      <c r="W519"/>
      <c r="X519"/>
      <c r="Y519"/>
      <c r="Z519"/>
      <c r="AA519"/>
      <c r="AF519">
        <v>5</v>
      </c>
    </row>
    <row r="520" spans="1:32" x14ac:dyDescent="0.25">
      <c r="A520" s="308">
        <v>45258</v>
      </c>
      <c r="B520" s="416">
        <v>1209410</v>
      </c>
      <c r="C520" s="413" t="str">
        <f>IFERROR(INDEX(Table14[],MATCH($B520,Table14[SAPNo],0),3),"")</f>
        <v>1613 CT430MV3 U TBO</v>
      </c>
      <c r="D520" s="306"/>
      <c r="E520" s="421">
        <v>10</v>
      </c>
      <c r="F520" s="421"/>
      <c r="G520" s="417" t="s">
        <v>1250</v>
      </c>
      <c r="H520" s="598">
        <v>14081903</v>
      </c>
      <c r="I520" s="322" t="s">
        <v>1092</v>
      </c>
      <c r="J520" s="418"/>
      <c r="K520" s="248"/>
      <c r="M520" s="248"/>
      <c r="Q520"/>
      <c r="R520"/>
      <c r="S520"/>
      <c r="W520"/>
      <c r="X520"/>
      <c r="Y520"/>
      <c r="Z520"/>
      <c r="AA520"/>
      <c r="AF520">
        <v>10</v>
      </c>
    </row>
    <row r="521" spans="1:32" x14ac:dyDescent="0.25">
      <c r="A521" s="308">
        <v>45258</v>
      </c>
      <c r="B521" s="416">
        <v>1175118</v>
      </c>
      <c r="C521" s="413" t="str">
        <f>IFERROR(INDEX(Table14[],MATCH($B521,Table14[SAPNo],0),3),"")</f>
        <v>1613 CT147 18-60</v>
      </c>
      <c r="D521" s="306"/>
      <c r="E521" s="421">
        <v>30</v>
      </c>
      <c r="F521" s="421"/>
      <c r="G521" s="417" t="s">
        <v>1250</v>
      </c>
      <c r="H521" s="598">
        <v>14081903</v>
      </c>
      <c r="I521" s="322" t="s">
        <v>1092</v>
      </c>
      <c r="J521" s="418"/>
      <c r="K521" s="248"/>
      <c r="M521" s="248"/>
      <c r="Q521"/>
      <c r="R521"/>
      <c r="S521"/>
      <c r="W521"/>
      <c r="X521"/>
      <c r="Y521"/>
      <c r="Z521"/>
      <c r="AA521"/>
      <c r="AF521">
        <v>30</v>
      </c>
    </row>
    <row r="522" spans="1:32" x14ac:dyDescent="0.25">
      <c r="A522" s="308">
        <v>45258</v>
      </c>
      <c r="B522" s="416">
        <v>1146737</v>
      </c>
      <c r="C522" s="413" t="str">
        <f>IFERROR(INDEX(Table14[],MATCH($B522,Table14[SAPNo],0),3),"")</f>
        <v>1613 CT418 18-60</v>
      </c>
      <c r="D522" s="306"/>
      <c r="E522" s="421">
        <v>10</v>
      </c>
      <c r="F522" s="421"/>
      <c r="G522" s="417" t="s">
        <v>1250</v>
      </c>
      <c r="H522" s="598">
        <v>14081903</v>
      </c>
      <c r="I522" s="322" t="s">
        <v>1092</v>
      </c>
      <c r="J522" s="418"/>
      <c r="K522" s="248"/>
      <c r="M522" s="248"/>
      <c r="AF522">
        <v>10</v>
      </c>
    </row>
    <row r="523" spans="1:32" x14ac:dyDescent="0.25">
      <c r="A523" s="320">
        <v>45258</v>
      </c>
      <c r="B523" s="419">
        <v>1130196</v>
      </c>
      <c r="C523" s="413" t="str">
        <f>IFERROR(INDEX(Table14[],MATCH($B523,Table14[SAPNo],0),3),"")</f>
        <v>Round 1313 CT182  0.018" (S)</v>
      </c>
      <c r="D523" s="306"/>
      <c r="E523" s="421">
        <v>22</v>
      </c>
      <c r="F523" s="421"/>
      <c r="G523" s="420" t="s">
        <v>1250</v>
      </c>
      <c r="H523" s="599">
        <v>14081903</v>
      </c>
      <c r="I523" s="322" t="s">
        <v>1092</v>
      </c>
      <c r="J523" s="421"/>
      <c r="K523" s="422"/>
      <c r="M523" s="422"/>
      <c r="AF523">
        <v>22</v>
      </c>
    </row>
    <row r="524" spans="1:32" x14ac:dyDescent="0.25">
      <c r="A524" s="320">
        <v>45258</v>
      </c>
      <c r="B524" s="419">
        <v>802064</v>
      </c>
      <c r="C524" s="413" t="str">
        <f>IFERROR(INDEX(Table14[],MATCH($B524,Table14[SAPNo],0),3),"")</f>
        <v>Round 1308 CT97  10C (P)</v>
      </c>
      <c r="D524" s="306"/>
      <c r="E524" s="421">
        <v>0</v>
      </c>
      <c r="F524" s="421"/>
      <c r="G524" s="420" t="s">
        <v>1251</v>
      </c>
      <c r="H524" s="599" t="s">
        <v>1252</v>
      </c>
      <c r="I524" s="322" t="s">
        <v>1253</v>
      </c>
      <c r="J524" s="421">
        <v>1</v>
      </c>
      <c r="K524" s="422"/>
      <c r="M524" s="422"/>
      <c r="AF524">
        <v>0</v>
      </c>
    </row>
    <row r="525" spans="1:32" x14ac:dyDescent="0.25">
      <c r="A525" s="308">
        <v>45259</v>
      </c>
      <c r="B525" s="416">
        <v>418525</v>
      </c>
      <c r="C525" s="413" t="str">
        <f>IFERROR(INDEX(Table14[],MATCH($B525,Table14[SAPNo],0),3),"")</f>
        <v>Drop In 1308 CT31   (B)</v>
      </c>
      <c r="D525" s="306"/>
      <c r="E525" s="421">
        <v>8</v>
      </c>
      <c r="F525" s="421"/>
      <c r="G525" s="417" t="s">
        <v>1254</v>
      </c>
      <c r="H525" s="598">
        <v>14074754</v>
      </c>
      <c r="I525" s="322" t="s">
        <v>1255</v>
      </c>
      <c r="J525" s="418"/>
      <c r="K525" s="248"/>
      <c r="M525" s="248"/>
      <c r="AF525">
        <v>8</v>
      </c>
    </row>
    <row r="526" spans="1:32" x14ac:dyDescent="0.25">
      <c r="A526" s="308">
        <v>45259</v>
      </c>
      <c r="B526" s="416">
        <v>1146737</v>
      </c>
      <c r="C526" s="413" t="str">
        <f>IFERROR(INDEX(Table14[],MATCH($B526,Table14[SAPNo],0),3),"")</f>
        <v>1613 CT418 18-60</v>
      </c>
      <c r="D526" s="306"/>
      <c r="E526" s="421">
        <v>39</v>
      </c>
      <c r="F526" s="421"/>
      <c r="G526" s="417" t="s">
        <v>1254</v>
      </c>
      <c r="H526" s="598">
        <v>14074754</v>
      </c>
      <c r="I526" s="322" t="s">
        <v>1255</v>
      </c>
      <c r="J526" s="418"/>
      <c r="K526" s="248"/>
      <c r="M526" s="248"/>
      <c r="AF526">
        <v>39</v>
      </c>
    </row>
    <row r="527" spans="1:32" x14ac:dyDescent="0.25">
      <c r="A527" s="308">
        <v>45259</v>
      </c>
      <c r="B527" s="416">
        <v>1175118</v>
      </c>
      <c r="C527" s="413" t="str">
        <f>IFERROR(INDEX(Table14[],MATCH($B527,Table14[SAPNo],0),3),"")</f>
        <v>1613 CT147 18-60</v>
      </c>
      <c r="D527" s="306"/>
      <c r="E527" s="421">
        <v>53</v>
      </c>
      <c r="F527" s="421"/>
      <c r="G527" s="417" t="s">
        <v>1254</v>
      </c>
      <c r="H527" s="598">
        <v>14074754</v>
      </c>
      <c r="I527" s="322" t="s">
        <v>1255</v>
      </c>
      <c r="J527" s="418"/>
      <c r="K527" s="248"/>
      <c r="M527" s="248"/>
      <c r="AF527">
        <v>53</v>
      </c>
    </row>
    <row r="528" spans="1:32" x14ac:dyDescent="0.25">
      <c r="A528" s="308">
        <v>45259</v>
      </c>
      <c r="B528" s="416">
        <v>647436</v>
      </c>
      <c r="C528" s="413" t="str">
        <f>IFERROR(INDEX(Table14[],MATCH($B528,Table14[SAPNo],0),3),"")</f>
        <v>Round 1613 CT200  0.018" (B)</v>
      </c>
      <c r="D528" s="306"/>
      <c r="E528" s="421">
        <v>64</v>
      </c>
      <c r="F528" s="421"/>
      <c r="G528" s="417" t="s">
        <v>1254</v>
      </c>
      <c r="H528" s="598">
        <v>14074754</v>
      </c>
      <c r="I528" s="322" t="s">
        <v>1255</v>
      </c>
      <c r="J528" s="418"/>
      <c r="K528" s="248"/>
      <c r="M528" s="248"/>
      <c r="AF528">
        <v>64</v>
      </c>
    </row>
    <row r="529" spans="1:32" x14ac:dyDescent="0.25">
      <c r="A529" s="308">
        <v>45259</v>
      </c>
      <c r="B529" s="416">
        <v>647435</v>
      </c>
      <c r="C529" s="413" t="str">
        <f>IFERROR(INDEX(Table14[],MATCH($B529,Table14[SAPNo],0),3),"")</f>
        <v>Round 1608 CT200  0.018" (B)</v>
      </c>
      <c r="D529" s="306"/>
      <c r="E529" s="421">
        <v>16</v>
      </c>
      <c r="F529" s="421"/>
      <c r="G529" s="417" t="s">
        <v>1254</v>
      </c>
      <c r="H529" s="598">
        <v>14074754</v>
      </c>
      <c r="I529" s="322" t="s">
        <v>1255</v>
      </c>
      <c r="J529" s="418"/>
      <c r="K529" s="248"/>
      <c r="M529" s="248"/>
      <c r="AF529">
        <v>16</v>
      </c>
    </row>
    <row r="530" spans="1:32" x14ac:dyDescent="0.25">
      <c r="A530" s="308">
        <v>45259</v>
      </c>
      <c r="B530" s="416">
        <v>1146737</v>
      </c>
      <c r="C530" s="413" t="str">
        <f>IFERROR(INDEX(Table14[],MATCH($B530,Table14[SAPNo],0),3),"")</f>
        <v>1613 CT418 18-60</v>
      </c>
      <c r="D530" s="306"/>
      <c r="E530" s="421">
        <v>39</v>
      </c>
      <c r="F530" s="421"/>
      <c r="G530" s="417" t="s">
        <v>1256</v>
      </c>
      <c r="H530" s="598">
        <v>14074755</v>
      </c>
      <c r="I530" s="322" t="s">
        <v>1255</v>
      </c>
      <c r="J530" s="418"/>
      <c r="K530" s="248"/>
      <c r="M530" s="248"/>
      <c r="AF530">
        <v>39</v>
      </c>
    </row>
    <row r="531" spans="1:32" x14ac:dyDescent="0.25">
      <c r="A531" s="308">
        <v>45259</v>
      </c>
      <c r="B531" s="416">
        <v>418525</v>
      </c>
      <c r="C531" s="413" t="str">
        <f>IFERROR(INDEX(Table14[],MATCH($B531,Table14[SAPNo],0),3),"")</f>
        <v>Drop In 1308 CT31   (B)</v>
      </c>
      <c r="D531" s="306"/>
      <c r="E531" s="421">
        <v>8</v>
      </c>
      <c r="F531" s="421"/>
      <c r="G531" s="417" t="s">
        <v>1256</v>
      </c>
      <c r="H531" s="598">
        <v>14074755</v>
      </c>
      <c r="I531" s="322" t="s">
        <v>1255</v>
      </c>
      <c r="J531" s="418"/>
      <c r="K531" s="248"/>
      <c r="M531" s="248"/>
      <c r="AF531">
        <v>8</v>
      </c>
    </row>
    <row r="532" spans="1:32" x14ac:dyDescent="0.25">
      <c r="A532" s="308">
        <v>45259</v>
      </c>
      <c r="B532" s="416">
        <v>647435</v>
      </c>
      <c r="C532" s="413" t="str">
        <f>IFERROR(INDEX(Table14[],MATCH($B532,Table14[SAPNo],0),3),"")</f>
        <v>Round 1608 CT200  0.018" (B)</v>
      </c>
      <c r="D532" s="306"/>
      <c r="E532" s="421">
        <v>16</v>
      </c>
      <c r="F532" s="421"/>
      <c r="G532" s="417" t="s">
        <v>1256</v>
      </c>
      <c r="H532" s="598">
        <v>14074755</v>
      </c>
      <c r="I532" s="322" t="s">
        <v>1255</v>
      </c>
      <c r="J532" s="418"/>
      <c r="K532" s="248"/>
      <c r="M532" s="248"/>
      <c r="AF532">
        <v>16</v>
      </c>
    </row>
    <row r="533" spans="1:32" x14ac:dyDescent="0.25">
      <c r="A533" s="308">
        <v>45259</v>
      </c>
      <c r="B533" s="416">
        <v>647436</v>
      </c>
      <c r="C533" s="413" t="str">
        <f>IFERROR(INDEX(Table14[],MATCH($B533,Table14[SAPNo],0),3),"")</f>
        <v>Round 1613 CT200  0.018" (B)</v>
      </c>
      <c r="D533" s="306"/>
      <c r="E533" s="421">
        <v>64</v>
      </c>
      <c r="F533" s="421"/>
      <c r="G533" s="417" t="s">
        <v>1256</v>
      </c>
      <c r="H533" s="598">
        <v>14074755</v>
      </c>
      <c r="I533" s="322" t="s">
        <v>1255</v>
      </c>
      <c r="J533" s="418"/>
      <c r="K533" s="248"/>
      <c r="M533" s="248"/>
      <c r="AF533">
        <v>64</v>
      </c>
    </row>
    <row r="534" spans="1:32" x14ac:dyDescent="0.25">
      <c r="A534" s="308">
        <v>45259</v>
      </c>
      <c r="B534" s="416">
        <v>1175118</v>
      </c>
      <c r="C534" s="413" t="str">
        <f>IFERROR(INDEX(Table14[],MATCH($B534,Table14[SAPNo],0),3),"")</f>
        <v>1613 CT147 18-60</v>
      </c>
      <c r="D534" s="306"/>
      <c r="E534" s="421">
        <v>53</v>
      </c>
      <c r="F534" s="421"/>
      <c r="G534" s="417" t="s">
        <v>1256</v>
      </c>
      <c r="H534" s="598">
        <v>14074755</v>
      </c>
      <c r="I534" s="322" t="s">
        <v>1255</v>
      </c>
      <c r="J534" s="418"/>
      <c r="K534" s="248"/>
      <c r="M534" s="248"/>
      <c r="AF534">
        <v>53</v>
      </c>
    </row>
    <row r="535" spans="1:32" x14ac:dyDescent="0.25">
      <c r="A535" s="308">
        <v>45259</v>
      </c>
      <c r="B535" s="416">
        <v>882800</v>
      </c>
      <c r="C535" s="413" t="str">
        <f>IFERROR(INDEX(Table14[],MATCH($B535,Table14[SAPNo],0),3),"")</f>
        <v>Round 0808 CT80  0.018" (B)</v>
      </c>
      <c r="D535" s="306"/>
      <c r="E535" s="421">
        <v>10</v>
      </c>
      <c r="F535" s="421"/>
      <c r="G535" s="417" t="s">
        <v>1257</v>
      </c>
      <c r="H535" s="598">
        <v>14036249</v>
      </c>
      <c r="I535" s="322" t="s">
        <v>1258</v>
      </c>
      <c r="J535" s="418"/>
      <c r="K535" s="248"/>
      <c r="M535" s="248"/>
      <c r="AF535">
        <v>10</v>
      </c>
    </row>
    <row r="536" spans="1:32" x14ac:dyDescent="0.25">
      <c r="A536" s="308">
        <v>45259</v>
      </c>
      <c r="B536" s="416">
        <v>717748</v>
      </c>
      <c r="C536" s="413" t="str">
        <f>IFERROR(INDEX(Table14[],MATCH($B536,Table14[SAPNo],0),3),"")</f>
        <v>Round 1010 CT200  0.018" (B)</v>
      </c>
      <c r="D536" s="306"/>
      <c r="E536" s="421">
        <v>23</v>
      </c>
      <c r="F536" s="421"/>
      <c r="G536" s="417" t="s">
        <v>1257</v>
      </c>
      <c r="H536" s="598">
        <v>14036249</v>
      </c>
      <c r="I536" s="322" t="s">
        <v>1258</v>
      </c>
      <c r="J536" s="418"/>
      <c r="K536" s="248"/>
      <c r="M536" s="248"/>
      <c r="AF536">
        <v>23</v>
      </c>
    </row>
    <row r="537" spans="1:32" x14ac:dyDescent="0.25">
      <c r="A537" s="308">
        <v>45259</v>
      </c>
      <c r="B537" s="416">
        <v>773384</v>
      </c>
      <c r="C537" s="413" t="str">
        <f>IFERROR(INDEX(Table14[],MATCH($B537,Table14[SAPNo],0),3),"")</f>
        <v>Round 1005 CT200  0.018" (B)</v>
      </c>
      <c r="D537" s="306"/>
      <c r="E537" s="421">
        <v>10</v>
      </c>
      <c r="F537" s="421"/>
      <c r="G537" s="417" t="s">
        <v>1257</v>
      </c>
      <c r="H537" s="598">
        <v>14036249</v>
      </c>
      <c r="I537" s="322" t="s">
        <v>1258</v>
      </c>
      <c r="J537" s="418"/>
      <c r="K537" s="248"/>
      <c r="M537" s="248"/>
      <c r="AF537">
        <v>10</v>
      </c>
    </row>
    <row r="538" spans="1:32" x14ac:dyDescent="0.25">
      <c r="A538" s="308">
        <v>45260</v>
      </c>
      <c r="B538" s="416">
        <v>1129936</v>
      </c>
      <c r="C538" s="413" t="str">
        <f>IFERROR(INDEX(Table14[],MATCH($B538,Table14[SAPNo],0),3),"")</f>
        <v>Round 1005 CT182  10C (S)</v>
      </c>
      <c r="D538" s="306"/>
      <c r="E538" s="421">
        <v>14</v>
      </c>
      <c r="F538" s="421"/>
      <c r="G538" s="417" t="s">
        <v>1259</v>
      </c>
      <c r="H538" s="598">
        <v>13955543</v>
      </c>
      <c r="I538" s="322" t="s">
        <v>1260</v>
      </c>
      <c r="J538" s="418"/>
      <c r="K538" s="248"/>
      <c r="M538" s="248"/>
      <c r="AF538">
        <v>14</v>
      </c>
    </row>
    <row r="539" spans="1:32" x14ac:dyDescent="0.25">
      <c r="A539" s="308">
        <v>45260</v>
      </c>
      <c r="B539" s="416">
        <v>1130217</v>
      </c>
      <c r="C539" s="413" t="str">
        <f>IFERROR(INDEX(Table14[],MATCH($B539,Table14[SAPNo],0),3),"")</f>
        <v>Round 1010 CT182   10C (S)</v>
      </c>
      <c r="D539" s="306"/>
      <c r="E539" s="421">
        <v>19</v>
      </c>
      <c r="F539" s="421"/>
      <c r="G539" s="417" t="s">
        <v>1259</v>
      </c>
      <c r="H539" s="598">
        <v>13955543</v>
      </c>
      <c r="I539" s="322" t="s">
        <v>1260</v>
      </c>
      <c r="J539" s="418"/>
      <c r="K539" s="248"/>
      <c r="M539" s="248"/>
      <c r="AF539">
        <v>19</v>
      </c>
    </row>
    <row r="540" spans="1:32" x14ac:dyDescent="0.25">
      <c r="A540" s="308">
        <v>45260</v>
      </c>
      <c r="B540" s="416">
        <v>1130217</v>
      </c>
      <c r="C540" s="413" t="str">
        <f>IFERROR(INDEX(Table14[],MATCH($B540,Table14[SAPNo],0),3),"")</f>
        <v>Round 1010 CT182   10C (S)</v>
      </c>
      <c r="D540" s="306"/>
      <c r="E540" s="421">
        <v>19</v>
      </c>
      <c r="F540" s="421"/>
      <c r="G540" s="417" t="s">
        <v>1261</v>
      </c>
      <c r="H540" s="598">
        <v>13970777</v>
      </c>
      <c r="I540" s="322" t="s">
        <v>1260</v>
      </c>
      <c r="J540" s="418"/>
      <c r="K540" s="248"/>
      <c r="M540" s="248"/>
      <c r="AF540">
        <v>19</v>
      </c>
    </row>
    <row r="541" spans="1:32" x14ac:dyDescent="0.25">
      <c r="A541" s="308">
        <v>45260</v>
      </c>
      <c r="B541" s="419">
        <v>1129936</v>
      </c>
      <c r="C541" s="413" t="str">
        <f>IFERROR(INDEX(Table14[],MATCH($B541,Table14[SAPNo],0),3),"")</f>
        <v>Round 1005 CT182  10C (S)</v>
      </c>
      <c r="D541" s="306"/>
      <c r="E541" s="421">
        <v>14</v>
      </c>
      <c r="F541" s="421"/>
      <c r="G541" s="420" t="s">
        <v>1261</v>
      </c>
      <c r="H541" s="599">
        <v>13970777</v>
      </c>
      <c r="I541" s="322" t="s">
        <v>1260</v>
      </c>
      <c r="J541" s="421"/>
      <c r="K541" s="422"/>
      <c r="M541" s="422"/>
      <c r="AF541">
        <v>14</v>
      </c>
    </row>
    <row r="542" spans="1:32" x14ac:dyDescent="0.25">
      <c r="A542" s="320">
        <v>45262</v>
      </c>
      <c r="B542" s="419">
        <v>1144689</v>
      </c>
      <c r="C542" s="413" t="str">
        <f>IFERROR(INDEX(Table14[],MATCH($B542,Table14[SAPNo],0),3),"")</f>
        <v>Round 1308 CT153/CR42 Test Cutter 10C (T)</v>
      </c>
      <c r="D542" s="306"/>
      <c r="E542" s="421">
        <v>7</v>
      </c>
      <c r="F542" s="421"/>
      <c r="G542" s="420" t="s">
        <v>1262</v>
      </c>
      <c r="H542" s="599">
        <v>13730513</v>
      </c>
      <c r="I542" s="322" t="s">
        <v>1203</v>
      </c>
      <c r="J542" s="421"/>
      <c r="K542" s="422"/>
      <c r="M542" s="422"/>
      <c r="AF542">
        <v>7</v>
      </c>
    </row>
    <row r="543" spans="1:32" x14ac:dyDescent="0.25">
      <c r="A543" s="320">
        <v>45264</v>
      </c>
      <c r="B543" s="419">
        <v>1145493</v>
      </c>
      <c r="C543" s="413" t="str">
        <f>IFERROR(INDEX(Table14[],MATCH($B543,Table14[SAPNo],0),3),"")</f>
        <v>Round 1313 CT427  10C (S)</v>
      </c>
      <c r="D543" s="306"/>
      <c r="E543" s="421">
        <v>0</v>
      </c>
      <c r="F543" s="421"/>
      <c r="G543" s="420">
        <v>20231234</v>
      </c>
      <c r="H543" s="599" t="s">
        <v>1263</v>
      </c>
      <c r="I543" s="322" t="s">
        <v>1264</v>
      </c>
      <c r="J543" s="421">
        <v>1</v>
      </c>
      <c r="K543" s="422"/>
      <c r="M543" s="422"/>
      <c r="AF543">
        <v>0</v>
      </c>
    </row>
    <row r="544" spans="1:32" x14ac:dyDescent="0.25">
      <c r="A544" s="320">
        <v>45264</v>
      </c>
      <c r="B544" s="419">
        <v>1209332</v>
      </c>
      <c r="C544" s="413" t="str">
        <f>IFERROR(INDEX(Table14[],MATCH($B544,Table14[SAPNo],0),3),"")</f>
        <v>1313 CT147G U</v>
      </c>
      <c r="D544" s="306"/>
      <c r="E544" s="421">
        <v>7</v>
      </c>
      <c r="F544" s="421"/>
      <c r="G544" s="420">
        <v>20231234</v>
      </c>
      <c r="H544" s="599" t="s">
        <v>1263</v>
      </c>
      <c r="I544" s="322" t="s">
        <v>1264</v>
      </c>
      <c r="J544" s="421"/>
      <c r="K544" s="422"/>
      <c r="M544" s="422"/>
      <c r="AF544">
        <v>7</v>
      </c>
    </row>
    <row r="545" spans="1:32" x14ac:dyDescent="0.25">
      <c r="A545" s="320">
        <v>45264</v>
      </c>
      <c r="B545" s="419">
        <v>1145493</v>
      </c>
      <c r="C545" s="413" t="str">
        <f>IFERROR(INDEX(Table14[],MATCH($B545,Table14[SAPNo],0),3),"")</f>
        <v>Round 1313 CT427  10C (S)</v>
      </c>
      <c r="D545" s="306"/>
      <c r="E545" s="421">
        <v>0</v>
      </c>
      <c r="F545" s="421"/>
      <c r="G545" s="420">
        <v>20231236</v>
      </c>
      <c r="H545" s="599" t="s">
        <v>1265</v>
      </c>
      <c r="I545" s="322" t="s">
        <v>1266</v>
      </c>
      <c r="J545" s="421">
        <v>2</v>
      </c>
      <c r="K545" s="422"/>
      <c r="M545" s="422"/>
      <c r="AF545">
        <v>0</v>
      </c>
    </row>
    <row r="546" spans="1:32" x14ac:dyDescent="0.25">
      <c r="A546" s="320">
        <v>45264</v>
      </c>
      <c r="B546" s="419">
        <v>1209332</v>
      </c>
      <c r="C546" s="413" t="str">
        <f>IFERROR(INDEX(Table14[],MATCH($B546,Table14[SAPNo],0),3),"")</f>
        <v>1313 CT147G U</v>
      </c>
      <c r="D546" s="306"/>
      <c r="E546" s="421">
        <v>1</v>
      </c>
      <c r="F546" s="421"/>
      <c r="G546" s="420">
        <v>20231236</v>
      </c>
      <c r="H546" s="599" t="s">
        <v>1265</v>
      </c>
      <c r="I546" s="322" t="s">
        <v>1266</v>
      </c>
      <c r="J546" s="421"/>
      <c r="K546" s="422"/>
      <c r="M546" s="422"/>
      <c r="AF546">
        <v>1</v>
      </c>
    </row>
    <row r="547" spans="1:32" x14ac:dyDescent="0.25">
      <c r="A547" s="320">
        <v>45264</v>
      </c>
      <c r="B547" s="419">
        <v>717748</v>
      </c>
      <c r="C547" s="413" t="str">
        <f>IFERROR(INDEX(Table14[],MATCH($B547,Table14[SAPNo],0),3),"")</f>
        <v>Round 1010 CT200  0.018" (B)</v>
      </c>
      <c r="D547" s="306"/>
      <c r="E547" s="421">
        <v>0</v>
      </c>
      <c r="F547" s="421"/>
      <c r="G547" s="420">
        <v>20231235</v>
      </c>
      <c r="H547" s="599" t="s">
        <v>1267</v>
      </c>
      <c r="I547" s="322" t="s">
        <v>1268</v>
      </c>
      <c r="J547" s="421">
        <v>11</v>
      </c>
      <c r="K547" s="422"/>
      <c r="M547" s="422"/>
      <c r="AF547">
        <v>0</v>
      </c>
    </row>
    <row r="548" spans="1:32" x14ac:dyDescent="0.25">
      <c r="A548" s="320">
        <v>45262</v>
      </c>
      <c r="B548" s="419">
        <v>717748</v>
      </c>
      <c r="C548" s="413" t="str">
        <f>IFERROR(INDEX(Table14[],MATCH($B548,Table14[SAPNo],0),3),"")</f>
        <v>Round 1010 CT200  0.018" (B)</v>
      </c>
      <c r="D548" s="306"/>
      <c r="E548" s="421">
        <v>1</v>
      </c>
      <c r="F548" s="421"/>
      <c r="G548" s="420" t="s">
        <v>1257</v>
      </c>
      <c r="H548" s="599">
        <v>14036249</v>
      </c>
      <c r="I548" s="322" t="s">
        <v>1258</v>
      </c>
      <c r="J548" s="421"/>
      <c r="K548" s="422"/>
      <c r="M548" s="422"/>
      <c r="AF548">
        <v>1</v>
      </c>
    </row>
    <row r="549" spans="1:32" x14ac:dyDescent="0.25">
      <c r="A549" s="320">
        <v>45262</v>
      </c>
      <c r="B549" s="419">
        <v>418525</v>
      </c>
      <c r="C549" s="413" t="str">
        <f>IFERROR(INDEX(Table14[],MATCH($B549,Table14[SAPNo],0),3),"")</f>
        <v>Drop In 1308 CT31   (B)</v>
      </c>
      <c r="D549" s="306"/>
      <c r="E549" s="421">
        <v>8</v>
      </c>
      <c r="F549" s="421"/>
      <c r="G549" s="420" t="s">
        <v>1269</v>
      </c>
      <c r="H549" s="599">
        <v>13888896</v>
      </c>
      <c r="I549" s="322" t="s">
        <v>1270</v>
      </c>
      <c r="J549" s="421"/>
      <c r="K549" s="422" t="s">
        <v>1209</v>
      </c>
      <c r="M549" s="422"/>
      <c r="AF549">
        <v>8</v>
      </c>
    </row>
    <row r="550" spans="1:32" x14ac:dyDescent="0.25">
      <c r="A550" s="308">
        <v>45262</v>
      </c>
      <c r="B550" s="416">
        <v>647436</v>
      </c>
      <c r="C550" s="413" t="str">
        <f>IFERROR(INDEX(Table14[],MATCH($B550,Table14[SAPNo],0),3),"")</f>
        <v>Round 1613 CT200  0.018" (B)</v>
      </c>
      <c r="D550" s="306"/>
      <c r="E550" s="421">
        <v>32</v>
      </c>
      <c r="F550" s="421"/>
      <c r="G550" s="417" t="s">
        <v>1269</v>
      </c>
      <c r="H550" s="598">
        <v>13888896</v>
      </c>
      <c r="I550" s="322" t="s">
        <v>1270</v>
      </c>
      <c r="J550" s="418"/>
      <c r="K550" s="248"/>
      <c r="M550" s="248"/>
      <c r="AF550">
        <v>32</v>
      </c>
    </row>
    <row r="551" spans="1:32" x14ac:dyDescent="0.25">
      <c r="A551" s="308">
        <v>45262</v>
      </c>
      <c r="B551" s="416">
        <v>1130198</v>
      </c>
      <c r="C551" s="413" t="str">
        <f>IFERROR(INDEX(Table14[],MATCH($B551,Table14[SAPNo],0),3),"")</f>
        <v>Round 1613 CT182  0.018" (S)</v>
      </c>
      <c r="D551" s="306"/>
      <c r="E551" s="421">
        <v>105</v>
      </c>
      <c r="F551" s="421"/>
      <c r="G551" s="417" t="s">
        <v>1269</v>
      </c>
      <c r="H551" s="598">
        <v>13888896</v>
      </c>
      <c r="I551" s="322" t="s">
        <v>1270</v>
      </c>
      <c r="J551" s="418"/>
      <c r="K551" s="248"/>
      <c r="M551" s="248"/>
      <c r="AF551">
        <v>105</v>
      </c>
    </row>
    <row r="552" spans="1:32" x14ac:dyDescent="0.25">
      <c r="A552" s="320">
        <v>45262</v>
      </c>
      <c r="B552" s="419">
        <v>418525</v>
      </c>
      <c r="C552" s="413" t="str">
        <f>IFERROR(INDEX(Table14[],MATCH($B552,Table14[SAPNo],0),3),"")</f>
        <v>Drop In 1308 CT31   (B)</v>
      </c>
      <c r="D552" s="306"/>
      <c r="E552" s="421">
        <v>8</v>
      </c>
      <c r="F552" s="421"/>
      <c r="G552" s="420" t="s">
        <v>1271</v>
      </c>
      <c r="H552" s="599">
        <v>13889235</v>
      </c>
      <c r="I552" s="322" t="s">
        <v>1270</v>
      </c>
      <c r="J552" s="421"/>
      <c r="K552" s="422"/>
      <c r="M552" s="422"/>
      <c r="AF552">
        <v>8</v>
      </c>
    </row>
    <row r="553" spans="1:32" x14ac:dyDescent="0.25">
      <c r="A553" s="308">
        <v>45262</v>
      </c>
      <c r="B553" s="416">
        <v>647436</v>
      </c>
      <c r="C553" s="413" t="str">
        <f>IFERROR(INDEX(Table14[],MATCH($B553,Table14[SAPNo],0),3),"")</f>
        <v>Round 1613 CT200  0.018" (B)</v>
      </c>
      <c r="D553" s="306"/>
      <c r="E553" s="421">
        <v>32</v>
      </c>
      <c r="F553" s="421"/>
      <c r="G553" s="417" t="s">
        <v>1271</v>
      </c>
      <c r="H553" s="598">
        <v>13889235</v>
      </c>
      <c r="I553" s="322" t="s">
        <v>1270</v>
      </c>
      <c r="J553" s="418"/>
      <c r="K553" s="248"/>
      <c r="M553" s="248"/>
      <c r="AF553">
        <v>32</v>
      </c>
    </row>
    <row r="554" spans="1:32" x14ac:dyDescent="0.25">
      <c r="A554" s="308">
        <v>45262</v>
      </c>
      <c r="B554" s="416">
        <v>1130198</v>
      </c>
      <c r="C554" s="413" t="str">
        <f>IFERROR(INDEX(Table14[],MATCH($B554,Table14[SAPNo],0),3),"")</f>
        <v>Round 1613 CT182  0.018" (S)</v>
      </c>
      <c r="D554" s="306"/>
      <c r="E554" s="421">
        <v>105</v>
      </c>
      <c r="F554" s="421"/>
      <c r="G554" s="417" t="s">
        <v>1271</v>
      </c>
      <c r="H554" s="598">
        <v>13889235</v>
      </c>
      <c r="I554" s="322" t="s">
        <v>1270</v>
      </c>
      <c r="J554" s="418"/>
      <c r="K554" s="248"/>
      <c r="M554" s="248"/>
      <c r="AF554">
        <v>105</v>
      </c>
    </row>
    <row r="555" spans="1:32" x14ac:dyDescent="0.25">
      <c r="A555" s="320">
        <v>45265</v>
      </c>
      <c r="B555" s="419">
        <v>1175118</v>
      </c>
      <c r="C555" s="413" t="str">
        <f>IFERROR(INDEX(Table14[],MATCH($B555,Table14[SAPNo],0),3),"")</f>
        <v>1613 CT147 18-60</v>
      </c>
      <c r="D555" s="306"/>
      <c r="E555" s="421">
        <v>17</v>
      </c>
      <c r="F555" s="421"/>
      <c r="G555" s="420" t="s">
        <v>1272</v>
      </c>
      <c r="H555" s="599">
        <v>14081146</v>
      </c>
      <c r="I555" s="322" t="s">
        <v>1273</v>
      </c>
      <c r="J555" s="421"/>
      <c r="K555" s="422"/>
      <c r="M555" s="422"/>
      <c r="AF555">
        <v>17</v>
      </c>
    </row>
    <row r="556" spans="1:32" x14ac:dyDescent="0.25">
      <c r="A556" s="308">
        <v>45265</v>
      </c>
      <c r="B556" s="416">
        <v>1078377</v>
      </c>
      <c r="C556" s="413" t="str">
        <f>IFERROR(INDEX(Table14[],MATCH($B556,Table14[SAPNo],0),3),"")</f>
        <v>13MM CT221 R1</v>
      </c>
      <c r="D556" s="306"/>
      <c r="E556" s="421">
        <v>15</v>
      </c>
      <c r="F556" s="421"/>
      <c r="G556" s="417" t="s">
        <v>1272</v>
      </c>
      <c r="H556" s="598">
        <v>14081146</v>
      </c>
      <c r="I556" s="322" t="s">
        <v>1273</v>
      </c>
      <c r="J556" s="418"/>
      <c r="K556" s="248"/>
      <c r="M556" s="248"/>
      <c r="AF556">
        <v>15</v>
      </c>
    </row>
    <row r="557" spans="1:32" x14ac:dyDescent="0.25">
      <c r="A557" s="308">
        <v>45265</v>
      </c>
      <c r="B557" s="416">
        <v>1208601</v>
      </c>
      <c r="C557" s="413" t="str">
        <f>IFERROR(INDEX(Table14[],MATCH($B557,Table14[SAPNo],0),3),"")</f>
        <v>1613 CT418 U-60</v>
      </c>
      <c r="D557" s="306"/>
      <c r="E557" s="421">
        <v>8</v>
      </c>
      <c r="F557" s="421"/>
      <c r="G557" s="417" t="s">
        <v>1272</v>
      </c>
      <c r="H557" s="598">
        <v>14081146</v>
      </c>
      <c r="I557" s="322" t="s">
        <v>1273</v>
      </c>
      <c r="J557" s="418"/>
      <c r="K557" s="248"/>
      <c r="M557" s="248"/>
      <c r="AF557">
        <v>8</v>
      </c>
    </row>
    <row r="558" spans="1:32" x14ac:dyDescent="0.25">
      <c r="A558" s="308">
        <v>45265</v>
      </c>
      <c r="B558" s="416">
        <v>418525</v>
      </c>
      <c r="C558" s="413" t="str">
        <f>IFERROR(INDEX(Table14[],MATCH($B558,Table14[SAPNo],0),3),"")</f>
        <v>Drop In 1308 CT31   (B)</v>
      </c>
      <c r="D558" s="306"/>
      <c r="E558" s="421">
        <v>6</v>
      </c>
      <c r="F558" s="421"/>
      <c r="G558" s="417" t="s">
        <v>1272</v>
      </c>
      <c r="H558" s="598">
        <v>14081146</v>
      </c>
      <c r="I558" s="322" t="s">
        <v>1273</v>
      </c>
      <c r="J558" s="418"/>
      <c r="K558" s="248"/>
      <c r="M558" s="248"/>
      <c r="AF558">
        <v>6</v>
      </c>
    </row>
    <row r="559" spans="1:32" x14ac:dyDescent="0.25">
      <c r="A559" s="308">
        <v>45265</v>
      </c>
      <c r="B559" s="416">
        <v>1146737</v>
      </c>
      <c r="C559" s="413" t="str">
        <f>IFERROR(INDEX(Table14[],MATCH($B559,Table14[SAPNo],0),3),"")</f>
        <v>1613 CT418 18-60</v>
      </c>
      <c r="D559" s="306"/>
      <c r="E559" s="421">
        <v>6</v>
      </c>
      <c r="F559" s="421"/>
      <c r="G559" s="417" t="s">
        <v>1272</v>
      </c>
      <c r="H559" s="598">
        <v>14081146</v>
      </c>
      <c r="I559" s="322" t="s">
        <v>1273</v>
      </c>
      <c r="J559" s="418"/>
      <c r="K559" s="248"/>
      <c r="M559" s="248"/>
      <c r="AF559">
        <v>6</v>
      </c>
    </row>
    <row r="560" spans="1:32" x14ac:dyDescent="0.25">
      <c r="A560" s="320">
        <v>45262</v>
      </c>
      <c r="B560" s="419">
        <v>1261319</v>
      </c>
      <c r="C560" s="413" t="str">
        <f>IFERROR(INDEX(Table14[],MATCH($B560,Table14[SAPNo],0),3),"")</f>
        <v>1308 CT155 U-60</v>
      </c>
      <c r="D560" s="306"/>
      <c r="E560" s="421">
        <v>24</v>
      </c>
      <c r="F560" s="421"/>
      <c r="G560" s="420" t="s">
        <v>1274</v>
      </c>
      <c r="H560" s="599">
        <v>14073987</v>
      </c>
      <c r="I560" s="322" t="s">
        <v>1275</v>
      </c>
      <c r="J560" s="421"/>
      <c r="K560" s="422"/>
      <c r="M560" s="422"/>
      <c r="AF560">
        <v>24</v>
      </c>
    </row>
    <row r="561" spans="1:32" x14ac:dyDescent="0.25">
      <c r="A561" s="308">
        <v>45262</v>
      </c>
      <c r="B561" s="416">
        <v>1228502</v>
      </c>
      <c r="C561" s="413" t="str">
        <f>IFERROR(INDEX(Table14[],MATCH($B561,Table14[SAPNo],0),3),"")</f>
        <v>1618 CT182 U-60 Rotor</v>
      </c>
      <c r="D561" s="306"/>
      <c r="E561" s="421">
        <v>10</v>
      </c>
      <c r="F561" s="421"/>
      <c r="G561" s="417" t="s">
        <v>1274</v>
      </c>
      <c r="H561" s="598">
        <v>14073987</v>
      </c>
      <c r="I561" s="322" t="s">
        <v>1275</v>
      </c>
      <c r="J561" s="418"/>
      <c r="K561" s="248"/>
      <c r="M561" s="248"/>
      <c r="AF561">
        <v>10</v>
      </c>
    </row>
    <row r="562" spans="1:32" x14ac:dyDescent="0.25">
      <c r="A562" s="308">
        <v>45262</v>
      </c>
      <c r="B562" s="416">
        <v>871781</v>
      </c>
      <c r="C562" s="413" t="str">
        <f>IFERROR(INDEX(Table14[],MATCH($B562,Table14[SAPNo],0),3),"")</f>
        <v>Round 1313 CT200  0.018" (B)</v>
      </c>
      <c r="D562" s="306"/>
      <c r="E562" s="421">
        <v>6</v>
      </c>
      <c r="F562" s="421"/>
      <c r="G562" s="417" t="s">
        <v>1274</v>
      </c>
      <c r="H562" s="598">
        <v>14073987</v>
      </c>
      <c r="I562" s="322" t="s">
        <v>1275</v>
      </c>
      <c r="J562" s="418"/>
      <c r="K562" s="248"/>
      <c r="M562" s="248"/>
      <c r="AF562">
        <v>6</v>
      </c>
    </row>
    <row r="563" spans="1:32" x14ac:dyDescent="0.25">
      <c r="A563" s="308">
        <v>45262</v>
      </c>
      <c r="B563" s="416">
        <v>1261320</v>
      </c>
      <c r="C563" s="413" t="str">
        <f>IFERROR(INDEX(Table14[],MATCH($B563,Table14[SAPNo],0),3),"")</f>
        <v>1313 CT155 U-60</v>
      </c>
      <c r="D563" s="306"/>
      <c r="E563" s="421">
        <v>6</v>
      </c>
      <c r="F563" s="421"/>
      <c r="G563" s="417" t="s">
        <v>1274</v>
      </c>
      <c r="H563" s="598">
        <v>14073987</v>
      </c>
      <c r="I563" s="322" t="s">
        <v>1275</v>
      </c>
      <c r="J563" s="418"/>
      <c r="K563" s="248"/>
      <c r="M563" s="248"/>
      <c r="AF563">
        <v>6</v>
      </c>
    </row>
    <row r="564" spans="1:32" x14ac:dyDescent="0.25">
      <c r="A564" s="308">
        <v>45262</v>
      </c>
      <c r="B564" s="416">
        <v>1261321</v>
      </c>
      <c r="C564" s="413" t="str">
        <f>IFERROR(INDEX(Table14[],MATCH($B564,Table14[SAPNo],0),3),"")</f>
        <v>1613 CT155 U-60</v>
      </c>
      <c r="D564" s="306"/>
      <c r="E564" s="421">
        <v>4</v>
      </c>
      <c r="F564" s="421"/>
      <c r="G564" s="417" t="s">
        <v>1274</v>
      </c>
      <c r="H564" s="598">
        <v>14073987</v>
      </c>
      <c r="I564" s="322" t="s">
        <v>1275</v>
      </c>
      <c r="J564" s="418"/>
      <c r="K564" s="248"/>
      <c r="M564" s="248"/>
      <c r="AF564">
        <v>4</v>
      </c>
    </row>
    <row r="565" spans="1:32" x14ac:dyDescent="0.25">
      <c r="A565" s="308">
        <v>45262</v>
      </c>
      <c r="B565" s="416">
        <v>1228501</v>
      </c>
      <c r="C565" s="413" t="str">
        <f>IFERROR(INDEX(Table14[],MATCH($B565,Table14[SAPNo],0),3),"")</f>
        <v>1618 CT182 U-60 stator</v>
      </c>
      <c r="D565" s="306"/>
      <c r="E565" s="421">
        <v>10</v>
      </c>
      <c r="F565" s="421"/>
      <c r="G565" s="417" t="s">
        <v>1274</v>
      </c>
      <c r="H565" s="598">
        <v>14073987</v>
      </c>
      <c r="I565" s="322" t="s">
        <v>1275</v>
      </c>
      <c r="J565" s="418"/>
      <c r="K565" s="248"/>
      <c r="M565" s="248"/>
      <c r="AF565">
        <v>10</v>
      </c>
    </row>
    <row r="566" spans="1:32" x14ac:dyDescent="0.25">
      <c r="A566" s="308">
        <v>45262</v>
      </c>
      <c r="B566" s="416">
        <v>1228503</v>
      </c>
      <c r="C566" s="413" t="str">
        <f>IFERROR(INDEX(Table14[],MATCH($B566,Table14[SAPNo],0),3),"")</f>
        <v>1618 CT182 U-60 Ring</v>
      </c>
      <c r="D566" s="306"/>
      <c r="E566" s="421">
        <v>10</v>
      </c>
      <c r="F566" s="421"/>
      <c r="G566" s="417" t="s">
        <v>1274</v>
      </c>
      <c r="H566" s="598">
        <v>14073987</v>
      </c>
      <c r="I566" s="322" t="s">
        <v>1275</v>
      </c>
      <c r="J566" s="418"/>
      <c r="K566" s="248"/>
      <c r="M566" s="248"/>
      <c r="AF566">
        <v>10</v>
      </c>
    </row>
    <row r="567" spans="1:32" x14ac:dyDescent="0.25">
      <c r="A567" s="320">
        <v>45262</v>
      </c>
      <c r="B567" s="419">
        <v>1220554</v>
      </c>
      <c r="C567" s="413" t="str">
        <f>IFERROR(INDEX(Table14[],MATCH($B567,Table14[SAPNo],0),3),"")</f>
        <v xml:space="preserve">1618 CT182 U-60 Carbide </v>
      </c>
      <c r="D567" s="306"/>
      <c r="E567" s="421">
        <v>10</v>
      </c>
      <c r="F567" s="421"/>
      <c r="G567" s="420" t="s">
        <v>1274</v>
      </c>
      <c r="H567" s="599">
        <v>14073987</v>
      </c>
      <c r="I567" s="322" t="s">
        <v>1275</v>
      </c>
      <c r="J567" s="421"/>
      <c r="K567" s="422"/>
      <c r="M567" s="422"/>
      <c r="AF567">
        <v>10</v>
      </c>
    </row>
    <row r="568" spans="1:32" x14ac:dyDescent="0.25">
      <c r="A568" s="308">
        <v>45265</v>
      </c>
      <c r="B568" s="416">
        <v>1261319</v>
      </c>
      <c r="C568" s="413" t="str">
        <f>IFERROR(INDEX(Table14[],MATCH($B568,Table14[SAPNo],0),3),"")</f>
        <v>1308 CT155 U-60</v>
      </c>
      <c r="D568" s="306"/>
      <c r="E568" s="421">
        <v>24</v>
      </c>
      <c r="F568" s="421"/>
      <c r="G568" s="417" t="s">
        <v>1276</v>
      </c>
      <c r="H568" s="598">
        <v>14073988</v>
      </c>
      <c r="I568" s="322" t="s">
        <v>1275</v>
      </c>
      <c r="J568" s="418"/>
      <c r="K568" s="248"/>
      <c r="M568" s="248"/>
      <c r="AF568">
        <v>24</v>
      </c>
    </row>
    <row r="569" spans="1:32" x14ac:dyDescent="0.25">
      <c r="A569" s="308">
        <v>45265</v>
      </c>
      <c r="B569" s="416">
        <v>1228502</v>
      </c>
      <c r="C569" s="413" t="str">
        <f>IFERROR(INDEX(Table14[],MATCH($B569,Table14[SAPNo],0),3),"")</f>
        <v>1618 CT182 U-60 Rotor</v>
      </c>
      <c r="D569" s="306"/>
      <c r="E569" s="421">
        <v>10</v>
      </c>
      <c r="F569" s="421"/>
      <c r="G569" s="417" t="s">
        <v>1276</v>
      </c>
      <c r="H569" s="598">
        <v>14073988</v>
      </c>
      <c r="I569" s="322" t="s">
        <v>1275</v>
      </c>
      <c r="J569" s="418"/>
      <c r="K569" s="248"/>
      <c r="M569" s="248"/>
      <c r="AF569">
        <v>10</v>
      </c>
    </row>
    <row r="570" spans="1:32" x14ac:dyDescent="0.25">
      <c r="A570" s="308">
        <v>45265</v>
      </c>
      <c r="B570" s="416">
        <v>871781</v>
      </c>
      <c r="C570" s="413" t="str">
        <f>IFERROR(INDEX(Table14[],MATCH($B570,Table14[SAPNo],0),3),"")</f>
        <v>Round 1313 CT200  0.018" (B)</v>
      </c>
      <c r="D570" s="306"/>
      <c r="E570" s="421">
        <v>6</v>
      </c>
      <c r="F570" s="421"/>
      <c r="G570" s="417" t="s">
        <v>1276</v>
      </c>
      <c r="H570" s="598">
        <v>14073988</v>
      </c>
      <c r="I570" s="322" t="s">
        <v>1275</v>
      </c>
      <c r="J570" s="418"/>
      <c r="K570" s="248"/>
      <c r="M570" s="248"/>
      <c r="AF570">
        <v>6</v>
      </c>
    </row>
    <row r="571" spans="1:32" x14ac:dyDescent="0.25">
      <c r="A571" s="308">
        <v>45265</v>
      </c>
      <c r="B571" s="416">
        <v>1261320</v>
      </c>
      <c r="C571" s="413" t="str">
        <f>IFERROR(INDEX(Table14[],MATCH($B571,Table14[SAPNo],0),3),"")</f>
        <v>1313 CT155 U-60</v>
      </c>
      <c r="D571" s="306"/>
      <c r="E571" s="421">
        <v>6</v>
      </c>
      <c r="F571" s="421"/>
      <c r="G571" s="417" t="s">
        <v>1276</v>
      </c>
      <c r="H571" s="598">
        <v>14073988</v>
      </c>
      <c r="I571" s="322" t="s">
        <v>1275</v>
      </c>
      <c r="J571" s="418"/>
      <c r="K571" s="248"/>
      <c r="M571" s="248"/>
      <c r="AF571">
        <v>6</v>
      </c>
    </row>
    <row r="572" spans="1:32" x14ac:dyDescent="0.25">
      <c r="A572" s="308">
        <v>45265</v>
      </c>
      <c r="B572" s="416">
        <v>1261321</v>
      </c>
      <c r="C572" s="413" t="str">
        <f>IFERROR(INDEX(Table14[],MATCH($B572,Table14[SAPNo],0),3),"")</f>
        <v>1613 CT155 U-60</v>
      </c>
      <c r="D572" s="306"/>
      <c r="E572" s="421">
        <v>4</v>
      </c>
      <c r="F572" s="421"/>
      <c r="G572" s="417" t="s">
        <v>1276</v>
      </c>
      <c r="H572" s="598">
        <v>14073988</v>
      </c>
      <c r="I572" s="322" t="s">
        <v>1275</v>
      </c>
      <c r="J572" s="418"/>
      <c r="K572" s="248"/>
      <c r="M572" s="248"/>
      <c r="AF572">
        <v>4</v>
      </c>
    </row>
    <row r="573" spans="1:32" x14ac:dyDescent="0.25">
      <c r="A573" s="320">
        <v>45265</v>
      </c>
      <c r="B573" s="419">
        <v>1228501</v>
      </c>
      <c r="C573" s="413" t="str">
        <f>IFERROR(INDEX(Table14[],MATCH($B573,Table14[SAPNo],0),3),"")</f>
        <v>1618 CT182 U-60 stator</v>
      </c>
      <c r="D573" s="306"/>
      <c r="E573" s="421">
        <v>10</v>
      </c>
      <c r="F573" s="421"/>
      <c r="G573" s="420" t="s">
        <v>1276</v>
      </c>
      <c r="H573" s="599">
        <v>14073988</v>
      </c>
      <c r="I573" s="322" t="s">
        <v>1275</v>
      </c>
      <c r="J573" s="421"/>
      <c r="K573" s="422"/>
      <c r="M573" s="422"/>
      <c r="AF573">
        <v>10</v>
      </c>
    </row>
    <row r="574" spans="1:32" x14ac:dyDescent="0.25">
      <c r="A574" s="308">
        <v>45265</v>
      </c>
      <c r="B574" s="416">
        <v>1228503</v>
      </c>
      <c r="C574" s="413" t="str">
        <f>IFERROR(INDEX(Table14[],MATCH($B574,Table14[SAPNo],0),3),"")</f>
        <v>1618 CT182 U-60 Ring</v>
      </c>
      <c r="D574" s="306"/>
      <c r="E574" s="421">
        <v>10</v>
      </c>
      <c r="F574" s="421"/>
      <c r="G574" s="417" t="s">
        <v>1276</v>
      </c>
      <c r="H574" s="598">
        <v>14073988</v>
      </c>
      <c r="I574" s="322" t="s">
        <v>1275</v>
      </c>
      <c r="J574" s="418"/>
      <c r="K574" s="248"/>
      <c r="M574" s="248"/>
      <c r="AF574">
        <v>10</v>
      </c>
    </row>
    <row r="575" spans="1:32" x14ac:dyDescent="0.25">
      <c r="A575" s="308">
        <v>45265</v>
      </c>
      <c r="B575" s="416">
        <v>1220554</v>
      </c>
      <c r="C575" s="413" t="str">
        <f>IFERROR(INDEX(Table14[],MATCH($B575,Table14[SAPNo],0),3),"")</f>
        <v xml:space="preserve">1618 CT182 U-60 Carbide </v>
      </c>
      <c r="D575" s="306"/>
      <c r="E575" s="421">
        <v>10</v>
      </c>
      <c r="F575" s="421"/>
      <c r="G575" s="420" t="s">
        <v>1276</v>
      </c>
      <c r="H575" s="599">
        <v>14073988</v>
      </c>
      <c r="I575" s="322" t="s">
        <v>1275</v>
      </c>
      <c r="J575" s="418"/>
      <c r="K575" s="248"/>
      <c r="M575" s="248"/>
      <c r="AF575">
        <v>10</v>
      </c>
    </row>
    <row r="576" spans="1:32" x14ac:dyDescent="0.25">
      <c r="A576" s="308">
        <v>45267</v>
      </c>
      <c r="B576" s="416">
        <v>1145493</v>
      </c>
      <c r="C576" s="413" t="str">
        <f>IFERROR(INDEX(Table14[],MATCH($B576,Table14[SAPNo],0),3),"")</f>
        <v>Round 1313 CT427  10C (S)</v>
      </c>
      <c r="D576" s="306"/>
      <c r="E576" s="421">
        <v>0</v>
      </c>
      <c r="F576" s="421"/>
      <c r="G576" s="417" t="s">
        <v>1277</v>
      </c>
      <c r="H576" s="598" t="s">
        <v>1278</v>
      </c>
      <c r="I576" s="322" t="s">
        <v>1279</v>
      </c>
      <c r="J576" s="418">
        <v>3</v>
      </c>
      <c r="K576" s="248"/>
      <c r="M576" s="248"/>
      <c r="AF576">
        <v>0</v>
      </c>
    </row>
    <row r="577" spans="1:32" x14ac:dyDescent="0.25">
      <c r="A577" s="308">
        <v>45267</v>
      </c>
      <c r="B577" s="416">
        <v>1145493</v>
      </c>
      <c r="C577" s="413" t="str">
        <f>IFERROR(INDEX(Table14[],MATCH($B577,Table14[SAPNo],0),3),"")</f>
        <v>Round 1313 CT427  10C (S)</v>
      </c>
      <c r="D577" s="306"/>
      <c r="E577" s="421">
        <v>0</v>
      </c>
      <c r="F577" s="421"/>
      <c r="G577" s="417" t="s">
        <v>1280</v>
      </c>
      <c r="H577" s="598" t="s">
        <v>1281</v>
      </c>
      <c r="I577" s="322" t="s">
        <v>1282</v>
      </c>
      <c r="J577" s="418">
        <v>5</v>
      </c>
      <c r="K577" s="248"/>
      <c r="M577" s="248"/>
      <c r="AF577">
        <v>0</v>
      </c>
    </row>
    <row r="578" spans="1:32" x14ac:dyDescent="0.25">
      <c r="A578" s="308">
        <v>45267</v>
      </c>
      <c r="B578" s="416">
        <v>1145493</v>
      </c>
      <c r="C578" s="413" t="str">
        <f>IFERROR(INDEX(Table14[],MATCH($B578,Table14[SAPNo],0),3),"")</f>
        <v>Round 1313 CT427  10C (S)</v>
      </c>
      <c r="D578" s="306"/>
      <c r="E578" s="421">
        <v>0</v>
      </c>
      <c r="F578" s="421"/>
      <c r="G578" s="417" t="s">
        <v>1283</v>
      </c>
      <c r="H578" s="598" t="s">
        <v>1284</v>
      </c>
      <c r="I578" s="322" t="s">
        <v>1266</v>
      </c>
      <c r="J578" s="418">
        <v>1</v>
      </c>
      <c r="K578" s="248"/>
      <c r="M578" s="248"/>
      <c r="AF578">
        <v>0</v>
      </c>
    </row>
    <row r="579" spans="1:32" x14ac:dyDescent="0.25">
      <c r="A579" s="308">
        <v>45272</v>
      </c>
      <c r="B579" s="416">
        <v>1165788</v>
      </c>
      <c r="C579" s="413" t="str">
        <f>IFERROR(INDEX(Table14[],MATCH($B579,Table14[SAPNo],0),3),"")</f>
        <v>1913 PMT 18C</v>
      </c>
      <c r="D579" s="306"/>
      <c r="E579" s="421">
        <v>0</v>
      </c>
      <c r="F579" s="421"/>
      <c r="G579" s="417" t="s">
        <v>1285</v>
      </c>
      <c r="H579" s="598">
        <v>14093080</v>
      </c>
      <c r="I579" s="322" t="s">
        <v>1286</v>
      </c>
      <c r="J579" s="418"/>
      <c r="K579" s="248"/>
      <c r="M579" s="248"/>
      <c r="AF579">
        <v>0</v>
      </c>
    </row>
    <row r="580" spans="1:32" x14ac:dyDescent="0.25">
      <c r="A580" s="308">
        <v>45272</v>
      </c>
      <c r="B580" s="416">
        <v>708306</v>
      </c>
      <c r="C580" s="413" t="str">
        <f>IFERROR(INDEX(Table14[],MATCH($B580,Table14[SAPNo],0),3),"")</f>
        <v>Round 1913 CT200  0.018" (B)</v>
      </c>
      <c r="D580" s="306"/>
      <c r="E580" s="421">
        <v>34</v>
      </c>
      <c r="F580" s="421"/>
      <c r="G580" s="417" t="s">
        <v>1285</v>
      </c>
      <c r="H580" s="598">
        <v>14093080</v>
      </c>
      <c r="I580" s="322" t="s">
        <v>1286</v>
      </c>
      <c r="J580" s="418"/>
      <c r="K580" s="248"/>
      <c r="M580" s="248"/>
      <c r="AF580">
        <v>34</v>
      </c>
    </row>
    <row r="581" spans="1:32" x14ac:dyDescent="0.25">
      <c r="A581" s="308">
        <v>45272</v>
      </c>
      <c r="B581" s="416">
        <v>1130198</v>
      </c>
      <c r="C581" s="413" t="str">
        <f>IFERROR(INDEX(Table14[],MATCH($B581,Table14[SAPNo],0),3),"")</f>
        <v>Round 1613 CT182  0.018" (S)</v>
      </c>
      <c r="D581" s="306"/>
      <c r="E581" s="421">
        <v>9</v>
      </c>
      <c r="F581" s="421"/>
      <c r="G581" s="417" t="s">
        <v>1285</v>
      </c>
      <c r="H581" s="598">
        <v>14093080</v>
      </c>
      <c r="I581" s="322" t="s">
        <v>1286</v>
      </c>
      <c r="J581" s="418"/>
      <c r="K581" s="248"/>
      <c r="M581" s="248"/>
      <c r="AF581">
        <v>9</v>
      </c>
    </row>
    <row r="582" spans="1:32" x14ac:dyDescent="0.25">
      <c r="A582" s="308">
        <v>45272</v>
      </c>
      <c r="B582" s="416">
        <v>871781</v>
      </c>
      <c r="C582" s="413" t="str">
        <f>IFERROR(INDEX(Table14[],MATCH($B582,Table14[SAPNo],0),3),"")</f>
        <v>Round 1313 CT200  0.018" (B)</v>
      </c>
      <c r="D582" s="306"/>
      <c r="E582" s="421">
        <v>8</v>
      </c>
      <c r="F582" s="421"/>
      <c r="G582" s="417" t="s">
        <v>1285</v>
      </c>
      <c r="H582" s="598">
        <v>14093080</v>
      </c>
      <c r="I582" s="322" t="s">
        <v>1286</v>
      </c>
      <c r="J582" s="418"/>
      <c r="K582" s="248"/>
      <c r="M582" s="248"/>
      <c r="AF582">
        <v>8</v>
      </c>
    </row>
    <row r="583" spans="1:32" x14ac:dyDescent="0.25">
      <c r="A583" s="308">
        <v>45272</v>
      </c>
      <c r="B583" s="416">
        <v>1100759</v>
      </c>
      <c r="C583" s="413" t="str">
        <f>IFERROR(INDEX(Table14[],MATCH($B583,Table14[SAPNo],0),3),"")</f>
        <v>1913 CT421 0.018"</v>
      </c>
      <c r="D583" s="306"/>
      <c r="E583" s="421">
        <v>48</v>
      </c>
      <c r="F583" s="421"/>
      <c r="G583" s="417" t="s">
        <v>1285</v>
      </c>
      <c r="H583" s="598">
        <v>14093080</v>
      </c>
      <c r="I583" s="322" t="s">
        <v>1286</v>
      </c>
      <c r="J583" s="418"/>
      <c r="K583" s="248"/>
      <c r="M583" s="248"/>
      <c r="AF583">
        <v>48</v>
      </c>
    </row>
    <row r="584" spans="1:32" x14ac:dyDescent="0.25">
      <c r="A584" s="308">
        <v>45271</v>
      </c>
      <c r="B584" s="416">
        <v>1130198</v>
      </c>
      <c r="C584" s="413" t="str">
        <f>IFERROR(INDEX(Table14[],MATCH($B584,Table14[SAPNo],0),3),"")</f>
        <v>Round 1613 CT182  0.018" (S)</v>
      </c>
      <c r="D584" s="306"/>
      <c r="E584" s="421">
        <v>33</v>
      </c>
      <c r="F584" s="421"/>
      <c r="G584" s="417" t="s">
        <v>1287</v>
      </c>
      <c r="H584" s="598">
        <v>14081143</v>
      </c>
      <c r="I584" s="322" t="s">
        <v>1288</v>
      </c>
      <c r="J584" s="418"/>
      <c r="K584" s="248"/>
      <c r="M584" s="248"/>
      <c r="AF584">
        <v>33</v>
      </c>
    </row>
    <row r="585" spans="1:32" x14ac:dyDescent="0.25">
      <c r="A585" s="308">
        <v>45271</v>
      </c>
      <c r="B585" s="416">
        <v>647435</v>
      </c>
      <c r="C585" s="413" t="str">
        <f>IFERROR(INDEX(Table14[],MATCH($B585,Table14[SAPNo],0),3),"")</f>
        <v>Round 1608 CT200  0.018" (B)</v>
      </c>
      <c r="D585" s="306"/>
      <c r="E585" s="421">
        <v>23</v>
      </c>
      <c r="F585" s="421"/>
      <c r="G585" s="417" t="s">
        <v>1287</v>
      </c>
      <c r="H585" s="598">
        <v>14081143</v>
      </c>
      <c r="I585" s="322" t="s">
        <v>1288</v>
      </c>
      <c r="J585" s="418"/>
      <c r="K585" s="248"/>
      <c r="M585" s="248"/>
      <c r="AF585">
        <v>23</v>
      </c>
    </row>
    <row r="586" spans="1:32" x14ac:dyDescent="0.25">
      <c r="A586" s="320">
        <v>45271</v>
      </c>
      <c r="B586" s="419">
        <v>871781</v>
      </c>
      <c r="C586" s="413" t="str">
        <f>IFERROR(INDEX(Table14[],MATCH($B586,Table14[SAPNo],0),3),"")</f>
        <v>Round 1313 CT200  0.018" (B)</v>
      </c>
      <c r="D586" s="306"/>
      <c r="E586" s="421">
        <v>6</v>
      </c>
      <c r="F586" s="421"/>
      <c r="G586" s="420" t="s">
        <v>1287</v>
      </c>
      <c r="H586" s="599">
        <v>14081143</v>
      </c>
      <c r="I586" s="322" t="s">
        <v>1288</v>
      </c>
      <c r="J586" s="421"/>
      <c r="K586" s="422"/>
      <c r="M586" s="422"/>
      <c r="AF586">
        <v>6</v>
      </c>
    </row>
    <row r="587" spans="1:32" x14ac:dyDescent="0.25">
      <c r="A587" s="308">
        <v>45271</v>
      </c>
      <c r="B587" s="416">
        <v>1219562</v>
      </c>
      <c r="C587" s="413" t="str">
        <f>IFERROR(INDEX(Table14[],MATCH($B587,Table14[SAPNo],0),3),"")</f>
        <v>1613 CT147R U</v>
      </c>
      <c r="D587" s="306"/>
      <c r="E587" s="421">
        <v>16</v>
      </c>
      <c r="F587" s="421"/>
      <c r="G587" s="417" t="s">
        <v>1289</v>
      </c>
      <c r="H587" s="598">
        <v>14081899</v>
      </c>
      <c r="I587" s="322" t="s">
        <v>1290</v>
      </c>
      <c r="J587" s="418"/>
      <c r="K587" s="248"/>
      <c r="M587" s="248"/>
      <c r="AF587">
        <v>16</v>
      </c>
    </row>
    <row r="588" spans="1:32" x14ac:dyDescent="0.25">
      <c r="A588" s="308">
        <v>45271</v>
      </c>
      <c r="B588" s="416">
        <v>1271790</v>
      </c>
      <c r="C588" s="413" t="str">
        <f>IFERROR(INDEX(Table14[],MATCH($B588,Table14[SAPNo],0),3),"")</f>
        <v xml:space="preserve">1613 CT170 18-60 </v>
      </c>
      <c r="D588" s="306"/>
      <c r="E588" s="421">
        <v>0</v>
      </c>
      <c r="F588" s="421"/>
      <c r="G588" s="417" t="s">
        <v>1289</v>
      </c>
      <c r="H588" s="598">
        <v>14081899</v>
      </c>
      <c r="I588" s="322" t="s">
        <v>1290</v>
      </c>
      <c r="J588" s="418"/>
      <c r="K588" s="248"/>
      <c r="M588" s="248"/>
      <c r="AF588">
        <v>0</v>
      </c>
    </row>
    <row r="589" spans="1:32" x14ac:dyDescent="0.25">
      <c r="A589" s="308">
        <v>45271</v>
      </c>
      <c r="B589" s="416">
        <v>1142711</v>
      </c>
      <c r="C589" s="413" t="str">
        <f>IFERROR(INDEX(Table14[],MATCH($B589,Table14[SAPNo],0),3),"")</f>
        <v>1613 CT421 U</v>
      </c>
      <c r="D589" s="306"/>
      <c r="E589" s="421">
        <v>10</v>
      </c>
      <c r="F589" s="421"/>
      <c r="G589" s="417" t="s">
        <v>1289</v>
      </c>
      <c r="H589" s="598">
        <v>14081899</v>
      </c>
      <c r="I589" s="322" t="s">
        <v>1290</v>
      </c>
      <c r="J589" s="418"/>
      <c r="K589" s="248"/>
      <c r="M589" s="248"/>
      <c r="AF589">
        <v>10</v>
      </c>
    </row>
    <row r="590" spans="1:32" x14ac:dyDescent="0.25">
      <c r="A590" s="308">
        <v>45271</v>
      </c>
      <c r="B590" s="416">
        <v>1208601</v>
      </c>
      <c r="C590" s="413" t="str">
        <f>IFERROR(INDEX(Table14[],MATCH($B590,Table14[SAPNo],0),3),"")</f>
        <v>1613 CT418 U-60</v>
      </c>
      <c r="D590" s="306"/>
      <c r="E590" s="421">
        <v>7</v>
      </c>
      <c r="F590" s="421"/>
      <c r="G590" s="417" t="s">
        <v>1289</v>
      </c>
      <c r="H590" s="598">
        <v>14081899</v>
      </c>
      <c r="I590" s="322" t="s">
        <v>1290</v>
      </c>
      <c r="J590" s="418"/>
      <c r="K590" s="248"/>
      <c r="M590" s="248"/>
      <c r="AF590">
        <v>7</v>
      </c>
    </row>
    <row r="591" spans="1:32" x14ac:dyDescent="0.25">
      <c r="A591" s="308">
        <v>45271</v>
      </c>
      <c r="B591" s="416">
        <v>871781</v>
      </c>
      <c r="C591" s="413" t="str">
        <f>IFERROR(INDEX(Table14[],MATCH($B591,Table14[SAPNo],0),3),"")</f>
        <v>Round 1313 CT200  0.018" (B)</v>
      </c>
      <c r="D591" s="306"/>
      <c r="E591" s="421">
        <v>5</v>
      </c>
      <c r="F591" s="421"/>
      <c r="G591" s="417" t="s">
        <v>1289</v>
      </c>
      <c r="H591" s="598">
        <v>14081899</v>
      </c>
      <c r="I591" s="322" t="s">
        <v>1290</v>
      </c>
      <c r="J591" s="418"/>
      <c r="K591" s="248"/>
      <c r="M591" s="248"/>
      <c r="AF591">
        <v>5</v>
      </c>
    </row>
    <row r="592" spans="1:32" x14ac:dyDescent="0.25">
      <c r="A592" s="308">
        <v>45271</v>
      </c>
      <c r="B592" s="416">
        <v>1200972</v>
      </c>
      <c r="C592" s="413" t="str">
        <f>IFERROR(INDEX(Table14[],MATCH($B592,Table14[SAPNo],0),3),"")</f>
        <v xml:space="preserve">8MM WC-MAT400 </v>
      </c>
      <c r="D592" s="306"/>
      <c r="E592" s="421">
        <v>5</v>
      </c>
      <c r="F592" s="421"/>
      <c r="G592" s="417" t="s">
        <v>1289</v>
      </c>
      <c r="H592" s="598">
        <v>14081899</v>
      </c>
      <c r="I592" s="322" t="s">
        <v>1290</v>
      </c>
      <c r="J592" s="418"/>
      <c r="K592" s="248"/>
      <c r="M592" s="248"/>
      <c r="AF592">
        <v>5</v>
      </c>
    </row>
    <row r="593" spans="1:32" x14ac:dyDescent="0.25">
      <c r="A593" s="308">
        <v>45271</v>
      </c>
      <c r="B593" s="416">
        <v>1234189</v>
      </c>
      <c r="C593" s="413" t="str">
        <f>IFERROR(INDEX(Table14[],MATCH($B593,Table14[SAPNo],0),3),"")</f>
        <v xml:space="preserve">13MM WC-MAT400 </v>
      </c>
      <c r="D593" s="306"/>
      <c r="E593" s="421">
        <v>3</v>
      </c>
      <c r="F593" s="421"/>
      <c r="G593" s="417" t="s">
        <v>1289</v>
      </c>
      <c r="H593" s="598">
        <v>14081899</v>
      </c>
      <c r="I593" s="322" t="s">
        <v>1290</v>
      </c>
      <c r="J593" s="418"/>
      <c r="K593" s="248"/>
      <c r="M593" s="248"/>
      <c r="AF593">
        <v>3</v>
      </c>
    </row>
    <row r="594" spans="1:32" x14ac:dyDescent="0.25">
      <c r="A594" s="308">
        <v>45271</v>
      </c>
      <c r="B594" s="416">
        <v>1146737</v>
      </c>
      <c r="C594" s="413" t="str">
        <f>IFERROR(INDEX(Table14[],MATCH($B594,Table14[SAPNo],0),3),"")</f>
        <v>1613 CT418 18-60</v>
      </c>
      <c r="D594" s="306"/>
      <c r="E594" s="421">
        <v>10</v>
      </c>
      <c r="F594" s="421"/>
      <c r="G594" s="417" t="s">
        <v>1289</v>
      </c>
      <c r="H594" s="598">
        <v>14081899</v>
      </c>
      <c r="I594" s="322" t="s">
        <v>1290</v>
      </c>
      <c r="J594" s="418"/>
      <c r="K594" s="248"/>
      <c r="M594" s="248"/>
      <c r="AF594">
        <v>10</v>
      </c>
    </row>
    <row r="595" spans="1:32" x14ac:dyDescent="0.25">
      <c r="A595" s="320">
        <v>45271</v>
      </c>
      <c r="B595" s="419">
        <v>1175118</v>
      </c>
      <c r="C595" s="413" t="str">
        <f>IFERROR(INDEX(Table14[],MATCH($B595,Table14[SAPNo],0),3),"")</f>
        <v>1613 CT147 18-60</v>
      </c>
      <c r="D595" s="306"/>
      <c r="E595" s="421">
        <v>6</v>
      </c>
      <c r="F595" s="421"/>
      <c r="G595" s="420" t="s">
        <v>1289</v>
      </c>
      <c r="H595" s="599">
        <v>14081899</v>
      </c>
      <c r="I595" s="322" t="s">
        <v>1290</v>
      </c>
      <c r="J595" s="421"/>
      <c r="K595" s="422"/>
      <c r="M595" s="422"/>
      <c r="AF595">
        <v>6</v>
      </c>
    </row>
    <row r="596" spans="1:32" x14ac:dyDescent="0.25">
      <c r="A596" s="308">
        <v>45273</v>
      </c>
      <c r="B596" s="416">
        <v>768848</v>
      </c>
      <c r="C596" s="413" t="str">
        <f>IFERROR(INDEX(Table14[],MATCH($B596,Table14[SAPNo],0),3),"")</f>
        <v>Round 0808 CT82  10C (S)</v>
      </c>
      <c r="D596" s="306"/>
      <c r="E596" s="421">
        <v>3</v>
      </c>
      <c r="F596" s="421"/>
      <c r="G596" s="417" t="s">
        <v>1291</v>
      </c>
      <c r="H596" s="598" t="s">
        <v>1292</v>
      </c>
      <c r="I596" s="322" t="s">
        <v>1293</v>
      </c>
      <c r="J596" s="418"/>
      <c r="K596" s="248"/>
      <c r="M596" s="248"/>
      <c r="AF596">
        <v>3</v>
      </c>
    </row>
    <row r="597" spans="1:32" x14ac:dyDescent="0.25">
      <c r="A597" s="308">
        <v>45273</v>
      </c>
      <c r="B597" s="416">
        <v>729689</v>
      </c>
      <c r="C597" s="413" t="str">
        <f>IFERROR(INDEX(Table14[],MATCH($B597,Table14[SAPNo],0),3),"")</f>
        <v>Round 1313 CT82  0.018" (S)</v>
      </c>
      <c r="D597" s="306"/>
      <c r="E597" s="421"/>
      <c r="F597" s="421"/>
      <c r="G597" s="417" t="s">
        <v>1294</v>
      </c>
      <c r="H597" s="598" t="s">
        <v>1292</v>
      </c>
      <c r="I597" s="322" t="s">
        <v>1293</v>
      </c>
      <c r="J597" s="418"/>
      <c r="K597" s="248"/>
      <c r="M597" s="248"/>
    </row>
    <row r="598" spans="1:32" x14ac:dyDescent="0.25">
      <c r="A598" s="308">
        <v>45273</v>
      </c>
      <c r="B598" s="416">
        <v>1209332</v>
      </c>
      <c r="C598" s="413" t="str">
        <f>IFERROR(INDEX(Table14[],MATCH($B598,Table14[SAPNo],0),3),"")</f>
        <v>1313 CT147G U</v>
      </c>
      <c r="D598" s="306"/>
      <c r="E598" s="421">
        <v>7</v>
      </c>
      <c r="F598" s="421"/>
      <c r="G598" s="417" t="s">
        <v>1295</v>
      </c>
      <c r="H598" s="598" t="s">
        <v>1296</v>
      </c>
      <c r="I598" s="322" t="s">
        <v>1297</v>
      </c>
      <c r="J598" s="418"/>
      <c r="K598" s="248"/>
      <c r="M598" s="248"/>
      <c r="AF598">
        <v>7</v>
      </c>
    </row>
    <row r="599" spans="1:32" x14ac:dyDescent="0.25">
      <c r="A599" s="308">
        <v>45273</v>
      </c>
      <c r="B599" s="416">
        <v>871781</v>
      </c>
      <c r="C599" s="413" t="str">
        <f>IFERROR(INDEX(Table14[],MATCH($B599,Table14[SAPNo],0),3),"")</f>
        <v>Round 1313 CT200  0.018" (B)</v>
      </c>
      <c r="D599" s="306"/>
      <c r="E599" s="421">
        <v>8</v>
      </c>
      <c r="F599" s="421"/>
      <c r="G599" s="417" t="s">
        <v>1298</v>
      </c>
      <c r="H599" s="598">
        <v>14093077</v>
      </c>
      <c r="I599" s="322" t="s">
        <v>1299</v>
      </c>
      <c r="J599" s="418"/>
      <c r="K599" s="248"/>
      <c r="M599" s="248"/>
      <c r="AF599">
        <v>8</v>
      </c>
    </row>
    <row r="600" spans="1:32" x14ac:dyDescent="0.25">
      <c r="A600" s="308">
        <v>45273</v>
      </c>
      <c r="B600" s="416">
        <v>708306</v>
      </c>
      <c r="C600" s="413" t="str">
        <f>IFERROR(INDEX(Table14[],MATCH($B600,Table14[SAPNo],0),3),"")</f>
        <v>Round 1913 CT200  0.018" (B)</v>
      </c>
      <c r="D600" s="306"/>
      <c r="E600" s="421">
        <v>34</v>
      </c>
      <c r="F600" s="421"/>
      <c r="G600" s="417" t="s">
        <v>1298</v>
      </c>
      <c r="H600" s="598">
        <v>14093077</v>
      </c>
      <c r="I600" s="322" t="s">
        <v>1299</v>
      </c>
      <c r="J600" s="418"/>
      <c r="K600" s="248"/>
      <c r="M600" s="248"/>
      <c r="AF600">
        <v>34</v>
      </c>
    </row>
    <row r="601" spans="1:32" x14ac:dyDescent="0.25">
      <c r="A601" s="308">
        <v>45273</v>
      </c>
      <c r="B601" s="416">
        <v>1130198</v>
      </c>
      <c r="C601" s="413" t="str">
        <f>IFERROR(INDEX(Table14[],MATCH($B601,Table14[SAPNo],0),3),"")</f>
        <v>Round 1613 CT182  0.018" (S)</v>
      </c>
      <c r="D601" s="306"/>
      <c r="E601" s="421">
        <v>9</v>
      </c>
      <c r="F601" s="421"/>
      <c r="G601" s="417" t="s">
        <v>1298</v>
      </c>
      <c r="H601" s="598">
        <v>14093077</v>
      </c>
      <c r="I601" s="322" t="s">
        <v>1299</v>
      </c>
      <c r="J601" s="418"/>
      <c r="K601" s="248"/>
      <c r="M601" s="248"/>
      <c r="AF601">
        <v>9</v>
      </c>
    </row>
    <row r="602" spans="1:32" x14ac:dyDescent="0.25">
      <c r="A602" s="308">
        <v>45273</v>
      </c>
      <c r="B602" s="416">
        <v>1130200</v>
      </c>
      <c r="C602" s="413" t="str">
        <f>IFERROR(INDEX(Table14[],MATCH($B602,Table14[SAPNo],0),3),"")</f>
        <v>Round 1913 CT182  0.018" (S)</v>
      </c>
      <c r="D602" s="306"/>
      <c r="E602" s="421">
        <v>48</v>
      </c>
      <c r="F602" s="421"/>
      <c r="G602" s="417" t="s">
        <v>1298</v>
      </c>
      <c r="H602" s="598">
        <v>14093077</v>
      </c>
      <c r="I602" s="322" t="s">
        <v>1299</v>
      </c>
      <c r="J602" s="418"/>
      <c r="K602" s="248"/>
      <c r="M602" s="248"/>
      <c r="AF602">
        <v>48</v>
      </c>
    </row>
    <row r="603" spans="1:32" x14ac:dyDescent="0.25">
      <c r="A603" s="308">
        <v>45273</v>
      </c>
      <c r="B603" s="416">
        <v>708306</v>
      </c>
      <c r="C603" s="413" t="str">
        <f>IFERROR(INDEX(Table14[],MATCH($B603,Table14[SAPNo],0),3),"")</f>
        <v>Round 1913 CT200  0.018" (B)</v>
      </c>
      <c r="D603" s="306"/>
      <c r="E603" s="421">
        <v>1</v>
      </c>
      <c r="F603" s="421"/>
      <c r="G603" s="417" t="s">
        <v>1300</v>
      </c>
      <c r="H603" s="598">
        <v>14093080</v>
      </c>
      <c r="I603" s="322" t="s">
        <v>1286</v>
      </c>
      <c r="J603" s="418"/>
      <c r="K603" s="248"/>
      <c r="M603" s="248"/>
      <c r="AF603">
        <v>1</v>
      </c>
    </row>
    <row r="604" spans="1:32" x14ac:dyDescent="0.25">
      <c r="A604" s="308">
        <v>45273</v>
      </c>
      <c r="B604" s="416">
        <v>1130196</v>
      </c>
      <c r="C604" s="413" t="str">
        <f>IFERROR(INDEX(Table14[],MATCH($B604,Table14[SAPNo],0),3),"")</f>
        <v>Round 1313 CT182  0.018" (S)</v>
      </c>
      <c r="D604" s="306"/>
      <c r="E604" s="421">
        <v>22</v>
      </c>
      <c r="F604" s="421"/>
      <c r="G604" s="417" t="s">
        <v>1301</v>
      </c>
      <c r="H604" s="598">
        <v>14093074</v>
      </c>
      <c r="I604" s="322" t="s">
        <v>1302</v>
      </c>
      <c r="J604" s="418"/>
      <c r="K604" s="248"/>
      <c r="M604" s="248"/>
      <c r="AF604">
        <v>22</v>
      </c>
    </row>
    <row r="605" spans="1:32" x14ac:dyDescent="0.25">
      <c r="A605" s="308">
        <v>45273</v>
      </c>
      <c r="B605" s="416">
        <v>1146737</v>
      </c>
      <c r="C605" s="413" t="str">
        <f>IFERROR(INDEX(Table14[],MATCH($B605,Table14[SAPNo],0),3),"")</f>
        <v>1613 CT418 18-60</v>
      </c>
      <c r="D605" s="306"/>
      <c r="E605" s="421">
        <v>10</v>
      </c>
      <c r="F605" s="421"/>
      <c r="G605" s="417" t="s">
        <v>1301</v>
      </c>
      <c r="H605" s="598">
        <v>14093074</v>
      </c>
      <c r="I605" s="322" t="s">
        <v>1302</v>
      </c>
      <c r="J605" s="418"/>
      <c r="K605" s="248"/>
      <c r="M605" s="248"/>
      <c r="AF605">
        <v>10</v>
      </c>
    </row>
    <row r="606" spans="1:32" x14ac:dyDescent="0.25">
      <c r="A606" s="308">
        <v>45273</v>
      </c>
      <c r="B606" s="416">
        <v>1209410</v>
      </c>
      <c r="C606" s="413" t="str">
        <f>IFERROR(INDEX(Table14[],MATCH($B606,Table14[SAPNo],0),3),"")</f>
        <v>1613 CT430MV3 U TBO</v>
      </c>
      <c r="D606" s="306"/>
      <c r="E606" s="421">
        <v>10</v>
      </c>
      <c r="F606" s="421"/>
      <c r="G606" s="417" t="s">
        <v>1301</v>
      </c>
      <c r="H606" s="598">
        <v>14093074</v>
      </c>
      <c r="I606" s="322" t="s">
        <v>1302</v>
      </c>
      <c r="J606" s="418"/>
      <c r="K606" s="248"/>
      <c r="M606" s="248"/>
      <c r="AF606">
        <v>10</v>
      </c>
    </row>
    <row r="607" spans="1:32" x14ac:dyDescent="0.25">
      <c r="A607" s="308">
        <v>45273</v>
      </c>
      <c r="B607" s="416">
        <v>871781</v>
      </c>
      <c r="C607" s="413" t="str">
        <f>IFERROR(INDEX(Table14[],MATCH($B607,Table14[SAPNo],0),3),"")</f>
        <v>Round 1313 CT200  0.018" (B)</v>
      </c>
      <c r="D607" s="306"/>
      <c r="E607" s="421">
        <v>5</v>
      </c>
      <c r="F607" s="421"/>
      <c r="G607" s="417" t="s">
        <v>1301</v>
      </c>
      <c r="H607" s="598">
        <v>14093074</v>
      </c>
      <c r="I607" s="322" t="s">
        <v>1302</v>
      </c>
      <c r="J607" s="418"/>
      <c r="K607" s="248"/>
      <c r="M607" s="248"/>
      <c r="AF607">
        <v>5</v>
      </c>
    </row>
    <row r="608" spans="1:32" x14ac:dyDescent="0.25">
      <c r="A608" s="308">
        <v>45273</v>
      </c>
      <c r="B608" s="416">
        <v>1271790</v>
      </c>
      <c r="C608" s="413" t="str">
        <f>IFERROR(INDEX(Table14[],MATCH($B608,Table14[SAPNo],0),3),"")</f>
        <v xml:space="preserve">1613 CT170 18-60 </v>
      </c>
      <c r="D608" s="306"/>
      <c r="E608" s="421">
        <v>30</v>
      </c>
      <c r="F608" s="421"/>
      <c r="G608" s="417" t="s">
        <v>1301</v>
      </c>
      <c r="H608" s="598">
        <v>14093074</v>
      </c>
      <c r="I608" s="322" t="s">
        <v>1302</v>
      </c>
      <c r="J608" s="418"/>
      <c r="K608" s="248"/>
      <c r="M608" s="248"/>
      <c r="AF608">
        <v>30</v>
      </c>
    </row>
    <row r="609" spans="1:32" x14ac:dyDescent="0.25">
      <c r="A609" s="308">
        <v>45273</v>
      </c>
      <c r="B609" s="416">
        <v>1078377</v>
      </c>
      <c r="C609" s="413" t="str">
        <f>IFERROR(INDEX(Table14[],MATCH($B609,Table14[SAPNo],0),3),"")</f>
        <v>13MM CT221 R1</v>
      </c>
      <c r="D609" s="306"/>
      <c r="E609" s="421">
        <v>15</v>
      </c>
      <c r="F609" s="421"/>
      <c r="G609" s="417" t="s">
        <v>1303</v>
      </c>
      <c r="H609" s="598">
        <v>14093393</v>
      </c>
      <c r="I609" s="322" t="s">
        <v>1304</v>
      </c>
      <c r="J609" s="418"/>
      <c r="K609" s="248"/>
      <c r="M609" s="248"/>
      <c r="AF609">
        <v>15</v>
      </c>
    </row>
    <row r="610" spans="1:32" x14ac:dyDescent="0.25">
      <c r="A610" s="308">
        <v>45273</v>
      </c>
      <c r="B610" s="416">
        <v>1175118</v>
      </c>
      <c r="C610" s="413" t="str">
        <f>IFERROR(INDEX(Table14[],MATCH($B610,Table14[SAPNo],0),3),"")</f>
        <v>1613 CT147 18-60</v>
      </c>
      <c r="D610" s="306"/>
      <c r="E610" s="421">
        <v>17</v>
      </c>
      <c r="F610" s="421"/>
      <c r="G610" s="417" t="s">
        <v>1303</v>
      </c>
      <c r="H610" s="598">
        <v>14093393</v>
      </c>
      <c r="I610" s="322" t="s">
        <v>1304</v>
      </c>
      <c r="J610" s="418"/>
      <c r="K610" s="248"/>
      <c r="M610" s="248"/>
      <c r="AF610">
        <v>17</v>
      </c>
    </row>
    <row r="611" spans="1:32" x14ac:dyDescent="0.25">
      <c r="A611" s="308">
        <v>45273</v>
      </c>
      <c r="B611" s="416">
        <v>1146737</v>
      </c>
      <c r="C611" s="413" t="str">
        <f>IFERROR(INDEX(Table14[],MATCH($B611,Table14[SAPNo],0),3),"")</f>
        <v>1613 CT418 18-60</v>
      </c>
      <c r="D611" s="306"/>
      <c r="E611" s="421">
        <v>6</v>
      </c>
      <c r="F611" s="421"/>
      <c r="G611" s="417" t="s">
        <v>1303</v>
      </c>
      <c r="H611" s="598">
        <v>14093393</v>
      </c>
      <c r="I611" s="322" t="s">
        <v>1304</v>
      </c>
      <c r="J611" s="418"/>
      <c r="K611" s="248"/>
      <c r="M611" s="248"/>
      <c r="AF611">
        <v>6</v>
      </c>
    </row>
    <row r="612" spans="1:32" x14ac:dyDescent="0.25">
      <c r="A612" s="308">
        <v>45273</v>
      </c>
      <c r="B612" s="416">
        <v>418525</v>
      </c>
      <c r="C612" s="413" t="str">
        <f>IFERROR(INDEX(Table14[],MATCH($B612,Table14[SAPNo],0),3),"")</f>
        <v>Drop In 1308 CT31   (B)</v>
      </c>
      <c r="D612" s="306"/>
      <c r="E612" s="421">
        <v>6</v>
      </c>
      <c r="F612" s="421"/>
      <c r="G612" s="417" t="s">
        <v>1303</v>
      </c>
      <c r="H612" s="598">
        <v>14093393</v>
      </c>
      <c r="I612" s="322" t="s">
        <v>1304</v>
      </c>
      <c r="J612" s="418"/>
      <c r="K612" s="248"/>
      <c r="M612" s="248"/>
      <c r="AF612">
        <v>6</v>
      </c>
    </row>
    <row r="613" spans="1:32" x14ac:dyDescent="0.25">
      <c r="A613" s="320">
        <v>45273</v>
      </c>
      <c r="B613" s="419">
        <v>1208601</v>
      </c>
      <c r="C613" s="413" t="str">
        <f>IFERROR(INDEX(Table14[],MATCH($B613,Table14[SAPNo],0),3),"")</f>
        <v>1613 CT418 U-60</v>
      </c>
      <c r="D613" s="306"/>
      <c r="E613" s="421">
        <v>8</v>
      </c>
      <c r="F613" s="421"/>
      <c r="G613" s="420" t="s">
        <v>1303</v>
      </c>
      <c r="H613" s="599">
        <v>14093393</v>
      </c>
      <c r="I613" s="322" t="s">
        <v>1304</v>
      </c>
      <c r="J613" s="421"/>
      <c r="K613" s="422"/>
      <c r="M613" s="422"/>
      <c r="AF613">
        <v>8</v>
      </c>
    </row>
    <row r="614" spans="1:32" x14ac:dyDescent="0.25">
      <c r="A614" s="308">
        <v>45273</v>
      </c>
      <c r="B614" s="416">
        <v>1145493</v>
      </c>
      <c r="C614" s="413" t="str">
        <f>IFERROR(INDEX(Table14[],MATCH($B614,Table14[SAPNo],0),3),"")</f>
        <v>Round 1313 CT427  10C (S)</v>
      </c>
      <c r="D614" s="306"/>
      <c r="E614" s="421"/>
      <c r="F614" s="421"/>
      <c r="G614" s="417" t="s">
        <v>1295</v>
      </c>
      <c r="H614" s="598" t="s">
        <v>1296</v>
      </c>
      <c r="I614" s="322" t="s">
        <v>1297</v>
      </c>
      <c r="J614" s="418">
        <v>6</v>
      </c>
      <c r="K614" s="248"/>
      <c r="M614" s="248"/>
    </row>
    <row r="615" spans="1:32" x14ac:dyDescent="0.25">
      <c r="A615" s="320">
        <v>45273</v>
      </c>
      <c r="B615" s="419">
        <v>907609</v>
      </c>
      <c r="C615" s="413" t="str">
        <f>IFERROR(INDEX(Table14[],MATCH($B615,Table14[SAPNo],0),3),"")</f>
        <v>Round 1313 CT125 GEDB 10C (S)</v>
      </c>
      <c r="D615" s="306"/>
      <c r="E615" s="421"/>
      <c r="F615" s="421"/>
      <c r="G615" s="420" t="s">
        <v>1305</v>
      </c>
      <c r="H615" s="599" t="s">
        <v>1306</v>
      </c>
      <c r="I615" s="322" t="s">
        <v>1307</v>
      </c>
      <c r="J615" s="421">
        <v>4</v>
      </c>
      <c r="K615" s="422"/>
      <c r="M615" s="422"/>
    </row>
    <row r="616" spans="1:32" x14ac:dyDescent="0.25">
      <c r="A616" s="308">
        <v>45274</v>
      </c>
      <c r="B616" s="416">
        <v>418525</v>
      </c>
      <c r="C616" s="413" t="str">
        <f>IFERROR(INDEX(Table14[],MATCH($B616,Table14[SAPNo],0),3),"")</f>
        <v>Drop In 1308 CT31   (B)</v>
      </c>
      <c r="D616" s="306"/>
      <c r="E616" s="421">
        <v>8</v>
      </c>
      <c r="F616" s="421"/>
      <c r="G616" s="417" t="s">
        <v>1308</v>
      </c>
      <c r="H616" s="598">
        <v>14074752</v>
      </c>
      <c r="I616" s="322" t="s">
        <v>1255</v>
      </c>
      <c r="J616" s="418"/>
      <c r="K616" s="248"/>
      <c r="M616" s="248"/>
      <c r="AF616">
        <v>8</v>
      </c>
    </row>
    <row r="617" spans="1:32" x14ac:dyDescent="0.25">
      <c r="A617" s="308">
        <v>45274</v>
      </c>
      <c r="B617" s="416">
        <v>1146737</v>
      </c>
      <c r="C617" s="413" t="str">
        <f>IFERROR(INDEX(Table14[],MATCH($B617,Table14[SAPNo],0),3),"")</f>
        <v>1613 CT418 18-60</v>
      </c>
      <c r="D617" s="306"/>
      <c r="E617" s="421">
        <v>39</v>
      </c>
      <c r="F617" s="421"/>
      <c r="G617" s="417" t="s">
        <v>1308</v>
      </c>
      <c r="H617" s="598">
        <v>14074752</v>
      </c>
      <c r="I617" s="322" t="s">
        <v>1255</v>
      </c>
      <c r="J617" s="418"/>
      <c r="K617" s="248"/>
      <c r="M617" s="248"/>
      <c r="AF617">
        <v>39</v>
      </c>
    </row>
    <row r="618" spans="1:32" x14ac:dyDescent="0.25">
      <c r="A618" s="308">
        <v>45274</v>
      </c>
      <c r="B618" s="416">
        <v>1271790</v>
      </c>
      <c r="C618" s="413" t="str">
        <f>IFERROR(INDEX(Table14[],MATCH($B618,Table14[SAPNo],0),3),"")</f>
        <v xml:space="preserve">1613 CT170 18-60 </v>
      </c>
      <c r="D618" s="306"/>
      <c r="E618" s="421">
        <v>53</v>
      </c>
      <c r="F618" s="421"/>
      <c r="G618" s="417" t="s">
        <v>1308</v>
      </c>
      <c r="H618" s="598">
        <v>14074752</v>
      </c>
      <c r="I618" s="322" t="s">
        <v>1255</v>
      </c>
      <c r="J618" s="418"/>
      <c r="K618" s="248"/>
      <c r="M618" s="248"/>
      <c r="AF618">
        <v>53</v>
      </c>
    </row>
    <row r="619" spans="1:32" x14ac:dyDescent="0.25">
      <c r="A619" s="308">
        <v>45274</v>
      </c>
      <c r="B619" s="416">
        <v>647436</v>
      </c>
      <c r="C619" s="413" t="str">
        <f>IFERROR(INDEX(Table14[],MATCH($B619,Table14[SAPNo],0),3),"")</f>
        <v>Round 1613 CT200  0.018" (B)</v>
      </c>
      <c r="D619" s="306"/>
      <c r="E619" s="421">
        <v>64</v>
      </c>
      <c r="F619" s="421"/>
      <c r="G619" s="417" t="s">
        <v>1308</v>
      </c>
      <c r="H619" s="598">
        <v>14074752</v>
      </c>
      <c r="I619" s="322" t="s">
        <v>1255</v>
      </c>
      <c r="J619" s="418"/>
      <c r="K619" s="248"/>
      <c r="M619" s="248"/>
      <c r="AF619">
        <v>64</v>
      </c>
    </row>
    <row r="620" spans="1:32" x14ac:dyDescent="0.25">
      <c r="A620" s="308">
        <v>45274</v>
      </c>
      <c r="B620" s="416">
        <v>647435</v>
      </c>
      <c r="C620" s="413" t="str">
        <f>IFERROR(INDEX(Table14[],MATCH($B620,Table14[SAPNo],0),3),"")</f>
        <v>Round 1608 CT200  0.018" (B)</v>
      </c>
      <c r="D620" s="306"/>
      <c r="E620" s="421">
        <v>16</v>
      </c>
      <c r="F620" s="421"/>
      <c r="G620" s="417" t="s">
        <v>1308</v>
      </c>
      <c r="H620" s="598">
        <v>14074752</v>
      </c>
      <c r="I620" s="322" t="s">
        <v>1255</v>
      </c>
      <c r="J620" s="418"/>
      <c r="K620" s="248"/>
      <c r="M620" s="248"/>
      <c r="AF620">
        <v>16</v>
      </c>
    </row>
    <row r="621" spans="1:32" x14ac:dyDescent="0.25">
      <c r="A621" s="308">
        <v>45274</v>
      </c>
      <c r="B621" s="416">
        <v>1146737</v>
      </c>
      <c r="C621" s="413" t="str">
        <f>IFERROR(INDEX(Table14[],MATCH($B621,Table14[SAPNo],0),3),"")</f>
        <v>1613 CT418 18-60</v>
      </c>
      <c r="D621" s="306"/>
      <c r="E621" s="421">
        <v>39</v>
      </c>
      <c r="F621" s="421"/>
      <c r="G621" s="417" t="s">
        <v>1309</v>
      </c>
      <c r="H621" s="598">
        <v>14074753</v>
      </c>
      <c r="I621" s="322" t="s">
        <v>1255</v>
      </c>
      <c r="J621" s="418"/>
      <c r="K621" s="248"/>
      <c r="M621" s="248"/>
      <c r="AF621">
        <v>39</v>
      </c>
    </row>
    <row r="622" spans="1:32" x14ac:dyDescent="0.25">
      <c r="A622" s="308">
        <v>45274</v>
      </c>
      <c r="B622" s="416">
        <v>1271790</v>
      </c>
      <c r="C622" s="413" t="str">
        <f>IFERROR(INDEX(Table14[],MATCH($B622,Table14[SAPNo],0),3),"")</f>
        <v xml:space="preserve">1613 CT170 18-60 </v>
      </c>
      <c r="D622" s="306"/>
      <c r="E622" s="421">
        <v>53</v>
      </c>
      <c r="F622" s="421"/>
      <c r="G622" s="417" t="s">
        <v>1309</v>
      </c>
      <c r="H622" s="598">
        <v>14074753</v>
      </c>
      <c r="I622" s="322" t="s">
        <v>1255</v>
      </c>
      <c r="J622" s="418"/>
      <c r="K622" s="248"/>
      <c r="M622" s="248"/>
      <c r="AF622">
        <v>53</v>
      </c>
    </row>
    <row r="623" spans="1:32" x14ac:dyDescent="0.25">
      <c r="A623" s="308">
        <v>45274</v>
      </c>
      <c r="B623" s="416">
        <v>418525</v>
      </c>
      <c r="C623" s="413" t="str">
        <f>IFERROR(INDEX(Table14[],MATCH($B623,Table14[SAPNo],0),3),"")</f>
        <v>Drop In 1308 CT31   (B)</v>
      </c>
      <c r="D623" s="306"/>
      <c r="E623" s="421">
        <v>8</v>
      </c>
      <c r="F623" s="421"/>
      <c r="G623" s="417" t="s">
        <v>1309</v>
      </c>
      <c r="H623" s="598">
        <v>14074753</v>
      </c>
      <c r="I623" s="322" t="s">
        <v>1255</v>
      </c>
      <c r="J623" s="418"/>
      <c r="K623" s="248"/>
      <c r="M623" s="248"/>
      <c r="AF623">
        <v>8</v>
      </c>
    </row>
    <row r="624" spans="1:32" x14ac:dyDescent="0.25">
      <c r="A624" s="308">
        <v>45274</v>
      </c>
      <c r="B624" s="416">
        <v>647436</v>
      </c>
      <c r="C624" s="413" t="str">
        <f>IFERROR(INDEX(Table14[],MATCH($B624,Table14[SAPNo],0),3),"")</f>
        <v>Round 1613 CT200  0.018" (B)</v>
      </c>
      <c r="D624" s="306"/>
      <c r="E624" s="421">
        <v>64</v>
      </c>
      <c r="F624" s="421"/>
      <c r="G624" s="417" t="s">
        <v>1309</v>
      </c>
      <c r="H624" s="598">
        <v>14074753</v>
      </c>
      <c r="I624" s="322" t="s">
        <v>1255</v>
      </c>
      <c r="J624" s="418"/>
      <c r="K624" s="248"/>
      <c r="M624" s="248"/>
      <c r="AF624">
        <v>64</v>
      </c>
    </row>
    <row r="625" spans="1:32" x14ac:dyDescent="0.25">
      <c r="A625" s="308">
        <v>45274</v>
      </c>
      <c r="B625" s="416">
        <v>647435</v>
      </c>
      <c r="C625" s="413" t="str">
        <f>IFERROR(INDEX(Table14[],MATCH($B625,Table14[SAPNo],0),3),"")</f>
        <v>Round 1608 CT200  0.018" (B)</v>
      </c>
      <c r="D625" s="306"/>
      <c r="E625" s="421">
        <v>16</v>
      </c>
      <c r="F625" s="421"/>
      <c r="G625" s="417" t="s">
        <v>1309</v>
      </c>
      <c r="H625" s="598">
        <v>14074753</v>
      </c>
      <c r="I625" s="322" t="s">
        <v>1255</v>
      </c>
      <c r="J625" s="418"/>
      <c r="K625" s="248"/>
      <c r="M625" s="248"/>
      <c r="AF625">
        <v>16</v>
      </c>
    </row>
    <row r="626" spans="1:32" x14ac:dyDescent="0.25">
      <c r="A626" s="308">
        <v>45274</v>
      </c>
      <c r="B626" s="416">
        <v>729689</v>
      </c>
      <c r="C626" s="413" t="str">
        <f>IFERROR(INDEX(Table14[],MATCH($B626,Table14[SAPNo],0),3),"")</f>
        <v>Round 1313 CT82  0.018" (S)</v>
      </c>
      <c r="D626" s="306"/>
      <c r="E626" s="421">
        <v>1</v>
      </c>
      <c r="F626" s="421"/>
      <c r="G626" s="417" t="s">
        <v>1310</v>
      </c>
      <c r="H626" s="598" t="s">
        <v>1292</v>
      </c>
      <c r="I626" s="322" t="s">
        <v>1293</v>
      </c>
      <c r="J626" s="418"/>
      <c r="K626" s="248"/>
      <c r="M626" s="248"/>
      <c r="AF626">
        <v>1</v>
      </c>
    </row>
    <row r="627" spans="1:32" x14ac:dyDescent="0.25">
      <c r="A627" s="308">
        <v>45277</v>
      </c>
      <c r="B627" s="416">
        <v>1146737</v>
      </c>
      <c r="C627" s="413" t="str">
        <f>IFERROR(INDEX(Table14[],MATCH($B627,Table14[SAPNo],0),3),"")</f>
        <v>1613 CT418 18-60</v>
      </c>
      <c r="D627" s="306"/>
      <c r="E627" s="421">
        <v>10</v>
      </c>
      <c r="F627" s="421"/>
      <c r="G627" s="417" t="s">
        <v>1311</v>
      </c>
      <c r="H627" s="598">
        <v>14081900</v>
      </c>
      <c r="I627" s="322" t="s">
        <v>1312</v>
      </c>
      <c r="J627" s="418"/>
      <c r="K627" s="248"/>
      <c r="M627" s="248"/>
      <c r="AF627">
        <v>10</v>
      </c>
    </row>
    <row r="628" spans="1:32" x14ac:dyDescent="0.25">
      <c r="A628" s="308">
        <v>45277</v>
      </c>
      <c r="B628" s="416">
        <v>1142711</v>
      </c>
      <c r="C628" s="413" t="str">
        <f>IFERROR(INDEX(Table14[],MATCH($B628,Table14[SAPNo],0),3),"")</f>
        <v>1613 CT421 U</v>
      </c>
      <c r="D628" s="306"/>
      <c r="E628" s="421">
        <v>10</v>
      </c>
      <c r="F628" s="421"/>
      <c r="G628" s="417" t="s">
        <v>1311</v>
      </c>
      <c r="H628" s="598">
        <v>14081900</v>
      </c>
      <c r="I628" s="322" t="s">
        <v>1312</v>
      </c>
      <c r="J628" s="418"/>
      <c r="K628" s="248"/>
      <c r="M628" s="248"/>
      <c r="AF628">
        <v>10</v>
      </c>
    </row>
    <row r="629" spans="1:32" x14ac:dyDescent="0.25">
      <c r="A629" s="308">
        <v>45277</v>
      </c>
      <c r="B629" s="416">
        <v>1175118</v>
      </c>
      <c r="C629" s="413" t="str">
        <f>IFERROR(INDEX(Table14[],MATCH($B629,Table14[SAPNo],0),3),"")</f>
        <v>1613 CT147 18-60</v>
      </c>
      <c r="D629" s="306"/>
      <c r="E629" s="421">
        <v>6</v>
      </c>
      <c r="F629" s="421"/>
      <c r="G629" s="417" t="s">
        <v>1311</v>
      </c>
      <c r="H629" s="598">
        <v>14081900</v>
      </c>
      <c r="I629" s="322" t="s">
        <v>1312</v>
      </c>
      <c r="J629" s="418"/>
      <c r="K629" s="248"/>
      <c r="M629" s="248"/>
      <c r="AF629">
        <v>6</v>
      </c>
    </row>
    <row r="630" spans="1:32" x14ac:dyDescent="0.25">
      <c r="A630" s="308">
        <v>45277</v>
      </c>
      <c r="B630" s="416">
        <v>1200972</v>
      </c>
      <c r="C630" s="413" t="str">
        <f>IFERROR(INDEX(Table14[],MATCH($B630,Table14[SAPNo],0),3),"")</f>
        <v xml:space="preserve">8MM WC-MAT400 </v>
      </c>
      <c r="D630" s="306"/>
      <c r="E630" s="421">
        <v>5</v>
      </c>
      <c r="F630" s="421"/>
      <c r="G630" s="417" t="s">
        <v>1311</v>
      </c>
      <c r="H630" s="598">
        <v>14081900</v>
      </c>
      <c r="I630" s="322" t="s">
        <v>1312</v>
      </c>
      <c r="J630" s="418"/>
      <c r="K630" s="248"/>
      <c r="M630" s="248"/>
      <c r="AF630">
        <v>5</v>
      </c>
    </row>
    <row r="631" spans="1:32" x14ac:dyDescent="0.25">
      <c r="A631" s="308">
        <v>45277</v>
      </c>
      <c r="B631" s="416">
        <v>1208601</v>
      </c>
      <c r="C631" s="413" t="str">
        <f>IFERROR(INDEX(Table14[],MATCH($B631,Table14[SAPNo],0),3),"")</f>
        <v>1613 CT418 U-60</v>
      </c>
      <c r="D631" s="306"/>
      <c r="E631" s="421">
        <v>7</v>
      </c>
      <c r="F631" s="421"/>
      <c r="G631" s="417" t="s">
        <v>1311</v>
      </c>
      <c r="H631" s="598">
        <v>14081900</v>
      </c>
      <c r="I631" s="322" t="s">
        <v>1312</v>
      </c>
      <c r="J631" s="418"/>
      <c r="K631" s="248"/>
      <c r="M631" s="248"/>
      <c r="AF631">
        <v>7</v>
      </c>
    </row>
    <row r="632" spans="1:32" x14ac:dyDescent="0.25">
      <c r="A632" s="308">
        <v>45277</v>
      </c>
      <c r="B632" s="416">
        <v>1234189</v>
      </c>
      <c r="C632" s="413" t="str">
        <f>IFERROR(INDEX(Table14[],MATCH($B632,Table14[SAPNo],0),3),"")</f>
        <v xml:space="preserve">13MM WC-MAT400 </v>
      </c>
      <c r="D632" s="306"/>
      <c r="E632" s="421">
        <v>3</v>
      </c>
      <c r="F632" s="421"/>
      <c r="G632" s="417" t="s">
        <v>1311</v>
      </c>
      <c r="H632" s="598">
        <v>14081900</v>
      </c>
      <c r="I632" s="322" t="s">
        <v>1312</v>
      </c>
      <c r="J632" s="418"/>
      <c r="K632" s="248"/>
      <c r="M632" s="248"/>
      <c r="AF632">
        <v>3</v>
      </c>
    </row>
    <row r="633" spans="1:32" x14ac:dyDescent="0.25">
      <c r="A633" s="308">
        <v>45277</v>
      </c>
      <c r="B633" s="416">
        <v>871781</v>
      </c>
      <c r="C633" s="413" t="str">
        <f>IFERROR(INDEX(Table14[],MATCH($B633,Table14[SAPNo],0),3),"")</f>
        <v>Round 1313 CT200  0.018" (B)</v>
      </c>
      <c r="D633" s="306"/>
      <c r="E633" s="421">
        <v>5</v>
      </c>
      <c r="F633" s="421"/>
      <c r="G633" s="417" t="s">
        <v>1311</v>
      </c>
      <c r="H633" s="598">
        <v>14081900</v>
      </c>
      <c r="I633" s="322" t="s">
        <v>1312</v>
      </c>
      <c r="J633" s="418"/>
      <c r="K633" s="248"/>
      <c r="M633" s="248"/>
      <c r="AF633">
        <v>5</v>
      </c>
    </row>
    <row r="634" spans="1:32" x14ac:dyDescent="0.25">
      <c r="A634" s="308">
        <v>45277</v>
      </c>
      <c r="B634" s="416">
        <v>1219562</v>
      </c>
      <c r="C634" s="413" t="str">
        <f>IFERROR(INDEX(Table14[],MATCH($B634,Table14[SAPNo],0),3),"")</f>
        <v>1613 CT147R U</v>
      </c>
      <c r="D634" s="306"/>
      <c r="E634" s="421">
        <v>16</v>
      </c>
      <c r="F634" s="421"/>
      <c r="G634" s="417" t="s">
        <v>1311</v>
      </c>
      <c r="H634" s="598">
        <v>14081900</v>
      </c>
      <c r="I634" s="322" t="s">
        <v>1312</v>
      </c>
      <c r="J634" s="418"/>
      <c r="K634" s="248"/>
      <c r="M634" s="248"/>
      <c r="AF634">
        <v>16</v>
      </c>
    </row>
    <row r="635" spans="1:32" x14ac:dyDescent="0.25">
      <c r="A635" s="308">
        <v>45277</v>
      </c>
      <c r="B635" s="416">
        <v>1100696</v>
      </c>
      <c r="C635" s="413" t="str">
        <f>IFERROR(INDEX(Table14[],MATCH($B635,Table14[SAPNo],0),3),"")</f>
        <v>Round 1313 CT418  10C (S)</v>
      </c>
      <c r="D635" s="306"/>
      <c r="E635" s="421">
        <v>5</v>
      </c>
      <c r="F635" s="421"/>
      <c r="G635" s="417" t="s">
        <v>1313</v>
      </c>
      <c r="H635" s="598">
        <v>14093062</v>
      </c>
      <c r="I635" s="322" t="s">
        <v>1074</v>
      </c>
      <c r="J635" s="418"/>
      <c r="K635" s="248"/>
      <c r="M635" s="248"/>
      <c r="AF635">
        <v>5</v>
      </c>
    </row>
    <row r="636" spans="1:32" x14ac:dyDescent="0.25">
      <c r="A636" s="308">
        <v>45277</v>
      </c>
      <c r="B636" s="416">
        <v>1146346</v>
      </c>
      <c r="C636" s="413" t="str">
        <f>IFERROR(INDEX(Table14[],MATCH($B636,Table14[SAPNo],0),3),"")</f>
        <v>1313 CT418 18-60</v>
      </c>
      <c r="D636" s="306"/>
      <c r="E636" s="421">
        <v>7</v>
      </c>
      <c r="F636" s="421"/>
      <c r="G636" s="417" t="s">
        <v>1313</v>
      </c>
      <c r="H636" s="598">
        <v>14093062</v>
      </c>
      <c r="I636" s="322" t="s">
        <v>1074</v>
      </c>
      <c r="J636" s="418"/>
      <c r="K636" s="248"/>
      <c r="M636" s="248"/>
      <c r="AF636">
        <v>7</v>
      </c>
    </row>
    <row r="637" spans="1:32" x14ac:dyDescent="0.25">
      <c r="A637" s="308">
        <v>45277</v>
      </c>
      <c r="B637" s="416">
        <v>1136984</v>
      </c>
      <c r="C637" s="413" t="str">
        <f>IFERROR(INDEX(Table14[],MATCH($B637,Table14[SAPNo],0),3),"")</f>
        <v>DBLMCHT 1313 CT182DM  10C (S)</v>
      </c>
      <c r="D637" s="306"/>
      <c r="E637" s="421">
        <v>13</v>
      </c>
      <c r="F637" s="421"/>
      <c r="G637" s="417" t="s">
        <v>1313</v>
      </c>
      <c r="H637" s="598">
        <v>14093062</v>
      </c>
      <c r="I637" s="322" t="s">
        <v>1074</v>
      </c>
      <c r="J637" s="418"/>
      <c r="K637" s="248"/>
      <c r="M637" s="248"/>
      <c r="AF637">
        <v>13</v>
      </c>
    </row>
    <row r="638" spans="1:32" x14ac:dyDescent="0.25">
      <c r="A638" s="308">
        <v>45277</v>
      </c>
      <c r="B638" s="416">
        <v>418525</v>
      </c>
      <c r="C638" s="413" t="str">
        <f>IFERROR(INDEX(Table14[],MATCH($B638,Table14[SAPNo],0),3),"")</f>
        <v>Drop In 1308 CT31   (B)</v>
      </c>
      <c r="D638" s="306"/>
      <c r="E638" s="421">
        <v>6</v>
      </c>
      <c r="F638" s="421"/>
      <c r="G638" s="417" t="s">
        <v>1313</v>
      </c>
      <c r="H638" s="598">
        <v>14093062</v>
      </c>
      <c r="I638" s="322" t="s">
        <v>1074</v>
      </c>
      <c r="J638" s="418"/>
      <c r="K638" s="248"/>
      <c r="M638" s="248"/>
      <c r="AF638">
        <v>6</v>
      </c>
    </row>
    <row r="639" spans="1:32" x14ac:dyDescent="0.25">
      <c r="A639" s="308">
        <v>45277</v>
      </c>
      <c r="B639" s="416">
        <v>1104083</v>
      </c>
      <c r="C639" s="413" t="str">
        <f>IFERROR(INDEX(Table14[],MATCH($B639,Table14[SAPNo],0),3),"")</f>
        <v>1313 CT144H  10C (S)</v>
      </c>
      <c r="D639" s="306"/>
      <c r="E639" s="421">
        <v>1</v>
      </c>
      <c r="F639" s="421"/>
      <c r="G639" s="417" t="s">
        <v>1313</v>
      </c>
      <c r="H639" s="598">
        <v>14093062</v>
      </c>
      <c r="I639" s="322" t="s">
        <v>1074</v>
      </c>
      <c r="J639" s="418"/>
      <c r="K639" s="248"/>
      <c r="M639" s="248"/>
      <c r="AF639">
        <v>1</v>
      </c>
    </row>
    <row r="640" spans="1:32" x14ac:dyDescent="0.25">
      <c r="A640" s="308">
        <v>45277</v>
      </c>
      <c r="B640" s="416">
        <v>1101509</v>
      </c>
      <c r="C640" s="413" t="str">
        <f>IFERROR(INDEX(Table14[],MATCH($B640,Table14[SAPNo],0),3),"")</f>
        <v>Short IA 8    (C)</v>
      </c>
      <c r="D640" s="306"/>
      <c r="E640" s="421">
        <v>5</v>
      </c>
      <c r="F640" s="421"/>
      <c r="G640" s="417" t="s">
        <v>1313</v>
      </c>
      <c r="H640" s="598">
        <v>14093062</v>
      </c>
      <c r="I640" s="322" t="s">
        <v>1074</v>
      </c>
      <c r="J640" s="418"/>
      <c r="K640" s="248"/>
      <c r="M640" s="248"/>
      <c r="AF640">
        <v>5</v>
      </c>
    </row>
    <row r="641" spans="1:32" x14ac:dyDescent="0.25">
      <c r="A641" s="308">
        <v>45278</v>
      </c>
      <c r="B641" s="416">
        <v>882800</v>
      </c>
      <c r="C641" s="413" t="str">
        <f>IFERROR(INDEX(Table14[],MATCH($B641,Table14[SAPNo],0),3),"")</f>
        <v>Round 0808 CT80  0.018" (B)</v>
      </c>
      <c r="D641" s="306"/>
      <c r="E641" s="421">
        <v>5</v>
      </c>
      <c r="F641" s="421"/>
      <c r="G641" s="417" t="s">
        <v>1314</v>
      </c>
      <c r="H641" s="598">
        <v>13778370</v>
      </c>
      <c r="I641" s="322" t="s">
        <v>1315</v>
      </c>
      <c r="J641" s="418"/>
      <c r="K641" s="248"/>
      <c r="M641" s="248"/>
      <c r="AF641">
        <v>5</v>
      </c>
    </row>
    <row r="642" spans="1:32" x14ac:dyDescent="0.25">
      <c r="A642" s="308">
        <v>45278</v>
      </c>
      <c r="B642" s="416">
        <v>1177229</v>
      </c>
      <c r="C642" s="413" t="str">
        <f>IFERROR(INDEX(Table14[],MATCH($B642,Table14[SAPNo],0),3),"")</f>
        <v>1010 CT182 U</v>
      </c>
      <c r="D642" s="306"/>
      <c r="E642" s="421">
        <v>19</v>
      </c>
      <c r="F642" s="421"/>
      <c r="G642" s="417" t="s">
        <v>1314</v>
      </c>
      <c r="H642" s="598">
        <v>13778370</v>
      </c>
      <c r="I642" s="322" t="s">
        <v>1315</v>
      </c>
      <c r="J642" s="418"/>
      <c r="K642" s="248"/>
      <c r="M642" s="248"/>
      <c r="AF642">
        <v>19</v>
      </c>
    </row>
    <row r="643" spans="1:32" x14ac:dyDescent="0.25">
      <c r="A643" s="308">
        <v>45278</v>
      </c>
      <c r="B643" s="416">
        <v>418525</v>
      </c>
      <c r="C643" s="413" t="str">
        <f>IFERROR(INDEX(Table14[],MATCH($B643,Table14[SAPNo],0),3),"")</f>
        <v>Drop In 1308 CT31   (B)</v>
      </c>
      <c r="D643" s="306"/>
      <c r="E643" s="421">
        <v>8</v>
      </c>
      <c r="F643" s="421"/>
      <c r="G643" s="417" t="s">
        <v>1316</v>
      </c>
      <c r="H643" s="598">
        <v>14074750</v>
      </c>
      <c r="I643" s="322" t="s">
        <v>1071</v>
      </c>
      <c r="J643" s="418"/>
      <c r="K643" s="248"/>
      <c r="M643" s="248"/>
      <c r="AF643">
        <v>8</v>
      </c>
    </row>
    <row r="644" spans="1:32" x14ac:dyDescent="0.25">
      <c r="A644" s="308">
        <v>45278</v>
      </c>
      <c r="B644" s="416">
        <v>1130198</v>
      </c>
      <c r="C644" s="413" t="str">
        <f>IFERROR(INDEX(Table14[],MATCH($B644,Table14[SAPNo],0),3),"")</f>
        <v>Round 1613 CT182  0.018" (S)</v>
      </c>
      <c r="D644" s="306"/>
      <c r="E644" s="421">
        <v>147</v>
      </c>
      <c r="F644" s="421"/>
      <c r="G644" s="417" t="s">
        <v>1316</v>
      </c>
      <c r="H644" s="598">
        <v>14074750</v>
      </c>
      <c r="I644" s="322" t="s">
        <v>1071</v>
      </c>
      <c r="J644" s="418"/>
      <c r="K644" s="248"/>
      <c r="M644" s="248"/>
      <c r="AF644">
        <v>147</v>
      </c>
    </row>
    <row r="645" spans="1:32" x14ac:dyDescent="0.25">
      <c r="A645" s="308">
        <v>45278</v>
      </c>
      <c r="B645" s="416">
        <v>1271790</v>
      </c>
      <c r="C645" s="413" t="str">
        <f>IFERROR(INDEX(Table14[],MATCH($B645,Table14[SAPNo],0),3),"")</f>
        <v xml:space="preserve">1613 CT170 18-60 </v>
      </c>
      <c r="D645" s="306"/>
      <c r="E645" s="421">
        <v>30</v>
      </c>
      <c r="F645" s="421"/>
      <c r="G645" s="417" t="s">
        <v>1317</v>
      </c>
      <c r="H645" s="598">
        <v>14093076</v>
      </c>
      <c r="I645" s="322" t="s">
        <v>1318</v>
      </c>
      <c r="J645" s="418"/>
      <c r="K645" s="248"/>
      <c r="M645" s="248"/>
      <c r="AF645">
        <v>30</v>
      </c>
    </row>
    <row r="646" spans="1:32" x14ac:dyDescent="0.25">
      <c r="A646" s="308">
        <v>45278</v>
      </c>
      <c r="B646" s="416">
        <v>1209410</v>
      </c>
      <c r="C646" s="413" t="str">
        <f>IFERROR(INDEX(Table14[],MATCH($B646,Table14[SAPNo],0),3),"")</f>
        <v>1613 CT430MV3 U TBO</v>
      </c>
      <c r="D646" s="306"/>
      <c r="E646" s="421">
        <v>10</v>
      </c>
      <c r="F646" s="421"/>
      <c r="G646" s="417" t="s">
        <v>1317</v>
      </c>
      <c r="H646" s="598">
        <v>14093076</v>
      </c>
      <c r="I646" s="322" t="s">
        <v>1318</v>
      </c>
      <c r="J646" s="418"/>
      <c r="K646" s="248"/>
      <c r="M646" s="248"/>
      <c r="AF646">
        <v>10</v>
      </c>
    </row>
    <row r="647" spans="1:32" x14ac:dyDescent="0.25">
      <c r="A647" s="308">
        <v>45278</v>
      </c>
      <c r="B647" s="416">
        <v>871781</v>
      </c>
      <c r="C647" s="413" t="str">
        <f>IFERROR(INDEX(Table14[],MATCH($B647,Table14[SAPNo],0),3),"")</f>
        <v>Round 1313 CT200  0.018" (B)</v>
      </c>
      <c r="D647" s="306"/>
      <c r="E647" s="421">
        <v>5</v>
      </c>
      <c r="F647" s="421"/>
      <c r="G647" s="417" t="s">
        <v>1317</v>
      </c>
      <c r="H647" s="598">
        <v>14093076</v>
      </c>
      <c r="I647" s="322" t="s">
        <v>1318</v>
      </c>
      <c r="J647" s="418"/>
      <c r="K647" s="248"/>
      <c r="M647" s="248"/>
      <c r="AF647">
        <v>5</v>
      </c>
    </row>
    <row r="648" spans="1:32" x14ac:dyDescent="0.25">
      <c r="A648" s="308">
        <v>45278</v>
      </c>
      <c r="B648" s="416">
        <v>1100751</v>
      </c>
      <c r="C648" s="413" t="str">
        <f>IFERROR(INDEX(Table14[],MATCH($B648,Table14[SAPNo],0),3),"")</f>
        <v>1313 CT421 0.018"</v>
      </c>
      <c r="D648" s="306"/>
      <c r="E648" s="421">
        <v>22</v>
      </c>
      <c r="F648" s="421"/>
      <c r="G648" s="417" t="s">
        <v>1317</v>
      </c>
      <c r="H648" s="598">
        <v>14093076</v>
      </c>
      <c r="I648" s="322" t="s">
        <v>1318</v>
      </c>
      <c r="J648" s="418"/>
      <c r="K648" s="248"/>
      <c r="M648" s="248"/>
      <c r="AF648">
        <v>22</v>
      </c>
    </row>
    <row r="649" spans="1:32" x14ac:dyDescent="0.25">
      <c r="A649" s="308">
        <v>45278</v>
      </c>
      <c r="B649" s="416">
        <v>1146737</v>
      </c>
      <c r="C649" s="413" t="str">
        <f>IFERROR(INDEX(Table14[],MATCH($B649,Table14[SAPNo],0),3),"")</f>
        <v>1613 CT418 18-60</v>
      </c>
      <c r="D649" s="306"/>
      <c r="E649" s="421">
        <v>10</v>
      </c>
      <c r="F649" s="421"/>
      <c r="G649" s="417" t="s">
        <v>1317</v>
      </c>
      <c r="H649" s="598">
        <v>14093076</v>
      </c>
      <c r="I649" s="322" t="s">
        <v>1318</v>
      </c>
      <c r="J649" s="418"/>
      <c r="K649" s="248"/>
      <c r="M649" s="248"/>
      <c r="AF649">
        <v>10</v>
      </c>
    </row>
    <row r="650" spans="1:32" x14ac:dyDescent="0.25">
      <c r="A650" s="308">
        <v>45279</v>
      </c>
      <c r="B650" s="416">
        <v>418525</v>
      </c>
      <c r="C650" s="413" t="str">
        <f>IFERROR(INDEX(Table14[],MATCH($B650,Table14[SAPNo],0),3),"")</f>
        <v>Drop In 1308 CT31   (B)</v>
      </c>
      <c r="D650" s="306"/>
      <c r="E650" s="421">
        <v>8</v>
      </c>
      <c r="F650" s="421"/>
      <c r="G650" s="417" t="s">
        <v>1319</v>
      </c>
      <c r="H650" s="598">
        <v>13903295</v>
      </c>
      <c r="I650" s="322" t="s">
        <v>1237</v>
      </c>
      <c r="J650" s="418"/>
      <c r="K650" s="248"/>
      <c r="M650" s="248"/>
      <c r="AF650">
        <v>8</v>
      </c>
    </row>
    <row r="651" spans="1:32" x14ac:dyDescent="0.25">
      <c r="A651" s="308">
        <v>45279</v>
      </c>
      <c r="B651" s="416">
        <v>647436</v>
      </c>
      <c r="C651" s="413" t="str">
        <f>IFERROR(INDEX(Table14[],MATCH($B651,Table14[SAPNo],0),3),"")</f>
        <v>Round 1613 CT200  0.018" (B)</v>
      </c>
      <c r="D651" s="306"/>
      <c r="E651" s="421">
        <v>32</v>
      </c>
      <c r="F651" s="421"/>
      <c r="G651" s="417" t="s">
        <v>1319</v>
      </c>
      <c r="H651" s="598">
        <v>13903295</v>
      </c>
      <c r="I651" s="322" t="s">
        <v>1237</v>
      </c>
      <c r="J651" s="418"/>
      <c r="K651" s="248"/>
      <c r="M651" s="248"/>
      <c r="AF651">
        <v>32</v>
      </c>
    </row>
    <row r="652" spans="1:32" x14ac:dyDescent="0.25">
      <c r="A652" s="320">
        <v>45279</v>
      </c>
      <c r="B652" s="419">
        <v>1130198</v>
      </c>
      <c r="C652" s="413" t="str">
        <f>IFERROR(INDEX(Table14[],MATCH($B652,Table14[SAPNo],0),3),"")</f>
        <v>Round 1613 CT182  0.018" (S)</v>
      </c>
      <c r="D652" s="306"/>
      <c r="E652" s="421">
        <v>105</v>
      </c>
      <c r="F652" s="421"/>
      <c r="G652" s="420" t="s">
        <v>1319</v>
      </c>
      <c r="H652" s="599">
        <v>13903295</v>
      </c>
      <c r="I652" s="322" t="s">
        <v>1237</v>
      </c>
      <c r="J652" s="421"/>
      <c r="K652" s="422"/>
      <c r="M652" s="422"/>
      <c r="AF652">
        <v>105</v>
      </c>
    </row>
    <row r="653" spans="1:32" x14ac:dyDescent="0.25">
      <c r="A653" s="308">
        <v>45280</v>
      </c>
      <c r="B653" s="416">
        <v>1130217</v>
      </c>
      <c r="C653" s="413" t="str">
        <f>IFERROR(INDEX(Table14[],MATCH($B653,Table14[SAPNo],0),3),"")</f>
        <v>Round 1010 CT182   10C (S)</v>
      </c>
      <c r="D653" s="306"/>
      <c r="E653" s="421">
        <v>6</v>
      </c>
      <c r="F653" s="421"/>
      <c r="G653" s="417">
        <v>20231246</v>
      </c>
      <c r="H653" s="598" t="s">
        <v>1320</v>
      </c>
      <c r="I653" s="322" t="s">
        <v>1268</v>
      </c>
      <c r="J653" s="418"/>
      <c r="K653" s="248"/>
      <c r="M653" s="248"/>
      <c r="AF653">
        <v>6</v>
      </c>
    </row>
    <row r="654" spans="1:32" x14ac:dyDescent="0.25">
      <c r="A654" s="320">
        <v>45280</v>
      </c>
      <c r="B654" s="419">
        <v>1130217</v>
      </c>
      <c r="C654" s="413" t="str">
        <f>IFERROR(INDEX(Table14[],MATCH($B654,Table14[SAPNo],0),3),"")</f>
        <v>Round 1010 CT182   10C (S)</v>
      </c>
      <c r="D654" s="306"/>
      <c r="E654" s="421">
        <v>2</v>
      </c>
      <c r="F654" s="421"/>
      <c r="G654" s="420">
        <v>20231247</v>
      </c>
      <c r="H654" s="599" t="s">
        <v>1321</v>
      </c>
      <c r="I654" s="322" t="s">
        <v>1268</v>
      </c>
      <c r="J654" s="421"/>
      <c r="K654" s="422"/>
      <c r="M654" s="422"/>
      <c r="AF654">
        <v>2</v>
      </c>
    </row>
    <row r="655" spans="1:32" x14ac:dyDescent="0.25">
      <c r="A655" s="320">
        <v>45279</v>
      </c>
      <c r="B655" s="419">
        <v>1145493</v>
      </c>
      <c r="C655" s="413" t="str">
        <f>IFERROR(INDEX(Table14[],MATCH($B655,Table14[SAPNo],0),3),"")</f>
        <v>Round 1313 CT427  10C (S)</v>
      </c>
      <c r="D655" s="306"/>
      <c r="E655" s="421">
        <v>0</v>
      </c>
      <c r="F655" s="421"/>
      <c r="G655" s="420">
        <v>20231244</v>
      </c>
      <c r="H655" s="599">
        <v>14023083</v>
      </c>
      <c r="I655" s="322" t="s">
        <v>1322</v>
      </c>
      <c r="J655" s="421">
        <v>1</v>
      </c>
      <c r="K655" s="422"/>
      <c r="M655" s="422"/>
      <c r="AF655">
        <v>0</v>
      </c>
    </row>
    <row r="656" spans="1:32" x14ac:dyDescent="0.25">
      <c r="A656" s="320">
        <v>45279</v>
      </c>
      <c r="B656" s="419">
        <v>1209332</v>
      </c>
      <c r="C656" s="413" t="str">
        <f>IFERROR(INDEX(Table14[],MATCH($B656,Table14[SAPNo],0),3),"")</f>
        <v>1313 CT147G U</v>
      </c>
      <c r="D656" s="306"/>
      <c r="E656" s="421">
        <v>1</v>
      </c>
      <c r="F656" s="421"/>
      <c r="G656" s="420">
        <v>20231244</v>
      </c>
      <c r="H656" s="599">
        <v>14023083</v>
      </c>
      <c r="I656" s="322" t="s">
        <v>1322</v>
      </c>
      <c r="J656" s="421"/>
      <c r="K656" s="422"/>
      <c r="M656" s="422"/>
      <c r="AF656">
        <v>1</v>
      </c>
    </row>
    <row r="657" spans="1:32" x14ac:dyDescent="0.25">
      <c r="A657" s="320">
        <v>45285</v>
      </c>
      <c r="B657" s="419">
        <v>1145493</v>
      </c>
      <c r="C657" s="413" t="str">
        <f>IFERROR(INDEX(Table14[],MATCH($B657,Table14[SAPNo],0),3),"")</f>
        <v>Round 1313 CT427  10C (S)</v>
      </c>
      <c r="D657" s="306"/>
      <c r="E657" s="421">
        <v>0</v>
      </c>
      <c r="F657" s="421"/>
      <c r="G657" s="420" t="s">
        <v>1323</v>
      </c>
      <c r="H657" s="599" t="s">
        <v>1324</v>
      </c>
      <c r="I657" s="322" t="s">
        <v>1093</v>
      </c>
      <c r="J657" s="421"/>
      <c r="K657" s="422"/>
      <c r="M657" s="422"/>
      <c r="AF657">
        <v>0</v>
      </c>
    </row>
    <row r="658" spans="1:32" x14ac:dyDescent="0.25">
      <c r="A658" s="308">
        <v>45285</v>
      </c>
      <c r="B658" s="416">
        <v>1209332</v>
      </c>
      <c r="C658" s="413" t="str">
        <f>IFERROR(INDEX(Table14[],MATCH($B658,Table14[SAPNo],0),3),"")</f>
        <v>1313 CT147G U</v>
      </c>
      <c r="D658" s="306"/>
      <c r="E658" s="421">
        <v>0</v>
      </c>
      <c r="F658" s="421"/>
      <c r="G658" s="417" t="s">
        <v>1323</v>
      </c>
      <c r="H658" s="598" t="s">
        <v>1324</v>
      </c>
      <c r="I658" s="322" t="s">
        <v>1093</v>
      </c>
      <c r="J658" s="418"/>
      <c r="K658" s="248"/>
      <c r="M658" s="248"/>
      <c r="AF658">
        <v>0</v>
      </c>
    </row>
    <row r="659" spans="1:32" x14ac:dyDescent="0.25">
      <c r="A659" s="308">
        <v>45285</v>
      </c>
      <c r="B659" s="416">
        <v>1145493</v>
      </c>
      <c r="C659" s="413" t="str">
        <f>IFERROR(INDEX(Table14[],MATCH($B659,Table14[SAPNo],0),3),"")</f>
        <v>Round 1313 CT427  10C (S)</v>
      </c>
      <c r="D659" s="306"/>
      <c r="E659" s="421">
        <v>0</v>
      </c>
      <c r="F659" s="421"/>
      <c r="G659" s="417" t="s">
        <v>1325</v>
      </c>
      <c r="H659" s="598" t="s">
        <v>1326</v>
      </c>
      <c r="I659" s="322" t="s">
        <v>1093</v>
      </c>
      <c r="J659" s="418"/>
      <c r="K659" s="248"/>
      <c r="M659" s="248"/>
      <c r="AF659">
        <v>0</v>
      </c>
    </row>
    <row r="660" spans="1:32" x14ac:dyDescent="0.25">
      <c r="A660" s="308">
        <v>45285</v>
      </c>
      <c r="B660" s="416">
        <v>1209332</v>
      </c>
      <c r="C660" s="413" t="str">
        <f>IFERROR(INDEX(Table14[],MATCH($B660,Table14[SAPNo],0),3),"")</f>
        <v>1313 CT147G U</v>
      </c>
      <c r="D660" s="306"/>
      <c r="E660" s="421">
        <v>0</v>
      </c>
      <c r="F660" s="421"/>
      <c r="G660" s="417" t="s">
        <v>1325</v>
      </c>
      <c r="H660" s="598" t="s">
        <v>1326</v>
      </c>
      <c r="I660" s="322" t="s">
        <v>1093</v>
      </c>
      <c r="J660" s="418"/>
      <c r="K660" s="248"/>
      <c r="M660" s="248"/>
      <c r="AF660">
        <v>0</v>
      </c>
    </row>
    <row r="661" spans="1:32" x14ac:dyDescent="0.25">
      <c r="A661" s="308">
        <v>45285</v>
      </c>
      <c r="B661" s="416">
        <v>1130198</v>
      </c>
      <c r="C661" s="413" t="str">
        <f>IFERROR(INDEX(Table14[],MATCH($B661,Table14[SAPNo],0),3),"")</f>
        <v>Round 1613 CT182  0.018" (S)</v>
      </c>
      <c r="D661" s="306"/>
      <c r="E661" s="421">
        <v>147</v>
      </c>
      <c r="F661" s="421"/>
      <c r="G661" s="417" t="s">
        <v>1327</v>
      </c>
      <c r="H661" s="598">
        <v>14074751</v>
      </c>
      <c r="I661" s="322" t="s">
        <v>1071</v>
      </c>
      <c r="J661" s="418"/>
      <c r="K661" s="248"/>
      <c r="M661" s="248"/>
      <c r="AF661">
        <v>147</v>
      </c>
    </row>
    <row r="662" spans="1:32" x14ac:dyDescent="0.25">
      <c r="A662" s="308">
        <v>45285</v>
      </c>
      <c r="B662" s="416">
        <v>418525</v>
      </c>
      <c r="C662" s="413" t="str">
        <f>IFERROR(INDEX(Table14[],MATCH($B662,Table14[SAPNo],0),3),"")</f>
        <v>Drop In 1308 CT31   (B)</v>
      </c>
      <c r="D662" s="306"/>
      <c r="E662" s="421">
        <v>8</v>
      </c>
      <c r="F662" s="421"/>
      <c r="G662" s="417" t="s">
        <v>1327</v>
      </c>
      <c r="H662" s="598">
        <v>14074751</v>
      </c>
      <c r="I662" s="322" t="s">
        <v>1071</v>
      </c>
      <c r="J662" s="418"/>
      <c r="K662" s="248"/>
      <c r="M662" s="248"/>
      <c r="AF662">
        <v>8</v>
      </c>
    </row>
    <row r="663" spans="1:32" x14ac:dyDescent="0.25">
      <c r="A663" s="308">
        <v>45285</v>
      </c>
      <c r="B663" s="416">
        <v>1261319</v>
      </c>
      <c r="C663" s="413" t="str">
        <f>IFERROR(INDEX(Table14[],MATCH($B663,Table14[SAPNo],0),3),"")</f>
        <v>1308 CT155 U-60</v>
      </c>
      <c r="D663" s="306"/>
      <c r="E663" s="421">
        <v>24</v>
      </c>
      <c r="F663" s="421"/>
      <c r="G663" s="417" t="s">
        <v>1328</v>
      </c>
      <c r="H663" s="598">
        <v>14093059</v>
      </c>
      <c r="I663" s="322" t="s">
        <v>1175</v>
      </c>
      <c r="J663" s="418"/>
      <c r="K663" s="248"/>
      <c r="M663" s="248"/>
      <c r="AF663">
        <v>24</v>
      </c>
    </row>
    <row r="664" spans="1:32" x14ac:dyDescent="0.25">
      <c r="A664" s="308">
        <v>45285</v>
      </c>
      <c r="B664" s="416">
        <v>1228503</v>
      </c>
      <c r="C664" s="413" t="str">
        <f>IFERROR(INDEX(Table14[],MATCH($B664,Table14[SAPNo],0),3),"")</f>
        <v>1618 CT182 U-60 Ring</v>
      </c>
      <c r="D664" s="306"/>
      <c r="E664" s="421">
        <v>10</v>
      </c>
      <c r="F664" s="421"/>
      <c r="G664" s="417" t="s">
        <v>1328</v>
      </c>
      <c r="H664" s="598">
        <v>14093059</v>
      </c>
      <c r="I664" s="322" t="s">
        <v>1175</v>
      </c>
      <c r="J664" s="418"/>
      <c r="K664" s="248"/>
      <c r="M664" s="248"/>
      <c r="AF664">
        <v>10</v>
      </c>
    </row>
    <row r="665" spans="1:32" x14ac:dyDescent="0.25">
      <c r="A665" s="308">
        <v>45285</v>
      </c>
      <c r="B665" s="416">
        <v>1261321</v>
      </c>
      <c r="C665" s="413" t="str">
        <f>IFERROR(INDEX(Table14[],MATCH($B665,Table14[SAPNo],0),3),"")</f>
        <v>1613 CT155 U-60</v>
      </c>
      <c r="D665" s="306"/>
      <c r="E665" s="421">
        <v>4</v>
      </c>
      <c r="F665" s="421"/>
      <c r="G665" s="417" t="s">
        <v>1328</v>
      </c>
      <c r="H665" s="598">
        <v>14093059</v>
      </c>
      <c r="I665" s="322" t="s">
        <v>1175</v>
      </c>
      <c r="J665" s="418"/>
      <c r="K665" s="248"/>
      <c r="M665" s="248"/>
      <c r="AF665">
        <v>4</v>
      </c>
    </row>
    <row r="666" spans="1:32" x14ac:dyDescent="0.25">
      <c r="A666" s="308">
        <v>45285</v>
      </c>
      <c r="B666" s="416">
        <v>871781</v>
      </c>
      <c r="C666" s="413" t="str">
        <f>IFERROR(INDEX(Table14[],MATCH($B666,Table14[SAPNo],0),3),"")</f>
        <v>Round 1313 CT200  0.018" (B)</v>
      </c>
      <c r="D666" s="306"/>
      <c r="E666" s="421">
        <v>6</v>
      </c>
      <c r="F666" s="421"/>
      <c r="G666" s="417" t="s">
        <v>1328</v>
      </c>
      <c r="H666" s="598">
        <v>14093059</v>
      </c>
      <c r="I666" s="322" t="s">
        <v>1175</v>
      </c>
      <c r="J666" s="418"/>
      <c r="K666" s="248"/>
      <c r="M666" s="248"/>
      <c r="AF666">
        <v>6</v>
      </c>
    </row>
    <row r="667" spans="1:32" x14ac:dyDescent="0.25">
      <c r="A667" s="308">
        <v>45285</v>
      </c>
      <c r="B667" s="416">
        <v>1228501</v>
      </c>
      <c r="C667" s="413" t="str">
        <f>IFERROR(INDEX(Table14[],MATCH($B667,Table14[SAPNo],0),3),"")</f>
        <v>1618 CT182 U-60 stator</v>
      </c>
      <c r="D667" s="306"/>
      <c r="E667" s="421">
        <v>10</v>
      </c>
      <c r="F667" s="421"/>
      <c r="G667" s="417" t="s">
        <v>1328</v>
      </c>
      <c r="H667" s="598">
        <v>14093059</v>
      </c>
      <c r="I667" s="322" t="s">
        <v>1175</v>
      </c>
      <c r="J667" s="418"/>
      <c r="K667" s="248"/>
      <c r="M667" s="248"/>
      <c r="AF667">
        <v>10</v>
      </c>
    </row>
    <row r="668" spans="1:32" x14ac:dyDescent="0.25">
      <c r="A668" s="308">
        <v>45285</v>
      </c>
      <c r="B668" s="416">
        <v>1261320</v>
      </c>
      <c r="C668" s="413" t="str">
        <f>IFERROR(INDEX(Table14[],MATCH($B668,Table14[SAPNo],0),3),"")</f>
        <v>1313 CT155 U-60</v>
      </c>
      <c r="D668" s="306"/>
      <c r="E668" s="421">
        <v>6</v>
      </c>
      <c r="F668" s="421"/>
      <c r="G668" s="417" t="s">
        <v>1328</v>
      </c>
      <c r="H668" s="598">
        <v>14093059</v>
      </c>
      <c r="I668" s="322" t="s">
        <v>1175</v>
      </c>
      <c r="J668" s="418"/>
      <c r="K668" s="248"/>
      <c r="M668" s="248"/>
      <c r="AF668">
        <v>6</v>
      </c>
    </row>
    <row r="669" spans="1:32" x14ac:dyDescent="0.25">
      <c r="A669" s="308">
        <v>45285</v>
      </c>
      <c r="B669" s="416">
        <v>1228502</v>
      </c>
      <c r="C669" s="413" t="str">
        <f>IFERROR(INDEX(Table14[],MATCH($B669,Table14[SAPNo],0),3),"")</f>
        <v>1618 CT182 U-60 Rotor</v>
      </c>
      <c r="D669" s="306"/>
      <c r="E669" s="421">
        <v>10</v>
      </c>
      <c r="F669" s="421"/>
      <c r="G669" s="417" t="s">
        <v>1328</v>
      </c>
      <c r="H669" s="598">
        <v>14093059</v>
      </c>
      <c r="I669" s="322" t="s">
        <v>1175</v>
      </c>
      <c r="J669" s="418"/>
      <c r="K669" s="248"/>
      <c r="M669" s="248"/>
      <c r="AF669">
        <v>10</v>
      </c>
    </row>
    <row r="670" spans="1:32" x14ac:dyDescent="0.25">
      <c r="A670" s="308">
        <v>45285</v>
      </c>
      <c r="B670" s="416">
        <v>1220554</v>
      </c>
      <c r="C670" s="413" t="str">
        <f>IFERROR(INDEX(Table14[],MATCH($B670,Table14[SAPNo],0),3),"")</f>
        <v xml:space="preserve">1618 CT182 U-60 Carbide </v>
      </c>
      <c r="D670" s="306"/>
      <c r="E670" s="421">
        <v>10</v>
      </c>
      <c r="F670" s="421"/>
      <c r="G670" s="417" t="s">
        <v>1328</v>
      </c>
      <c r="H670" s="598">
        <v>14093059</v>
      </c>
      <c r="I670" s="322" t="s">
        <v>1175</v>
      </c>
      <c r="J670" s="418"/>
      <c r="K670" s="248"/>
      <c r="M670" s="248"/>
      <c r="AF670">
        <v>10</v>
      </c>
    </row>
    <row r="671" spans="1:32" x14ac:dyDescent="0.25">
      <c r="A671" s="308">
        <v>45285</v>
      </c>
      <c r="B671" s="416">
        <v>717748</v>
      </c>
      <c r="C671" s="413" t="str">
        <f>IFERROR(INDEX(Table14[],MATCH($B671,Table14[SAPNo],0),3),"")</f>
        <v>Round 1010 CT200  0.018" (B)</v>
      </c>
      <c r="D671" s="306"/>
      <c r="E671" s="421">
        <v>3</v>
      </c>
      <c r="F671" s="421"/>
      <c r="G671" s="417" t="s">
        <v>1329</v>
      </c>
      <c r="H671" s="598">
        <v>14073988</v>
      </c>
      <c r="I671" s="322" t="s">
        <v>1330</v>
      </c>
      <c r="J671" s="418"/>
      <c r="K671" s="248"/>
      <c r="M671" s="248"/>
      <c r="AF671">
        <v>3</v>
      </c>
    </row>
    <row r="672" spans="1:32" x14ac:dyDescent="0.25">
      <c r="A672" s="308">
        <v>45286</v>
      </c>
      <c r="B672" s="416">
        <v>418525</v>
      </c>
      <c r="C672" s="413" t="str">
        <f>IFERROR(INDEX(Table14[],MATCH($B672,Table14[SAPNo],0),3),"")</f>
        <v>Drop In 1308 CT31   (B)</v>
      </c>
      <c r="D672" s="306"/>
      <c r="E672" s="421">
        <v>6</v>
      </c>
      <c r="F672" s="421"/>
      <c r="G672" s="417" t="s">
        <v>1331</v>
      </c>
      <c r="H672" s="598" t="s">
        <v>1332</v>
      </c>
      <c r="I672" s="322" t="s">
        <v>1093</v>
      </c>
      <c r="J672" s="418"/>
      <c r="K672" s="248"/>
      <c r="M672" s="248"/>
      <c r="AF672">
        <v>6</v>
      </c>
    </row>
    <row r="673" spans="1:32" x14ac:dyDescent="0.25">
      <c r="A673" s="308">
        <v>45286</v>
      </c>
      <c r="B673" s="416">
        <v>1209332</v>
      </c>
      <c r="C673" s="413" t="str">
        <f>IFERROR(INDEX(Table14[],MATCH($B673,Table14[SAPNo],0),3),"")</f>
        <v>1313 CT147G U</v>
      </c>
      <c r="D673" s="306"/>
      <c r="E673" s="421">
        <v>5</v>
      </c>
      <c r="F673" s="421"/>
      <c r="G673" s="417" t="s">
        <v>1331</v>
      </c>
      <c r="H673" s="598" t="s">
        <v>1332</v>
      </c>
      <c r="I673" s="322" t="s">
        <v>1093</v>
      </c>
      <c r="J673" s="418"/>
      <c r="K673" s="248"/>
      <c r="M673" s="248"/>
      <c r="AF673">
        <v>5</v>
      </c>
    </row>
    <row r="674" spans="1:32" x14ac:dyDescent="0.25">
      <c r="A674" s="308">
        <v>45286</v>
      </c>
      <c r="B674" s="416">
        <v>1145493</v>
      </c>
      <c r="C674" s="413" t="str">
        <f>IFERROR(INDEX(Table14[],MATCH($B674,Table14[SAPNo],0),3),"")</f>
        <v>Round 1313 CT427  10C (S)</v>
      </c>
      <c r="D674" s="306"/>
      <c r="E674" s="421">
        <v>0</v>
      </c>
      <c r="F674" s="421"/>
      <c r="G674" s="417" t="s">
        <v>1331</v>
      </c>
      <c r="H674" s="598" t="s">
        <v>1332</v>
      </c>
      <c r="I674" s="322" t="s">
        <v>1093</v>
      </c>
      <c r="J674" s="418">
        <v>9</v>
      </c>
      <c r="K674" s="248"/>
      <c r="M674" s="248"/>
      <c r="AF674">
        <v>0</v>
      </c>
    </row>
    <row r="675" spans="1:32" x14ac:dyDescent="0.25">
      <c r="A675" s="308">
        <v>45286</v>
      </c>
      <c r="B675" s="416">
        <v>1228501</v>
      </c>
      <c r="C675" s="413" t="str">
        <f>IFERROR(INDEX(Table14[],MATCH($B675,Table14[SAPNo],0),3),"")</f>
        <v>1618 CT182 U-60 stator</v>
      </c>
      <c r="D675" s="306"/>
      <c r="E675" s="421">
        <v>10</v>
      </c>
      <c r="F675" s="421"/>
      <c r="G675" s="417" t="s">
        <v>1333</v>
      </c>
      <c r="H675" s="598">
        <v>14104599</v>
      </c>
      <c r="I675" s="322" t="s">
        <v>1175</v>
      </c>
      <c r="J675" s="418"/>
      <c r="K675" s="248"/>
      <c r="M675" s="248"/>
      <c r="AF675">
        <v>10</v>
      </c>
    </row>
    <row r="676" spans="1:32" x14ac:dyDescent="0.25">
      <c r="A676" s="308">
        <v>45286</v>
      </c>
      <c r="B676" s="416">
        <v>1228502</v>
      </c>
      <c r="C676" s="413" t="str">
        <f>IFERROR(INDEX(Table14[],MATCH($B676,Table14[SAPNo],0),3),"")</f>
        <v>1618 CT182 U-60 Rotor</v>
      </c>
      <c r="D676" s="306"/>
      <c r="E676" s="421">
        <v>10</v>
      </c>
      <c r="F676" s="421"/>
      <c r="G676" s="417" t="s">
        <v>1333</v>
      </c>
      <c r="H676" s="598">
        <v>14104599</v>
      </c>
      <c r="I676" s="322" t="s">
        <v>1175</v>
      </c>
      <c r="J676" s="418"/>
      <c r="K676" s="248"/>
      <c r="M676" s="248"/>
      <c r="AF676">
        <v>10</v>
      </c>
    </row>
    <row r="677" spans="1:32" x14ac:dyDescent="0.25">
      <c r="A677" s="308">
        <v>45286</v>
      </c>
      <c r="B677" s="416">
        <v>1228503</v>
      </c>
      <c r="C677" s="413" t="str">
        <f>IFERROR(INDEX(Table14[],MATCH($B677,Table14[SAPNo],0),3),"")</f>
        <v>1618 CT182 U-60 Ring</v>
      </c>
      <c r="D677" s="306"/>
      <c r="E677" s="421">
        <v>10</v>
      </c>
      <c r="F677" s="421"/>
      <c r="G677" s="417" t="s">
        <v>1333</v>
      </c>
      <c r="H677" s="598">
        <v>14104599</v>
      </c>
      <c r="I677" s="322" t="s">
        <v>1175</v>
      </c>
      <c r="J677" s="418"/>
      <c r="K677" s="248"/>
      <c r="M677" s="248"/>
      <c r="AF677">
        <v>10</v>
      </c>
    </row>
    <row r="678" spans="1:32" x14ac:dyDescent="0.25">
      <c r="A678" s="308">
        <v>45286</v>
      </c>
      <c r="B678" s="416">
        <v>1261319</v>
      </c>
      <c r="C678" s="413" t="str">
        <f>IFERROR(INDEX(Table14[],MATCH($B678,Table14[SAPNo],0),3),"")</f>
        <v>1308 CT155 U-60</v>
      </c>
      <c r="D678" s="306"/>
      <c r="E678" s="421">
        <v>24</v>
      </c>
      <c r="F678" s="421"/>
      <c r="G678" s="417" t="s">
        <v>1333</v>
      </c>
      <c r="H678" s="598">
        <v>14104599</v>
      </c>
      <c r="I678" s="322" t="s">
        <v>1175</v>
      </c>
      <c r="J678" s="418"/>
      <c r="K678" s="248"/>
      <c r="M678" s="248"/>
      <c r="AF678">
        <v>24</v>
      </c>
    </row>
    <row r="679" spans="1:32" x14ac:dyDescent="0.25">
      <c r="A679" s="308">
        <v>45286</v>
      </c>
      <c r="B679" s="416">
        <v>1261320</v>
      </c>
      <c r="C679" s="413" t="str">
        <f>IFERROR(INDEX(Table14[],MATCH($B679,Table14[SAPNo],0),3),"")</f>
        <v>1313 CT155 U-60</v>
      </c>
      <c r="D679" s="306"/>
      <c r="E679" s="421">
        <v>6</v>
      </c>
      <c r="F679" s="421"/>
      <c r="G679" s="417" t="s">
        <v>1333</v>
      </c>
      <c r="H679" s="598">
        <v>14104599</v>
      </c>
      <c r="I679" s="322" t="s">
        <v>1175</v>
      </c>
      <c r="J679" s="418"/>
      <c r="K679" s="248"/>
      <c r="M679" s="248"/>
      <c r="AF679">
        <v>6</v>
      </c>
    </row>
    <row r="680" spans="1:32" x14ac:dyDescent="0.25">
      <c r="A680" s="308">
        <v>45286</v>
      </c>
      <c r="B680" s="416">
        <v>1261321</v>
      </c>
      <c r="C680" s="413" t="str">
        <f>IFERROR(INDEX(Table14[],MATCH($B680,Table14[SAPNo],0),3),"")</f>
        <v>1613 CT155 U-60</v>
      </c>
      <c r="D680" s="306"/>
      <c r="E680" s="421">
        <v>4</v>
      </c>
      <c r="F680" s="421"/>
      <c r="G680" s="417" t="s">
        <v>1333</v>
      </c>
      <c r="H680" s="598">
        <v>14104599</v>
      </c>
      <c r="I680" s="322" t="s">
        <v>1175</v>
      </c>
      <c r="J680" s="418"/>
      <c r="K680" s="248"/>
      <c r="M680" s="248"/>
      <c r="AF680">
        <v>4</v>
      </c>
    </row>
    <row r="681" spans="1:32" x14ac:dyDescent="0.25">
      <c r="A681" s="308">
        <v>45286</v>
      </c>
      <c r="B681" s="416">
        <v>871781</v>
      </c>
      <c r="C681" s="413" t="str">
        <f>IFERROR(INDEX(Table14[],MATCH($B681,Table14[SAPNo],0),3),"")</f>
        <v>Round 1313 CT200  0.018" (B)</v>
      </c>
      <c r="D681" s="306"/>
      <c r="E681" s="421">
        <v>6</v>
      </c>
      <c r="F681" s="421"/>
      <c r="G681" s="417" t="s">
        <v>1333</v>
      </c>
      <c r="H681" s="598">
        <v>14104599</v>
      </c>
      <c r="I681" s="322" t="s">
        <v>1175</v>
      </c>
      <c r="J681" s="418"/>
      <c r="K681" s="248"/>
      <c r="M681" s="248"/>
      <c r="AF681">
        <v>6</v>
      </c>
    </row>
    <row r="682" spans="1:32" x14ac:dyDescent="0.25">
      <c r="A682" s="308">
        <v>45286</v>
      </c>
      <c r="B682" s="416">
        <v>1220554</v>
      </c>
      <c r="C682" s="413" t="str">
        <f>IFERROR(INDEX(Table14[],MATCH($B682,Table14[SAPNo],0),3),"")</f>
        <v xml:space="preserve">1618 CT182 U-60 Carbide </v>
      </c>
      <c r="D682" s="306"/>
      <c r="E682" s="421">
        <v>10</v>
      </c>
      <c r="F682" s="421"/>
      <c r="G682" s="417" t="s">
        <v>1333</v>
      </c>
      <c r="H682" s="598">
        <v>14104599</v>
      </c>
      <c r="I682" s="322" t="s">
        <v>1175</v>
      </c>
      <c r="J682" s="418"/>
      <c r="K682" s="248"/>
      <c r="M682" s="248"/>
      <c r="AF682">
        <v>10</v>
      </c>
    </row>
    <row r="683" spans="1:32" x14ac:dyDescent="0.25">
      <c r="A683" s="308">
        <v>45286</v>
      </c>
      <c r="B683" s="416">
        <v>1228502</v>
      </c>
      <c r="C683" s="413" t="str">
        <f>IFERROR(INDEX(Table14[],MATCH($B683,Table14[SAPNo],0),3),"")</f>
        <v>1618 CT182 U-60 Rotor</v>
      </c>
      <c r="D683" s="306"/>
      <c r="E683" s="421">
        <v>10</v>
      </c>
      <c r="F683" s="421"/>
      <c r="G683" s="417" t="s">
        <v>1334</v>
      </c>
      <c r="H683" s="598">
        <v>14104606</v>
      </c>
      <c r="I683" s="322" t="s">
        <v>1175</v>
      </c>
      <c r="J683" s="418"/>
      <c r="K683" s="248"/>
      <c r="M683" s="248"/>
      <c r="AF683">
        <v>10</v>
      </c>
    </row>
    <row r="684" spans="1:32" x14ac:dyDescent="0.25">
      <c r="A684" s="308">
        <v>45286</v>
      </c>
      <c r="B684" s="416">
        <v>1228503</v>
      </c>
      <c r="C684" s="413" t="str">
        <f>IFERROR(INDEX(Table14[],MATCH($B684,Table14[SAPNo],0),3),"")</f>
        <v>1618 CT182 U-60 Ring</v>
      </c>
      <c r="D684" s="306"/>
      <c r="E684" s="421">
        <v>10</v>
      </c>
      <c r="F684" s="421"/>
      <c r="G684" s="417" t="s">
        <v>1334</v>
      </c>
      <c r="H684" s="598">
        <v>14104606</v>
      </c>
      <c r="I684" s="322" t="s">
        <v>1175</v>
      </c>
      <c r="J684" s="418"/>
      <c r="K684" s="248"/>
      <c r="M684" s="248"/>
      <c r="AF684">
        <v>10</v>
      </c>
    </row>
    <row r="685" spans="1:32" x14ac:dyDescent="0.25">
      <c r="A685" s="308">
        <v>45286</v>
      </c>
      <c r="B685" s="416">
        <v>1228501</v>
      </c>
      <c r="C685" s="413" t="str">
        <f>IFERROR(INDEX(Table14[],MATCH($B685,Table14[SAPNo],0),3),"")</f>
        <v>1618 CT182 U-60 stator</v>
      </c>
      <c r="D685" s="306"/>
      <c r="E685" s="421">
        <v>10</v>
      </c>
      <c r="F685" s="421"/>
      <c r="G685" s="417" t="s">
        <v>1334</v>
      </c>
      <c r="H685" s="598">
        <v>14104606</v>
      </c>
      <c r="I685" s="322" t="s">
        <v>1175</v>
      </c>
      <c r="J685" s="418"/>
      <c r="K685" s="248"/>
      <c r="M685" s="248"/>
      <c r="AF685">
        <v>10</v>
      </c>
    </row>
    <row r="686" spans="1:32" x14ac:dyDescent="0.25">
      <c r="A686" s="308">
        <v>45286</v>
      </c>
      <c r="B686" s="416">
        <v>871781</v>
      </c>
      <c r="C686" s="413" t="str">
        <f>IFERROR(INDEX(Table14[],MATCH($B686,Table14[SAPNo],0),3),"")</f>
        <v>Round 1313 CT200  0.018" (B)</v>
      </c>
      <c r="D686" s="306"/>
      <c r="E686" s="421">
        <v>6</v>
      </c>
      <c r="F686" s="421"/>
      <c r="G686" s="417" t="s">
        <v>1334</v>
      </c>
      <c r="H686" s="598">
        <v>14104606</v>
      </c>
      <c r="I686" s="322" t="s">
        <v>1175</v>
      </c>
      <c r="J686" s="418"/>
      <c r="K686" s="248"/>
      <c r="M686" s="248"/>
      <c r="AF686">
        <v>6</v>
      </c>
    </row>
    <row r="687" spans="1:32" x14ac:dyDescent="0.25">
      <c r="A687" s="308">
        <v>45286</v>
      </c>
      <c r="B687" s="416">
        <v>1261320</v>
      </c>
      <c r="C687" s="413" t="str">
        <f>IFERROR(INDEX(Table14[],MATCH($B687,Table14[SAPNo],0),3),"")</f>
        <v>1313 CT155 U-60</v>
      </c>
      <c r="D687" s="306"/>
      <c r="E687" s="421">
        <v>6</v>
      </c>
      <c r="F687" s="421"/>
      <c r="G687" s="417" t="s">
        <v>1334</v>
      </c>
      <c r="H687" s="598">
        <v>14104606</v>
      </c>
      <c r="I687" s="322" t="s">
        <v>1175</v>
      </c>
      <c r="J687" s="418"/>
      <c r="K687" s="248"/>
      <c r="M687" s="248"/>
      <c r="AF687">
        <v>6</v>
      </c>
    </row>
    <row r="688" spans="1:32" x14ac:dyDescent="0.25">
      <c r="A688" s="308">
        <v>45286</v>
      </c>
      <c r="B688" s="416">
        <v>1261321</v>
      </c>
      <c r="C688" s="413" t="str">
        <f>IFERROR(INDEX(Table14[],MATCH($B688,Table14[SAPNo],0),3),"")</f>
        <v>1613 CT155 U-60</v>
      </c>
      <c r="D688" s="306"/>
      <c r="E688" s="421">
        <v>4</v>
      </c>
      <c r="F688" s="421"/>
      <c r="G688" s="417" t="s">
        <v>1334</v>
      </c>
      <c r="H688" s="598">
        <v>14104606</v>
      </c>
      <c r="I688" s="322" t="s">
        <v>1175</v>
      </c>
      <c r="J688" s="418"/>
      <c r="K688" s="248"/>
      <c r="M688" s="248"/>
      <c r="AF688">
        <v>4</v>
      </c>
    </row>
    <row r="689" spans="1:32" x14ac:dyDescent="0.25">
      <c r="A689" s="308">
        <v>45286</v>
      </c>
      <c r="B689" s="416">
        <v>1261319</v>
      </c>
      <c r="C689" s="413" t="str">
        <f>IFERROR(INDEX(Table14[],MATCH($B689,Table14[SAPNo],0),3),"")</f>
        <v>1308 CT155 U-60</v>
      </c>
      <c r="D689" s="306"/>
      <c r="E689" s="421">
        <v>24</v>
      </c>
      <c r="F689" s="421"/>
      <c r="G689" s="417" t="s">
        <v>1334</v>
      </c>
      <c r="H689" s="598">
        <v>14104606</v>
      </c>
      <c r="I689" s="322" t="s">
        <v>1175</v>
      </c>
      <c r="J689" s="418"/>
      <c r="K689" s="248"/>
      <c r="M689" s="248"/>
      <c r="AF689">
        <v>24</v>
      </c>
    </row>
    <row r="690" spans="1:32" x14ac:dyDescent="0.25">
      <c r="A690" s="308">
        <v>45286</v>
      </c>
      <c r="B690" s="416">
        <v>1220554</v>
      </c>
      <c r="C690" s="413" t="str">
        <f>IFERROR(INDEX(Table14[],MATCH($B690,Table14[SAPNo],0),3),"")</f>
        <v xml:space="preserve">1618 CT182 U-60 Carbide </v>
      </c>
      <c r="D690" s="306"/>
      <c r="E690" s="421">
        <v>10</v>
      </c>
      <c r="F690" s="421"/>
      <c r="G690" s="417" t="s">
        <v>1334</v>
      </c>
      <c r="H690" s="598">
        <v>14104606</v>
      </c>
      <c r="I690" s="322" t="s">
        <v>1175</v>
      </c>
      <c r="J690" s="418"/>
      <c r="K690" s="248"/>
      <c r="M690" s="248"/>
      <c r="AF690">
        <v>10</v>
      </c>
    </row>
    <row r="691" spans="1:32" x14ac:dyDescent="0.25">
      <c r="A691" s="308">
        <v>45287</v>
      </c>
      <c r="B691" s="416">
        <v>1130200</v>
      </c>
      <c r="C691" s="413" t="str">
        <f>IFERROR(INDEX(Table14[],MATCH($B691,Table14[SAPNo],0),3),"")</f>
        <v>Round 1913 CT182  0.018" (S)</v>
      </c>
      <c r="D691" s="306"/>
      <c r="E691" s="421">
        <v>48</v>
      </c>
      <c r="F691" s="421"/>
      <c r="G691" s="417" t="s">
        <v>1335</v>
      </c>
      <c r="H691" s="598">
        <v>14073996</v>
      </c>
      <c r="I691" s="322" t="s">
        <v>1130</v>
      </c>
      <c r="J691" s="418"/>
      <c r="K691" s="248"/>
      <c r="M691" s="248"/>
      <c r="AF691">
        <v>48</v>
      </c>
    </row>
    <row r="692" spans="1:32" x14ac:dyDescent="0.25">
      <c r="A692" s="308">
        <v>45287</v>
      </c>
      <c r="B692" s="416">
        <v>708306</v>
      </c>
      <c r="C692" s="413" t="str">
        <f>IFERROR(INDEX(Table14[],MATCH($B692,Table14[SAPNo],0),3),"")</f>
        <v>Round 1913 CT200  0.018" (B)</v>
      </c>
      <c r="D692" s="306"/>
      <c r="E692" s="421">
        <v>34</v>
      </c>
      <c r="F692" s="421"/>
      <c r="G692" s="417" t="s">
        <v>1335</v>
      </c>
      <c r="H692" s="598">
        <v>14073996</v>
      </c>
      <c r="I692" s="322" t="s">
        <v>1130</v>
      </c>
      <c r="J692" s="418"/>
      <c r="K692" s="248"/>
      <c r="M692" s="248"/>
      <c r="AF692">
        <v>34</v>
      </c>
    </row>
    <row r="693" spans="1:32" x14ac:dyDescent="0.25">
      <c r="A693" s="308">
        <v>45287</v>
      </c>
      <c r="B693" s="416">
        <v>871781</v>
      </c>
      <c r="C693" s="413" t="str">
        <f>IFERROR(INDEX(Table14[],MATCH($B693,Table14[SAPNo],0),3),"")</f>
        <v>Round 1313 CT200  0.018" (B)</v>
      </c>
      <c r="D693" s="306"/>
      <c r="E693" s="421">
        <v>8</v>
      </c>
      <c r="F693" s="421"/>
      <c r="G693" s="417" t="s">
        <v>1335</v>
      </c>
      <c r="H693" s="598">
        <v>14073996</v>
      </c>
      <c r="I693" s="322" t="s">
        <v>1130</v>
      </c>
      <c r="J693" s="418"/>
      <c r="K693" s="248"/>
      <c r="M693" s="248"/>
      <c r="AF693">
        <v>8</v>
      </c>
    </row>
    <row r="694" spans="1:32" x14ac:dyDescent="0.25">
      <c r="A694" s="308">
        <v>45287</v>
      </c>
      <c r="B694" s="416">
        <v>1130198</v>
      </c>
      <c r="C694" s="413" t="str">
        <f>IFERROR(INDEX(Table14[],MATCH($B694,Table14[SAPNo],0),3),"")</f>
        <v>Round 1613 CT182  0.018" (S)</v>
      </c>
      <c r="D694" s="306"/>
      <c r="E694" s="421">
        <v>9</v>
      </c>
      <c r="F694" s="421"/>
      <c r="G694" s="417" t="s">
        <v>1335</v>
      </c>
      <c r="H694" s="598">
        <v>14073996</v>
      </c>
      <c r="I694" s="322" t="s">
        <v>1130</v>
      </c>
      <c r="J694" s="418"/>
      <c r="K694" s="248"/>
      <c r="M694" s="248"/>
      <c r="AF694">
        <v>9</v>
      </c>
    </row>
    <row r="695" spans="1:32" x14ac:dyDescent="0.25">
      <c r="A695" s="308">
        <v>45287</v>
      </c>
      <c r="B695" s="416">
        <v>708306</v>
      </c>
      <c r="C695" s="413" t="str">
        <f>IFERROR(INDEX(Table14[],MATCH($B695,Table14[SAPNo],0),3),"")</f>
        <v>Round 1913 CT200  0.018" (B)</v>
      </c>
      <c r="D695" s="306"/>
      <c r="E695" s="421">
        <v>34</v>
      </c>
      <c r="F695" s="421"/>
      <c r="G695" s="417" t="s">
        <v>1336</v>
      </c>
      <c r="H695" s="598">
        <v>14093081</v>
      </c>
      <c r="I695" s="322" t="s">
        <v>1130</v>
      </c>
      <c r="J695" s="418"/>
      <c r="K695" s="248"/>
      <c r="M695" s="248"/>
      <c r="AF695">
        <v>34</v>
      </c>
    </row>
    <row r="696" spans="1:32" x14ac:dyDescent="0.25">
      <c r="A696" s="308">
        <v>45287</v>
      </c>
      <c r="B696" s="416">
        <v>1130198</v>
      </c>
      <c r="C696" s="413" t="str">
        <f>IFERROR(INDEX(Table14[],MATCH($B696,Table14[SAPNo],0),3),"")</f>
        <v>Round 1613 CT182  0.018" (S)</v>
      </c>
      <c r="D696" s="306"/>
      <c r="E696" s="421">
        <v>9</v>
      </c>
      <c r="F696" s="421"/>
      <c r="G696" s="417" t="s">
        <v>1336</v>
      </c>
      <c r="H696" s="598">
        <v>14093081</v>
      </c>
      <c r="I696" s="322" t="s">
        <v>1130</v>
      </c>
      <c r="J696" s="418"/>
      <c r="K696" s="248"/>
      <c r="M696" s="248"/>
      <c r="AF696">
        <v>9</v>
      </c>
    </row>
    <row r="697" spans="1:32" x14ac:dyDescent="0.25">
      <c r="A697" s="308">
        <v>45287</v>
      </c>
      <c r="B697" s="416">
        <v>871781</v>
      </c>
      <c r="C697" s="413" t="str">
        <f>IFERROR(INDEX(Table14[],MATCH($B697,Table14[SAPNo],0),3),"")</f>
        <v>Round 1313 CT200  0.018" (B)</v>
      </c>
      <c r="D697" s="306"/>
      <c r="E697" s="421">
        <v>8</v>
      </c>
      <c r="F697" s="421"/>
      <c r="G697" s="417" t="s">
        <v>1336</v>
      </c>
      <c r="H697" s="598">
        <v>14093081</v>
      </c>
      <c r="I697" s="322" t="s">
        <v>1130</v>
      </c>
      <c r="J697" s="418"/>
      <c r="K697" s="248"/>
      <c r="M697" s="248"/>
      <c r="AF697">
        <v>8</v>
      </c>
    </row>
    <row r="698" spans="1:32" x14ac:dyDescent="0.25">
      <c r="A698" s="320">
        <v>45287</v>
      </c>
      <c r="B698" s="419">
        <v>1130200</v>
      </c>
      <c r="C698" s="413" t="str">
        <f>IFERROR(INDEX(Table14[],MATCH($B698,Table14[SAPNo],0),3),"")</f>
        <v>Round 1913 CT182  0.018" (S)</v>
      </c>
      <c r="D698" s="306"/>
      <c r="E698" s="421">
        <v>48</v>
      </c>
      <c r="F698" s="421"/>
      <c r="G698" s="420" t="s">
        <v>1336</v>
      </c>
      <c r="H698" s="599">
        <v>14093081</v>
      </c>
      <c r="I698" s="322" t="s">
        <v>1130</v>
      </c>
      <c r="J698" s="421"/>
      <c r="K698" s="422"/>
      <c r="M698" s="422"/>
      <c r="AF698">
        <v>48</v>
      </c>
    </row>
    <row r="699" spans="1:32" x14ac:dyDescent="0.25">
      <c r="A699" s="320">
        <v>45288</v>
      </c>
      <c r="B699" s="416">
        <v>1271790</v>
      </c>
      <c r="C699" s="413" t="str">
        <f>IFERROR(INDEX(Table14[],MATCH($B699,Table14[SAPNo],0),3),"")</f>
        <v xml:space="preserve">1613 CT170 18-60 </v>
      </c>
      <c r="D699" s="306"/>
      <c r="E699" s="421">
        <v>17</v>
      </c>
      <c r="F699" s="421"/>
      <c r="G699" s="417" t="s">
        <v>1337</v>
      </c>
      <c r="H699" s="598">
        <v>14093069</v>
      </c>
      <c r="I699" s="322" t="s">
        <v>1338</v>
      </c>
      <c r="J699" s="418"/>
      <c r="K699" s="248"/>
      <c r="M699" s="248"/>
      <c r="AF699">
        <v>17</v>
      </c>
    </row>
    <row r="700" spans="1:32" x14ac:dyDescent="0.25">
      <c r="A700" s="308">
        <v>45288</v>
      </c>
      <c r="B700" s="416">
        <v>1078377</v>
      </c>
      <c r="C700" s="413" t="str">
        <f>IFERROR(INDEX(Table14[],MATCH($B700,Table14[SAPNo],0),3),"")</f>
        <v>13MM CT221 R1</v>
      </c>
      <c r="D700" s="306"/>
      <c r="E700" s="421">
        <v>15</v>
      </c>
      <c r="F700" s="421"/>
      <c r="G700" s="417" t="s">
        <v>1337</v>
      </c>
      <c r="H700" s="598">
        <v>14093069</v>
      </c>
      <c r="I700" s="322" t="s">
        <v>1338</v>
      </c>
      <c r="J700" s="418"/>
      <c r="K700" s="248"/>
      <c r="M700" s="248"/>
      <c r="AF700">
        <v>15</v>
      </c>
    </row>
    <row r="701" spans="1:32" x14ac:dyDescent="0.25">
      <c r="A701" s="308">
        <v>45288</v>
      </c>
      <c r="B701" s="416">
        <v>1208601</v>
      </c>
      <c r="C701" s="413" t="str">
        <f>IFERROR(INDEX(Table14[],MATCH($B701,Table14[SAPNo],0),3),"")</f>
        <v>1613 CT418 U-60</v>
      </c>
      <c r="D701" s="306"/>
      <c r="E701" s="421">
        <v>8</v>
      </c>
      <c r="F701" s="421"/>
      <c r="G701" s="417" t="s">
        <v>1337</v>
      </c>
      <c r="H701" s="598">
        <v>14093069</v>
      </c>
      <c r="I701" s="322" t="s">
        <v>1338</v>
      </c>
      <c r="J701" s="418"/>
      <c r="K701" s="248"/>
      <c r="M701" s="248"/>
      <c r="AF701">
        <v>8</v>
      </c>
    </row>
    <row r="702" spans="1:32" x14ac:dyDescent="0.25">
      <c r="A702" s="308">
        <v>45288</v>
      </c>
      <c r="B702" s="416">
        <v>418525</v>
      </c>
      <c r="C702" s="413" t="str">
        <f>IFERROR(INDEX(Table14[],MATCH($B702,Table14[SAPNo],0),3),"")</f>
        <v>Drop In 1308 CT31   (B)</v>
      </c>
      <c r="D702" s="306"/>
      <c r="E702" s="421">
        <v>6</v>
      </c>
      <c r="F702" s="421"/>
      <c r="G702" s="417" t="s">
        <v>1337</v>
      </c>
      <c r="H702" s="598">
        <v>14093069</v>
      </c>
      <c r="I702" s="322" t="s">
        <v>1338</v>
      </c>
      <c r="J702" s="418"/>
      <c r="K702" s="248"/>
      <c r="M702" s="248"/>
      <c r="AF702">
        <v>6</v>
      </c>
    </row>
    <row r="703" spans="1:32" x14ac:dyDescent="0.25">
      <c r="A703" s="320">
        <v>45288</v>
      </c>
      <c r="B703" s="419">
        <v>1146737</v>
      </c>
      <c r="C703" s="413" t="str">
        <f>IFERROR(INDEX(Table14[],MATCH($B703,Table14[SAPNo],0),3),"")</f>
        <v>1613 CT418 18-60</v>
      </c>
      <c r="D703" s="306"/>
      <c r="E703" s="421">
        <v>6</v>
      </c>
      <c r="F703" s="421"/>
      <c r="G703" s="420" t="s">
        <v>1337</v>
      </c>
      <c r="H703" s="599">
        <v>14093069</v>
      </c>
      <c r="I703" s="322" t="s">
        <v>1338</v>
      </c>
      <c r="J703" s="421"/>
      <c r="K703" s="422"/>
      <c r="M703" s="422"/>
      <c r="AF703">
        <v>6</v>
      </c>
    </row>
    <row r="704" spans="1:32" x14ac:dyDescent="0.25">
      <c r="A704" s="308">
        <v>45288</v>
      </c>
      <c r="B704" s="416">
        <v>1271790</v>
      </c>
      <c r="C704" s="413" t="str">
        <f>IFERROR(INDEX(Table14[],MATCH($B704,Table14[SAPNo],0),3),"")</f>
        <v xml:space="preserve">1613 CT170 18-60 </v>
      </c>
      <c r="D704" s="306"/>
      <c r="E704" s="421">
        <v>17</v>
      </c>
      <c r="F704" s="421"/>
      <c r="G704" s="417" t="s">
        <v>1339</v>
      </c>
      <c r="H704" s="598">
        <v>14081907</v>
      </c>
      <c r="I704" s="322" t="s">
        <v>1338</v>
      </c>
      <c r="J704" s="418"/>
      <c r="K704" s="248"/>
      <c r="M704" s="248"/>
      <c r="AF704">
        <v>17</v>
      </c>
    </row>
    <row r="705" spans="1:32" x14ac:dyDescent="0.25">
      <c r="A705" s="308">
        <v>45288</v>
      </c>
      <c r="B705" s="416">
        <v>1078377</v>
      </c>
      <c r="C705" s="413" t="str">
        <f>IFERROR(INDEX(Table14[],MATCH($B705,Table14[SAPNo],0),3),"")</f>
        <v>13MM CT221 R1</v>
      </c>
      <c r="D705" s="306"/>
      <c r="E705" s="421">
        <v>15</v>
      </c>
      <c r="F705" s="421"/>
      <c r="G705" s="417" t="s">
        <v>1339</v>
      </c>
      <c r="H705" s="598">
        <v>14081907</v>
      </c>
      <c r="I705" s="322" t="s">
        <v>1338</v>
      </c>
      <c r="J705" s="418"/>
      <c r="K705" s="248"/>
      <c r="M705" s="248"/>
      <c r="AF705">
        <v>15</v>
      </c>
    </row>
    <row r="706" spans="1:32" x14ac:dyDescent="0.25">
      <c r="A706" s="308">
        <v>45288</v>
      </c>
      <c r="B706" s="416">
        <v>1208601</v>
      </c>
      <c r="C706" s="413" t="str">
        <f>IFERROR(INDEX(Table14[],MATCH($B706,Table14[SAPNo],0),3),"")</f>
        <v>1613 CT418 U-60</v>
      </c>
      <c r="D706" s="306"/>
      <c r="E706" s="421">
        <v>8</v>
      </c>
      <c r="F706" s="421"/>
      <c r="G706" s="417" t="s">
        <v>1339</v>
      </c>
      <c r="H706" s="598">
        <v>14081907</v>
      </c>
      <c r="I706" s="322" t="s">
        <v>1338</v>
      </c>
      <c r="J706" s="418"/>
      <c r="K706" s="248"/>
      <c r="M706" s="248"/>
      <c r="AF706">
        <v>8</v>
      </c>
    </row>
    <row r="707" spans="1:32" x14ac:dyDescent="0.25">
      <c r="A707" s="308">
        <v>45288</v>
      </c>
      <c r="B707" s="416">
        <v>418525</v>
      </c>
      <c r="C707" s="413" t="str">
        <f>IFERROR(INDEX(Table14[],MATCH($B707,Table14[SAPNo],0),3),"")</f>
        <v>Drop In 1308 CT31   (B)</v>
      </c>
      <c r="D707" s="306"/>
      <c r="E707" s="421">
        <v>6</v>
      </c>
      <c r="F707" s="421"/>
      <c r="G707" s="417" t="s">
        <v>1339</v>
      </c>
      <c r="H707" s="598">
        <v>14081907</v>
      </c>
      <c r="I707" s="322" t="s">
        <v>1338</v>
      </c>
      <c r="J707" s="418"/>
      <c r="K707" s="248"/>
      <c r="M707" s="248"/>
      <c r="AF707">
        <v>6</v>
      </c>
    </row>
    <row r="708" spans="1:32" x14ac:dyDescent="0.25">
      <c r="A708" s="320">
        <v>45288</v>
      </c>
      <c r="B708" s="419">
        <v>1146737</v>
      </c>
      <c r="C708" s="413" t="str">
        <f>IFERROR(INDEX(Table14[],MATCH($B708,Table14[SAPNo],0),3),"")</f>
        <v>1613 CT418 18-60</v>
      </c>
      <c r="D708" s="306"/>
      <c r="E708" s="421">
        <v>6</v>
      </c>
      <c r="F708" s="421"/>
      <c r="G708" s="420" t="s">
        <v>1339</v>
      </c>
      <c r="H708" s="599">
        <v>14081907</v>
      </c>
      <c r="I708" s="322" t="s">
        <v>1338</v>
      </c>
      <c r="J708" s="421"/>
      <c r="K708" s="422"/>
      <c r="M708" s="422"/>
      <c r="AF708">
        <v>6</v>
      </c>
    </row>
    <row r="709" spans="1:32" x14ac:dyDescent="0.25">
      <c r="A709" s="308">
        <v>45288</v>
      </c>
      <c r="B709" s="416">
        <v>1271790</v>
      </c>
      <c r="C709" s="413" t="str">
        <f>IFERROR(INDEX(Table14[],MATCH($B709,Table14[SAPNo],0),3),"")</f>
        <v xml:space="preserve">1613 CT170 18-60 </v>
      </c>
      <c r="D709" s="306"/>
      <c r="E709" s="421">
        <v>17</v>
      </c>
      <c r="F709" s="421"/>
      <c r="G709" s="420" t="s">
        <v>1340</v>
      </c>
      <c r="H709" s="598">
        <v>14081909</v>
      </c>
      <c r="I709" s="322" t="s">
        <v>1338</v>
      </c>
      <c r="J709" s="418"/>
      <c r="K709" s="248"/>
      <c r="M709" s="248"/>
      <c r="AF709">
        <v>17</v>
      </c>
    </row>
    <row r="710" spans="1:32" x14ac:dyDescent="0.25">
      <c r="A710" s="308">
        <v>45288</v>
      </c>
      <c r="B710" s="416">
        <v>1078377</v>
      </c>
      <c r="C710" s="413" t="str">
        <f>IFERROR(INDEX(Table14[],MATCH($B710,Table14[SAPNo],0),3),"")</f>
        <v>13MM CT221 R1</v>
      </c>
      <c r="D710" s="306"/>
      <c r="E710" s="421">
        <v>15</v>
      </c>
      <c r="F710" s="421"/>
      <c r="G710" s="417" t="s">
        <v>1340</v>
      </c>
      <c r="H710" s="598">
        <v>14081909</v>
      </c>
      <c r="I710" s="322" t="s">
        <v>1338</v>
      </c>
      <c r="J710" s="418"/>
      <c r="K710" s="248"/>
      <c r="M710" s="248"/>
      <c r="AF710">
        <v>15</v>
      </c>
    </row>
    <row r="711" spans="1:32" x14ac:dyDescent="0.25">
      <c r="A711" s="308">
        <v>45288</v>
      </c>
      <c r="B711" s="416">
        <v>1208601</v>
      </c>
      <c r="C711" s="413" t="str">
        <f>IFERROR(INDEX(Table14[],MATCH($B711,Table14[SAPNo],0),3),"")</f>
        <v>1613 CT418 U-60</v>
      </c>
      <c r="D711" s="306"/>
      <c r="E711" s="421">
        <v>8</v>
      </c>
      <c r="F711" s="421"/>
      <c r="G711" s="417" t="s">
        <v>1340</v>
      </c>
      <c r="H711" s="598">
        <v>14081909</v>
      </c>
      <c r="I711" s="322" t="s">
        <v>1338</v>
      </c>
      <c r="J711" s="418"/>
      <c r="K711" s="248"/>
      <c r="M711" s="248"/>
      <c r="AF711">
        <v>8</v>
      </c>
    </row>
    <row r="712" spans="1:32" x14ac:dyDescent="0.25">
      <c r="A712" s="308">
        <v>45288</v>
      </c>
      <c r="B712" s="416">
        <v>418525</v>
      </c>
      <c r="C712" s="413" t="str">
        <f>IFERROR(INDEX(Table14[],MATCH($B712,Table14[SAPNo],0),3),"")</f>
        <v>Drop In 1308 CT31   (B)</v>
      </c>
      <c r="D712" s="306"/>
      <c r="E712" s="421">
        <v>6</v>
      </c>
      <c r="F712" s="421"/>
      <c r="G712" s="417" t="s">
        <v>1340</v>
      </c>
      <c r="H712" s="598">
        <v>14081909</v>
      </c>
      <c r="I712" s="322" t="s">
        <v>1338</v>
      </c>
      <c r="J712" s="418"/>
      <c r="K712" s="248"/>
      <c r="M712" s="248"/>
      <c r="AF712">
        <v>6</v>
      </c>
    </row>
    <row r="713" spans="1:32" x14ac:dyDescent="0.25">
      <c r="A713" s="320">
        <v>45288</v>
      </c>
      <c r="B713" s="419">
        <v>1146737</v>
      </c>
      <c r="C713" s="413" t="str">
        <f>IFERROR(INDEX(Table14[],MATCH($B713,Table14[SAPNo],0),3),"")</f>
        <v>1613 CT418 18-60</v>
      </c>
      <c r="D713" s="306"/>
      <c r="E713" s="421">
        <v>6</v>
      </c>
      <c r="F713" s="421"/>
      <c r="G713" s="420" t="s">
        <v>1340</v>
      </c>
      <c r="H713" s="599">
        <v>14081909</v>
      </c>
      <c r="I713" s="322" t="s">
        <v>1338</v>
      </c>
      <c r="J713" s="421"/>
      <c r="K713" s="422"/>
      <c r="M713" s="422"/>
      <c r="AF713">
        <v>6</v>
      </c>
    </row>
    <row r="714" spans="1:32" x14ac:dyDescent="0.25">
      <c r="A714" s="308">
        <v>45288</v>
      </c>
      <c r="B714" s="416">
        <v>647436</v>
      </c>
      <c r="C714" s="413" t="str">
        <f>IFERROR(INDEX(Table14[],MATCH($B714,Table14[SAPNo],0),3),"")</f>
        <v>Round 1613 CT200  0.018" (B)</v>
      </c>
      <c r="D714" s="306"/>
      <c r="E714" s="421">
        <v>64</v>
      </c>
      <c r="F714" s="421"/>
      <c r="G714" s="417" t="s">
        <v>1341</v>
      </c>
      <c r="H714" s="598">
        <v>14056712</v>
      </c>
      <c r="I714" s="322" t="s">
        <v>1342</v>
      </c>
      <c r="J714" s="418"/>
      <c r="K714" s="248"/>
      <c r="M714" s="248"/>
      <c r="AF714">
        <v>64</v>
      </c>
    </row>
    <row r="715" spans="1:32" x14ac:dyDescent="0.25">
      <c r="A715" s="308">
        <v>45288</v>
      </c>
      <c r="B715" s="416">
        <v>1271790</v>
      </c>
      <c r="C715" s="413" t="str">
        <f>IFERROR(INDEX(Table14[],MATCH($B715,Table14[SAPNo],0),3),"")</f>
        <v xml:space="preserve">1613 CT170 18-60 </v>
      </c>
      <c r="D715" s="306"/>
      <c r="E715" s="421">
        <v>53</v>
      </c>
      <c r="F715" s="421"/>
      <c r="G715" s="417" t="s">
        <v>1341</v>
      </c>
      <c r="H715" s="598">
        <v>14056712</v>
      </c>
      <c r="I715" s="322" t="s">
        <v>1342</v>
      </c>
      <c r="J715" s="418"/>
      <c r="K715" s="248"/>
      <c r="M715" s="248"/>
      <c r="AF715">
        <v>53</v>
      </c>
    </row>
    <row r="716" spans="1:32" x14ac:dyDescent="0.25">
      <c r="A716" s="308">
        <v>45288</v>
      </c>
      <c r="B716" s="416">
        <v>1146737</v>
      </c>
      <c r="C716" s="413" t="str">
        <f>IFERROR(INDEX(Table14[],MATCH($B716,Table14[SAPNo],0),3),"")</f>
        <v>1613 CT418 18-60</v>
      </c>
      <c r="D716" s="306"/>
      <c r="E716" s="421">
        <v>39</v>
      </c>
      <c r="F716" s="421"/>
      <c r="G716" s="417" t="s">
        <v>1341</v>
      </c>
      <c r="H716" s="598">
        <v>14056712</v>
      </c>
      <c r="I716" s="322" t="s">
        <v>1342</v>
      </c>
      <c r="J716" s="418"/>
      <c r="K716" s="248"/>
      <c r="M716" s="248"/>
      <c r="AF716">
        <v>39</v>
      </c>
    </row>
    <row r="717" spans="1:32" x14ac:dyDescent="0.25">
      <c r="A717" s="308">
        <v>45288</v>
      </c>
      <c r="B717" s="416">
        <v>647435</v>
      </c>
      <c r="C717" s="413" t="str">
        <f>IFERROR(INDEX(Table14[],MATCH($B717,Table14[SAPNo],0),3),"")</f>
        <v>Round 1608 CT200  0.018" (B)</v>
      </c>
      <c r="D717" s="306"/>
      <c r="E717" s="421">
        <v>16</v>
      </c>
      <c r="F717" s="421"/>
      <c r="G717" s="417" t="s">
        <v>1341</v>
      </c>
      <c r="H717" s="598">
        <v>14056712</v>
      </c>
      <c r="I717" s="322" t="s">
        <v>1342</v>
      </c>
      <c r="J717" s="418"/>
      <c r="K717" s="248"/>
      <c r="M717" s="248"/>
      <c r="AF717">
        <v>16</v>
      </c>
    </row>
    <row r="718" spans="1:32" x14ac:dyDescent="0.25">
      <c r="A718" s="320">
        <v>45288</v>
      </c>
      <c r="B718" s="419">
        <v>418525</v>
      </c>
      <c r="C718" s="413" t="str">
        <f>IFERROR(INDEX(Table14[],MATCH($B718,Table14[SAPNo],0),3),"")</f>
        <v>Drop In 1308 CT31   (B)</v>
      </c>
      <c r="D718" s="306"/>
      <c r="E718" s="421">
        <v>8</v>
      </c>
      <c r="F718" s="421"/>
      <c r="G718" s="420" t="s">
        <v>1341</v>
      </c>
      <c r="H718" s="599">
        <v>14056712</v>
      </c>
      <c r="I718" s="322" t="s">
        <v>1342</v>
      </c>
      <c r="J718" s="421"/>
      <c r="K718" s="422"/>
      <c r="M718" s="422"/>
      <c r="AF718">
        <v>8</v>
      </c>
    </row>
    <row r="719" spans="1:32" x14ac:dyDescent="0.25">
      <c r="A719" s="308">
        <v>45292</v>
      </c>
      <c r="B719" s="416">
        <v>418525</v>
      </c>
      <c r="C719" s="413" t="str">
        <f>IFERROR(INDEX(Table14[],MATCH($B719,Table14[SAPNo],0),3),"")</f>
        <v>Drop In 1308 CT31   (B)</v>
      </c>
      <c r="D719" s="306"/>
      <c r="E719" s="421">
        <v>3</v>
      </c>
      <c r="F719" s="421"/>
      <c r="G719" s="417" t="s">
        <v>1343</v>
      </c>
      <c r="H719" s="598" t="s">
        <v>1344</v>
      </c>
      <c r="I719" s="322" t="s">
        <v>1266</v>
      </c>
      <c r="J719" s="418"/>
      <c r="K719" s="248"/>
      <c r="M719" s="248"/>
      <c r="AF719">
        <v>3</v>
      </c>
    </row>
    <row r="720" spans="1:32" x14ac:dyDescent="0.25">
      <c r="A720" s="308">
        <v>45292</v>
      </c>
      <c r="B720" s="416">
        <v>1145493</v>
      </c>
      <c r="C720" s="413" t="str">
        <f>IFERROR(INDEX(Table14[],MATCH($B720,Table14[SAPNo],0),3),"")</f>
        <v>Round 1313 CT427  10C (S)</v>
      </c>
      <c r="D720" s="306"/>
      <c r="E720" s="421">
        <v>0</v>
      </c>
      <c r="F720" s="421"/>
      <c r="G720" s="417" t="s">
        <v>1343</v>
      </c>
      <c r="H720" s="598" t="s">
        <v>1344</v>
      </c>
      <c r="I720" s="322" t="s">
        <v>1266</v>
      </c>
      <c r="J720" s="418">
        <v>2</v>
      </c>
      <c r="K720" s="248"/>
      <c r="M720" s="248"/>
      <c r="AF720">
        <v>0</v>
      </c>
    </row>
    <row r="721" spans="1:32" x14ac:dyDescent="0.25">
      <c r="A721" s="308">
        <v>45292</v>
      </c>
      <c r="B721" s="416">
        <v>1145493</v>
      </c>
      <c r="C721" s="413" t="str">
        <f>IFERROR(INDEX(Table14[],MATCH($B721,Table14[SAPNo],0),3),"")</f>
        <v>Round 1313 CT427  10C (S)</v>
      </c>
      <c r="D721" s="306"/>
      <c r="E721" s="421">
        <v>0</v>
      </c>
      <c r="F721" s="421"/>
      <c r="G721" s="417" t="s">
        <v>1345</v>
      </c>
      <c r="H721" s="598" t="s">
        <v>1344</v>
      </c>
      <c r="I721" s="322" t="s">
        <v>1266</v>
      </c>
      <c r="J721" s="418">
        <v>1</v>
      </c>
      <c r="K721" s="248"/>
      <c r="M721" s="248"/>
      <c r="AF721">
        <v>0</v>
      </c>
    </row>
    <row r="722" spans="1:32" x14ac:dyDescent="0.25">
      <c r="A722" s="308">
        <v>45292</v>
      </c>
      <c r="B722" s="416">
        <v>1130198</v>
      </c>
      <c r="C722" s="413" t="str">
        <f>IFERROR(INDEX(Table14[],MATCH($B722,Table14[SAPNo],0),3),"")</f>
        <v>Round 1613 CT182  0.018" (S)</v>
      </c>
      <c r="D722" s="306"/>
      <c r="E722" s="421">
        <v>9</v>
      </c>
      <c r="F722" s="421"/>
      <c r="G722" s="417" t="s">
        <v>1346</v>
      </c>
      <c r="H722" s="598">
        <v>14093078</v>
      </c>
      <c r="I722" s="322" t="s">
        <v>1130</v>
      </c>
      <c r="J722" s="418"/>
      <c r="K722" s="248"/>
      <c r="M722" s="248"/>
      <c r="AF722">
        <v>9</v>
      </c>
    </row>
    <row r="723" spans="1:32" x14ac:dyDescent="0.25">
      <c r="A723" s="308">
        <v>45292</v>
      </c>
      <c r="B723" s="416">
        <v>1130200</v>
      </c>
      <c r="C723" s="413" t="str">
        <f>IFERROR(INDEX(Table14[],MATCH($B723,Table14[SAPNo],0),3),"")</f>
        <v>Round 1913 CT182  0.018" (S)</v>
      </c>
      <c r="D723" s="306"/>
      <c r="E723" s="421">
        <v>48</v>
      </c>
      <c r="F723" s="421"/>
      <c r="G723" s="417" t="s">
        <v>1346</v>
      </c>
      <c r="H723" s="598">
        <v>14093078</v>
      </c>
      <c r="I723" s="322" t="s">
        <v>1130</v>
      </c>
      <c r="J723" s="418"/>
      <c r="K723" s="248"/>
      <c r="M723" s="248"/>
      <c r="AF723">
        <v>48</v>
      </c>
    </row>
    <row r="724" spans="1:32" x14ac:dyDescent="0.25">
      <c r="A724" s="308">
        <v>45292</v>
      </c>
      <c r="B724" s="416">
        <v>708306</v>
      </c>
      <c r="C724" s="413" t="str">
        <f>IFERROR(INDEX(Table14[],MATCH($B724,Table14[SAPNo],0),3),"")</f>
        <v>Round 1913 CT200  0.018" (B)</v>
      </c>
      <c r="D724" s="306"/>
      <c r="E724" s="421">
        <v>34</v>
      </c>
      <c r="F724" s="421"/>
      <c r="G724" s="417" t="s">
        <v>1346</v>
      </c>
      <c r="H724" s="598">
        <v>14093078</v>
      </c>
      <c r="I724" s="322" t="s">
        <v>1130</v>
      </c>
      <c r="J724" s="418"/>
      <c r="K724" s="248"/>
      <c r="M724" s="248"/>
      <c r="AF724">
        <v>34</v>
      </c>
    </row>
    <row r="725" spans="1:32" x14ac:dyDescent="0.25">
      <c r="A725" s="308">
        <v>45292</v>
      </c>
      <c r="B725" s="416">
        <v>871781</v>
      </c>
      <c r="C725" s="413" t="str">
        <f>IFERROR(INDEX(Table14[],MATCH($B725,Table14[SAPNo],0),3),"")</f>
        <v>Round 1313 CT200  0.018" (B)</v>
      </c>
      <c r="D725" s="306"/>
      <c r="E725" s="421">
        <v>8</v>
      </c>
      <c r="F725" s="421"/>
      <c r="G725" s="417" t="s">
        <v>1346</v>
      </c>
      <c r="H725" s="598">
        <v>14093078</v>
      </c>
      <c r="I725" s="322" t="s">
        <v>1130</v>
      </c>
      <c r="J725" s="418"/>
      <c r="K725" s="248"/>
      <c r="M725" s="248"/>
      <c r="AF725">
        <v>8</v>
      </c>
    </row>
    <row r="726" spans="1:32" x14ac:dyDescent="0.25">
      <c r="A726" s="308">
        <v>45292</v>
      </c>
      <c r="B726" s="416">
        <v>418525</v>
      </c>
      <c r="C726" s="413" t="str">
        <f>IFERROR(INDEX(Table14[],MATCH($B726,Table14[SAPNo],0),3),"")</f>
        <v>Drop In 1308 CT31   (B)</v>
      </c>
      <c r="D726" s="306"/>
      <c r="E726" s="421">
        <v>6</v>
      </c>
      <c r="F726" s="421"/>
      <c r="G726" s="417" t="s">
        <v>1347</v>
      </c>
      <c r="H726" s="598">
        <v>14093071</v>
      </c>
      <c r="I726" s="322" t="s">
        <v>1338</v>
      </c>
      <c r="J726" s="418"/>
      <c r="K726" s="248"/>
      <c r="M726" s="248"/>
      <c r="AF726">
        <v>6</v>
      </c>
    </row>
    <row r="727" spans="1:32" x14ac:dyDescent="0.25">
      <c r="A727" s="308">
        <v>45292</v>
      </c>
      <c r="B727" s="416">
        <v>1078377</v>
      </c>
      <c r="C727" s="413" t="str">
        <f>IFERROR(INDEX(Table14[],MATCH($B727,Table14[SAPNo],0),3),"")</f>
        <v>13MM CT221 R1</v>
      </c>
      <c r="D727" s="306"/>
      <c r="E727" s="421">
        <v>15</v>
      </c>
      <c r="F727" s="421"/>
      <c r="G727" s="417" t="s">
        <v>1347</v>
      </c>
      <c r="H727" s="598">
        <v>14093071</v>
      </c>
      <c r="I727" s="322" t="s">
        <v>1338</v>
      </c>
      <c r="J727" s="418"/>
      <c r="K727" s="248"/>
      <c r="M727" s="248"/>
      <c r="AF727">
        <v>15</v>
      </c>
    </row>
    <row r="728" spans="1:32" x14ac:dyDescent="0.25">
      <c r="A728" s="308">
        <v>45292</v>
      </c>
      <c r="B728" s="416">
        <v>1146737</v>
      </c>
      <c r="C728" s="413" t="str">
        <f>IFERROR(INDEX(Table14[],MATCH($B728,Table14[SAPNo],0),3),"")</f>
        <v>1613 CT418 18-60</v>
      </c>
      <c r="D728" s="306"/>
      <c r="E728" s="421">
        <v>6</v>
      </c>
      <c r="F728" s="421"/>
      <c r="G728" s="417" t="s">
        <v>1347</v>
      </c>
      <c r="H728" s="598">
        <v>14093071</v>
      </c>
      <c r="I728" s="322" t="s">
        <v>1338</v>
      </c>
      <c r="J728" s="418"/>
      <c r="K728" s="248"/>
      <c r="M728" s="248"/>
      <c r="AF728">
        <v>6</v>
      </c>
    </row>
    <row r="729" spans="1:32" x14ac:dyDescent="0.25">
      <c r="A729" s="308">
        <v>45292</v>
      </c>
      <c r="B729" s="416">
        <v>1175118</v>
      </c>
      <c r="C729" s="413" t="str">
        <f>IFERROR(INDEX(Table14[],MATCH($B729,Table14[SAPNo],0),3),"")</f>
        <v>1613 CT147 18-60</v>
      </c>
      <c r="D729" s="306"/>
      <c r="E729" s="421">
        <v>17</v>
      </c>
      <c r="F729" s="421"/>
      <c r="G729" s="417" t="s">
        <v>1347</v>
      </c>
      <c r="H729" s="598">
        <v>14093071</v>
      </c>
      <c r="I729" s="322" t="s">
        <v>1338</v>
      </c>
      <c r="J729" s="418"/>
      <c r="K729" s="248"/>
      <c r="M729" s="248"/>
      <c r="AF729">
        <v>17</v>
      </c>
    </row>
    <row r="730" spans="1:32" x14ac:dyDescent="0.25">
      <c r="A730" s="308">
        <v>45292</v>
      </c>
      <c r="B730" s="416">
        <v>1208601</v>
      </c>
      <c r="C730" s="413" t="str">
        <f>IFERROR(INDEX(Table14[],MATCH($B730,Table14[SAPNo],0),3),"")</f>
        <v>1613 CT418 U-60</v>
      </c>
      <c r="D730" s="306"/>
      <c r="E730" s="421">
        <v>8</v>
      </c>
      <c r="F730" s="421"/>
      <c r="G730" s="417" t="s">
        <v>1347</v>
      </c>
      <c r="H730" s="598">
        <v>14093071</v>
      </c>
      <c r="I730" s="322" t="s">
        <v>1338</v>
      </c>
      <c r="J730" s="418"/>
      <c r="K730" s="248"/>
      <c r="M730" s="248"/>
      <c r="AF730">
        <v>8</v>
      </c>
    </row>
    <row r="731" spans="1:32" x14ac:dyDescent="0.25">
      <c r="A731" s="308">
        <v>45293</v>
      </c>
      <c r="B731" s="416">
        <v>418525</v>
      </c>
      <c r="C731" s="413" t="str">
        <f>IFERROR(INDEX(Table14[],MATCH($B731,Table14[SAPNo],0),3),"")</f>
        <v>Drop In 1308 CT31   (B)</v>
      </c>
      <c r="D731" s="306"/>
      <c r="E731" s="421">
        <v>6</v>
      </c>
      <c r="F731" s="421"/>
      <c r="G731" s="417" t="s">
        <v>1348</v>
      </c>
      <c r="H731" s="598">
        <v>14093070</v>
      </c>
      <c r="I731" s="322" t="s">
        <v>1338</v>
      </c>
      <c r="J731" s="418"/>
      <c r="K731" s="248"/>
      <c r="M731" s="248"/>
      <c r="AF731">
        <v>6</v>
      </c>
    </row>
    <row r="732" spans="1:32" x14ac:dyDescent="0.25">
      <c r="A732" s="308">
        <v>45293</v>
      </c>
      <c r="B732" s="416">
        <v>1146737</v>
      </c>
      <c r="C732" s="413" t="str">
        <f>IFERROR(INDEX(Table14[],MATCH($B732,Table14[SAPNo],0),3),"")</f>
        <v>1613 CT418 18-60</v>
      </c>
      <c r="D732" s="306"/>
      <c r="E732" s="421">
        <v>6</v>
      </c>
      <c r="F732" s="421"/>
      <c r="G732" s="417" t="s">
        <v>1348</v>
      </c>
      <c r="H732" s="598">
        <v>14093070</v>
      </c>
      <c r="I732" s="322" t="s">
        <v>1338</v>
      </c>
      <c r="J732" s="418"/>
      <c r="K732" s="248"/>
      <c r="M732" s="248"/>
      <c r="AF732">
        <v>6</v>
      </c>
    </row>
    <row r="733" spans="1:32" x14ac:dyDescent="0.25">
      <c r="A733" s="308">
        <v>45293</v>
      </c>
      <c r="B733" s="416">
        <v>1208601</v>
      </c>
      <c r="C733" s="413" t="str">
        <f>IFERROR(INDEX(Table14[],MATCH($B733,Table14[SAPNo],0),3),"")</f>
        <v>1613 CT418 U-60</v>
      </c>
      <c r="D733" s="306"/>
      <c r="E733" s="421">
        <v>8</v>
      </c>
      <c r="F733" s="421"/>
      <c r="G733" s="417" t="s">
        <v>1348</v>
      </c>
      <c r="H733" s="598">
        <v>14093070</v>
      </c>
      <c r="I733" s="322" t="s">
        <v>1338</v>
      </c>
      <c r="J733" s="418"/>
      <c r="K733" s="248"/>
      <c r="M733" s="248"/>
      <c r="AF733">
        <v>8</v>
      </c>
    </row>
    <row r="734" spans="1:32" x14ac:dyDescent="0.25">
      <c r="A734" s="308">
        <v>45293</v>
      </c>
      <c r="B734" s="416">
        <v>1078377</v>
      </c>
      <c r="C734" s="413" t="str">
        <f>IFERROR(INDEX(Table14[],MATCH($B734,Table14[SAPNo],0),3),"")</f>
        <v>13MM CT221 R1</v>
      </c>
      <c r="D734" s="306"/>
      <c r="E734" s="421">
        <v>15</v>
      </c>
      <c r="F734" s="421"/>
      <c r="G734" s="417" t="s">
        <v>1348</v>
      </c>
      <c r="H734" s="598">
        <v>14093070</v>
      </c>
      <c r="I734" s="322" t="s">
        <v>1338</v>
      </c>
      <c r="J734" s="418"/>
      <c r="K734" s="248"/>
      <c r="M734" s="248"/>
      <c r="AF734">
        <v>15</v>
      </c>
    </row>
    <row r="735" spans="1:32" x14ac:dyDescent="0.25">
      <c r="A735" s="308">
        <v>45293</v>
      </c>
      <c r="B735" s="416">
        <v>1271790</v>
      </c>
      <c r="C735" s="413" t="str">
        <f>IFERROR(INDEX(Table14[],MATCH($B735,Table14[SAPNo],0),3),"")</f>
        <v xml:space="preserve">1613 CT170 18-60 </v>
      </c>
      <c r="D735" s="306"/>
      <c r="E735" s="421">
        <v>17</v>
      </c>
      <c r="F735" s="421"/>
      <c r="G735" s="417" t="s">
        <v>1348</v>
      </c>
      <c r="H735" s="598">
        <v>14093070</v>
      </c>
      <c r="I735" s="322" t="s">
        <v>1338</v>
      </c>
      <c r="J735" s="418"/>
      <c r="K735" s="248"/>
      <c r="M735" s="248"/>
      <c r="AF735">
        <v>17</v>
      </c>
    </row>
    <row r="736" spans="1:32" x14ac:dyDescent="0.25">
      <c r="A736" s="308">
        <v>45293</v>
      </c>
      <c r="B736" s="416">
        <v>1261319</v>
      </c>
      <c r="C736" s="413" t="str">
        <f>IFERROR(INDEX(Table14[],MATCH($B736,Table14[SAPNo],0),3),"")</f>
        <v>1308 CT155 U-60</v>
      </c>
      <c r="D736" s="306"/>
      <c r="E736" s="421">
        <v>24</v>
      </c>
      <c r="F736" s="421"/>
      <c r="G736" s="417" t="s">
        <v>1349</v>
      </c>
      <c r="H736" s="598">
        <v>14104600</v>
      </c>
      <c r="I736" s="322" t="s">
        <v>1175</v>
      </c>
      <c r="J736" s="418"/>
      <c r="K736" s="248"/>
      <c r="M736" s="248"/>
      <c r="AF736">
        <v>24</v>
      </c>
    </row>
    <row r="737" spans="1:32" x14ac:dyDescent="0.25">
      <c r="A737" s="308">
        <v>45293</v>
      </c>
      <c r="B737" s="416">
        <v>1228501</v>
      </c>
      <c r="C737" s="413" t="str">
        <f>IFERROR(INDEX(Table14[],MATCH($B737,Table14[SAPNo],0),3),"")</f>
        <v>1618 CT182 U-60 stator</v>
      </c>
      <c r="D737" s="306"/>
      <c r="E737" s="421">
        <v>10</v>
      </c>
      <c r="F737" s="421"/>
      <c r="G737" s="417" t="s">
        <v>1349</v>
      </c>
      <c r="H737" s="598">
        <v>14104600</v>
      </c>
      <c r="I737" s="322" t="s">
        <v>1175</v>
      </c>
      <c r="J737" s="418"/>
      <c r="K737" s="248"/>
      <c r="M737" s="248"/>
      <c r="AF737">
        <v>10</v>
      </c>
    </row>
    <row r="738" spans="1:32" x14ac:dyDescent="0.25">
      <c r="A738" s="308">
        <v>45293</v>
      </c>
      <c r="B738" s="416">
        <v>1228502</v>
      </c>
      <c r="C738" s="413" t="str">
        <f>IFERROR(INDEX(Table14[],MATCH($B738,Table14[SAPNo],0),3),"")</f>
        <v>1618 CT182 U-60 Rotor</v>
      </c>
      <c r="D738" s="306"/>
      <c r="E738" s="421">
        <v>10</v>
      </c>
      <c r="F738" s="421"/>
      <c r="G738" s="417" t="s">
        <v>1349</v>
      </c>
      <c r="H738" s="598">
        <v>14104600</v>
      </c>
      <c r="I738" s="322" t="s">
        <v>1175</v>
      </c>
      <c r="J738" s="418"/>
      <c r="K738" s="248"/>
      <c r="M738" s="248"/>
      <c r="AF738">
        <v>10</v>
      </c>
    </row>
    <row r="739" spans="1:32" x14ac:dyDescent="0.25">
      <c r="A739" s="308">
        <v>45293</v>
      </c>
      <c r="B739" s="416">
        <v>1228503</v>
      </c>
      <c r="C739" s="413" t="str">
        <f>IFERROR(INDEX(Table14[],MATCH($B739,Table14[SAPNo],0),3),"")</f>
        <v>1618 CT182 U-60 Ring</v>
      </c>
      <c r="D739" s="306"/>
      <c r="E739" s="421">
        <v>10</v>
      </c>
      <c r="F739" s="421"/>
      <c r="G739" s="417" t="s">
        <v>1349</v>
      </c>
      <c r="H739" s="598">
        <v>14104600</v>
      </c>
      <c r="I739" s="322" t="s">
        <v>1175</v>
      </c>
      <c r="J739" s="418"/>
      <c r="K739" s="248"/>
      <c r="M739" s="248"/>
      <c r="AF739">
        <v>10</v>
      </c>
    </row>
    <row r="740" spans="1:32" x14ac:dyDescent="0.25">
      <c r="A740" s="308">
        <v>45293</v>
      </c>
      <c r="B740" s="416">
        <v>1261320</v>
      </c>
      <c r="C740" s="413" t="str">
        <f>IFERROR(INDEX(Table14[],MATCH($B740,Table14[SAPNo],0),3),"")</f>
        <v>1313 CT155 U-60</v>
      </c>
      <c r="D740" s="306"/>
      <c r="E740" s="421">
        <v>6</v>
      </c>
      <c r="F740" s="421"/>
      <c r="G740" s="417" t="s">
        <v>1349</v>
      </c>
      <c r="H740" s="598">
        <v>14104600</v>
      </c>
      <c r="I740" s="322" t="s">
        <v>1175</v>
      </c>
      <c r="J740" s="418"/>
      <c r="K740" s="248"/>
      <c r="M740" s="248"/>
      <c r="AF740">
        <v>6</v>
      </c>
    </row>
    <row r="741" spans="1:32" x14ac:dyDescent="0.25">
      <c r="A741" s="308">
        <v>45293</v>
      </c>
      <c r="B741" s="416">
        <v>1261321</v>
      </c>
      <c r="C741" s="413" t="str">
        <f>IFERROR(INDEX(Table14[],MATCH($B741,Table14[SAPNo],0),3),"")</f>
        <v>1613 CT155 U-60</v>
      </c>
      <c r="D741" s="306"/>
      <c r="E741" s="421">
        <v>4</v>
      </c>
      <c r="F741" s="421"/>
      <c r="G741" s="417" t="s">
        <v>1349</v>
      </c>
      <c r="H741" s="598">
        <v>14104600</v>
      </c>
      <c r="I741" s="322" t="s">
        <v>1175</v>
      </c>
      <c r="J741" s="418"/>
      <c r="K741" s="248"/>
      <c r="M741" s="248"/>
      <c r="AF741">
        <v>4</v>
      </c>
    </row>
    <row r="742" spans="1:32" x14ac:dyDescent="0.25">
      <c r="A742" s="308">
        <v>45293</v>
      </c>
      <c r="B742" s="416">
        <v>871781</v>
      </c>
      <c r="C742" s="413" t="str">
        <f>IFERROR(INDEX(Table14[],MATCH($B742,Table14[SAPNo],0),3),"")</f>
        <v>Round 1313 CT200  0.018" (B)</v>
      </c>
      <c r="D742" s="306"/>
      <c r="E742" s="421">
        <v>6</v>
      </c>
      <c r="F742" s="421"/>
      <c r="G742" s="417" t="s">
        <v>1349</v>
      </c>
      <c r="H742" s="598">
        <v>14104600</v>
      </c>
      <c r="I742" s="322" t="s">
        <v>1175</v>
      </c>
      <c r="J742" s="418"/>
      <c r="K742" s="248"/>
      <c r="M742" s="248"/>
      <c r="AF742">
        <v>6</v>
      </c>
    </row>
    <row r="743" spans="1:32" x14ac:dyDescent="0.25">
      <c r="A743" s="308">
        <v>45293</v>
      </c>
      <c r="B743" s="416">
        <v>1220554</v>
      </c>
      <c r="C743" s="413" t="str">
        <f>IFERROR(INDEX(Table14[],MATCH($B743,Table14[SAPNo],0),3),"")</f>
        <v xml:space="preserve">1618 CT182 U-60 Carbide </v>
      </c>
      <c r="D743" s="306"/>
      <c r="E743" s="421">
        <v>10</v>
      </c>
      <c r="F743" s="421"/>
      <c r="G743" s="417" t="s">
        <v>1349</v>
      </c>
      <c r="H743" s="598">
        <v>14104600</v>
      </c>
      <c r="I743" s="322" t="s">
        <v>1175</v>
      </c>
      <c r="J743" s="418"/>
      <c r="K743" s="248"/>
      <c r="M743" s="248"/>
      <c r="AF743">
        <v>10</v>
      </c>
    </row>
    <row r="744" spans="1:32" x14ac:dyDescent="0.25">
      <c r="A744" s="308">
        <v>45293</v>
      </c>
      <c r="B744" s="416">
        <v>1228501</v>
      </c>
      <c r="C744" s="413" t="str">
        <f>IFERROR(INDEX(Table14[],MATCH($B744,Table14[SAPNo],0),3),"")</f>
        <v>1618 CT182 U-60 stator</v>
      </c>
      <c r="D744" s="306"/>
      <c r="E744" s="421">
        <v>10</v>
      </c>
      <c r="F744" s="421"/>
      <c r="G744" s="417" t="s">
        <v>1350</v>
      </c>
      <c r="H744" s="598">
        <v>14104601</v>
      </c>
      <c r="I744" s="322" t="s">
        <v>1175</v>
      </c>
      <c r="J744" s="418"/>
      <c r="K744" s="248"/>
      <c r="M744" s="248"/>
      <c r="AF744">
        <v>10</v>
      </c>
    </row>
    <row r="745" spans="1:32" x14ac:dyDescent="0.25">
      <c r="A745" s="308">
        <v>45293</v>
      </c>
      <c r="B745" s="416">
        <v>1228502</v>
      </c>
      <c r="C745" s="413" t="str">
        <f>IFERROR(INDEX(Table14[],MATCH($B745,Table14[SAPNo],0),3),"")</f>
        <v>1618 CT182 U-60 Rotor</v>
      </c>
      <c r="D745" s="306"/>
      <c r="E745" s="421">
        <v>10</v>
      </c>
      <c r="F745" s="421"/>
      <c r="G745" s="417" t="s">
        <v>1350</v>
      </c>
      <c r="H745" s="598">
        <v>14104601</v>
      </c>
      <c r="I745" s="322" t="s">
        <v>1175</v>
      </c>
      <c r="J745" s="418"/>
      <c r="K745" s="248"/>
      <c r="M745" s="248"/>
      <c r="AF745">
        <v>10</v>
      </c>
    </row>
    <row r="746" spans="1:32" x14ac:dyDescent="0.25">
      <c r="A746" s="308">
        <v>45293</v>
      </c>
      <c r="B746" s="416">
        <v>871781</v>
      </c>
      <c r="C746" s="413" t="str">
        <f>IFERROR(INDEX(Table14[],MATCH($B746,Table14[SAPNo],0),3),"")</f>
        <v>Round 1313 CT200  0.018" (B)</v>
      </c>
      <c r="D746" s="306"/>
      <c r="E746" s="421">
        <v>6</v>
      </c>
      <c r="F746" s="421"/>
      <c r="G746" s="417" t="s">
        <v>1350</v>
      </c>
      <c r="H746" s="598">
        <v>14104601</v>
      </c>
      <c r="I746" s="322" t="s">
        <v>1175</v>
      </c>
      <c r="J746" s="418"/>
      <c r="K746" s="248"/>
      <c r="M746" s="248"/>
      <c r="AF746">
        <v>6</v>
      </c>
    </row>
    <row r="747" spans="1:32" x14ac:dyDescent="0.25">
      <c r="A747" s="308">
        <v>45293</v>
      </c>
      <c r="B747" s="416">
        <v>1261319</v>
      </c>
      <c r="C747" s="413" t="str">
        <f>IFERROR(INDEX(Table14[],MATCH($B747,Table14[SAPNo],0),3),"")</f>
        <v>1308 CT155 U-60</v>
      </c>
      <c r="D747" s="306"/>
      <c r="E747" s="421">
        <v>24</v>
      </c>
      <c r="F747" s="421"/>
      <c r="G747" s="417" t="s">
        <v>1350</v>
      </c>
      <c r="H747" s="598">
        <v>14104601</v>
      </c>
      <c r="I747" s="322" t="s">
        <v>1175</v>
      </c>
      <c r="J747" s="418"/>
      <c r="K747" s="248"/>
      <c r="M747" s="248"/>
      <c r="AF747">
        <v>24</v>
      </c>
    </row>
    <row r="748" spans="1:32" x14ac:dyDescent="0.25">
      <c r="A748" s="308">
        <v>45293</v>
      </c>
      <c r="B748" s="416">
        <v>1220554</v>
      </c>
      <c r="C748" s="413" t="str">
        <f>IFERROR(INDEX(Table14[],MATCH($B748,Table14[SAPNo],0),3),"")</f>
        <v xml:space="preserve">1618 CT182 U-60 Carbide </v>
      </c>
      <c r="D748" s="306"/>
      <c r="E748" s="421">
        <v>10</v>
      </c>
      <c r="F748" s="421"/>
      <c r="G748" s="417" t="s">
        <v>1350</v>
      </c>
      <c r="H748" s="598">
        <v>14104601</v>
      </c>
      <c r="I748" s="322" t="s">
        <v>1175</v>
      </c>
      <c r="J748" s="418"/>
      <c r="K748" s="248"/>
      <c r="M748" s="248"/>
      <c r="AF748">
        <v>10</v>
      </c>
    </row>
    <row r="749" spans="1:32" x14ac:dyDescent="0.25">
      <c r="A749" s="308">
        <v>45293</v>
      </c>
      <c r="B749" s="416">
        <v>1261320</v>
      </c>
      <c r="C749" s="413" t="str">
        <f>IFERROR(INDEX(Table14[],MATCH($B749,Table14[SAPNo],0),3),"")</f>
        <v>1313 CT155 U-60</v>
      </c>
      <c r="D749" s="306"/>
      <c r="E749" s="421">
        <v>6</v>
      </c>
      <c r="F749" s="421"/>
      <c r="G749" s="417" t="s">
        <v>1350</v>
      </c>
      <c r="H749" s="598">
        <v>14104601</v>
      </c>
      <c r="I749" s="322" t="s">
        <v>1175</v>
      </c>
      <c r="J749" s="418"/>
      <c r="K749" s="248"/>
      <c r="M749" s="248"/>
      <c r="AF749">
        <v>6</v>
      </c>
    </row>
    <row r="750" spans="1:32" x14ac:dyDescent="0.25">
      <c r="A750" s="308">
        <v>45293</v>
      </c>
      <c r="B750" s="416">
        <v>1261321</v>
      </c>
      <c r="C750" s="413" t="str">
        <f>IFERROR(INDEX(Table14[],MATCH($B750,Table14[SAPNo],0),3),"")</f>
        <v>1613 CT155 U-60</v>
      </c>
      <c r="D750" s="306"/>
      <c r="E750" s="421">
        <v>4</v>
      </c>
      <c r="F750" s="421"/>
      <c r="G750" s="417" t="s">
        <v>1350</v>
      </c>
      <c r="H750" s="598">
        <v>14104601</v>
      </c>
      <c r="I750" s="322" t="s">
        <v>1175</v>
      </c>
      <c r="J750" s="418"/>
      <c r="K750" s="248"/>
      <c r="M750" s="248"/>
      <c r="AF750">
        <v>4</v>
      </c>
    </row>
    <row r="751" spans="1:32" x14ac:dyDescent="0.25">
      <c r="A751" s="320">
        <v>45293</v>
      </c>
      <c r="B751" s="419">
        <v>1228503</v>
      </c>
      <c r="C751" s="413" t="str">
        <f>IFERROR(INDEX(Table14[],MATCH($B751,Table14[SAPNo],0),3),"")</f>
        <v>1618 CT182 U-60 Ring</v>
      </c>
      <c r="D751" s="306"/>
      <c r="E751" s="421">
        <v>10</v>
      </c>
      <c r="F751" s="421"/>
      <c r="G751" s="420" t="s">
        <v>1350</v>
      </c>
      <c r="H751" s="599">
        <v>14104601</v>
      </c>
      <c r="I751" s="322" t="s">
        <v>1175</v>
      </c>
      <c r="J751" s="421"/>
      <c r="K751" s="422"/>
      <c r="M751" s="422"/>
      <c r="AF751">
        <v>10</v>
      </c>
    </row>
    <row r="752" spans="1:32" x14ac:dyDescent="0.25">
      <c r="A752" s="320">
        <v>45293</v>
      </c>
      <c r="B752" s="419">
        <v>971055</v>
      </c>
      <c r="C752" s="413" t="str">
        <f>IFERROR(INDEX(Table14[],MATCH($B752,Table14[SAPNo],0),3),"")</f>
        <v>MED Bullet 10.5 CT217 MBL 0.018" (B)</v>
      </c>
      <c r="D752" s="306"/>
      <c r="E752" s="321">
        <v>0</v>
      </c>
      <c r="F752" s="321"/>
      <c r="G752" s="612" t="s">
        <v>1351</v>
      </c>
      <c r="H752" s="599" t="s">
        <v>1352</v>
      </c>
      <c r="I752" s="322" t="s">
        <v>1112</v>
      </c>
      <c r="J752" s="421">
        <v>9</v>
      </c>
      <c r="K752" s="422"/>
      <c r="M752" s="422"/>
      <c r="AF752">
        <v>0</v>
      </c>
    </row>
    <row r="753" spans="1:32" x14ac:dyDescent="0.25">
      <c r="A753" s="308">
        <v>45294</v>
      </c>
      <c r="B753" s="416">
        <v>717748</v>
      </c>
      <c r="C753" s="413" t="str">
        <f>IFERROR(INDEX(Table14[],MATCH($B753,Table14[SAPNo],0),3),"")</f>
        <v>Round 1010 CT200  0.018" (B)</v>
      </c>
      <c r="D753" s="306"/>
      <c r="E753" s="421">
        <v>4</v>
      </c>
      <c r="F753" s="421"/>
      <c r="G753" s="417" t="s">
        <v>1353</v>
      </c>
      <c r="H753" s="598" t="s">
        <v>1354</v>
      </c>
      <c r="I753" s="322" t="s">
        <v>1069</v>
      </c>
      <c r="J753" s="418"/>
      <c r="K753" s="248"/>
      <c r="M753" s="248"/>
      <c r="AF753">
        <v>4</v>
      </c>
    </row>
    <row r="754" spans="1:32" x14ac:dyDescent="0.25">
      <c r="A754" s="308">
        <v>45294</v>
      </c>
      <c r="B754" s="416">
        <v>418525</v>
      </c>
      <c r="C754" s="413" t="str">
        <f>IFERROR(INDEX(Table14[],MATCH($B754,Table14[SAPNo],0),3),"")</f>
        <v>Drop In 1308 CT31   (B)</v>
      </c>
      <c r="D754" s="306"/>
      <c r="E754" s="421">
        <v>6</v>
      </c>
      <c r="F754" s="421"/>
      <c r="G754" s="417" t="s">
        <v>1355</v>
      </c>
      <c r="H754" s="598">
        <v>13791101</v>
      </c>
      <c r="I754" s="322" t="s">
        <v>1356</v>
      </c>
      <c r="J754" s="418"/>
      <c r="K754" s="248"/>
      <c r="M754" s="248"/>
      <c r="AF754">
        <v>6</v>
      </c>
    </row>
    <row r="755" spans="1:32" x14ac:dyDescent="0.25">
      <c r="A755" s="308">
        <v>45294</v>
      </c>
      <c r="B755" s="416">
        <v>1130198</v>
      </c>
      <c r="C755" s="413" t="str">
        <f>IFERROR(INDEX(Table14[],MATCH($B755,Table14[SAPNo],0),3),"")</f>
        <v>Round 1613 CT182  0.018" (S)</v>
      </c>
      <c r="D755" s="306"/>
      <c r="E755" s="421">
        <v>33</v>
      </c>
      <c r="F755" s="421"/>
      <c r="G755" s="417" t="s">
        <v>1355</v>
      </c>
      <c r="H755" s="598">
        <v>13791101</v>
      </c>
      <c r="I755" s="322" t="s">
        <v>1356</v>
      </c>
      <c r="J755" s="418"/>
      <c r="K755" s="248"/>
      <c r="M755" s="248"/>
      <c r="AF755">
        <v>33</v>
      </c>
    </row>
    <row r="756" spans="1:32" x14ac:dyDescent="0.25">
      <c r="A756" s="308">
        <v>45294</v>
      </c>
      <c r="B756" s="416">
        <v>647435</v>
      </c>
      <c r="C756" s="413" t="str">
        <f>IFERROR(INDEX(Table14[],MATCH($B756,Table14[SAPNo],0),3),"")</f>
        <v>Round 1608 CT200  0.018" (B)</v>
      </c>
      <c r="D756" s="306"/>
      <c r="E756" s="421">
        <v>23</v>
      </c>
      <c r="F756" s="421"/>
      <c r="G756" s="417" t="s">
        <v>1355</v>
      </c>
      <c r="H756" s="598">
        <v>13791101</v>
      </c>
      <c r="I756" s="322" t="s">
        <v>1356</v>
      </c>
      <c r="J756" s="418"/>
      <c r="K756" s="248"/>
      <c r="M756" s="248"/>
      <c r="AF756">
        <v>23</v>
      </c>
    </row>
    <row r="757" spans="1:32" x14ac:dyDescent="0.25">
      <c r="A757" s="308">
        <v>45294</v>
      </c>
      <c r="B757" s="416">
        <v>871781</v>
      </c>
      <c r="C757" s="413" t="str">
        <f>IFERROR(INDEX(Table14[],MATCH($B757,Table14[SAPNo],0),3),"")</f>
        <v>Round 1313 CT200  0.018" (B)</v>
      </c>
      <c r="D757" s="306"/>
      <c r="E757" s="421">
        <v>5</v>
      </c>
      <c r="F757" s="421"/>
      <c r="G757" s="417" t="s">
        <v>1357</v>
      </c>
      <c r="H757" s="598">
        <v>14093075</v>
      </c>
      <c r="I757" s="322" t="s">
        <v>1358</v>
      </c>
      <c r="J757" s="418"/>
      <c r="K757" s="248"/>
      <c r="M757" s="248"/>
      <c r="AF757">
        <v>5</v>
      </c>
    </row>
    <row r="758" spans="1:32" x14ac:dyDescent="0.25">
      <c r="A758" s="308">
        <v>45294</v>
      </c>
      <c r="B758" s="416">
        <v>1146737</v>
      </c>
      <c r="C758" s="413" t="str">
        <f>IFERROR(INDEX(Table14[],MATCH($B758,Table14[SAPNo],0),3),"")</f>
        <v>1613 CT418 18-60</v>
      </c>
      <c r="D758" s="306"/>
      <c r="E758" s="421">
        <v>10</v>
      </c>
      <c r="F758" s="421"/>
      <c r="G758" s="417" t="s">
        <v>1357</v>
      </c>
      <c r="H758" s="598">
        <v>14093075</v>
      </c>
      <c r="I758" s="322" t="s">
        <v>1358</v>
      </c>
      <c r="J758" s="418"/>
      <c r="K758" s="248"/>
      <c r="M758" s="248"/>
      <c r="AF758">
        <v>10</v>
      </c>
    </row>
    <row r="759" spans="1:32" x14ac:dyDescent="0.25">
      <c r="A759" s="308">
        <v>45294</v>
      </c>
      <c r="B759" s="416">
        <v>1209410</v>
      </c>
      <c r="C759" s="413" t="str">
        <f>IFERROR(INDEX(Table14[],MATCH($B759,Table14[SAPNo],0),3),"")</f>
        <v>1613 CT430MV3 U TBO</v>
      </c>
      <c r="D759" s="306"/>
      <c r="E759" s="421">
        <v>10</v>
      </c>
      <c r="F759" s="421"/>
      <c r="G759" s="417" t="s">
        <v>1357</v>
      </c>
      <c r="H759" s="598">
        <v>14093075</v>
      </c>
      <c r="I759" s="322" t="s">
        <v>1358</v>
      </c>
      <c r="J759" s="418"/>
      <c r="K759" s="248"/>
      <c r="M759" s="248"/>
      <c r="AF759">
        <v>10</v>
      </c>
    </row>
    <row r="760" spans="1:32" x14ac:dyDescent="0.25">
      <c r="A760" s="308">
        <v>45294</v>
      </c>
      <c r="B760" s="416">
        <v>1100751</v>
      </c>
      <c r="C760" s="413" t="str">
        <f>IFERROR(INDEX(Table14[],MATCH($B760,Table14[SAPNo],0),3),"")</f>
        <v>1313 CT421 0.018"</v>
      </c>
      <c r="D760" s="306"/>
      <c r="E760" s="421">
        <v>22</v>
      </c>
      <c r="F760" s="421"/>
      <c r="G760" s="417" t="s">
        <v>1357</v>
      </c>
      <c r="H760" s="598">
        <v>14093075</v>
      </c>
      <c r="I760" s="322" t="s">
        <v>1358</v>
      </c>
      <c r="J760" s="418"/>
      <c r="K760" s="248"/>
      <c r="M760" s="248"/>
      <c r="AF760">
        <v>22</v>
      </c>
    </row>
    <row r="761" spans="1:32" x14ac:dyDescent="0.25">
      <c r="A761" s="308">
        <v>45294</v>
      </c>
      <c r="B761" s="416">
        <v>1271790</v>
      </c>
      <c r="C761" s="413" t="str">
        <f>IFERROR(INDEX(Table14[],MATCH($B761,Table14[SAPNo],0),3),"")</f>
        <v xml:space="preserve">1613 CT170 18-60 </v>
      </c>
      <c r="D761" s="306"/>
      <c r="E761" s="421">
        <v>30</v>
      </c>
      <c r="F761" s="421"/>
      <c r="G761" s="417" t="s">
        <v>1357</v>
      </c>
      <c r="H761" s="598">
        <v>14093075</v>
      </c>
      <c r="I761" s="322" t="s">
        <v>1358</v>
      </c>
      <c r="J761" s="418"/>
      <c r="K761" s="248"/>
      <c r="M761" s="248"/>
      <c r="AF761">
        <v>30</v>
      </c>
    </row>
    <row r="762" spans="1:32" x14ac:dyDescent="0.25">
      <c r="A762" s="308">
        <v>45294</v>
      </c>
      <c r="B762" s="416">
        <v>1261320</v>
      </c>
      <c r="C762" s="413" t="str">
        <f>IFERROR(INDEX(Table14[],MATCH($B762,Table14[SAPNo],0),3),"")</f>
        <v>1313 CT155 U-60</v>
      </c>
      <c r="D762" s="306"/>
      <c r="E762" s="421">
        <v>6</v>
      </c>
      <c r="F762" s="421"/>
      <c r="G762" s="417" t="s">
        <v>1359</v>
      </c>
      <c r="H762" s="598">
        <v>14104603</v>
      </c>
      <c r="I762" s="322" t="s">
        <v>1175</v>
      </c>
      <c r="J762" s="418"/>
      <c r="K762" s="248"/>
      <c r="M762" s="248"/>
      <c r="AF762">
        <v>6</v>
      </c>
    </row>
    <row r="763" spans="1:32" x14ac:dyDescent="0.25">
      <c r="A763" s="308">
        <v>45294</v>
      </c>
      <c r="B763" s="416">
        <v>1228503</v>
      </c>
      <c r="C763" s="413" t="str">
        <f>IFERROR(INDEX(Table14[],MATCH($B763,Table14[SAPNo],0),3),"")</f>
        <v>1618 CT182 U-60 Ring</v>
      </c>
      <c r="D763" s="306"/>
      <c r="E763" s="421">
        <v>10</v>
      </c>
      <c r="F763" s="421"/>
      <c r="G763" s="417" t="s">
        <v>1359</v>
      </c>
      <c r="H763" s="598">
        <v>14104603</v>
      </c>
      <c r="I763" s="322" t="s">
        <v>1175</v>
      </c>
      <c r="J763" s="418"/>
      <c r="K763" s="248"/>
      <c r="M763" s="248"/>
      <c r="AF763">
        <v>10</v>
      </c>
    </row>
    <row r="764" spans="1:32" x14ac:dyDescent="0.25">
      <c r="A764" s="308">
        <v>45294</v>
      </c>
      <c r="B764" s="416">
        <v>1228501</v>
      </c>
      <c r="C764" s="413" t="str">
        <f>IFERROR(INDEX(Table14[],MATCH($B764,Table14[SAPNo],0),3),"")</f>
        <v>1618 CT182 U-60 stator</v>
      </c>
      <c r="D764" s="306"/>
      <c r="E764" s="421">
        <v>10</v>
      </c>
      <c r="F764" s="421"/>
      <c r="G764" s="417" t="s">
        <v>1359</v>
      </c>
      <c r="H764" s="598">
        <v>14104603</v>
      </c>
      <c r="I764" s="322" t="s">
        <v>1175</v>
      </c>
      <c r="J764" s="418"/>
      <c r="K764" s="248"/>
      <c r="M764" s="248"/>
      <c r="AF764">
        <v>10</v>
      </c>
    </row>
    <row r="765" spans="1:32" x14ac:dyDescent="0.25">
      <c r="A765" s="308">
        <v>45294</v>
      </c>
      <c r="B765" s="416">
        <v>1228502</v>
      </c>
      <c r="C765" s="413" t="str">
        <f>IFERROR(INDEX(Table14[],MATCH($B765,Table14[SAPNo],0),3),"")</f>
        <v>1618 CT182 U-60 Rotor</v>
      </c>
      <c r="D765" s="306"/>
      <c r="E765" s="421">
        <v>10</v>
      </c>
      <c r="F765" s="421"/>
      <c r="G765" s="417" t="s">
        <v>1359</v>
      </c>
      <c r="H765" s="598">
        <v>14104603</v>
      </c>
      <c r="I765" s="322" t="s">
        <v>1175</v>
      </c>
      <c r="J765" s="418"/>
      <c r="K765" s="248"/>
      <c r="M765" s="248"/>
      <c r="AF765">
        <v>10</v>
      </c>
    </row>
    <row r="766" spans="1:32" x14ac:dyDescent="0.25">
      <c r="A766" s="308">
        <v>45294</v>
      </c>
      <c r="B766" s="416">
        <v>1261319</v>
      </c>
      <c r="C766" s="413" t="str">
        <f>IFERROR(INDEX(Table14[],MATCH($B766,Table14[SAPNo],0),3),"")</f>
        <v>1308 CT155 U-60</v>
      </c>
      <c r="D766" s="306"/>
      <c r="E766" s="421">
        <v>24</v>
      </c>
      <c r="F766" s="421"/>
      <c r="G766" s="417" t="s">
        <v>1359</v>
      </c>
      <c r="H766" s="598">
        <v>14104603</v>
      </c>
      <c r="I766" s="322" t="s">
        <v>1175</v>
      </c>
      <c r="J766" s="418"/>
      <c r="K766" s="248"/>
      <c r="M766" s="248"/>
      <c r="AF766">
        <v>24</v>
      </c>
    </row>
    <row r="767" spans="1:32" x14ac:dyDescent="0.25">
      <c r="A767" s="308">
        <v>45294</v>
      </c>
      <c r="B767" s="416">
        <v>1261321</v>
      </c>
      <c r="C767" s="413" t="str">
        <f>IFERROR(INDEX(Table14[],MATCH($B767,Table14[SAPNo],0),3),"")</f>
        <v>1613 CT155 U-60</v>
      </c>
      <c r="D767" s="306"/>
      <c r="E767" s="421">
        <v>4</v>
      </c>
      <c r="F767" s="421"/>
      <c r="G767" s="417" t="s">
        <v>1359</v>
      </c>
      <c r="H767" s="598">
        <v>14104603</v>
      </c>
      <c r="I767" s="322" t="s">
        <v>1175</v>
      </c>
      <c r="J767" s="418"/>
      <c r="K767" s="248"/>
      <c r="M767" s="248"/>
      <c r="AF767">
        <v>4</v>
      </c>
    </row>
    <row r="768" spans="1:32" x14ac:dyDescent="0.25">
      <c r="A768" s="308">
        <v>45294</v>
      </c>
      <c r="B768" s="416">
        <v>871781</v>
      </c>
      <c r="C768" s="413" t="str">
        <f>IFERROR(INDEX(Table14[],MATCH($B768,Table14[SAPNo],0),3),"")</f>
        <v>Round 1313 CT200  0.018" (B)</v>
      </c>
      <c r="D768" s="306"/>
      <c r="E768" s="421">
        <v>6</v>
      </c>
      <c r="F768" s="421"/>
      <c r="G768" s="417" t="s">
        <v>1359</v>
      </c>
      <c r="H768" s="598">
        <v>14104603</v>
      </c>
      <c r="I768" s="322" t="s">
        <v>1175</v>
      </c>
      <c r="J768" s="418"/>
      <c r="K768" s="248"/>
      <c r="M768" s="248"/>
      <c r="AF768">
        <v>6</v>
      </c>
    </row>
    <row r="769" spans="1:32" x14ac:dyDescent="0.25">
      <c r="A769" s="308">
        <v>45294</v>
      </c>
      <c r="B769" s="416">
        <v>1220554</v>
      </c>
      <c r="C769" s="413" t="str">
        <f>IFERROR(INDEX(Table14[],MATCH($B769,Table14[SAPNo],0),3),"")</f>
        <v xml:space="preserve">1618 CT182 U-60 Carbide </v>
      </c>
      <c r="D769" s="306"/>
      <c r="E769" s="421">
        <v>10</v>
      </c>
      <c r="F769" s="421"/>
      <c r="G769" s="417" t="s">
        <v>1359</v>
      </c>
      <c r="H769" s="598">
        <v>14104603</v>
      </c>
      <c r="I769" s="322" t="s">
        <v>1175</v>
      </c>
      <c r="J769" s="418"/>
      <c r="K769" s="248"/>
      <c r="M769" s="248"/>
      <c r="AF769">
        <v>10</v>
      </c>
    </row>
    <row r="770" spans="1:32" x14ac:dyDescent="0.25">
      <c r="A770" s="308">
        <v>45295</v>
      </c>
      <c r="B770" s="416">
        <v>1130198</v>
      </c>
      <c r="C770" s="413" t="str">
        <f>IFERROR(INDEX(Table14[],MATCH($B770,Table14[SAPNo],0),3),"")</f>
        <v>Round 1613 CT182  0.018" (S)</v>
      </c>
      <c r="D770" s="306"/>
      <c r="E770" s="421">
        <v>33</v>
      </c>
      <c r="F770" s="421"/>
      <c r="G770" s="417" t="s">
        <v>1360</v>
      </c>
      <c r="H770" s="598">
        <v>13807909</v>
      </c>
      <c r="I770" s="322" t="s">
        <v>1361</v>
      </c>
      <c r="J770" s="418"/>
      <c r="K770" s="248"/>
      <c r="M770" s="248"/>
      <c r="AF770">
        <v>33</v>
      </c>
    </row>
    <row r="771" spans="1:32" x14ac:dyDescent="0.25">
      <c r="A771" s="308">
        <v>45295</v>
      </c>
      <c r="B771" s="416">
        <v>418525</v>
      </c>
      <c r="C771" s="413" t="str">
        <f>IFERROR(INDEX(Table14[],MATCH($B771,Table14[SAPNo],0),3),"")</f>
        <v>Drop In 1308 CT31   (B)</v>
      </c>
      <c r="D771" s="306"/>
      <c r="E771" s="421">
        <v>6</v>
      </c>
      <c r="F771" s="421"/>
      <c r="G771" s="417" t="s">
        <v>1360</v>
      </c>
      <c r="H771" s="598">
        <v>13807909</v>
      </c>
      <c r="I771" s="322" t="s">
        <v>1361</v>
      </c>
      <c r="J771" s="418"/>
      <c r="K771" s="248"/>
      <c r="M771" s="248"/>
      <c r="AF771">
        <v>6</v>
      </c>
    </row>
    <row r="772" spans="1:32" x14ac:dyDescent="0.25">
      <c r="A772" s="308">
        <v>45295</v>
      </c>
      <c r="B772" s="416">
        <v>647435</v>
      </c>
      <c r="C772" s="413" t="str">
        <f>IFERROR(INDEX(Table14[],MATCH($B772,Table14[SAPNo],0),3),"")</f>
        <v>Round 1608 CT200  0.018" (B)</v>
      </c>
      <c r="D772" s="306"/>
      <c r="E772" s="421">
        <v>23</v>
      </c>
      <c r="F772" s="421"/>
      <c r="G772" s="417" t="s">
        <v>1360</v>
      </c>
      <c r="H772" s="598">
        <v>13807909</v>
      </c>
      <c r="I772" s="322" t="s">
        <v>1361</v>
      </c>
      <c r="J772" s="418"/>
      <c r="K772" s="248"/>
      <c r="M772" s="248"/>
      <c r="AF772">
        <v>23</v>
      </c>
    </row>
    <row r="773" spans="1:32" x14ac:dyDescent="0.25">
      <c r="A773" s="308">
        <v>45295</v>
      </c>
      <c r="B773" s="416">
        <v>1228503</v>
      </c>
      <c r="C773" s="413" t="str">
        <f>IFERROR(INDEX(Table14[],MATCH($B773,Table14[SAPNo],0),3),"")</f>
        <v>1618 CT182 U-60 Ring</v>
      </c>
      <c r="D773" s="306"/>
      <c r="E773" s="421">
        <v>10</v>
      </c>
      <c r="F773" s="421"/>
      <c r="G773" s="417" t="s">
        <v>1362</v>
      </c>
      <c r="H773" s="598">
        <v>14109674</v>
      </c>
      <c r="I773" s="322" t="s">
        <v>1175</v>
      </c>
      <c r="J773" s="418"/>
      <c r="K773" s="248"/>
      <c r="M773" s="248"/>
      <c r="AF773">
        <v>10</v>
      </c>
    </row>
    <row r="774" spans="1:32" x14ac:dyDescent="0.25">
      <c r="A774" s="308">
        <v>45295</v>
      </c>
      <c r="B774" s="416">
        <v>1228502</v>
      </c>
      <c r="C774" s="413" t="str">
        <f>IFERROR(INDEX(Table14[],MATCH($B774,Table14[SAPNo],0),3),"")</f>
        <v>1618 CT182 U-60 Rotor</v>
      </c>
      <c r="D774" s="306"/>
      <c r="E774" s="421">
        <v>10</v>
      </c>
      <c r="F774" s="421"/>
      <c r="G774" s="417" t="s">
        <v>1362</v>
      </c>
      <c r="H774" s="598">
        <v>14109674</v>
      </c>
      <c r="I774" s="322" t="s">
        <v>1175</v>
      </c>
      <c r="J774" s="418"/>
      <c r="K774" s="248"/>
      <c r="M774" s="248"/>
      <c r="AF774">
        <v>10</v>
      </c>
    </row>
    <row r="775" spans="1:32" x14ac:dyDescent="0.25">
      <c r="A775" s="308">
        <v>45295</v>
      </c>
      <c r="B775" s="416">
        <v>1228501</v>
      </c>
      <c r="C775" s="413" t="str">
        <f>IFERROR(INDEX(Table14[],MATCH($B775,Table14[SAPNo],0),3),"")</f>
        <v>1618 CT182 U-60 stator</v>
      </c>
      <c r="D775" s="306"/>
      <c r="E775" s="421">
        <v>10</v>
      </c>
      <c r="F775" s="421"/>
      <c r="G775" s="417" t="s">
        <v>1362</v>
      </c>
      <c r="H775" s="598">
        <v>14109674</v>
      </c>
      <c r="I775" s="322" t="s">
        <v>1175</v>
      </c>
      <c r="J775" s="418"/>
      <c r="K775" s="248"/>
      <c r="M775" s="248"/>
      <c r="AF775">
        <v>10</v>
      </c>
    </row>
    <row r="776" spans="1:32" x14ac:dyDescent="0.25">
      <c r="A776" s="308">
        <v>45295</v>
      </c>
      <c r="B776" s="416">
        <v>871781</v>
      </c>
      <c r="C776" s="413" t="str">
        <f>IFERROR(INDEX(Table14[],MATCH($B776,Table14[SAPNo],0),3),"")</f>
        <v>Round 1313 CT200  0.018" (B)</v>
      </c>
      <c r="D776" s="306"/>
      <c r="E776" s="421">
        <v>6</v>
      </c>
      <c r="F776" s="421"/>
      <c r="G776" s="417" t="s">
        <v>1362</v>
      </c>
      <c r="H776" s="598">
        <v>14109674</v>
      </c>
      <c r="I776" s="322" t="s">
        <v>1175</v>
      </c>
      <c r="J776" s="418"/>
      <c r="K776" s="248"/>
      <c r="M776" s="248"/>
      <c r="AF776">
        <v>6</v>
      </c>
    </row>
    <row r="777" spans="1:32" x14ac:dyDescent="0.25">
      <c r="A777" s="308">
        <v>45295</v>
      </c>
      <c r="B777" s="416">
        <v>1261320</v>
      </c>
      <c r="C777" s="413" t="str">
        <f>IFERROR(INDEX(Table14[],MATCH($B777,Table14[SAPNo],0),3),"")</f>
        <v>1313 CT155 U-60</v>
      </c>
      <c r="D777" s="306"/>
      <c r="E777" s="421">
        <v>6</v>
      </c>
      <c r="F777" s="421"/>
      <c r="G777" s="417" t="s">
        <v>1362</v>
      </c>
      <c r="H777" s="598">
        <v>14109674</v>
      </c>
      <c r="I777" s="322" t="s">
        <v>1175</v>
      </c>
      <c r="J777" s="418"/>
      <c r="K777" s="248"/>
      <c r="M777" s="248"/>
      <c r="AF777">
        <v>6</v>
      </c>
    </row>
    <row r="778" spans="1:32" x14ac:dyDescent="0.25">
      <c r="A778" s="308">
        <v>45295</v>
      </c>
      <c r="B778" s="416">
        <v>1261321</v>
      </c>
      <c r="C778" s="413" t="str">
        <f>IFERROR(INDEX(Table14[],MATCH($B778,Table14[SAPNo],0),3),"")</f>
        <v>1613 CT155 U-60</v>
      </c>
      <c r="D778" s="306"/>
      <c r="E778" s="421">
        <v>4</v>
      </c>
      <c r="F778" s="421"/>
      <c r="G778" s="417" t="s">
        <v>1362</v>
      </c>
      <c r="H778" s="598">
        <v>14109674</v>
      </c>
      <c r="I778" s="322" t="s">
        <v>1175</v>
      </c>
      <c r="J778" s="418"/>
      <c r="K778" s="248"/>
      <c r="M778" s="248"/>
      <c r="AF778">
        <v>4</v>
      </c>
    </row>
    <row r="779" spans="1:32" x14ac:dyDescent="0.25">
      <c r="A779" s="308">
        <v>45295</v>
      </c>
      <c r="B779" s="416">
        <v>1261319</v>
      </c>
      <c r="C779" s="413" t="str">
        <f>IFERROR(INDEX(Table14[],MATCH($B779,Table14[SAPNo],0),3),"")</f>
        <v>1308 CT155 U-60</v>
      </c>
      <c r="D779" s="306"/>
      <c r="E779" s="421">
        <v>24</v>
      </c>
      <c r="F779" s="421"/>
      <c r="G779" s="417" t="s">
        <v>1362</v>
      </c>
      <c r="H779" s="598">
        <v>14109674</v>
      </c>
      <c r="I779" s="322" t="s">
        <v>1175</v>
      </c>
      <c r="J779" s="418"/>
      <c r="K779" s="248"/>
      <c r="M779" s="248"/>
      <c r="AF779">
        <v>24</v>
      </c>
    </row>
    <row r="780" spans="1:32" x14ac:dyDescent="0.25">
      <c r="A780" s="320">
        <v>45295</v>
      </c>
      <c r="B780" s="419">
        <v>1220554</v>
      </c>
      <c r="C780" s="413" t="str">
        <f>IFERROR(INDEX(Table14[],MATCH($B780,Table14[SAPNo],0),3),"")</f>
        <v xml:space="preserve">1618 CT182 U-60 Carbide </v>
      </c>
      <c r="D780" s="306"/>
      <c r="E780" s="421">
        <v>10</v>
      </c>
      <c r="F780" s="421"/>
      <c r="G780" s="420" t="s">
        <v>1362</v>
      </c>
      <c r="H780" s="599">
        <v>14109674</v>
      </c>
      <c r="I780" s="322" t="s">
        <v>1175</v>
      </c>
      <c r="J780" s="421"/>
      <c r="K780" s="422"/>
      <c r="M780" s="422"/>
      <c r="AF780">
        <v>10</v>
      </c>
    </row>
    <row r="781" spans="1:32" x14ac:dyDescent="0.25">
      <c r="A781" s="308">
        <v>45296</v>
      </c>
      <c r="B781" s="416">
        <v>871781</v>
      </c>
      <c r="C781" s="413" t="str">
        <f>IFERROR(INDEX(Table14[],MATCH($B781,Table14[SAPNo],0),3),"")</f>
        <v>Round 1313 CT200  0.018" (B)</v>
      </c>
      <c r="D781" s="306"/>
      <c r="E781" s="421">
        <v>4</v>
      </c>
      <c r="F781" s="421"/>
      <c r="G781" s="417" t="s">
        <v>1363</v>
      </c>
      <c r="H781" s="598">
        <v>13911473</v>
      </c>
      <c r="I781" s="322" t="s">
        <v>1164</v>
      </c>
      <c r="J781" s="418"/>
      <c r="K781" s="248"/>
      <c r="M781" s="248"/>
      <c r="AF781">
        <v>4</v>
      </c>
    </row>
    <row r="782" spans="1:32" x14ac:dyDescent="0.25">
      <c r="A782" s="308">
        <v>45296</v>
      </c>
      <c r="B782" s="416">
        <v>418525</v>
      </c>
      <c r="C782" s="413" t="str">
        <f>IFERROR(INDEX(Table14[],MATCH($B782,Table14[SAPNo],0),3),"")</f>
        <v>Drop In 1308 CT31   (B)</v>
      </c>
      <c r="D782" s="306"/>
      <c r="E782" s="421">
        <v>3</v>
      </c>
      <c r="F782" s="421"/>
      <c r="G782" s="417" t="s">
        <v>1363</v>
      </c>
      <c r="H782" s="598">
        <v>13911473</v>
      </c>
      <c r="I782" s="322" t="s">
        <v>1164</v>
      </c>
      <c r="J782" s="418"/>
      <c r="K782" s="248"/>
      <c r="M782" s="248"/>
      <c r="AF782">
        <v>3</v>
      </c>
    </row>
    <row r="783" spans="1:32" x14ac:dyDescent="0.25">
      <c r="A783" s="308">
        <v>45296</v>
      </c>
      <c r="B783" s="416">
        <v>1130200</v>
      </c>
      <c r="C783" s="413" t="str">
        <f>IFERROR(INDEX(Table14[],MATCH($B783,Table14[SAPNo],0),3),"")</f>
        <v>Round 1913 CT182  0.018" (S)</v>
      </c>
      <c r="D783" s="306"/>
      <c r="E783" s="421">
        <v>32</v>
      </c>
      <c r="F783" s="421"/>
      <c r="G783" s="417" t="s">
        <v>1363</v>
      </c>
      <c r="H783" s="598">
        <v>13911473</v>
      </c>
      <c r="I783" s="322" t="s">
        <v>1164</v>
      </c>
      <c r="J783" s="418"/>
      <c r="K783" s="248"/>
      <c r="M783" s="248"/>
      <c r="AF783">
        <v>32</v>
      </c>
    </row>
    <row r="784" spans="1:32" x14ac:dyDescent="0.25">
      <c r="A784" s="308">
        <v>45296</v>
      </c>
      <c r="B784" s="416">
        <v>1130198</v>
      </c>
      <c r="C784" s="413" t="str">
        <f>IFERROR(INDEX(Table14[],MATCH($B784,Table14[SAPNo],0),3),"")</f>
        <v>Round 1613 CT182  0.018" (S)</v>
      </c>
      <c r="D784" s="306"/>
      <c r="E784" s="421">
        <v>9</v>
      </c>
      <c r="F784" s="421"/>
      <c r="G784" s="417" t="s">
        <v>1363</v>
      </c>
      <c r="H784" s="598">
        <v>13911473</v>
      </c>
      <c r="I784" s="322" t="s">
        <v>1164</v>
      </c>
      <c r="J784" s="418"/>
      <c r="K784" s="248"/>
      <c r="M784" s="248"/>
      <c r="AF784">
        <v>9</v>
      </c>
    </row>
    <row r="785" spans="1:32" x14ac:dyDescent="0.25">
      <c r="A785" s="308">
        <v>45296</v>
      </c>
      <c r="B785" s="416">
        <v>1100751</v>
      </c>
      <c r="C785" s="413" t="str">
        <f>IFERROR(INDEX(Table14[],MATCH($B785,Table14[SAPNo],0),3),"")</f>
        <v>1313 CT421 0.018"</v>
      </c>
      <c r="D785" s="306"/>
      <c r="E785" s="421">
        <v>12</v>
      </c>
      <c r="F785" s="421"/>
      <c r="G785" s="417" t="s">
        <v>1363</v>
      </c>
      <c r="H785" s="598">
        <v>13911473</v>
      </c>
      <c r="I785" s="322" t="s">
        <v>1164</v>
      </c>
      <c r="J785" s="418"/>
      <c r="K785" s="248"/>
      <c r="M785" s="248"/>
      <c r="AF785">
        <v>12</v>
      </c>
    </row>
    <row r="786" spans="1:32" x14ac:dyDescent="0.25">
      <c r="A786" s="308">
        <v>45296</v>
      </c>
      <c r="B786" s="416">
        <v>1130198</v>
      </c>
      <c r="C786" s="413" t="str">
        <f>IFERROR(INDEX(Table14[],MATCH($B786,Table14[SAPNo],0),3),"")</f>
        <v>Round 1613 CT182  0.018" (S)</v>
      </c>
      <c r="D786" s="306"/>
      <c r="E786" s="421">
        <v>9</v>
      </c>
      <c r="F786" s="421"/>
      <c r="G786" s="417" t="s">
        <v>1364</v>
      </c>
      <c r="H786" s="598">
        <v>13914967</v>
      </c>
      <c r="I786" s="322" t="s">
        <v>1164</v>
      </c>
      <c r="J786" s="418"/>
      <c r="K786" s="248"/>
      <c r="M786" s="248"/>
      <c r="AF786">
        <v>9</v>
      </c>
    </row>
    <row r="787" spans="1:32" x14ac:dyDescent="0.25">
      <c r="A787" s="308">
        <v>45298</v>
      </c>
      <c r="B787" s="416">
        <v>1219562</v>
      </c>
      <c r="C787" s="413" t="str">
        <f>IFERROR(INDEX(Table14[],MATCH($B787,Table14[SAPNo],0),3),"")</f>
        <v>1613 CT147R U</v>
      </c>
      <c r="D787" s="306"/>
      <c r="E787" s="421">
        <v>16</v>
      </c>
      <c r="F787" s="421"/>
      <c r="G787" s="417" t="s">
        <v>1365</v>
      </c>
      <c r="H787" s="598">
        <v>14036278</v>
      </c>
      <c r="I787" s="322" t="s">
        <v>1366</v>
      </c>
      <c r="J787" s="418"/>
      <c r="K787" s="248"/>
      <c r="M787" s="248"/>
      <c r="AF787">
        <v>16</v>
      </c>
    </row>
    <row r="788" spans="1:32" x14ac:dyDescent="0.25">
      <c r="A788" s="308">
        <v>45298</v>
      </c>
      <c r="B788" s="416">
        <v>871781</v>
      </c>
      <c r="C788" s="413" t="str">
        <f>IFERROR(INDEX(Table14[],MATCH($B788,Table14[SAPNo],0),3),"")</f>
        <v>Round 1313 CT200  0.018" (B)</v>
      </c>
      <c r="D788" s="306"/>
      <c r="E788" s="421">
        <v>4</v>
      </c>
      <c r="F788" s="421"/>
      <c r="G788" s="417" t="s">
        <v>1364</v>
      </c>
      <c r="H788" s="598">
        <v>13914967</v>
      </c>
      <c r="I788" s="322" t="s">
        <v>1164</v>
      </c>
      <c r="J788" s="418"/>
      <c r="K788" s="248"/>
      <c r="M788" s="248"/>
      <c r="AF788">
        <v>4</v>
      </c>
    </row>
    <row r="789" spans="1:32" x14ac:dyDescent="0.25">
      <c r="A789" s="308">
        <v>45298</v>
      </c>
      <c r="B789" s="416">
        <v>418525</v>
      </c>
      <c r="C789" s="413" t="str">
        <f>IFERROR(INDEX(Table14[],MATCH($B789,Table14[SAPNo],0),3),"")</f>
        <v>Drop In 1308 CT31   (B)</v>
      </c>
      <c r="D789" s="306"/>
      <c r="E789" s="421">
        <v>3</v>
      </c>
      <c r="F789" s="421"/>
      <c r="G789" s="417" t="s">
        <v>1364</v>
      </c>
      <c r="H789" s="598">
        <v>13914967</v>
      </c>
      <c r="I789" s="322" t="s">
        <v>1164</v>
      </c>
      <c r="J789" s="418"/>
      <c r="K789" s="248"/>
      <c r="M789" s="248"/>
      <c r="AF789">
        <v>3</v>
      </c>
    </row>
    <row r="790" spans="1:32" x14ac:dyDescent="0.25">
      <c r="A790" s="308">
        <v>45298</v>
      </c>
      <c r="B790" s="416">
        <v>1130200</v>
      </c>
      <c r="C790" s="413" t="str">
        <f>IFERROR(INDEX(Table14[],MATCH($B790,Table14[SAPNo],0),3),"")</f>
        <v>Round 1913 CT182  0.018" (S)</v>
      </c>
      <c r="D790" s="306"/>
      <c r="E790" s="421">
        <v>32</v>
      </c>
      <c r="F790" s="421"/>
      <c r="G790" s="417" t="s">
        <v>1364</v>
      </c>
      <c r="H790" s="598">
        <v>13914967</v>
      </c>
      <c r="I790" s="322" t="s">
        <v>1164</v>
      </c>
      <c r="J790" s="418"/>
      <c r="K790" s="248"/>
      <c r="M790" s="248"/>
      <c r="AF790">
        <v>32</v>
      </c>
    </row>
    <row r="791" spans="1:32" x14ac:dyDescent="0.25">
      <c r="A791" s="308">
        <v>45298</v>
      </c>
      <c r="B791" s="416">
        <v>1100751</v>
      </c>
      <c r="C791" s="413" t="str">
        <f>IFERROR(INDEX(Table14[],MATCH($B791,Table14[SAPNo],0),3),"")</f>
        <v>1313 CT421 0.018"</v>
      </c>
      <c r="D791" s="306"/>
      <c r="E791" s="421">
        <v>12</v>
      </c>
      <c r="F791" s="421"/>
      <c r="G791" s="417" t="s">
        <v>1364</v>
      </c>
      <c r="H791" s="598">
        <v>13914967</v>
      </c>
      <c r="I791" s="322" t="s">
        <v>1164</v>
      </c>
      <c r="J791" s="418"/>
      <c r="K791" s="248"/>
      <c r="M791" s="248"/>
      <c r="AF791">
        <v>12</v>
      </c>
    </row>
    <row r="792" spans="1:32" x14ac:dyDescent="0.25">
      <c r="A792" s="308">
        <v>45299</v>
      </c>
      <c r="B792" s="416">
        <v>1244299</v>
      </c>
      <c r="C792" s="413" t="str">
        <f>IFERROR(INDEX(Table14[],MATCH($B792,Table14[SAPNo],0),3),"")</f>
        <v>1313 CT147CV4 U</v>
      </c>
      <c r="D792" s="306"/>
      <c r="E792" s="421">
        <v>1</v>
      </c>
      <c r="F792" s="421"/>
      <c r="G792" s="417">
        <v>20231258</v>
      </c>
      <c r="H792" s="598" t="s">
        <v>1367</v>
      </c>
      <c r="I792" s="322" t="s">
        <v>1368</v>
      </c>
      <c r="J792" s="418"/>
      <c r="K792" s="248"/>
      <c r="M792" s="248"/>
      <c r="AF792">
        <v>1</v>
      </c>
    </row>
    <row r="793" spans="1:32" x14ac:dyDescent="0.25">
      <c r="A793" s="320">
        <v>45299</v>
      </c>
      <c r="B793" s="419">
        <v>1145493</v>
      </c>
      <c r="C793" s="413" t="str">
        <f>IFERROR(INDEX(Table14[],MATCH($B793,Table14[SAPNo],0),3),"")</f>
        <v>Round 1313 CT427  10C (S)</v>
      </c>
      <c r="D793" s="306"/>
      <c r="E793" s="421">
        <v>0</v>
      </c>
      <c r="F793" s="421"/>
      <c r="G793" s="420">
        <v>20231258</v>
      </c>
      <c r="H793" s="599" t="s">
        <v>1367</v>
      </c>
      <c r="I793" s="322" t="s">
        <v>1368</v>
      </c>
      <c r="J793" s="421">
        <v>4</v>
      </c>
      <c r="K793" s="422"/>
      <c r="M793" s="422"/>
      <c r="AF793">
        <v>0</v>
      </c>
    </row>
    <row r="794" spans="1:32" x14ac:dyDescent="0.25">
      <c r="A794" s="320">
        <v>45299</v>
      </c>
      <c r="B794" s="419">
        <v>971055</v>
      </c>
      <c r="C794" s="413" t="str">
        <f>IFERROR(INDEX(Table14[],MATCH($B794,Table14[SAPNo],0),3),"")</f>
        <v>MED Bullet 10.5 CT217 MBL 0.018" (B)</v>
      </c>
      <c r="D794" s="306"/>
      <c r="E794" s="421">
        <v>0</v>
      </c>
      <c r="F794" s="421"/>
      <c r="G794" s="420">
        <v>20231251</v>
      </c>
      <c r="H794" s="599" t="s">
        <v>1369</v>
      </c>
      <c r="I794" s="322" t="s">
        <v>1112</v>
      </c>
      <c r="J794" s="421">
        <v>3</v>
      </c>
      <c r="K794" s="422"/>
      <c r="M794" s="422"/>
      <c r="AF794">
        <v>0</v>
      </c>
    </row>
    <row r="795" spans="1:32" x14ac:dyDescent="0.25">
      <c r="A795" s="308">
        <v>45299</v>
      </c>
      <c r="B795" s="416">
        <v>1129936</v>
      </c>
      <c r="C795" s="413" t="str">
        <f>IFERROR(INDEX(Table14[],MATCH($B795,Table14[SAPNo],0),3),"")</f>
        <v>Round 1005 CT182  10C (S)</v>
      </c>
      <c r="D795" s="306"/>
      <c r="E795" s="421">
        <v>5</v>
      </c>
      <c r="F795" s="421"/>
      <c r="G795" s="417">
        <v>20241001</v>
      </c>
      <c r="H795" s="598">
        <v>14093394</v>
      </c>
      <c r="I795" s="322" t="s">
        <v>1370</v>
      </c>
      <c r="J795" s="418"/>
      <c r="K795" s="248"/>
      <c r="M795" s="248"/>
      <c r="AF795">
        <v>5</v>
      </c>
    </row>
    <row r="796" spans="1:32" x14ac:dyDescent="0.25">
      <c r="A796" s="308">
        <v>45299</v>
      </c>
      <c r="B796" s="416">
        <v>1130219</v>
      </c>
      <c r="C796" s="413" t="str">
        <f>IFERROR(INDEX(Table14[],MATCH($B796,Table14[SAPNo],0),3),"")</f>
        <v>Round 1313 CT182  10C (S)</v>
      </c>
      <c r="D796" s="306"/>
      <c r="E796" s="421">
        <v>8</v>
      </c>
      <c r="F796" s="421"/>
      <c r="G796" s="417">
        <v>20241001</v>
      </c>
      <c r="H796" s="598">
        <v>14093394</v>
      </c>
      <c r="I796" s="322" t="s">
        <v>1370</v>
      </c>
      <c r="J796" s="418"/>
      <c r="K796" s="248"/>
      <c r="M796" s="248"/>
      <c r="AF796">
        <v>8</v>
      </c>
    </row>
    <row r="797" spans="1:32" x14ac:dyDescent="0.25">
      <c r="A797" s="308">
        <v>45299</v>
      </c>
      <c r="B797" s="416">
        <v>1271790</v>
      </c>
      <c r="C797" s="413" t="str">
        <f>IFERROR(INDEX(Table14[],MATCH($B797,Table14[SAPNo],0),3),"")</f>
        <v xml:space="preserve">1613 CT170 18-60 </v>
      </c>
      <c r="D797" s="306"/>
      <c r="E797" s="421">
        <v>17</v>
      </c>
      <c r="F797" s="421"/>
      <c r="G797" s="417" t="s">
        <v>1371</v>
      </c>
      <c r="H797" s="598">
        <v>14093073</v>
      </c>
      <c r="I797" s="322" t="s">
        <v>1273</v>
      </c>
      <c r="J797" s="418"/>
      <c r="K797" s="248"/>
      <c r="M797" s="248"/>
      <c r="AF797">
        <v>17</v>
      </c>
    </row>
    <row r="798" spans="1:32" x14ac:dyDescent="0.25">
      <c r="A798" s="308">
        <v>45299</v>
      </c>
      <c r="B798" s="419">
        <v>1078377</v>
      </c>
      <c r="C798" s="413" t="str">
        <f>IFERROR(INDEX(Table14[],MATCH($B798,Table14[SAPNo],0),3),"")</f>
        <v>13MM CT221 R1</v>
      </c>
      <c r="D798" s="306"/>
      <c r="E798" s="421">
        <v>15</v>
      </c>
      <c r="F798" s="421"/>
      <c r="G798" s="420" t="s">
        <v>1371</v>
      </c>
      <c r="H798" s="599">
        <v>14093073</v>
      </c>
      <c r="I798" s="322" t="s">
        <v>1273</v>
      </c>
      <c r="J798" s="421"/>
      <c r="K798" s="422"/>
      <c r="M798" s="422"/>
      <c r="AF798">
        <v>15</v>
      </c>
    </row>
    <row r="799" spans="1:32" x14ac:dyDescent="0.25">
      <c r="A799" s="308">
        <v>45299</v>
      </c>
      <c r="B799" s="416">
        <v>1208601</v>
      </c>
      <c r="C799" s="413" t="str">
        <f>IFERROR(INDEX(Table14[],MATCH($B799,Table14[SAPNo],0),3),"")</f>
        <v>1613 CT418 U-60</v>
      </c>
      <c r="D799" s="306"/>
      <c r="E799" s="421">
        <v>8</v>
      </c>
      <c r="F799" s="421"/>
      <c r="G799" s="417" t="s">
        <v>1371</v>
      </c>
      <c r="H799" s="598">
        <v>14093073</v>
      </c>
      <c r="I799" s="322" t="s">
        <v>1273</v>
      </c>
      <c r="J799" s="418"/>
      <c r="K799" s="248"/>
      <c r="M799" s="248"/>
      <c r="AF799">
        <v>8</v>
      </c>
    </row>
    <row r="800" spans="1:32" x14ac:dyDescent="0.25">
      <c r="A800" s="308">
        <v>45299</v>
      </c>
      <c r="B800" s="416">
        <v>418525</v>
      </c>
      <c r="C800" s="413" t="str">
        <f>IFERROR(INDEX(Table14[],MATCH($B800,Table14[SAPNo],0),3),"")</f>
        <v>Drop In 1308 CT31   (B)</v>
      </c>
      <c r="D800" s="306"/>
      <c r="E800" s="421">
        <v>6</v>
      </c>
      <c r="F800" s="421"/>
      <c r="G800" s="417" t="s">
        <v>1371</v>
      </c>
      <c r="H800" s="598">
        <v>14093073</v>
      </c>
      <c r="I800" s="322" t="s">
        <v>1273</v>
      </c>
      <c r="J800" s="418"/>
      <c r="K800" s="248"/>
      <c r="M800" s="248"/>
      <c r="AF800">
        <v>6</v>
      </c>
    </row>
    <row r="801" spans="1:32" x14ac:dyDescent="0.25">
      <c r="A801" s="308">
        <v>45299</v>
      </c>
      <c r="B801" s="416">
        <v>1146737</v>
      </c>
      <c r="C801" s="413" t="str">
        <f>IFERROR(INDEX(Table14[],MATCH($B801,Table14[SAPNo],0),3),"")</f>
        <v>1613 CT418 18-60</v>
      </c>
      <c r="D801" s="306"/>
      <c r="E801" s="421">
        <v>6</v>
      </c>
      <c r="F801" s="421"/>
      <c r="G801" s="417" t="s">
        <v>1371</v>
      </c>
      <c r="H801" s="598">
        <v>14093073</v>
      </c>
      <c r="I801" s="322" t="s">
        <v>1273</v>
      </c>
      <c r="J801" s="418"/>
      <c r="K801" s="248"/>
      <c r="M801" s="248"/>
      <c r="AF801">
        <v>6</v>
      </c>
    </row>
    <row r="802" spans="1:32" x14ac:dyDescent="0.25">
      <c r="A802" s="308">
        <v>45301</v>
      </c>
      <c r="B802" s="416">
        <v>1271790</v>
      </c>
      <c r="C802" s="413" t="str">
        <f>IFERROR(INDEX(Table14[],MATCH($B802,Table14[SAPNo],0),3),"")</f>
        <v xml:space="preserve">1613 CT170 18-60 </v>
      </c>
      <c r="D802" s="306"/>
      <c r="E802" s="421">
        <v>17</v>
      </c>
      <c r="F802" s="421"/>
      <c r="G802" s="417" t="s">
        <v>1372</v>
      </c>
      <c r="H802" s="598">
        <v>14093072</v>
      </c>
      <c r="I802" s="322" t="s">
        <v>1273</v>
      </c>
      <c r="J802" s="418"/>
      <c r="K802" s="248"/>
      <c r="M802" s="248"/>
      <c r="AF802">
        <v>17</v>
      </c>
    </row>
    <row r="803" spans="1:32" x14ac:dyDescent="0.25">
      <c r="A803" s="308">
        <v>45301</v>
      </c>
      <c r="B803" s="416">
        <v>1078377</v>
      </c>
      <c r="C803" s="413" t="str">
        <f>IFERROR(INDEX(Table14[],MATCH($B803,Table14[SAPNo],0),3),"")</f>
        <v>13MM CT221 R1</v>
      </c>
      <c r="D803" s="306"/>
      <c r="E803" s="421">
        <v>15</v>
      </c>
      <c r="F803" s="421"/>
      <c r="G803" s="417" t="s">
        <v>1372</v>
      </c>
      <c r="H803" s="598">
        <v>14093072</v>
      </c>
      <c r="I803" s="322" t="s">
        <v>1273</v>
      </c>
      <c r="J803" s="418"/>
      <c r="K803" s="248"/>
      <c r="M803" s="248"/>
      <c r="AF803">
        <v>15</v>
      </c>
    </row>
    <row r="804" spans="1:32" x14ac:dyDescent="0.25">
      <c r="A804" s="308">
        <v>45301</v>
      </c>
      <c r="B804" s="416">
        <v>1208601</v>
      </c>
      <c r="C804" s="413" t="str">
        <f>IFERROR(INDEX(Table14[],MATCH($B804,Table14[SAPNo],0),3),"")</f>
        <v>1613 CT418 U-60</v>
      </c>
      <c r="D804" s="306"/>
      <c r="E804" s="421">
        <v>8</v>
      </c>
      <c r="F804" s="421"/>
      <c r="G804" s="417" t="s">
        <v>1372</v>
      </c>
      <c r="H804" s="598">
        <v>14093072</v>
      </c>
      <c r="I804" s="322" t="s">
        <v>1273</v>
      </c>
      <c r="J804" s="418"/>
      <c r="K804" s="248"/>
      <c r="M804" s="248"/>
      <c r="AF804">
        <v>8</v>
      </c>
    </row>
    <row r="805" spans="1:32" x14ac:dyDescent="0.25">
      <c r="A805" s="308">
        <v>45301</v>
      </c>
      <c r="B805" s="416">
        <v>418525</v>
      </c>
      <c r="C805" s="413" t="str">
        <f>IFERROR(INDEX(Table14[],MATCH($B805,Table14[SAPNo],0),3),"")</f>
        <v>Drop In 1308 CT31   (B)</v>
      </c>
      <c r="D805" s="306"/>
      <c r="E805" s="421">
        <v>6</v>
      </c>
      <c r="F805" s="421"/>
      <c r="G805" s="417" t="s">
        <v>1372</v>
      </c>
      <c r="H805" s="598">
        <v>14093072</v>
      </c>
      <c r="I805" s="322" t="s">
        <v>1273</v>
      </c>
      <c r="J805" s="418"/>
      <c r="K805" s="248"/>
      <c r="M805" s="248"/>
      <c r="AF805">
        <v>6</v>
      </c>
    </row>
    <row r="806" spans="1:32" x14ac:dyDescent="0.25">
      <c r="A806" s="320">
        <v>45301</v>
      </c>
      <c r="B806" s="419">
        <v>1146737</v>
      </c>
      <c r="C806" s="413" t="str">
        <f>IFERROR(INDEX(Table14[],MATCH($B806,Table14[SAPNo],0),3),"")</f>
        <v>1613 CT418 18-60</v>
      </c>
      <c r="D806" s="306"/>
      <c r="E806" s="421">
        <v>6</v>
      </c>
      <c r="F806" s="421"/>
      <c r="G806" s="420" t="s">
        <v>1372</v>
      </c>
      <c r="H806" s="599">
        <v>14093072</v>
      </c>
      <c r="I806" s="322" t="s">
        <v>1273</v>
      </c>
      <c r="J806" s="421"/>
      <c r="K806" s="422"/>
      <c r="M806" s="422"/>
      <c r="AF806">
        <v>6</v>
      </c>
    </row>
    <row r="807" spans="1:32" x14ac:dyDescent="0.25">
      <c r="A807" s="308">
        <v>45301</v>
      </c>
      <c r="B807" s="416">
        <v>1136984</v>
      </c>
      <c r="C807" s="413" t="str">
        <f>IFERROR(INDEX(Table14[],MATCH($B807,Table14[SAPNo],0),3),"")</f>
        <v>DBLMCHT 1313 CT182DM  10C (S)</v>
      </c>
      <c r="D807" s="306"/>
      <c r="E807" s="421">
        <v>13</v>
      </c>
      <c r="F807" s="421"/>
      <c r="G807" s="417" t="s">
        <v>1373</v>
      </c>
      <c r="H807" s="598">
        <v>14093063</v>
      </c>
      <c r="I807" s="322" t="s">
        <v>1374</v>
      </c>
      <c r="J807" s="418"/>
      <c r="K807" s="248"/>
      <c r="M807" s="248"/>
      <c r="AF807">
        <v>13</v>
      </c>
    </row>
    <row r="808" spans="1:32" x14ac:dyDescent="0.25">
      <c r="A808" s="320">
        <v>45301</v>
      </c>
      <c r="B808" s="416">
        <v>1100696</v>
      </c>
      <c r="C808" s="413" t="str">
        <f>IFERROR(INDEX(Table14[],MATCH($B808,Table14[SAPNo],0),3),"")</f>
        <v>Round 1313 CT418  10C (S)</v>
      </c>
      <c r="D808" s="306"/>
      <c r="E808" s="421">
        <v>5</v>
      </c>
      <c r="F808" s="421"/>
      <c r="G808" s="417" t="s">
        <v>1373</v>
      </c>
      <c r="H808" s="598">
        <v>14093063</v>
      </c>
      <c r="I808" s="322" t="s">
        <v>1374</v>
      </c>
      <c r="J808" s="418"/>
      <c r="K808" s="248"/>
      <c r="M808" s="248"/>
      <c r="AF808">
        <v>5</v>
      </c>
    </row>
    <row r="809" spans="1:32" x14ac:dyDescent="0.25">
      <c r="A809" s="308">
        <v>45301</v>
      </c>
      <c r="B809" s="416">
        <v>418525</v>
      </c>
      <c r="C809" s="413" t="str">
        <f>IFERROR(INDEX(Table14[],MATCH($B809,Table14[SAPNo],0),3),"")</f>
        <v>Drop In 1308 CT31   (B)</v>
      </c>
      <c r="D809" s="306"/>
      <c r="E809" s="421">
        <v>6</v>
      </c>
      <c r="F809" s="421"/>
      <c r="G809" s="417" t="s">
        <v>1373</v>
      </c>
      <c r="H809" s="598">
        <v>14093063</v>
      </c>
      <c r="I809" s="322" t="s">
        <v>1374</v>
      </c>
      <c r="J809" s="418"/>
      <c r="K809" s="248"/>
      <c r="M809" s="248"/>
      <c r="AF809">
        <v>6</v>
      </c>
    </row>
    <row r="810" spans="1:32" x14ac:dyDescent="0.25">
      <c r="A810" s="320">
        <v>45301</v>
      </c>
      <c r="B810" s="416">
        <v>1101509</v>
      </c>
      <c r="C810" s="413" t="str">
        <f>IFERROR(INDEX(Table14[],MATCH($B810,Table14[SAPNo],0),3),"")</f>
        <v>Short IA 8    (C)</v>
      </c>
      <c r="D810" s="306"/>
      <c r="E810" s="421">
        <v>5</v>
      </c>
      <c r="F810" s="421"/>
      <c r="G810" s="417" t="s">
        <v>1373</v>
      </c>
      <c r="H810" s="598">
        <v>14093063</v>
      </c>
      <c r="I810" s="322" t="s">
        <v>1374</v>
      </c>
      <c r="J810" s="418"/>
      <c r="K810" s="248"/>
      <c r="M810" s="248"/>
      <c r="AF810">
        <v>5</v>
      </c>
    </row>
    <row r="811" spans="1:32" x14ac:dyDescent="0.25">
      <c r="A811" s="308">
        <v>45301</v>
      </c>
      <c r="B811" s="416">
        <v>1104083</v>
      </c>
      <c r="C811" s="413" t="str">
        <f>IFERROR(INDEX(Table14[],MATCH($B811,Table14[SAPNo],0),3),"")</f>
        <v>1313 CT144H  10C (S)</v>
      </c>
      <c r="D811" s="306"/>
      <c r="E811" s="421">
        <v>1</v>
      </c>
      <c r="F811" s="421"/>
      <c r="G811" s="417" t="s">
        <v>1373</v>
      </c>
      <c r="H811" s="598">
        <v>14093063</v>
      </c>
      <c r="I811" s="322" t="s">
        <v>1374</v>
      </c>
      <c r="J811" s="418"/>
      <c r="K811" s="248"/>
      <c r="M811" s="248"/>
      <c r="AF811">
        <v>1</v>
      </c>
    </row>
    <row r="812" spans="1:32" x14ac:dyDescent="0.25">
      <c r="A812" s="320">
        <v>45301</v>
      </c>
      <c r="B812" s="419">
        <v>1146346</v>
      </c>
      <c r="C812" s="413" t="str">
        <f>IFERROR(INDEX(Table14[],MATCH($B812,Table14[SAPNo],0),3),"")</f>
        <v>1313 CT418 18-60</v>
      </c>
      <c r="D812" s="306"/>
      <c r="E812" s="421">
        <v>7</v>
      </c>
      <c r="F812" s="421"/>
      <c r="G812" s="420" t="s">
        <v>1373</v>
      </c>
      <c r="H812" s="599">
        <v>14093063</v>
      </c>
      <c r="I812" s="322" t="s">
        <v>1374</v>
      </c>
      <c r="J812" s="421"/>
      <c r="K812" s="422"/>
      <c r="M812" s="422"/>
      <c r="AF812">
        <v>7</v>
      </c>
    </row>
    <row r="813" spans="1:32" x14ac:dyDescent="0.25">
      <c r="A813" s="308">
        <v>45301</v>
      </c>
      <c r="B813" s="416">
        <v>1136984</v>
      </c>
      <c r="C813" s="413" t="str">
        <f>IFERROR(INDEX(Table14[],MATCH($B813,Table14[SAPNo],0),3),"")</f>
        <v>DBLMCHT 1313 CT182DM  10C (S)</v>
      </c>
      <c r="D813" s="306"/>
      <c r="E813" s="421">
        <v>13</v>
      </c>
      <c r="F813" s="421"/>
      <c r="G813" s="417" t="s">
        <v>1375</v>
      </c>
      <c r="H813" s="598">
        <v>14093064</v>
      </c>
      <c r="I813" s="322" t="s">
        <v>1374</v>
      </c>
      <c r="J813" s="418"/>
      <c r="K813" s="248"/>
      <c r="M813" s="248"/>
      <c r="AF813">
        <v>13</v>
      </c>
    </row>
    <row r="814" spans="1:32" x14ac:dyDescent="0.25">
      <c r="A814" s="320">
        <v>45301</v>
      </c>
      <c r="B814" s="416">
        <v>1100696</v>
      </c>
      <c r="C814" s="413" t="str">
        <f>IFERROR(INDEX(Table14[],MATCH($B814,Table14[SAPNo],0),3),"")</f>
        <v>Round 1313 CT418  10C (S)</v>
      </c>
      <c r="D814" s="306"/>
      <c r="E814" s="421">
        <v>5</v>
      </c>
      <c r="F814" s="421"/>
      <c r="G814" s="417" t="s">
        <v>1375</v>
      </c>
      <c r="H814" s="598">
        <v>14093064</v>
      </c>
      <c r="I814" s="322" t="s">
        <v>1374</v>
      </c>
      <c r="J814" s="418"/>
      <c r="K814" s="248"/>
      <c r="M814" s="248"/>
      <c r="AF814">
        <v>5</v>
      </c>
    </row>
    <row r="815" spans="1:32" x14ac:dyDescent="0.25">
      <c r="A815" s="308">
        <v>45301</v>
      </c>
      <c r="B815" s="416">
        <v>418525</v>
      </c>
      <c r="C815" s="413" t="str">
        <f>IFERROR(INDEX(Table14[],MATCH($B815,Table14[SAPNo],0),3),"")</f>
        <v>Drop In 1308 CT31   (B)</v>
      </c>
      <c r="D815" s="306"/>
      <c r="E815" s="421">
        <v>6</v>
      </c>
      <c r="F815" s="421"/>
      <c r="G815" s="417" t="s">
        <v>1375</v>
      </c>
      <c r="H815" s="598">
        <v>14093064</v>
      </c>
      <c r="I815" s="322" t="s">
        <v>1374</v>
      </c>
      <c r="J815" s="418"/>
      <c r="K815" s="248"/>
      <c r="M815" s="248"/>
      <c r="AF815">
        <v>6</v>
      </c>
    </row>
    <row r="816" spans="1:32" x14ac:dyDescent="0.25">
      <c r="A816" s="320">
        <v>45301</v>
      </c>
      <c r="B816" s="416">
        <v>1101509</v>
      </c>
      <c r="C816" s="413" t="str">
        <f>IFERROR(INDEX(Table14[],MATCH($B816,Table14[SAPNo],0),3),"")</f>
        <v>Short IA 8    (C)</v>
      </c>
      <c r="D816" s="306"/>
      <c r="E816" s="421">
        <v>5</v>
      </c>
      <c r="F816" s="421"/>
      <c r="G816" s="417" t="s">
        <v>1375</v>
      </c>
      <c r="H816" s="598">
        <v>14093064</v>
      </c>
      <c r="I816" s="322" t="s">
        <v>1374</v>
      </c>
      <c r="J816" s="418"/>
      <c r="K816" s="248"/>
      <c r="M816" s="248"/>
      <c r="AF816">
        <v>5</v>
      </c>
    </row>
    <row r="817" spans="1:32" x14ac:dyDescent="0.25">
      <c r="A817" s="308">
        <v>45301</v>
      </c>
      <c r="B817" s="416">
        <v>1104083</v>
      </c>
      <c r="C817" s="413" t="str">
        <f>IFERROR(INDEX(Table14[],MATCH($B817,Table14[SAPNo],0),3),"")</f>
        <v>1313 CT144H  10C (S)</v>
      </c>
      <c r="D817" s="306"/>
      <c r="E817" s="421">
        <v>1</v>
      </c>
      <c r="F817" s="421"/>
      <c r="G817" s="417" t="s">
        <v>1375</v>
      </c>
      <c r="H817" s="598">
        <v>14093064</v>
      </c>
      <c r="I817" s="322" t="s">
        <v>1374</v>
      </c>
      <c r="J817" s="418"/>
      <c r="K817" s="248"/>
      <c r="M817" s="248"/>
      <c r="AF817">
        <v>1</v>
      </c>
    </row>
    <row r="818" spans="1:32" x14ac:dyDescent="0.25">
      <c r="A818" s="320">
        <v>45301</v>
      </c>
      <c r="B818" s="419">
        <v>1146346</v>
      </c>
      <c r="C818" s="413" t="str">
        <f>IFERROR(INDEX(Table14[],MATCH($B818,Table14[SAPNo],0),3),"")</f>
        <v>1313 CT418 18-60</v>
      </c>
      <c r="D818" s="306"/>
      <c r="E818" s="421">
        <v>7</v>
      </c>
      <c r="F818" s="421"/>
      <c r="G818" s="420" t="s">
        <v>1375</v>
      </c>
      <c r="H818" s="599">
        <v>14093064</v>
      </c>
      <c r="I818" s="322" t="s">
        <v>1374</v>
      </c>
      <c r="J818" s="421"/>
      <c r="K818" s="422"/>
      <c r="M818" s="422"/>
      <c r="AF818">
        <v>7</v>
      </c>
    </row>
    <row r="819" spans="1:32" x14ac:dyDescent="0.25">
      <c r="A819" s="308">
        <v>45301</v>
      </c>
      <c r="B819" s="416">
        <v>1261319</v>
      </c>
      <c r="C819" s="413" t="str">
        <f>IFERROR(INDEX(Table14[],MATCH($B819,Table14[SAPNo],0),3),"")</f>
        <v>1308 CT155 U-60</v>
      </c>
      <c r="D819" s="306"/>
      <c r="E819" s="421">
        <v>24</v>
      </c>
      <c r="F819" s="421"/>
      <c r="G819" s="417" t="s">
        <v>1376</v>
      </c>
      <c r="H819" s="598">
        <v>14109675</v>
      </c>
      <c r="I819" s="322" t="s">
        <v>1275</v>
      </c>
      <c r="J819" s="418"/>
      <c r="K819" s="248"/>
      <c r="M819" s="248"/>
      <c r="AF819">
        <v>24</v>
      </c>
    </row>
    <row r="820" spans="1:32" x14ac:dyDescent="0.25">
      <c r="A820" s="320">
        <v>45301</v>
      </c>
      <c r="B820" s="416">
        <v>1228502</v>
      </c>
      <c r="C820" s="413" t="str">
        <f>IFERROR(INDEX(Table14[],MATCH($B820,Table14[SAPNo],0),3),"")</f>
        <v>1618 CT182 U-60 Rotor</v>
      </c>
      <c r="D820" s="306"/>
      <c r="E820" s="421">
        <v>10</v>
      </c>
      <c r="F820" s="421"/>
      <c r="G820" s="417" t="s">
        <v>1376</v>
      </c>
      <c r="H820" s="598">
        <v>14109675</v>
      </c>
      <c r="I820" s="322" t="s">
        <v>1275</v>
      </c>
      <c r="J820" s="418"/>
      <c r="K820" s="248"/>
      <c r="M820" s="248"/>
      <c r="AF820">
        <v>10</v>
      </c>
    </row>
    <row r="821" spans="1:32" x14ac:dyDescent="0.25">
      <c r="A821" s="308">
        <v>45301</v>
      </c>
      <c r="B821" s="416">
        <v>871781</v>
      </c>
      <c r="C821" s="413" t="str">
        <f>IFERROR(INDEX(Table14[],MATCH($B821,Table14[SAPNo],0),3),"")</f>
        <v>Round 1313 CT200  0.018" (B)</v>
      </c>
      <c r="D821" s="306"/>
      <c r="E821" s="421">
        <v>6</v>
      </c>
      <c r="F821" s="421"/>
      <c r="G821" s="417" t="s">
        <v>1376</v>
      </c>
      <c r="H821" s="598">
        <v>14109675</v>
      </c>
      <c r="I821" s="322" t="s">
        <v>1275</v>
      </c>
      <c r="J821" s="418"/>
      <c r="K821" s="248"/>
      <c r="M821" s="248"/>
      <c r="AF821">
        <v>6</v>
      </c>
    </row>
    <row r="822" spans="1:32" x14ac:dyDescent="0.25">
      <c r="A822" s="320">
        <v>45301</v>
      </c>
      <c r="B822" s="416">
        <v>1261320</v>
      </c>
      <c r="C822" s="413" t="str">
        <f>IFERROR(INDEX(Table14[],MATCH($B822,Table14[SAPNo],0),3),"")</f>
        <v>1313 CT155 U-60</v>
      </c>
      <c r="D822" s="306"/>
      <c r="E822" s="421">
        <v>6</v>
      </c>
      <c r="F822" s="421"/>
      <c r="G822" s="417" t="s">
        <v>1376</v>
      </c>
      <c r="H822" s="598">
        <v>14109675</v>
      </c>
      <c r="I822" s="322" t="s">
        <v>1275</v>
      </c>
      <c r="J822" s="418"/>
      <c r="K822" s="248"/>
      <c r="M822" s="248"/>
      <c r="AF822">
        <v>6</v>
      </c>
    </row>
    <row r="823" spans="1:32" x14ac:dyDescent="0.25">
      <c r="A823" s="308">
        <v>45301</v>
      </c>
      <c r="B823" s="419">
        <v>1261321</v>
      </c>
      <c r="C823" s="413" t="str">
        <f>IFERROR(INDEX(Table14[],MATCH($B823,Table14[SAPNo],0),3),"")</f>
        <v>1613 CT155 U-60</v>
      </c>
      <c r="D823" s="306"/>
      <c r="E823" s="421">
        <v>4</v>
      </c>
      <c r="F823" s="421"/>
      <c r="G823" s="420" t="s">
        <v>1376</v>
      </c>
      <c r="H823" s="599">
        <v>14109675</v>
      </c>
      <c r="I823" s="322" t="s">
        <v>1275</v>
      </c>
      <c r="J823" s="421"/>
      <c r="K823" s="422"/>
      <c r="M823" s="422"/>
      <c r="AF823">
        <v>4</v>
      </c>
    </row>
    <row r="824" spans="1:32" x14ac:dyDescent="0.25">
      <c r="A824" s="308">
        <v>45300</v>
      </c>
      <c r="B824" s="416">
        <v>871781</v>
      </c>
      <c r="C824" s="413" t="str">
        <f>IFERROR(INDEX(Table14[],MATCH($B824,Table14[SAPNo],0),3),"")</f>
        <v>Round 1313 CT200  0.018" (B)</v>
      </c>
      <c r="D824" s="306"/>
      <c r="E824" s="421">
        <v>42</v>
      </c>
      <c r="F824" s="421"/>
      <c r="G824" s="417" t="s">
        <v>1377</v>
      </c>
      <c r="H824" s="598">
        <v>14073965</v>
      </c>
      <c r="I824" s="322" t="s">
        <v>1378</v>
      </c>
      <c r="J824" s="418"/>
      <c r="K824" s="248"/>
      <c r="M824" s="248"/>
      <c r="AF824">
        <v>42</v>
      </c>
    </row>
    <row r="825" spans="1:32" x14ac:dyDescent="0.25">
      <c r="A825" s="308">
        <v>45300</v>
      </c>
      <c r="B825" s="416">
        <v>1219562</v>
      </c>
      <c r="C825" s="413" t="str">
        <f>IFERROR(INDEX(Table14[],MATCH($B825,Table14[SAPNo],0),3),"")</f>
        <v>1613 CT147R U</v>
      </c>
      <c r="D825" s="306"/>
      <c r="E825" s="421">
        <v>42</v>
      </c>
      <c r="F825" s="421"/>
      <c r="G825" s="417" t="s">
        <v>1377</v>
      </c>
      <c r="H825" s="598">
        <v>14073965</v>
      </c>
      <c r="I825" s="322" t="s">
        <v>1378</v>
      </c>
      <c r="J825" s="418"/>
      <c r="K825" s="248"/>
      <c r="M825" s="248"/>
      <c r="AF825">
        <v>42</v>
      </c>
    </row>
    <row r="826" spans="1:32" x14ac:dyDescent="0.25">
      <c r="A826" s="308">
        <v>45300</v>
      </c>
      <c r="B826" s="416">
        <v>410851</v>
      </c>
      <c r="C826" s="413" t="str">
        <f>IFERROR(INDEX(Table14[],MATCH($B826,Table14[SAPNo],0),3),"")</f>
        <v>PDC Dome 1308 CT31   (B)</v>
      </c>
      <c r="D826" s="306"/>
      <c r="E826" s="421">
        <v>28</v>
      </c>
      <c r="F826" s="421"/>
      <c r="G826" s="417" t="s">
        <v>1377</v>
      </c>
      <c r="H826" s="598">
        <v>14073965</v>
      </c>
      <c r="I826" s="322" t="s">
        <v>1378</v>
      </c>
      <c r="J826" s="418"/>
      <c r="K826" s="248"/>
      <c r="M826" s="248"/>
      <c r="AF826">
        <v>28</v>
      </c>
    </row>
    <row r="827" spans="1:32" x14ac:dyDescent="0.25">
      <c r="A827" s="308">
        <v>45300</v>
      </c>
      <c r="B827" s="416">
        <v>179734</v>
      </c>
      <c r="C827" s="413" t="str">
        <f>IFERROR(INDEX(Table14[],MATCH($B827,Table14[SAPNo],0),3),"")</f>
        <v>Long IPA 13    (C)</v>
      </c>
      <c r="D827" s="306"/>
      <c r="E827" s="421">
        <v>22</v>
      </c>
      <c r="F827" s="421"/>
      <c r="G827" s="417" t="s">
        <v>1377</v>
      </c>
      <c r="H827" s="598">
        <v>14073965</v>
      </c>
      <c r="I827" s="322" t="s">
        <v>1378</v>
      </c>
      <c r="J827" s="418"/>
      <c r="K827" s="248"/>
      <c r="M827" s="248"/>
      <c r="AF827">
        <v>22</v>
      </c>
    </row>
    <row r="828" spans="1:32" x14ac:dyDescent="0.25">
      <c r="A828" s="308">
        <v>45300</v>
      </c>
      <c r="B828" s="416">
        <v>1130198</v>
      </c>
      <c r="C828" s="413" t="str">
        <f>IFERROR(INDEX(Table14[],MATCH($B828,Table14[SAPNo],0),3),"")</f>
        <v>Round 1613 CT182  0.018" (S)</v>
      </c>
      <c r="D828" s="306"/>
      <c r="E828" s="421">
        <v>22</v>
      </c>
      <c r="F828" s="421"/>
      <c r="G828" s="417" t="s">
        <v>1377</v>
      </c>
      <c r="H828" s="598">
        <v>14073965</v>
      </c>
      <c r="I828" s="322" t="s">
        <v>1378</v>
      </c>
      <c r="J828" s="418"/>
      <c r="K828" s="248"/>
      <c r="M828" s="248"/>
      <c r="AF828">
        <v>22</v>
      </c>
    </row>
    <row r="829" spans="1:32" x14ac:dyDescent="0.25">
      <c r="A829" s="308">
        <v>45300</v>
      </c>
      <c r="B829" s="416">
        <v>1208601</v>
      </c>
      <c r="C829" s="413" t="str">
        <f>IFERROR(INDEX(Table14[],MATCH($B829,Table14[SAPNo],0),3),"")</f>
        <v>1613 CT418 U-60</v>
      </c>
      <c r="D829" s="306"/>
      <c r="E829" s="421">
        <v>15</v>
      </c>
      <c r="F829" s="421"/>
      <c r="G829" s="417" t="s">
        <v>1377</v>
      </c>
      <c r="H829" s="598">
        <v>14073965</v>
      </c>
      <c r="I829" s="322" t="s">
        <v>1378</v>
      </c>
      <c r="J829" s="418"/>
      <c r="K829" s="248"/>
      <c r="M829" s="248"/>
      <c r="AF829">
        <v>15</v>
      </c>
    </row>
    <row r="830" spans="1:32" x14ac:dyDescent="0.25">
      <c r="A830" s="320">
        <v>45300</v>
      </c>
      <c r="B830" s="419">
        <v>418525</v>
      </c>
      <c r="C830" s="413" t="str">
        <f>IFERROR(INDEX(Table14[],MATCH($B830,Table14[SAPNo],0),3),"")</f>
        <v>Drop In 1308 CT31   (B)</v>
      </c>
      <c r="D830" s="306"/>
      <c r="E830" s="421">
        <v>7</v>
      </c>
      <c r="F830" s="421"/>
      <c r="G830" s="420" t="s">
        <v>1377</v>
      </c>
      <c r="H830" s="599">
        <v>14073965</v>
      </c>
      <c r="I830" s="322" t="s">
        <v>1378</v>
      </c>
      <c r="J830" s="421"/>
      <c r="K830" s="422"/>
      <c r="M830" s="422"/>
      <c r="AF830">
        <v>7</v>
      </c>
    </row>
    <row r="831" spans="1:32" x14ac:dyDescent="0.25">
      <c r="A831" s="308">
        <v>45301</v>
      </c>
      <c r="B831" s="416">
        <v>1130194</v>
      </c>
      <c r="C831" s="413" t="str">
        <f>IFERROR(INDEX(Table14[],MATCH($B831,Table14[SAPNo],0),3),"")</f>
        <v>1010 CT182 18C</v>
      </c>
      <c r="D831" s="306"/>
      <c r="E831" s="421">
        <v>26</v>
      </c>
      <c r="F831" s="421"/>
      <c r="G831" s="417" t="s">
        <v>1379</v>
      </c>
      <c r="H831" s="598">
        <v>14036255</v>
      </c>
      <c r="I831" s="322" t="s">
        <v>1380</v>
      </c>
      <c r="J831" s="418"/>
      <c r="K831" s="248"/>
      <c r="M831" s="248"/>
      <c r="AF831">
        <v>26</v>
      </c>
    </row>
    <row r="832" spans="1:32" x14ac:dyDescent="0.25">
      <c r="A832" s="308">
        <v>45301</v>
      </c>
      <c r="B832" s="416">
        <v>1130193</v>
      </c>
      <c r="C832" s="413" t="str">
        <f>IFERROR(INDEX(Table14[],MATCH($B832,Table14[SAPNo],0),3),"")</f>
        <v xml:space="preserve"> 1005 CT182  0.018 (S)</v>
      </c>
      <c r="D832" s="306"/>
      <c r="E832" s="421">
        <v>8</v>
      </c>
      <c r="F832" s="421"/>
      <c r="G832" s="417" t="s">
        <v>1379</v>
      </c>
      <c r="H832" s="598">
        <v>14036255</v>
      </c>
      <c r="I832" s="322" t="s">
        <v>1380</v>
      </c>
      <c r="J832" s="418"/>
      <c r="K832" s="248"/>
      <c r="M832" s="248"/>
      <c r="AF832">
        <v>8</v>
      </c>
    </row>
    <row r="833" spans="1:32" x14ac:dyDescent="0.25">
      <c r="A833" s="320">
        <v>45301</v>
      </c>
      <c r="B833" s="419">
        <v>882800</v>
      </c>
      <c r="C833" s="413" t="str">
        <f>IFERROR(INDEX(Table14[],MATCH($B833,Table14[SAPNo],0),3),"")</f>
        <v>Round 0808 CT80  0.018" (B)</v>
      </c>
      <c r="D833" s="306"/>
      <c r="E833" s="421">
        <v>10</v>
      </c>
      <c r="F833" s="421"/>
      <c r="G833" s="420" t="s">
        <v>1379</v>
      </c>
      <c r="H833" s="599">
        <v>14036255</v>
      </c>
      <c r="I833" s="322" t="s">
        <v>1380</v>
      </c>
      <c r="J833" s="421"/>
      <c r="K833" s="422"/>
      <c r="M833" s="422"/>
      <c r="AF833">
        <v>10</v>
      </c>
    </row>
    <row r="834" spans="1:32" x14ac:dyDescent="0.25">
      <c r="A834" s="308">
        <v>45301</v>
      </c>
      <c r="B834" s="416">
        <v>1130200</v>
      </c>
      <c r="C834" s="413" t="str">
        <f>IFERROR(INDEX(Table14[],MATCH($B834,Table14[SAPNo],0),3),"")</f>
        <v>Round 1913 CT182  0.018" (S)</v>
      </c>
      <c r="D834" s="306"/>
      <c r="E834" s="421">
        <v>32</v>
      </c>
      <c r="F834" s="421"/>
      <c r="G834" s="417" t="s">
        <v>1381</v>
      </c>
      <c r="H834" s="598">
        <v>13914968</v>
      </c>
      <c r="I834" s="322" t="s">
        <v>1382</v>
      </c>
      <c r="J834" s="418"/>
      <c r="K834" s="248"/>
      <c r="M834" s="248"/>
      <c r="AF834">
        <v>32</v>
      </c>
    </row>
    <row r="835" spans="1:32" x14ac:dyDescent="0.25">
      <c r="A835" s="320">
        <v>45301</v>
      </c>
      <c r="B835" s="416">
        <v>1130198</v>
      </c>
      <c r="C835" s="413" t="str">
        <f>IFERROR(INDEX(Table14[],MATCH($B835,Table14[SAPNo],0),3),"")</f>
        <v>Round 1613 CT182  0.018" (S)</v>
      </c>
      <c r="D835" s="306"/>
      <c r="E835" s="421">
        <v>9</v>
      </c>
      <c r="F835" s="421"/>
      <c r="G835" s="417" t="s">
        <v>1381</v>
      </c>
      <c r="H835" s="598">
        <v>13914968</v>
      </c>
      <c r="I835" s="322" t="s">
        <v>1382</v>
      </c>
      <c r="J835" s="418"/>
      <c r="K835" s="248"/>
      <c r="M835" s="248"/>
      <c r="AF835">
        <v>9</v>
      </c>
    </row>
    <row r="836" spans="1:32" x14ac:dyDescent="0.25">
      <c r="A836" s="308">
        <v>45301</v>
      </c>
      <c r="B836" s="416">
        <v>1130196</v>
      </c>
      <c r="C836" s="413" t="str">
        <f>IFERROR(INDEX(Table14[],MATCH($B836,Table14[SAPNo],0),3),"")</f>
        <v>Round 1313 CT182  0.018" (S)</v>
      </c>
      <c r="D836" s="306"/>
      <c r="E836" s="421">
        <v>0</v>
      </c>
      <c r="F836" s="421"/>
      <c r="G836" s="417" t="s">
        <v>1381</v>
      </c>
      <c r="H836" s="598">
        <v>13914968</v>
      </c>
      <c r="I836" s="322" t="s">
        <v>1382</v>
      </c>
      <c r="J836" s="418"/>
      <c r="K836" s="248"/>
      <c r="M836" s="248"/>
      <c r="AF836">
        <v>0</v>
      </c>
    </row>
    <row r="837" spans="1:32" x14ac:dyDescent="0.25">
      <c r="A837" s="320">
        <v>45301</v>
      </c>
      <c r="B837" s="416">
        <v>871781</v>
      </c>
      <c r="C837" s="413" t="str">
        <f>IFERROR(INDEX(Table14[],MATCH($B837,Table14[SAPNo],0),3),"")</f>
        <v>Round 1313 CT200  0.018" (B)</v>
      </c>
      <c r="D837" s="306"/>
      <c r="E837" s="421">
        <v>4</v>
      </c>
      <c r="F837" s="421"/>
      <c r="G837" s="417" t="s">
        <v>1381</v>
      </c>
      <c r="H837" s="598">
        <v>13914968</v>
      </c>
      <c r="I837" s="322" t="s">
        <v>1382</v>
      </c>
      <c r="J837" s="418"/>
      <c r="K837" s="248"/>
      <c r="M837" s="248"/>
      <c r="AF837">
        <v>4</v>
      </c>
    </row>
    <row r="838" spans="1:32" x14ac:dyDescent="0.25">
      <c r="A838" s="308">
        <v>45301</v>
      </c>
      <c r="B838" s="416">
        <v>418525</v>
      </c>
      <c r="C838" s="413" t="str">
        <f>IFERROR(INDEX(Table14[],MATCH($B838,Table14[SAPNo],0),3),"")</f>
        <v>Drop In 1308 CT31   (B)</v>
      </c>
      <c r="D838" s="306"/>
      <c r="E838" s="421">
        <v>3</v>
      </c>
      <c r="F838" s="421"/>
      <c r="G838" s="417" t="s">
        <v>1381</v>
      </c>
      <c r="H838" s="598">
        <v>13914968</v>
      </c>
      <c r="I838" s="322" t="s">
        <v>1382</v>
      </c>
      <c r="J838" s="418"/>
      <c r="K838" s="248"/>
      <c r="M838" s="248"/>
      <c r="AF838">
        <v>3</v>
      </c>
    </row>
    <row r="839" spans="1:32" x14ac:dyDescent="0.25">
      <c r="A839" s="320">
        <v>45301</v>
      </c>
      <c r="B839" s="419">
        <v>1100751</v>
      </c>
      <c r="C839" s="413" t="str">
        <f>IFERROR(INDEX(Table14[],MATCH($B839,Table14[SAPNo],0),3),"")</f>
        <v>1313 CT421 0.018"</v>
      </c>
      <c r="D839" s="306"/>
      <c r="E839" s="421">
        <v>12</v>
      </c>
      <c r="F839" s="421"/>
      <c r="G839" s="420" t="s">
        <v>1381</v>
      </c>
      <c r="H839" s="599">
        <v>13914968</v>
      </c>
      <c r="I839" s="322" t="s">
        <v>1382</v>
      </c>
      <c r="J839" s="421"/>
      <c r="K839" s="422"/>
      <c r="M839" s="422"/>
      <c r="AF839">
        <v>12</v>
      </c>
    </row>
    <row r="840" spans="1:32" x14ac:dyDescent="0.25">
      <c r="A840" s="320">
        <v>45302</v>
      </c>
      <c r="B840" s="419">
        <v>1130200</v>
      </c>
      <c r="C840" s="413" t="str">
        <f>IFERROR(INDEX(Table14[],MATCH($B840,Table14[SAPNo],0),3),"")</f>
        <v>Round 1913 CT182  0.018" (S)</v>
      </c>
      <c r="D840" s="306"/>
      <c r="E840" s="421">
        <v>2</v>
      </c>
      <c r="F840" s="421"/>
      <c r="G840" s="420" t="s">
        <v>1383</v>
      </c>
      <c r="H840" s="599">
        <v>13998785</v>
      </c>
      <c r="I840" s="322" t="s">
        <v>1384</v>
      </c>
      <c r="J840" s="421"/>
      <c r="K840" s="422"/>
      <c r="M840" s="422"/>
      <c r="AF840">
        <v>2</v>
      </c>
    </row>
    <row r="841" spans="1:32" x14ac:dyDescent="0.25">
      <c r="A841" s="320">
        <v>45301</v>
      </c>
      <c r="B841" s="419">
        <v>1234679</v>
      </c>
      <c r="C841" s="413" t="str">
        <f>IFERROR(INDEX(Table14[],MATCH($B841,Table14[SAPNo],0),3),"")</f>
        <v>1613 CT164R U</v>
      </c>
      <c r="D841" s="306"/>
      <c r="E841" s="421">
        <v>0</v>
      </c>
      <c r="F841" s="421"/>
      <c r="G841" s="420" t="s">
        <v>1365</v>
      </c>
      <c r="H841" s="599">
        <v>14036278</v>
      </c>
      <c r="I841" s="322" t="s">
        <v>1366</v>
      </c>
      <c r="J841" s="421"/>
      <c r="K841" s="422" t="s">
        <v>1385</v>
      </c>
      <c r="M841" s="422"/>
      <c r="AF841">
        <v>0</v>
      </c>
    </row>
    <row r="842" spans="1:32" x14ac:dyDescent="0.25">
      <c r="A842" s="308">
        <v>45302</v>
      </c>
      <c r="B842" s="416">
        <v>1130194</v>
      </c>
      <c r="C842" s="413" t="s">
        <v>1386</v>
      </c>
      <c r="D842" s="306"/>
      <c r="E842" s="421">
        <v>26</v>
      </c>
      <c r="F842" s="421"/>
      <c r="G842" s="417" t="s">
        <v>1387</v>
      </c>
      <c r="H842" s="598">
        <v>14012904</v>
      </c>
      <c r="I842" s="322" t="s">
        <v>1380</v>
      </c>
      <c r="J842" s="418"/>
      <c r="K842" s="248"/>
      <c r="M842" s="248"/>
      <c r="AF842">
        <v>26</v>
      </c>
    </row>
    <row r="843" spans="1:32" x14ac:dyDescent="0.25">
      <c r="A843" s="308">
        <v>45302</v>
      </c>
      <c r="B843" s="416">
        <v>1130193</v>
      </c>
      <c r="C843" s="413" t="s">
        <v>1388</v>
      </c>
      <c r="D843" s="306"/>
      <c r="E843" s="421">
        <v>8</v>
      </c>
      <c r="F843" s="421"/>
      <c r="G843" s="417" t="s">
        <v>1387</v>
      </c>
      <c r="H843" s="598">
        <v>14012904</v>
      </c>
      <c r="I843" s="322" t="s">
        <v>1380</v>
      </c>
      <c r="J843" s="418"/>
      <c r="K843" s="248"/>
      <c r="M843" s="248"/>
      <c r="AF843">
        <v>8</v>
      </c>
    </row>
    <row r="844" spans="1:32" x14ac:dyDescent="0.25">
      <c r="A844" s="320">
        <v>45302</v>
      </c>
      <c r="B844" s="419">
        <v>882800</v>
      </c>
      <c r="C844" s="413" t="s">
        <v>1389</v>
      </c>
      <c r="D844" s="306"/>
      <c r="E844" s="421">
        <v>10</v>
      </c>
      <c r="F844" s="421"/>
      <c r="G844" s="420" t="s">
        <v>1387</v>
      </c>
      <c r="H844" s="599">
        <v>14012904</v>
      </c>
      <c r="I844" s="322" t="s">
        <v>1380</v>
      </c>
      <c r="J844" s="421"/>
      <c r="K844" s="422"/>
      <c r="M844" s="422"/>
      <c r="AF844">
        <v>10</v>
      </c>
    </row>
    <row r="845" spans="1:32" x14ac:dyDescent="0.25">
      <c r="A845" s="320">
        <v>45301</v>
      </c>
      <c r="B845" s="419">
        <v>1228503</v>
      </c>
      <c r="C845" s="413" t="s">
        <v>1390</v>
      </c>
      <c r="D845" s="306"/>
      <c r="E845" s="421">
        <v>10</v>
      </c>
      <c r="F845" s="421"/>
      <c r="G845" s="420" t="s">
        <v>1387</v>
      </c>
      <c r="H845" s="599">
        <v>14012904</v>
      </c>
      <c r="I845" s="322" t="s">
        <v>1380</v>
      </c>
      <c r="J845" s="421"/>
      <c r="K845" s="422"/>
      <c r="M845" s="422"/>
      <c r="AF845">
        <v>10</v>
      </c>
    </row>
    <row r="846" spans="1:32" x14ac:dyDescent="0.25">
      <c r="A846" s="308">
        <v>45301</v>
      </c>
      <c r="B846" s="416">
        <v>1228501</v>
      </c>
      <c r="C846" s="413" t="s">
        <v>1391</v>
      </c>
      <c r="D846" s="306"/>
      <c r="E846" s="421">
        <v>10</v>
      </c>
      <c r="F846" s="421"/>
      <c r="G846" s="417" t="s">
        <v>1387</v>
      </c>
      <c r="H846" s="598">
        <v>14012904</v>
      </c>
      <c r="I846" s="322" t="s">
        <v>1380</v>
      </c>
      <c r="J846" s="418"/>
      <c r="K846" s="248"/>
      <c r="M846" s="248"/>
      <c r="AF846">
        <v>10</v>
      </c>
    </row>
    <row r="847" spans="1:32" x14ac:dyDescent="0.25">
      <c r="A847" s="320">
        <v>45301</v>
      </c>
      <c r="B847" s="419">
        <v>1220554</v>
      </c>
      <c r="C847" s="413" t="s">
        <v>1392</v>
      </c>
      <c r="D847" s="306"/>
      <c r="E847" s="421">
        <v>10</v>
      </c>
      <c r="F847" s="421"/>
      <c r="G847" s="420" t="s">
        <v>1387</v>
      </c>
      <c r="H847" s="599">
        <v>14012904</v>
      </c>
      <c r="I847" s="322" t="s">
        <v>1380</v>
      </c>
      <c r="J847" s="421"/>
      <c r="K847" s="422"/>
      <c r="M847" s="422"/>
      <c r="AF847">
        <v>10</v>
      </c>
    </row>
    <row r="848" spans="1:32" x14ac:dyDescent="0.25">
      <c r="A848" s="320">
        <v>45306</v>
      </c>
      <c r="B848" s="419">
        <v>971055</v>
      </c>
      <c r="C848" s="413" t="str">
        <f>IFERROR(INDEX(Table14[],MATCH($B848,Table14[SAPNo],0),3),"")</f>
        <v>MED Bullet 10.5 CT217 MBL 0.018" (B)</v>
      </c>
      <c r="D848" s="306"/>
      <c r="E848" s="421">
        <v>0</v>
      </c>
      <c r="F848" s="421"/>
      <c r="G848" s="420">
        <v>20241004</v>
      </c>
      <c r="H848" s="599" t="s">
        <v>1393</v>
      </c>
      <c r="I848" s="322" t="s">
        <v>1112</v>
      </c>
      <c r="J848" s="421">
        <v>4</v>
      </c>
      <c r="K848" s="422"/>
      <c r="M848" s="422"/>
      <c r="AF848">
        <v>0</v>
      </c>
    </row>
    <row r="849" spans="1:32" x14ac:dyDescent="0.25">
      <c r="A849" s="320">
        <v>45306</v>
      </c>
      <c r="B849" s="419">
        <v>971055</v>
      </c>
      <c r="C849" s="413" t="str">
        <f>IFERROR(INDEX(Table14[],MATCH($B849,Table14[SAPNo],0),3),"")</f>
        <v>MED Bullet 10.5 CT217 MBL 0.018" (B)</v>
      </c>
      <c r="D849" s="306"/>
      <c r="E849" s="421">
        <v>0</v>
      </c>
      <c r="F849" s="421"/>
      <c r="G849" s="420">
        <v>20241005</v>
      </c>
      <c r="H849" s="599" t="s">
        <v>1394</v>
      </c>
      <c r="I849" s="322" t="s">
        <v>1112</v>
      </c>
      <c r="J849" s="421">
        <v>1</v>
      </c>
      <c r="K849" s="422"/>
      <c r="M849" s="422"/>
      <c r="AF849">
        <v>0</v>
      </c>
    </row>
    <row r="850" spans="1:32" x14ac:dyDescent="0.25">
      <c r="A850" s="320">
        <v>45306</v>
      </c>
      <c r="B850" s="416">
        <v>1271790</v>
      </c>
      <c r="C850" s="413" t="str">
        <f>IFERROR(INDEX(Table14[],MATCH($B850,Table14[SAPNo],0),3),"")</f>
        <v xml:space="preserve">1613 CT170 18-60 </v>
      </c>
      <c r="D850" s="306"/>
      <c r="E850" s="421">
        <v>17</v>
      </c>
      <c r="F850" s="421"/>
      <c r="G850" s="417" t="s">
        <v>1395</v>
      </c>
      <c r="H850" s="598">
        <v>14109690</v>
      </c>
      <c r="I850" s="322" t="s">
        <v>1273</v>
      </c>
      <c r="J850" s="418"/>
      <c r="K850" s="248"/>
      <c r="M850" s="248"/>
      <c r="AF850">
        <v>17</v>
      </c>
    </row>
    <row r="851" spans="1:32" x14ac:dyDescent="0.25">
      <c r="A851" s="320">
        <v>45306</v>
      </c>
      <c r="B851" s="416">
        <v>1078377</v>
      </c>
      <c r="C851" s="413" t="str">
        <f>IFERROR(INDEX(Table14[],MATCH($B851,Table14[SAPNo],0),3),"")</f>
        <v>13MM CT221 R1</v>
      </c>
      <c r="D851" s="306"/>
      <c r="E851" s="421">
        <v>15</v>
      </c>
      <c r="F851" s="421"/>
      <c r="G851" s="417" t="s">
        <v>1395</v>
      </c>
      <c r="H851" s="598">
        <v>14109690</v>
      </c>
      <c r="I851" s="322" t="s">
        <v>1273</v>
      </c>
      <c r="J851" s="418"/>
      <c r="K851" s="248"/>
      <c r="M851" s="248"/>
      <c r="AF851">
        <v>15</v>
      </c>
    </row>
    <row r="852" spans="1:32" x14ac:dyDescent="0.25">
      <c r="A852" s="320">
        <v>45306</v>
      </c>
      <c r="B852" s="416">
        <v>1208601</v>
      </c>
      <c r="C852" s="413" t="str">
        <f>IFERROR(INDEX(Table14[],MATCH($B852,Table14[SAPNo],0),3),"")</f>
        <v>1613 CT418 U-60</v>
      </c>
      <c r="D852" s="306"/>
      <c r="E852" s="421">
        <v>8</v>
      </c>
      <c r="F852" s="421"/>
      <c r="G852" s="417" t="s">
        <v>1395</v>
      </c>
      <c r="H852" s="598">
        <v>14109690</v>
      </c>
      <c r="I852" s="322" t="s">
        <v>1273</v>
      </c>
      <c r="J852" s="418"/>
      <c r="K852" s="248"/>
      <c r="M852" s="248"/>
      <c r="AF852">
        <v>8</v>
      </c>
    </row>
    <row r="853" spans="1:32" x14ac:dyDescent="0.25">
      <c r="A853" s="320">
        <v>45306</v>
      </c>
      <c r="B853" s="416">
        <v>418525</v>
      </c>
      <c r="C853" s="413" t="str">
        <f>IFERROR(INDEX(Table14[],MATCH($B853,Table14[SAPNo],0),3),"")</f>
        <v>Drop In 1308 CT31   (B)</v>
      </c>
      <c r="D853" s="306"/>
      <c r="E853" s="421">
        <v>6</v>
      </c>
      <c r="F853" s="421"/>
      <c r="G853" s="417" t="s">
        <v>1395</v>
      </c>
      <c r="H853" s="598">
        <v>14109690</v>
      </c>
      <c r="I853" s="322" t="s">
        <v>1273</v>
      </c>
      <c r="J853" s="418"/>
      <c r="K853" s="248"/>
      <c r="M853" s="248"/>
      <c r="AF853">
        <v>6</v>
      </c>
    </row>
    <row r="854" spans="1:32" x14ac:dyDescent="0.25">
      <c r="A854" s="320">
        <v>45306</v>
      </c>
      <c r="B854" s="419">
        <v>1146737</v>
      </c>
      <c r="C854" s="413" t="str">
        <f>IFERROR(INDEX(Table14[],MATCH($B854,Table14[SAPNo],0),3),"")</f>
        <v>1613 CT418 18-60</v>
      </c>
      <c r="D854" s="306"/>
      <c r="E854" s="421">
        <v>6</v>
      </c>
      <c r="F854" s="421"/>
      <c r="G854" s="420" t="s">
        <v>1395</v>
      </c>
      <c r="H854" s="599">
        <v>14109690</v>
      </c>
      <c r="I854" s="322" t="s">
        <v>1273</v>
      </c>
      <c r="J854" s="421"/>
      <c r="K854" s="422"/>
      <c r="M854" s="422"/>
      <c r="AF854">
        <v>6</v>
      </c>
    </row>
    <row r="855" spans="1:32" x14ac:dyDescent="0.25">
      <c r="A855" s="320">
        <v>45306</v>
      </c>
      <c r="B855" s="416">
        <v>1271790</v>
      </c>
      <c r="C855" s="413" t="str">
        <f>IFERROR(INDEX(Table14[],MATCH($B855,Table14[SAPNo],0),3),"")</f>
        <v xml:space="preserve">1613 CT170 18-60 </v>
      </c>
      <c r="D855" s="306"/>
      <c r="E855" s="421">
        <v>17</v>
      </c>
      <c r="F855" s="421"/>
      <c r="G855" s="417" t="s">
        <v>1396</v>
      </c>
      <c r="H855" s="598">
        <v>14109687</v>
      </c>
      <c r="I855" s="322" t="s">
        <v>1273</v>
      </c>
      <c r="J855" s="418"/>
      <c r="K855" s="248"/>
      <c r="M855" s="248"/>
      <c r="AF855">
        <v>17</v>
      </c>
    </row>
    <row r="856" spans="1:32" x14ac:dyDescent="0.25">
      <c r="A856" s="320">
        <v>45306</v>
      </c>
      <c r="B856" s="416">
        <v>1078377</v>
      </c>
      <c r="C856" s="413" t="str">
        <f>IFERROR(INDEX(Table14[],MATCH($B856,Table14[SAPNo],0),3),"")</f>
        <v>13MM CT221 R1</v>
      </c>
      <c r="D856" s="306"/>
      <c r="E856" s="421">
        <v>15</v>
      </c>
      <c r="F856" s="421"/>
      <c r="G856" s="417" t="s">
        <v>1396</v>
      </c>
      <c r="H856" s="598">
        <v>14109687</v>
      </c>
      <c r="I856" s="322" t="s">
        <v>1273</v>
      </c>
      <c r="J856" s="418"/>
      <c r="K856" s="248"/>
      <c r="M856" s="248"/>
      <c r="AF856">
        <v>15</v>
      </c>
    </row>
    <row r="857" spans="1:32" x14ac:dyDescent="0.25">
      <c r="A857" s="320">
        <v>45306</v>
      </c>
      <c r="B857" s="416">
        <v>1208601</v>
      </c>
      <c r="C857" s="413" t="str">
        <f>IFERROR(INDEX(Table14[],MATCH($B857,Table14[SAPNo],0),3),"")</f>
        <v>1613 CT418 U-60</v>
      </c>
      <c r="D857" s="306"/>
      <c r="E857" s="421">
        <v>8</v>
      </c>
      <c r="F857" s="421"/>
      <c r="G857" s="417" t="s">
        <v>1396</v>
      </c>
      <c r="H857" s="598">
        <v>14109687</v>
      </c>
      <c r="I857" s="322" t="s">
        <v>1273</v>
      </c>
      <c r="J857" s="418"/>
      <c r="K857" s="248"/>
      <c r="M857" s="248"/>
      <c r="AF857">
        <v>8</v>
      </c>
    </row>
    <row r="858" spans="1:32" x14ac:dyDescent="0.25">
      <c r="A858" s="320">
        <v>45306</v>
      </c>
      <c r="B858" s="416">
        <v>418525</v>
      </c>
      <c r="C858" s="413" t="str">
        <f>IFERROR(INDEX(Table14[],MATCH($B858,Table14[SAPNo],0),3),"")</f>
        <v>Drop In 1308 CT31   (B)</v>
      </c>
      <c r="D858" s="306"/>
      <c r="E858" s="421">
        <v>6</v>
      </c>
      <c r="F858" s="421"/>
      <c r="G858" s="417" t="s">
        <v>1396</v>
      </c>
      <c r="H858" s="598">
        <v>14109687</v>
      </c>
      <c r="I858" s="322" t="s">
        <v>1273</v>
      </c>
      <c r="J858" s="418"/>
      <c r="K858" s="248"/>
      <c r="M858" s="248"/>
      <c r="AF858">
        <v>6</v>
      </c>
    </row>
    <row r="859" spans="1:32" x14ac:dyDescent="0.25">
      <c r="A859" s="320">
        <v>45306</v>
      </c>
      <c r="B859" s="419">
        <v>1146737</v>
      </c>
      <c r="C859" s="413" t="str">
        <f>IFERROR(INDEX(Table14[],MATCH($B859,Table14[SAPNo],0),3),"")</f>
        <v>1613 CT418 18-60</v>
      </c>
      <c r="D859" s="306"/>
      <c r="E859" s="421">
        <v>6</v>
      </c>
      <c r="F859" s="421"/>
      <c r="G859" s="420" t="s">
        <v>1396</v>
      </c>
      <c r="H859" s="599">
        <v>14109687</v>
      </c>
      <c r="I859" s="322" t="s">
        <v>1273</v>
      </c>
      <c r="J859" s="421"/>
      <c r="K859" s="422"/>
      <c r="M859" s="422"/>
      <c r="AF859">
        <v>6</v>
      </c>
    </row>
    <row r="860" spans="1:32" x14ac:dyDescent="0.25">
      <c r="A860" s="308">
        <v>45307</v>
      </c>
      <c r="B860" s="416">
        <v>647436</v>
      </c>
      <c r="C860" s="413" t="str">
        <f>IFERROR(INDEX(Table14[],MATCH($B860,Table14[SAPNo],0),3),"")</f>
        <v>Round 1613 CT200  0.018" (B)</v>
      </c>
      <c r="D860" s="306"/>
      <c r="E860" s="421">
        <v>64</v>
      </c>
      <c r="F860" s="421"/>
      <c r="G860" s="417" t="s">
        <v>1397</v>
      </c>
      <c r="H860" s="598">
        <v>14109682</v>
      </c>
      <c r="I860" s="322" t="s">
        <v>1398</v>
      </c>
      <c r="J860" s="418"/>
      <c r="K860" s="248"/>
      <c r="M860" s="248"/>
      <c r="AF860">
        <v>64</v>
      </c>
    </row>
    <row r="861" spans="1:32" x14ac:dyDescent="0.25">
      <c r="A861" s="308">
        <v>45307</v>
      </c>
      <c r="B861" s="416">
        <v>647435</v>
      </c>
      <c r="C861" s="413" t="str">
        <f>IFERROR(INDEX(Table14[],MATCH($B861,Table14[SAPNo],0),3),"")</f>
        <v>Round 1608 CT200  0.018" (B)</v>
      </c>
      <c r="D861" s="306"/>
      <c r="E861" s="421">
        <v>16</v>
      </c>
      <c r="F861" s="421"/>
      <c r="G861" s="417" t="s">
        <v>1397</v>
      </c>
      <c r="H861" s="598">
        <v>14109682</v>
      </c>
      <c r="I861" s="322" t="s">
        <v>1398</v>
      </c>
      <c r="J861" s="418"/>
      <c r="K861" s="248"/>
      <c r="M861" s="248"/>
      <c r="AF861">
        <v>16</v>
      </c>
    </row>
    <row r="862" spans="1:32" x14ac:dyDescent="0.25">
      <c r="A862" s="308">
        <v>45307</v>
      </c>
      <c r="B862" s="416">
        <v>418525</v>
      </c>
      <c r="C862" s="413" t="str">
        <f>IFERROR(INDEX(Table14[],MATCH($B862,Table14[SAPNo],0),3),"")</f>
        <v>Drop In 1308 CT31   (B)</v>
      </c>
      <c r="D862" s="306"/>
      <c r="E862" s="421">
        <v>8</v>
      </c>
      <c r="F862" s="421"/>
      <c r="G862" s="417" t="s">
        <v>1397</v>
      </c>
      <c r="H862" s="598">
        <v>14109682</v>
      </c>
      <c r="I862" s="322" t="s">
        <v>1398</v>
      </c>
      <c r="J862" s="418"/>
      <c r="K862" s="248"/>
      <c r="M862" s="248"/>
      <c r="AF862">
        <v>8</v>
      </c>
    </row>
    <row r="863" spans="1:32" x14ac:dyDescent="0.25">
      <c r="A863" s="308">
        <v>45307</v>
      </c>
      <c r="B863" s="416">
        <v>1271790</v>
      </c>
      <c r="C863" s="413" t="str">
        <f>IFERROR(INDEX(Table14[],MATCH($B863,Table14[SAPNo],0),3),"")</f>
        <v xml:space="preserve">1613 CT170 18-60 </v>
      </c>
      <c r="D863" s="306"/>
      <c r="E863" s="421">
        <v>53</v>
      </c>
      <c r="F863" s="421"/>
      <c r="G863" s="417" t="s">
        <v>1397</v>
      </c>
      <c r="H863" s="598">
        <v>14109682</v>
      </c>
      <c r="I863" s="322" t="s">
        <v>1398</v>
      </c>
      <c r="J863" s="418"/>
      <c r="K863" s="248"/>
      <c r="M863" s="248"/>
      <c r="AF863">
        <v>53</v>
      </c>
    </row>
    <row r="864" spans="1:32" x14ac:dyDescent="0.25">
      <c r="A864" s="308">
        <v>45307</v>
      </c>
      <c r="B864" s="416">
        <v>1146737</v>
      </c>
      <c r="C864" s="413" t="str">
        <f>IFERROR(INDEX(Table14[],MATCH($B864,Table14[SAPNo],0),3),"")</f>
        <v>1613 CT418 18-60</v>
      </c>
      <c r="D864" s="306"/>
      <c r="E864" s="421">
        <v>39</v>
      </c>
      <c r="F864" s="421"/>
      <c r="G864" s="417" t="s">
        <v>1397</v>
      </c>
      <c r="H864" s="598">
        <v>14109682</v>
      </c>
      <c r="I864" s="322" t="s">
        <v>1398</v>
      </c>
      <c r="J864" s="418"/>
      <c r="K864" s="248"/>
      <c r="M864" s="248"/>
      <c r="AF864">
        <v>39</v>
      </c>
    </row>
    <row r="865" spans="1:32" x14ac:dyDescent="0.25">
      <c r="A865" s="308">
        <v>45308</v>
      </c>
      <c r="B865" s="416">
        <v>418525</v>
      </c>
      <c r="C865" s="413" t="str">
        <f>IFERROR(INDEX(Table14[],MATCH($B865,Table14[SAPNo],0),3),"")</f>
        <v>Drop In 1308 CT31   (B)</v>
      </c>
      <c r="D865" s="306"/>
      <c r="E865" s="421">
        <v>2</v>
      </c>
      <c r="F865" s="421"/>
      <c r="G865" s="417">
        <v>20241006</v>
      </c>
      <c r="H865" s="598" t="s">
        <v>1399</v>
      </c>
      <c r="I865" s="322" t="s">
        <v>1093</v>
      </c>
      <c r="J865" s="418"/>
      <c r="K865" s="248"/>
      <c r="M865" s="248"/>
      <c r="AF865">
        <v>2</v>
      </c>
    </row>
    <row r="866" spans="1:32" x14ac:dyDescent="0.25">
      <c r="A866" s="308">
        <v>45308</v>
      </c>
      <c r="B866" s="416">
        <v>1145493</v>
      </c>
      <c r="C866" s="413" t="str">
        <f>IFERROR(INDEX(Table14[],MATCH($B866,Table14[SAPNo],0),3),"")</f>
        <v>Round 1313 CT427  10C (S)</v>
      </c>
      <c r="D866" s="306"/>
      <c r="E866" s="421">
        <v>0</v>
      </c>
      <c r="F866" s="421"/>
      <c r="G866" s="417">
        <v>20241006</v>
      </c>
      <c r="H866" s="598" t="s">
        <v>1399</v>
      </c>
      <c r="I866" s="322" t="s">
        <v>1093</v>
      </c>
      <c r="J866" s="418">
        <v>2</v>
      </c>
      <c r="K866" s="248"/>
      <c r="M866" s="248"/>
      <c r="AF866">
        <v>0</v>
      </c>
    </row>
    <row r="867" spans="1:32" x14ac:dyDescent="0.25">
      <c r="A867" s="308">
        <v>45308</v>
      </c>
      <c r="B867" s="416">
        <v>418525</v>
      </c>
      <c r="C867" s="413" t="str">
        <f>IFERROR(INDEX(Table14[],MATCH($B867,Table14[SAPNo],0),3),"")</f>
        <v>Drop In 1308 CT31   (B)</v>
      </c>
      <c r="D867" s="306"/>
      <c r="E867" s="421">
        <v>1</v>
      </c>
      <c r="F867" s="421"/>
      <c r="G867" s="417">
        <v>20241007</v>
      </c>
      <c r="H867" s="598" t="s">
        <v>1400</v>
      </c>
      <c r="I867" s="322" t="s">
        <v>1093</v>
      </c>
      <c r="J867" s="418"/>
      <c r="K867" s="248"/>
      <c r="M867" s="248"/>
      <c r="AF867">
        <v>1</v>
      </c>
    </row>
    <row r="868" spans="1:32" x14ac:dyDescent="0.25">
      <c r="A868" s="308">
        <v>45308</v>
      </c>
      <c r="B868" s="416">
        <v>1145493</v>
      </c>
      <c r="C868" s="413" t="str">
        <f>IFERROR(INDEX(Table14[],MATCH($B868,Table14[SAPNo],0),3),"")</f>
        <v>Round 1313 CT427  10C (S)</v>
      </c>
      <c r="D868" s="306"/>
      <c r="E868" s="421">
        <v>0</v>
      </c>
      <c r="F868" s="421"/>
      <c r="G868" s="417">
        <v>20241007</v>
      </c>
      <c r="H868" s="598" t="s">
        <v>1400</v>
      </c>
      <c r="I868" s="322" t="s">
        <v>1093</v>
      </c>
      <c r="J868" s="418">
        <v>2</v>
      </c>
      <c r="K868" s="248"/>
      <c r="M868" s="248"/>
      <c r="AF868">
        <v>0</v>
      </c>
    </row>
    <row r="869" spans="1:32" x14ac:dyDescent="0.25">
      <c r="A869" s="308">
        <v>45308</v>
      </c>
      <c r="B869" s="416">
        <v>418525</v>
      </c>
      <c r="C869" s="413" t="str">
        <f>IFERROR(INDEX(Table14[],MATCH($B869,Table14[SAPNo],0),3),"")</f>
        <v>Drop In 1308 CT31   (B)</v>
      </c>
      <c r="D869" s="306"/>
      <c r="E869" s="421">
        <v>8</v>
      </c>
      <c r="F869" s="421"/>
      <c r="G869" s="417" t="s">
        <v>1401</v>
      </c>
      <c r="H869" s="598">
        <v>14074749</v>
      </c>
      <c r="I869" s="322" t="s">
        <v>1402</v>
      </c>
      <c r="J869" s="418"/>
      <c r="K869" s="248"/>
      <c r="M869" s="248"/>
      <c r="AF869">
        <v>8</v>
      </c>
    </row>
    <row r="870" spans="1:32" x14ac:dyDescent="0.25">
      <c r="A870" s="308">
        <v>45308</v>
      </c>
      <c r="B870" s="416">
        <v>1130198</v>
      </c>
      <c r="C870" s="413" t="str">
        <f>IFERROR(INDEX(Table14[],MATCH($B870,Table14[SAPNo],0),3),"")</f>
        <v>Round 1613 CT182  0.018" (S)</v>
      </c>
      <c r="D870" s="306"/>
      <c r="E870" s="421">
        <v>147</v>
      </c>
      <c r="F870" s="421"/>
      <c r="G870" s="417" t="s">
        <v>1401</v>
      </c>
      <c r="H870" s="598">
        <v>14074749</v>
      </c>
      <c r="I870" s="322" t="s">
        <v>1402</v>
      </c>
      <c r="J870" s="418"/>
      <c r="K870" s="248"/>
      <c r="M870" s="248"/>
      <c r="AF870">
        <v>147</v>
      </c>
    </row>
    <row r="871" spans="1:32" x14ac:dyDescent="0.25">
      <c r="A871" s="308">
        <v>45309</v>
      </c>
      <c r="B871" s="416">
        <v>647436</v>
      </c>
      <c r="C871" s="413" t="str">
        <f>IFERROR(INDEX(Table14[],MATCH($B871,Table14[SAPNo],0),3),"")</f>
        <v>Round 1613 CT200  0.018" (B)</v>
      </c>
      <c r="D871" s="306"/>
      <c r="E871" s="421">
        <v>64</v>
      </c>
      <c r="F871" s="421"/>
      <c r="G871" s="417" t="s">
        <v>1403</v>
      </c>
      <c r="H871" s="598">
        <v>14110979</v>
      </c>
      <c r="I871" s="322" t="s">
        <v>1398</v>
      </c>
      <c r="J871" s="418"/>
      <c r="K871" s="248"/>
      <c r="M871" s="248"/>
      <c r="AF871">
        <v>64</v>
      </c>
    </row>
    <row r="872" spans="1:32" x14ac:dyDescent="0.25">
      <c r="A872" s="308">
        <v>45309</v>
      </c>
      <c r="B872" s="416">
        <v>647435</v>
      </c>
      <c r="C872" s="413" t="str">
        <f>IFERROR(INDEX(Table14[],MATCH($B872,Table14[SAPNo],0),3),"")</f>
        <v>Round 1608 CT200  0.018" (B)</v>
      </c>
      <c r="D872" s="306"/>
      <c r="E872" s="421">
        <v>16</v>
      </c>
      <c r="F872" s="421"/>
      <c r="G872" s="417" t="s">
        <v>1403</v>
      </c>
      <c r="H872" s="598">
        <v>14110979</v>
      </c>
      <c r="I872" s="322" t="s">
        <v>1398</v>
      </c>
      <c r="J872" s="418"/>
      <c r="K872" s="248"/>
      <c r="M872" s="248"/>
      <c r="AF872">
        <v>16</v>
      </c>
    </row>
    <row r="873" spans="1:32" x14ac:dyDescent="0.25">
      <c r="A873" s="308">
        <v>45309</v>
      </c>
      <c r="B873" s="416">
        <v>418525</v>
      </c>
      <c r="C873" s="413" t="str">
        <f>IFERROR(INDEX(Table14[],MATCH($B873,Table14[SAPNo],0),3),"")</f>
        <v>Drop In 1308 CT31   (B)</v>
      </c>
      <c r="D873" s="306"/>
      <c r="E873" s="421">
        <v>8</v>
      </c>
      <c r="F873" s="421"/>
      <c r="G873" s="417" t="s">
        <v>1403</v>
      </c>
      <c r="H873" s="598">
        <v>14110979</v>
      </c>
      <c r="I873" s="322" t="s">
        <v>1398</v>
      </c>
      <c r="J873" s="418"/>
      <c r="K873" s="248"/>
      <c r="M873" s="248"/>
      <c r="AF873">
        <v>8</v>
      </c>
    </row>
    <row r="874" spans="1:32" x14ac:dyDescent="0.25">
      <c r="A874" s="308">
        <v>45309</v>
      </c>
      <c r="B874" s="416">
        <v>1271790</v>
      </c>
      <c r="C874" s="413" t="str">
        <f>IFERROR(INDEX(Table14[],MATCH($B874,Table14[SAPNo],0),3),"")</f>
        <v xml:space="preserve">1613 CT170 18-60 </v>
      </c>
      <c r="D874" s="306"/>
      <c r="E874" s="421">
        <v>53</v>
      </c>
      <c r="F874" s="421"/>
      <c r="G874" s="417" t="s">
        <v>1403</v>
      </c>
      <c r="H874" s="598">
        <v>14110979</v>
      </c>
      <c r="I874" s="322" t="s">
        <v>1398</v>
      </c>
      <c r="J874" s="418"/>
      <c r="K874" s="248"/>
      <c r="M874" s="248"/>
      <c r="AF874">
        <v>53</v>
      </c>
    </row>
    <row r="875" spans="1:32" x14ac:dyDescent="0.25">
      <c r="A875" s="320">
        <v>45309</v>
      </c>
      <c r="B875" s="419">
        <v>1146737</v>
      </c>
      <c r="C875" s="413" t="str">
        <f>IFERROR(INDEX(Table14[],MATCH($B875,Table14[SAPNo],0),3),"")</f>
        <v>1613 CT418 18-60</v>
      </c>
      <c r="D875" s="306"/>
      <c r="E875" s="421">
        <v>39</v>
      </c>
      <c r="F875" s="421"/>
      <c r="G875" s="420" t="s">
        <v>1403</v>
      </c>
      <c r="H875" s="599">
        <v>14110979</v>
      </c>
      <c r="I875" s="322" t="s">
        <v>1398</v>
      </c>
      <c r="J875" s="421"/>
      <c r="K875" s="422"/>
      <c r="M875" s="422"/>
      <c r="AF875">
        <v>39</v>
      </c>
    </row>
    <row r="876" spans="1:32" x14ac:dyDescent="0.25">
      <c r="A876" s="308">
        <v>45309</v>
      </c>
      <c r="B876" s="416">
        <v>1130198</v>
      </c>
      <c r="C876" s="413" t="str">
        <f>IFERROR(INDEX(Table14[],MATCH($B876,Table14[SAPNo],0),3),"")</f>
        <v>Round 1613 CT182  0.018" (S)</v>
      </c>
      <c r="D876" s="306"/>
      <c r="E876" s="421">
        <v>147</v>
      </c>
      <c r="F876" s="421"/>
      <c r="G876" s="417" t="s">
        <v>1404</v>
      </c>
      <c r="H876" s="598">
        <v>14093083</v>
      </c>
      <c r="I876" s="322" t="s">
        <v>1402</v>
      </c>
      <c r="J876" s="418"/>
      <c r="K876" s="248"/>
      <c r="M876" s="248"/>
      <c r="AF876">
        <v>147</v>
      </c>
    </row>
    <row r="877" spans="1:32" x14ac:dyDescent="0.25">
      <c r="A877" s="308">
        <v>45309</v>
      </c>
      <c r="B877" s="416">
        <v>418525</v>
      </c>
      <c r="C877" s="413" t="str">
        <f>IFERROR(INDEX(Table14[],MATCH($B877,Table14[SAPNo],0),3),"")</f>
        <v>Drop In 1308 CT31   (B)</v>
      </c>
      <c r="D877" s="306"/>
      <c r="E877" s="421">
        <v>8</v>
      </c>
      <c r="F877" s="421"/>
      <c r="G877" s="417" t="s">
        <v>1404</v>
      </c>
      <c r="H877" s="598">
        <v>14093083</v>
      </c>
      <c r="I877" s="322" t="s">
        <v>1402</v>
      </c>
      <c r="J877" s="418"/>
      <c r="K877" s="248"/>
      <c r="M877" s="248"/>
      <c r="AF877">
        <v>8</v>
      </c>
    </row>
    <row r="878" spans="1:32" x14ac:dyDescent="0.25">
      <c r="A878" s="308">
        <v>45309</v>
      </c>
      <c r="B878" s="416">
        <v>1208601</v>
      </c>
      <c r="C878" s="413" t="str">
        <f>IFERROR(INDEX(Table14[],MATCH($B878,Table14[SAPNo],0),3),"")</f>
        <v>1613 CT418 U-60</v>
      </c>
      <c r="D878" s="306"/>
      <c r="E878" s="421">
        <v>8</v>
      </c>
      <c r="F878" s="421"/>
      <c r="G878" s="417" t="s">
        <v>1405</v>
      </c>
      <c r="H878" s="598">
        <v>14109688</v>
      </c>
      <c r="I878" s="322" t="s">
        <v>1273</v>
      </c>
      <c r="J878" s="418"/>
      <c r="K878" s="248"/>
      <c r="M878" s="248"/>
      <c r="AF878">
        <v>8</v>
      </c>
    </row>
    <row r="879" spans="1:32" x14ac:dyDescent="0.25">
      <c r="A879" s="308">
        <v>45309</v>
      </c>
      <c r="B879" s="416">
        <v>1146737</v>
      </c>
      <c r="C879" s="413" t="str">
        <f>IFERROR(INDEX(Table14[],MATCH($B879,Table14[SAPNo],0),3),"")</f>
        <v>1613 CT418 18-60</v>
      </c>
      <c r="D879" s="306"/>
      <c r="E879" s="421">
        <v>6</v>
      </c>
      <c r="F879" s="421"/>
      <c r="G879" s="417" t="s">
        <v>1405</v>
      </c>
      <c r="H879" s="598">
        <v>14109688</v>
      </c>
      <c r="I879" s="322" t="s">
        <v>1273</v>
      </c>
      <c r="J879" s="418"/>
      <c r="K879" s="248"/>
      <c r="M879" s="248"/>
      <c r="AF879">
        <v>6</v>
      </c>
    </row>
    <row r="880" spans="1:32" x14ac:dyDescent="0.25">
      <c r="A880" s="308">
        <v>45309</v>
      </c>
      <c r="B880" s="416">
        <v>1078377</v>
      </c>
      <c r="C880" s="413" t="str">
        <f>IFERROR(INDEX(Table14[],MATCH($B880,Table14[SAPNo],0),3),"")</f>
        <v>13MM CT221 R1</v>
      </c>
      <c r="D880" s="306"/>
      <c r="E880" s="421">
        <v>15</v>
      </c>
      <c r="F880" s="421"/>
      <c r="G880" s="417" t="s">
        <v>1405</v>
      </c>
      <c r="H880" s="598">
        <v>14109688</v>
      </c>
      <c r="I880" s="322" t="s">
        <v>1273</v>
      </c>
      <c r="J880" s="418"/>
      <c r="K880" s="248"/>
      <c r="M880" s="248"/>
      <c r="AF880">
        <v>15</v>
      </c>
    </row>
    <row r="881" spans="1:32" x14ac:dyDescent="0.25">
      <c r="A881" s="308">
        <v>45309</v>
      </c>
      <c r="B881" s="416">
        <v>1271790</v>
      </c>
      <c r="C881" s="413" t="str">
        <f>IFERROR(INDEX(Table14[],MATCH($B881,Table14[SAPNo],0),3),"")</f>
        <v xml:space="preserve">1613 CT170 18-60 </v>
      </c>
      <c r="D881" s="306"/>
      <c r="E881" s="421">
        <v>17</v>
      </c>
      <c r="F881" s="421"/>
      <c r="G881" s="417" t="s">
        <v>1405</v>
      </c>
      <c r="H881" s="598">
        <v>14109688</v>
      </c>
      <c r="I881" s="322" t="s">
        <v>1273</v>
      </c>
      <c r="J881" s="418"/>
      <c r="K881" s="248"/>
      <c r="M881" s="248"/>
      <c r="AF881">
        <v>17</v>
      </c>
    </row>
    <row r="882" spans="1:32" x14ac:dyDescent="0.25">
      <c r="A882" s="308">
        <v>45309</v>
      </c>
      <c r="B882" s="416">
        <v>418525</v>
      </c>
      <c r="C882" s="413" t="str">
        <f>IFERROR(INDEX(Table14[],MATCH($B882,Table14[SAPNo],0),3),"")</f>
        <v>Drop In 1308 CT31   (B)</v>
      </c>
      <c r="D882" s="306"/>
      <c r="E882" s="421">
        <v>6</v>
      </c>
      <c r="F882" s="421"/>
      <c r="G882" s="417" t="s">
        <v>1405</v>
      </c>
      <c r="H882" s="598">
        <v>14109688</v>
      </c>
      <c r="I882" s="322" t="s">
        <v>1273</v>
      </c>
      <c r="J882" s="418"/>
      <c r="K882" s="248"/>
      <c r="M882" s="248"/>
      <c r="AF882">
        <v>6</v>
      </c>
    </row>
    <row r="883" spans="1:32" x14ac:dyDescent="0.25">
      <c r="A883" s="308">
        <v>45312</v>
      </c>
      <c r="B883" s="416">
        <v>1208601</v>
      </c>
      <c r="C883" s="413" t="str">
        <f>IFERROR(INDEX(Table14[],MATCH($B883,Table14[SAPNo],0),3),"")</f>
        <v>1613 CT418 U-60</v>
      </c>
      <c r="D883" s="306"/>
      <c r="E883" s="421">
        <v>8</v>
      </c>
      <c r="F883" s="421"/>
      <c r="G883" s="417" t="s">
        <v>1406</v>
      </c>
      <c r="H883" s="598">
        <v>14109691</v>
      </c>
      <c r="I883" s="322" t="s">
        <v>1273</v>
      </c>
      <c r="J883" s="418"/>
      <c r="K883" s="248"/>
      <c r="M883" s="248"/>
      <c r="AF883">
        <v>8</v>
      </c>
    </row>
    <row r="884" spans="1:32" x14ac:dyDescent="0.25">
      <c r="A884" s="308">
        <v>45312</v>
      </c>
      <c r="B884" s="416">
        <v>1146737</v>
      </c>
      <c r="C884" s="413" t="str">
        <f>IFERROR(INDEX(Table14[],MATCH($B884,Table14[SAPNo],0),3),"")</f>
        <v>1613 CT418 18-60</v>
      </c>
      <c r="D884" s="306"/>
      <c r="E884" s="421">
        <v>6</v>
      </c>
      <c r="F884" s="421"/>
      <c r="G884" s="417" t="s">
        <v>1406</v>
      </c>
      <c r="H884" s="598">
        <v>14109691</v>
      </c>
      <c r="I884" s="322" t="s">
        <v>1273</v>
      </c>
      <c r="J884" s="418"/>
      <c r="K884" s="248"/>
      <c r="M884" s="248"/>
      <c r="AF884">
        <v>6</v>
      </c>
    </row>
    <row r="885" spans="1:32" x14ac:dyDescent="0.25">
      <c r="A885" s="308">
        <v>45312</v>
      </c>
      <c r="B885" s="416">
        <v>418525</v>
      </c>
      <c r="C885" s="413" t="str">
        <f>IFERROR(INDEX(Table14[],MATCH($B885,Table14[SAPNo],0),3),"")</f>
        <v>Drop In 1308 CT31   (B)</v>
      </c>
      <c r="D885" s="306"/>
      <c r="E885" s="421">
        <v>6</v>
      </c>
      <c r="F885" s="421"/>
      <c r="G885" s="417" t="s">
        <v>1406</v>
      </c>
      <c r="H885" s="598">
        <v>14109691</v>
      </c>
      <c r="I885" s="322" t="s">
        <v>1273</v>
      </c>
      <c r="J885" s="418"/>
      <c r="K885" s="248"/>
      <c r="M885" s="248"/>
      <c r="AF885">
        <v>6</v>
      </c>
    </row>
    <row r="886" spans="1:32" x14ac:dyDescent="0.25">
      <c r="A886" s="308">
        <v>45312</v>
      </c>
      <c r="B886" s="416">
        <v>1078377</v>
      </c>
      <c r="C886" s="413" t="str">
        <f>IFERROR(INDEX(Table14[],MATCH($B886,Table14[SAPNo],0),3),"")</f>
        <v>13MM CT221 R1</v>
      </c>
      <c r="D886" s="306"/>
      <c r="E886" s="421">
        <v>15</v>
      </c>
      <c r="F886" s="421"/>
      <c r="G886" s="417" t="s">
        <v>1406</v>
      </c>
      <c r="H886" s="598">
        <v>14109691</v>
      </c>
      <c r="I886" s="322" t="s">
        <v>1273</v>
      </c>
      <c r="J886" s="418"/>
      <c r="K886" s="248"/>
      <c r="M886" s="248"/>
      <c r="AF886">
        <v>15</v>
      </c>
    </row>
    <row r="887" spans="1:32" x14ac:dyDescent="0.25">
      <c r="A887" s="308">
        <v>45312</v>
      </c>
      <c r="B887" s="416">
        <v>1271790</v>
      </c>
      <c r="C887" s="413" t="str">
        <f>IFERROR(INDEX(Table14[],MATCH($B887,Table14[SAPNo],0),3),"")</f>
        <v xml:space="preserve">1613 CT170 18-60 </v>
      </c>
      <c r="D887" s="306"/>
      <c r="E887" s="421">
        <v>17</v>
      </c>
      <c r="F887" s="421"/>
      <c r="G887" s="417" t="s">
        <v>1406</v>
      </c>
      <c r="H887" s="598">
        <v>14109691</v>
      </c>
      <c r="I887" s="322" t="s">
        <v>1273</v>
      </c>
      <c r="J887" s="418"/>
      <c r="K887" s="248"/>
      <c r="M887" s="248"/>
      <c r="AF887">
        <v>17</v>
      </c>
    </row>
    <row r="888" spans="1:32" x14ac:dyDescent="0.25">
      <c r="A888" s="308">
        <v>45312</v>
      </c>
      <c r="B888" s="416">
        <v>1261320</v>
      </c>
      <c r="C888" s="413" t="str">
        <f>IFERROR(INDEX(Table14[],MATCH($B888,Table14[SAPNo],0),3),"")</f>
        <v>1313 CT155 U-60</v>
      </c>
      <c r="D888" s="306"/>
      <c r="E888" s="421">
        <v>6</v>
      </c>
      <c r="F888" s="421"/>
      <c r="G888" s="417" t="s">
        <v>1407</v>
      </c>
      <c r="H888" s="598">
        <v>14109676</v>
      </c>
      <c r="I888" s="322" t="s">
        <v>1275</v>
      </c>
      <c r="J888" s="418"/>
      <c r="K888" s="248"/>
      <c r="M888" s="248"/>
      <c r="AF888">
        <v>6</v>
      </c>
    </row>
    <row r="889" spans="1:32" x14ac:dyDescent="0.25">
      <c r="A889" s="308">
        <v>45312</v>
      </c>
      <c r="B889" s="416">
        <v>1228501</v>
      </c>
      <c r="C889" s="413" t="str">
        <f>IFERROR(INDEX(Table14[],MATCH($B889,Table14[SAPNo],0),3),"")</f>
        <v>1618 CT182 U-60 stator</v>
      </c>
      <c r="D889" s="306"/>
      <c r="E889" s="421">
        <v>10</v>
      </c>
      <c r="F889" s="421"/>
      <c r="G889" s="417" t="s">
        <v>1407</v>
      </c>
      <c r="H889" s="598">
        <v>14109676</v>
      </c>
      <c r="I889" s="322" t="s">
        <v>1275</v>
      </c>
      <c r="J889" s="418"/>
      <c r="K889" s="248"/>
      <c r="M889" s="248"/>
      <c r="AF889">
        <v>10</v>
      </c>
    </row>
    <row r="890" spans="1:32" x14ac:dyDescent="0.25">
      <c r="A890" s="308">
        <v>45312</v>
      </c>
      <c r="B890" s="416">
        <v>1228502</v>
      </c>
      <c r="C890" s="413" t="str">
        <f>IFERROR(INDEX(Table14[],MATCH($B890,Table14[SAPNo],0),3),"")</f>
        <v>1618 CT182 U-60 Rotor</v>
      </c>
      <c r="D890" s="306"/>
      <c r="E890" s="421">
        <v>10</v>
      </c>
      <c r="F890" s="421"/>
      <c r="G890" s="417" t="s">
        <v>1407</v>
      </c>
      <c r="H890" s="598">
        <v>14109676</v>
      </c>
      <c r="I890" s="322" t="s">
        <v>1275</v>
      </c>
      <c r="J890" s="418"/>
      <c r="K890" s="248"/>
      <c r="M890" s="248"/>
      <c r="AF890">
        <v>10</v>
      </c>
    </row>
    <row r="891" spans="1:32" x14ac:dyDescent="0.25">
      <c r="A891" s="308">
        <v>45312</v>
      </c>
      <c r="B891" s="416">
        <v>1261319</v>
      </c>
      <c r="C891" s="413" t="str">
        <f>IFERROR(INDEX(Table14[],MATCH($B891,Table14[SAPNo],0),3),"")</f>
        <v>1308 CT155 U-60</v>
      </c>
      <c r="D891" s="306"/>
      <c r="E891" s="421">
        <v>24</v>
      </c>
      <c r="F891" s="421"/>
      <c r="G891" s="417" t="s">
        <v>1407</v>
      </c>
      <c r="H891" s="598">
        <v>14109676</v>
      </c>
      <c r="I891" s="322" t="s">
        <v>1275</v>
      </c>
      <c r="J891" s="418"/>
      <c r="K891" s="248"/>
      <c r="M891" s="248"/>
      <c r="AF891">
        <v>24</v>
      </c>
    </row>
    <row r="892" spans="1:32" x14ac:dyDescent="0.25">
      <c r="A892" s="308">
        <v>45312</v>
      </c>
      <c r="B892" s="416">
        <v>871781</v>
      </c>
      <c r="C892" s="413" t="str">
        <f>IFERROR(INDEX(Table14[],MATCH($B892,Table14[SAPNo],0),3),"")</f>
        <v>Round 1313 CT200  0.018" (B)</v>
      </c>
      <c r="D892" s="306"/>
      <c r="E892" s="421">
        <v>6</v>
      </c>
      <c r="F892" s="421"/>
      <c r="G892" s="417" t="s">
        <v>1407</v>
      </c>
      <c r="H892" s="598">
        <v>14109676</v>
      </c>
      <c r="I892" s="322" t="s">
        <v>1275</v>
      </c>
      <c r="J892" s="418"/>
      <c r="K892" s="248"/>
      <c r="M892" s="248"/>
      <c r="AF892">
        <v>6</v>
      </c>
    </row>
    <row r="893" spans="1:32" x14ac:dyDescent="0.25">
      <c r="A893" s="308">
        <v>45312</v>
      </c>
      <c r="B893" s="416">
        <v>1261321</v>
      </c>
      <c r="C893" s="413" t="str">
        <f>IFERROR(INDEX(Table14[],MATCH($B893,Table14[SAPNo],0),3),"")</f>
        <v>1613 CT155 U-60</v>
      </c>
      <c r="D893" s="306"/>
      <c r="E893" s="421">
        <v>4</v>
      </c>
      <c r="F893" s="421"/>
      <c r="G893" s="417" t="s">
        <v>1407</v>
      </c>
      <c r="H893" s="598">
        <v>14109676</v>
      </c>
      <c r="I893" s="322" t="s">
        <v>1275</v>
      </c>
      <c r="J893" s="418"/>
      <c r="K893" s="248"/>
      <c r="M893" s="248"/>
      <c r="AF893">
        <v>4</v>
      </c>
    </row>
    <row r="894" spans="1:32" x14ac:dyDescent="0.25">
      <c r="A894" s="308">
        <v>45312</v>
      </c>
      <c r="B894" s="416">
        <v>1228503</v>
      </c>
      <c r="C894" s="413" t="str">
        <f>IFERROR(INDEX(Table14[],MATCH($B894,Table14[SAPNo],0),3),"")</f>
        <v>1618 CT182 U-60 Ring</v>
      </c>
      <c r="D894" s="306"/>
      <c r="E894" s="421">
        <v>10</v>
      </c>
      <c r="F894" s="421"/>
      <c r="G894" s="417" t="s">
        <v>1407</v>
      </c>
      <c r="H894" s="598">
        <v>14109676</v>
      </c>
      <c r="I894" s="322" t="s">
        <v>1275</v>
      </c>
      <c r="J894" s="418"/>
      <c r="K894" s="248"/>
      <c r="M894" s="248"/>
      <c r="AF894">
        <v>10</v>
      </c>
    </row>
    <row r="895" spans="1:32" x14ac:dyDescent="0.25">
      <c r="A895" s="308">
        <v>45312</v>
      </c>
      <c r="B895" s="416">
        <v>1220554</v>
      </c>
      <c r="C895" s="413" t="str">
        <f>IFERROR(INDEX(Table14[],MATCH($B895,Table14[SAPNo],0),3),"")</f>
        <v xml:space="preserve">1618 CT182 U-60 Carbide </v>
      </c>
      <c r="D895" s="306"/>
      <c r="E895" s="421">
        <v>10</v>
      </c>
      <c r="F895" s="421"/>
      <c r="G895" s="417" t="s">
        <v>1407</v>
      </c>
      <c r="H895" s="598">
        <v>14109676</v>
      </c>
      <c r="I895" s="322" t="s">
        <v>1275</v>
      </c>
      <c r="J895" s="418"/>
      <c r="K895" s="248"/>
      <c r="M895" s="248"/>
      <c r="AF895">
        <v>10</v>
      </c>
    </row>
    <row r="896" spans="1:32" x14ac:dyDescent="0.25">
      <c r="A896" s="308">
        <v>45312</v>
      </c>
      <c r="B896" s="416">
        <v>717748</v>
      </c>
      <c r="C896" s="413" t="str">
        <f>IFERROR(INDEX(Table14[],MATCH($B896,Table14[SAPNo],0),3),"")</f>
        <v>Round 1010 CT200  0.018" (B)</v>
      </c>
      <c r="D896" s="306"/>
      <c r="E896" s="421">
        <v>11</v>
      </c>
      <c r="F896" s="421"/>
      <c r="G896" s="417" t="s">
        <v>1408</v>
      </c>
      <c r="H896" s="598" t="s">
        <v>1409</v>
      </c>
      <c r="I896" s="322" t="s">
        <v>1069</v>
      </c>
      <c r="J896" s="418"/>
      <c r="K896" s="248"/>
      <c r="M896" s="248"/>
      <c r="AF896">
        <v>11</v>
      </c>
    </row>
    <row r="897" spans="1:32" x14ac:dyDescent="0.25">
      <c r="A897" s="308">
        <v>45312</v>
      </c>
      <c r="B897" s="416">
        <v>717748</v>
      </c>
      <c r="C897" s="413" t="str">
        <f>IFERROR(INDEX(Table14[],MATCH($B897,Table14[SAPNo],0),3),"")</f>
        <v>Round 1010 CT200  0.018" (B)</v>
      </c>
      <c r="D897" s="306"/>
      <c r="E897" s="421">
        <v>2</v>
      </c>
      <c r="F897" s="421"/>
      <c r="G897" s="417" t="s">
        <v>1410</v>
      </c>
      <c r="H897" s="598" t="s">
        <v>1411</v>
      </c>
      <c r="I897" s="322" t="s">
        <v>1330</v>
      </c>
      <c r="J897" s="418"/>
      <c r="K897" s="248"/>
      <c r="M897" s="248"/>
      <c r="AF897">
        <v>2</v>
      </c>
    </row>
    <row r="898" spans="1:32" x14ac:dyDescent="0.25">
      <c r="A898" s="308">
        <v>45315</v>
      </c>
      <c r="B898" s="416">
        <v>1209410</v>
      </c>
      <c r="C898" s="413" t="str">
        <f>IFERROR(INDEX(Table14[],MATCH($B898,Table14[SAPNo],0),3),"")</f>
        <v>1613 CT430MV3 U TBO</v>
      </c>
      <c r="D898" s="306"/>
      <c r="E898" s="421">
        <v>10</v>
      </c>
      <c r="F898" s="421"/>
      <c r="G898" s="417" t="s">
        <v>1412</v>
      </c>
      <c r="H898" s="598">
        <v>14119206</v>
      </c>
      <c r="I898" s="322" t="s">
        <v>1302</v>
      </c>
      <c r="J898" s="418"/>
      <c r="K898" s="248"/>
      <c r="M898" s="248"/>
      <c r="AF898">
        <v>10</v>
      </c>
    </row>
    <row r="899" spans="1:32" x14ac:dyDescent="0.25">
      <c r="A899" s="308">
        <v>45315</v>
      </c>
      <c r="B899" s="416">
        <v>1100751</v>
      </c>
      <c r="C899" s="413" t="str">
        <f>IFERROR(INDEX(Table14[],MATCH($B899,Table14[SAPNo],0),3),"")</f>
        <v>1313 CT421 0.018"</v>
      </c>
      <c r="D899" s="306"/>
      <c r="E899" s="421">
        <v>22</v>
      </c>
      <c r="F899" s="421"/>
      <c r="G899" s="417" t="s">
        <v>1412</v>
      </c>
      <c r="H899" s="598">
        <v>14119206</v>
      </c>
      <c r="I899" s="322" t="s">
        <v>1302</v>
      </c>
      <c r="J899" s="418"/>
      <c r="K899" s="248"/>
      <c r="M899" s="248"/>
      <c r="AF899">
        <v>22</v>
      </c>
    </row>
    <row r="900" spans="1:32" x14ac:dyDescent="0.25">
      <c r="A900" s="308">
        <v>45315</v>
      </c>
      <c r="B900" s="416">
        <v>1146737</v>
      </c>
      <c r="C900" s="413" t="str">
        <f>IFERROR(INDEX(Table14[],MATCH($B900,Table14[SAPNo],0),3),"")</f>
        <v>1613 CT418 18-60</v>
      </c>
      <c r="D900" s="306"/>
      <c r="E900" s="421">
        <v>10</v>
      </c>
      <c r="F900" s="421"/>
      <c r="G900" s="417" t="s">
        <v>1412</v>
      </c>
      <c r="H900" s="598">
        <v>14119206</v>
      </c>
      <c r="I900" s="322" t="s">
        <v>1302</v>
      </c>
      <c r="J900" s="418"/>
      <c r="K900" s="248"/>
      <c r="M900" s="248"/>
      <c r="AF900">
        <v>10</v>
      </c>
    </row>
    <row r="901" spans="1:32" x14ac:dyDescent="0.25">
      <c r="A901" s="308">
        <v>45315</v>
      </c>
      <c r="B901" s="416">
        <v>1271790</v>
      </c>
      <c r="C901" s="413" t="str">
        <f>IFERROR(INDEX(Table14[],MATCH($B901,Table14[SAPNo],0),3),"")</f>
        <v xml:space="preserve">1613 CT170 18-60 </v>
      </c>
      <c r="D901" s="306"/>
      <c r="E901" s="421">
        <v>30</v>
      </c>
      <c r="F901" s="421"/>
      <c r="G901" s="417" t="s">
        <v>1412</v>
      </c>
      <c r="H901" s="598">
        <v>14119206</v>
      </c>
      <c r="I901" s="322" t="s">
        <v>1302</v>
      </c>
      <c r="J901" s="418"/>
      <c r="K901" s="248"/>
      <c r="M901" s="248"/>
      <c r="AF901">
        <v>30</v>
      </c>
    </row>
    <row r="902" spans="1:32" x14ac:dyDescent="0.25">
      <c r="A902" s="308">
        <v>45315</v>
      </c>
      <c r="B902" s="416">
        <v>871781</v>
      </c>
      <c r="C902" s="413" t="str">
        <f>IFERROR(INDEX(Table14[],MATCH($B902,Table14[SAPNo],0),3),"")</f>
        <v>Round 1313 CT200  0.018" (B)</v>
      </c>
      <c r="D902" s="306"/>
      <c r="E902" s="421">
        <v>5</v>
      </c>
      <c r="F902" s="421"/>
      <c r="G902" s="417" t="s">
        <v>1412</v>
      </c>
      <c r="H902" s="598">
        <v>14119206</v>
      </c>
      <c r="I902" s="322" t="s">
        <v>1302</v>
      </c>
      <c r="J902" s="418"/>
      <c r="K902" s="248"/>
      <c r="M902" s="248"/>
      <c r="AF902">
        <v>5</v>
      </c>
    </row>
    <row r="903" spans="1:32" x14ac:dyDescent="0.25">
      <c r="A903" s="308">
        <v>45315</v>
      </c>
      <c r="B903" s="416">
        <v>1100751</v>
      </c>
      <c r="C903" s="413" t="str">
        <f>IFERROR(INDEX(Table14[],MATCH($B903,Table14[SAPNo],0),3),"")</f>
        <v>1313 CT421 0.018"</v>
      </c>
      <c r="D903" s="306"/>
      <c r="E903" s="421">
        <v>22</v>
      </c>
      <c r="F903" s="421"/>
      <c r="G903" s="417" t="s">
        <v>1413</v>
      </c>
      <c r="H903" s="598">
        <v>14119208</v>
      </c>
      <c r="I903" s="322" t="s">
        <v>1302</v>
      </c>
      <c r="J903" s="418"/>
      <c r="K903" s="248"/>
      <c r="M903" s="248"/>
      <c r="AF903">
        <v>22</v>
      </c>
    </row>
    <row r="904" spans="1:32" x14ac:dyDescent="0.25">
      <c r="A904" s="308">
        <v>45315</v>
      </c>
      <c r="B904" s="416">
        <v>1271790</v>
      </c>
      <c r="C904" s="413" t="str">
        <f>IFERROR(INDEX(Table14[],MATCH($B904,Table14[SAPNo],0),3),"")</f>
        <v xml:space="preserve">1613 CT170 18-60 </v>
      </c>
      <c r="D904" s="306"/>
      <c r="E904" s="421">
        <v>30</v>
      </c>
      <c r="F904" s="421"/>
      <c r="G904" s="417" t="s">
        <v>1413</v>
      </c>
      <c r="H904" s="598">
        <v>14119208</v>
      </c>
      <c r="I904" s="322" t="s">
        <v>1302</v>
      </c>
      <c r="J904" s="418"/>
      <c r="K904" s="248"/>
      <c r="M904" s="248"/>
      <c r="AF904">
        <v>30</v>
      </c>
    </row>
    <row r="905" spans="1:32" x14ac:dyDescent="0.25">
      <c r="A905" s="308">
        <v>45315</v>
      </c>
      <c r="B905" s="416">
        <v>1146737</v>
      </c>
      <c r="C905" s="413" t="str">
        <f>IFERROR(INDEX(Table14[],MATCH($B905,Table14[SAPNo],0),3),"")</f>
        <v>1613 CT418 18-60</v>
      </c>
      <c r="D905" s="306"/>
      <c r="E905" s="421">
        <v>10</v>
      </c>
      <c r="F905" s="421"/>
      <c r="G905" s="417" t="s">
        <v>1413</v>
      </c>
      <c r="H905" s="598">
        <v>14119208</v>
      </c>
      <c r="I905" s="322" t="s">
        <v>1302</v>
      </c>
      <c r="J905" s="418"/>
      <c r="K905" s="248"/>
      <c r="M905" s="248"/>
      <c r="AF905">
        <v>10</v>
      </c>
    </row>
    <row r="906" spans="1:32" x14ac:dyDescent="0.25">
      <c r="A906" s="308">
        <v>45315</v>
      </c>
      <c r="B906" s="416">
        <v>871781</v>
      </c>
      <c r="C906" s="413" t="str">
        <f>IFERROR(INDEX(Table14[],MATCH($B906,Table14[SAPNo],0),3),"")</f>
        <v>Round 1313 CT200  0.018" (B)</v>
      </c>
      <c r="D906" s="306"/>
      <c r="E906" s="421">
        <v>5</v>
      </c>
      <c r="F906" s="421"/>
      <c r="G906" s="417" t="s">
        <v>1413</v>
      </c>
      <c r="H906" s="598">
        <v>14119208</v>
      </c>
      <c r="I906" s="322" t="s">
        <v>1302</v>
      </c>
      <c r="J906" s="418"/>
      <c r="K906" s="248"/>
      <c r="M906" s="248"/>
      <c r="AF906">
        <v>5</v>
      </c>
    </row>
    <row r="907" spans="1:32" x14ac:dyDescent="0.25">
      <c r="A907" s="308">
        <v>45315</v>
      </c>
      <c r="B907" s="416">
        <v>1209410</v>
      </c>
      <c r="C907" s="413" t="str">
        <f>IFERROR(INDEX(Table14[],MATCH($B907,Table14[SAPNo],0),3),"")</f>
        <v>1613 CT430MV3 U TBO</v>
      </c>
      <c r="D907" s="306"/>
      <c r="E907" s="421">
        <v>10</v>
      </c>
      <c r="F907" s="421"/>
      <c r="G907" s="417" t="s">
        <v>1413</v>
      </c>
      <c r="H907" s="598">
        <v>14119208</v>
      </c>
      <c r="I907" s="322" t="s">
        <v>1302</v>
      </c>
      <c r="J907" s="418"/>
      <c r="K907" s="248"/>
      <c r="M907" s="248"/>
      <c r="AF907">
        <v>10</v>
      </c>
    </row>
    <row r="908" spans="1:32" x14ac:dyDescent="0.25">
      <c r="A908" s="308">
        <v>45315</v>
      </c>
      <c r="B908" s="416">
        <v>1208601</v>
      </c>
      <c r="C908" s="413" t="str">
        <f>IFERROR(INDEX(Table14[],MATCH($B908,Table14[SAPNo],0),3),"")</f>
        <v>1613 CT418 U-60</v>
      </c>
      <c r="D908" s="306"/>
      <c r="E908" s="421">
        <v>8</v>
      </c>
      <c r="F908" s="421"/>
      <c r="G908" s="417" t="s">
        <v>1414</v>
      </c>
      <c r="H908" s="598">
        <v>14109689</v>
      </c>
      <c r="I908" s="322" t="s">
        <v>1273</v>
      </c>
      <c r="J908" s="418"/>
      <c r="K908" s="248"/>
      <c r="M908" s="248"/>
      <c r="AF908">
        <v>8</v>
      </c>
    </row>
    <row r="909" spans="1:32" x14ac:dyDescent="0.25">
      <c r="A909" s="308">
        <v>45315</v>
      </c>
      <c r="B909" s="416">
        <v>1146737</v>
      </c>
      <c r="C909" s="413" t="str">
        <f>IFERROR(INDEX(Table14[],MATCH($B909,Table14[SAPNo],0),3),"")</f>
        <v>1613 CT418 18-60</v>
      </c>
      <c r="D909" s="306"/>
      <c r="E909" s="421">
        <v>6</v>
      </c>
      <c r="F909" s="421"/>
      <c r="G909" s="417" t="s">
        <v>1414</v>
      </c>
      <c r="H909" s="598">
        <v>14109689</v>
      </c>
      <c r="I909" s="322" t="s">
        <v>1273</v>
      </c>
      <c r="J909" s="418"/>
      <c r="K909" s="248"/>
      <c r="M909" s="248"/>
      <c r="AF909">
        <v>6</v>
      </c>
    </row>
    <row r="910" spans="1:32" x14ac:dyDescent="0.25">
      <c r="A910" s="308">
        <v>45315</v>
      </c>
      <c r="B910" s="416">
        <v>1271790</v>
      </c>
      <c r="C910" s="413" t="str">
        <f>IFERROR(INDEX(Table14[],MATCH($B910,Table14[SAPNo],0),3),"")</f>
        <v xml:space="preserve">1613 CT170 18-60 </v>
      </c>
      <c r="D910" s="306"/>
      <c r="E910" s="421">
        <v>17</v>
      </c>
      <c r="F910" s="421"/>
      <c r="G910" s="417" t="s">
        <v>1414</v>
      </c>
      <c r="H910" s="598">
        <v>14109689</v>
      </c>
      <c r="I910" s="322" t="s">
        <v>1273</v>
      </c>
      <c r="J910" s="418"/>
      <c r="K910" s="248"/>
      <c r="M910" s="248"/>
      <c r="AF910">
        <v>17</v>
      </c>
    </row>
    <row r="911" spans="1:32" x14ac:dyDescent="0.25">
      <c r="A911" s="308">
        <v>45315</v>
      </c>
      <c r="B911" s="416">
        <v>418525</v>
      </c>
      <c r="C911" s="413" t="str">
        <f>IFERROR(INDEX(Table14[],MATCH($B911,Table14[SAPNo],0),3),"")</f>
        <v>Drop In 1308 CT31   (B)</v>
      </c>
      <c r="D911" s="306"/>
      <c r="E911" s="421">
        <v>6</v>
      </c>
      <c r="F911" s="421"/>
      <c r="G911" s="417" t="s">
        <v>1414</v>
      </c>
      <c r="H911" s="598">
        <v>14109689</v>
      </c>
      <c r="I911" s="322" t="s">
        <v>1273</v>
      </c>
      <c r="J911" s="418"/>
      <c r="K911" s="248"/>
      <c r="M911" s="248"/>
      <c r="AF911">
        <v>6</v>
      </c>
    </row>
    <row r="912" spans="1:32" x14ac:dyDescent="0.25">
      <c r="A912" s="320">
        <v>45315</v>
      </c>
      <c r="B912" s="419">
        <v>1078377</v>
      </c>
      <c r="C912" s="413" t="str">
        <f>IFERROR(INDEX(Table14[],MATCH($B912,Table14[SAPNo],0),3),"")</f>
        <v>13MM CT221 R1</v>
      </c>
      <c r="D912" s="306"/>
      <c r="E912" s="421">
        <v>15</v>
      </c>
      <c r="F912" s="421"/>
      <c r="G912" s="420" t="s">
        <v>1414</v>
      </c>
      <c r="H912" s="599">
        <v>14109689</v>
      </c>
      <c r="I912" s="322" t="s">
        <v>1273</v>
      </c>
      <c r="J912" s="421"/>
      <c r="K912" s="422"/>
      <c r="M912" s="422"/>
      <c r="AF912">
        <v>15</v>
      </c>
    </row>
    <row r="913" spans="1:32" x14ac:dyDescent="0.25">
      <c r="A913" s="308">
        <v>45316</v>
      </c>
      <c r="B913" s="416">
        <v>1271790</v>
      </c>
      <c r="C913" s="413" t="str">
        <f>IFERROR(INDEX(Table14[],MATCH($B913,Table14[SAPNo],0),3),"")</f>
        <v xml:space="preserve">1613 CT170 18-60 </v>
      </c>
      <c r="D913" s="306"/>
      <c r="E913" s="421">
        <v>30</v>
      </c>
      <c r="F913" s="421"/>
      <c r="G913" s="417" t="s">
        <v>1415</v>
      </c>
      <c r="H913" s="598">
        <v>14119205</v>
      </c>
      <c r="I913" s="322" t="s">
        <v>1302</v>
      </c>
      <c r="J913" s="418"/>
      <c r="K913" s="248"/>
      <c r="M913" s="248"/>
      <c r="AF913">
        <v>30</v>
      </c>
    </row>
    <row r="914" spans="1:32" x14ac:dyDescent="0.25">
      <c r="A914" s="308">
        <v>45316</v>
      </c>
      <c r="B914" s="416">
        <v>871781</v>
      </c>
      <c r="C914" s="413" t="str">
        <f>IFERROR(INDEX(Table14[],MATCH($B914,Table14[SAPNo],0),3),"")</f>
        <v>Round 1313 CT200  0.018" (B)</v>
      </c>
      <c r="D914" s="306"/>
      <c r="E914" s="421">
        <v>5</v>
      </c>
      <c r="F914" s="421"/>
      <c r="G914" s="417" t="s">
        <v>1415</v>
      </c>
      <c r="H914" s="598">
        <v>14119205</v>
      </c>
      <c r="I914" s="322" t="s">
        <v>1302</v>
      </c>
      <c r="J914" s="418"/>
      <c r="K914" s="248"/>
      <c r="M914" s="248"/>
      <c r="AF914">
        <v>5</v>
      </c>
    </row>
    <row r="915" spans="1:32" x14ac:dyDescent="0.25">
      <c r="A915" s="308">
        <v>45316</v>
      </c>
      <c r="B915" s="416">
        <v>1146737</v>
      </c>
      <c r="C915" s="413" t="str">
        <f>IFERROR(INDEX(Table14[],MATCH($B915,Table14[SAPNo],0),3),"")</f>
        <v>1613 CT418 18-60</v>
      </c>
      <c r="D915" s="306"/>
      <c r="E915" s="421">
        <v>10</v>
      </c>
      <c r="F915" s="421"/>
      <c r="G915" s="417" t="s">
        <v>1415</v>
      </c>
      <c r="H915" s="598">
        <v>14119205</v>
      </c>
      <c r="I915" s="322" t="s">
        <v>1302</v>
      </c>
      <c r="J915" s="418"/>
      <c r="K915" s="248"/>
      <c r="M915" s="248"/>
      <c r="AF915">
        <v>10</v>
      </c>
    </row>
    <row r="916" spans="1:32" x14ac:dyDescent="0.25">
      <c r="A916" s="308">
        <v>45316</v>
      </c>
      <c r="B916" s="416">
        <v>1209410</v>
      </c>
      <c r="C916" s="413" t="str">
        <f>IFERROR(INDEX(Table14[],MATCH($B916,Table14[SAPNo],0),3),"")</f>
        <v>1613 CT430MV3 U TBO</v>
      </c>
      <c r="D916" s="306"/>
      <c r="E916" s="421">
        <v>10</v>
      </c>
      <c r="F916" s="421"/>
      <c r="G916" s="417" t="s">
        <v>1415</v>
      </c>
      <c r="H916" s="598">
        <v>14119205</v>
      </c>
      <c r="I916" s="322" t="s">
        <v>1302</v>
      </c>
      <c r="J916" s="418"/>
      <c r="K916" s="248"/>
      <c r="M916" s="248"/>
      <c r="AF916">
        <v>10</v>
      </c>
    </row>
    <row r="917" spans="1:32" x14ac:dyDescent="0.25">
      <c r="A917" s="308">
        <v>45316</v>
      </c>
      <c r="B917" s="416">
        <v>1100751</v>
      </c>
      <c r="C917" s="413" t="str">
        <f>IFERROR(INDEX(Table14[],MATCH($B917,Table14[SAPNo],0),3),"")</f>
        <v>1313 CT421 0.018"</v>
      </c>
      <c r="D917" s="306"/>
      <c r="E917" s="421">
        <v>22</v>
      </c>
      <c r="F917" s="421"/>
      <c r="G917" s="417" t="s">
        <v>1415</v>
      </c>
      <c r="H917" s="598">
        <v>14119205</v>
      </c>
      <c r="I917" s="322" t="s">
        <v>1302</v>
      </c>
      <c r="J917" s="418"/>
      <c r="K917" s="248"/>
      <c r="M917" s="248"/>
      <c r="AF917">
        <v>22</v>
      </c>
    </row>
    <row r="918" spans="1:32" x14ac:dyDescent="0.25">
      <c r="A918" s="308">
        <v>45316</v>
      </c>
      <c r="B918" s="416">
        <v>1100751</v>
      </c>
      <c r="C918" s="413" t="str">
        <f>IFERROR(INDEX(Table14[],MATCH($B918,Table14[SAPNo],0),3),"")</f>
        <v>1313 CT421 0.018"</v>
      </c>
      <c r="D918" s="306"/>
      <c r="E918" s="421">
        <v>22</v>
      </c>
      <c r="F918" s="421"/>
      <c r="G918" s="417" t="s">
        <v>1416</v>
      </c>
      <c r="H918" s="598">
        <v>14119207</v>
      </c>
      <c r="I918" s="322" t="s">
        <v>1302</v>
      </c>
      <c r="J918" s="418"/>
      <c r="K918" s="248"/>
      <c r="M918" s="248"/>
      <c r="AF918">
        <v>22</v>
      </c>
    </row>
    <row r="919" spans="1:32" x14ac:dyDescent="0.25">
      <c r="A919" s="308">
        <v>45316</v>
      </c>
      <c r="B919" s="416">
        <v>1146737</v>
      </c>
      <c r="C919" s="413" t="str">
        <f>IFERROR(INDEX(Table14[],MATCH($B919,Table14[SAPNo],0),3),"")</f>
        <v>1613 CT418 18-60</v>
      </c>
      <c r="D919" s="306"/>
      <c r="E919" s="421">
        <v>10</v>
      </c>
      <c r="F919" s="421"/>
      <c r="G919" s="417" t="s">
        <v>1416</v>
      </c>
      <c r="H919" s="598">
        <v>14119207</v>
      </c>
      <c r="I919" s="322" t="s">
        <v>1302</v>
      </c>
      <c r="J919" s="418"/>
      <c r="K919" s="248"/>
      <c r="M919" s="248"/>
      <c r="AF919">
        <v>10</v>
      </c>
    </row>
    <row r="920" spans="1:32" x14ac:dyDescent="0.25">
      <c r="A920" s="308">
        <v>45316</v>
      </c>
      <c r="B920" s="416">
        <v>1271790</v>
      </c>
      <c r="C920" s="413" t="str">
        <f>IFERROR(INDEX(Table14[],MATCH($B920,Table14[SAPNo],0),3),"")</f>
        <v xml:space="preserve">1613 CT170 18-60 </v>
      </c>
      <c r="D920" s="306"/>
      <c r="E920" s="421">
        <v>30</v>
      </c>
      <c r="F920" s="421"/>
      <c r="G920" s="417" t="s">
        <v>1416</v>
      </c>
      <c r="H920" s="598">
        <v>14119207</v>
      </c>
      <c r="I920" s="322" t="s">
        <v>1302</v>
      </c>
      <c r="J920" s="418"/>
      <c r="K920" s="248"/>
      <c r="M920" s="248"/>
      <c r="AF920">
        <v>30</v>
      </c>
    </row>
    <row r="921" spans="1:32" x14ac:dyDescent="0.25">
      <c r="A921" s="308">
        <v>45316</v>
      </c>
      <c r="B921" s="416">
        <v>871781</v>
      </c>
      <c r="C921" s="413" t="str">
        <f>IFERROR(INDEX(Table14[],MATCH($B921,Table14[SAPNo],0),3),"")</f>
        <v>Round 1313 CT200  0.018" (B)</v>
      </c>
      <c r="D921" s="306"/>
      <c r="E921" s="421">
        <v>5</v>
      </c>
      <c r="F921" s="421"/>
      <c r="G921" s="417" t="s">
        <v>1416</v>
      </c>
      <c r="H921" s="598">
        <v>14119207</v>
      </c>
      <c r="I921" s="322" t="s">
        <v>1302</v>
      </c>
      <c r="J921" s="418"/>
      <c r="K921" s="248"/>
      <c r="M921" s="248"/>
      <c r="AF921">
        <v>5</v>
      </c>
    </row>
    <row r="922" spans="1:32" x14ac:dyDescent="0.25">
      <c r="A922" s="308">
        <v>45316</v>
      </c>
      <c r="B922" s="416">
        <v>1209410</v>
      </c>
      <c r="C922" s="413" t="str">
        <f>IFERROR(INDEX(Table14[],MATCH($B922,Table14[SAPNo],0),3),"")</f>
        <v>1613 CT430MV3 U TBO</v>
      </c>
      <c r="D922" s="306"/>
      <c r="E922" s="421">
        <v>10</v>
      </c>
      <c r="F922" s="421"/>
      <c r="G922" s="417" t="s">
        <v>1416</v>
      </c>
      <c r="H922" s="598">
        <v>14119207</v>
      </c>
      <c r="I922" s="322" t="s">
        <v>1302</v>
      </c>
      <c r="J922" s="418"/>
      <c r="K922" s="248"/>
      <c r="M922" s="248"/>
      <c r="AF922">
        <v>10</v>
      </c>
    </row>
    <row r="923" spans="1:32" x14ac:dyDescent="0.25">
      <c r="A923" s="308">
        <v>45316</v>
      </c>
      <c r="B923" s="416">
        <v>1271790</v>
      </c>
      <c r="C923" s="413" t="str">
        <f>IFERROR(INDEX(Table14[],MATCH($B923,Table14[SAPNo],0),3),"")</f>
        <v xml:space="preserve">1613 CT170 18-60 </v>
      </c>
      <c r="D923" s="306"/>
      <c r="E923" s="421">
        <v>53</v>
      </c>
      <c r="F923" s="421"/>
      <c r="G923" s="417" t="s">
        <v>1417</v>
      </c>
      <c r="H923" s="598">
        <v>14109683</v>
      </c>
      <c r="I923" s="322" t="s">
        <v>1398</v>
      </c>
      <c r="J923" s="418"/>
      <c r="K923" s="248"/>
      <c r="M923" s="248"/>
      <c r="AF923">
        <v>53</v>
      </c>
    </row>
    <row r="924" spans="1:32" x14ac:dyDescent="0.25">
      <c r="A924" s="308">
        <v>45316</v>
      </c>
      <c r="B924" s="416">
        <v>418525</v>
      </c>
      <c r="C924" s="413" t="str">
        <f>IFERROR(INDEX(Table14[],MATCH($B924,Table14[SAPNo],0),3),"")</f>
        <v>Drop In 1308 CT31   (B)</v>
      </c>
      <c r="D924" s="306"/>
      <c r="E924" s="421">
        <v>8</v>
      </c>
      <c r="F924" s="421"/>
      <c r="G924" s="417" t="s">
        <v>1417</v>
      </c>
      <c r="H924" s="598">
        <v>14109683</v>
      </c>
      <c r="I924" s="322" t="s">
        <v>1398</v>
      </c>
      <c r="J924" s="418"/>
      <c r="K924" s="248"/>
      <c r="M924" s="248"/>
      <c r="AF924">
        <v>8</v>
      </c>
    </row>
    <row r="925" spans="1:32" x14ac:dyDescent="0.25">
      <c r="A925" s="308">
        <v>45316</v>
      </c>
      <c r="B925" s="416">
        <v>647435</v>
      </c>
      <c r="C925" s="413" t="str">
        <f>IFERROR(INDEX(Table14[],MATCH($B925,Table14[SAPNo],0),3),"")</f>
        <v>Round 1608 CT200  0.018" (B)</v>
      </c>
      <c r="D925" s="306"/>
      <c r="E925" s="421">
        <v>16</v>
      </c>
      <c r="F925" s="421"/>
      <c r="G925" s="417" t="s">
        <v>1417</v>
      </c>
      <c r="H925" s="598">
        <v>14109683</v>
      </c>
      <c r="I925" s="322" t="s">
        <v>1398</v>
      </c>
      <c r="J925" s="418"/>
      <c r="K925" s="248"/>
      <c r="M925" s="248"/>
      <c r="AF925">
        <v>16</v>
      </c>
    </row>
    <row r="926" spans="1:32" x14ac:dyDescent="0.25">
      <c r="A926" s="308">
        <v>45316</v>
      </c>
      <c r="B926" s="416">
        <v>1146737</v>
      </c>
      <c r="C926" s="413" t="str">
        <f>IFERROR(INDEX(Table14[],MATCH($B926,Table14[SAPNo],0),3),"")</f>
        <v>1613 CT418 18-60</v>
      </c>
      <c r="D926" s="306"/>
      <c r="E926" s="421">
        <v>39</v>
      </c>
      <c r="F926" s="421"/>
      <c r="G926" s="417" t="s">
        <v>1417</v>
      </c>
      <c r="H926" s="598">
        <v>14109683</v>
      </c>
      <c r="I926" s="322" t="s">
        <v>1398</v>
      </c>
      <c r="J926" s="418"/>
      <c r="K926" s="248"/>
      <c r="M926" s="248"/>
      <c r="AF926">
        <v>39</v>
      </c>
    </row>
    <row r="927" spans="1:32" x14ac:dyDescent="0.25">
      <c r="A927" s="308">
        <v>45316</v>
      </c>
      <c r="B927" s="416">
        <v>647436</v>
      </c>
      <c r="C927" s="413" t="str">
        <f>IFERROR(INDEX(Table14[],MATCH($B927,Table14[SAPNo],0),3),"")</f>
        <v>Round 1613 CT200  0.018" (B)</v>
      </c>
      <c r="D927" s="306"/>
      <c r="E927" s="421">
        <v>64</v>
      </c>
      <c r="F927" s="421"/>
      <c r="G927" s="417" t="s">
        <v>1417</v>
      </c>
      <c r="H927" s="598">
        <v>14109683</v>
      </c>
      <c r="I927" s="322" t="s">
        <v>1398</v>
      </c>
      <c r="J927" s="418"/>
      <c r="K927" s="248"/>
      <c r="M927" s="248"/>
      <c r="AF927">
        <v>64</v>
      </c>
    </row>
    <row r="928" spans="1:32" x14ac:dyDescent="0.25">
      <c r="A928" s="308">
        <v>45316</v>
      </c>
      <c r="B928" s="416">
        <v>871781</v>
      </c>
      <c r="C928" s="413" t="str">
        <f>IFERROR(INDEX(Table14[],MATCH($B928,Table14[SAPNo],0),3),"")</f>
        <v>Round 1313 CT200  0.018" (B)</v>
      </c>
      <c r="D928" s="306"/>
      <c r="E928" s="421">
        <v>8</v>
      </c>
      <c r="F928" s="421"/>
      <c r="G928" s="417" t="s">
        <v>1418</v>
      </c>
      <c r="H928" s="598">
        <v>14093079</v>
      </c>
      <c r="I928" s="322" t="s">
        <v>1299</v>
      </c>
      <c r="J928" s="418"/>
      <c r="K928" s="248"/>
      <c r="M928" s="248"/>
      <c r="AF928">
        <v>8</v>
      </c>
    </row>
    <row r="929" spans="1:32" x14ac:dyDescent="0.25">
      <c r="A929" s="308">
        <v>45316</v>
      </c>
      <c r="B929" s="416">
        <v>708306</v>
      </c>
      <c r="C929" s="413" t="str">
        <f>IFERROR(INDEX(Table14[],MATCH($B929,Table14[SAPNo],0),3),"")</f>
        <v>Round 1913 CT200  0.018" (B)</v>
      </c>
      <c r="D929" s="306"/>
      <c r="E929" s="421">
        <v>34</v>
      </c>
      <c r="F929" s="421"/>
      <c r="G929" s="417" t="s">
        <v>1418</v>
      </c>
      <c r="H929" s="598">
        <v>14093079</v>
      </c>
      <c r="I929" s="322" t="s">
        <v>1299</v>
      </c>
      <c r="J929" s="418"/>
      <c r="K929" s="248"/>
      <c r="M929" s="248"/>
      <c r="AF929">
        <v>34</v>
      </c>
    </row>
    <row r="930" spans="1:32" x14ac:dyDescent="0.25">
      <c r="A930" s="308">
        <v>45316</v>
      </c>
      <c r="B930" s="416">
        <v>1130198</v>
      </c>
      <c r="C930" s="413" t="str">
        <f>IFERROR(INDEX(Table14[],MATCH($B930,Table14[SAPNo],0),3),"")</f>
        <v>Round 1613 CT182  0.018" (S)</v>
      </c>
      <c r="D930" s="306"/>
      <c r="E930" s="421">
        <v>9</v>
      </c>
      <c r="F930" s="421"/>
      <c r="G930" s="417" t="s">
        <v>1418</v>
      </c>
      <c r="H930" s="598">
        <v>14093079</v>
      </c>
      <c r="I930" s="322" t="s">
        <v>1299</v>
      </c>
      <c r="J930" s="418"/>
      <c r="K930" s="248"/>
      <c r="M930" s="248"/>
      <c r="AF930">
        <v>9</v>
      </c>
    </row>
    <row r="931" spans="1:32" x14ac:dyDescent="0.25">
      <c r="A931" s="320">
        <v>45316</v>
      </c>
      <c r="B931" s="419">
        <v>1100759</v>
      </c>
      <c r="C931" s="413" t="str">
        <f>IFERROR(INDEX(Table14[],MATCH($B931,Table14[SAPNo],0),3),"")</f>
        <v>1913 CT421 0.018"</v>
      </c>
      <c r="D931" s="306"/>
      <c r="E931" s="421">
        <v>48</v>
      </c>
      <c r="F931" s="421"/>
      <c r="G931" s="420" t="s">
        <v>1418</v>
      </c>
      <c r="H931" s="599">
        <v>14093079</v>
      </c>
      <c r="I931" s="322" t="s">
        <v>1299</v>
      </c>
      <c r="J931" s="421"/>
      <c r="K931" s="422"/>
      <c r="M931" s="422"/>
      <c r="AF931">
        <v>48</v>
      </c>
    </row>
    <row r="932" spans="1:32" x14ac:dyDescent="0.25">
      <c r="A932" s="308">
        <v>45323</v>
      </c>
      <c r="B932" s="416">
        <v>1145493</v>
      </c>
      <c r="C932" s="413" t="str">
        <f>IFERROR(INDEX(Table14[],MATCH($B932,Table14[SAPNo],0),3),"")</f>
        <v>Round 1313 CT427  10C (S)</v>
      </c>
      <c r="D932" s="306"/>
      <c r="E932" s="421">
        <v>0</v>
      </c>
      <c r="F932" s="421"/>
      <c r="G932" s="417">
        <v>20241012</v>
      </c>
      <c r="H932" s="598" t="s">
        <v>1419</v>
      </c>
      <c r="I932" s="322" t="s">
        <v>1266</v>
      </c>
      <c r="J932" s="418">
        <v>2</v>
      </c>
      <c r="K932" s="248"/>
      <c r="M932" s="248"/>
      <c r="AF932">
        <v>0</v>
      </c>
    </row>
    <row r="933" spans="1:32" x14ac:dyDescent="0.25">
      <c r="A933" s="308">
        <v>45323</v>
      </c>
      <c r="B933" s="416">
        <v>703670</v>
      </c>
      <c r="C933" s="413" t="str">
        <f>IFERROR(INDEX(Table14[],MATCH($B933,Table14[SAPNo],0),3),"")</f>
        <v>Round 1313 CT200  10C (B)</v>
      </c>
      <c r="D933" s="306"/>
      <c r="E933" s="421">
        <v>0</v>
      </c>
      <c r="F933" s="421"/>
      <c r="G933" s="417">
        <v>20241014</v>
      </c>
      <c r="H933" s="598" t="s">
        <v>1420</v>
      </c>
      <c r="I933" s="322" t="s">
        <v>1115</v>
      </c>
      <c r="J933" s="418">
        <v>1</v>
      </c>
      <c r="K933" s="248"/>
      <c r="M933" s="248"/>
      <c r="AF933">
        <v>0</v>
      </c>
    </row>
    <row r="934" spans="1:32" x14ac:dyDescent="0.25">
      <c r="A934" s="308">
        <v>45323</v>
      </c>
      <c r="B934" s="416">
        <v>418525</v>
      </c>
      <c r="C934" s="413" t="str">
        <f>IFERROR(INDEX(Table14[],MATCH($B934,Table14[SAPNo],0),3),"")</f>
        <v>Drop In 1308 CT31   (B)</v>
      </c>
      <c r="D934" s="306"/>
      <c r="E934" s="421">
        <v>7</v>
      </c>
      <c r="F934" s="421"/>
      <c r="G934" s="417">
        <v>20241012</v>
      </c>
      <c r="H934" s="598" t="s">
        <v>1419</v>
      </c>
      <c r="I934" s="322" t="s">
        <v>1266</v>
      </c>
      <c r="J934" s="418"/>
      <c r="K934" s="248"/>
      <c r="M934" s="248"/>
      <c r="AF934">
        <v>7</v>
      </c>
    </row>
    <row r="935" spans="1:32" x14ac:dyDescent="0.25">
      <c r="A935" s="308">
        <v>45323</v>
      </c>
      <c r="B935" s="416">
        <v>418525</v>
      </c>
      <c r="C935" s="413" t="str">
        <f>IFERROR(INDEX(Table14[],MATCH($B935,Table14[SAPNo],0),3),"")</f>
        <v>Drop In 1308 CT31   (B)</v>
      </c>
      <c r="D935" s="306"/>
      <c r="E935" s="421">
        <v>3</v>
      </c>
      <c r="F935" s="421"/>
      <c r="G935" s="417">
        <v>20241014</v>
      </c>
      <c r="H935" s="598" t="s">
        <v>1420</v>
      </c>
      <c r="I935" s="322" t="s">
        <v>1115</v>
      </c>
      <c r="J935" s="418"/>
      <c r="K935" s="248"/>
      <c r="M935" s="248"/>
      <c r="AF935">
        <v>3</v>
      </c>
    </row>
    <row r="936" spans="1:32" x14ac:dyDescent="0.25">
      <c r="A936" s="308">
        <v>45323</v>
      </c>
      <c r="B936" s="416">
        <v>1134751</v>
      </c>
      <c r="C936" s="413" t="str">
        <f>IFERROR(INDEX(Table14[],MATCH($B936,Table14[SAPNo],0),3),"")</f>
        <v xml:space="preserve"> 1308 CT182  0.01 (S)</v>
      </c>
      <c r="D936" s="306"/>
      <c r="E936" s="421">
        <v>1</v>
      </c>
      <c r="F936" s="421"/>
      <c r="G936" s="417">
        <v>20241017</v>
      </c>
      <c r="H936" s="598">
        <v>13497536</v>
      </c>
      <c r="I936" s="322" t="s">
        <v>1421</v>
      </c>
      <c r="J936" s="418"/>
      <c r="K936" s="248"/>
      <c r="M936" s="248"/>
      <c r="AF936">
        <v>1</v>
      </c>
    </row>
    <row r="937" spans="1:32" x14ac:dyDescent="0.25">
      <c r="A937" s="308">
        <v>45323</v>
      </c>
      <c r="B937" s="416">
        <v>1130198</v>
      </c>
      <c r="C937" s="413" t="str">
        <f>IFERROR(INDEX(Table14[],MATCH($B937,Table14[SAPNo],0),3),"")</f>
        <v>Round 1613 CT182  0.018" (S)</v>
      </c>
      <c r="D937" s="306"/>
      <c r="E937" s="421">
        <v>9</v>
      </c>
      <c r="F937" s="421"/>
      <c r="G937" s="417" t="s">
        <v>1422</v>
      </c>
      <c r="H937" s="598">
        <v>14109679</v>
      </c>
      <c r="I937" s="322" t="s">
        <v>1299</v>
      </c>
      <c r="J937" s="418"/>
      <c r="K937" s="248"/>
      <c r="M937" s="248"/>
      <c r="AF937">
        <v>9</v>
      </c>
    </row>
    <row r="938" spans="1:32" x14ac:dyDescent="0.25">
      <c r="A938" s="308">
        <v>45323</v>
      </c>
      <c r="B938" s="416">
        <v>871781</v>
      </c>
      <c r="C938" s="413" t="str">
        <f>IFERROR(INDEX(Table14[],MATCH($B938,Table14[SAPNo],0),3),"")</f>
        <v>Round 1313 CT200  0.018" (B)</v>
      </c>
      <c r="D938" s="306"/>
      <c r="E938" s="421">
        <v>8</v>
      </c>
      <c r="F938" s="421"/>
      <c r="G938" s="417" t="s">
        <v>1422</v>
      </c>
      <c r="H938" s="598">
        <v>14109679</v>
      </c>
      <c r="I938" s="322" t="s">
        <v>1299</v>
      </c>
      <c r="J938" s="418"/>
      <c r="K938" s="248"/>
      <c r="M938" s="248"/>
      <c r="AF938">
        <v>8</v>
      </c>
    </row>
    <row r="939" spans="1:32" x14ac:dyDescent="0.25">
      <c r="A939" s="308">
        <v>45323</v>
      </c>
      <c r="B939" s="416">
        <v>708306</v>
      </c>
      <c r="C939" s="413" t="str">
        <f>IFERROR(INDEX(Table14[],MATCH($B939,Table14[SAPNo],0),3),"")</f>
        <v>Round 1913 CT200  0.018" (B)</v>
      </c>
      <c r="D939" s="306"/>
      <c r="E939" s="421">
        <v>34</v>
      </c>
      <c r="F939" s="421"/>
      <c r="G939" s="417" t="s">
        <v>1422</v>
      </c>
      <c r="H939" s="598">
        <v>14109679</v>
      </c>
      <c r="I939" s="322" t="s">
        <v>1299</v>
      </c>
      <c r="J939" s="418"/>
      <c r="K939" s="248"/>
      <c r="M939" s="248"/>
      <c r="AF939">
        <v>34</v>
      </c>
    </row>
    <row r="940" spans="1:32" x14ac:dyDescent="0.25">
      <c r="A940" s="308">
        <v>45323</v>
      </c>
      <c r="B940" s="416">
        <v>1100759</v>
      </c>
      <c r="C940" s="413" t="str">
        <f>IFERROR(INDEX(Table14[],MATCH($B940,Table14[SAPNo],0),3),"")</f>
        <v>1913 CT421 0.018"</v>
      </c>
      <c r="D940" s="306"/>
      <c r="E940" s="421">
        <v>48</v>
      </c>
      <c r="F940" s="421"/>
      <c r="G940" s="417" t="s">
        <v>1422</v>
      </c>
      <c r="H940" s="598">
        <v>14109679</v>
      </c>
      <c r="I940" s="322" t="s">
        <v>1299</v>
      </c>
      <c r="J940" s="418"/>
      <c r="K940" s="248"/>
      <c r="M940" s="248"/>
      <c r="AF940">
        <v>48</v>
      </c>
    </row>
    <row r="941" spans="1:32" x14ac:dyDescent="0.25">
      <c r="A941" s="308">
        <v>45323</v>
      </c>
      <c r="B941" s="416">
        <v>1146737</v>
      </c>
      <c r="C941" s="413" t="str">
        <f>IFERROR(INDEX(Table14[],MATCH($B941,Table14[SAPNo],0),3),"")</f>
        <v>1613 CT418 18-60</v>
      </c>
      <c r="D941" s="306"/>
      <c r="E941" s="421">
        <v>39</v>
      </c>
      <c r="F941" s="421"/>
      <c r="G941" s="417" t="s">
        <v>1423</v>
      </c>
      <c r="H941" s="598">
        <v>14109684</v>
      </c>
      <c r="I941" s="322" t="s">
        <v>1398</v>
      </c>
      <c r="J941" s="418"/>
      <c r="K941" s="248"/>
      <c r="M941" s="248"/>
      <c r="AF941">
        <v>39</v>
      </c>
    </row>
    <row r="942" spans="1:32" x14ac:dyDescent="0.25">
      <c r="A942" s="308">
        <v>45323</v>
      </c>
      <c r="B942" s="416">
        <v>418525</v>
      </c>
      <c r="C942" s="413" t="str">
        <f>IFERROR(INDEX(Table14[],MATCH($B942,Table14[SAPNo],0),3),"")</f>
        <v>Drop In 1308 CT31   (B)</v>
      </c>
      <c r="D942" s="306"/>
      <c r="E942" s="421">
        <v>8</v>
      </c>
      <c r="F942" s="421"/>
      <c r="G942" s="417" t="s">
        <v>1423</v>
      </c>
      <c r="H942" s="598">
        <v>14109684</v>
      </c>
      <c r="I942" s="322" t="s">
        <v>1398</v>
      </c>
      <c r="J942" s="418"/>
      <c r="K942" s="248"/>
      <c r="M942" s="248"/>
      <c r="AF942">
        <v>8</v>
      </c>
    </row>
    <row r="943" spans="1:32" x14ac:dyDescent="0.25">
      <c r="A943" s="308">
        <v>45323</v>
      </c>
      <c r="B943" s="416">
        <v>1271790</v>
      </c>
      <c r="C943" s="413" t="str">
        <f>IFERROR(INDEX(Table14[],MATCH($B943,Table14[SAPNo],0),3),"")</f>
        <v xml:space="preserve">1613 CT170 18-60 </v>
      </c>
      <c r="D943" s="306"/>
      <c r="E943" s="421">
        <v>53</v>
      </c>
      <c r="F943" s="421"/>
      <c r="G943" s="417" t="s">
        <v>1423</v>
      </c>
      <c r="H943" s="598">
        <v>14109684</v>
      </c>
      <c r="I943" s="322" t="s">
        <v>1398</v>
      </c>
      <c r="J943" s="418"/>
      <c r="K943" s="248"/>
      <c r="M943" s="248"/>
      <c r="AF943">
        <v>53</v>
      </c>
    </row>
    <row r="944" spans="1:32" x14ac:dyDescent="0.25">
      <c r="A944" s="308">
        <v>45323</v>
      </c>
      <c r="B944" s="416">
        <v>647435</v>
      </c>
      <c r="C944" s="413" t="str">
        <f>IFERROR(INDEX(Table14[],MATCH($B944,Table14[SAPNo],0),3),"")</f>
        <v>Round 1608 CT200  0.018" (B)</v>
      </c>
      <c r="D944" s="306"/>
      <c r="E944" s="421">
        <v>16</v>
      </c>
      <c r="F944" s="421"/>
      <c r="G944" s="417" t="s">
        <v>1423</v>
      </c>
      <c r="H944" s="598">
        <v>14109684</v>
      </c>
      <c r="I944" s="322" t="s">
        <v>1398</v>
      </c>
      <c r="J944" s="418"/>
      <c r="K944" s="248"/>
      <c r="M944" s="248"/>
      <c r="AF944">
        <v>16</v>
      </c>
    </row>
    <row r="945" spans="1:32" x14ac:dyDescent="0.25">
      <c r="A945" s="308">
        <v>45323</v>
      </c>
      <c r="B945" s="416">
        <v>647436</v>
      </c>
      <c r="C945" s="413" t="str">
        <f>IFERROR(INDEX(Table14[],MATCH($B945,Table14[SAPNo],0),3),"")</f>
        <v>Round 1613 CT200  0.018" (B)</v>
      </c>
      <c r="D945" s="306"/>
      <c r="E945" s="421">
        <v>64</v>
      </c>
      <c r="F945" s="421"/>
      <c r="G945" s="417" t="s">
        <v>1423</v>
      </c>
      <c r="H945" s="598">
        <v>14109684</v>
      </c>
      <c r="I945" s="322" t="s">
        <v>1398</v>
      </c>
      <c r="J945" s="418"/>
      <c r="K945" s="248"/>
      <c r="M945" s="248"/>
      <c r="AF945">
        <v>64</v>
      </c>
    </row>
    <row r="946" spans="1:32" x14ac:dyDescent="0.25">
      <c r="A946" s="308">
        <v>45323</v>
      </c>
      <c r="B946" s="416">
        <v>647435</v>
      </c>
      <c r="C946" s="413" t="str">
        <f>IFERROR(INDEX(Table14[],MATCH($B946,Table14[SAPNo],0),3),"")</f>
        <v>Round 1608 CT200  0.018" (B)</v>
      </c>
      <c r="D946" s="306"/>
      <c r="E946" s="421">
        <v>16</v>
      </c>
      <c r="F946" s="421"/>
      <c r="G946" s="417" t="s">
        <v>1424</v>
      </c>
      <c r="H946" s="598">
        <v>14109685</v>
      </c>
      <c r="I946" s="322" t="s">
        <v>1398</v>
      </c>
      <c r="J946" s="418"/>
      <c r="K946" s="248"/>
      <c r="M946" s="248"/>
      <c r="AF946">
        <v>16</v>
      </c>
    </row>
    <row r="947" spans="1:32" x14ac:dyDescent="0.25">
      <c r="A947" s="308">
        <v>45323</v>
      </c>
      <c r="B947" s="416">
        <v>1271790</v>
      </c>
      <c r="C947" s="413" t="str">
        <f>IFERROR(INDEX(Table14[],MATCH($B947,Table14[SAPNo],0),3),"")</f>
        <v xml:space="preserve">1613 CT170 18-60 </v>
      </c>
      <c r="D947" s="306"/>
      <c r="E947" s="421">
        <v>53</v>
      </c>
      <c r="F947" s="421"/>
      <c r="G947" s="417" t="s">
        <v>1424</v>
      </c>
      <c r="H947" s="598">
        <v>14109685</v>
      </c>
      <c r="I947" s="322" t="s">
        <v>1398</v>
      </c>
      <c r="J947" s="418"/>
      <c r="K947" s="248"/>
      <c r="M947" s="248"/>
      <c r="AF947">
        <v>53</v>
      </c>
    </row>
    <row r="948" spans="1:32" x14ac:dyDescent="0.25">
      <c r="A948" s="308">
        <v>45323</v>
      </c>
      <c r="B948" s="416">
        <v>647436</v>
      </c>
      <c r="C948" s="413" t="str">
        <f>IFERROR(INDEX(Table14[],MATCH($B948,Table14[SAPNo],0),3),"")</f>
        <v>Round 1613 CT200  0.018" (B)</v>
      </c>
      <c r="D948" s="306"/>
      <c r="E948" s="421">
        <v>64</v>
      </c>
      <c r="F948" s="421"/>
      <c r="G948" s="417" t="s">
        <v>1424</v>
      </c>
      <c r="H948" s="598">
        <v>14109685</v>
      </c>
      <c r="I948" s="322" t="s">
        <v>1398</v>
      </c>
      <c r="J948" s="418"/>
      <c r="K948" s="248"/>
      <c r="M948" s="248"/>
      <c r="AF948">
        <v>64</v>
      </c>
    </row>
    <row r="949" spans="1:32" x14ac:dyDescent="0.25">
      <c r="A949" s="308">
        <v>45323</v>
      </c>
      <c r="B949" s="416">
        <v>1146737</v>
      </c>
      <c r="C949" s="413" t="str">
        <f>IFERROR(INDEX(Table14[],MATCH($B949,Table14[SAPNo],0),3),"")</f>
        <v>1613 CT418 18-60</v>
      </c>
      <c r="D949" s="306"/>
      <c r="E949" s="421">
        <v>39</v>
      </c>
      <c r="F949" s="421"/>
      <c r="G949" s="417" t="s">
        <v>1424</v>
      </c>
      <c r="H949" s="598">
        <v>14109685</v>
      </c>
      <c r="I949" s="322" t="s">
        <v>1398</v>
      </c>
      <c r="J949" s="418"/>
      <c r="K949" s="248"/>
      <c r="M949" s="248"/>
      <c r="AF949">
        <v>39</v>
      </c>
    </row>
    <row r="950" spans="1:32" x14ac:dyDescent="0.25">
      <c r="A950" s="308">
        <v>45323</v>
      </c>
      <c r="B950" s="416">
        <v>418525</v>
      </c>
      <c r="C950" s="413" t="str">
        <f>IFERROR(INDEX(Table14[],MATCH($B950,Table14[SAPNo],0),3),"")</f>
        <v>Drop In 1308 CT31   (B)</v>
      </c>
      <c r="D950" s="306"/>
      <c r="E950" s="421">
        <v>8</v>
      </c>
      <c r="F950" s="421"/>
      <c r="G950" s="417" t="s">
        <v>1424</v>
      </c>
      <c r="H950" s="598">
        <v>14109685</v>
      </c>
      <c r="I950" s="322" t="s">
        <v>1398</v>
      </c>
      <c r="J950" s="418"/>
      <c r="K950" s="248"/>
      <c r="M950" s="248"/>
      <c r="AF950">
        <v>8</v>
      </c>
    </row>
    <row r="951" spans="1:32" x14ac:dyDescent="0.25">
      <c r="A951" s="308">
        <v>45323</v>
      </c>
      <c r="B951" s="416">
        <v>418525</v>
      </c>
      <c r="C951" s="413" t="str">
        <f>IFERROR(INDEX(Table14[],MATCH($B951,Table14[SAPNo],0),3),"")</f>
        <v>Drop In 1308 CT31   (B)</v>
      </c>
      <c r="D951" s="306"/>
      <c r="E951" s="421">
        <v>8</v>
      </c>
      <c r="F951" s="421"/>
      <c r="G951" s="417" t="s">
        <v>1425</v>
      </c>
      <c r="H951" s="598">
        <v>14109686</v>
      </c>
      <c r="I951" s="322" t="s">
        <v>1398</v>
      </c>
      <c r="J951" s="418"/>
      <c r="K951" s="248"/>
      <c r="M951" s="248"/>
      <c r="AF951">
        <v>8</v>
      </c>
    </row>
    <row r="952" spans="1:32" x14ac:dyDescent="0.25">
      <c r="A952" s="308">
        <v>45323</v>
      </c>
      <c r="B952" s="416">
        <v>647435</v>
      </c>
      <c r="C952" s="413" t="str">
        <f>IFERROR(INDEX(Table14[],MATCH($B952,Table14[SAPNo],0),3),"")</f>
        <v>Round 1608 CT200  0.018" (B)</v>
      </c>
      <c r="D952" s="306"/>
      <c r="E952" s="421">
        <v>16</v>
      </c>
      <c r="F952" s="421"/>
      <c r="G952" s="417" t="s">
        <v>1425</v>
      </c>
      <c r="H952" s="598">
        <v>14109686</v>
      </c>
      <c r="I952" s="322" t="s">
        <v>1398</v>
      </c>
      <c r="J952" s="418"/>
      <c r="K952" s="248"/>
      <c r="M952" s="248"/>
      <c r="AF952">
        <v>16</v>
      </c>
    </row>
    <row r="953" spans="1:32" x14ac:dyDescent="0.25">
      <c r="A953" s="308">
        <v>45323</v>
      </c>
      <c r="B953" s="416">
        <v>1271790</v>
      </c>
      <c r="C953" s="413" t="str">
        <f>IFERROR(INDEX(Table14[],MATCH($B953,Table14[SAPNo],0),3),"")</f>
        <v xml:space="preserve">1613 CT170 18-60 </v>
      </c>
      <c r="D953" s="306"/>
      <c r="E953" s="421">
        <v>53</v>
      </c>
      <c r="F953" s="421"/>
      <c r="G953" s="417" t="s">
        <v>1425</v>
      </c>
      <c r="H953" s="598">
        <v>14109686</v>
      </c>
      <c r="I953" s="322" t="s">
        <v>1398</v>
      </c>
      <c r="J953" s="418"/>
      <c r="K953" s="248"/>
      <c r="M953" s="248"/>
      <c r="AF953">
        <v>53</v>
      </c>
    </row>
    <row r="954" spans="1:32" x14ac:dyDescent="0.25">
      <c r="A954" s="308">
        <v>45323</v>
      </c>
      <c r="B954" s="416">
        <v>647436</v>
      </c>
      <c r="C954" s="413" t="str">
        <f>IFERROR(INDEX(Table14[],MATCH($B954,Table14[SAPNo],0),3),"")</f>
        <v>Round 1613 CT200  0.018" (B)</v>
      </c>
      <c r="D954" s="306"/>
      <c r="E954" s="421">
        <v>64</v>
      </c>
      <c r="F954" s="421"/>
      <c r="G954" s="417" t="s">
        <v>1425</v>
      </c>
      <c r="H954" s="598">
        <v>14109686</v>
      </c>
      <c r="I954" s="322" t="s">
        <v>1398</v>
      </c>
      <c r="J954" s="418"/>
      <c r="K954" s="248"/>
      <c r="M954" s="248"/>
      <c r="AF954">
        <v>64</v>
      </c>
    </row>
    <row r="955" spans="1:32" x14ac:dyDescent="0.25">
      <c r="A955" s="308">
        <v>45323</v>
      </c>
      <c r="B955" s="416">
        <v>1146737</v>
      </c>
      <c r="C955" s="413" t="str">
        <f>IFERROR(INDEX(Table14[],MATCH($B955,Table14[SAPNo],0),3),"")</f>
        <v>1613 CT418 18-60</v>
      </c>
      <c r="D955" s="306"/>
      <c r="E955" s="421">
        <v>39</v>
      </c>
      <c r="F955" s="421"/>
      <c r="G955" s="417" t="s">
        <v>1425</v>
      </c>
      <c r="H955" s="598">
        <v>14109686</v>
      </c>
      <c r="I955" s="322" t="s">
        <v>1398</v>
      </c>
      <c r="J955" s="418"/>
      <c r="K955" s="248"/>
      <c r="M955" s="248"/>
      <c r="AF955">
        <v>39</v>
      </c>
    </row>
    <row r="956" spans="1:32" x14ac:dyDescent="0.25">
      <c r="A956" s="308">
        <v>45323</v>
      </c>
      <c r="B956" s="416">
        <v>1228503</v>
      </c>
      <c r="C956" s="413" t="str">
        <f>IFERROR(INDEX(Table14[],MATCH($B956,Table14[SAPNo],0),3),"")</f>
        <v>1618 CT182 U-60 Ring</v>
      </c>
      <c r="D956" s="306"/>
      <c r="E956" s="421">
        <v>10</v>
      </c>
      <c r="F956" s="421"/>
      <c r="G956" s="417" t="s">
        <v>1426</v>
      </c>
      <c r="H956" s="598">
        <v>14093057</v>
      </c>
      <c r="I956" s="322" t="s">
        <v>1275</v>
      </c>
      <c r="J956" s="418"/>
      <c r="K956" s="248"/>
      <c r="M956" s="248"/>
      <c r="AF956">
        <v>10</v>
      </c>
    </row>
    <row r="957" spans="1:32" x14ac:dyDescent="0.25">
      <c r="A957" s="308">
        <v>45323</v>
      </c>
      <c r="B957" s="416">
        <v>1220554</v>
      </c>
      <c r="C957" s="413" t="str">
        <f>IFERROR(INDEX(Table14[],MATCH($B957,Table14[SAPNo],0),3),"")</f>
        <v xml:space="preserve">1618 CT182 U-60 Carbide </v>
      </c>
      <c r="D957" s="306"/>
      <c r="E957" s="421">
        <v>10</v>
      </c>
      <c r="F957" s="421"/>
      <c r="G957" s="417" t="s">
        <v>1426</v>
      </c>
      <c r="H957" s="598">
        <v>14093057</v>
      </c>
      <c r="I957" s="322" t="s">
        <v>1275</v>
      </c>
      <c r="J957" s="418"/>
      <c r="K957" s="248"/>
      <c r="M957" s="248"/>
      <c r="AF957">
        <v>10</v>
      </c>
    </row>
    <row r="958" spans="1:32" x14ac:dyDescent="0.25">
      <c r="A958" s="308">
        <v>45323</v>
      </c>
      <c r="B958" s="416">
        <v>1228501</v>
      </c>
      <c r="C958" s="413" t="str">
        <f>IFERROR(INDEX(Table14[],MATCH($B958,Table14[SAPNo],0),3),"")</f>
        <v>1618 CT182 U-60 stator</v>
      </c>
      <c r="D958" s="306"/>
      <c r="E958" s="421">
        <v>10</v>
      </c>
      <c r="F958" s="421"/>
      <c r="G958" s="417" t="s">
        <v>1426</v>
      </c>
      <c r="H958" s="598">
        <v>14093057</v>
      </c>
      <c r="I958" s="322" t="s">
        <v>1275</v>
      </c>
      <c r="J958" s="418"/>
      <c r="K958" s="248"/>
      <c r="M958" s="248"/>
      <c r="AF958">
        <v>10</v>
      </c>
    </row>
    <row r="959" spans="1:32" x14ac:dyDescent="0.25">
      <c r="A959" s="308">
        <v>45323</v>
      </c>
      <c r="B959" s="416">
        <v>1228502</v>
      </c>
      <c r="C959" s="413" t="str">
        <f>IFERROR(INDEX(Table14[],MATCH($B959,Table14[SAPNo],0),3),"")</f>
        <v>1618 CT182 U-60 Rotor</v>
      </c>
      <c r="D959" s="306"/>
      <c r="E959" s="421">
        <v>10</v>
      </c>
      <c r="F959" s="421"/>
      <c r="G959" s="417" t="s">
        <v>1426</v>
      </c>
      <c r="H959" s="598">
        <v>14093057</v>
      </c>
      <c r="I959" s="322" t="s">
        <v>1275</v>
      </c>
      <c r="J959" s="418"/>
      <c r="K959" s="248"/>
      <c r="M959" s="248"/>
      <c r="AF959">
        <v>10</v>
      </c>
    </row>
    <row r="960" spans="1:32" x14ac:dyDescent="0.25">
      <c r="A960" s="308">
        <v>45323</v>
      </c>
      <c r="B960" s="416">
        <v>1261319</v>
      </c>
      <c r="C960" s="413" t="str">
        <f>IFERROR(INDEX(Table14[],MATCH($B960,Table14[SAPNo],0),3),"")</f>
        <v>1308 CT155 U-60</v>
      </c>
      <c r="D960" s="306"/>
      <c r="E960" s="421">
        <v>24</v>
      </c>
      <c r="F960" s="421"/>
      <c r="G960" s="417" t="s">
        <v>1426</v>
      </c>
      <c r="H960" s="598">
        <v>14093057</v>
      </c>
      <c r="I960" s="322" t="s">
        <v>1275</v>
      </c>
      <c r="J960" s="418"/>
      <c r="K960" s="248"/>
      <c r="M960" s="248"/>
      <c r="AF960">
        <v>24</v>
      </c>
    </row>
    <row r="961" spans="1:32" x14ac:dyDescent="0.25">
      <c r="A961" s="308">
        <v>45323</v>
      </c>
      <c r="B961" s="416">
        <v>1261320</v>
      </c>
      <c r="C961" s="413" t="str">
        <f>IFERROR(INDEX(Table14[],MATCH($B961,Table14[SAPNo],0),3),"")</f>
        <v>1313 CT155 U-60</v>
      </c>
      <c r="D961" s="306"/>
      <c r="E961" s="421">
        <v>6</v>
      </c>
      <c r="F961" s="421"/>
      <c r="G961" s="417" t="s">
        <v>1426</v>
      </c>
      <c r="H961" s="598">
        <v>14093057</v>
      </c>
      <c r="I961" s="322" t="s">
        <v>1275</v>
      </c>
      <c r="J961" s="418"/>
      <c r="K961" s="248"/>
      <c r="M961" s="248"/>
      <c r="AF961">
        <v>6</v>
      </c>
    </row>
    <row r="962" spans="1:32" x14ac:dyDescent="0.25">
      <c r="A962" s="308">
        <v>45323</v>
      </c>
      <c r="B962" s="416">
        <v>1261321</v>
      </c>
      <c r="C962" s="413" t="str">
        <f>IFERROR(INDEX(Table14[],MATCH($B962,Table14[SAPNo],0),3),"")</f>
        <v>1613 CT155 U-60</v>
      </c>
      <c r="D962" s="306"/>
      <c r="E962" s="421">
        <v>4</v>
      </c>
      <c r="F962" s="421"/>
      <c r="G962" s="417" t="s">
        <v>1426</v>
      </c>
      <c r="H962" s="598">
        <v>14093057</v>
      </c>
      <c r="I962" s="322" t="s">
        <v>1275</v>
      </c>
      <c r="J962" s="418"/>
      <c r="K962" s="248"/>
      <c r="M962" s="248"/>
      <c r="AF962">
        <v>4</v>
      </c>
    </row>
    <row r="963" spans="1:32" x14ac:dyDescent="0.25">
      <c r="A963" s="308">
        <v>45323</v>
      </c>
      <c r="B963" s="416">
        <v>871781</v>
      </c>
      <c r="C963" s="413" t="str">
        <f>IFERROR(INDEX(Table14[],MATCH($B963,Table14[SAPNo],0),3),"")</f>
        <v>Round 1313 CT200  0.018" (B)</v>
      </c>
      <c r="D963" s="306"/>
      <c r="E963" s="421">
        <v>6</v>
      </c>
      <c r="F963" s="421"/>
      <c r="G963" s="417" t="s">
        <v>1426</v>
      </c>
      <c r="H963" s="598">
        <v>14093057</v>
      </c>
      <c r="I963" s="322" t="s">
        <v>1275</v>
      </c>
      <c r="J963" s="418"/>
      <c r="K963" s="248"/>
      <c r="M963" s="248"/>
      <c r="AF963">
        <v>6</v>
      </c>
    </row>
    <row r="964" spans="1:32" x14ac:dyDescent="0.25">
      <c r="A964" s="308">
        <v>45323</v>
      </c>
      <c r="B964" s="416">
        <v>1228503</v>
      </c>
      <c r="C964" s="413" t="str">
        <f>IFERROR(INDEX(Table14[],MATCH($B964,Table14[SAPNo],0),3),"")</f>
        <v>1618 CT182 U-60 Ring</v>
      </c>
      <c r="D964" s="306"/>
      <c r="E964" s="421">
        <v>10</v>
      </c>
      <c r="F964" s="421"/>
      <c r="G964" s="417" t="s">
        <v>1427</v>
      </c>
      <c r="H964" s="598">
        <v>14073989</v>
      </c>
      <c r="I964" s="322" t="s">
        <v>1275</v>
      </c>
      <c r="J964" s="418"/>
      <c r="K964" s="248"/>
      <c r="M964" s="248"/>
      <c r="AF964">
        <v>10</v>
      </c>
    </row>
    <row r="965" spans="1:32" x14ac:dyDescent="0.25">
      <c r="A965" s="308">
        <v>45323</v>
      </c>
      <c r="B965" s="416">
        <v>1228502</v>
      </c>
      <c r="C965" s="413" t="str">
        <f>IFERROR(INDEX(Table14[],MATCH($B965,Table14[SAPNo],0),3),"")</f>
        <v>1618 CT182 U-60 Rotor</v>
      </c>
      <c r="D965" s="306"/>
      <c r="E965" s="421">
        <v>10</v>
      </c>
      <c r="F965" s="421"/>
      <c r="G965" s="417" t="s">
        <v>1427</v>
      </c>
      <c r="H965" s="598">
        <v>14073989</v>
      </c>
      <c r="I965" s="322" t="s">
        <v>1275</v>
      </c>
      <c r="J965" s="418"/>
      <c r="K965" s="248"/>
      <c r="M965" s="248"/>
      <c r="AF965">
        <v>10</v>
      </c>
    </row>
    <row r="966" spans="1:32" x14ac:dyDescent="0.25">
      <c r="A966" s="308">
        <v>45323</v>
      </c>
      <c r="B966" s="416">
        <v>1228501</v>
      </c>
      <c r="C966" s="413" t="str">
        <f>IFERROR(INDEX(Table14[],MATCH($B966,Table14[SAPNo],0),3),"")</f>
        <v>1618 CT182 U-60 stator</v>
      </c>
      <c r="D966" s="306"/>
      <c r="E966" s="421">
        <v>10</v>
      </c>
      <c r="F966" s="421"/>
      <c r="G966" s="417" t="s">
        <v>1427</v>
      </c>
      <c r="H966" s="598">
        <v>14073989</v>
      </c>
      <c r="I966" s="322" t="s">
        <v>1275</v>
      </c>
      <c r="J966" s="418"/>
      <c r="K966" s="248"/>
      <c r="M966" s="248"/>
      <c r="AF966">
        <v>10</v>
      </c>
    </row>
    <row r="967" spans="1:32" x14ac:dyDescent="0.25">
      <c r="A967" s="308">
        <v>45323</v>
      </c>
      <c r="B967" s="416">
        <v>1261319</v>
      </c>
      <c r="C967" s="413" t="str">
        <f>IFERROR(INDEX(Table14[],MATCH($B967,Table14[SAPNo],0),3),"")</f>
        <v>1308 CT155 U-60</v>
      </c>
      <c r="D967" s="306"/>
      <c r="E967" s="421">
        <v>24</v>
      </c>
      <c r="F967" s="421"/>
      <c r="G967" s="417" t="s">
        <v>1427</v>
      </c>
      <c r="H967" s="598">
        <v>14073989</v>
      </c>
      <c r="I967" s="322" t="s">
        <v>1275</v>
      </c>
      <c r="J967" s="418"/>
      <c r="K967" s="248"/>
      <c r="M967" s="248"/>
      <c r="AF967">
        <v>24</v>
      </c>
    </row>
    <row r="968" spans="1:32" x14ac:dyDescent="0.25">
      <c r="A968" s="308">
        <v>45323</v>
      </c>
      <c r="B968" s="416">
        <v>1261320</v>
      </c>
      <c r="C968" s="413" t="str">
        <f>IFERROR(INDEX(Table14[],MATCH($B968,Table14[SAPNo],0),3),"")</f>
        <v>1313 CT155 U-60</v>
      </c>
      <c r="D968" s="306"/>
      <c r="E968" s="421">
        <v>6</v>
      </c>
      <c r="F968" s="421"/>
      <c r="G968" s="417" t="s">
        <v>1427</v>
      </c>
      <c r="H968" s="598">
        <v>14073989</v>
      </c>
      <c r="I968" s="322" t="s">
        <v>1275</v>
      </c>
      <c r="J968" s="418"/>
      <c r="K968" s="248"/>
      <c r="M968" s="248"/>
      <c r="AF968">
        <v>6</v>
      </c>
    </row>
    <row r="969" spans="1:32" x14ac:dyDescent="0.25">
      <c r="A969" s="308">
        <v>45323</v>
      </c>
      <c r="B969" s="416">
        <v>871781</v>
      </c>
      <c r="C969" s="413" t="str">
        <f>IFERROR(INDEX(Table14[],MATCH($B969,Table14[SAPNo],0),3),"")</f>
        <v>Round 1313 CT200  0.018" (B)</v>
      </c>
      <c r="D969" s="306"/>
      <c r="E969" s="421">
        <v>6</v>
      </c>
      <c r="F969" s="421"/>
      <c r="G969" s="417" t="s">
        <v>1427</v>
      </c>
      <c r="H969" s="598">
        <v>14073989</v>
      </c>
      <c r="I969" s="322" t="s">
        <v>1275</v>
      </c>
      <c r="J969" s="418"/>
      <c r="K969" s="248"/>
      <c r="M969" s="248"/>
      <c r="AF969">
        <v>6</v>
      </c>
    </row>
    <row r="970" spans="1:32" x14ac:dyDescent="0.25">
      <c r="A970" s="308">
        <v>45323</v>
      </c>
      <c r="B970" s="416">
        <v>1220554</v>
      </c>
      <c r="C970" s="413" t="str">
        <f>IFERROR(INDEX(Table14[],MATCH($B970,Table14[SAPNo],0),3),"")</f>
        <v xml:space="preserve">1618 CT182 U-60 Carbide </v>
      </c>
      <c r="D970" s="306"/>
      <c r="E970" s="421">
        <v>10</v>
      </c>
      <c r="F970" s="421"/>
      <c r="G970" s="417" t="s">
        <v>1427</v>
      </c>
      <c r="H970" s="598">
        <v>14073989</v>
      </c>
      <c r="I970" s="322" t="s">
        <v>1275</v>
      </c>
      <c r="J970" s="418"/>
      <c r="K970" s="248"/>
      <c r="M970" s="248"/>
      <c r="AF970">
        <v>10</v>
      </c>
    </row>
    <row r="971" spans="1:32" x14ac:dyDescent="0.25">
      <c r="A971" s="320">
        <v>45323</v>
      </c>
      <c r="B971" s="419">
        <v>1261321</v>
      </c>
      <c r="C971" s="413" t="str">
        <f>IFERROR(INDEX(Table14[],MATCH($B971,Table14[SAPNo],0),3),"")</f>
        <v>1613 CT155 U-60</v>
      </c>
      <c r="D971" s="306"/>
      <c r="E971" s="421">
        <v>4</v>
      </c>
      <c r="F971" s="421"/>
      <c r="G971" s="420" t="s">
        <v>1427</v>
      </c>
      <c r="H971" s="599">
        <v>14073989</v>
      </c>
      <c r="I971" s="322" t="s">
        <v>1275</v>
      </c>
      <c r="J971" s="421"/>
      <c r="K971" s="422"/>
      <c r="M971" s="422"/>
      <c r="AF971">
        <v>4</v>
      </c>
    </row>
    <row r="972" spans="1:32" x14ac:dyDescent="0.25">
      <c r="A972" s="308">
        <v>45324</v>
      </c>
      <c r="B972" s="416">
        <v>1145493</v>
      </c>
      <c r="C972" s="413" t="str">
        <f>IFERROR(INDEX(Table14[],MATCH($B972,Table14[SAPNo],0),3),"")</f>
        <v>Round 1313 CT427  10C (S)</v>
      </c>
      <c r="D972" s="306"/>
      <c r="E972" s="421">
        <v>16</v>
      </c>
      <c r="F972" s="421"/>
      <c r="G972" s="417" t="s">
        <v>1428</v>
      </c>
      <c r="H972" s="598">
        <v>14023086</v>
      </c>
      <c r="I972" s="322" t="s">
        <v>1429</v>
      </c>
      <c r="J972" s="418"/>
      <c r="K972" s="248"/>
      <c r="M972" s="248"/>
      <c r="AF972">
        <v>16</v>
      </c>
    </row>
    <row r="973" spans="1:32" x14ac:dyDescent="0.25">
      <c r="A973" s="308">
        <v>45324</v>
      </c>
      <c r="B973" s="416">
        <v>871781</v>
      </c>
      <c r="C973" s="413" t="str">
        <f>IFERROR(INDEX(Table14[],MATCH($B973,Table14[SAPNo],0),3),"")</f>
        <v>Round 1313 CT200  0.018" (B)</v>
      </c>
      <c r="D973" s="306"/>
      <c r="E973" s="421">
        <v>8</v>
      </c>
      <c r="F973" s="421"/>
      <c r="G973" s="417" t="s">
        <v>1430</v>
      </c>
      <c r="H973" s="598">
        <v>14109680</v>
      </c>
      <c r="I973" s="322" t="s">
        <v>1299</v>
      </c>
      <c r="J973" s="418"/>
      <c r="K973" s="248"/>
      <c r="M973" s="248"/>
      <c r="AF973">
        <v>8</v>
      </c>
    </row>
    <row r="974" spans="1:32" x14ac:dyDescent="0.25">
      <c r="A974" s="308">
        <v>45324</v>
      </c>
      <c r="B974" s="416">
        <v>708306</v>
      </c>
      <c r="C974" s="413" t="str">
        <f>IFERROR(INDEX(Table14[],MATCH($B974,Table14[SAPNo],0),3),"")</f>
        <v>Round 1913 CT200  0.018" (B)</v>
      </c>
      <c r="D974" s="306"/>
      <c r="E974" s="421">
        <v>34</v>
      </c>
      <c r="F974" s="421"/>
      <c r="G974" s="417" t="s">
        <v>1430</v>
      </c>
      <c r="H974" s="598">
        <v>14109680</v>
      </c>
      <c r="I974" s="322" t="s">
        <v>1299</v>
      </c>
      <c r="J974" s="418"/>
      <c r="K974" s="248"/>
      <c r="M974" s="248"/>
      <c r="AF974">
        <v>34</v>
      </c>
    </row>
    <row r="975" spans="1:32" x14ac:dyDescent="0.25">
      <c r="A975" s="308">
        <v>45324</v>
      </c>
      <c r="B975" s="416">
        <v>1100759</v>
      </c>
      <c r="C975" s="413" t="str">
        <f>IFERROR(INDEX(Table14[],MATCH($B975,Table14[SAPNo],0),3),"")</f>
        <v>1913 CT421 0.018"</v>
      </c>
      <c r="D975" s="306"/>
      <c r="E975" s="421">
        <v>48</v>
      </c>
      <c r="F975" s="421"/>
      <c r="G975" s="417" t="s">
        <v>1430</v>
      </c>
      <c r="H975" s="598">
        <v>14109680</v>
      </c>
      <c r="I975" s="322" t="s">
        <v>1299</v>
      </c>
      <c r="J975" s="418"/>
      <c r="K975" s="248"/>
      <c r="M975" s="248"/>
      <c r="AF975">
        <v>48</v>
      </c>
    </row>
    <row r="976" spans="1:32" x14ac:dyDescent="0.25">
      <c r="A976" s="308">
        <v>45324</v>
      </c>
      <c r="B976" s="416">
        <v>1130198</v>
      </c>
      <c r="C976" s="413" t="str">
        <f>IFERROR(INDEX(Table14[],MATCH($B976,Table14[SAPNo],0),3),"")</f>
        <v>Round 1613 CT182  0.018" (S)</v>
      </c>
      <c r="D976" s="306"/>
      <c r="E976" s="421">
        <v>9</v>
      </c>
      <c r="F976" s="421"/>
      <c r="G976" s="417" t="s">
        <v>1430</v>
      </c>
      <c r="H976" s="598">
        <v>14109680</v>
      </c>
      <c r="I976" s="322" t="s">
        <v>1299</v>
      </c>
      <c r="J976" s="418"/>
      <c r="K976" s="248"/>
      <c r="M976" s="248"/>
      <c r="AF976">
        <v>9</v>
      </c>
    </row>
    <row r="977" spans="1:32" x14ac:dyDescent="0.25">
      <c r="A977" s="308">
        <v>45324</v>
      </c>
      <c r="B977" s="416">
        <v>882800</v>
      </c>
      <c r="C977" s="413" t="str">
        <f>IFERROR(INDEX(Table14[],MATCH($B977,Table14[SAPNo],0),3),"")</f>
        <v>Round 0808 CT80  0.018" (B)</v>
      </c>
      <c r="D977" s="306"/>
      <c r="E977" s="421">
        <v>10</v>
      </c>
      <c r="F977" s="421"/>
      <c r="G977" s="417" t="s">
        <v>1431</v>
      </c>
      <c r="H977" s="598">
        <v>14036254</v>
      </c>
      <c r="I977" s="322" t="s">
        <v>1380</v>
      </c>
      <c r="J977" s="418"/>
      <c r="K977" s="248"/>
      <c r="M977" s="248"/>
      <c r="AF977">
        <v>10</v>
      </c>
    </row>
    <row r="978" spans="1:32" x14ac:dyDescent="0.25">
      <c r="A978" s="308">
        <v>45324</v>
      </c>
      <c r="B978" s="416">
        <v>1130193</v>
      </c>
      <c r="C978" s="413" t="str">
        <f>IFERROR(INDEX(Table14[],MATCH($B978,Table14[SAPNo],0),3),"")</f>
        <v xml:space="preserve"> 1005 CT182  0.018 (S)</v>
      </c>
      <c r="D978" s="306"/>
      <c r="E978" s="421">
        <v>8</v>
      </c>
      <c r="F978" s="421"/>
      <c r="G978" s="417" t="s">
        <v>1431</v>
      </c>
      <c r="H978" s="598">
        <v>14036254</v>
      </c>
      <c r="I978" s="322" t="s">
        <v>1380</v>
      </c>
      <c r="J978" s="418"/>
      <c r="K978" s="248"/>
      <c r="M978" s="248"/>
      <c r="AF978">
        <v>8</v>
      </c>
    </row>
    <row r="979" spans="1:32" x14ac:dyDescent="0.25">
      <c r="A979" s="308">
        <v>45324</v>
      </c>
      <c r="B979" s="416">
        <v>1130194</v>
      </c>
      <c r="C979" s="413" t="str">
        <f>IFERROR(INDEX(Table14[],MATCH($B979,Table14[SAPNo],0),3),"")</f>
        <v>1010 CT182 18C</v>
      </c>
      <c r="D979" s="306"/>
      <c r="E979" s="421">
        <v>26</v>
      </c>
      <c r="F979" s="421"/>
      <c r="G979" s="417" t="s">
        <v>1431</v>
      </c>
      <c r="H979" s="598">
        <v>14036254</v>
      </c>
      <c r="I979" s="322" t="s">
        <v>1380</v>
      </c>
      <c r="J979" s="418"/>
      <c r="K979" s="248"/>
      <c r="M979" s="248"/>
      <c r="AF979">
        <v>26</v>
      </c>
    </row>
    <row r="980" spans="1:32" x14ac:dyDescent="0.25">
      <c r="A980" s="308">
        <v>45324</v>
      </c>
      <c r="B980" s="416">
        <v>882800</v>
      </c>
      <c r="C980" s="413" t="str">
        <f>IFERROR(INDEX(Table14[],MATCH($B980,Table14[SAPNo],0),3),"")</f>
        <v>Round 0808 CT80  0.018" (B)</v>
      </c>
      <c r="D980" s="306"/>
      <c r="E980" s="421">
        <v>10</v>
      </c>
      <c r="F980" s="421"/>
      <c r="G980" s="417" t="s">
        <v>1432</v>
      </c>
      <c r="H980" s="598">
        <v>14036253</v>
      </c>
      <c r="I980" s="322" t="s">
        <v>1380</v>
      </c>
      <c r="J980" s="418"/>
      <c r="K980" s="248"/>
      <c r="M980" s="248"/>
      <c r="AF980">
        <v>10</v>
      </c>
    </row>
    <row r="981" spans="1:32" x14ac:dyDescent="0.25">
      <c r="A981" s="308">
        <v>45324</v>
      </c>
      <c r="B981" s="416">
        <v>1130193</v>
      </c>
      <c r="C981" s="413" t="str">
        <f>IFERROR(INDEX(Table14[],MATCH($B981,Table14[SAPNo],0),3),"")</f>
        <v xml:space="preserve"> 1005 CT182  0.018 (S)</v>
      </c>
      <c r="D981" s="306"/>
      <c r="E981" s="421">
        <v>8</v>
      </c>
      <c r="F981" s="421"/>
      <c r="G981" s="417" t="s">
        <v>1432</v>
      </c>
      <c r="H981" s="598">
        <v>14036253</v>
      </c>
      <c r="I981" s="322" t="s">
        <v>1380</v>
      </c>
      <c r="J981" s="418"/>
      <c r="K981" s="248"/>
      <c r="M981" s="248"/>
      <c r="AF981">
        <v>8</v>
      </c>
    </row>
    <row r="982" spans="1:32" x14ac:dyDescent="0.25">
      <c r="A982" s="308">
        <v>45324</v>
      </c>
      <c r="B982" s="416">
        <v>1130194</v>
      </c>
      <c r="C982" s="413" t="str">
        <f>IFERROR(INDEX(Table14[],MATCH($B982,Table14[SAPNo],0),3),"")</f>
        <v>1010 CT182 18C</v>
      </c>
      <c r="D982" s="306"/>
      <c r="E982" s="421">
        <v>26</v>
      </c>
      <c r="F982" s="421"/>
      <c r="G982" s="417" t="s">
        <v>1432</v>
      </c>
      <c r="H982" s="598">
        <v>14036253</v>
      </c>
      <c r="I982" s="322" t="s">
        <v>1380</v>
      </c>
      <c r="J982" s="418"/>
      <c r="K982" s="248"/>
      <c r="M982" s="248"/>
      <c r="AF982">
        <v>26</v>
      </c>
    </row>
    <row r="983" spans="1:32" x14ac:dyDescent="0.25">
      <c r="A983" s="308">
        <v>45324</v>
      </c>
      <c r="B983" s="416">
        <v>1130193</v>
      </c>
      <c r="C983" s="413" t="str">
        <f>IFERROR(INDEX(Table14[],MATCH($B983,Table14[SAPNo],0),3),"")</f>
        <v xml:space="preserve"> 1005 CT182  0.018 (S)</v>
      </c>
      <c r="D983" s="306"/>
      <c r="E983" s="421">
        <v>8</v>
      </c>
      <c r="F983" s="421"/>
      <c r="G983" s="417" t="s">
        <v>1433</v>
      </c>
      <c r="H983" s="598">
        <v>14036256</v>
      </c>
      <c r="I983" s="322" t="s">
        <v>1380</v>
      </c>
      <c r="J983" s="418"/>
      <c r="K983" s="248"/>
      <c r="M983" s="248"/>
      <c r="AF983">
        <v>8</v>
      </c>
    </row>
    <row r="984" spans="1:32" x14ac:dyDescent="0.25">
      <c r="A984" s="308">
        <v>45324</v>
      </c>
      <c r="B984" s="416">
        <v>882800</v>
      </c>
      <c r="C984" s="413" t="str">
        <f>IFERROR(INDEX(Table14[],MATCH($B984,Table14[SAPNo],0),3),"")</f>
        <v>Round 0808 CT80  0.018" (B)</v>
      </c>
      <c r="D984" s="306"/>
      <c r="E984" s="421">
        <v>10</v>
      </c>
      <c r="F984" s="421"/>
      <c r="G984" s="417" t="s">
        <v>1433</v>
      </c>
      <c r="H984" s="598">
        <v>14036256</v>
      </c>
      <c r="I984" s="322" t="s">
        <v>1380</v>
      </c>
      <c r="J984" s="418"/>
      <c r="K984" s="248"/>
      <c r="M984" s="248"/>
      <c r="AF984">
        <v>10</v>
      </c>
    </row>
    <row r="985" spans="1:32" x14ac:dyDescent="0.25">
      <c r="A985" s="308">
        <v>45324</v>
      </c>
      <c r="B985" s="416">
        <v>1130194</v>
      </c>
      <c r="C985" s="413" t="str">
        <f>IFERROR(INDEX(Table14[],MATCH($B985,Table14[SAPNo],0),3),"")</f>
        <v>1010 CT182 18C</v>
      </c>
      <c r="D985" s="306"/>
      <c r="E985" s="421">
        <v>26</v>
      </c>
      <c r="F985" s="421"/>
      <c r="G985" s="417" t="s">
        <v>1433</v>
      </c>
      <c r="H985" s="598">
        <v>14036256</v>
      </c>
      <c r="I985" s="322" t="s">
        <v>1380</v>
      </c>
      <c r="J985" s="418"/>
      <c r="K985" s="248"/>
      <c r="M985" s="248"/>
      <c r="AF985">
        <v>26</v>
      </c>
    </row>
    <row r="986" spans="1:32" x14ac:dyDescent="0.25">
      <c r="A986" s="308">
        <v>45324</v>
      </c>
      <c r="B986" s="416">
        <v>1228501</v>
      </c>
      <c r="C986" s="413" t="str">
        <f>IFERROR(INDEX(Table14[],MATCH($B986,Table14[SAPNo],0),3),"")</f>
        <v>1618 CT182 U-60 stator</v>
      </c>
      <c r="D986" s="306"/>
      <c r="E986" s="421">
        <v>10</v>
      </c>
      <c r="F986" s="421"/>
      <c r="G986" s="417" t="s">
        <v>1434</v>
      </c>
      <c r="H986" s="598">
        <v>14109678</v>
      </c>
      <c r="I986" s="322" t="s">
        <v>1275</v>
      </c>
      <c r="J986" s="418"/>
      <c r="K986" s="248"/>
      <c r="M986" s="248"/>
      <c r="AF986">
        <v>10</v>
      </c>
    </row>
    <row r="987" spans="1:32" x14ac:dyDescent="0.25">
      <c r="A987" s="308">
        <v>45324</v>
      </c>
      <c r="B987" s="416">
        <v>1228503</v>
      </c>
      <c r="C987" s="413" t="str">
        <f>IFERROR(INDEX(Table14[],MATCH($B987,Table14[SAPNo],0),3),"")</f>
        <v>1618 CT182 U-60 Ring</v>
      </c>
      <c r="D987" s="306"/>
      <c r="E987" s="421">
        <v>10</v>
      </c>
      <c r="F987" s="421"/>
      <c r="G987" s="417" t="s">
        <v>1434</v>
      </c>
      <c r="H987" s="598">
        <v>14109678</v>
      </c>
      <c r="I987" s="322" t="s">
        <v>1275</v>
      </c>
      <c r="J987" s="418"/>
      <c r="K987" s="248"/>
      <c r="M987" s="248"/>
      <c r="AF987">
        <v>10</v>
      </c>
    </row>
    <row r="988" spans="1:32" x14ac:dyDescent="0.25">
      <c r="A988" s="308">
        <v>45324</v>
      </c>
      <c r="B988" s="416">
        <v>1261319</v>
      </c>
      <c r="C988" s="413" t="str">
        <f>IFERROR(INDEX(Table14[],MATCH($B988,Table14[SAPNo],0),3),"")</f>
        <v>1308 CT155 U-60</v>
      </c>
      <c r="D988" s="306"/>
      <c r="E988" s="421">
        <v>24</v>
      </c>
      <c r="F988" s="421"/>
      <c r="G988" s="417" t="s">
        <v>1434</v>
      </c>
      <c r="H988" s="598">
        <v>14109678</v>
      </c>
      <c r="I988" s="322" t="s">
        <v>1275</v>
      </c>
      <c r="J988" s="418"/>
      <c r="K988" s="248"/>
      <c r="M988" s="248"/>
      <c r="AF988">
        <v>24</v>
      </c>
    </row>
    <row r="989" spans="1:32" x14ac:dyDescent="0.25">
      <c r="A989" s="308">
        <v>45324</v>
      </c>
      <c r="B989" s="416">
        <v>1261320</v>
      </c>
      <c r="C989" s="413" t="str">
        <f>IFERROR(INDEX(Table14[],MATCH($B989,Table14[SAPNo],0),3),"")</f>
        <v>1313 CT155 U-60</v>
      </c>
      <c r="D989" s="306"/>
      <c r="E989" s="421">
        <v>6</v>
      </c>
      <c r="F989" s="421"/>
      <c r="G989" s="417" t="s">
        <v>1434</v>
      </c>
      <c r="H989" s="598">
        <v>14109678</v>
      </c>
      <c r="I989" s="322" t="s">
        <v>1275</v>
      </c>
      <c r="J989" s="418"/>
      <c r="K989" s="248"/>
      <c r="M989" s="248"/>
      <c r="AF989">
        <v>6</v>
      </c>
    </row>
    <row r="990" spans="1:32" x14ac:dyDescent="0.25">
      <c r="A990" s="308">
        <v>45324</v>
      </c>
      <c r="B990" s="416">
        <v>1261321</v>
      </c>
      <c r="C990" s="413" t="str">
        <f>IFERROR(INDEX(Table14[],MATCH($B990,Table14[SAPNo],0),3),"")</f>
        <v>1613 CT155 U-60</v>
      </c>
      <c r="D990" s="306"/>
      <c r="E990" s="421">
        <v>4</v>
      </c>
      <c r="F990" s="421"/>
      <c r="G990" s="417" t="s">
        <v>1434</v>
      </c>
      <c r="H990" s="598">
        <v>14109678</v>
      </c>
      <c r="I990" s="322" t="s">
        <v>1275</v>
      </c>
      <c r="J990" s="418"/>
      <c r="K990" s="248"/>
      <c r="M990" s="248"/>
      <c r="AF990">
        <v>4</v>
      </c>
    </row>
    <row r="991" spans="1:32" x14ac:dyDescent="0.25">
      <c r="A991" s="308">
        <v>45324</v>
      </c>
      <c r="B991" s="416">
        <v>871781</v>
      </c>
      <c r="C991" s="413" t="str">
        <f>IFERROR(INDEX(Table14[],MATCH($B991,Table14[SAPNo],0),3),"")</f>
        <v>Round 1313 CT200  0.018" (B)</v>
      </c>
      <c r="D991" s="306"/>
      <c r="E991" s="421">
        <v>6</v>
      </c>
      <c r="F991" s="421"/>
      <c r="G991" s="417" t="s">
        <v>1434</v>
      </c>
      <c r="H991" s="598">
        <v>14109678</v>
      </c>
      <c r="I991" s="322" t="s">
        <v>1275</v>
      </c>
      <c r="J991" s="418"/>
      <c r="K991" s="248"/>
      <c r="M991" s="248"/>
      <c r="AF991">
        <v>6</v>
      </c>
    </row>
    <row r="992" spans="1:32" x14ac:dyDescent="0.25">
      <c r="A992" s="308">
        <v>45324</v>
      </c>
      <c r="B992" s="416">
        <v>1228502</v>
      </c>
      <c r="C992" s="413" t="str">
        <f>IFERROR(INDEX(Table14[],MATCH($B992,Table14[SAPNo],0),3),"")</f>
        <v>1618 CT182 U-60 Rotor</v>
      </c>
      <c r="D992" s="306"/>
      <c r="E992" s="421">
        <v>10</v>
      </c>
      <c r="F992" s="421"/>
      <c r="G992" s="417" t="s">
        <v>1434</v>
      </c>
      <c r="H992" s="598">
        <v>14109678</v>
      </c>
      <c r="I992" s="322" t="s">
        <v>1275</v>
      </c>
      <c r="J992" s="418"/>
      <c r="K992" s="248"/>
      <c r="M992" s="248"/>
      <c r="AF992">
        <v>10</v>
      </c>
    </row>
    <row r="993" spans="1:32" x14ac:dyDescent="0.25">
      <c r="A993" s="308">
        <v>45324</v>
      </c>
      <c r="B993" s="416">
        <v>1220554</v>
      </c>
      <c r="C993" s="413" t="str">
        <f>IFERROR(INDEX(Table14[],MATCH($B993,Table14[SAPNo],0),3),"")</f>
        <v xml:space="preserve">1618 CT182 U-60 Carbide </v>
      </c>
      <c r="D993" s="306"/>
      <c r="E993" s="421">
        <v>10</v>
      </c>
      <c r="F993" s="421"/>
      <c r="G993" s="417" t="s">
        <v>1434</v>
      </c>
      <c r="H993" s="598">
        <v>14109678</v>
      </c>
      <c r="I993" s="322" t="s">
        <v>1275</v>
      </c>
      <c r="J993" s="418"/>
      <c r="K993" s="248"/>
      <c r="M993" s="248"/>
      <c r="AF993">
        <v>10</v>
      </c>
    </row>
    <row r="994" spans="1:32" x14ac:dyDescent="0.25">
      <c r="A994" s="308">
        <v>45326</v>
      </c>
      <c r="B994" s="416">
        <v>1244299</v>
      </c>
      <c r="C994" s="413" t="str">
        <f>IFERROR(INDEX(Table14[],MATCH($B994,Table14[SAPNo],0),3),"")</f>
        <v>1313 CT147CV4 U</v>
      </c>
      <c r="D994" s="306"/>
      <c r="E994" s="421">
        <v>7</v>
      </c>
      <c r="F994" s="421"/>
      <c r="G994" s="417" t="s">
        <v>1428</v>
      </c>
      <c r="H994" s="598">
        <v>14023086</v>
      </c>
      <c r="I994" s="322" t="s">
        <v>1429</v>
      </c>
      <c r="J994" s="418"/>
      <c r="K994" s="248"/>
      <c r="M994" s="248"/>
      <c r="AF994">
        <v>7</v>
      </c>
    </row>
    <row r="995" spans="1:32" x14ac:dyDescent="0.25">
      <c r="A995" s="308">
        <v>45326</v>
      </c>
      <c r="B995" s="416">
        <v>717748</v>
      </c>
      <c r="C995" s="413" t="str">
        <f>IFERROR(INDEX(Table14[],MATCH($B995,Table14[SAPNo],0),3),"")</f>
        <v>Round 1010 CT200  0.018" (B)</v>
      </c>
      <c r="D995" s="306"/>
      <c r="E995" s="421">
        <v>3</v>
      </c>
      <c r="F995" s="421"/>
      <c r="G995" s="417" t="s">
        <v>1435</v>
      </c>
      <c r="H995" s="598" t="s">
        <v>1436</v>
      </c>
      <c r="I995" s="322" t="s">
        <v>1069</v>
      </c>
      <c r="J995" s="418"/>
      <c r="K995" s="248"/>
      <c r="M995" s="248"/>
      <c r="AF995">
        <v>3</v>
      </c>
    </row>
    <row r="996" spans="1:32" x14ac:dyDescent="0.25">
      <c r="A996" s="308">
        <v>45326</v>
      </c>
      <c r="B996" s="416">
        <v>717748</v>
      </c>
      <c r="C996" s="413" t="str">
        <f>IFERROR(INDEX(Table14[],MATCH($B996,Table14[SAPNo],0),3),"")</f>
        <v>Round 1010 CT200  0.018" (B)</v>
      </c>
      <c r="D996" s="306"/>
      <c r="E996" s="421">
        <v>0</v>
      </c>
      <c r="F996" s="421"/>
      <c r="G996" s="417">
        <v>20241010</v>
      </c>
      <c r="H996" s="598" t="s">
        <v>1437</v>
      </c>
      <c r="I996" s="322" t="s">
        <v>1069</v>
      </c>
      <c r="J996" s="418">
        <v>1</v>
      </c>
      <c r="K996" s="248"/>
      <c r="M996" s="248"/>
      <c r="AF996">
        <v>0</v>
      </c>
    </row>
    <row r="997" spans="1:32" x14ac:dyDescent="0.25">
      <c r="A997" s="320">
        <v>45326</v>
      </c>
      <c r="B997" s="419">
        <v>1145493</v>
      </c>
      <c r="C997" s="413" t="str">
        <f>IFERROR(INDEX(Table14[],MATCH($B997,Table14[SAPNo],0),3),"")</f>
        <v>Round 1313 CT427  10C (S)</v>
      </c>
      <c r="D997" s="306"/>
      <c r="E997" s="421">
        <v>0</v>
      </c>
      <c r="F997" s="421"/>
      <c r="G997" s="420">
        <v>20241011</v>
      </c>
      <c r="H997" s="599" t="s">
        <v>1437</v>
      </c>
      <c r="I997" s="322" t="s">
        <v>1282</v>
      </c>
      <c r="J997" s="421">
        <v>10</v>
      </c>
      <c r="M997" s="473" t="s">
        <v>1438</v>
      </c>
      <c r="AF997">
        <v>0</v>
      </c>
    </row>
    <row r="998" spans="1:32" x14ac:dyDescent="0.25">
      <c r="A998" s="308">
        <v>45327</v>
      </c>
      <c r="B998" s="416">
        <v>1228503</v>
      </c>
      <c r="C998" s="413" t="str">
        <f>IFERROR(INDEX(Table14[],MATCH($B998,Table14[SAPNo],0),3),"")</f>
        <v>1618 CT182 U-60 Ring</v>
      </c>
      <c r="D998" s="306"/>
      <c r="E998" s="421">
        <v>10</v>
      </c>
      <c r="F998" s="421"/>
      <c r="G998" s="417" t="s">
        <v>1439</v>
      </c>
      <c r="H998" s="598">
        <v>14109677</v>
      </c>
      <c r="I998" s="322" t="s">
        <v>1440</v>
      </c>
      <c r="J998" s="418"/>
      <c r="K998" s="248"/>
      <c r="M998" s="248"/>
      <c r="AF998">
        <v>10</v>
      </c>
    </row>
    <row r="999" spans="1:32" x14ac:dyDescent="0.25">
      <c r="A999" s="308">
        <v>45327</v>
      </c>
      <c r="B999" s="416">
        <v>1228501</v>
      </c>
      <c r="C999" s="413" t="str">
        <f>IFERROR(INDEX(Table14[],MATCH($B999,Table14[SAPNo],0),3),"")</f>
        <v>1618 CT182 U-60 stator</v>
      </c>
      <c r="D999" s="306"/>
      <c r="E999" s="421">
        <v>10</v>
      </c>
      <c r="F999" s="421"/>
      <c r="G999" s="417" t="s">
        <v>1439</v>
      </c>
      <c r="H999" s="598">
        <v>14109677</v>
      </c>
      <c r="I999" s="322" t="s">
        <v>1440</v>
      </c>
      <c r="J999" s="418"/>
      <c r="K999" s="248"/>
      <c r="M999" s="248"/>
      <c r="AF999">
        <v>10</v>
      </c>
    </row>
    <row r="1000" spans="1:32" x14ac:dyDescent="0.25">
      <c r="A1000" s="308">
        <v>45327</v>
      </c>
      <c r="B1000" s="416">
        <v>1228502</v>
      </c>
      <c r="C1000" s="413" t="str">
        <f>IFERROR(INDEX(Table14[],MATCH($B1000,Table14[SAPNo],0),3),"")</f>
        <v>1618 CT182 U-60 Rotor</v>
      </c>
      <c r="D1000" s="306"/>
      <c r="E1000" s="421">
        <v>10</v>
      </c>
      <c r="F1000" s="421"/>
      <c r="G1000" s="417" t="s">
        <v>1439</v>
      </c>
      <c r="H1000" s="598">
        <v>14109677</v>
      </c>
      <c r="I1000" s="322" t="s">
        <v>1440</v>
      </c>
      <c r="J1000" s="418"/>
      <c r="K1000" s="248"/>
      <c r="M1000" s="248"/>
      <c r="AF1000">
        <v>10</v>
      </c>
    </row>
    <row r="1001" spans="1:32" x14ac:dyDescent="0.25">
      <c r="A1001" s="308">
        <v>45327</v>
      </c>
      <c r="B1001" s="416">
        <v>871781</v>
      </c>
      <c r="C1001" s="413" t="str">
        <f>IFERROR(INDEX(Table14[],MATCH($B1001,Table14[SAPNo],0),3),"")</f>
        <v>Round 1313 CT200  0.018" (B)</v>
      </c>
      <c r="D1001" s="306"/>
      <c r="E1001" s="421">
        <v>6</v>
      </c>
      <c r="F1001" s="421"/>
      <c r="G1001" s="417" t="s">
        <v>1439</v>
      </c>
      <c r="H1001" s="598">
        <v>14109677</v>
      </c>
      <c r="I1001" s="322" t="s">
        <v>1440</v>
      </c>
      <c r="J1001" s="418"/>
      <c r="K1001" s="248"/>
      <c r="M1001" s="248"/>
      <c r="AF1001">
        <v>6</v>
      </c>
    </row>
    <row r="1002" spans="1:32" x14ac:dyDescent="0.25">
      <c r="A1002" s="308">
        <v>45327</v>
      </c>
      <c r="B1002" s="416">
        <v>1261319</v>
      </c>
      <c r="C1002" s="413" t="str">
        <f>IFERROR(INDEX(Table14[],MATCH($B1002,Table14[SAPNo],0),3),"")</f>
        <v>1308 CT155 U-60</v>
      </c>
      <c r="D1002" s="306"/>
      <c r="E1002" s="421">
        <v>24</v>
      </c>
      <c r="F1002" s="421"/>
      <c r="G1002" s="417" t="s">
        <v>1439</v>
      </c>
      <c r="H1002" s="598">
        <v>14109677</v>
      </c>
      <c r="I1002" s="322" t="s">
        <v>1440</v>
      </c>
      <c r="J1002" s="418"/>
      <c r="K1002" s="248"/>
      <c r="M1002" s="248"/>
      <c r="AF1002">
        <v>24</v>
      </c>
    </row>
    <row r="1003" spans="1:32" x14ac:dyDescent="0.25">
      <c r="A1003" s="308">
        <v>45327</v>
      </c>
      <c r="B1003" s="416">
        <v>1261320</v>
      </c>
      <c r="C1003" s="413" t="str">
        <f>IFERROR(INDEX(Table14[],MATCH($B1003,Table14[SAPNo],0),3),"")</f>
        <v>1313 CT155 U-60</v>
      </c>
      <c r="D1003" s="306"/>
      <c r="E1003" s="421">
        <v>6</v>
      </c>
      <c r="F1003" s="421"/>
      <c r="G1003" s="417" t="s">
        <v>1439</v>
      </c>
      <c r="H1003" s="598">
        <v>14109677</v>
      </c>
      <c r="I1003" s="322" t="s">
        <v>1440</v>
      </c>
      <c r="J1003" s="418"/>
      <c r="K1003" s="248"/>
      <c r="M1003" s="248"/>
      <c r="AF1003">
        <v>6</v>
      </c>
    </row>
    <row r="1004" spans="1:32" x14ac:dyDescent="0.25">
      <c r="A1004" s="308">
        <v>45327</v>
      </c>
      <c r="B1004" s="416">
        <v>1220554</v>
      </c>
      <c r="C1004" s="413" t="str">
        <f>IFERROR(INDEX(Table14[],MATCH($B1004,Table14[SAPNo],0),3),"")</f>
        <v xml:space="preserve">1618 CT182 U-60 Carbide </v>
      </c>
      <c r="D1004" s="306"/>
      <c r="E1004" s="421">
        <v>10</v>
      </c>
      <c r="F1004" s="421"/>
      <c r="G1004" s="417" t="s">
        <v>1439</v>
      </c>
      <c r="H1004" s="598">
        <v>14109677</v>
      </c>
      <c r="I1004" s="322" t="s">
        <v>1440</v>
      </c>
      <c r="J1004" s="418"/>
      <c r="K1004" s="248"/>
      <c r="M1004" s="248"/>
      <c r="AF1004">
        <v>10</v>
      </c>
    </row>
    <row r="1005" spans="1:32" x14ac:dyDescent="0.25">
      <c r="A1005" s="308">
        <v>45327</v>
      </c>
      <c r="B1005" s="416">
        <v>1261321</v>
      </c>
      <c r="C1005" s="413" t="str">
        <f>IFERROR(INDEX(Table14[],MATCH($B1005,Table14[SAPNo],0),3),"")</f>
        <v>1613 CT155 U-60</v>
      </c>
      <c r="D1005" s="306"/>
      <c r="E1005" s="421">
        <v>4</v>
      </c>
      <c r="F1005" s="421"/>
      <c r="G1005" s="417" t="s">
        <v>1439</v>
      </c>
      <c r="H1005" s="598">
        <v>14109677</v>
      </c>
      <c r="I1005" s="322" t="s">
        <v>1440</v>
      </c>
      <c r="J1005" s="418"/>
      <c r="K1005" s="248"/>
      <c r="M1005" s="248"/>
      <c r="AF1005">
        <v>4</v>
      </c>
    </row>
    <row r="1006" spans="1:32" x14ac:dyDescent="0.25">
      <c r="A1006" s="308">
        <v>45327</v>
      </c>
      <c r="B1006" s="416">
        <v>1228501</v>
      </c>
      <c r="C1006" s="413" t="str">
        <f>IFERROR(INDEX(Table14[],MATCH($B1006,Table14[SAPNo],0),3),"")</f>
        <v>1618 CT182 U-60 stator</v>
      </c>
      <c r="D1006" s="306"/>
      <c r="E1006" s="421">
        <v>10</v>
      </c>
      <c r="F1006" s="421"/>
      <c r="G1006" s="417" t="s">
        <v>1441</v>
      </c>
      <c r="H1006" s="598">
        <v>14104602</v>
      </c>
      <c r="I1006" s="322" t="s">
        <v>1440</v>
      </c>
      <c r="J1006" s="418"/>
      <c r="K1006" s="248"/>
      <c r="M1006" s="248"/>
      <c r="AF1006">
        <v>10</v>
      </c>
    </row>
    <row r="1007" spans="1:32" x14ac:dyDescent="0.25">
      <c r="A1007" s="308">
        <v>45327</v>
      </c>
      <c r="B1007" s="416">
        <v>1228502</v>
      </c>
      <c r="C1007" s="413" t="str">
        <f>IFERROR(INDEX(Table14[],MATCH($B1007,Table14[SAPNo],0),3),"")</f>
        <v>1618 CT182 U-60 Rotor</v>
      </c>
      <c r="D1007" s="306"/>
      <c r="E1007" s="421">
        <v>10</v>
      </c>
      <c r="F1007" s="421"/>
      <c r="G1007" s="417" t="s">
        <v>1441</v>
      </c>
      <c r="H1007" s="598">
        <v>14104602</v>
      </c>
      <c r="I1007" s="322" t="s">
        <v>1440</v>
      </c>
      <c r="J1007" s="418"/>
      <c r="K1007" s="248"/>
      <c r="M1007" s="248"/>
      <c r="AF1007">
        <v>10</v>
      </c>
    </row>
    <row r="1008" spans="1:32" x14ac:dyDescent="0.25">
      <c r="A1008" s="308">
        <v>45327</v>
      </c>
      <c r="B1008" s="416">
        <v>1228503</v>
      </c>
      <c r="C1008" s="413" t="str">
        <f>IFERROR(INDEX(Table14[],MATCH($B1008,Table14[SAPNo],0),3),"")</f>
        <v>1618 CT182 U-60 Ring</v>
      </c>
      <c r="D1008" s="306"/>
      <c r="E1008" s="421">
        <v>10</v>
      </c>
      <c r="F1008" s="421"/>
      <c r="G1008" s="417" t="s">
        <v>1441</v>
      </c>
      <c r="H1008" s="598">
        <v>14104602</v>
      </c>
      <c r="I1008" s="322" t="s">
        <v>1440</v>
      </c>
      <c r="J1008" s="418"/>
      <c r="K1008" s="248"/>
      <c r="M1008" s="248"/>
      <c r="AF1008">
        <v>10</v>
      </c>
    </row>
    <row r="1009" spans="1:32" x14ac:dyDescent="0.25">
      <c r="A1009" s="308">
        <v>45327</v>
      </c>
      <c r="B1009" s="416">
        <v>1261319</v>
      </c>
      <c r="C1009" s="413" t="str">
        <f>IFERROR(INDEX(Table14[],MATCH($B1009,Table14[SAPNo],0),3),"")</f>
        <v>1308 CT155 U-60</v>
      </c>
      <c r="D1009" s="306"/>
      <c r="E1009" s="421">
        <v>24</v>
      </c>
      <c r="F1009" s="421"/>
      <c r="G1009" s="417" t="s">
        <v>1441</v>
      </c>
      <c r="H1009" s="598">
        <v>14104602</v>
      </c>
      <c r="I1009" s="322" t="s">
        <v>1440</v>
      </c>
      <c r="J1009" s="418"/>
      <c r="K1009" s="248"/>
      <c r="M1009" s="248"/>
      <c r="AF1009">
        <v>24</v>
      </c>
    </row>
    <row r="1010" spans="1:32" x14ac:dyDescent="0.25">
      <c r="A1010" s="308">
        <v>45327</v>
      </c>
      <c r="B1010" s="416">
        <v>1261320</v>
      </c>
      <c r="C1010" s="413" t="str">
        <f>IFERROR(INDEX(Table14[],MATCH($B1010,Table14[SAPNo],0),3),"")</f>
        <v>1313 CT155 U-60</v>
      </c>
      <c r="D1010" s="306"/>
      <c r="E1010" s="421">
        <v>6</v>
      </c>
      <c r="F1010" s="421"/>
      <c r="G1010" s="417" t="s">
        <v>1441</v>
      </c>
      <c r="H1010" s="598">
        <v>14104602</v>
      </c>
      <c r="I1010" s="322" t="s">
        <v>1440</v>
      </c>
      <c r="J1010" s="418"/>
      <c r="K1010" s="248"/>
      <c r="M1010" s="248"/>
      <c r="AF1010">
        <v>6</v>
      </c>
    </row>
    <row r="1011" spans="1:32" x14ac:dyDescent="0.25">
      <c r="A1011" s="308">
        <v>45327</v>
      </c>
      <c r="B1011" s="416">
        <v>1261321</v>
      </c>
      <c r="C1011" s="413" t="str">
        <f>IFERROR(INDEX(Table14[],MATCH($B1011,Table14[SAPNo],0),3),"")</f>
        <v>1613 CT155 U-60</v>
      </c>
      <c r="D1011" s="306"/>
      <c r="E1011" s="421">
        <v>4</v>
      </c>
      <c r="F1011" s="421"/>
      <c r="G1011" s="417" t="s">
        <v>1441</v>
      </c>
      <c r="H1011" s="598">
        <v>14104602</v>
      </c>
      <c r="I1011" s="322" t="s">
        <v>1440</v>
      </c>
      <c r="J1011" s="418"/>
      <c r="K1011" s="248"/>
      <c r="M1011" s="248"/>
      <c r="AF1011">
        <v>4</v>
      </c>
    </row>
    <row r="1012" spans="1:32" x14ac:dyDescent="0.25">
      <c r="A1012" s="308">
        <v>45327</v>
      </c>
      <c r="B1012" s="416">
        <v>1220554</v>
      </c>
      <c r="C1012" s="413" t="str">
        <f>IFERROR(INDEX(Table14[],MATCH($B1012,Table14[SAPNo],0),3),"")</f>
        <v xml:space="preserve">1618 CT182 U-60 Carbide </v>
      </c>
      <c r="D1012" s="306"/>
      <c r="E1012" s="421">
        <v>10</v>
      </c>
      <c r="F1012" s="421"/>
      <c r="G1012" s="417" t="s">
        <v>1441</v>
      </c>
      <c r="H1012" s="598">
        <v>14104602</v>
      </c>
      <c r="I1012" s="322" t="s">
        <v>1440</v>
      </c>
      <c r="J1012" s="418"/>
      <c r="K1012" s="248"/>
      <c r="M1012" s="248"/>
      <c r="AF1012">
        <v>10</v>
      </c>
    </row>
    <row r="1013" spans="1:32" x14ac:dyDescent="0.25">
      <c r="A1013" s="308">
        <v>45327</v>
      </c>
      <c r="B1013" s="416">
        <v>871781</v>
      </c>
      <c r="C1013" s="413" t="str">
        <f>IFERROR(INDEX(Table14[],MATCH($B1013,Table14[SAPNo],0),3),"")</f>
        <v>Round 1313 CT200  0.018" (B)</v>
      </c>
      <c r="D1013" s="306"/>
      <c r="E1013" s="421">
        <v>6</v>
      </c>
      <c r="F1013" s="421"/>
      <c r="G1013" s="417" t="s">
        <v>1441</v>
      </c>
      <c r="H1013" s="598">
        <v>14104602</v>
      </c>
      <c r="I1013" s="322" t="s">
        <v>1440</v>
      </c>
      <c r="J1013" s="418"/>
      <c r="K1013" s="248"/>
      <c r="M1013" s="248"/>
      <c r="AF1013">
        <v>6</v>
      </c>
    </row>
    <row r="1014" spans="1:32" x14ac:dyDescent="0.25">
      <c r="A1014" s="308">
        <v>45327</v>
      </c>
      <c r="B1014" s="416">
        <v>1228501</v>
      </c>
      <c r="C1014" s="413" t="str">
        <f>IFERROR(INDEX(Table14[],MATCH($B1014,Table14[SAPNo],0),3),"")</f>
        <v>1618 CT182 U-60 stator</v>
      </c>
      <c r="D1014" s="306"/>
      <c r="E1014" s="421">
        <v>10</v>
      </c>
      <c r="F1014" s="421"/>
      <c r="G1014" s="417" t="s">
        <v>1442</v>
      </c>
      <c r="H1014" s="598">
        <v>14104604</v>
      </c>
      <c r="I1014" s="322" t="s">
        <v>1440</v>
      </c>
      <c r="J1014" s="418"/>
      <c r="K1014" s="248"/>
      <c r="M1014" s="248"/>
      <c r="AF1014">
        <v>10</v>
      </c>
    </row>
    <row r="1015" spans="1:32" x14ac:dyDescent="0.25">
      <c r="A1015" s="308">
        <v>45327</v>
      </c>
      <c r="B1015" s="416">
        <v>1228502</v>
      </c>
      <c r="C1015" s="413" t="str">
        <f>IFERROR(INDEX(Table14[],MATCH($B1015,Table14[SAPNo],0),3),"")</f>
        <v>1618 CT182 U-60 Rotor</v>
      </c>
      <c r="D1015" s="306"/>
      <c r="E1015" s="421">
        <v>10</v>
      </c>
      <c r="F1015" s="421"/>
      <c r="G1015" s="417" t="s">
        <v>1442</v>
      </c>
      <c r="H1015" s="598">
        <v>14104604</v>
      </c>
      <c r="I1015" s="322" t="s">
        <v>1440</v>
      </c>
      <c r="J1015" s="418"/>
      <c r="K1015" s="248"/>
      <c r="M1015" s="248"/>
      <c r="AF1015">
        <v>10</v>
      </c>
    </row>
    <row r="1016" spans="1:32" x14ac:dyDescent="0.25">
      <c r="A1016" s="308">
        <v>45327</v>
      </c>
      <c r="B1016" s="416">
        <v>1228503</v>
      </c>
      <c r="C1016" s="413" t="str">
        <f>IFERROR(INDEX(Table14[],MATCH($B1016,Table14[SAPNo],0),3),"")</f>
        <v>1618 CT182 U-60 Ring</v>
      </c>
      <c r="D1016" s="306"/>
      <c r="E1016" s="421">
        <v>10</v>
      </c>
      <c r="F1016" s="421"/>
      <c r="G1016" s="417" t="s">
        <v>1442</v>
      </c>
      <c r="H1016" s="598">
        <v>14104604</v>
      </c>
      <c r="I1016" s="322" t="s">
        <v>1440</v>
      </c>
      <c r="J1016" s="418"/>
      <c r="K1016" s="248"/>
      <c r="M1016" s="248"/>
      <c r="AF1016">
        <v>10</v>
      </c>
    </row>
    <row r="1017" spans="1:32" x14ac:dyDescent="0.25">
      <c r="A1017" s="308">
        <v>45327</v>
      </c>
      <c r="B1017" s="416">
        <v>1261319</v>
      </c>
      <c r="C1017" s="413" t="str">
        <f>IFERROR(INDEX(Table14[],MATCH($B1017,Table14[SAPNo],0),3),"")</f>
        <v>1308 CT155 U-60</v>
      </c>
      <c r="D1017" s="306"/>
      <c r="E1017" s="421">
        <v>24</v>
      </c>
      <c r="F1017" s="421"/>
      <c r="G1017" s="417" t="s">
        <v>1442</v>
      </c>
      <c r="H1017" s="598">
        <v>14104604</v>
      </c>
      <c r="I1017" s="322" t="s">
        <v>1440</v>
      </c>
      <c r="J1017" s="418"/>
      <c r="K1017" s="248"/>
      <c r="M1017" s="248"/>
      <c r="AF1017">
        <v>24</v>
      </c>
    </row>
    <row r="1018" spans="1:32" x14ac:dyDescent="0.25">
      <c r="A1018" s="308">
        <v>45327</v>
      </c>
      <c r="B1018" s="416">
        <v>871781</v>
      </c>
      <c r="C1018" s="413" t="str">
        <f>IFERROR(INDEX(Table14[],MATCH($B1018,Table14[SAPNo],0),3),"")</f>
        <v>Round 1313 CT200  0.018" (B)</v>
      </c>
      <c r="D1018" s="306"/>
      <c r="E1018" s="421">
        <v>6</v>
      </c>
      <c r="F1018" s="421"/>
      <c r="G1018" s="417" t="s">
        <v>1442</v>
      </c>
      <c r="H1018" s="598">
        <v>14104604</v>
      </c>
      <c r="I1018" s="322" t="s">
        <v>1440</v>
      </c>
      <c r="J1018" s="418"/>
      <c r="K1018" s="248"/>
      <c r="M1018" s="248"/>
      <c r="AF1018">
        <v>6</v>
      </c>
    </row>
    <row r="1019" spans="1:32" x14ac:dyDescent="0.25">
      <c r="A1019" s="308">
        <v>45327</v>
      </c>
      <c r="B1019" s="416">
        <v>1261320</v>
      </c>
      <c r="C1019" s="413" t="str">
        <f>IFERROR(INDEX(Table14[],MATCH($B1019,Table14[SAPNo],0),3),"")</f>
        <v>1313 CT155 U-60</v>
      </c>
      <c r="D1019" s="306"/>
      <c r="E1019" s="421">
        <v>6</v>
      </c>
      <c r="F1019" s="421"/>
      <c r="G1019" s="417" t="s">
        <v>1442</v>
      </c>
      <c r="H1019" s="598">
        <v>14104604</v>
      </c>
      <c r="I1019" s="322" t="s">
        <v>1440</v>
      </c>
      <c r="J1019" s="418"/>
      <c r="K1019" s="248"/>
      <c r="M1019" s="248"/>
      <c r="AF1019">
        <v>6</v>
      </c>
    </row>
    <row r="1020" spans="1:32" x14ac:dyDescent="0.25">
      <c r="A1020" s="308">
        <v>45327</v>
      </c>
      <c r="B1020" s="416">
        <v>1220554</v>
      </c>
      <c r="C1020" s="413" t="str">
        <f>IFERROR(INDEX(Table14[],MATCH($B1020,Table14[SAPNo],0),3),"")</f>
        <v xml:space="preserve">1618 CT182 U-60 Carbide </v>
      </c>
      <c r="D1020" s="306"/>
      <c r="E1020" s="421">
        <v>11</v>
      </c>
      <c r="F1020" s="421"/>
      <c r="G1020" s="417" t="s">
        <v>1442</v>
      </c>
      <c r="H1020" s="598">
        <v>14104604</v>
      </c>
      <c r="I1020" s="322" t="s">
        <v>1440</v>
      </c>
      <c r="J1020" s="418"/>
      <c r="K1020" s="248"/>
      <c r="M1020" s="248"/>
      <c r="AF1020">
        <v>11</v>
      </c>
    </row>
    <row r="1021" spans="1:32" x14ac:dyDescent="0.25">
      <c r="A1021" s="308">
        <v>45327</v>
      </c>
      <c r="B1021" s="416">
        <v>1261321</v>
      </c>
      <c r="C1021" s="413" t="str">
        <f>IFERROR(INDEX(Table14[],MATCH($B1021,Table14[SAPNo],0),3),"")</f>
        <v>1613 CT155 U-60</v>
      </c>
      <c r="D1021" s="306"/>
      <c r="E1021" s="421">
        <v>4</v>
      </c>
      <c r="F1021" s="421"/>
      <c r="G1021" s="417" t="s">
        <v>1442</v>
      </c>
      <c r="H1021" s="598">
        <v>14104604</v>
      </c>
      <c r="I1021" s="322" t="s">
        <v>1440</v>
      </c>
      <c r="J1021" s="418"/>
      <c r="K1021" s="248"/>
      <c r="M1021" s="248"/>
      <c r="AF1021">
        <v>4</v>
      </c>
    </row>
    <row r="1022" spans="1:32" x14ac:dyDescent="0.25">
      <c r="A1022" s="308">
        <v>45327</v>
      </c>
      <c r="B1022" s="416">
        <v>1261321</v>
      </c>
      <c r="C1022" s="413" t="str">
        <f>IFERROR(INDEX(Table14[],MATCH($B1022,Table14[SAPNo],0),3),"")</f>
        <v>1613 CT155 U-60</v>
      </c>
      <c r="D1022" s="306"/>
      <c r="E1022" s="421">
        <v>4</v>
      </c>
      <c r="F1022" s="421"/>
      <c r="G1022" s="417" t="s">
        <v>1443</v>
      </c>
      <c r="H1022" s="598">
        <v>14104605</v>
      </c>
      <c r="I1022" s="322" t="s">
        <v>1440</v>
      </c>
      <c r="J1022" s="418"/>
      <c r="K1022" s="248"/>
      <c r="M1022" s="248"/>
      <c r="AF1022">
        <v>4</v>
      </c>
    </row>
    <row r="1023" spans="1:32" x14ac:dyDescent="0.25">
      <c r="A1023" s="308">
        <v>45327</v>
      </c>
      <c r="B1023" s="416">
        <v>1228502</v>
      </c>
      <c r="C1023" s="413" t="str">
        <f>IFERROR(INDEX(Table14[],MATCH($B1023,Table14[SAPNo],0),3),"")</f>
        <v>1618 CT182 U-60 Rotor</v>
      </c>
      <c r="D1023" s="306"/>
      <c r="E1023" s="421">
        <v>10</v>
      </c>
      <c r="F1023" s="421"/>
      <c r="G1023" s="417" t="s">
        <v>1443</v>
      </c>
      <c r="H1023" s="598">
        <v>14104605</v>
      </c>
      <c r="I1023" s="322" t="s">
        <v>1440</v>
      </c>
      <c r="J1023" s="418"/>
      <c r="K1023" s="248"/>
      <c r="M1023" s="248"/>
      <c r="AF1023">
        <v>10</v>
      </c>
    </row>
    <row r="1024" spans="1:32" x14ac:dyDescent="0.25">
      <c r="A1024" s="308">
        <v>45327</v>
      </c>
      <c r="B1024" s="416">
        <v>1228501</v>
      </c>
      <c r="C1024" s="413" t="str">
        <f>IFERROR(INDEX(Table14[],MATCH($B1024,Table14[SAPNo],0),3),"")</f>
        <v>1618 CT182 U-60 stator</v>
      </c>
      <c r="D1024" s="306"/>
      <c r="E1024" s="421">
        <v>10</v>
      </c>
      <c r="F1024" s="421"/>
      <c r="G1024" s="417" t="s">
        <v>1443</v>
      </c>
      <c r="H1024" s="598">
        <v>14104605</v>
      </c>
      <c r="I1024" s="322" t="s">
        <v>1440</v>
      </c>
      <c r="J1024" s="418"/>
      <c r="K1024" s="248"/>
      <c r="M1024" s="248"/>
      <c r="AF1024">
        <v>10</v>
      </c>
    </row>
    <row r="1025" spans="1:32" x14ac:dyDescent="0.25">
      <c r="A1025" s="308">
        <v>45327</v>
      </c>
      <c r="B1025" s="416">
        <v>1261320</v>
      </c>
      <c r="C1025" s="413" t="str">
        <f>IFERROR(INDEX(Table14[],MATCH($B1025,Table14[SAPNo],0),3),"")</f>
        <v>1313 CT155 U-60</v>
      </c>
      <c r="D1025" s="306"/>
      <c r="E1025" s="421">
        <v>6</v>
      </c>
      <c r="F1025" s="421"/>
      <c r="G1025" s="417" t="s">
        <v>1443</v>
      </c>
      <c r="H1025" s="598">
        <v>14104605</v>
      </c>
      <c r="I1025" s="322" t="s">
        <v>1440</v>
      </c>
      <c r="J1025" s="418"/>
      <c r="K1025" s="248"/>
      <c r="M1025" s="248"/>
      <c r="AF1025">
        <v>6</v>
      </c>
    </row>
    <row r="1026" spans="1:32" x14ac:dyDescent="0.25">
      <c r="A1026" s="308">
        <v>45327</v>
      </c>
      <c r="B1026" s="416">
        <v>1228503</v>
      </c>
      <c r="C1026" s="413" t="str">
        <f>IFERROR(INDEX(Table14[],MATCH($B1026,Table14[SAPNo],0),3),"")</f>
        <v>1618 CT182 U-60 Ring</v>
      </c>
      <c r="D1026" s="306"/>
      <c r="E1026" s="421">
        <v>10</v>
      </c>
      <c r="F1026" s="421"/>
      <c r="G1026" s="417" t="s">
        <v>1443</v>
      </c>
      <c r="H1026" s="598">
        <v>14104605</v>
      </c>
      <c r="I1026" s="322" t="s">
        <v>1440</v>
      </c>
      <c r="J1026" s="418"/>
      <c r="K1026" s="248"/>
      <c r="M1026" s="248"/>
      <c r="AF1026">
        <v>10</v>
      </c>
    </row>
    <row r="1027" spans="1:32" x14ac:dyDescent="0.25">
      <c r="A1027" s="308">
        <v>45327</v>
      </c>
      <c r="B1027" s="416">
        <v>871781</v>
      </c>
      <c r="C1027" s="413" t="str">
        <f>IFERROR(INDEX(Table14[],MATCH($B1027,Table14[SAPNo],0),3),"")</f>
        <v>Round 1313 CT200  0.018" (B)</v>
      </c>
      <c r="D1027" s="306"/>
      <c r="E1027" s="421">
        <v>6</v>
      </c>
      <c r="F1027" s="421"/>
      <c r="G1027" s="417" t="s">
        <v>1443</v>
      </c>
      <c r="H1027" s="598">
        <v>14104605</v>
      </c>
      <c r="I1027" s="322" t="s">
        <v>1440</v>
      </c>
      <c r="J1027" s="418"/>
      <c r="K1027" s="248"/>
      <c r="M1027" s="248"/>
      <c r="AF1027">
        <v>6</v>
      </c>
    </row>
    <row r="1028" spans="1:32" x14ac:dyDescent="0.25">
      <c r="A1028" s="308">
        <v>45327</v>
      </c>
      <c r="B1028" s="416">
        <v>1220554</v>
      </c>
      <c r="C1028" s="413" t="str">
        <f>IFERROR(INDEX(Table14[],MATCH($B1028,Table14[SAPNo],0),3),"")</f>
        <v xml:space="preserve">1618 CT182 U-60 Carbide </v>
      </c>
      <c r="D1028" s="306"/>
      <c r="E1028" s="421">
        <v>10</v>
      </c>
      <c r="F1028" s="421"/>
      <c r="G1028" s="417" t="s">
        <v>1443</v>
      </c>
      <c r="H1028" s="598">
        <v>14104605</v>
      </c>
      <c r="I1028" s="322" t="s">
        <v>1440</v>
      </c>
      <c r="J1028" s="418"/>
      <c r="K1028" s="248"/>
      <c r="M1028" s="248"/>
      <c r="AF1028">
        <v>10</v>
      </c>
    </row>
    <row r="1029" spans="1:32" x14ac:dyDescent="0.25">
      <c r="A1029" s="308">
        <v>45327</v>
      </c>
      <c r="B1029" s="416">
        <v>1261319</v>
      </c>
      <c r="C1029" s="413" t="str">
        <f>IFERROR(INDEX(Table14[],MATCH($B1029,Table14[SAPNo],0),3),"")</f>
        <v>1308 CT155 U-60</v>
      </c>
      <c r="D1029" s="306"/>
      <c r="E1029" s="421">
        <v>24</v>
      </c>
      <c r="F1029" s="421"/>
      <c r="G1029" s="417" t="s">
        <v>1443</v>
      </c>
      <c r="H1029" s="598">
        <v>14104605</v>
      </c>
      <c r="I1029" s="322" t="s">
        <v>1440</v>
      </c>
      <c r="J1029" s="418"/>
      <c r="K1029" s="248"/>
      <c r="M1029" s="248"/>
      <c r="AF1029">
        <v>24</v>
      </c>
    </row>
    <row r="1030" spans="1:32" x14ac:dyDescent="0.25">
      <c r="A1030" s="308">
        <v>45327</v>
      </c>
      <c r="B1030" s="416">
        <v>1228501</v>
      </c>
      <c r="C1030" s="413" t="str">
        <f>IFERROR(INDEX(Table14[],MATCH($B1030,Table14[SAPNo],0),3),"")</f>
        <v>1618 CT182 U-60 stator</v>
      </c>
      <c r="D1030" s="306"/>
      <c r="E1030" s="421">
        <v>10</v>
      </c>
      <c r="F1030" s="421"/>
      <c r="G1030" s="417" t="s">
        <v>1444</v>
      </c>
      <c r="H1030" s="598">
        <v>14104607</v>
      </c>
      <c r="I1030" s="322" t="s">
        <v>1440</v>
      </c>
      <c r="J1030" s="418"/>
      <c r="K1030" s="248"/>
      <c r="M1030" s="248"/>
      <c r="AF1030">
        <v>10</v>
      </c>
    </row>
    <row r="1031" spans="1:32" x14ac:dyDescent="0.25">
      <c r="A1031" s="308">
        <v>45327</v>
      </c>
      <c r="B1031" s="416">
        <v>871781</v>
      </c>
      <c r="C1031" s="413" t="str">
        <f>IFERROR(INDEX(Table14[],MATCH($B1031,Table14[SAPNo],0),3),"")</f>
        <v>Round 1313 CT200  0.018" (B)</v>
      </c>
      <c r="D1031" s="306"/>
      <c r="E1031" s="421">
        <v>6</v>
      </c>
      <c r="F1031" s="421"/>
      <c r="G1031" s="417" t="s">
        <v>1444</v>
      </c>
      <c r="H1031" s="598">
        <v>14104607</v>
      </c>
      <c r="I1031" s="322" t="s">
        <v>1440</v>
      </c>
      <c r="J1031" s="418"/>
      <c r="K1031" s="248"/>
      <c r="M1031" s="248"/>
      <c r="AF1031">
        <v>6</v>
      </c>
    </row>
    <row r="1032" spans="1:32" x14ac:dyDescent="0.25">
      <c r="A1032" s="308">
        <v>45327</v>
      </c>
      <c r="B1032" s="416">
        <v>1228503</v>
      </c>
      <c r="C1032" s="413" t="str">
        <f>IFERROR(INDEX(Table14[],MATCH($B1032,Table14[SAPNo],0),3),"")</f>
        <v>1618 CT182 U-60 Ring</v>
      </c>
      <c r="D1032" s="306"/>
      <c r="E1032" s="421">
        <v>11</v>
      </c>
      <c r="F1032" s="421"/>
      <c r="G1032" s="417" t="s">
        <v>1444</v>
      </c>
      <c r="H1032" s="598">
        <v>14104607</v>
      </c>
      <c r="I1032" s="322" t="s">
        <v>1440</v>
      </c>
      <c r="J1032" s="418"/>
      <c r="K1032" s="248"/>
      <c r="M1032" s="248"/>
      <c r="AF1032">
        <v>11</v>
      </c>
    </row>
    <row r="1033" spans="1:32" x14ac:dyDescent="0.25">
      <c r="A1033" s="308">
        <v>45327</v>
      </c>
      <c r="B1033" s="416">
        <v>1261319</v>
      </c>
      <c r="C1033" s="413" t="str">
        <f>IFERROR(INDEX(Table14[],MATCH($B1033,Table14[SAPNo],0),3),"")</f>
        <v>1308 CT155 U-60</v>
      </c>
      <c r="D1033" s="306"/>
      <c r="E1033" s="421">
        <v>24</v>
      </c>
      <c r="F1033" s="421"/>
      <c r="G1033" s="417" t="s">
        <v>1444</v>
      </c>
      <c r="H1033" s="598">
        <v>14104607</v>
      </c>
      <c r="I1033" s="322" t="s">
        <v>1440</v>
      </c>
      <c r="J1033" s="418"/>
      <c r="K1033" s="248"/>
      <c r="M1033" s="248"/>
      <c r="AF1033">
        <v>24</v>
      </c>
    </row>
    <row r="1034" spans="1:32" x14ac:dyDescent="0.25">
      <c r="A1034" s="308">
        <v>45327</v>
      </c>
      <c r="B1034" s="416">
        <v>1261321</v>
      </c>
      <c r="C1034" s="413" t="str">
        <f>IFERROR(INDEX(Table14[],MATCH($B1034,Table14[SAPNo],0),3),"")</f>
        <v>1613 CT155 U-60</v>
      </c>
      <c r="D1034" s="306"/>
      <c r="E1034" s="421">
        <v>4</v>
      </c>
      <c r="F1034" s="421"/>
      <c r="G1034" s="417" t="s">
        <v>1444</v>
      </c>
      <c r="H1034" s="598">
        <v>14104607</v>
      </c>
      <c r="I1034" s="322" t="s">
        <v>1440</v>
      </c>
      <c r="J1034" s="418"/>
      <c r="K1034" s="248"/>
      <c r="M1034" s="248"/>
      <c r="AF1034">
        <v>4</v>
      </c>
    </row>
    <row r="1035" spans="1:32" x14ac:dyDescent="0.25">
      <c r="A1035" s="308">
        <v>45327</v>
      </c>
      <c r="B1035" s="416">
        <v>1261320</v>
      </c>
      <c r="C1035" s="413" t="str">
        <f>IFERROR(INDEX(Table14[],MATCH($B1035,Table14[SAPNo],0),3),"")</f>
        <v>1313 CT155 U-60</v>
      </c>
      <c r="D1035" s="306"/>
      <c r="E1035" s="421">
        <v>6</v>
      </c>
      <c r="F1035" s="421"/>
      <c r="G1035" s="417" t="s">
        <v>1444</v>
      </c>
      <c r="H1035" s="598">
        <v>14104607</v>
      </c>
      <c r="I1035" s="322" t="s">
        <v>1440</v>
      </c>
      <c r="J1035" s="418"/>
      <c r="K1035" s="248"/>
      <c r="M1035" s="248"/>
      <c r="AF1035">
        <v>6</v>
      </c>
    </row>
    <row r="1036" spans="1:32" x14ac:dyDescent="0.25">
      <c r="A1036" s="308">
        <v>45327</v>
      </c>
      <c r="B1036" s="416">
        <v>1220554</v>
      </c>
      <c r="C1036" s="413" t="str">
        <f>IFERROR(INDEX(Table14[],MATCH($B1036,Table14[SAPNo],0),3),"")</f>
        <v xml:space="preserve">1618 CT182 U-60 Carbide </v>
      </c>
      <c r="D1036" s="306"/>
      <c r="E1036" s="421">
        <v>10</v>
      </c>
      <c r="F1036" s="421"/>
      <c r="G1036" s="417" t="s">
        <v>1444</v>
      </c>
      <c r="H1036" s="598">
        <v>14104607</v>
      </c>
      <c r="I1036" s="322" t="s">
        <v>1440</v>
      </c>
      <c r="J1036" s="418"/>
      <c r="K1036" s="248"/>
      <c r="M1036" s="248"/>
      <c r="AF1036">
        <v>10</v>
      </c>
    </row>
    <row r="1037" spans="1:32" x14ac:dyDescent="0.25">
      <c r="A1037" s="308">
        <v>45327</v>
      </c>
      <c r="B1037" s="416">
        <v>1228502</v>
      </c>
      <c r="C1037" s="413" t="str">
        <f>IFERROR(INDEX(Table14[],MATCH($B1037,Table14[SAPNo],0),3),"")</f>
        <v>1618 CT182 U-60 Rotor</v>
      </c>
      <c r="D1037" s="306"/>
      <c r="E1037" s="421">
        <v>10</v>
      </c>
      <c r="F1037" s="421"/>
      <c r="G1037" s="417" t="s">
        <v>1444</v>
      </c>
      <c r="H1037" s="598">
        <v>14104607</v>
      </c>
      <c r="I1037" s="322" t="s">
        <v>1440</v>
      </c>
      <c r="J1037" s="418"/>
      <c r="K1037" s="248"/>
      <c r="M1037" s="248"/>
      <c r="AF1037">
        <v>10</v>
      </c>
    </row>
    <row r="1038" spans="1:32" x14ac:dyDescent="0.25">
      <c r="A1038" s="308">
        <v>45327</v>
      </c>
      <c r="B1038" s="416">
        <v>717748</v>
      </c>
      <c r="C1038" s="413" t="str">
        <f>IFERROR(INDEX(Table14[],MATCH($B1038,Table14[SAPNo],0),3),"")</f>
        <v>Round 1010 CT200  0.018" (B)</v>
      </c>
      <c r="D1038" s="306"/>
      <c r="E1038" s="421">
        <v>2</v>
      </c>
      <c r="F1038" s="421"/>
      <c r="G1038" s="417" t="s">
        <v>1445</v>
      </c>
      <c r="H1038" s="598" t="s">
        <v>1436</v>
      </c>
      <c r="I1038" s="322" t="s">
        <v>1069</v>
      </c>
      <c r="J1038" s="418"/>
      <c r="K1038" s="248"/>
      <c r="M1038" s="248"/>
      <c r="AF1038">
        <v>2</v>
      </c>
    </row>
    <row r="1039" spans="1:32" x14ac:dyDescent="0.25">
      <c r="A1039" s="308">
        <v>45328</v>
      </c>
      <c r="B1039" s="416">
        <v>1146346</v>
      </c>
      <c r="C1039" s="413" t="str">
        <f>IFERROR(INDEX(Table14[],MATCH($B1039,Table14[SAPNo],0),3),"")</f>
        <v>1313 CT418 18-60</v>
      </c>
      <c r="D1039" s="306"/>
      <c r="E1039" s="421">
        <v>7</v>
      </c>
      <c r="F1039" s="421"/>
      <c r="G1039" s="417" t="s">
        <v>1446</v>
      </c>
      <c r="H1039" s="598">
        <v>14093065</v>
      </c>
      <c r="I1039" s="322" t="s">
        <v>1447</v>
      </c>
      <c r="J1039" s="418"/>
      <c r="K1039" s="248"/>
      <c r="M1039" s="248"/>
      <c r="AF1039">
        <v>7</v>
      </c>
    </row>
    <row r="1040" spans="1:32" x14ac:dyDescent="0.25">
      <c r="A1040" s="308">
        <v>45328</v>
      </c>
      <c r="B1040" s="416">
        <v>1100696</v>
      </c>
      <c r="C1040" s="413" t="str">
        <f>IFERROR(INDEX(Table14[],MATCH($B1040,Table14[SAPNo],0),3),"")</f>
        <v>Round 1313 CT418  10C (S)</v>
      </c>
      <c r="D1040" s="306"/>
      <c r="E1040" s="421">
        <v>5</v>
      </c>
      <c r="F1040" s="421"/>
      <c r="G1040" s="417" t="s">
        <v>1446</v>
      </c>
      <c r="H1040" s="598">
        <v>14093065</v>
      </c>
      <c r="I1040" s="322" t="s">
        <v>1447</v>
      </c>
      <c r="J1040" s="418"/>
      <c r="K1040" s="248"/>
      <c r="M1040" s="248"/>
      <c r="AF1040">
        <v>5</v>
      </c>
    </row>
    <row r="1041" spans="1:32" x14ac:dyDescent="0.25">
      <c r="A1041" s="308">
        <v>45328</v>
      </c>
      <c r="B1041" s="416">
        <v>1101509</v>
      </c>
      <c r="C1041" s="413" t="str">
        <f>IFERROR(INDEX(Table14[],MATCH($B1041,Table14[SAPNo],0),3),"")</f>
        <v>Short IA 8    (C)</v>
      </c>
      <c r="D1041" s="306"/>
      <c r="E1041" s="421">
        <v>5</v>
      </c>
      <c r="F1041" s="421"/>
      <c r="G1041" s="417" t="s">
        <v>1446</v>
      </c>
      <c r="H1041" s="598">
        <v>14093065</v>
      </c>
      <c r="I1041" s="322" t="s">
        <v>1447</v>
      </c>
      <c r="J1041" s="418"/>
      <c r="K1041" s="248"/>
      <c r="M1041" s="248"/>
      <c r="AF1041">
        <v>5</v>
      </c>
    </row>
    <row r="1042" spans="1:32" x14ac:dyDescent="0.25">
      <c r="A1042" s="308">
        <v>45328</v>
      </c>
      <c r="B1042" s="416">
        <v>418525</v>
      </c>
      <c r="C1042" s="413" t="str">
        <f>IFERROR(INDEX(Table14[],MATCH($B1042,Table14[SAPNo],0),3),"")</f>
        <v>Drop In 1308 CT31   (B)</v>
      </c>
      <c r="D1042" s="306"/>
      <c r="E1042" s="421">
        <v>6</v>
      </c>
      <c r="F1042" s="421"/>
      <c r="G1042" s="417" t="s">
        <v>1446</v>
      </c>
      <c r="H1042" s="598">
        <v>14093065</v>
      </c>
      <c r="I1042" s="322" t="s">
        <v>1447</v>
      </c>
      <c r="J1042" s="418"/>
      <c r="K1042" s="248"/>
      <c r="M1042" s="248"/>
      <c r="AF1042">
        <v>6</v>
      </c>
    </row>
    <row r="1043" spans="1:32" x14ac:dyDescent="0.25">
      <c r="A1043" s="308">
        <v>45328</v>
      </c>
      <c r="B1043" s="416">
        <v>1104083</v>
      </c>
      <c r="C1043" s="413" t="str">
        <f>IFERROR(INDEX(Table14[],MATCH($B1043,Table14[SAPNo],0),3),"")</f>
        <v>1313 CT144H  10C (S)</v>
      </c>
      <c r="D1043" s="306"/>
      <c r="E1043" s="421">
        <v>1</v>
      </c>
      <c r="F1043" s="421"/>
      <c r="G1043" s="417" t="s">
        <v>1446</v>
      </c>
      <c r="H1043" s="598">
        <v>14093065</v>
      </c>
      <c r="I1043" s="322" t="s">
        <v>1447</v>
      </c>
      <c r="J1043" s="418"/>
      <c r="K1043" s="248"/>
      <c r="M1043" s="248"/>
      <c r="AF1043">
        <v>1</v>
      </c>
    </row>
    <row r="1044" spans="1:32" x14ac:dyDescent="0.25">
      <c r="A1044" s="308">
        <v>45328</v>
      </c>
      <c r="B1044" s="416">
        <v>1136984</v>
      </c>
      <c r="C1044" s="413" t="str">
        <f>IFERROR(INDEX(Table14[],MATCH($B1044,Table14[SAPNo],0),3),"")</f>
        <v>DBLMCHT 1313 CT182DM  10C (S)</v>
      </c>
      <c r="D1044" s="306"/>
      <c r="E1044" s="421">
        <v>13</v>
      </c>
      <c r="F1044" s="421"/>
      <c r="G1044" s="417" t="s">
        <v>1446</v>
      </c>
      <c r="H1044" s="598">
        <v>14093065</v>
      </c>
      <c r="I1044" s="322" t="s">
        <v>1447</v>
      </c>
      <c r="J1044" s="418"/>
      <c r="K1044" s="248"/>
      <c r="M1044" s="248"/>
      <c r="AF1044">
        <v>13</v>
      </c>
    </row>
    <row r="1045" spans="1:32" x14ac:dyDescent="0.25">
      <c r="A1045" s="308">
        <v>45328</v>
      </c>
      <c r="B1045" s="416">
        <v>1100696</v>
      </c>
      <c r="C1045" s="413" t="str">
        <f>IFERROR(INDEX(Table14[],MATCH($B1045,Table14[SAPNo],0),3),"")</f>
        <v>Round 1313 CT418  10C (S)</v>
      </c>
      <c r="D1045" s="306"/>
      <c r="E1045" s="421">
        <v>5</v>
      </c>
      <c r="F1045" s="421"/>
      <c r="G1045" s="417" t="s">
        <v>1448</v>
      </c>
      <c r="H1045" s="598">
        <v>14093066</v>
      </c>
      <c r="I1045" s="322" t="s">
        <v>1447</v>
      </c>
      <c r="J1045" s="418"/>
      <c r="K1045" s="248"/>
      <c r="M1045" s="248"/>
      <c r="AF1045">
        <v>5</v>
      </c>
    </row>
    <row r="1046" spans="1:32" x14ac:dyDescent="0.25">
      <c r="A1046" s="308">
        <v>45328</v>
      </c>
      <c r="B1046" s="416">
        <v>1101509</v>
      </c>
      <c r="C1046" s="413" t="str">
        <f>IFERROR(INDEX(Table14[],MATCH($B1046,Table14[SAPNo],0),3),"")</f>
        <v>Short IA 8    (C)</v>
      </c>
      <c r="D1046" s="306"/>
      <c r="E1046" s="421">
        <v>5</v>
      </c>
      <c r="F1046" s="421"/>
      <c r="G1046" s="417" t="s">
        <v>1448</v>
      </c>
      <c r="H1046" s="598">
        <v>14093066</v>
      </c>
      <c r="I1046" s="322" t="s">
        <v>1447</v>
      </c>
      <c r="J1046" s="418"/>
      <c r="K1046" s="248"/>
      <c r="M1046" s="248"/>
      <c r="AF1046">
        <v>5</v>
      </c>
    </row>
    <row r="1047" spans="1:32" x14ac:dyDescent="0.25">
      <c r="A1047" s="308">
        <v>45328</v>
      </c>
      <c r="B1047" s="416">
        <v>1104083</v>
      </c>
      <c r="C1047" s="413" t="str">
        <f>IFERROR(INDEX(Table14[],MATCH($B1047,Table14[SAPNo],0),3),"")</f>
        <v>1313 CT144H  10C (S)</v>
      </c>
      <c r="D1047" s="306"/>
      <c r="E1047" s="421">
        <v>1</v>
      </c>
      <c r="F1047" s="421"/>
      <c r="G1047" s="417" t="s">
        <v>1448</v>
      </c>
      <c r="H1047" s="598">
        <v>14093066</v>
      </c>
      <c r="I1047" s="322" t="s">
        <v>1447</v>
      </c>
      <c r="J1047" s="418"/>
      <c r="K1047" s="248"/>
      <c r="M1047" s="248"/>
      <c r="AF1047">
        <v>1</v>
      </c>
    </row>
    <row r="1048" spans="1:32" x14ac:dyDescent="0.25">
      <c r="A1048" s="308">
        <v>45328</v>
      </c>
      <c r="B1048" s="416">
        <v>1136984</v>
      </c>
      <c r="C1048" s="413" t="str">
        <f>IFERROR(INDEX(Table14[],MATCH($B1048,Table14[SAPNo],0),3),"")</f>
        <v>DBLMCHT 1313 CT182DM  10C (S)</v>
      </c>
      <c r="D1048" s="306"/>
      <c r="E1048" s="421">
        <v>13</v>
      </c>
      <c r="F1048" s="421"/>
      <c r="G1048" s="417" t="s">
        <v>1448</v>
      </c>
      <c r="H1048" s="598">
        <v>14093066</v>
      </c>
      <c r="I1048" s="322" t="s">
        <v>1447</v>
      </c>
      <c r="J1048" s="418"/>
      <c r="K1048" s="248"/>
      <c r="M1048" s="248"/>
      <c r="AF1048">
        <v>13</v>
      </c>
    </row>
    <row r="1049" spans="1:32" x14ac:dyDescent="0.25">
      <c r="A1049" s="308">
        <v>45328</v>
      </c>
      <c r="B1049" s="416">
        <v>1146346</v>
      </c>
      <c r="C1049" s="413" t="str">
        <f>IFERROR(INDEX(Table14[],MATCH($B1049,Table14[SAPNo],0),3),"")</f>
        <v>1313 CT418 18-60</v>
      </c>
      <c r="D1049" s="306"/>
      <c r="E1049" s="421">
        <v>7</v>
      </c>
      <c r="F1049" s="421"/>
      <c r="G1049" s="417" t="s">
        <v>1448</v>
      </c>
      <c r="H1049" s="598">
        <v>14093066</v>
      </c>
      <c r="I1049" s="322" t="s">
        <v>1447</v>
      </c>
      <c r="J1049" s="418"/>
      <c r="K1049" s="248"/>
      <c r="M1049" s="248"/>
      <c r="AF1049">
        <v>7</v>
      </c>
    </row>
    <row r="1050" spans="1:32" x14ac:dyDescent="0.25">
      <c r="A1050" s="308">
        <v>45328</v>
      </c>
      <c r="B1050" s="416">
        <v>418525</v>
      </c>
      <c r="C1050" s="413" t="str">
        <f>IFERROR(INDEX(Table14[],MATCH($B1050,Table14[SAPNo],0),3),"")</f>
        <v>Drop In 1308 CT31   (B)</v>
      </c>
      <c r="D1050" s="306"/>
      <c r="E1050" s="421">
        <v>6</v>
      </c>
      <c r="F1050" s="421"/>
      <c r="G1050" s="417" t="s">
        <v>1448</v>
      </c>
      <c r="H1050" s="598">
        <v>14093066</v>
      </c>
      <c r="I1050" s="322" t="s">
        <v>1447</v>
      </c>
      <c r="J1050" s="418"/>
      <c r="K1050" s="248"/>
      <c r="M1050" s="248"/>
      <c r="AF1050">
        <v>6</v>
      </c>
    </row>
    <row r="1051" spans="1:32" x14ac:dyDescent="0.25">
      <c r="A1051" s="308">
        <v>45328</v>
      </c>
      <c r="B1051" s="416">
        <v>1104083</v>
      </c>
      <c r="C1051" s="413" t="str">
        <f>IFERROR(INDEX(Table14[],MATCH($B1051,Table14[SAPNo],0),3),"")</f>
        <v>1313 CT144H  10C (S)</v>
      </c>
      <c r="D1051" s="306"/>
      <c r="E1051" s="421">
        <v>1</v>
      </c>
      <c r="F1051" s="421"/>
      <c r="G1051" s="417" t="s">
        <v>1449</v>
      </c>
      <c r="H1051" s="598">
        <v>14093067</v>
      </c>
      <c r="I1051" s="322" t="s">
        <v>1447</v>
      </c>
      <c r="J1051" s="418"/>
      <c r="K1051" s="248"/>
      <c r="M1051" s="248"/>
      <c r="AF1051">
        <v>1</v>
      </c>
    </row>
    <row r="1052" spans="1:32" x14ac:dyDescent="0.25">
      <c r="A1052" s="308">
        <v>45328</v>
      </c>
      <c r="B1052" s="416">
        <v>1101509</v>
      </c>
      <c r="C1052" s="413" t="str">
        <f>IFERROR(INDEX(Table14[],MATCH($B1052,Table14[SAPNo],0),3),"")</f>
        <v>Short IA 8    (C)</v>
      </c>
      <c r="D1052" s="306"/>
      <c r="E1052" s="421">
        <v>5</v>
      </c>
      <c r="F1052" s="421"/>
      <c r="G1052" s="417" t="s">
        <v>1449</v>
      </c>
      <c r="H1052" s="598">
        <v>14093067</v>
      </c>
      <c r="I1052" s="322" t="s">
        <v>1447</v>
      </c>
      <c r="J1052" s="418"/>
      <c r="K1052" s="248"/>
      <c r="M1052" s="248"/>
      <c r="AF1052">
        <v>5</v>
      </c>
    </row>
    <row r="1053" spans="1:32" x14ac:dyDescent="0.25">
      <c r="A1053" s="308">
        <v>45328</v>
      </c>
      <c r="B1053" s="416">
        <v>1146346</v>
      </c>
      <c r="C1053" s="413" t="str">
        <f>IFERROR(INDEX(Table14[],MATCH($B1053,Table14[SAPNo],0),3),"")</f>
        <v>1313 CT418 18-60</v>
      </c>
      <c r="D1053" s="306"/>
      <c r="E1053" s="421">
        <v>7</v>
      </c>
      <c r="F1053" s="421"/>
      <c r="G1053" s="417" t="s">
        <v>1449</v>
      </c>
      <c r="H1053" s="598">
        <v>14093067</v>
      </c>
      <c r="I1053" s="322" t="s">
        <v>1447</v>
      </c>
      <c r="J1053" s="418"/>
      <c r="K1053" s="248"/>
      <c r="M1053" s="248"/>
      <c r="AF1053">
        <v>7</v>
      </c>
    </row>
    <row r="1054" spans="1:32" x14ac:dyDescent="0.25">
      <c r="A1054" s="308">
        <v>45328</v>
      </c>
      <c r="B1054" s="416">
        <v>1100696</v>
      </c>
      <c r="C1054" s="413" t="str">
        <f>IFERROR(INDEX(Table14[],MATCH($B1054,Table14[SAPNo],0),3),"")</f>
        <v>Round 1313 CT418  10C (S)</v>
      </c>
      <c r="D1054" s="306"/>
      <c r="E1054" s="421">
        <v>5</v>
      </c>
      <c r="F1054" s="421"/>
      <c r="G1054" s="417" t="s">
        <v>1449</v>
      </c>
      <c r="H1054" s="598">
        <v>14093067</v>
      </c>
      <c r="I1054" s="322" t="s">
        <v>1447</v>
      </c>
      <c r="J1054" s="418"/>
      <c r="K1054" s="248"/>
      <c r="M1054" s="248"/>
      <c r="AF1054">
        <v>5</v>
      </c>
    </row>
    <row r="1055" spans="1:32" x14ac:dyDescent="0.25">
      <c r="A1055" s="308">
        <v>45328</v>
      </c>
      <c r="B1055" s="416">
        <v>418525</v>
      </c>
      <c r="C1055" s="413" t="str">
        <f>IFERROR(INDEX(Table14[],MATCH($B1055,Table14[SAPNo],0),3),"")</f>
        <v>Drop In 1308 CT31   (B)</v>
      </c>
      <c r="D1055" s="306"/>
      <c r="E1055" s="421">
        <v>6</v>
      </c>
      <c r="F1055" s="421"/>
      <c r="G1055" s="417" t="s">
        <v>1449</v>
      </c>
      <c r="H1055" s="598">
        <v>14093067</v>
      </c>
      <c r="I1055" s="322" t="s">
        <v>1447</v>
      </c>
      <c r="J1055" s="418"/>
      <c r="K1055" s="248"/>
      <c r="M1055" s="248"/>
      <c r="AF1055">
        <v>6</v>
      </c>
    </row>
    <row r="1056" spans="1:32" x14ac:dyDescent="0.25">
      <c r="A1056" s="320">
        <v>45328</v>
      </c>
      <c r="B1056" s="419">
        <v>1136984</v>
      </c>
      <c r="C1056" s="413" t="str">
        <f>IFERROR(INDEX(Table14[],MATCH($B1056,Table14[SAPNo],0),3),"")</f>
        <v>DBLMCHT 1313 CT182DM  10C (S)</v>
      </c>
      <c r="D1056" s="306"/>
      <c r="E1056" s="421">
        <v>13</v>
      </c>
      <c r="F1056" s="421"/>
      <c r="G1056" s="420" t="s">
        <v>1449</v>
      </c>
      <c r="H1056" s="599">
        <v>14093067</v>
      </c>
      <c r="I1056" s="322" t="s">
        <v>1447</v>
      </c>
      <c r="J1056" s="421"/>
      <c r="K1056" s="422"/>
      <c r="M1056" s="422"/>
      <c r="AF1056">
        <v>13</v>
      </c>
    </row>
    <row r="1057" spans="1:32" x14ac:dyDescent="0.25">
      <c r="A1057" s="308">
        <v>45329</v>
      </c>
      <c r="B1057" s="416">
        <v>647435</v>
      </c>
      <c r="C1057" s="413" t="str">
        <f>IFERROR(INDEX(Table14[],MATCH($B1057,Table14[SAPNo],0),3),"")</f>
        <v>Round 1608 CT200  0.018" (B)</v>
      </c>
      <c r="D1057" s="306"/>
      <c r="E1057" s="421">
        <v>16</v>
      </c>
      <c r="F1057" s="421"/>
      <c r="G1057" s="417" t="s">
        <v>1450</v>
      </c>
      <c r="H1057" s="598">
        <v>14110980</v>
      </c>
      <c r="I1057" s="322" t="s">
        <v>1451</v>
      </c>
      <c r="J1057" s="418"/>
      <c r="K1057" s="248"/>
      <c r="M1057" s="248"/>
      <c r="AF1057">
        <v>16</v>
      </c>
    </row>
    <row r="1058" spans="1:32" x14ac:dyDescent="0.25">
      <c r="A1058" s="308">
        <v>45329</v>
      </c>
      <c r="B1058" s="416">
        <v>1146737</v>
      </c>
      <c r="C1058" s="413" t="str">
        <f>IFERROR(INDEX(Table14[],MATCH($B1058,Table14[SAPNo],0),3),"")</f>
        <v>1613 CT418 18-60</v>
      </c>
      <c r="D1058" s="306"/>
      <c r="E1058" s="421">
        <v>39</v>
      </c>
      <c r="F1058" s="421"/>
      <c r="G1058" s="417" t="s">
        <v>1450</v>
      </c>
      <c r="H1058" s="598">
        <v>14110980</v>
      </c>
      <c r="I1058" s="322" t="s">
        <v>1451</v>
      </c>
      <c r="J1058" s="418"/>
      <c r="K1058" s="248"/>
      <c r="M1058" s="248"/>
      <c r="AF1058">
        <v>39</v>
      </c>
    </row>
    <row r="1059" spans="1:32" x14ac:dyDescent="0.25">
      <c r="A1059" s="308">
        <v>45329</v>
      </c>
      <c r="B1059" s="416">
        <v>1271790</v>
      </c>
      <c r="C1059" s="413" t="str">
        <f>IFERROR(INDEX(Table14[],MATCH($B1059,Table14[SAPNo],0),3),"")</f>
        <v xml:space="preserve">1613 CT170 18-60 </v>
      </c>
      <c r="D1059" s="306"/>
      <c r="E1059" s="421">
        <v>53</v>
      </c>
      <c r="F1059" s="421"/>
      <c r="G1059" s="417" t="s">
        <v>1450</v>
      </c>
      <c r="H1059" s="598">
        <v>14110980</v>
      </c>
      <c r="I1059" s="322" t="s">
        <v>1451</v>
      </c>
      <c r="J1059" s="418"/>
      <c r="K1059" s="248"/>
      <c r="M1059" s="248"/>
      <c r="AF1059">
        <v>53</v>
      </c>
    </row>
    <row r="1060" spans="1:32" x14ac:dyDescent="0.25">
      <c r="A1060" s="308">
        <v>45329</v>
      </c>
      <c r="B1060" s="416">
        <v>418525</v>
      </c>
      <c r="C1060" s="413" t="str">
        <f>IFERROR(INDEX(Table14[],MATCH($B1060,Table14[SAPNo],0),3),"")</f>
        <v>Drop In 1308 CT31   (B)</v>
      </c>
      <c r="D1060" s="306"/>
      <c r="E1060" s="421">
        <v>8</v>
      </c>
      <c r="F1060" s="421"/>
      <c r="G1060" s="417" t="s">
        <v>1450</v>
      </c>
      <c r="H1060" s="598">
        <v>14110980</v>
      </c>
      <c r="I1060" s="322" t="s">
        <v>1451</v>
      </c>
      <c r="J1060" s="418"/>
      <c r="K1060" s="248"/>
      <c r="M1060" s="248"/>
      <c r="AF1060">
        <v>8</v>
      </c>
    </row>
    <row r="1061" spans="1:32" x14ac:dyDescent="0.25">
      <c r="A1061" s="308">
        <v>45329</v>
      </c>
      <c r="B1061" s="416">
        <v>647436</v>
      </c>
      <c r="C1061" s="413" t="str">
        <f>IFERROR(INDEX(Table14[],MATCH($B1061,Table14[SAPNo],0),3),"")</f>
        <v>Round 1613 CT200  0.018" (B)</v>
      </c>
      <c r="D1061" s="306"/>
      <c r="E1061" s="421">
        <v>64</v>
      </c>
      <c r="F1061" s="421"/>
      <c r="G1061" s="417" t="s">
        <v>1450</v>
      </c>
      <c r="H1061" s="598">
        <v>14110980</v>
      </c>
      <c r="I1061" s="322" t="s">
        <v>1451</v>
      </c>
      <c r="J1061" s="418"/>
      <c r="K1061" s="248"/>
      <c r="M1061" s="248"/>
      <c r="AF1061">
        <v>64</v>
      </c>
    </row>
    <row r="1062" spans="1:32" x14ac:dyDescent="0.25">
      <c r="A1062" s="308">
        <v>45329</v>
      </c>
      <c r="B1062" s="416">
        <v>717748</v>
      </c>
      <c r="C1062" s="413" t="str">
        <f>IFERROR(INDEX(Table14[],MATCH($B1062,Table14[SAPNo],0),3),"")</f>
        <v>Round 1010 CT200  0.018" (B)</v>
      </c>
      <c r="D1062" s="306"/>
      <c r="E1062" s="421">
        <v>23</v>
      </c>
      <c r="F1062" s="421"/>
      <c r="G1062" s="417" t="s">
        <v>1452</v>
      </c>
      <c r="H1062" s="598">
        <v>14036252</v>
      </c>
      <c r="I1062" s="322" t="s">
        <v>1453</v>
      </c>
      <c r="J1062" s="418"/>
      <c r="K1062" s="248"/>
      <c r="M1062" s="248"/>
      <c r="AF1062">
        <v>23</v>
      </c>
    </row>
    <row r="1063" spans="1:32" x14ac:dyDescent="0.25">
      <c r="A1063" s="308">
        <v>45329</v>
      </c>
      <c r="B1063" s="416">
        <v>773384</v>
      </c>
      <c r="C1063" s="413" t="str">
        <f>IFERROR(INDEX(Table14[],MATCH($B1063,Table14[SAPNo],0),3),"")</f>
        <v>Round 1005 CT200  0.018" (B)</v>
      </c>
      <c r="D1063" s="306"/>
      <c r="E1063" s="421">
        <v>10</v>
      </c>
      <c r="F1063" s="421"/>
      <c r="G1063" s="417" t="s">
        <v>1452</v>
      </c>
      <c r="H1063" s="598">
        <v>14036252</v>
      </c>
      <c r="I1063" s="322" t="s">
        <v>1453</v>
      </c>
      <c r="J1063" s="418"/>
      <c r="K1063" s="248"/>
      <c r="M1063" s="248"/>
      <c r="AF1063">
        <v>10</v>
      </c>
    </row>
    <row r="1064" spans="1:32" x14ac:dyDescent="0.25">
      <c r="A1064" s="308">
        <v>45329</v>
      </c>
      <c r="B1064" s="416">
        <v>882800</v>
      </c>
      <c r="C1064" s="413" t="str">
        <f>IFERROR(INDEX(Table14[],MATCH($B1064,Table14[SAPNo],0),3),"")</f>
        <v>Round 0808 CT80  0.018" (B)</v>
      </c>
      <c r="D1064" s="306"/>
      <c r="E1064" s="421">
        <v>10</v>
      </c>
      <c r="F1064" s="421"/>
      <c r="G1064" s="417" t="s">
        <v>1452</v>
      </c>
      <c r="H1064" s="598">
        <v>14036252</v>
      </c>
      <c r="I1064" s="322" t="s">
        <v>1453</v>
      </c>
      <c r="J1064" s="418"/>
      <c r="K1064" s="248"/>
      <c r="M1064" s="248"/>
      <c r="AF1064">
        <v>10</v>
      </c>
    </row>
    <row r="1065" spans="1:32" x14ac:dyDescent="0.25">
      <c r="A1065" s="308">
        <v>45329</v>
      </c>
      <c r="B1065" s="416">
        <v>882800</v>
      </c>
      <c r="C1065" s="413" t="str">
        <f>IFERROR(INDEX(Table14[],MATCH($B1065,Table14[SAPNo],0),3),"")</f>
        <v>Round 0808 CT80  0.018" (B)</v>
      </c>
      <c r="D1065" s="306"/>
      <c r="E1065" s="421">
        <v>10</v>
      </c>
      <c r="F1065" s="421"/>
      <c r="G1065" s="417" t="s">
        <v>1454</v>
      </c>
      <c r="H1065" s="598">
        <v>14036251</v>
      </c>
      <c r="I1065" s="322" t="s">
        <v>1453</v>
      </c>
      <c r="J1065" s="418"/>
      <c r="K1065" s="248"/>
      <c r="M1065" s="248"/>
      <c r="AF1065">
        <v>10</v>
      </c>
    </row>
    <row r="1066" spans="1:32" x14ac:dyDescent="0.25">
      <c r="A1066" s="320">
        <v>45329</v>
      </c>
      <c r="B1066" s="419">
        <v>717748</v>
      </c>
      <c r="C1066" s="413" t="str">
        <f>IFERROR(INDEX(Table14[],MATCH($B1066,Table14[SAPNo],0),3),"")</f>
        <v>Round 1010 CT200  0.018" (B)</v>
      </c>
      <c r="D1066" s="306"/>
      <c r="E1066" s="421">
        <v>23</v>
      </c>
      <c r="F1066" s="421"/>
      <c r="G1066" s="420" t="s">
        <v>1454</v>
      </c>
      <c r="H1066" s="599">
        <v>14036251</v>
      </c>
      <c r="I1066" s="322" t="s">
        <v>1453</v>
      </c>
      <c r="J1066" s="421"/>
      <c r="K1066" s="422"/>
      <c r="M1066" s="422"/>
      <c r="AF1066">
        <v>23</v>
      </c>
    </row>
    <row r="1067" spans="1:32" x14ac:dyDescent="0.25">
      <c r="A1067" s="308">
        <v>45329</v>
      </c>
      <c r="B1067" s="416">
        <v>773384</v>
      </c>
      <c r="C1067" s="413" t="str">
        <f>IFERROR(INDEX(Table14[],MATCH($B1067,Table14[SAPNo],0),3),"")</f>
        <v>Round 1005 CT200  0.018" (B)</v>
      </c>
      <c r="D1067" s="306"/>
      <c r="E1067" s="421">
        <v>10</v>
      </c>
      <c r="F1067" s="421"/>
      <c r="G1067" s="417" t="s">
        <v>1454</v>
      </c>
      <c r="H1067" s="598">
        <v>14036251</v>
      </c>
      <c r="I1067" s="322" t="s">
        <v>1453</v>
      </c>
      <c r="J1067" s="418"/>
      <c r="K1067" s="248"/>
      <c r="M1067" s="248"/>
      <c r="AF1067">
        <v>10</v>
      </c>
    </row>
    <row r="1068" spans="1:32" x14ac:dyDescent="0.25">
      <c r="A1068" s="308">
        <v>45330</v>
      </c>
      <c r="B1068" s="416">
        <v>1146737</v>
      </c>
      <c r="C1068" s="413" t="str">
        <f>IFERROR(INDEX(Table14[],MATCH($B1068,Table14[SAPNo],0),3),"")</f>
        <v>1613 CT418 18-60</v>
      </c>
      <c r="D1068" s="306"/>
      <c r="E1068" s="421">
        <v>39</v>
      </c>
      <c r="F1068" s="421"/>
      <c r="G1068" s="417" t="s">
        <v>1455</v>
      </c>
      <c r="H1068" s="598">
        <v>14110981</v>
      </c>
      <c r="I1068" s="322" t="s">
        <v>1451</v>
      </c>
      <c r="J1068" s="418"/>
      <c r="K1068" s="248"/>
      <c r="M1068" s="248"/>
      <c r="AF1068">
        <v>39</v>
      </c>
    </row>
    <row r="1069" spans="1:32" x14ac:dyDescent="0.25">
      <c r="A1069" s="308">
        <v>45330</v>
      </c>
      <c r="B1069" s="416">
        <v>1271790</v>
      </c>
      <c r="C1069" s="413" t="str">
        <f>IFERROR(INDEX(Table14[],MATCH($B1069,Table14[SAPNo],0),3),"")</f>
        <v xml:space="preserve">1613 CT170 18-60 </v>
      </c>
      <c r="D1069" s="306"/>
      <c r="E1069" s="421">
        <v>53</v>
      </c>
      <c r="F1069" s="421"/>
      <c r="G1069" s="417" t="s">
        <v>1455</v>
      </c>
      <c r="H1069" s="598">
        <v>14110981</v>
      </c>
      <c r="I1069" s="322" t="s">
        <v>1451</v>
      </c>
      <c r="J1069" s="418"/>
      <c r="K1069" s="248"/>
      <c r="M1069" s="248"/>
      <c r="AF1069">
        <v>53</v>
      </c>
    </row>
    <row r="1070" spans="1:32" x14ac:dyDescent="0.25">
      <c r="A1070" s="308">
        <v>45330</v>
      </c>
      <c r="B1070" s="416">
        <v>418525</v>
      </c>
      <c r="C1070" s="413" t="str">
        <f>IFERROR(INDEX(Table14[],MATCH($B1070,Table14[SAPNo],0),3),"")</f>
        <v>Drop In 1308 CT31   (B)</v>
      </c>
      <c r="D1070" s="306"/>
      <c r="E1070" s="421">
        <v>8</v>
      </c>
      <c r="F1070" s="421"/>
      <c r="G1070" s="417" t="s">
        <v>1455</v>
      </c>
      <c r="H1070" s="598">
        <v>14110981</v>
      </c>
      <c r="I1070" s="322" t="s">
        <v>1451</v>
      </c>
      <c r="J1070" s="418"/>
      <c r="K1070" s="248"/>
      <c r="M1070" s="248"/>
      <c r="AF1070">
        <v>8</v>
      </c>
    </row>
    <row r="1071" spans="1:32" x14ac:dyDescent="0.25">
      <c r="A1071" s="308">
        <v>45330</v>
      </c>
      <c r="B1071" s="416">
        <v>647435</v>
      </c>
      <c r="C1071" s="413" t="str">
        <f>IFERROR(INDEX(Table14[],MATCH($B1071,Table14[SAPNo],0),3),"")</f>
        <v>Round 1608 CT200  0.018" (B)</v>
      </c>
      <c r="D1071" s="306"/>
      <c r="E1071" s="421">
        <v>16</v>
      </c>
      <c r="F1071" s="421"/>
      <c r="G1071" s="417" t="s">
        <v>1455</v>
      </c>
      <c r="H1071" s="598">
        <v>14110981</v>
      </c>
      <c r="I1071" s="322" t="s">
        <v>1451</v>
      </c>
      <c r="J1071" s="418"/>
      <c r="K1071" s="248"/>
      <c r="M1071" s="248"/>
      <c r="AF1071">
        <v>16</v>
      </c>
    </row>
    <row r="1072" spans="1:32" x14ac:dyDescent="0.25">
      <c r="A1072" s="308">
        <v>45330</v>
      </c>
      <c r="B1072" s="416">
        <v>647436</v>
      </c>
      <c r="C1072" s="413" t="str">
        <f>IFERROR(INDEX(Table14[],MATCH($B1072,Table14[SAPNo],0),3),"")</f>
        <v>Round 1613 CT200  0.018" (B)</v>
      </c>
      <c r="D1072" s="306"/>
      <c r="E1072" s="421">
        <v>64</v>
      </c>
      <c r="F1072" s="421"/>
      <c r="G1072" s="417" t="s">
        <v>1455</v>
      </c>
      <c r="H1072" s="598">
        <v>14110981</v>
      </c>
      <c r="I1072" s="322" t="s">
        <v>1451</v>
      </c>
      <c r="J1072" s="418"/>
      <c r="K1072" s="248"/>
      <c r="M1072" s="248"/>
      <c r="AF1072">
        <v>64</v>
      </c>
    </row>
    <row r="1073" spans="1:32" x14ac:dyDescent="0.25">
      <c r="A1073" s="308">
        <v>45330</v>
      </c>
      <c r="B1073" s="416">
        <v>1100751</v>
      </c>
      <c r="C1073" s="413" t="str">
        <f>IFERROR(INDEX(Table14[],MATCH($B1073,Table14[SAPNo],0),3),"")</f>
        <v>1313 CT421 0.018"</v>
      </c>
      <c r="D1073" s="306"/>
      <c r="E1073" s="421">
        <v>12</v>
      </c>
      <c r="F1073" s="421"/>
      <c r="G1073" s="417" t="s">
        <v>1456</v>
      </c>
      <c r="H1073" s="598">
        <v>13911474</v>
      </c>
      <c r="I1073" s="322" t="s">
        <v>1457</v>
      </c>
      <c r="J1073" s="418"/>
      <c r="K1073" s="248"/>
      <c r="M1073" s="248"/>
      <c r="AF1073">
        <v>12</v>
      </c>
    </row>
    <row r="1074" spans="1:32" x14ac:dyDescent="0.25">
      <c r="A1074" s="308">
        <v>45330</v>
      </c>
      <c r="B1074" s="416">
        <v>871781</v>
      </c>
      <c r="C1074" s="413" t="str">
        <f>IFERROR(INDEX(Table14[],MATCH($B1074,Table14[SAPNo],0),3),"")</f>
        <v>Round 1313 CT200  0.018" (B)</v>
      </c>
      <c r="D1074" s="306"/>
      <c r="E1074" s="421">
        <v>4</v>
      </c>
      <c r="F1074" s="421"/>
      <c r="G1074" s="417" t="s">
        <v>1456</v>
      </c>
      <c r="H1074" s="598">
        <v>13911474</v>
      </c>
      <c r="I1074" s="322" t="s">
        <v>1457</v>
      </c>
      <c r="J1074" s="418"/>
      <c r="K1074" s="248"/>
      <c r="M1074" s="248"/>
      <c r="AF1074">
        <v>4</v>
      </c>
    </row>
    <row r="1075" spans="1:32" x14ac:dyDescent="0.25">
      <c r="A1075" s="308">
        <v>45330</v>
      </c>
      <c r="B1075" s="416">
        <v>1130200</v>
      </c>
      <c r="C1075" s="413" t="str">
        <f>IFERROR(INDEX(Table14[],MATCH($B1075,Table14[SAPNo],0),3),"")</f>
        <v>Round 1913 CT182  0.018" (S)</v>
      </c>
      <c r="D1075" s="306"/>
      <c r="E1075" s="421">
        <v>32</v>
      </c>
      <c r="F1075" s="421"/>
      <c r="G1075" s="417" t="s">
        <v>1456</v>
      </c>
      <c r="H1075" s="598">
        <v>13911474</v>
      </c>
      <c r="I1075" s="322" t="s">
        <v>1457</v>
      </c>
      <c r="J1075" s="418"/>
      <c r="K1075" s="248"/>
      <c r="M1075" s="248"/>
      <c r="AF1075">
        <v>32</v>
      </c>
    </row>
    <row r="1076" spans="1:32" x14ac:dyDescent="0.25">
      <c r="A1076" s="308">
        <v>45330</v>
      </c>
      <c r="B1076" s="416">
        <v>1130198</v>
      </c>
      <c r="C1076" s="413" t="str">
        <f>IFERROR(INDEX(Table14[],MATCH($B1076,Table14[SAPNo],0),3),"")</f>
        <v>Round 1613 CT182  0.018" (S)</v>
      </c>
      <c r="D1076" s="306"/>
      <c r="E1076" s="421">
        <v>9</v>
      </c>
      <c r="F1076" s="421"/>
      <c r="G1076" s="417" t="s">
        <v>1456</v>
      </c>
      <c r="H1076" s="598">
        <v>13911474</v>
      </c>
      <c r="I1076" s="322" t="s">
        <v>1457</v>
      </c>
      <c r="J1076" s="418"/>
      <c r="K1076" s="248"/>
      <c r="M1076" s="248"/>
      <c r="AF1076">
        <v>9</v>
      </c>
    </row>
    <row r="1077" spans="1:32" x14ac:dyDescent="0.25">
      <c r="A1077" s="308">
        <v>45330</v>
      </c>
      <c r="B1077" s="416">
        <v>418525</v>
      </c>
      <c r="C1077" s="413" t="str">
        <f>IFERROR(INDEX(Table14[],MATCH($B1077,Table14[SAPNo],0),3),"")</f>
        <v>Drop In 1308 CT31   (B)</v>
      </c>
      <c r="D1077" s="306"/>
      <c r="E1077" s="421">
        <v>3</v>
      </c>
      <c r="F1077" s="421"/>
      <c r="G1077" s="417" t="s">
        <v>1456</v>
      </c>
      <c r="H1077" s="598">
        <v>13911474</v>
      </c>
      <c r="I1077" s="322" t="s">
        <v>1457</v>
      </c>
      <c r="J1077" s="418"/>
      <c r="K1077" s="248"/>
      <c r="M1077" s="248"/>
      <c r="AF1077">
        <v>3</v>
      </c>
    </row>
    <row r="1078" spans="1:32" x14ac:dyDescent="0.25">
      <c r="A1078" s="308">
        <v>45333</v>
      </c>
      <c r="B1078" s="416">
        <v>871781</v>
      </c>
      <c r="C1078" s="413" t="str">
        <f>IFERROR(INDEX(Table14[],MATCH($B1078,Table14[SAPNo],0),3),"")</f>
        <v>Round 1313 CT200  0.018" (B)</v>
      </c>
      <c r="D1078" s="306"/>
      <c r="E1078" s="421">
        <v>4</v>
      </c>
      <c r="F1078" s="421"/>
      <c r="G1078" s="417" t="s">
        <v>1458</v>
      </c>
      <c r="H1078" s="598">
        <v>13910643</v>
      </c>
      <c r="I1078" s="322" t="s">
        <v>1457</v>
      </c>
      <c r="J1078" s="418"/>
      <c r="K1078" s="248"/>
      <c r="M1078" s="248"/>
      <c r="AF1078">
        <v>4</v>
      </c>
    </row>
    <row r="1079" spans="1:32" x14ac:dyDescent="0.25">
      <c r="A1079" s="308">
        <v>45333</v>
      </c>
      <c r="B1079" s="416">
        <v>418525</v>
      </c>
      <c r="C1079" s="413" t="str">
        <f>IFERROR(INDEX(Table14[],MATCH($B1079,Table14[SAPNo],0),3),"")</f>
        <v>Drop In 1308 CT31   (B)</v>
      </c>
      <c r="D1079" s="306"/>
      <c r="E1079" s="421">
        <v>3</v>
      </c>
      <c r="F1079" s="421"/>
      <c r="G1079" s="417" t="s">
        <v>1458</v>
      </c>
      <c r="H1079" s="598">
        <v>13910643</v>
      </c>
      <c r="I1079" s="322" t="s">
        <v>1457</v>
      </c>
      <c r="J1079" s="418"/>
      <c r="K1079" s="248"/>
      <c r="M1079" s="248"/>
      <c r="AF1079">
        <v>3</v>
      </c>
    </row>
    <row r="1080" spans="1:32" x14ac:dyDescent="0.25">
      <c r="A1080" s="308">
        <v>45333</v>
      </c>
      <c r="B1080" s="416">
        <v>1130200</v>
      </c>
      <c r="C1080" s="413" t="str">
        <f>IFERROR(INDEX(Table14[],MATCH($B1080,Table14[SAPNo],0),3),"")</f>
        <v>Round 1913 CT182  0.018" (S)</v>
      </c>
      <c r="D1080" s="306"/>
      <c r="E1080" s="421">
        <v>32</v>
      </c>
      <c r="F1080" s="421"/>
      <c r="G1080" s="417" t="s">
        <v>1458</v>
      </c>
      <c r="H1080" s="598">
        <v>13910643</v>
      </c>
      <c r="I1080" s="322" t="s">
        <v>1457</v>
      </c>
      <c r="J1080" s="418"/>
      <c r="K1080" s="248"/>
      <c r="M1080" s="248"/>
      <c r="AF1080">
        <v>32</v>
      </c>
    </row>
    <row r="1081" spans="1:32" x14ac:dyDescent="0.25">
      <c r="A1081" s="308">
        <v>45333</v>
      </c>
      <c r="B1081" s="416">
        <v>1130198</v>
      </c>
      <c r="C1081" s="413" t="str">
        <f>IFERROR(INDEX(Table14[],MATCH($B1081,Table14[SAPNo],0),3),"")</f>
        <v>Round 1613 CT182  0.018" (S)</v>
      </c>
      <c r="D1081" s="306"/>
      <c r="E1081" s="421">
        <v>9</v>
      </c>
      <c r="F1081" s="421"/>
      <c r="G1081" s="417" t="s">
        <v>1458</v>
      </c>
      <c r="H1081" s="598">
        <v>13910643</v>
      </c>
      <c r="I1081" s="322" t="s">
        <v>1457</v>
      </c>
      <c r="J1081" s="418"/>
      <c r="K1081" s="248"/>
      <c r="M1081" s="248"/>
      <c r="AF1081">
        <v>9</v>
      </c>
    </row>
    <row r="1082" spans="1:32" x14ac:dyDescent="0.25">
      <c r="A1082" s="308">
        <v>45333</v>
      </c>
      <c r="B1082" s="416">
        <v>638560</v>
      </c>
      <c r="C1082" s="413" t="str">
        <f>IFERROR(INDEX(Table14[],MATCH($B1082,Table14[SAPNo],0),3),"")</f>
        <v>Round 1313 CT70  0.018" (S)</v>
      </c>
      <c r="D1082" s="306"/>
      <c r="E1082" s="421">
        <v>0</v>
      </c>
      <c r="F1082" s="421"/>
      <c r="G1082" s="417" t="s">
        <v>1459</v>
      </c>
      <c r="H1082" s="598">
        <v>13910643</v>
      </c>
      <c r="I1082" s="322" t="s">
        <v>1457</v>
      </c>
      <c r="J1082" s="418"/>
      <c r="K1082" s="248" t="s">
        <v>1460</v>
      </c>
      <c r="M1082" s="248"/>
      <c r="AF1082">
        <v>0</v>
      </c>
    </row>
    <row r="1083" spans="1:32" x14ac:dyDescent="0.25">
      <c r="A1083" s="308">
        <v>45333</v>
      </c>
      <c r="B1083" s="416">
        <v>882800</v>
      </c>
      <c r="C1083" s="413" t="str">
        <f>IFERROR(INDEX(Table14[],MATCH($B1083,Table14[SAPNo],0),3),"")</f>
        <v>Round 0808 CT80  0.018" (B)</v>
      </c>
      <c r="D1083" s="306"/>
      <c r="E1083" s="421">
        <v>10</v>
      </c>
      <c r="F1083" s="421"/>
      <c r="G1083" s="417" t="s">
        <v>1461</v>
      </c>
      <c r="H1083" s="598">
        <v>14056715</v>
      </c>
      <c r="I1083" s="322" t="s">
        <v>1453</v>
      </c>
      <c r="J1083" s="418"/>
      <c r="K1083" s="248"/>
      <c r="M1083" s="248"/>
      <c r="AF1083">
        <v>10</v>
      </c>
    </row>
    <row r="1084" spans="1:32" x14ac:dyDescent="0.25">
      <c r="A1084" s="308">
        <v>45333</v>
      </c>
      <c r="B1084" s="416">
        <v>773384</v>
      </c>
      <c r="C1084" s="413" t="str">
        <f>IFERROR(INDEX(Table14[],MATCH($B1084,Table14[SAPNo],0),3),"")</f>
        <v>Round 1005 CT200  0.018" (B)</v>
      </c>
      <c r="D1084" s="306"/>
      <c r="E1084" s="421">
        <v>10</v>
      </c>
      <c r="F1084" s="421"/>
      <c r="G1084" s="417" t="s">
        <v>1461</v>
      </c>
      <c r="H1084" s="598">
        <v>14056715</v>
      </c>
      <c r="I1084" s="322" t="s">
        <v>1453</v>
      </c>
      <c r="J1084" s="418"/>
      <c r="K1084" s="248"/>
      <c r="M1084" s="248"/>
      <c r="AF1084">
        <v>10</v>
      </c>
    </row>
    <row r="1085" spans="1:32" x14ac:dyDescent="0.25">
      <c r="A1085" s="308">
        <v>45333</v>
      </c>
      <c r="B1085" s="416">
        <v>752294</v>
      </c>
      <c r="C1085" s="413" t="str">
        <f>IFERROR(INDEX(Table14[],MATCH($B1085,Table14[SAPNo],0),3),"")</f>
        <v>Round 1010 CT82  0.018" (S)</v>
      </c>
      <c r="D1085" s="306"/>
      <c r="E1085" s="421">
        <v>12</v>
      </c>
      <c r="F1085" s="421"/>
      <c r="G1085" s="417" t="s">
        <v>1461</v>
      </c>
      <c r="H1085" s="598">
        <v>14056715</v>
      </c>
      <c r="I1085" s="322" t="s">
        <v>1453</v>
      </c>
      <c r="J1085" s="418"/>
      <c r="K1085" s="248"/>
      <c r="M1085" s="248"/>
      <c r="AF1085">
        <v>12</v>
      </c>
    </row>
    <row r="1086" spans="1:32" x14ac:dyDescent="0.25">
      <c r="A1086" s="308">
        <v>45333</v>
      </c>
      <c r="B1086" s="416">
        <v>717748</v>
      </c>
      <c r="C1086" s="413" t="str">
        <f>IFERROR(INDEX(Table14[],MATCH($B1086,Table14[SAPNo],0),3),"")</f>
        <v>Round 1010 CT200  0.018" (B)</v>
      </c>
      <c r="D1086" s="306"/>
      <c r="E1086" s="421">
        <v>11</v>
      </c>
      <c r="F1086" s="421"/>
      <c r="G1086" s="417" t="s">
        <v>1461</v>
      </c>
      <c r="H1086" s="598">
        <v>14056715</v>
      </c>
      <c r="I1086" s="322" t="s">
        <v>1453</v>
      </c>
      <c r="J1086" s="418"/>
      <c r="K1086" s="248"/>
      <c r="M1086" s="248"/>
      <c r="AF1086">
        <v>11</v>
      </c>
    </row>
    <row r="1087" spans="1:32" x14ac:dyDescent="0.25">
      <c r="A1087" s="308">
        <v>45333</v>
      </c>
      <c r="B1087" s="416">
        <v>871781</v>
      </c>
      <c r="C1087" s="413" t="str">
        <f>IFERROR(INDEX(Table14[],MATCH($B1087,Table14[SAPNo],0),3),"")</f>
        <v>Round 1313 CT200  0.018" (B)</v>
      </c>
      <c r="D1087" s="306"/>
      <c r="E1087" s="421">
        <v>5</v>
      </c>
      <c r="F1087" s="421"/>
      <c r="G1087" s="417" t="s">
        <v>1462</v>
      </c>
      <c r="H1087" s="598">
        <v>14119209</v>
      </c>
      <c r="I1087" s="322" t="s">
        <v>1463</v>
      </c>
      <c r="J1087" s="418"/>
      <c r="K1087" s="248"/>
      <c r="M1087" s="248"/>
      <c r="AF1087">
        <v>5</v>
      </c>
    </row>
    <row r="1088" spans="1:32" x14ac:dyDescent="0.25">
      <c r="A1088" s="308">
        <v>45333</v>
      </c>
      <c r="B1088" s="416">
        <v>1271790</v>
      </c>
      <c r="C1088" s="413" t="str">
        <f>IFERROR(INDEX(Table14[],MATCH($B1088,Table14[SAPNo],0),3),"")</f>
        <v xml:space="preserve">1613 CT170 18-60 </v>
      </c>
      <c r="D1088" s="306"/>
      <c r="E1088" s="421">
        <v>30</v>
      </c>
      <c r="F1088" s="421"/>
      <c r="G1088" s="417" t="s">
        <v>1462</v>
      </c>
      <c r="H1088" s="598">
        <v>14119209</v>
      </c>
      <c r="I1088" s="322" t="s">
        <v>1463</v>
      </c>
      <c r="J1088" s="418"/>
      <c r="K1088" s="248"/>
      <c r="M1088" s="248"/>
      <c r="AF1088">
        <v>30</v>
      </c>
    </row>
    <row r="1089" spans="1:32" x14ac:dyDescent="0.25">
      <c r="A1089" s="308">
        <v>45333</v>
      </c>
      <c r="B1089" s="416">
        <v>1209410</v>
      </c>
      <c r="C1089" s="413" t="str">
        <f>IFERROR(INDEX(Table14[],MATCH($B1089,Table14[SAPNo],0),3),"")</f>
        <v>1613 CT430MV3 U TBO</v>
      </c>
      <c r="D1089" s="306"/>
      <c r="E1089" s="421">
        <v>10</v>
      </c>
      <c r="F1089" s="421"/>
      <c r="G1089" s="417" t="s">
        <v>1462</v>
      </c>
      <c r="H1089" s="598">
        <v>14119209</v>
      </c>
      <c r="I1089" s="322" t="s">
        <v>1463</v>
      </c>
      <c r="J1089" s="418"/>
      <c r="K1089" s="248"/>
      <c r="M1089" s="248"/>
      <c r="AF1089">
        <v>10</v>
      </c>
    </row>
    <row r="1090" spans="1:32" x14ac:dyDescent="0.25">
      <c r="A1090" s="308">
        <v>45333</v>
      </c>
      <c r="B1090" s="416">
        <v>1146737</v>
      </c>
      <c r="C1090" s="413" t="str">
        <f>IFERROR(INDEX(Table14[],MATCH($B1090,Table14[SAPNo],0),3),"")</f>
        <v>1613 CT418 18-60</v>
      </c>
      <c r="D1090" s="306"/>
      <c r="E1090" s="421">
        <v>10</v>
      </c>
      <c r="F1090" s="421"/>
      <c r="G1090" s="417" t="s">
        <v>1462</v>
      </c>
      <c r="H1090" s="598">
        <v>14119209</v>
      </c>
      <c r="I1090" s="322" t="s">
        <v>1463</v>
      </c>
      <c r="J1090" s="418"/>
      <c r="K1090" s="248"/>
      <c r="M1090" s="248"/>
      <c r="AF1090">
        <v>10</v>
      </c>
    </row>
    <row r="1091" spans="1:32" x14ac:dyDescent="0.25">
      <c r="A1091" s="320">
        <v>45333</v>
      </c>
      <c r="B1091" s="419">
        <v>983096</v>
      </c>
      <c r="C1091" s="413" t="str">
        <f>IFERROR(INDEX(Table14[],MATCH($B1091,Table14[SAPNo],0),3),"")</f>
        <v>Round 1313 CT216  0.018" (S)</v>
      </c>
      <c r="D1091" s="306"/>
      <c r="E1091" s="421">
        <v>22</v>
      </c>
      <c r="F1091" s="421"/>
      <c r="G1091" s="420" t="s">
        <v>1464</v>
      </c>
      <c r="H1091" s="599">
        <v>14119209</v>
      </c>
      <c r="I1091" s="322" t="s">
        <v>1463</v>
      </c>
      <c r="J1091" s="421"/>
      <c r="K1091" s="422" t="s">
        <v>1465</v>
      </c>
      <c r="M1091" s="473" t="s">
        <v>1466</v>
      </c>
      <c r="AF1091">
        <v>22</v>
      </c>
    </row>
    <row r="1092" spans="1:32" x14ac:dyDescent="0.25">
      <c r="A1092" s="320">
        <v>45334</v>
      </c>
      <c r="B1092" s="419">
        <v>1039034</v>
      </c>
      <c r="C1092" s="413" t="str">
        <f>IFERROR(INDEX(Table14[],MATCH($B1092,Table14[SAPNo],0),3),"")</f>
        <v>Round 1308 CT138  0.018" (S)</v>
      </c>
      <c r="D1092" s="306"/>
      <c r="E1092" s="421">
        <v>32</v>
      </c>
      <c r="F1092" s="421"/>
      <c r="G1092" s="420" t="s">
        <v>1467</v>
      </c>
      <c r="H1092" s="599" t="s">
        <v>1468</v>
      </c>
      <c r="I1092" s="322" t="s">
        <v>1203</v>
      </c>
      <c r="J1092" s="421"/>
      <c r="K1092" s="422"/>
      <c r="M1092" s="422"/>
      <c r="AF1092">
        <v>32</v>
      </c>
    </row>
    <row r="1093" spans="1:32" x14ac:dyDescent="0.25">
      <c r="A1093" s="320">
        <v>45334</v>
      </c>
      <c r="B1093" s="419">
        <v>1130200</v>
      </c>
      <c r="C1093" s="413" t="str">
        <f>IFERROR(INDEX(Table14[],MATCH($B1093,Table14[SAPNo],0),3),"")</f>
        <v>Round 1913 CT182  0.018" (S)</v>
      </c>
      <c r="D1093" s="306"/>
      <c r="E1093" s="421">
        <v>32</v>
      </c>
      <c r="F1093" s="421"/>
      <c r="G1093" s="420" t="s">
        <v>1469</v>
      </c>
      <c r="H1093" s="599">
        <v>13913123</v>
      </c>
      <c r="I1093" s="322" t="s">
        <v>1457</v>
      </c>
      <c r="J1093" s="421"/>
      <c r="K1093" s="422"/>
      <c r="M1093" s="422"/>
      <c r="AF1093">
        <v>32</v>
      </c>
    </row>
    <row r="1094" spans="1:32" x14ac:dyDescent="0.25">
      <c r="A1094" s="320">
        <v>45334</v>
      </c>
      <c r="B1094" s="419">
        <v>1130198</v>
      </c>
      <c r="C1094" s="413" t="str">
        <f>IFERROR(INDEX(Table14[],MATCH($B1094,Table14[SAPNo],0),3),"")</f>
        <v>Round 1613 CT182  0.018" (S)</v>
      </c>
      <c r="D1094" s="306"/>
      <c r="E1094" s="421">
        <v>9</v>
      </c>
      <c r="F1094" s="421"/>
      <c r="G1094" s="420" t="s">
        <v>1469</v>
      </c>
      <c r="H1094" s="599">
        <v>13913123</v>
      </c>
      <c r="I1094" s="322" t="s">
        <v>1457</v>
      </c>
      <c r="J1094" s="421"/>
      <c r="K1094" s="422"/>
      <c r="M1094" s="422"/>
      <c r="AF1094">
        <v>9</v>
      </c>
    </row>
    <row r="1095" spans="1:32" x14ac:dyDescent="0.25">
      <c r="A1095" s="320">
        <v>45334</v>
      </c>
      <c r="B1095" s="419">
        <v>871781</v>
      </c>
      <c r="C1095" s="413" t="str">
        <f>IFERROR(INDEX(Table14[],MATCH($B1095,Table14[SAPNo],0),3),"")</f>
        <v>Round 1313 CT200  0.018" (B)</v>
      </c>
      <c r="D1095" s="306"/>
      <c r="E1095" s="421">
        <v>4</v>
      </c>
      <c r="F1095" s="421"/>
      <c r="G1095" s="420" t="s">
        <v>1469</v>
      </c>
      <c r="H1095" s="599">
        <v>13913123</v>
      </c>
      <c r="I1095" s="322" t="s">
        <v>1457</v>
      </c>
      <c r="J1095" s="421"/>
      <c r="K1095" s="422"/>
      <c r="M1095" s="422"/>
      <c r="AF1095">
        <v>4</v>
      </c>
    </row>
    <row r="1096" spans="1:32" x14ac:dyDescent="0.25">
      <c r="A1096" s="320">
        <v>45334</v>
      </c>
      <c r="B1096" s="419">
        <v>1100751</v>
      </c>
      <c r="C1096" s="413" t="str">
        <f>IFERROR(INDEX(Table14[],MATCH($B1096,Table14[SAPNo],0),3),"")</f>
        <v>1313 CT421 0.018"</v>
      </c>
      <c r="D1096" s="306"/>
      <c r="E1096" s="421">
        <v>12</v>
      </c>
      <c r="F1096" s="421"/>
      <c r="G1096" s="420" t="s">
        <v>1469</v>
      </c>
      <c r="H1096" s="599">
        <v>13913123</v>
      </c>
      <c r="I1096" s="322" t="s">
        <v>1457</v>
      </c>
      <c r="J1096" s="421"/>
      <c r="K1096" s="422"/>
      <c r="M1096" s="422"/>
      <c r="AF1096">
        <v>12</v>
      </c>
    </row>
    <row r="1097" spans="1:32" x14ac:dyDescent="0.25">
      <c r="A1097" s="320">
        <v>45335</v>
      </c>
      <c r="B1097" s="419">
        <v>418525</v>
      </c>
      <c r="C1097" s="413" t="str">
        <f>IFERROR(INDEX(Table14[],MATCH($B1097,Table14[SAPNo],0),3),"")</f>
        <v>Drop In 1308 CT31   (B)</v>
      </c>
      <c r="D1097" s="306"/>
      <c r="E1097" s="421">
        <v>3</v>
      </c>
      <c r="F1097" s="421"/>
      <c r="G1097" s="420" t="s">
        <v>1469</v>
      </c>
      <c r="H1097" s="599">
        <v>13913123</v>
      </c>
      <c r="I1097" s="322" t="s">
        <v>1457</v>
      </c>
      <c r="J1097" s="421"/>
      <c r="K1097" s="422"/>
      <c r="M1097" s="422"/>
      <c r="AF1097">
        <v>3</v>
      </c>
    </row>
    <row r="1098" spans="1:32" x14ac:dyDescent="0.25">
      <c r="A1098" s="320">
        <v>45335</v>
      </c>
      <c r="B1098" s="419">
        <v>1130198</v>
      </c>
      <c r="C1098" s="413" t="str">
        <f>IFERROR(INDEX(Table14[],MATCH($B1098,Table14[SAPNo],0),3),"")</f>
        <v>Round 1613 CT182  0.018" (S)</v>
      </c>
      <c r="D1098" s="306"/>
      <c r="E1098" s="421">
        <v>33</v>
      </c>
      <c r="F1098" s="421"/>
      <c r="G1098" s="420" t="s">
        <v>1470</v>
      </c>
      <c r="H1098" s="599">
        <v>13884772</v>
      </c>
      <c r="I1098" s="322" t="s">
        <v>1471</v>
      </c>
      <c r="J1098" s="421"/>
      <c r="K1098" s="422"/>
      <c r="M1098" s="422"/>
      <c r="AF1098">
        <v>33</v>
      </c>
    </row>
    <row r="1099" spans="1:32" x14ac:dyDescent="0.25">
      <c r="A1099" s="320">
        <v>45335</v>
      </c>
      <c r="B1099" s="419">
        <v>647435</v>
      </c>
      <c r="C1099" s="413" t="str">
        <f>IFERROR(INDEX(Table14[],MATCH($B1099,Table14[SAPNo],0),3),"")</f>
        <v>Round 1608 CT200  0.018" (B)</v>
      </c>
      <c r="D1099" s="306"/>
      <c r="E1099" s="421">
        <v>23</v>
      </c>
      <c r="F1099" s="421"/>
      <c r="G1099" s="420" t="s">
        <v>1470</v>
      </c>
      <c r="H1099" s="599">
        <v>13884772</v>
      </c>
      <c r="I1099" s="322" t="s">
        <v>1471</v>
      </c>
      <c r="J1099" s="421"/>
      <c r="K1099" s="422"/>
      <c r="M1099" s="422"/>
      <c r="AF1099">
        <v>23</v>
      </c>
    </row>
    <row r="1100" spans="1:32" x14ac:dyDescent="0.25">
      <c r="A1100" s="320">
        <v>45335</v>
      </c>
      <c r="B1100" s="419">
        <v>418525</v>
      </c>
      <c r="C1100" s="413" t="str">
        <f>IFERROR(INDEX(Table14[],MATCH($B1100,Table14[SAPNo],0),3),"")</f>
        <v>Drop In 1308 CT31   (B)</v>
      </c>
      <c r="D1100" s="306"/>
      <c r="E1100" s="421">
        <v>6</v>
      </c>
      <c r="F1100" s="421"/>
      <c r="G1100" s="420" t="s">
        <v>1470</v>
      </c>
      <c r="H1100" s="599">
        <v>13884772</v>
      </c>
      <c r="I1100" s="322" t="s">
        <v>1471</v>
      </c>
      <c r="J1100" s="421"/>
      <c r="K1100" s="422"/>
      <c r="M1100" s="422"/>
      <c r="AF1100">
        <v>6</v>
      </c>
    </row>
    <row r="1101" spans="1:32" x14ac:dyDescent="0.25">
      <c r="A1101" s="320">
        <v>45335</v>
      </c>
      <c r="B1101" s="419">
        <v>1130198</v>
      </c>
      <c r="C1101" s="413" t="str">
        <f>IFERROR(INDEX(Table14[],MATCH($B1101,Table14[SAPNo],0),3),"")</f>
        <v>Round 1613 CT182  0.018" (S)</v>
      </c>
      <c r="D1101" s="306"/>
      <c r="E1101" s="421">
        <v>33</v>
      </c>
      <c r="F1101" s="421"/>
      <c r="G1101" s="420" t="s">
        <v>1472</v>
      </c>
      <c r="H1101" s="599">
        <v>13885444</v>
      </c>
      <c r="I1101" s="322" t="s">
        <v>1471</v>
      </c>
      <c r="J1101" s="421"/>
      <c r="K1101" s="422"/>
      <c r="M1101" s="422"/>
      <c r="AF1101">
        <v>33</v>
      </c>
    </row>
    <row r="1102" spans="1:32" x14ac:dyDescent="0.25">
      <c r="A1102" s="320">
        <v>45335</v>
      </c>
      <c r="B1102" s="419">
        <v>647435</v>
      </c>
      <c r="C1102" s="413" t="str">
        <f>IFERROR(INDEX(Table14[],MATCH($B1102,Table14[SAPNo],0),3),"")</f>
        <v>Round 1608 CT200  0.018" (B)</v>
      </c>
      <c r="D1102" s="306"/>
      <c r="E1102" s="421">
        <v>23</v>
      </c>
      <c r="F1102" s="421"/>
      <c r="G1102" s="420" t="s">
        <v>1472</v>
      </c>
      <c r="H1102" s="599">
        <v>13885444</v>
      </c>
      <c r="I1102" s="322" t="s">
        <v>1471</v>
      </c>
      <c r="J1102" s="421"/>
      <c r="K1102" s="422"/>
      <c r="M1102" s="422"/>
      <c r="AF1102">
        <v>23</v>
      </c>
    </row>
    <row r="1103" spans="1:32" x14ac:dyDescent="0.25">
      <c r="A1103" s="320">
        <v>45335</v>
      </c>
      <c r="B1103" s="419">
        <v>418525</v>
      </c>
      <c r="C1103" s="413" t="str">
        <f>IFERROR(INDEX(Table14[],MATCH($B1103,Table14[SAPNo],0),3),"")</f>
        <v>Drop In 1308 CT31   (B)</v>
      </c>
      <c r="D1103" s="306"/>
      <c r="E1103" s="421">
        <v>6</v>
      </c>
      <c r="F1103" s="421"/>
      <c r="G1103" s="420" t="s">
        <v>1472</v>
      </c>
      <c r="H1103" s="599">
        <v>13885444</v>
      </c>
      <c r="I1103" s="322" t="s">
        <v>1471</v>
      </c>
      <c r="J1103" s="421"/>
      <c r="K1103" s="422"/>
      <c r="M1103" s="422"/>
      <c r="AF1103">
        <v>6</v>
      </c>
    </row>
    <row r="1104" spans="1:32" x14ac:dyDescent="0.25">
      <c r="A1104" s="320">
        <v>45335</v>
      </c>
      <c r="B1104" s="419">
        <v>1130198</v>
      </c>
      <c r="C1104" s="413" t="str">
        <f>IFERROR(INDEX(Table14[],MATCH($B1104,Table14[SAPNo],0),3),"")</f>
        <v>Round 1613 CT182  0.018" (S)</v>
      </c>
      <c r="D1104" s="306"/>
      <c r="E1104" s="421">
        <v>33</v>
      </c>
      <c r="F1104" s="421"/>
      <c r="G1104" s="420" t="s">
        <v>1473</v>
      </c>
      <c r="H1104" s="599">
        <v>13885445</v>
      </c>
      <c r="I1104" s="322" t="s">
        <v>1471</v>
      </c>
      <c r="J1104" s="421"/>
      <c r="K1104" s="422"/>
      <c r="M1104" s="422"/>
      <c r="AF1104">
        <v>33</v>
      </c>
    </row>
    <row r="1105" spans="1:32" x14ac:dyDescent="0.25">
      <c r="A1105" s="320">
        <v>45335</v>
      </c>
      <c r="B1105" s="419">
        <v>647435</v>
      </c>
      <c r="C1105" s="413" t="str">
        <f>IFERROR(INDEX(Table14[],MATCH($B1105,Table14[SAPNo],0),3),"")</f>
        <v>Round 1608 CT200  0.018" (B)</v>
      </c>
      <c r="D1105" s="306"/>
      <c r="E1105" s="421">
        <v>23</v>
      </c>
      <c r="F1105" s="421"/>
      <c r="G1105" s="420" t="s">
        <v>1473</v>
      </c>
      <c r="H1105" s="599">
        <v>13885445</v>
      </c>
      <c r="I1105" s="322" t="s">
        <v>1471</v>
      </c>
      <c r="J1105" s="421"/>
      <c r="K1105" s="422"/>
      <c r="M1105" s="422"/>
      <c r="AF1105">
        <v>23</v>
      </c>
    </row>
    <row r="1106" spans="1:32" x14ac:dyDescent="0.25">
      <c r="A1106" s="320">
        <v>45335</v>
      </c>
      <c r="B1106" s="419">
        <v>418525</v>
      </c>
      <c r="C1106" s="413" t="str">
        <f>IFERROR(INDEX(Table14[],MATCH($B1106,Table14[SAPNo],0),3),"")</f>
        <v>Drop In 1308 CT31   (B)</v>
      </c>
      <c r="D1106" s="306"/>
      <c r="E1106" s="421">
        <v>6</v>
      </c>
      <c r="F1106" s="421"/>
      <c r="G1106" s="420" t="s">
        <v>1473</v>
      </c>
      <c r="H1106" s="599">
        <v>13885445</v>
      </c>
      <c r="I1106" s="322" t="s">
        <v>1471</v>
      </c>
      <c r="J1106" s="421"/>
      <c r="K1106" s="422"/>
      <c r="M1106" s="422"/>
      <c r="AF1106">
        <v>6</v>
      </c>
    </row>
    <row r="1107" spans="1:32" x14ac:dyDescent="0.25">
      <c r="A1107" s="320">
        <v>45336</v>
      </c>
      <c r="B1107" s="419">
        <v>717748</v>
      </c>
      <c r="C1107" s="413" t="str">
        <f>IFERROR(INDEX(Table14[],MATCH($B1107,Table14[SAPNo],0),3),"")</f>
        <v>Round 1010 CT200  0.018" (B)</v>
      </c>
      <c r="D1107" s="306"/>
      <c r="E1107" s="421">
        <v>0</v>
      </c>
      <c r="F1107" s="421"/>
      <c r="G1107" s="420" t="s">
        <v>1474</v>
      </c>
      <c r="H1107" s="599" t="s">
        <v>1475</v>
      </c>
      <c r="I1107" s="322" t="s">
        <v>1330</v>
      </c>
      <c r="J1107" s="421">
        <v>5</v>
      </c>
      <c r="K1107" s="422"/>
      <c r="M1107" s="422"/>
      <c r="AF1107">
        <v>0</v>
      </c>
    </row>
    <row r="1108" spans="1:32" x14ac:dyDescent="0.25">
      <c r="A1108" s="320">
        <v>45336</v>
      </c>
      <c r="B1108" s="419">
        <v>418525</v>
      </c>
      <c r="C1108" s="413" t="str">
        <f>IFERROR(INDEX(Table14[],MATCH($B1108,Table14[SAPNo],0),3),"")</f>
        <v>Drop In 1308 CT31   (B)</v>
      </c>
      <c r="D1108" s="306"/>
      <c r="E1108" s="421">
        <v>8</v>
      </c>
      <c r="F1108" s="421"/>
      <c r="G1108" s="420" t="s">
        <v>1476</v>
      </c>
      <c r="H1108" s="599">
        <v>13939972</v>
      </c>
      <c r="I1108" s="322" t="s">
        <v>1477</v>
      </c>
      <c r="J1108" s="421"/>
      <c r="K1108" s="422"/>
      <c r="M1108" s="422"/>
      <c r="AF1108">
        <v>8</v>
      </c>
    </row>
    <row r="1109" spans="1:32" x14ac:dyDescent="0.25">
      <c r="A1109" s="320">
        <v>45336</v>
      </c>
      <c r="B1109" s="419">
        <v>647436</v>
      </c>
      <c r="C1109" s="413" t="str">
        <f>IFERROR(INDEX(Table14[],MATCH($B1109,Table14[SAPNo],0),3),"")</f>
        <v>Round 1613 CT200  0.018" (B)</v>
      </c>
      <c r="D1109" s="306"/>
      <c r="E1109" s="421">
        <v>32</v>
      </c>
      <c r="F1109" s="421"/>
      <c r="G1109" s="420" t="s">
        <v>1476</v>
      </c>
      <c r="H1109" s="599">
        <v>13939972</v>
      </c>
      <c r="I1109" s="322" t="s">
        <v>1477</v>
      </c>
      <c r="J1109" s="421"/>
      <c r="K1109" s="422"/>
      <c r="M1109" s="422"/>
      <c r="AF1109">
        <v>32</v>
      </c>
    </row>
    <row r="1110" spans="1:32" x14ac:dyDescent="0.25">
      <c r="A1110" s="320">
        <v>45336</v>
      </c>
      <c r="B1110" s="419">
        <v>1130198</v>
      </c>
      <c r="C1110" s="413" t="str">
        <f>IFERROR(INDEX(Table14[],MATCH($B1110,Table14[SAPNo],0),3),"")</f>
        <v>Round 1613 CT182  0.018" (S)</v>
      </c>
      <c r="D1110" s="306"/>
      <c r="E1110" s="421">
        <v>105</v>
      </c>
      <c r="F1110" s="421"/>
      <c r="G1110" s="420" t="s">
        <v>1476</v>
      </c>
      <c r="H1110" s="599">
        <v>13939972</v>
      </c>
      <c r="I1110" s="322" t="s">
        <v>1477</v>
      </c>
      <c r="J1110" s="421"/>
      <c r="K1110" s="422"/>
      <c r="M1110" s="422"/>
      <c r="AF1110">
        <v>105</v>
      </c>
    </row>
    <row r="1111" spans="1:32" x14ac:dyDescent="0.25">
      <c r="A1111" s="320">
        <v>45336</v>
      </c>
      <c r="B1111" s="419">
        <v>418525</v>
      </c>
      <c r="C1111" s="413" t="str">
        <f>IFERROR(INDEX(Table14[],MATCH($B1111,Table14[SAPNo],0),3),"")</f>
        <v>Drop In 1308 CT31   (B)</v>
      </c>
      <c r="D1111" s="306"/>
      <c r="E1111" s="421">
        <v>8</v>
      </c>
      <c r="F1111" s="421"/>
      <c r="G1111" s="420" t="s">
        <v>1478</v>
      </c>
      <c r="H1111" s="599">
        <v>13939973</v>
      </c>
      <c r="I1111" s="322" t="s">
        <v>1477</v>
      </c>
      <c r="J1111" s="421"/>
      <c r="K1111" s="422"/>
      <c r="M1111" s="422"/>
      <c r="AF1111">
        <v>8</v>
      </c>
    </row>
    <row r="1112" spans="1:32" x14ac:dyDescent="0.25">
      <c r="A1112" s="320">
        <v>45336</v>
      </c>
      <c r="B1112" s="419">
        <v>1130198</v>
      </c>
      <c r="C1112" s="413" t="str">
        <f>IFERROR(INDEX(Table14[],MATCH($B1112,Table14[SAPNo],0),3),"")</f>
        <v>Round 1613 CT182  0.018" (S)</v>
      </c>
      <c r="D1112" s="306"/>
      <c r="E1112" s="421">
        <v>105</v>
      </c>
      <c r="F1112" s="421"/>
      <c r="G1112" s="420" t="s">
        <v>1478</v>
      </c>
      <c r="H1112" s="599">
        <v>13939973</v>
      </c>
      <c r="I1112" s="322" t="s">
        <v>1477</v>
      </c>
      <c r="J1112" s="421"/>
      <c r="K1112" s="422"/>
      <c r="M1112" s="422"/>
      <c r="AF1112">
        <v>105</v>
      </c>
    </row>
    <row r="1113" spans="1:32" x14ac:dyDescent="0.25">
      <c r="A1113" s="320">
        <v>45336</v>
      </c>
      <c r="B1113" s="419">
        <v>647436</v>
      </c>
      <c r="C1113" s="413" t="str">
        <f>IFERROR(INDEX(Table14[],MATCH($B1113,Table14[SAPNo],0),3),"")</f>
        <v>Round 1613 CT200  0.018" (B)</v>
      </c>
      <c r="D1113" s="306"/>
      <c r="E1113" s="421">
        <v>32</v>
      </c>
      <c r="F1113" s="421"/>
      <c r="G1113" s="420" t="s">
        <v>1478</v>
      </c>
      <c r="H1113" s="599">
        <v>13939973</v>
      </c>
      <c r="I1113" s="322" t="s">
        <v>1477</v>
      </c>
      <c r="J1113" s="421"/>
      <c r="K1113" s="422"/>
      <c r="M1113" s="473" t="s">
        <v>1479</v>
      </c>
      <c r="AF1113">
        <v>32</v>
      </c>
    </row>
    <row r="1114" spans="1:32" x14ac:dyDescent="0.25">
      <c r="A1114" s="308">
        <v>45337</v>
      </c>
      <c r="B1114" s="416">
        <v>418525</v>
      </c>
      <c r="C1114" s="413" t="str">
        <f>IFERROR(INDEX(Table14[],MATCH($B1114,Table14[SAPNo],0),3),"")</f>
        <v>Drop In 1308 CT31   (B)</v>
      </c>
      <c r="D1114" s="306"/>
      <c r="E1114" s="421">
        <v>7</v>
      </c>
      <c r="F1114" s="421"/>
      <c r="G1114" s="417">
        <v>20241021</v>
      </c>
      <c r="H1114" s="598" t="s">
        <v>1480</v>
      </c>
      <c r="I1114" s="322" t="s">
        <v>1481</v>
      </c>
      <c r="J1114" s="418"/>
      <c r="K1114" s="248"/>
      <c r="M1114" s="422"/>
      <c r="AF1114">
        <v>7</v>
      </c>
    </row>
    <row r="1115" spans="1:32" x14ac:dyDescent="0.25">
      <c r="A1115" s="308">
        <v>45337</v>
      </c>
      <c r="B1115" s="416">
        <v>418525</v>
      </c>
      <c r="C1115" s="413" t="str">
        <f>IFERROR(INDEX(Table14[],MATCH($B1115,Table14[SAPNo],0),3),"")</f>
        <v>Drop In 1308 CT31   (B)</v>
      </c>
      <c r="D1115" s="306"/>
      <c r="E1115" s="421">
        <v>5</v>
      </c>
      <c r="F1115" s="421"/>
      <c r="G1115" s="417">
        <v>20241022</v>
      </c>
      <c r="H1115" s="598" t="s">
        <v>1482</v>
      </c>
      <c r="I1115" s="322" t="s">
        <v>1483</v>
      </c>
      <c r="J1115" s="418"/>
      <c r="K1115" s="248"/>
      <c r="M1115" s="366"/>
      <c r="AF1115">
        <v>5</v>
      </c>
    </row>
    <row r="1116" spans="1:32" x14ac:dyDescent="0.25">
      <c r="A1116" s="308">
        <v>45337</v>
      </c>
      <c r="B1116" s="416">
        <v>1145493</v>
      </c>
      <c r="C1116" s="413" t="str">
        <f>IFERROR(INDEX(Table14[],MATCH($B1116,Table14[SAPNo],0),3),"")</f>
        <v>Round 1313 CT427  10C (S)</v>
      </c>
      <c r="D1116" s="306"/>
      <c r="E1116" s="421">
        <v>0</v>
      </c>
      <c r="F1116" s="421"/>
      <c r="G1116" s="417">
        <v>20241022</v>
      </c>
      <c r="H1116" s="598" t="s">
        <v>1482</v>
      </c>
      <c r="I1116" s="322" t="s">
        <v>1483</v>
      </c>
      <c r="J1116" s="418">
        <v>2</v>
      </c>
      <c r="K1116" s="248"/>
      <c r="M1116" s="366"/>
      <c r="AF1116">
        <v>0</v>
      </c>
    </row>
    <row r="1117" spans="1:32" x14ac:dyDescent="0.25">
      <c r="A1117" s="308">
        <v>45337</v>
      </c>
      <c r="B1117" s="416">
        <v>1146737</v>
      </c>
      <c r="C1117" s="413" t="str">
        <f>IFERROR(INDEX(Table14[],MATCH($B1117,Table14[SAPNo],0),3),"")</f>
        <v>1613 CT418 18-60</v>
      </c>
      <c r="D1117" s="306"/>
      <c r="E1117" s="421">
        <v>39</v>
      </c>
      <c r="F1117" s="421"/>
      <c r="G1117" s="417" t="s">
        <v>1484</v>
      </c>
      <c r="H1117" s="598">
        <v>14110982</v>
      </c>
      <c r="I1117" s="322" t="s">
        <v>1451</v>
      </c>
      <c r="J1117" s="418"/>
      <c r="K1117" s="248"/>
      <c r="M1117" s="366"/>
      <c r="AF1117">
        <v>39</v>
      </c>
    </row>
    <row r="1118" spans="1:32" x14ac:dyDescent="0.25">
      <c r="A1118" s="308">
        <v>45337</v>
      </c>
      <c r="B1118" s="416">
        <v>1271790</v>
      </c>
      <c r="C1118" s="413" t="str">
        <f>IFERROR(INDEX(Table14[],MATCH($B1118,Table14[SAPNo],0),3),"")</f>
        <v xml:space="preserve">1613 CT170 18-60 </v>
      </c>
      <c r="D1118" s="306"/>
      <c r="E1118" s="421">
        <v>53</v>
      </c>
      <c r="F1118" s="421"/>
      <c r="G1118" s="417" t="s">
        <v>1484</v>
      </c>
      <c r="H1118" s="598">
        <v>14110982</v>
      </c>
      <c r="I1118" s="322" t="s">
        <v>1451</v>
      </c>
      <c r="J1118" s="418"/>
      <c r="K1118" s="248"/>
      <c r="M1118" s="366"/>
      <c r="AF1118">
        <v>53</v>
      </c>
    </row>
    <row r="1119" spans="1:32" x14ac:dyDescent="0.25">
      <c r="A1119" s="308">
        <v>45337</v>
      </c>
      <c r="B1119" s="416">
        <v>647436</v>
      </c>
      <c r="C1119" s="413" t="str">
        <f>IFERROR(INDEX(Table14[],MATCH($B1119,Table14[SAPNo],0),3),"")</f>
        <v>Round 1613 CT200  0.018" (B)</v>
      </c>
      <c r="D1119" s="306"/>
      <c r="E1119" s="421">
        <v>64</v>
      </c>
      <c r="F1119" s="421"/>
      <c r="G1119" s="417" t="s">
        <v>1484</v>
      </c>
      <c r="H1119" s="598">
        <v>14110982</v>
      </c>
      <c r="I1119" s="322" t="s">
        <v>1451</v>
      </c>
      <c r="J1119" s="418"/>
      <c r="K1119" s="248"/>
      <c r="M1119" s="366"/>
      <c r="AF1119">
        <v>64</v>
      </c>
    </row>
    <row r="1120" spans="1:32" x14ac:dyDescent="0.25">
      <c r="A1120" s="308">
        <v>45337</v>
      </c>
      <c r="B1120" s="416">
        <v>647435</v>
      </c>
      <c r="C1120" s="413" t="str">
        <f>IFERROR(INDEX(Table14[],MATCH($B1120,Table14[SAPNo],0),3),"")</f>
        <v>Round 1608 CT200  0.018" (B)</v>
      </c>
      <c r="D1120" s="306"/>
      <c r="E1120" s="421">
        <v>16</v>
      </c>
      <c r="F1120" s="421"/>
      <c r="G1120" s="417" t="s">
        <v>1484</v>
      </c>
      <c r="H1120" s="598">
        <v>14110982</v>
      </c>
      <c r="I1120" s="322" t="s">
        <v>1451</v>
      </c>
      <c r="J1120" s="418"/>
      <c r="K1120" s="248"/>
      <c r="M1120" s="366"/>
      <c r="AF1120">
        <v>16</v>
      </c>
    </row>
    <row r="1121" spans="1:32" x14ac:dyDescent="0.25">
      <c r="A1121" s="308">
        <v>45337</v>
      </c>
      <c r="B1121" s="416">
        <v>418525</v>
      </c>
      <c r="C1121" s="413" t="str">
        <f>IFERROR(INDEX(Table14[],MATCH($B1121,Table14[SAPNo],0),3),"")</f>
        <v>Drop In 1308 CT31   (B)</v>
      </c>
      <c r="D1121" s="306"/>
      <c r="E1121" s="421">
        <v>8</v>
      </c>
      <c r="F1121" s="421"/>
      <c r="G1121" s="417" t="s">
        <v>1484</v>
      </c>
      <c r="H1121" s="598">
        <v>14110982</v>
      </c>
      <c r="I1121" s="322" t="s">
        <v>1451</v>
      </c>
      <c r="J1121" s="418"/>
      <c r="K1121" s="248"/>
      <c r="M1121" s="366"/>
      <c r="AF1121">
        <v>8</v>
      </c>
    </row>
    <row r="1122" spans="1:32" x14ac:dyDescent="0.25">
      <c r="A1122" s="308">
        <v>45337</v>
      </c>
      <c r="B1122" s="416">
        <v>418525</v>
      </c>
      <c r="C1122" s="413" t="str">
        <f>IFERROR(INDEX(Table14[],MATCH($B1122,Table14[SAPNo],0),3),"")</f>
        <v>Drop In 1308 CT31   (B)</v>
      </c>
      <c r="D1122" s="306"/>
      <c r="E1122" s="421">
        <v>8</v>
      </c>
      <c r="F1122" s="421"/>
      <c r="G1122" s="417" t="s">
        <v>1485</v>
      </c>
      <c r="H1122" s="598">
        <v>14110978</v>
      </c>
      <c r="I1122" s="322" t="s">
        <v>1451</v>
      </c>
      <c r="J1122" s="418"/>
      <c r="K1122" s="248"/>
      <c r="M1122" s="366"/>
      <c r="AF1122">
        <v>8</v>
      </c>
    </row>
    <row r="1123" spans="1:32" x14ac:dyDescent="0.25">
      <c r="A1123" s="308">
        <v>45337</v>
      </c>
      <c r="B1123" s="416">
        <v>1271790</v>
      </c>
      <c r="C1123" s="413" t="str">
        <f>IFERROR(INDEX(Table14[],MATCH($B1123,Table14[SAPNo],0),3),"")</f>
        <v xml:space="preserve">1613 CT170 18-60 </v>
      </c>
      <c r="D1123" s="306"/>
      <c r="E1123" s="421">
        <v>53</v>
      </c>
      <c r="F1123" s="421"/>
      <c r="G1123" s="417" t="s">
        <v>1485</v>
      </c>
      <c r="H1123" s="598">
        <v>14110978</v>
      </c>
      <c r="I1123" s="322" t="s">
        <v>1451</v>
      </c>
      <c r="J1123" s="418"/>
      <c r="K1123" s="248"/>
      <c r="M1123" s="366"/>
      <c r="AF1123">
        <v>53</v>
      </c>
    </row>
    <row r="1124" spans="1:32" x14ac:dyDescent="0.25">
      <c r="A1124" s="308">
        <v>45337</v>
      </c>
      <c r="B1124" s="416">
        <v>647436</v>
      </c>
      <c r="C1124" s="413" t="str">
        <f>IFERROR(INDEX(Table14[],MATCH($B1124,Table14[SAPNo],0),3),"")</f>
        <v>Round 1613 CT200  0.018" (B)</v>
      </c>
      <c r="D1124" s="306"/>
      <c r="E1124" s="421">
        <v>64</v>
      </c>
      <c r="F1124" s="421"/>
      <c r="G1124" s="417" t="s">
        <v>1485</v>
      </c>
      <c r="H1124" s="598">
        <v>14110978</v>
      </c>
      <c r="I1124" s="322" t="s">
        <v>1451</v>
      </c>
      <c r="J1124" s="418"/>
      <c r="K1124" s="248"/>
      <c r="M1124" s="366"/>
      <c r="AF1124">
        <v>64</v>
      </c>
    </row>
    <row r="1125" spans="1:32" x14ac:dyDescent="0.25">
      <c r="A1125" s="308">
        <v>45337</v>
      </c>
      <c r="B1125" s="416">
        <v>647435</v>
      </c>
      <c r="C1125" s="413" t="str">
        <f>IFERROR(INDEX(Table14[],MATCH($B1125,Table14[SAPNo],0),3),"")</f>
        <v>Round 1608 CT200  0.018" (B)</v>
      </c>
      <c r="D1125" s="306"/>
      <c r="E1125" s="421">
        <v>17</v>
      </c>
      <c r="F1125" s="421"/>
      <c r="G1125" s="417" t="s">
        <v>1485</v>
      </c>
      <c r="H1125" s="598">
        <v>14110978</v>
      </c>
      <c r="I1125" s="322" t="s">
        <v>1451</v>
      </c>
      <c r="J1125" s="418"/>
      <c r="K1125" s="248"/>
      <c r="M1125" s="366"/>
      <c r="AF1125">
        <v>17</v>
      </c>
    </row>
    <row r="1126" spans="1:32" x14ac:dyDescent="0.25">
      <c r="A1126" s="308">
        <v>45337</v>
      </c>
      <c r="B1126" s="416">
        <v>1146737</v>
      </c>
      <c r="C1126" s="413" t="str">
        <f>IFERROR(INDEX(Table14[],MATCH($B1126,Table14[SAPNo],0),3),"")</f>
        <v>1613 CT418 18-60</v>
      </c>
      <c r="D1126" s="306"/>
      <c r="E1126" s="421">
        <v>39</v>
      </c>
      <c r="F1126" s="421"/>
      <c r="G1126" s="417" t="s">
        <v>1485</v>
      </c>
      <c r="H1126" s="598">
        <v>14110978</v>
      </c>
      <c r="I1126" s="322" t="s">
        <v>1451</v>
      </c>
      <c r="J1126" s="418"/>
      <c r="K1126" s="248"/>
      <c r="M1126" s="366"/>
      <c r="AF1126">
        <v>39</v>
      </c>
    </row>
    <row r="1127" spans="1:32" x14ac:dyDescent="0.25">
      <c r="A1127" s="308">
        <v>45340</v>
      </c>
      <c r="B1127" s="416">
        <v>418525</v>
      </c>
      <c r="C1127" s="413" t="str">
        <f>IFERROR(INDEX(Table14[],MATCH($B1127,Table14[SAPNo],0),3),"")</f>
        <v>Drop In 1308 CT31   (B)</v>
      </c>
      <c r="D1127" s="306"/>
      <c r="E1127" s="421">
        <v>8</v>
      </c>
      <c r="F1127" s="421"/>
      <c r="G1127" s="417" t="s">
        <v>1486</v>
      </c>
      <c r="H1127" s="598">
        <v>14093082</v>
      </c>
      <c r="I1127" s="322" t="s">
        <v>1487</v>
      </c>
      <c r="J1127" s="418"/>
      <c r="K1127" s="248"/>
      <c r="M1127" s="366"/>
      <c r="AF1127">
        <v>8</v>
      </c>
    </row>
    <row r="1128" spans="1:32" x14ac:dyDescent="0.25">
      <c r="A1128" s="308">
        <v>45340</v>
      </c>
      <c r="B1128" s="416">
        <v>1130198</v>
      </c>
      <c r="C1128" s="413" t="str">
        <f>IFERROR(INDEX(Table14[],MATCH($B1128,Table14[SAPNo],0),3),"")</f>
        <v>Round 1613 CT182  0.018" (S)</v>
      </c>
      <c r="D1128" s="306"/>
      <c r="E1128" s="421">
        <v>147</v>
      </c>
      <c r="F1128" s="421"/>
      <c r="G1128" s="417" t="s">
        <v>1486</v>
      </c>
      <c r="H1128" s="598">
        <v>14093082</v>
      </c>
      <c r="I1128" s="322" t="s">
        <v>1487</v>
      </c>
      <c r="J1128" s="418"/>
      <c r="K1128" s="248"/>
      <c r="M1128" s="366"/>
      <c r="AF1128">
        <v>147</v>
      </c>
    </row>
    <row r="1129" spans="1:32" x14ac:dyDescent="0.25">
      <c r="A1129" s="308">
        <v>45340</v>
      </c>
      <c r="B1129" s="416">
        <v>1228501</v>
      </c>
      <c r="C1129" s="413" t="str">
        <f>IFERROR(INDEX(Table14[],MATCH($B1129,Table14[SAPNo],0),3),"")</f>
        <v>1618 CT182 U-60 stator</v>
      </c>
      <c r="D1129" s="306"/>
      <c r="E1129" s="421">
        <v>10</v>
      </c>
      <c r="F1129" s="421"/>
      <c r="G1129" s="417" t="s">
        <v>1488</v>
      </c>
      <c r="H1129" s="598">
        <v>14093060</v>
      </c>
      <c r="I1129" s="322" t="s">
        <v>1440</v>
      </c>
      <c r="J1129" s="418"/>
      <c r="K1129" s="248"/>
      <c r="M1129" s="366"/>
      <c r="AF1129">
        <v>10</v>
      </c>
    </row>
    <row r="1130" spans="1:32" x14ac:dyDescent="0.25">
      <c r="A1130" s="308">
        <v>45340</v>
      </c>
      <c r="B1130" s="416">
        <v>1228502</v>
      </c>
      <c r="C1130" s="413" t="str">
        <f>IFERROR(INDEX(Table14[],MATCH($B1130,Table14[SAPNo],0),3),"")</f>
        <v>1618 CT182 U-60 Rotor</v>
      </c>
      <c r="D1130" s="306"/>
      <c r="E1130" s="421">
        <v>10</v>
      </c>
      <c r="F1130" s="421"/>
      <c r="G1130" s="417" t="s">
        <v>1488</v>
      </c>
      <c r="H1130" s="598">
        <v>14093060</v>
      </c>
      <c r="I1130" s="322" t="s">
        <v>1440</v>
      </c>
      <c r="J1130" s="418"/>
      <c r="K1130" s="248"/>
      <c r="M1130" s="366"/>
      <c r="AF1130">
        <v>10</v>
      </c>
    </row>
    <row r="1131" spans="1:32" x14ac:dyDescent="0.25">
      <c r="A1131" s="308">
        <v>45340</v>
      </c>
      <c r="B1131" s="416">
        <v>1220554</v>
      </c>
      <c r="C1131" s="413" t="str">
        <f>IFERROR(INDEX(Table14[],MATCH($B1131,Table14[SAPNo],0),3),"")</f>
        <v xml:space="preserve">1618 CT182 U-60 Carbide </v>
      </c>
      <c r="D1131" s="306"/>
      <c r="E1131" s="421">
        <v>10</v>
      </c>
      <c r="F1131" s="421"/>
      <c r="G1131" s="417" t="s">
        <v>1488</v>
      </c>
      <c r="H1131" s="598">
        <v>14093060</v>
      </c>
      <c r="I1131" s="322" t="s">
        <v>1440</v>
      </c>
      <c r="J1131" s="418"/>
      <c r="K1131" s="248"/>
      <c r="M1131" s="366"/>
      <c r="AF1131">
        <v>10</v>
      </c>
    </row>
    <row r="1132" spans="1:32" x14ac:dyDescent="0.25">
      <c r="A1132" s="308">
        <v>45340</v>
      </c>
      <c r="B1132" s="416">
        <v>871781</v>
      </c>
      <c r="C1132" s="413" t="str">
        <f>IFERROR(INDEX(Table14[],MATCH($B1132,Table14[SAPNo],0),3),"")</f>
        <v>Round 1313 CT200  0.018" (B)</v>
      </c>
      <c r="D1132" s="306"/>
      <c r="E1132" s="421">
        <v>6</v>
      </c>
      <c r="F1132" s="421"/>
      <c r="G1132" s="417" t="s">
        <v>1488</v>
      </c>
      <c r="H1132" s="598">
        <v>14093060</v>
      </c>
      <c r="I1132" s="322" t="s">
        <v>1440</v>
      </c>
      <c r="J1132" s="418"/>
      <c r="K1132" s="248"/>
      <c r="M1132" s="366"/>
      <c r="AF1132">
        <v>6</v>
      </c>
    </row>
    <row r="1133" spans="1:32" x14ac:dyDescent="0.25">
      <c r="A1133" s="308">
        <v>45340</v>
      </c>
      <c r="B1133" s="416">
        <v>1228503</v>
      </c>
      <c r="C1133" s="413" t="str">
        <f>IFERROR(INDEX(Table14[],MATCH($B1133,Table14[SAPNo],0),3),"")</f>
        <v>1618 CT182 U-60 Ring</v>
      </c>
      <c r="D1133" s="306"/>
      <c r="E1133" s="421">
        <v>10</v>
      </c>
      <c r="F1133" s="421"/>
      <c r="G1133" s="417" t="s">
        <v>1488</v>
      </c>
      <c r="H1133" s="598">
        <v>14093060</v>
      </c>
      <c r="I1133" s="322" t="s">
        <v>1440</v>
      </c>
      <c r="J1133" s="418"/>
      <c r="K1133" s="248"/>
      <c r="M1133" s="366"/>
      <c r="AF1133">
        <v>10</v>
      </c>
    </row>
    <row r="1134" spans="1:32" x14ac:dyDescent="0.25">
      <c r="A1134" s="308">
        <v>45340</v>
      </c>
      <c r="B1134" s="416">
        <v>1261320</v>
      </c>
      <c r="C1134" s="413" t="str">
        <f>IFERROR(INDEX(Table14[],MATCH($B1134,Table14[SAPNo],0),3),"")</f>
        <v>1313 CT155 U-60</v>
      </c>
      <c r="D1134" s="306"/>
      <c r="E1134" s="421">
        <v>6</v>
      </c>
      <c r="F1134" s="421"/>
      <c r="G1134" s="417" t="s">
        <v>1488</v>
      </c>
      <c r="H1134" s="598">
        <v>14093060</v>
      </c>
      <c r="I1134" s="322" t="s">
        <v>1440</v>
      </c>
      <c r="J1134" s="418"/>
      <c r="K1134" s="248"/>
      <c r="M1134" s="366"/>
      <c r="AF1134">
        <v>6</v>
      </c>
    </row>
    <row r="1135" spans="1:32" x14ac:dyDescent="0.25">
      <c r="A1135" s="308">
        <v>45340</v>
      </c>
      <c r="B1135" s="416">
        <v>1261319</v>
      </c>
      <c r="C1135" s="413" t="str">
        <f>IFERROR(INDEX(Table14[],MATCH($B1135,Table14[SAPNo],0),3),"")</f>
        <v>1308 CT155 U-60</v>
      </c>
      <c r="D1135" s="306"/>
      <c r="E1135" s="421">
        <v>24</v>
      </c>
      <c r="F1135" s="421"/>
      <c r="G1135" s="417" t="s">
        <v>1488</v>
      </c>
      <c r="H1135" s="598">
        <v>14093060</v>
      </c>
      <c r="I1135" s="322" t="s">
        <v>1440</v>
      </c>
      <c r="J1135" s="418"/>
      <c r="K1135" s="248"/>
      <c r="M1135" s="366"/>
      <c r="AF1135">
        <v>24</v>
      </c>
    </row>
    <row r="1136" spans="1:32" x14ac:dyDescent="0.25">
      <c r="A1136" s="308">
        <v>45340</v>
      </c>
      <c r="B1136" s="416">
        <v>1261321</v>
      </c>
      <c r="C1136" s="413" t="str">
        <f>IFERROR(INDEX(Table14[],MATCH($B1136,Table14[SAPNo],0),3),"")</f>
        <v>1613 CT155 U-60</v>
      </c>
      <c r="D1136" s="306"/>
      <c r="E1136" s="421">
        <v>4</v>
      </c>
      <c r="F1136" s="421"/>
      <c r="G1136" s="417" t="s">
        <v>1488</v>
      </c>
      <c r="H1136" s="598">
        <v>14093060</v>
      </c>
      <c r="I1136" s="322" t="s">
        <v>1440</v>
      </c>
      <c r="J1136" s="418"/>
      <c r="K1136" s="248"/>
      <c r="M1136" s="366"/>
      <c r="AF1136">
        <v>4</v>
      </c>
    </row>
    <row r="1137" spans="1:32" x14ac:dyDescent="0.25">
      <c r="A1137" s="308">
        <v>45340</v>
      </c>
      <c r="B1137" s="416">
        <v>1261321</v>
      </c>
      <c r="C1137" s="413" t="str">
        <f>IFERROR(INDEX(Table14[],MATCH($B1137,Table14[SAPNo],0),3),"")</f>
        <v>1613 CT155 U-60</v>
      </c>
      <c r="D1137" s="306"/>
      <c r="E1137" s="421">
        <v>4</v>
      </c>
      <c r="F1137" s="421"/>
      <c r="G1137" s="417" t="s">
        <v>1489</v>
      </c>
      <c r="H1137" s="598">
        <v>14093061</v>
      </c>
      <c r="I1137" s="322" t="s">
        <v>1440</v>
      </c>
      <c r="J1137" s="418"/>
      <c r="K1137" s="248"/>
      <c r="M1137" s="366"/>
      <c r="AF1137">
        <v>4</v>
      </c>
    </row>
    <row r="1138" spans="1:32" x14ac:dyDescent="0.25">
      <c r="A1138" s="308">
        <v>45340</v>
      </c>
      <c r="B1138" s="416">
        <v>1261319</v>
      </c>
      <c r="C1138" s="413" t="str">
        <f>IFERROR(INDEX(Table14[],MATCH($B1138,Table14[SAPNo],0),3),"")</f>
        <v>1308 CT155 U-60</v>
      </c>
      <c r="D1138" s="306"/>
      <c r="E1138" s="421">
        <v>24</v>
      </c>
      <c r="F1138" s="421"/>
      <c r="G1138" s="417" t="s">
        <v>1489</v>
      </c>
      <c r="H1138" s="598">
        <v>14093061</v>
      </c>
      <c r="I1138" s="322" t="s">
        <v>1440</v>
      </c>
      <c r="J1138" s="418"/>
      <c r="K1138" s="248"/>
      <c r="M1138" s="366"/>
      <c r="AF1138">
        <v>24</v>
      </c>
    </row>
    <row r="1139" spans="1:32" x14ac:dyDescent="0.25">
      <c r="A1139" s="308">
        <v>45340</v>
      </c>
      <c r="B1139" s="416">
        <v>871781</v>
      </c>
      <c r="C1139" s="413" t="str">
        <f>IFERROR(INDEX(Table14[],MATCH($B1139,Table14[SAPNo],0),3),"")</f>
        <v>Round 1313 CT200  0.018" (B)</v>
      </c>
      <c r="D1139" s="306"/>
      <c r="E1139" s="421">
        <v>6</v>
      </c>
      <c r="F1139" s="421"/>
      <c r="G1139" s="417" t="s">
        <v>1489</v>
      </c>
      <c r="H1139" s="598">
        <v>14093061</v>
      </c>
      <c r="I1139" s="322" t="s">
        <v>1440</v>
      </c>
      <c r="J1139" s="418"/>
      <c r="K1139" s="248"/>
      <c r="M1139" s="366"/>
      <c r="AF1139">
        <v>6</v>
      </c>
    </row>
    <row r="1140" spans="1:32" x14ac:dyDescent="0.25">
      <c r="A1140" s="308">
        <v>45340</v>
      </c>
      <c r="B1140" s="416">
        <v>1228502</v>
      </c>
      <c r="C1140" s="413" t="str">
        <f>IFERROR(INDEX(Table14[],MATCH($B1140,Table14[SAPNo],0),3),"")</f>
        <v>1618 CT182 U-60 Rotor</v>
      </c>
      <c r="D1140" s="306"/>
      <c r="E1140" s="421">
        <v>10</v>
      </c>
      <c r="F1140" s="421"/>
      <c r="G1140" s="417" t="s">
        <v>1489</v>
      </c>
      <c r="H1140" s="598">
        <v>14093061</v>
      </c>
      <c r="I1140" s="322" t="s">
        <v>1440</v>
      </c>
      <c r="J1140" s="418"/>
      <c r="K1140" s="248"/>
      <c r="M1140" s="366"/>
      <c r="AF1140">
        <v>10</v>
      </c>
    </row>
    <row r="1141" spans="1:32" x14ac:dyDescent="0.25">
      <c r="A1141" s="308">
        <v>45340</v>
      </c>
      <c r="B1141" s="416">
        <v>1228501</v>
      </c>
      <c r="C1141" s="413" t="str">
        <f>IFERROR(INDEX(Table14[],MATCH($B1141,Table14[SAPNo],0),3),"")</f>
        <v>1618 CT182 U-60 stator</v>
      </c>
      <c r="D1141" s="306"/>
      <c r="E1141" s="421">
        <v>10</v>
      </c>
      <c r="F1141" s="421"/>
      <c r="G1141" s="417" t="s">
        <v>1489</v>
      </c>
      <c r="H1141" s="598">
        <v>14093061</v>
      </c>
      <c r="I1141" s="322" t="s">
        <v>1440</v>
      </c>
      <c r="J1141" s="418"/>
      <c r="K1141" s="248"/>
      <c r="M1141" s="366"/>
      <c r="AF1141">
        <v>10</v>
      </c>
    </row>
    <row r="1142" spans="1:32" x14ac:dyDescent="0.25">
      <c r="A1142" s="308">
        <v>45340</v>
      </c>
      <c r="B1142" s="416">
        <v>1220554</v>
      </c>
      <c r="C1142" s="413" t="str">
        <f>IFERROR(INDEX(Table14[],MATCH($B1142,Table14[SAPNo],0),3),"")</f>
        <v xml:space="preserve">1618 CT182 U-60 Carbide </v>
      </c>
      <c r="D1142" s="306"/>
      <c r="E1142" s="421">
        <v>10</v>
      </c>
      <c r="F1142" s="421"/>
      <c r="G1142" s="417" t="s">
        <v>1489</v>
      </c>
      <c r="H1142" s="598">
        <v>14093061</v>
      </c>
      <c r="I1142" s="322" t="s">
        <v>1440</v>
      </c>
      <c r="J1142" s="418"/>
      <c r="K1142" s="248"/>
      <c r="M1142" s="366"/>
      <c r="AF1142">
        <v>10</v>
      </c>
    </row>
    <row r="1143" spans="1:32" x14ac:dyDescent="0.25">
      <c r="A1143" s="308">
        <v>45340</v>
      </c>
      <c r="B1143" s="416">
        <v>1261320</v>
      </c>
      <c r="C1143" s="413" t="str">
        <f>IFERROR(INDEX(Table14[],MATCH($B1143,Table14[SAPNo],0),3),"")</f>
        <v>1313 CT155 U-60</v>
      </c>
      <c r="D1143" s="306"/>
      <c r="E1143" s="421">
        <v>6</v>
      </c>
      <c r="F1143" s="421"/>
      <c r="G1143" s="417" t="s">
        <v>1489</v>
      </c>
      <c r="H1143" s="598">
        <v>14093061</v>
      </c>
      <c r="I1143" s="322" t="s">
        <v>1440</v>
      </c>
      <c r="J1143" s="418"/>
      <c r="K1143" s="248"/>
      <c r="M1143" s="366"/>
      <c r="AF1143">
        <v>6</v>
      </c>
    </row>
    <row r="1144" spans="1:32" x14ac:dyDescent="0.25">
      <c r="A1144" s="308">
        <v>45340</v>
      </c>
      <c r="B1144" s="416">
        <v>1228503</v>
      </c>
      <c r="C1144" s="413" t="str">
        <f>IFERROR(INDEX(Table14[],MATCH($B1144,Table14[SAPNo],0),3),"")</f>
        <v>1618 CT182 U-60 Ring</v>
      </c>
      <c r="D1144" s="306"/>
      <c r="E1144" s="421">
        <v>10</v>
      </c>
      <c r="F1144" s="421"/>
      <c r="G1144" s="417" t="s">
        <v>1489</v>
      </c>
      <c r="H1144" s="598">
        <v>14093061</v>
      </c>
      <c r="I1144" s="322" t="s">
        <v>1440</v>
      </c>
      <c r="J1144" s="418"/>
      <c r="K1144" s="248"/>
      <c r="M1144" s="366"/>
      <c r="AF1144">
        <v>10</v>
      </c>
    </row>
    <row r="1145" spans="1:32" x14ac:dyDescent="0.25">
      <c r="A1145" s="308">
        <v>45340</v>
      </c>
      <c r="B1145" s="416">
        <v>1228501</v>
      </c>
      <c r="C1145" s="413" t="str">
        <f>IFERROR(INDEX(Table14[],MATCH($B1145,Table14[SAPNo],0),3),"")</f>
        <v>1618 CT182 U-60 stator</v>
      </c>
      <c r="D1145" s="306"/>
      <c r="E1145" s="421">
        <v>10</v>
      </c>
      <c r="F1145" s="421"/>
      <c r="G1145" s="417" t="s">
        <v>1490</v>
      </c>
      <c r="H1145" s="598">
        <v>14093058</v>
      </c>
      <c r="I1145" s="322" t="s">
        <v>1440</v>
      </c>
      <c r="J1145" s="418"/>
      <c r="K1145" s="248"/>
      <c r="M1145" s="366"/>
      <c r="AF1145">
        <v>10</v>
      </c>
    </row>
    <row r="1146" spans="1:32" x14ac:dyDescent="0.25">
      <c r="A1146" s="308">
        <v>45340</v>
      </c>
      <c r="B1146" s="416">
        <v>1228502</v>
      </c>
      <c r="C1146" s="413" t="str">
        <f>IFERROR(INDEX(Table14[],MATCH($B1146,Table14[SAPNo],0),3),"")</f>
        <v>1618 CT182 U-60 Rotor</v>
      </c>
      <c r="D1146" s="306"/>
      <c r="E1146" s="421">
        <v>10</v>
      </c>
      <c r="F1146" s="421"/>
      <c r="G1146" s="417" t="s">
        <v>1490</v>
      </c>
      <c r="H1146" s="598">
        <v>14093058</v>
      </c>
      <c r="I1146" s="322" t="s">
        <v>1440</v>
      </c>
      <c r="J1146" s="418"/>
      <c r="K1146" s="248"/>
      <c r="M1146" s="366"/>
      <c r="AF1146">
        <v>10</v>
      </c>
    </row>
    <row r="1147" spans="1:32" x14ac:dyDescent="0.25">
      <c r="A1147" s="308">
        <v>45340</v>
      </c>
      <c r="B1147" s="416">
        <v>1228503</v>
      </c>
      <c r="C1147" s="413" t="str">
        <f>IFERROR(INDEX(Table14[],MATCH($B1147,Table14[SAPNo],0),3),"")</f>
        <v>1618 CT182 U-60 Ring</v>
      </c>
      <c r="D1147" s="306"/>
      <c r="E1147" s="421">
        <v>10</v>
      </c>
      <c r="F1147" s="421"/>
      <c r="G1147" s="417" t="s">
        <v>1490</v>
      </c>
      <c r="H1147" s="598">
        <v>14093058</v>
      </c>
      <c r="I1147" s="322" t="s">
        <v>1440</v>
      </c>
      <c r="J1147" s="418"/>
      <c r="K1147" s="248"/>
      <c r="M1147" s="366"/>
      <c r="AF1147">
        <v>10</v>
      </c>
    </row>
    <row r="1148" spans="1:32" x14ac:dyDescent="0.25">
      <c r="A1148" s="308">
        <v>45340</v>
      </c>
      <c r="B1148" s="416">
        <v>1261319</v>
      </c>
      <c r="C1148" s="413" t="str">
        <f>IFERROR(INDEX(Table14[],MATCH($B1148,Table14[SAPNo],0),3),"")</f>
        <v>1308 CT155 U-60</v>
      </c>
      <c r="D1148" s="306"/>
      <c r="E1148" s="421">
        <v>24</v>
      </c>
      <c r="F1148" s="421"/>
      <c r="G1148" s="417" t="s">
        <v>1490</v>
      </c>
      <c r="H1148" s="598">
        <v>14093058</v>
      </c>
      <c r="I1148" s="322" t="s">
        <v>1440</v>
      </c>
      <c r="J1148" s="418"/>
      <c r="K1148" s="248"/>
      <c r="M1148" s="366"/>
      <c r="AF1148">
        <v>24</v>
      </c>
    </row>
    <row r="1149" spans="1:32" x14ac:dyDescent="0.25">
      <c r="A1149" s="308">
        <v>45340</v>
      </c>
      <c r="B1149" s="416">
        <v>1261320</v>
      </c>
      <c r="C1149" s="413" t="str">
        <f>IFERROR(INDEX(Table14[],MATCH($B1149,Table14[SAPNo],0),3),"")</f>
        <v>1313 CT155 U-60</v>
      </c>
      <c r="D1149" s="306"/>
      <c r="E1149" s="421">
        <v>6</v>
      </c>
      <c r="F1149" s="421"/>
      <c r="G1149" s="417" t="s">
        <v>1490</v>
      </c>
      <c r="H1149" s="598">
        <v>14093058</v>
      </c>
      <c r="I1149" s="322" t="s">
        <v>1440</v>
      </c>
      <c r="J1149" s="418"/>
      <c r="K1149" s="248"/>
      <c r="M1149" s="366"/>
      <c r="AF1149">
        <v>6</v>
      </c>
    </row>
    <row r="1150" spans="1:32" x14ac:dyDescent="0.25">
      <c r="A1150" s="308">
        <v>45340</v>
      </c>
      <c r="B1150" s="416">
        <v>1261321</v>
      </c>
      <c r="C1150" s="413" t="str">
        <f>IFERROR(INDEX(Table14[],MATCH($B1150,Table14[SAPNo],0),3),"")</f>
        <v>1613 CT155 U-60</v>
      </c>
      <c r="D1150" s="306"/>
      <c r="E1150" s="421">
        <v>4</v>
      </c>
      <c r="F1150" s="421"/>
      <c r="G1150" s="417" t="s">
        <v>1490</v>
      </c>
      <c r="H1150" s="598">
        <v>14093058</v>
      </c>
      <c r="I1150" s="322" t="s">
        <v>1440</v>
      </c>
      <c r="J1150" s="418"/>
      <c r="K1150" s="248"/>
      <c r="M1150" s="366"/>
      <c r="AF1150">
        <v>4</v>
      </c>
    </row>
    <row r="1151" spans="1:32" x14ac:dyDescent="0.25">
      <c r="A1151" s="308">
        <v>45340</v>
      </c>
      <c r="B1151" s="416">
        <v>871781</v>
      </c>
      <c r="C1151" s="413" t="str">
        <f>IFERROR(INDEX(Table14[],MATCH($B1151,Table14[SAPNo],0),3),"")</f>
        <v>Round 1313 CT200  0.018" (B)</v>
      </c>
      <c r="D1151" s="306"/>
      <c r="E1151" s="421">
        <v>6</v>
      </c>
      <c r="F1151" s="421"/>
      <c r="G1151" s="417" t="s">
        <v>1490</v>
      </c>
      <c r="H1151" s="598">
        <v>14093058</v>
      </c>
      <c r="I1151" s="322" t="s">
        <v>1440</v>
      </c>
      <c r="J1151" s="418"/>
      <c r="K1151" s="248"/>
      <c r="M1151" s="366"/>
      <c r="AF1151">
        <v>6</v>
      </c>
    </row>
    <row r="1152" spans="1:32" x14ac:dyDescent="0.25">
      <c r="A1152" s="308">
        <v>45340</v>
      </c>
      <c r="B1152" s="416">
        <v>1220554</v>
      </c>
      <c r="C1152" s="413" t="str">
        <f>IFERROR(INDEX(Table14[],MATCH($B1152,Table14[SAPNo],0),3),"")</f>
        <v xml:space="preserve">1618 CT182 U-60 Carbide </v>
      </c>
      <c r="D1152" s="306"/>
      <c r="E1152" s="421">
        <v>10</v>
      </c>
      <c r="F1152" s="421"/>
      <c r="G1152" s="417" t="s">
        <v>1490</v>
      </c>
      <c r="H1152" s="598">
        <v>14093058</v>
      </c>
      <c r="I1152" s="322" t="s">
        <v>1440</v>
      </c>
      <c r="J1152" s="418"/>
      <c r="K1152" s="248"/>
      <c r="M1152" s="366"/>
      <c r="AF1152">
        <v>10</v>
      </c>
    </row>
    <row r="1153" spans="1:32" x14ac:dyDescent="0.25">
      <c r="A1153" s="308">
        <v>45340</v>
      </c>
      <c r="B1153" s="416">
        <v>1228501</v>
      </c>
      <c r="C1153" s="413" t="str">
        <f>IFERROR(INDEX(Table14[],MATCH($B1153,Table14[SAPNo],0),3),"")</f>
        <v>1618 CT182 U-60 stator</v>
      </c>
      <c r="D1153" s="306"/>
      <c r="E1153" s="421">
        <v>10</v>
      </c>
      <c r="F1153" s="421"/>
      <c r="G1153" s="417" t="s">
        <v>1491</v>
      </c>
      <c r="H1153" s="598">
        <v>14104608</v>
      </c>
      <c r="I1153" s="322" t="s">
        <v>1440</v>
      </c>
      <c r="J1153" s="418"/>
      <c r="K1153" s="248"/>
      <c r="M1153" s="366"/>
      <c r="AF1153">
        <v>10</v>
      </c>
    </row>
    <row r="1154" spans="1:32" x14ac:dyDescent="0.25">
      <c r="A1154" s="308">
        <v>45340</v>
      </c>
      <c r="B1154" s="416">
        <v>1228502</v>
      </c>
      <c r="C1154" s="413" t="str">
        <f>IFERROR(INDEX(Table14[],MATCH($B1154,Table14[SAPNo],0),3),"")</f>
        <v>1618 CT182 U-60 Rotor</v>
      </c>
      <c r="D1154" s="306"/>
      <c r="E1154" s="421">
        <v>10</v>
      </c>
      <c r="F1154" s="421"/>
      <c r="G1154" s="417" t="s">
        <v>1491</v>
      </c>
      <c r="H1154" s="598">
        <v>14104608</v>
      </c>
      <c r="I1154" s="322" t="s">
        <v>1440</v>
      </c>
      <c r="J1154" s="418"/>
      <c r="K1154" s="248"/>
      <c r="M1154" s="366"/>
      <c r="AF1154">
        <v>10</v>
      </c>
    </row>
    <row r="1155" spans="1:32" x14ac:dyDescent="0.25">
      <c r="A1155" s="308">
        <v>45340</v>
      </c>
      <c r="B1155" s="416">
        <v>1228503</v>
      </c>
      <c r="C1155" s="413" t="str">
        <f>IFERROR(INDEX(Table14[],MATCH($B1155,Table14[SAPNo],0),3),"")</f>
        <v>1618 CT182 U-60 Ring</v>
      </c>
      <c r="D1155" s="306"/>
      <c r="E1155" s="421">
        <v>10</v>
      </c>
      <c r="F1155" s="421"/>
      <c r="G1155" s="417" t="s">
        <v>1491</v>
      </c>
      <c r="H1155" s="598">
        <v>14104608</v>
      </c>
      <c r="I1155" s="322" t="s">
        <v>1440</v>
      </c>
      <c r="J1155" s="418"/>
      <c r="K1155" s="248"/>
      <c r="M1155" s="366"/>
      <c r="AF1155">
        <v>10</v>
      </c>
    </row>
    <row r="1156" spans="1:32" x14ac:dyDescent="0.25">
      <c r="A1156" s="308">
        <v>45340</v>
      </c>
      <c r="B1156" s="416">
        <v>1220554</v>
      </c>
      <c r="C1156" s="413" t="str">
        <f>IFERROR(INDEX(Table14[],MATCH($B1156,Table14[SAPNo],0),3),"")</f>
        <v xml:space="preserve">1618 CT182 U-60 Carbide </v>
      </c>
      <c r="D1156" s="306"/>
      <c r="E1156" s="421">
        <v>10</v>
      </c>
      <c r="F1156" s="421"/>
      <c r="G1156" s="417" t="s">
        <v>1491</v>
      </c>
      <c r="H1156" s="598">
        <v>14104608</v>
      </c>
      <c r="I1156" s="322" t="s">
        <v>1440</v>
      </c>
      <c r="J1156" s="418"/>
      <c r="K1156" s="248"/>
      <c r="M1156" s="366"/>
      <c r="AF1156">
        <v>10</v>
      </c>
    </row>
    <row r="1157" spans="1:32" x14ac:dyDescent="0.25">
      <c r="A1157" s="308">
        <v>45340</v>
      </c>
      <c r="B1157" s="416">
        <v>871781</v>
      </c>
      <c r="C1157" s="413" t="str">
        <f>IFERROR(INDEX(Table14[],MATCH($B1157,Table14[SAPNo],0),3),"")</f>
        <v>Round 1313 CT200  0.018" (B)</v>
      </c>
      <c r="D1157" s="306"/>
      <c r="E1157" s="421">
        <v>6</v>
      </c>
      <c r="F1157" s="421"/>
      <c r="G1157" s="417" t="s">
        <v>1491</v>
      </c>
      <c r="H1157" s="598">
        <v>14104608</v>
      </c>
      <c r="I1157" s="322" t="s">
        <v>1440</v>
      </c>
      <c r="J1157" s="418"/>
      <c r="K1157" s="248"/>
      <c r="M1157" s="366"/>
      <c r="AF1157">
        <v>6</v>
      </c>
    </row>
    <row r="1158" spans="1:32" x14ac:dyDescent="0.25">
      <c r="A1158" s="308">
        <v>45340</v>
      </c>
      <c r="B1158" s="416">
        <v>1261320</v>
      </c>
      <c r="C1158" s="413" t="str">
        <f>IFERROR(INDEX(Table14[],MATCH($B1158,Table14[SAPNo],0),3),"")</f>
        <v>1313 CT155 U-60</v>
      </c>
      <c r="D1158" s="306"/>
      <c r="E1158" s="421">
        <v>6</v>
      </c>
      <c r="F1158" s="421"/>
      <c r="G1158" s="417" t="s">
        <v>1491</v>
      </c>
      <c r="H1158" s="598">
        <v>14104608</v>
      </c>
      <c r="I1158" s="322" t="s">
        <v>1440</v>
      </c>
      <c r="J1158" s="418"/>
      <c r="K1158" s="248"/>
      <c r="M1158" s="366"/>
      <c r="AF1158">
        <v>6</v>
      </c>
    </row>
    <row r="1159" spans="1:32" x14ac:dyDescent="0.25">
      <c r="A1159" s="308">
        <v>45340</v>
      </c>
      <c r="B1159" s="416">
        <v>1261321</v>
      </c>
      <c r="C1159" s="413" t="str">
        <f>IFERROR(INDEX(Table14[],MATCH($B1159,Table14[SAPNo],0),3),"")</f>
        <v>1613 CT155 U-60</v>
      </c>
      <c r="D1159" s="306"/>
      <c r="E1159" s="421">
        <v>4</v>
      </c>
      <c r="F1159" s="421"/>
      <c r="G1159" s="417" t="s">
        <v>1491</v>
      </c>
      <c r="H1159" s="598">
        <v>14104608</v>
      </c>
      <c r="I1159" s="322" t="s">
        <v>1440</v>
      </c>
      <c r="J1159" s="418"/>
      <c r="K1159" s="248"/>
      <c r="M1159" s="366"/>
      <c r="AF1159">
        <v>4</v>
      </c>
    </row>
    <row r="1160" spans="1:32" x14ac:dyDescent="0.25">
      <c r="A1160" s="308">
        <v>45340</v>
      </c>
      <c r="B1160" s="416">
        <v>1261319</v>
      </c>
      <c r="C1160" s="413" t="str">
        <f>IFERROR(INDEX(Table14[],MATCH($B1160,Table14[SAPNo],0),3),"")</f>
        <v>1308 CT155 U-60</v>
      </c>
      <c r="D1160" s="306"/>
      <c r="E1160" s="421">
        <v>24</v>
      </c>
      <c r="F1160" s="421"/>
      <c r="G1160" s="417" t="s">
        <v>1491</v>
      </c>
      <c r="H1160" s="598">
        <v>14104608</v>
      </c>
      <c r="I1160" s="322" t="s">
        <v>1440</v>
      </c>
      <c r="J1160" s="418"/>
      <c r="K1160" s="248"/>
      <c r="M1160" s="366"/>
      <c r="AF1160">
        <v>24</v>
      </c>
    </row>
    <row r="1161" spans="1:32" x14ac:dyDescent="0.25">
      <c r="A1161" s="308">
        <v>45341</v>
      </c>
      <c r="B1161" s="416">
        <v>1130198</v>
      </c>
      <c r="C1161" s="413" t="str">
        <f>IFERROR(INDEX(Table14[],MATCH($B1161,Table14[SAPNo],0),3),"")</f>
        <v>Round 1613 CT182  0.018" (S)</v>
      </c>
      <c r="D1161" s="306"/>
      <c r="E1161" s="421">
        <v>147</v>
      </c>
      <c r="F1161" s="421"/>
      <c r="G1161" s="417" t="s">
        <v>1492</v>
      </c>
      <c r="H1161" s="598">
        <v>14093084</v>
      </c>
      <c r="I1161" s="322" t="s">
        <v>1487</v>
      </c>
      <c r="J1161" s="418"/>
      <c r="K1161" s="248"/>
      <c r="M1161" s="366"/>
      <c r="AF1161">
        <v>147</v>
      </c>
    </row>
    <row r="1162" spans="1:32" x14ac:dyDescent="0.25">
      <c r="A1162" s="308">
        <v>45341</v>
      </c>
      <c r="B1162" s="416">
        <v>418525</v>
      </c>
      <c r="C1162" s="413" t="str">
        <f>IFERROR(INDEX(Table14[],MATCH($B1162,Table14[SAPNo],0),3),"")</f>
        <v>Drop In 1308 CT31   (B)</v>
      </c>
      <c r="D1162" s="306"/>
      <c r="E1162" s="421">
        <v>8</v>
      </c>
      <c r="F1162" s="421"/>
      <c r="G1162" s="417" t="s">
        <v>1492</v>
      </c>
      <c r="H1162" s="598">
        <v>14093084</v>
      </c>
      <c r="I1162" s="322" t="s">
        <v>1487</v>
      </c>
      <c r="J1162" s="418"/>
      <c r="K1162" s="248"/>
      <c r="M1162" s="366"/>
      <c r="AF1162">
        <v>8</v>
      </c>
    </row>
    <row r="1163" spans="1:32" x14ac:dyDescent="0.25">
      <c r="A1163" s="308">
        <v>45341</v>
      </c>
      <c r="B1163" s="416">
        <v>1100696</v>
      </c>
      <c r="C1163" s="413" t="str">
        <f>IFERROR(INDEX(Table14[],MATCH($B1163,Table14[SAPNo],0),3),"")</f>
        <v>Round 1313 CT418  10C (S)</v>
      </c>
      <c r="D1163" s="306"/>
      <c r="E1163" s="421">
        <v>5</v>
      </c>
      <c r="F1163" s="421"/>
      <c r="G1163" s="417" t="s">
        <v>1493</v>
      </c>
      <c r="H1163" s="598">
        <v>14093068</v>
      </c>
      <c r="I1163" s="322" t="s">
        <v>1447</v>
      </c>
      <c r="J1163" s="418"/>
      <c r="K1163" s="248"/>
      <c r="M1163" s="366"/>
      <c r="AF1163">
        <v>5</v>
      </c>
    </row>
    <row r="1164" spans="1:32" x14ac:dyDescent="0.25">
      <c r="A1164" s="308">
        <v>45341</v>
      </c>
      <c r="B1164" s="416">
        <v>1146346</v>
      </c>
      <c r="C1164" s="413" t="str">
        <f>IFERROR(INDEX(Table14[],MATCH($B1164,Table14[SAPNo],0),3),"")</f>
        <v>1313 CT418 18-60</v>
      </c>
      <c r="D1164" s="306"/>
      <c r="E1164" s="421">
        <v>7</v>
      </c>
      <c r="F1164" s="421"/>
      <c r="G1164" s="417" t="s">
        <v>1493</v>
      </c>
      <c r="H1164" s="598">
        <v>14093068</v>
      </c>
      <c r="I1164" s="322" t="s">
        <v>1447</v>
      </c>
      <c r="J1164" s="418"/>
      <c r="K1164" s="248"/>
      <c r="M1164" s="366"/>
      <c r="AF1164">
        <v>7</v>
      </c>
    </row>
    <row r="1165" spans="1:32" x14ac:dyDescent="0.25">
      <c r="A1165" s="308">
        <v>45341</v>
      </c>
      <c r="B1165" s="416">
        <v>418525</v>
      </c>
      <c r="C1165" s="413" t="str">
        <f>IFERROR(INDEX(Table14[],MATCH($B1165,Table14[SAPNo],0),3),"")</f>
        <v>Drop In 1308 CT31   (B)</v>
      </c>
      <c r="D1165" s="306"/>
      <c r="E1165" s="421">
        <v>6</v>
      </c>
      <c r="F1165" s="421"/>
      <c r="G1165" s="417" t="s">
        <v>1493</v>
      </c>
      <c r="H1165" s="598">
        <v>14093068</v>
      </c>
      <c r="I1165" s="322" t="s">
        <v>1447</v>
      </c>
      <c r="J1165" s="418"/>
      <c r="K1165" s="248"/>
      <c r="M1165" s="366"/>
      <c r="AF1165">
        <v>6</v>
      </c>
    </row>
    <row r="1166" spans="1:32" x14ac:dyDescent="0.25">
      <c r="A1166" s="308">
        <v>45341</v>
      </c>
      <c r="B1166" s="416">
        <v>1101509</v>
      </c>
      <c r="C1166" s="413" t="str">
        <f>IFERROR(INDEX(Table14[],MATCH($B1166,Table14[SAPNo],0),3),"")</f>
        <v>Short IA 8    (C)</v>
      </c>
      <c r="D1166" s="306"/>
      <c r="E1166" s="421">
        <v>5</v>
      </c>
      <c r="F1166" s="421"/>
      <c r="G1166" s="417" t="s">
        <v>1493</v>
      </c>
      <c r="H1166" s="598">
        <v>14093068</v>
      </c>
      <c r="I1166" s="322" t="s">
        <v>1447</v>
      </c>
      <c r="J1166" s="418"/>
      <c r="K1166" s="248"/>
      <c r="M1166" s="366"/>
      <c r="AF1166">
        <v>5</v>
      </c>
    </row>
    <row r="1167" spans="1:32" x14ac:dyDescent="0.25">
      <c r="A1167" s="308">
        <v>45341</v>
      </c>
      <c r="B1167" s="416">
        <v>1104083</v>
      </c>
      <c r="C1167" s="413" t="str">
        <f>IFERROR(INDEX(Table14[],MATCH($B1167,Table14[SAPNo],0),3),"")</f>
        <v>1313 CT144H  10C (S)</v>
      </c>
      <c r="D1167" s="306"/>
      <c r="E1167" s="421">
        <v>1</v>
      </c>
      <c r="F1167" s="421"/>
      <c r="G1167" s="417" t="s">
        <v>1493</v>
      </c>
      <c r="H1167" s="598">
        <v>14093068</v>
      </c>
      <c r="I1167" s="322" t="s">
        <v>1447</v>
      </c>
      <c r="J1167" s="418"/>
      <c r="K1167" s="248"/>
      <c r="M1167" s="366"/>
      <c r="AF1167">
        <v>1</v>
      </c>
    </row>
    <row r="1168" spans="1:32" x14ac:dyDescent="0.25">
      <c r="A1168" s="308">
        <v>45341</v>
      </c>
      <c r="B1168" s="416">
        <v>1136984</v>
      </c>
      <c r="C1168" s="413" t="str">
        <f>IFERROR(INDEX(Table14[],MATCH($B1168,Table14[SAPNo],0),3),"")</f>
        <v>DBLMCHT 1313 CT182DM  10C (S)</v>
      </c>
      <c r="D1168" s="306"/>
      <c r="E1168" s="421">
        <v>13</v>
      </c>
      <c r="F1168" s="421"/>
      <c r="G1168" s="417" t="s">
        <v>1493</v>
      </c>
      <c r="H1168" s="598">
        <v>14093068</v>
      </c>
      <c r="I1168" s="322" t="s">
        <v>1447</v>
      </c>
      <c r="J1168" s="418"/>
      <c r="K1168" s="248"/>
      <c r="M1168" s="366"/>
      <c r="AF1168">
        <v>13</v>
      </c>
    </row>
    <row r="1169" spans="1:32" x14ac:dyDescent="0.25">
      <c r="A1169" s="308">
        <v>45342</v>
      </c>
      <c r="B1169" s="416">
        <v>625854</v>
      </c>
      <c r="C1169" s="413" t="str">
        <f>IFERROR(INDEX(Table14[],MATCH($B1169,Table14[SAPNo],0),3),"")</f>
        <v>Carbide IA 1318    (C)</v>
      </c>
      <c r="D1169" s="306"/>
      <c r="E1169" s="421">
        <v>6</v>
      </c>
      <c r="F1169" s="421"/>
      <c r="G1169" s="417" t="s">
        <v>1494</v>
      </c>
      <c r="H1169" s="598">
        <v>14081904</v>
      </c>
      <c r="I1169" s="322" t="s">
        <v>1495</v>
      </c>
      <c r="J1169" s="418"/>
      <c r="K1169" s="248"/>
      <c r="M1169" s="366"/>
      <c r="AF1169">
        <v>6</v>
      </c>
    </row>
    <row r="1170" spans="1:32" x14ac:dyDescent="0.25">
      <c r="A1170" s="308">
        <v>45342</v>
      </c>
      <c r="B1170" s="416">
        <v>871781</v>
      </c>
      <c r="C1170" s="413" t="str">
        <f>IFERROR(INDEX(Table14[],MATCH($B1170,Table14[SAPNo],0),3),"")</f>
        <v>Round 1313 CT200  0.018" (B)</v>
      </c>
      <c r="D1170" s="306"/>
      <c r="E1170" s="421">
        <v>7</v>
      </c>
      <c r="F1170" s="421"/>
      <c r="G1170" s="417" t="s">
        <v>1494</v>
      </c>
      <c r="H1170" s="598">
        <v>14081904</v>
      </c>
      <c r="I1170" s="322" t="s">
        <v>1495</v>
      </c>
      <c r="J1170" s="418"/>
      <c r="K1170" s="248"/>
      <c r="M1170" s="366"/>
      <c r="AF1170">
        <v>7</v>
      </c>
    </row>
    <row r="1171" spans="1:32" x14ac:dyDescent="0.25">
      <c r="A1171" s="308">
        <v>45342</v>
      </c>
      <c r="B1171" s="416">
        <v>1271790</v>
      </c>
      <c r="C1171" s="413" t="str">
        <f>IFERROR(INDEX(Table14[],MATCH($B1171,Table14[SAPNo],0),3),"")</f>
        <v xml:space="preserve">1613 CT170 18-60 </v>
      </c>
      <c r="D1171" s="306"/>
      <c r="E1171" s="421">
        <v>6</v>
      </c>
      <c r="F1171" s="421"/>
      <c r="G1171" s="417" t="s">
        <v>1494</v>
      </c>
      <c r="H1171" s="598">
        <v>14081904</v>
      </c>
      <c r="I1171" s="322" t="s">
        <v>1495</v>
      </c>
      <c r="J1171" s="418"/>
      <c r="K1171" s="248"/>
      <c r="M1171" s="366"/>
      <c r="AF1171">
        <v>6</v>
      </c>
    </row>
    <row r="1172" spans="1:32" x14ac:dyDescent="0.25">
      <c r="A1172" s="308">
        <v>45342</v>
      </c>
      <c r="B1172" s="416">
        <v>1146737</v>
      </c>
      <c r="C1172" s="413" t="str">
        <f>IFERROR(INDEX(Table14[],MATCH($B1172,Table14[SAPNo],0),3),"")</f>
        <v>1613 CT418 18-60</v>
      </c>
      <c r="D1172" s="306"/>
      <c r="E1172" s="421">
        <v>8</v>
      </c>
      <c r="F1172" s="421"/>
      <c r="G1172" s="417" t="s">
        <v>1494</v>
      </c>
      <c r="H1172" s="598">
        <v>14081904</v>
      </c>
      <c r="I1172" s="322" t="s">
        <v>1495</v>
      </c>
      <c r="J1172" s="418"/>
      <c r="K1172" s="248"/>
      <c r="M1172" s="366"/>
      <c r="AF1172">
        <v>8</v>
      </c>
    </row>
    <row r="1173" spans="1:32" x14ac:dyDescent="0.25">
      <c r="A1173" s="308">
        <v>45342</v>
      </c>
      <c r="B1173" s="416">
        <v>1208601</v>
      </c>
      <c r="C1173" s="413" t="str">
        <f>IFERROR(INDEX(Table14[],MATCH($B1173,Table14[SAPNo],0),3),"")</f>
        <v>1613 CT418 U-60</v>
      </c>
      <c r="D1173" s="306"/>
      <c r="E1173" s="421">
        <v>11</v>
      </c>
      <c r="F1173" s="421"/>
      <c r="G1173" s="417" t="s">
        <v>1494</v>
      </c>
      <c r="H1173" s="598">
        <v>14081904</v>
      </c>
      <c r="I1173" s="322" t="s">
        <v>1495</v>
      </c>
      <c r="J1173" s="418"/>
      <c r="K1173" s="248"/>
      <c r="M1173" s="366"/>
      <c r="AF1173">
        <v>11</v>
      </c>
    </row>
    <row r="1174" spans="1:32" x14ac:dyDescent="0.25">
      <c r="A1174" s="308">
        <v>45342</v>
      </c>
      <c r="B1174" s="416">
        <v>1219562</v>
      </c>
      <c r="C1174" s="413" t="str">
        <f>IFERROR(INDEX(Table14[],MATCH($B1174,Table14[SAPNo],0),3),"")</f>
        <v>1613 CT147R U</v>
      </c>
      <c r="D1174" s="306"/>
      <c r="E1174" s="421">
        <v>30</v>
      </c>
      <c r="F1174" s="421"/>
      <c r="G1174" s="417" t="s">
        <v>1494</v>
      </c>
      <c r="H1174" s="598">
        <v>14081904</v>
      </c>
      <c r="I1174" s="322" t="s">
        <v>1495</v>
      </c>
      <c r="J1174" s="418"/>
      <c r="K1174" s="248"/>
      <c r="M1174" s="366"/>
      <c r="AF1174">
        <v>30</v>
      </c>
    </row>
    <row r="1175" spans="1:32" x14ac:dyDescent="0.25">
      <c r="A1175" s="320">
        <v>45342</v>
      </c>
      <c r="B1175" s="419">
        <v>1142711</v>
      </c>
      <c r="C1175" s="413" t="str">
        <f>IFERROR(INDEX(Table14[],MATCH($B1175,Table14[SAPNo],0),3),"")</f>
        <v>1613 CT421 U</v>
      </c>
      <c r="D1175" s="306"/>
      <c r="E1175" s="421">
        <v>21</v>
      </c>
      <c r="F1175" s="421"/>
      <c r="G1175" s="420" t="s">
        <v>1494</v>
      </c>
      <c r="H1175" s="599">
        <v>14081904</v>
      </c>
      <c r="I1175" s="322" t="s">
        <v>1495</v>
      </c>
      <c r="J1175" s="421"/>
      <c r="K1175" s="422"/>
      <c r="M1175" s="366"/>
      <c r="AF1175">
        <v>21</v>
      </c>
    </row>
    <row r="1176" spans="1:32" x14ac:dyDescent="0.25">
      <c r="A1176" s="308">
        <v>45343</v>
      </c>
      <c r="B1176" s="416">
        <v>1271790</v>
      </c>
      <c r="C1176" s="413" t="str">
        <f>IFERROR(INDEX(Table14[],MATCH($B1176,Table14[SAPNo],0),3),"")</f>
        <v xml:space="preserve">1613 CT170 18-60 </v>
      </c>
      <c r="D1176" s="306"/>
      <c r="E1176" s="421">
        <v>17</v>
      </c>
      <c r="F1176" s="421"/>
      <c r="G1176" s="417" t="s">
        <v>1496</v>
      </c>
      <c r="H1176" s="598">
        <v>14119214</v>
      </c>
      <c r="I1176" s="322" t="s">
        <v>1497</v>
      </c>
      <c r="J1176" s="418"/>
      <c r="K1176" s="248"/>
      <c r="M1176" s="422"/>
      <c r="AF1176">
        <v>17</v>
      </c>
    </row>
    <row r="1177" spans="1:32" x14ac:dyDescent="0.25">
      <c r="A1177" s="308">
        <v>45343</v>
      </c>
      <c r="B1177" s="416">
        <v>1078377</v>
      </c>
      <c r="C1177" s="413" t="str">
        <f>IFERROR(INDEX(Table14[],MATCH($B1177,Table14[SAPNo],0),3),"")</f>
        <v>13MM CT221 R1</v>
      </c>
      <c r="D1177" s="306"/>
      <c r="E1177" s="421">
        <v>15</v>
      </c>
      <c r="F1177" s="421"/>
      <c r="G1177" s="417" t="s">
        <v>1496</v>
      </c>
      <c r="H1177" s="598">
        <v>14119214</v>
      </c>
      <c r="I1177" s="322" t="s">
        <v>1497</v>
      </c>
      <c r="J1177" s="418"/>
      <c r="K1177" s="248"/>
      <c r="M1177" s="366"/>
      <c r="AF1177">
        <v>15</v>
      </c>
    </row>
    <row r="1178" spans="1:32" x14ac:dyDescent="0.25">
      <c r="A1178" s="308">
        <v>45343</v>
      </c>
      <c r="B1178" s="416">
        <v>1208601</v>
      </c>
      <c r="C1178" s="413" t="str">
        <f>IFERROR(INDEX(Table14[],MATCH($B1178,Table14[SAPNo],0),3),"")</f>
        <v>1613 CT418 U-60</v>
      </c>
      <c r="D1178" s="306"/>
      <c r="E1178" s="421">
        <v>8</v>
      </c>
      <c r="F1178" s="421"/>
      <c r="G1178" s="417" t="s">
        <v>1496</v>
      </c>
      <c r="H1178" s="598">
        <v>14119214</v>
      </c>
      <c r="I1178" s="322" t="s">
        <v>1497</v>
      </c>
      <c r="J1178" s="418"/>
      <c r="K1178" s="248"/>
      <c r="M1178" s="366"/>
      <c r="AF1178">
        <v>8</v>
      </c>
    </row>
    <row r="1179" spans="1:32" x14ac:dyDescent="0.25">
      <c r="A1179" s="308">
        <v>45343</v>
      </c>
      <c r="B1179" s="416">
        <v>418525</v>
      </c>
      <c r="C1179" s="413" t="str">
        <f>IFERROR(INDEX(Table14[],MATCH($B1179,Table14[SAPNo],0),3),"")</f>
        <v>Drop In 1308 CT31   (B)</v>
      </c>
      <c r="D1179" s="306"/>
      <c r="E1179" s="421">
        <v>6</v>
      </c>
      <c r="F1179" s="421"/>
      <c r="G1179" s="417" t="s">
        <v>1496</v>
      </c>
      <c r="H1179" s="598">
        <v>14119214</v>
      </c>
      <c r="I1179" s="322" t="s">
        <v>1497</v>
      </c>
      <c r="J1179" s="418"/>
      <c r="K1179" s="248"/>
      <c r="M1179" s="366"/>
      <c r="AF1179">
        <v>6</v>
      </c>
    </row>
    <row r="1180" spans="1:32" x14ac:dyDescent="0.25">
      <c r="A1180" s="320">
        <v>45343</v>
      </c>
      <c r="B1180" s="419">
        <v>1146737</v>
      </c>
      <c r="C1180" s="413" t="str">
        <f>IFERROR(INDEX(Table14[],MATCH($B1180,Table14[SAPNo],0),3),"")</f>
        <v>1613 CT418 18-60</v>
      </c>
      <c r="D1180" s="306"/>
      <c r="E1180" s="421">
        <v>6</v>
      </c>
      <c r="F1180" s="421"/>
      <c r="G1180" s="420" t="s">
        <v>1496</v>
      </c>
      <c r="H1180" s="599">
        <v>14119214</v>
      </c>
      <c r="I1180" s="322" t="s">
        <v>1497</v>
      </c>
      <c r="J1180" s="421"/>
      <c r="K1180" s="422"/>
      <c r="M1180" s="366"/>
      <c r="AF1180">
        <v>6</v>
      </c>
    </row>
    <row r="1181" spans="1:32" x14ac:dyDescent="0.25">
      <c r="A1181" s="308">
        <v>45343</v>
      </c>
      <c r="B1181" s="416">
        <v>871781</v>
      </c>
      <c r="C1181" s="413" t="str">
        <f>IFERROR(INDEX(Table14[],MATCH($B1181,Table14[SAPNo],0),3),"")</f>
        <v>Round 1313 CT200  0.018" (B)</v>
      </c>
      <c r="D1181" s="306"/>
      <c r="E1181" s="421">
        <v>42</v>
      </c>
      <c r="F1181" s="421"/>
      <c r="G1181" s="417" t="s">
        <v>1498</v>
      </c>
      <c r="H1181" s="598">
        <v>14073966</v>
      </c>
      <c r="I1181" s="322" t="s">
        <v>1499</v>
      </c>
      <c r="J1181" s="418"/>
      <c r="K1181" s="248"/>
      <c r="M1181" s="422"/>
      <c r="AF1181">
        <v>42</v>
      </c>
    </row>
    <row r="1182" spans="1:32" x14ac:dyDescent="0.25">
      <c r="A1182" s="308">
        <v>45343</v>
      </c>
      <c r="B1182" s="416">
        <v>1219562</v>
      </c>
      <c r="C1182" s="413" t="str">
        <f>IFERROR(INDEX(Table14[],MATCH($B1182,Table14[SAPNo],0),3),"")</f>
        <v>1613 CT147R U</v>
      </c>
      <c r="D1182" s="306"/>
      <c r="E1182" s="421">
        <v>42</v>
      </c>
      <c r="F1182" s="421"/>
      <c r="G1182" s="417" t="s">
        <v>1498</v>
      </c>
      <c r="H1182" s="598">
        <v>14073966</v>
      </c>
      <c r="I1182" s="322" t="s">
        <v>1499</v>
      </c>
      <c r="J1182" s="418"/>
      <c r="K1182" s="248"/>
      <c r="M1182" s="366"/>
      <c r="AF1182">
        <v>42</v>
      </c>
    </row>
    <row r="1183" spans="1:32" x14ac:dyDescent="0.25">
      <c r="A1183" s="308">
        <v>45343</v>
      </c>
      <c r="B1183" s="416">
        <v>410851</v>
      </c>
      <c r="C1183" s="413" t="str">
        <f>IFERROR(INDEX(Table14[],MATCH($B1183,Table14[SAPNo],0),3),"")</f>
        <v>PDC Dome 1308 CT31   (B)</v>
      </c>
      <c r="D1183" s="306"/>
      <c r="E1183" s="421">
        <v>28</v>
      </c>
      <c r="F1183" s="421"/>
      <c r="G1183" s="417" t="s">
        <v>1498</v>
      </c>
      <c r="H1183" s="598">
        <v>14073966</v>
      </c>
      <c r="I1183" s="322" t="s">
        <v>1499</v>
      </c>
      <c r="J1183" s="418"/>
      <c r="K1183" s="248"/>
      <c r="M1183" s="366"/>
      <c r="AF1183">
        <v>28</v>
      </c>
    </row>
    <row r="1184" spans="1:32" x14ac:dyDescent="0.25">
      <c r="A1184" s="308">
        <v>45343</v>
      </c>
      <c r="B1184" s="416">
        <v>179734</v>
      </c>
      <c r="C1184" s="413" t="str">
        <f>IFERROR(INDEX(Table14[],MATCH($B1184,Table14[SAPNo],0),3),"")</f>
        <v>Long IPA 13    (C)</v>
      </c>
      <c r="D1184" s="306"/>
      <c r="E1184" s="421">
        <v>22</v>
      </c>
      <c r="F1184" s="421"/>
      <c r="G1184" s="417" t="s">
        <v>1498</v>
      </c>
      <c r="H1184" s="598">
        <v>14073966</v>
      </c>
      <c r="I1184" s="322" t="s">
        <v>1499</v>
      </c>
      <c r="J1184" s="418"/>
      <c r="K1184" s="248"/>
      <c r="M1184" s="366"/>
      <c r="AF1184">
        <v>22</v>
      </c>
    </row>
    <row r="1185" spans="1:32" x14ac:dyDescent="0.25">
      <c r="A1185" s="308">
        <v>45343</v>
      </c>
      <c r="B1185" s="416">
        <v>1130198</v>
      </c>
      <c r="C1185" s="413" t="str">
        <f>IFERROR(INDEX(Table14[],MATCH($B1185,Table14[SAPNo],0),3),"")</f>
        <v>Round 1613 CT182  0.018" (S)</v>
      </c>
      <c r="D1185" s="306"/>
      <c r="E1185" s="421">
        <v>22</v>
      </c>
      <c r="F1185" s="421"/>
      <c r="G1185" s="417" t="s">
        <v>1498</v>
      </c>
      <c r="H1185" s="598">
        <v>14073966</v>
      </c>
      <c r="I1185" s="322" t="s">
        <v>1499</v>
      </c>
      <c r="J1185" s="418"/>
      <c r="K1185" s="248"/>
      <c r="M1185" s="366"/>
      <c r="AF1185">
        <v>22</v>
      </c>
    </row>
    <row r="1186" spans="1:32" x14ac:dyDescent="0.25">
      <c r="A1186" s="308">
        <v>45343</v>
      </c>
      <c r="B1186" s="416">
        <v>1208601</v>
      </c>
      <c r="C1186" s="413" t="str">
        <f>IFERROR(INDEX(Table14[],MATCH($B1186,Table14[SAPNo],0),3),"")</f>
        <v>1613 CT418 U-60</v>
      </c>
      <c r="D1186" s="306"/>
      <c r="E1186" s="421">
        <v>15</v>
      </c>
      <c r="F1186" s="421"/>
      <c r="G1186" s="417" t="s">
        <v>1498</v>
      </c>
      <c r="H1186" s="598">
        <v>14073966</v>
      </c>
      <c r="I1186" s="322" t="s">
        <v>1499</v>
      </c>
      <c r="J1186" s="418"/>
      <c r="K1186" s="248"/>
      <c r="M1186" s="366"/>
      <c r="AF1186">
        <v>15</v>
      </c>
    </row>
    <row r="1187" spans="1:32" x14ac:dyDescent="0.25">
      <c r="A1187" s="320">
        <v>45343</v>
      </c>
      <c r="B1187" s="419">
        <v>418525</v>
      </c>
      <c r="C1187" s="413" t="str">
        <f>IFERROR(INDEX(Table14[],MATCH($B1187,Table14[SAPNo],0),3),"")</f>
        <v>Drop In 1308 CT31   (B)</v>
      </c>
      <c r="D1187" s="306"/>
      <c r="E1187" s="421">
        <v>7</v>
      </c>
      <c r="F1187" s="421"/>
      <c r="G1187" s="420" t="s">
        <v>1498</v>
      </c>
      <c r="H1187" s="599">
        <v>14073966</v>
      </c>
      <c r="I1187" s="322" t="s">
        <v>1499</v>
      </c>
      <c r="J1187" s="421"/>
      <c r="K1187" s="422"/>
      <c r="M1187" s="366"/>
      <c r="AF1187">
        <v>7</v>
      </c>
    </row>
    <row r="1188" spans="1:32" x14ac:dyDescent="0.25">
      <c r="A1188" s="308">
        <v>45343</v>
      </c>
      <c r="B1188" s="416">
        <v>1130200</v>
      </c>
      <c r="C1188" s="413" t="str">
        <f>IFERROR(INDEX(Table14[],MATCH($B1188,Table14[SAPNo],0),3),"")</f>
        <v>Round 1913 CT182  0.018" (S)</v>
      </c>
      <c r="D1188" s="306"/>
      <c r="E1188" s="421">
        <v>42</v>
      </c>
      <c r="F1188" s="421"/>
      <c r="G1188" s="417" t="s">
        <v>1500</v>
      </c>
      <c r="H1188" s="598">
        <v>14127567</v>
      </c>
      <c r="I1188" s="322" t="s">
        <v>1501</v>
      </c>
      <c r="J1188" s="418"/>
      <c r="K1188" s="248"/>
      <c r="M1188" s="422"/>
      <c r="AF1188">
        <v>42</v>
      </c>
    </row>
    <row r="1189" spans="1:32" x14ac:dyDescent="0.25">
      <c r="A1189" s="308">
        <v>45343</v>
      </c>
      <c r="B1189" s="416">
        <v>708306</v>
      </c>
      <c r="C1189" s="413" t="str">
        <f>IFERROR(INDEX(Table14[],MATCH($B1189,Table14[SAPNo],0),3),"")</f>
        <v>Round 1913 CT200  0.018" (B)</v>
      </c>
      <c r="D1189" s="306"/>
      <c r="E1189" s="421">
        <v>35</v>
      </c>
      <c r="F1189" s="421"/>
      <c r="G1189" s="417" t="s">
        <v>1500</v>
      </c>
      <c r="H1189" s="598">
        <v>14127567</v>
      </c>
      <c r="I1189" s="322" t="s">
        <v>1501</v>
      </c>
      <c r="J1189" s="418"/>
      <c r="K1189" s="248"/>
      <c r="M1189" s="366"/>
      <c r="AF1189">
        <v>35</v>
      </c>
    </row>
    <row r="1190" spans="1:32" x14ac:dyDescent="0.25">
      <c r="A1190" s="308">
        <v>45343</v>
      </c>
      <c r="B1190" s="416">
        <v>871781</v>
      </c>
      <c r="C1190" s="413" t="str">
        <f>IFERROR(INDEX(Table14[],MATCH($B1190,Table14[SAPNo],0),3),"")</f>
        <v>Round 1313 CT200  0.018" (B)</v>
      </c>
      <c r="D1190" s="306"/>
      <c r="E1190" s="421">
        <v>4</v>
      </c>
      <c r="F1190" s="421"/>
      <c r="G1190" s="417" t="s">
        <v>1500</v>
      </c>
      <c r="H1190" s="598">
        <v>14127567</v>
      </c>
      <c r="I1190" s="322" t="s">
        <v>1501</v>
      </c>
      <c r="J1190" s="418"/>
      <c r="K1190" s="248"/>
      <c r="M1190" s="366"/>
      <c r="AF1190">
        <v>4</v>
      </c>
    </row>
    <row r="1191" spans="1:32" x14ac:dyDescent="0.25">
      <c r="A1191" s="320">
        <v>45343</v>
      </c>
      <c r="B1191" s="419">
        <v>418525</v>
      </c>
      <c r="C1191" s="413" t="str">
        <f>IFERROR(INDEX(Table14[],MATCH($B1191,Table14[SAPNo],0),3),"")</f>
        <v>Drop In 1308 CT31   (B)</v>
      </c>
      <c r="D1191" s="306"/>
      <c r="E1191" s="421">
        <v>3</v>
      </c>
      <c r="F1191" s="421"/>
      <c r="G1191" s="420" t="s">
        <v>1500</v>
      </c>
      <c r="H1191" s="599">
        <v>14127567</v>
      </c>
      <c r="I1191" s="322" t="s">
        <v>1501</v>
      </c>
      <c r="J1191" s="421"/>
      <c r="K1191" s="422"/>
      <c r="M1191" s="366"/>
      <c r="AF1191">
        <v>3</v>
      </c>
    </row>
    <row r="1192" spans="1:32" x14ac:dyDescent="0.25">
      <c r="A1192" s="320">
        <v>45343</v>
      </c>
      <c r="B1192" s="419">
        <v>1130200</v>
      </c>
      <c r="C1192" s="413" t="str">
        <f>IFERROR(INDEX(Table14[],MATCH($B1192,Table14[SAPNo],0),3),"")</f>
        <v>Round 1913 CT182  0.018" (S)</v>
      </c>
      <c r="D1192" s="306"/>
      <c r="E1192" s="421">
        <v>10</v>
      </c>
      <c r="F1192" s="421"/>
      <c r="G1192" s="420" t="s">
        <v>1500</v>
      </c>
      <c r="H1192" s="599">
        <v>14127567</v>
      </c>
      <c r="I1192" s="322" t="s">
        <v>1501</v>
      </c>
      <c r="J1192" s="421"/>
      <c r="K1192" s="422"/>
      <c r="M1192" s="473" t="s">
        <v>1502</v>
      </c>
      <c r="AF1192">
        <v>10</v>
      </c>
    </row>
    <row r="1193" spans="1:32" x14ac:dyDescent="0.25">
      <c r="A1193" s="308">
        <v>45347</v>
      </c>
      <c r="B1193" s="416">
        <v>1145493</v>
      </c>
      <c r="C1193" s="413" t="str">
        <f>IFERROR(INDEX(Table14[],MATCH($B1193,Table14[SAPNo],0),3),"")</f>
        <v>Round 1313 CT427  10C (S)</v>
      </c>
      <c r="D1193" s="306"/>
      <c r="E1193" s="421"/>
      <c r="F1193" s="421"/>
      <c r="G1193" s="417">
        <v>20231214</v>
      </c>
      <c r="H1193" s="598" t="s">
        <v>1420</v>
      </c>
      <c r="I1193" s="322" t="s">
        <v>1503</v>
      </c>
      <c r="J1193" s="418"/>
      <c r="K1193" s="248"/>
      <c r="M1193" s="422"/>
    </row>
    <row r="1194" spans="1:32" x14ac:dyDescent="0.25">
      <c r="A1194" s="308">
        <v>45347</v>
      </c>
      <c r="B1194" s="416">
        <v>1100696</v>
      </c>
      <c r="C1194" s="413" t="str">
        <f>IFERROR(INDEX(Table14[],MATCH($B1194,Table14[SAPNo],0),3),"")</f>
        <v>Round 1313 CT418  10C (S)</v>
      </c>
      <c r="D1194" s="306"/>
      <c r="E1194" s="421"/>
      <c r="F1194" s="421"/>
      <c r="G1194" s="417" t="s">
        <v>1428</v>
      </c>
      <c r="H1194" s="598">
        <v>14023086</v>
      </c>
      <c r="I1194" s="322" t="s">
        <v>1429</v>
      </c>
      <c r="J1194" s="418"/>
      <c r="K1194" s="248" t="s">
        <v>1504</v>
      </c>
      <c r="M1194" s="366"/>
    </row>
    <row r="1195" spans="1:32" x14ac:dyDescent="0.25">
      <c r="A1195" s="308">
        <v>45347</v>
      </c>
      <c r="B1195" s="416">
        <v>1100696</v>
      </c>
      <c r="C1195" s="413" t="str">
        <f>IFERROR(INDEX(Table14[],MATCH($B1195,Table14[SAPNo],0),3),"")</f>
        <v>Round 1313 CT418  10C (S)</v>
      </c>
      <c r="D1195" s="306"/>
      <c r="E1195" s="421"/>
      <c r="F1195" s="421"/>
      <c r="G1195" s="417" t="s">
        <v>1428</v>
      </c>
      <c r="H1195" s="598">
        <v>14023086</v>
      </c>
      <c r="I1195" s="322" t="s">
        <v>1429</v>
      </c>
      <c r="J1195" s="418"/>
      <c r="K1195" s="248" t="s">
        <v>1505</v>
      </c>
      <c r="M1195" s="366"/>
    </row>
    <row r="1196" spans="1:32" x14ac:dyDescent="0.25">
      <c r="A1196" s="308">
        <v>45347</v>
      </c>
      <c r="B1196" s="416">
        <v>1234679</v>
      </c>
      <c r="C1196" s="413" t="str">
        <f>IFERROR(INDEX(Table14[],MATCH($B1196,Table14[SAPNo],0),3),"")</f>
        <v>1613 CT164R U</v>
      </c>
      <c r="D1196" s="306"/>
      <c r="E1196" s="421"/>
      <c r="F1196" s="421"/>
      <c r="G1196" s="417" t="s">
        <v>1365</v>
      </c>
      <c r="H1196" s="598">
        <v>14036278</v>
      </c>
      <c r="I1196" s="322" t="s">
        <v>1366</v>
      </c>
      <c r="J1196" s="418"/>
      <c r="K1196" s="248" t="s">
        <v>1506</v>
      </c>
      <c r="M1196" s="366"/>
    </row>
    <row r="1197" spans="1:32" x14ac:dyDescent="0.25">
      <c r="A1197" s="308">
        <v>45347</v>
      </c>
      <c r="B1197" s="416">
        <v>1228503</v>
      </c>
      <c r="C1197" s="413" t="str">
        <f>IFERROR(INDEX(Table14[],MATCH($B1197,Table14[SAPNo],0),3),"")</f>
        <v>1618 CT182 U-60 Ring</v>
      </c>
      <c r="D1197" s="306"/>
      <c r="E1197" s="421">
        <v>10</v>
      </c>
      <c r="F1197" s="421"/>
      <c r="G1197" s="417" t="s">
        <v>1507</v>
      </c>
      <c r="H1197" s="598">
        <v>14127551</v>
      </c>
      <c r="I1197" s="322" t="s">
        <v>1440</v>
      </c>
      <c r="J1197" s="418"/>
      <c r="K1197" s="248"/>
      <c r="M1197" s="366"/>
      <c r="AF1197">
        <v>10</v>
      </c>
    </row>
    <row r="1198" spans="1:32" x14ac:dyDescent="0.25">
      <c r="A1198" s="308">
        <v>45347</v>
      </c>
      <c r="B1198" s="416">
        <v>1228501</v>
      </c>
      <c r="C1198" s="413" t="str">
        <f>IFERROR(INDEX(Table14[],MATCH($B1198,Table14[SAPNo],0),3),"")</f>
        <v>1618 CT182 U-60 stator</v>
      </c>
      <c r="D1198" s="306"/>
      <c r="E1198" s="421">
        <v>10</v>
      </c>
      <c r="F1198" s="421"/>
      <c r="G1198" s="417" t="s">
        <v>1507</v>
      </c>
      <c r="H1198" s="598">
        <v>14127551</v>
      </c>
      <c r="I1198" s="322" t="s">
        <v>1440</v>
      </c>
      <c r="J1198" s="418"/>
      <c r="K1198" s="248"/>
      <c r="M1198" s="366"/>
      <c r="AF1198">
        <v>10</v>
      </c>
    </row>
    <row r="1199" spans="1:32" x14ac:dyDescent="0.25">
      <c r="A1199" s="308">
        <v>45347</v>
      </c>
      <c r="B1199" s="416">
        <v>1220554</v>
      </c>
      <c r="C1199" s="413" t="str">
        <f>IFERROR(INDEX(Table14[],MATCH($B1199,Table14[SAPNo],0),3),"")</f>
        <v xml:space="preserve">1618 CT182 U-60 Carbide </v>
      </c>
      <c r="D1199" s="306"/>
      <c r="E1199" s="421">
        <v>10</v>
      </c>
      <c r="F1199" s="421"/>
      <c r="G1199" s="417" t="s">
        <v>1507</v>
      </c>
      <c r="H1199" s="598">
        <v>14127551</v>
      </c>
      <c r="I1199" s="322" t="s">
        <v>1440</v>
      </c>
      <c r="J1199" s="418"/>
      <c r="K1199" s="248"/>
      <c r="M1199" s="366"/>
      <c r="AF1199">
        <v>10</v>
      </c>
    </row>
    <row r="1200" spans="1:32" x14ac:dyDescent="0.25">
      <c r="A1200" s="308">
        <v>45347</v>
      </c>
      <c r="B1200" s="416">
        <v>871781</v>
      </c>
      <c r="C1200" s="413" t="str">
        <f>IFERROR(INDEX(Table14[],MATCH($B1200,Table14[SAPNo],0),3),"")</f>
        <v>Round 1313 CT200  0.018" (B)</v>
      </c>
      <c r="D1200" s="306"/>
      <c r="E1200" s="421">
        <v>6</v>
      </c>
      <c r="F1200" s="421"/>
      <c r="G1200" s="417" t="s">
        <v>1507</v>
      </c>
      <c r="H1200" s="598">
        <v>14127551</v>
      </c>
      <c r="I1200" s="322" t="s">
        <v>1440</v>
      </c>
      <c r="J1200" s="418"/>
      <c r="K1200" s="248"/>
      <c r="M1200" s="366"/>
      <c r="AF1200">
        <v>6</v>
      </c>
    </row>
    <row r="1201" spans="1:32" x14ac:dyDescent="0.25">
      <c r="A1201" s="308">
        <v>45347</v>
      </c>
      <c r="B1201" s="416">
        <v>1228502</v>
      </c>
      <c r="C1201" s="413" t="str">
        <f>IFERROR(INDEX(Table14[],MATCH($B1201,Table14[SAPNo],0),3),"")</f>
        <v>1618 CT182 U-60 Rotor</v>
      </c>
      <c r="D1201" s="306"/>
      <c r="E1201" s="421">
        <v>10</v>
      </c>
      <c r="F1201" s="421"/>
      <c r="G1201" s="417" t="s">
        <v>1507</v>
      </c>
      <c r="H1201" s="598">
        <v>14127551</v>
      </c>
      <c r="I1201" s="322" t="s">
        <v>1440</v>
      </c>
      <c r="J1201" s="418"/>
      <c r="K1201" s="248"/>
      <c r="M1201" s="366"/>
      <c r="AF1201">
        <v>10</v>
      </c>
    </row>
    <row r="1202" spans="1:32" x14ac:dyDescent="0.25">
      <c r="A1202" s="308">
        <v>45347</v>
      </c>
      <c r="B1202" s="416">
        <v>1261319</v>
      </c>
      <c r="C1202" s="413" t="str">
        <f>IFERROR(INDEX(Table14[],MATCH($B1202,Table14[SAPNo],0),3),"")</f>
        <v>1308 CT155 U-60</v>
      </c>
      <c r="D1202" s="306"/>
      <c r="E1202" s="421">
        <v>24</v>
      </c>
      <c r="F1202" s="421"/>
      <c r="G1202" s="417" t="s">
        <v>1507</v>
      </c>
      <c r="H1202" s="598">
        <v>14127551</v>
      </c>
      <c r="I1202" s="322" t="s">
        <v>1440</v>
      </c>
      <c r="J1202" s="418"/>
      <c r="K1202" s="248"/>
      <c r="M1202" s="366"/>
      <c r="AF1202">
        <v>24</v>
      </c>
    </row>
    <row r="1203" spans="1:32" x14ac:dyDescent="0.25">
      <c r="A1203" s="308">
        <v>45347</v>
      </c>
      <c r="B1203" s="416">
        <v>1261321</v>
      </c>
      <c r="C1203" s="413" t="str">
        <f>IFERROR(INDEX(Table14[],MATCH($B1203,Table14[SAPNo],0),3),"")</f>
        <v>1613 CT155 U-60</v>
      </c>
      <c r="D1203" s="306"/>
      <c r="E1203" s="421">
        <v>4</v>
      </c>
      <c r="F1203" s="421"/>
      <c r="G1203" s="417" t="s">
        <v>1507</v>
      </c>
      <c r="H1203" s="598">
        <v>14127551</v>
      </c>
      <c r="I1203" s="322" t="s">
        <v>1440</v>
      </c>
      <c r="J1203" s="418"/>
      <c r="K1203" s="248"/>
      <c r="M1203" s="366"/>
      <c r="AF1203">
        <v>4</v>
      </c>
    </row>
    <row r="1204" spans="1:32" x14ac:dyDescent="0.25">
      <c r="A1204" s="308">
        <v>45347</v>
      </c>
      <c r="B1204" s="416">
        <v>1261320</v>
      </c>
      <c r="C1204" s="413" t="str">
        <f>IFERROR(INDEX(Table14[],MATCH($B1204,Table14[SAPNo],0),3),"")</f>
        <v>1313 CT155 U-60</v>
      </c>
      <c r="D1204" s="306"/>
      <c r="E1204" s="421">
        <v>6</v>
      </c>
      <c r="F1204" s="421"/>
      <c r="G1204" s="417" t="s">
        <v>1507</v>
      </c>
      <c r="H1204" s="598">
        <v>14127551</v>
      </c>
      <c r="I1204" s="322" t="s">
        <v>1440</v>
      </c>
      <c r="J1204" s="418"/>
      <c r="K1204" s="248"/>
      <c r="M1204" s="366"/>
      <c r="AF1204">
        <v>6</v>
      </c>
    </row>
    <row r="1205" spans="1:32" x14ac:dyDescent="0.25">
      <c r="A1205" s="308">
        <v>45347</v>
      </c>
      <c r="B1205" s="416">
        <v>1228501</v>
      </c>
      <c r="C1205" s="413" t="str">
        <f>IFERROR(INDEX(Table14[],MATCH($B1205,Table14[SAPNo],0),3),"")</f>
        <v>1618 CT182 U-60 stator</v>
      </c>
      <c r="D1205" s="306"/>
      <c r="E1205" s="421">
        <v>10</v>
      </c>
      <c r="F1205" s="421"/>
      <c r="G1205" s="417" t="s">
        <v>1508</v>
      </c>
      <c r="H1205" s="598">
        <v>14127556</v>
      </c>
      <c r="I1205" s="322" t="s">
        <v>1440</v>
      </c>
      <c r="J1205" s="418"/>
      <c r="K1205" s="248"/>
      <c r="M1205" s="366"/>
      <c r="AF1205">
        <v>10</v>
      </c>
    </row>
    <row r="1206" spans="1:32" x14ac:dyDescent="0.25">
      <c r="A1206" s="308">
        <v>45347</v>
      </c>
      <c r="B1206" s="416">
        <v>1228502</v>
      </c>
      <c r="C1206" s="413" t="str">
        <f>IFERROR(INDEX(Table14[],MATCH($B1206,Table14[SAPNo],0),3),"")</f>
        <v>1618 CT182 U-60 Rotor</v>
      </c>
      <c r="D1206" s="306"/>
      <c r="E1206" s="421">
        <v>10</v>
      </c>
      <c r="F1206" s="421"/>
      <c r="G1206" s="417" t="s">
        <v>1508</v>
      </c>
      <c r="H1206" s="598">
        <v>14127556</v>
      </c>
      <c r="I1206" s="322" t="s">
        <v>1440</v>
      </c>
      <c r="J1206" s="418"/>
      <c r="K1206" s="248"/>
      <c r="M1206" s="366"/>
      <c r="AF1206">
        <v>10</v>
      </c>
    </row>
    <row r="1207" spans="1:32" x14ac:dyDescent="0.25">
      <c r="A1207" s="308">
        <v>45347</v>
      </c>
      <c r="B1207" s="416">
        <v>1228503</v>
      </c>
      <c r="C1207" s="413" t="str">
        <f>IFERROR(INDEX(Table14[],MATCH($B1207,Table14[SAPNo],0),3),"")</f>
        <v>1618 CT182 U-60 Ring</v>
      </c>
      <c r="D1207" s="306"/>
      <c r="E1207" s="421">
        <v>10</v>
      </c>
      <c r="F1207" s="421"/>
      <c r="G1207" s="417" t="s">
        <v>1508</v>
      </c>
      <c r="H1207" s="598">
        <v>14127556</v>
      </c>
      <c r="I1207" s="322" t="s">
        <v>1440</v>
      </c>
      <c r="J1207" s="418"/>
      <c r="K1207" s="248"/>
      <c r="M1207" s="366"/>
      <c r="AF1207">
        <v>10</v>
      </c>
    </row>
    <row r="1208" spans="1:32" x14ac:dyDescent="0.25">
      <c r="A1208" s="308">
        <v>45347</v>
      </c>
      <c r="B1208" s="416">
        <v>1220554</v>
      </c>
      <c r="C1208" s="413" t="str">
        <f>IFERROR(INDEX(Table14[],MATCH($B1208,Table14[SAPNo],0),3),"")</f>
        <v xml:space="preserve">1618 CT182 U-60 Carbide </v>
      </c>
      <c r="D1208" s="306"/>
      <c r="E1208" s="421">
        <v>10</v>
      </c>
      <c r="F1208" s="421"/>
      <c r="G1208" s="417" t="s">
        <v>1508</v>
      </c>
      <c r="H1208" s="598">
        <v>14127556</v>
      </c>
      <c r="I1208" s="322" t="s">
        <v>1440</v>
      </c>
      <c r="J1208" s="418"/>
      <c r="K1208" s="248"/>
      <c r="M1208" s="366"/>
      <c r="AF1208">
        <v>10</v>
      </c>
    </row>
    <row r="1209" spans="1:32" x14ac:dyDescent="0.25">
      <c r="A1209" s="308">
        <v>45347</v>
      </c>
      <c r="B1209" s="416">
        <v>1261319</v>
      </c>
      <c r="C1209" s="413" t="str">
        <f>IFERROR(INDEX(Table14[],MATCH($B1209,Table14[SAPNo],0),3),"")</f>
        <v>1308 CT155 U-60</v>
      </c>
      <c r="D1209" s="306"/>
      <c r="E1209" s="421">
        <v>24</v>
      </c>
      <c r="F1209" s="421"/>
      <c r="G1209" s="417" t="s">
        <v>1508</v>
      </c>
      <c r="H1209" s="598">
        <v>14127556</v>
      </c>
      <c r="I1209" s="322" t="s">
        <v>1440</v>
      </c>
      <c r="J1209" s="418"/>
      <c r="K1209" s="248"/>
      <c r="M1209" s="366"/>
      <c r="AF1209">
        <v>24</v>
      </c>
    </row>
    <row r="1210" spans="1:32" x14ac:dyDescent="0.25">
      <c r="A1210" s="308">
        <v>45347</v>
      </c>
      <c r="B1210" s="416">
        <v>1261321</v>
      </c>
      <c r="C1210" s="413" t="str">
        <f>IFERROR(INDEX(Table14[],MATCH($B1210,Table14[SAPNo],0),3),"")</f>
        <v>1613 CT155 U-60</v>
      </c>
      <c r="D1210" s="306"/>
      <c r="E1210" s="421">
        <v>4</v>
      </c>
      <c r="F1210" s="421"/>
      <c r="G1210" s="417" t="s">
        <v>1508</v>
      </c>
      <c r="H1210" s="598">
        <v>14127556</v>
      </c>
      <c r="I1210" s="322" t="s">
        <v>1440</v>
      </c>
      <c r="J1210" s="418"/>
      <c r="K1210" s="248"/>
      <c r="M1210" s="366"/>
      <c r="AF1210">
        <v>4</v>
      </c>
    </row>
    <row r="1211" spans="1:32" x14ac:dyDescent="0.25">
      <c r="A1211" s="308">
        <v>45347</v>
      </c>
      <c r="B1211" s="416">
        <v>1261320</v>
      </c>
      <c r="C1211" s="413" t="str">
        <f>IFERROR(INDEX(Table14[],MATCH($B1211,Table14[SAPNo],0),3),"")</f>
        <v>1313 CT155 U-60</v>
      </c>
      <c r="D1211" s="306"/>
      <c r="E1211" s="421">
        <v>6</v>
      </c>
      <c r="F1211" s="421"/>
      <c r="G1211" s="417" t="s">
        <v>1508</v>
      </c>
      <c r="H1211" s="598">
        <v>14127556</v>
      </c>
      <c r="I1211" s="322" t="s">
        <v>1440</v>
      </c>
      <c r="J1211" s="418"/>
      <c r="K1211" s="248"/>
      <c r="M1211" s="366"/>
      <c r="AF1211">
        <v>6</v>
      </c>
    </row>
    <row r="1212" spans="1:32" x14ac:dyDescent="0.25">
      <c r="A1212" s="308">
        <v>45347</v>
      </c>
      <c r="B1212" s="416">
        <v>871781</v>
      </c>
      <c r="C1212" s="413" t="str">
        <f>IFERROR(INDEX(Table14[],MATCH($B1212,Table14[SAPNo],0),3),"")</f>
        <v>Round 1313 CT200  0.018" (B)</v>
      </c>
      <c r="D1212" s="306"/>
      <c r="E1212" s="421">
        <v>6</v>
      </c>
      <c r="F1212" s="421"/>
      <c r="G1212" s="417" t="s">
        <v>1508</v>
      </c>
      <c r="H1212" s="598">
        <v>14127556</v>
      </c>
      <c r="I1212" s="322" t="s">
        <v>1440</v>
      </c>
      <c r="J1212" s="418"/>
      <c r="K1212" s="248"/>
      <c r="M1212" s="366"/>
      <c r="AF1212">
        <v>6</v>
      </c>
    </row>
    <row r="1213" spans="1:32" x14ac:dyDescent="0.25">
      <c r="A1213" s="308">
        <v>45347</v>
      </c>
      <c r="B1213" s="416">
        <v>1228501</v>
      </c>
      <c r="C1213" s="413" t="str">
        <f>IFERROR(INDEX(Table14[],MATCH($B1213,Table14[SAPNo],0),3),"")</f>
        <v>1618 CT182 U-60 stator</v>
      </c>
      <c r="D1213" s="306"/>
      <c r="E1213" s="421">
        <v>10</v>
      </c>
      <c r="F1213" s="421"/>
      <c r="G1213" s="417" t="s">
        <v>1509</v>
      </c>
      <c r="H1213" s="598">
        <v>14127552</v>
      </c>
      <c r="I1213" s="322" t="s">
        <v>1440</v>
      </c>
      <c r="J1213" s="418"/>
      <c r="K1213" s="248"/>
      <c r="M1213" s="366"/>
      <c r="AF1213">
        <v>10</v>
      </c>
    </row>
    <row r="1214" spans="1:32" x14ac:dyDescent="0.25">
      <c r="A1214" s="308">
        <v>45347</v>
      </c>
      <c r="B1214" s="416">
        <v>1261319</v>
      </c>
      <c r="C1214" s="413" t="str">
        <f>IFERROR(INDEX(Table14[],MATCH($B1214,Table14[SAPNo],0),3),"")</f>
        <v>1308 CT155 U-60</v>
      </c>
      <c r="D1214" s="306"/>
      <c r="E1214" s="421">
        <v>24</v>
      </c>
      <c r="F1214" s="421"/>
      <c r="G1214" s="417" t="s">
        <v>1509</v>
      </c>
      <c r="H1214" s="598">
        <v>14127552</v>
      </c>
      <c r="I1214" s="322" t="s">
        <v>1440</v>
      </c>
      <c r="J1214" s="418"/>
      <c r="K1214" s="248"/>
      <c r="M1214" s="366"/>
      <c r="AF1214">
        <v>24</v>
      </c>
    </row>
    <row r="1215" spans="1:32" x14ac:dyDescent="0.25">
      <c r="A1215" s="308">
        <v>45347</v>
      </c>
      <c r="B1215" s="416">
        <v>1261320</v>
      </c>
      <c r="C1215" s="413" t="str">
        <f>IFERROR(INDEX(Table14[],MATCH($B1215,Table14[SAPNo],0),3),"")</f>
        <v>1313 CT155 U-60</v>
      </c>
      <c r="D1215" s="306"/>
      <c r="E1215" s="421">
        <v>6</v>
      </c>
      <c r="F1215" s="421"/>
      <c r="G1215" s="417" t="s">
        <v>1509</v>
      </c>
      <c r="H1215" s="598">
        <v>14127552</v>
      </c>
      <c r="I1215" s="322" t="s">
        <v>1440</v>
      </c>
      <c r="J1215" s="418"/>
      <c r="K1215" s="248"/>
      <c r="M1215" s="366"/>
      <c r="AF1215">
        <v>6</v>
      </c>
    </row>
    <row r="1216" spans="1:32" x14ac:dyDescent="0.25">
      <c r="A1216" s="308">
        <v>45347</v>
      </c>
      <c r="B1216" s="416">
        <v>871781</v>
      </c>
      <c r="C1216" s="413" t="str">
        <f>IFERROR(INDEX(Table14[],MATCH($B1216,Table14[SAPNo],0),3),"")</f>
        <v>Round 1313 CT200  0.018" (B)</v>
      </c>
      <c r="D1216" s="306"/>
      <c r="E1216" s="421">
        <v>6</v>
      </c>
      <c r="F1216" s="421"/>
      <c r="G1216" s="417" t="s">
        <v>1509</v>
      </c>
      <c r="H1216" s="598">
        <v>14127552</v>
      </c>
      <c r="I1216" s="322" t="s">
        <v>1440</v>
      </c>
      <c r="J1216" s="418"/>
      <c r="K1216" s="248"/>
      <c r="M1216" s="366"/>
      <c r="AF1216">
        <v>6</v>
      </c>
    </row>
    <row r="1217" spans="1:32" x14ac:dyDescent="0.25">
      <c r="A1217" s="308">
        <v>45347</v>
      </c>
      <c r="B1217" s="416">
        <v>1261321</v>
      </c>
      <c r="C1217" s="413" t="str">
        <f>IFERROR(INDEX(Table14[],MATCH($B1217,Table14[SAPNo],0),3),"")</f>
        <v>1613 CT155 U-60</v>
      </c>
      <c r="D1217" s="306"/>
      <c r="E1217" s="421">
        <v>4</v>
      </c>
      <c r="F1217" s="421"/>
      <c r="G1217" s="417" t="s">
        <v>1509</v>
      </c>
      <c r="H1217" s="598">
        <v>14127552</v>
      </c>
      <c r="I1217" s="322" t="s">
        <v>1440</v>
      </c>
      <c r="J1217" s="418"/>
      <c r="K1217" s="248"/>
      <c r="M1217" s="366"/>
      <c r="AF1217">
        <v>4</v>
      </c>
    </row>
    <row r="1218" spans="1:32" x14ac:dyDescent="0.25">
      <c r="A1218" s="308">
        <v>45347</v>
      </c>
      <c r="B1218" s="416">
        <v>1220554</v>
      </c>
      <c r="C1218" s="413" t="str">
        <f>IFERROR(INDEX(Table14[],MATCH($B1218,Table14[SAPNo],0),3),"")</f>
        <v xml:space="preserve">1618 CT182 U-60 Carbide </v>
      </c>
      <c r="D1218" s="306"/>
      <c r="E1218" s="421">
        <v>10</v>
      </c>
      <c r="F1218" s="421"/>
      <c r="G1218" s="417" t="s">
        <v>1509</v>
      </c>
      <c r="H1218" s="598">
        <v>14127552</v>
      </c>
      <c r="I1218" s="322" t="s">
        <v>1440</v>
      </c>
      <c r="J1218" s="418"/>
      <c r="K1218" s="248"/>
      <c r="M1218" s="366"/>
      <c r="AF1218">
        <v>10</v>
      </c>
    </row>
    <row r="1219" spans="1:32" x14ac:dyDescent="0.25">
      <c r="A1219" s="308">
        <v>45347</v>
      </c>
      <c r="B1219" s="416">
        <v>1228502</v>
      </c>
      <c r="C1219" s="413" t="str">
        <f>IFERROR(INDEX(Table14[],MATCH($B1219,Table14[SAPNo],0),3),"")</f>
        <v>1618 CT182 U-60 Rotor</v>
      </c>
      <c r="D1219" s="306"/>
      <c r="E1219" s="421">
        <v>10</v>
      </c>
      <c r="F1219" s="421"/>
      <c r="G1219" s="417" t="s">
        <v>1509</v>
      </c>
      <c r="H1219" s="598">
        <v>14127552</v>
      </c>
      <c r="I1219" s="322" t="s">
        <v>1440</v>
      </c>
      <c r="J1219" s="418"/>
      <c r="K1219" s="248"/>
      <c r="M1219" s="366"/>
      <c r="AF1219">
        <v>10</v>
      </c>
    </row>
    <row r="1220" spans="1:32" x14ac:dyDescent="0.25">
      <c r="A1220" s="308">
        <v>45347</v>
      </c>
      <c r="B1220" s="416">
        <v>1228503</v>
      </c>
      <c r="C1220" s="413" t="str">
        <f>IFERROR(INDEX(Table14[],MATCH($B1220,Table14[SAPNo],0),3),"")</f>
        <v>1618 CT182 U-60 Ring</v>
      </c>
      <c r="D1220" s="306"/>
      <c r="E1220" s="421">
        <v>10</v>
      </c>
      <c r="F1220" s="421"/>
      <c r="G1220" s="417" t="s">
        <v>1509</v>
      </c>
      <c r="H1220" s="598">
        <v>14127552</v>
      </c>
      <c r="I1220" s="322" t="s">
        <v>1440</v>
      </c>
      <c r="J1220" s="418"/>
      <c r="K1220" s="248"/>
      <c r="M1220" s="366"/>
      <c r="AF1220">
        <v>10</v>
      </c>
    </row>
    <row r="1221" spans="1:32" x14ac:dyDescent="0.25">
      <c r="A1221" s="308">
        <v>45348</v>
      </c>
      <c r="B1221" s="416">
        <v>1100696</v>
      </c>
      <c r="C1221" s="413" t="str">
        <f>IFERROR(INDEX(Table14[],MATCH($B1221,Table14[SAPNo],0),3),"")</f>
        <v>Round 1313 CT418  10C (S)</v>
      </c>
      <c r="D1221" s="306"/>
      <c r="E1221" s="421">
        <v>5</v>
      </c>
      <c r="F1221" s="421"/>
      <c r="G1221" s="417" t="s">
        <v>1510</v>
      </c>
      <c r="H1221" s="598">
        <v>14127560</v>
      </c>
      <c r="I1221" s="322" t="s">
        <v>1447</v>
      </c>
      <c r="J1221" s="418"/>
      <c r="K1221" s="248"/>
      <c r="M1221" s="366"/>
      <c r="AF1221">
        <v>5</v>
      </c>
    </row>
    <row r="1222" spans="1:32" x14ac:dyDescent="0.25">
      <c r="A1222" s="308">
        <v>45348</v>
      </c>
      <c r="B1222" s="416">
        <v>1101509</v>
      </c>
      <c r="C1222" s="413" t="str">
        <f>IFERROR(INDEX(Table14[],MATCH($B1222,Table14[SAPNo],0),3),"")</f>
        <v>Short IA 8    (C)</v>
      </c>
      <c r="D1222" s="306"/>
      <c r="E1222" s="421">
        <v>5</v>
      </c>
      <c r="F1222" s="421"/>
      <c r="G1222" s="417" t="s">
        <v>1510</v>
      </c>
      <c r="H1222" s="598">
        <v>14127560</v>
      </c>
      <c r="I1222" s="322" t="s">
        <v>1447</v>
      </c>
      <c r="J1222" s="418"/>
      <c r="K1222" s="248"/>
      <c r="M1222" s="366"/>
      <c r="AF1222">
        <v>5</v>
      </c>
    </row>
    <row r="1223" spans="1:32" x14ac:dyDescent="0.25">
      <c r="A1223" s="308">
        <v>45348</v>
      </c>
      <c r="B1223" s="416">
        <v>1104083</v>
      </c>
      <c r="C1223" s="413" t="str">
        <f>IFERROR(INDEX(Table14[],MATCH($B1223,Table14[SAPNo],0),3),"")</f>
        <v>1313 CT144H  10C (S)</v>
      </c>
      <c r="D1223" s="306"/>
      <c r="E1223" s="421">
        <v>1</v>
      </c>
      <c r="F1223" s="421"/>
      <c r="G1223" s="417" t="s">
        <v>1510</v>
      </c>
      <c r="H1223" s="598">
        <v>14127560</v>
      </c>
      <c r="I1223" s="322" t="s">
        <v>1447</v>
      </c>
      <c r="J1223" s="418"/>
      <c r="K1223" s="248"/>
      <c r="M1223" s="366"/>
      <c r="AF1223">
        <v>1</v>
      </c>
    </row>
    <row r="1224" spans="1:32" x14ac:dyDescent="0.25">
      <c r="A1224" s="308">
        <v>45348</v>
      </c>
      <c r="B1224" s="416">
        <v>1136984</v>
      </c>
      <c r="C1224" s="413" t="str">
        <f>IFERROR(INDEX(Table14[],MATCH($B1224,Table14[SAPNo],0),3),"")</f>
        <v>DBLMCHT 1313 CT182DM  10C (S)</v>
      </c>
      <c r="D1224" s="306"/>
      <c r="E1224" s="421">
        <v>13</v>
      </c>
      <c r="F1224" s="421"/>
      <c r="G1224" s="417" t="s">
        <v>1510</v>
      </c>
      <c r="H1224" s="598">
        <v>14127560</v>
      </c>
      <c r="I1224" s="322" t="s">
        <v>1447</v>
      </c>
      <c r="J1224" s="418"/>
      <c r="K1224" s="248"/>
      <c r="M1224" s="366"/>
      <c r="AF1224">
        <v>13</v>
      </c>
    </row>
    <row r="1225" spans="1:32" x14ac:dyDescent="0.25">
      <c r="A1225" s="308">
        <v>45348</v>
      </c>
      <c r="B1225" s="416">
        <v>1146346</v>
      </c>
      <c r="C1225" s="413" t="str">
        <f>IFERROR(INDEX(Table14[],MATCH($B1225,Table14[SAPNo],0),3),"")</f>
        <v>1313 CT418 18-60</v>
      </c>
      <c r="D1225" s="306"/>
      <c r="E1225" s="421">
        <v>7</v>
      </c>
      <c r="F1225" s="421"/>
      <c r="G1225" s="417" t="s">
        <v>1510</v>
      </c>
      <c r="H1225" s="598">
        <v>14127560</v>
      </c>
      <c r="I1225" s="322" t="s">
        <v>1447</v>
      </c>
      <c r="J1225" s="418"/>
      <c r="K1225" s="248"/>
      <c r="M1225" s="366"/>
      <c r="AF1225">
        <v>7</v>
      </c>
    </row>
    <row r="1226" spans="1:32" x14ac:dyDescent="0.25">
      <c r="A1226" s="308">
        <v>45348</v>
      </c>
      <c r="B1226" s="416">
        <v>418525</v>
      </c>
      <c r="C1226" s="413" t="str">
        <f>IFERROR(INDEX(Table14[],MATCH($B1226,Table14[SAPNo],0),3),"")</f>
        <v>Drop In 1308 CT31   (B)</v>
      </c>
      <c r="D1226" s="306"/>
      <c r="E1226" s="421">
        <v>6</v>
      </c>
      <c r="F1226" s="421"/>
      <c r="G1226" s="417" t="s">
        <v>1510</v>
      </c>
      <c r="H1226" s="598">
        <v>14127560</v>
      </c>
      <c r="I1226" s="322" t="s">
        <v>1447</v>
      </c>
      <c r="J1226" s="418"/>
      <c r="K1226" s="248"/>
      <c r="M1226" s="366"/>
      <c r="AF1226">
        <v>6</v>
      </c>
    </row>
    <row r="1227" spans="1:32" x14ac:dyDescent="0.25">
      <c r="A1227" s="308">
        <v>45348</v>
      </c>
      <c r="B1227" s="416">
        <v>1146737</v>
      </c>
      <c r="C1227" s="413" t="str">
        <f>IFERROR(INDEX(Table14[],MATCH($B1227,Table14[SAPNo],0),3),"")</f>
        <v>1613 CT418 18-60</v>
      </c>
      <c r="D1227" s="306"/>
      <c r="E1227" s="421">
        <v>6</v>
      </c>
      <c r="F1227" s="421"/>
      <c r="G1227" s="417" t="s">
        <v>1511</v>
      </c>
      <c r="H1227" s="598">
        <v>14137154</v>
      </c>
      <c r="I1227" s="322" t="s">
        <v>1497</v>
      </c>
      <c r="J1227" s="418"/>
      <c r="K1227" s="248"/>
      <c r="M1227" s="366"/>
      <c r="AF1227">
        <v>6</v>
      </c>
    </row>
    <row r="1228" spans="1:32" x14ac:dyDescent="0.25">
      <c r="A1228" s="308">
        <v>45348</v>
      </c>
      <c r="B1228" s="416">
        <v>1208601</v>
      </c>
      <c r="C1228" s="413" t="str">
        <f>IFERROR(INDEX(Table14[],MATCH($B1228,Table14[SAPNo],0),3),"")</f>
        <v>1613 CT418 U-60</v>
      </c>
      <c r="D1228" s="306"/>
      <c r="E1228" s="421">
        <v>8</v>
      </c>
      <c r="F1228" s="421"/>
      <c r="G1228" s="417" t="s">
        <v>1511</v>
      </c>
      <c r="H1228" s="598">
        <v>14137154</v>
      </c>
      <c r="I1228" s="322" t="s">
        <v>1497</v>
      </c>
      <c r="J1228" s="418"/>
      <c r="K1228" s="248"/>
      <c r="M1228" s="366"/>
      <c r="AF1228">
        <v>8</v>
      </c>
    </row>
    <row r="1229" spans="1:32" x14ac:dyDescent="0.25">
      <c r="A1229" s="308">
        <v>45348</v>
      </c>
      <c r="B1229" s="416">
        <v>1271790</v>
      </c>
      <c r="C1229" s="413" t="str">
        <f>IFERROR(INDEX(Table14[],MATCH($B1229,Table14[SAPNo],0),3),"")</f>
        <v xml:space="preserve">1613 CT170 18-60 </v>
      </c>
      <c r="D1229" s="306"/>
      <c r="E1229" s="421">
        <v>17</v>
      </c>
      <c r="F1229" s="421"/>
      <c r="G1229" s="417" t="s">
        <v>1511</v>
      </c>
      <c r="H1229" s="598">
        <v>14137154</v>
      </c>
      <c r="I1229" s="322" t="s">
        <v>1497</v>
      </c>
      <c r="J1229" s="418"/>
      <c r="K1229" s="248"/>
      <c r="M1229" s="366"/>
      <c r="AF1229">
        <v>17</v>
      </c>
    </row>
    <row r="1230" spans="1:32" x14ac:dyDescent="0.25">
      <c r="A1230" s="308">
        <v>45348</v>
      </c>
      <c r="B1230" s="416">
        <v>1078377</v>
      </c>
      <c r="C1230" s="413" t="str">
        <f>IFERROR(INDEX(Table14[],MATCH($B1230,Table14[SAPNo],0),3),"")</f>
        <v>13MM CT221 R1</v>
      </c>
      <c r="D1230" s="306"/>
      <c r="E1230" s="421">
        <v>15</v>
      </c>
      <c r="F1230" s="421"/>
      <c r="G1230" s="417" t="s">
        <v>1511</v>
      </c>
      <c r="H1230" s="598">
        <v>14137154</v>
      </c>
      <c r="I1230" s="322" t="s">
        <v>1497</v>
      </c>
      <c r="J1230" s="418"/>
      <c r="K1230" s="248"/>
      <c r="M1230" s="366"/>
      <c r="AF1230">
        <v>15</v>
      </c>
    </row>
    <row r="1231" spans="1:32" x14ac:dyDescent="0.25">
      <c r="A1231" s="308">
        <v>45348</v>
      </c>
      <c r="B1231" s="416">
        <v>418525</v>
      </c>
      <c r="C1231" s="413" t="str">
        <f>IFERROR(INDEX(Table14[],MATCH($B1231,Table14[SAPNo],0),3),"")</f>
        <v>Drop In 1308 CT31   (B)</v>
      </c>
      <c r="D1231" s="306"/>
      <c r="E1231" s="421">
        <v>6</v>
      </c>
      <c r="F1231" s="421"/>
      <c r="G1231" s="417" t="s">
        <v>1511</v>
      </c>
      <c r="H1231" s="598">
        <v>14137154</v>
      </c>
      <c r="I1231" s="322" t="s">
        <v>1497</v>
      </c>
      <c r="J1231" s="418"/>
      <c r="K1231" s="248"/>
      <c r="M1231" s="366"/>
      <c r="AF1231">
        <v>6</v>
      </c>
    </row>
    <row r="1232" spans="1:32" x14ac:dyDescent="0.25">
      <c r="A1232" s="308">
        <v>45349</v>
      </c>
      <c r="B1232" s="416">
        <v>1208601</v>
      </c>
      <c r="C1232" s="413" t="str">
        <f>IFERROR(INDEX(Table14[],MATCH($B1232,Table14[SAPNo],0),3),"")</f>
        <v>1613 CT418 U-60</v>
      </c>
      <c r="D1232" s="306"/>
      <c r="E1232" s="421">
        <v>8</v>
      </c>
      <c r="F1232" s="421"/>
      <c r="G1232" s="417" t="s">
        <v>1512</v>
      </c>
      <c r="H1232" s="598">
        <v>14127561</v>
      </c>
      <c r="I1232" s="322" t="s">
        <v>1497</v>
      </c>
      <c r="J1232" s="418"/>
      <c r="K1232" s="248"/>
      <c r="M1232" s="366"/>
      <c r="AF1232">
        <v>8</v>
      </c>
    </row>
    <row r="1233" spans="1:32" x14ac:dyDescent="0.25">
      <c r="A1233" s="308">
        <v>45349</v>
      </c>
      <c r="B1233" s="416">
        <v>1146737</v>
      </c>
      <c r="C1233" s="413" t="str">
        <f>IFERROR(INDEX(Table14[],MATCH($B1233,Table14[SAPNo],0),3),"")</f>
        <v>1613 CT418 18-60</v>
      </c>
      <c r="D1233" s="306"/>
      <c r="E1233" s="421">
        <v>6</v>
      </c>
      <c r="F1233" s="421"/>
      <c r="G1233" s="417" t="s">
        <v>1512</v>
      </c>
      <c r="H1233" s="598">
        <v>14127561</v>
      </c>
      <c r="I1233" s="322" t="s">
        <v>1497</v>
      </c>
      <c r="J1233" s="418"/>
      <c r="K1233" s="248"/>
      <c r="M1233" s="366"/>
      <c r="AF1233">
        <v>6</v>
      </c>
    </row>
    <row r="1234" spans="1:32" x14ac:dyDescent="0.25">
      <c r="A1234" s="308">
        <v>45349</v>
      </c>
      <c r="B1234" s="416">
        <v>418525</v>
      </c>
      <c r="C1234" s="413" t="str">
        <f>IFERROR(INDEX(Table14[],MATCH($B1234,Table14[SAPNo],0),3),"")</f>
        <v>Drop In 1308 CT31   (B)</v>
      </c>
      <c r="D1234" s="306"/>
      <c r="E1234" s="421">
        <v>6</v>
      </c>
      <c r="F1234" s="421"/>
      <c r="G1234" s="417" t="s">
        <v>1512</v>
      </c>
      <c r="H1234" s="598">
        <v>14127561</v>
      </c>
      <c r="I1234" s="322" t="s">
        <v>1497</v>
      </c>
      <c r="J1234" s="418"/>
      <c r="K1234" s="248"/>
      <c r="M1234" s="366"/>
      <c r="AF1234">
        <v>6</v>
      </c>
    </row>
    <row r="1235" spans="1:32" x14ac:dyDescent="0.25">
      <c r="A1235" s="308">
        <v>45349</v>
      </c>
      <c r="B1235" s="416">
        <v>1078377</v>
      </c>
      <c r="C1235" s="413" t="str">
        <f>IFERROR(INDEX(Table14[],MATCH($B1235,Table14[SAPNo],0),3),"")</f>
        <v>13MM CT221 R1</v>
      </c>
      <c r="D1235" s="306"/>
      <c r="E1235" s="421">
        <v>15</v>
      </c>
      <c r="F1235" s="421"/>
      <c r="G1235" s="417" t="s">
        <v>1512</v>
      </c>
      <c r="H1235" s="598">
        <v>14127561</v>
      </c>
      <c r="I1235" s="322" t="s">
        <v>1497</v>
      </c>
      <c r="J1235" s="418"/>
      <c r="K1235" s="248"/>
      <c r="M1235" s="366"/>
      <c r="AF1235">
        <v>15</v>
      </c>
    </row>
    <row r="1236" spans="1:32" x14ac:dyDescent="0.25">
      <c r="A1236" s="308">
        <v>45349</v>
      </c>
      <c r="B1236" s="416">
        <v>1271790</v>
      </c>
      <c r="C1236" s="413" t="str">
        <f>IFERROR(INDEX(Table14[],MATCH($B1236,Table14[SAPNo],0),3),"")</f>
        <v xml:space="preserve">1613 CT170 18-60 </v>
      </c>
      <c r="D1236" s="306"/>
      <c r="E1236" s="421">
        <v>17</v>
      </c>
      <c r="F1236" s="421"/>
      <c r="G1236" s="417" t="s">
        <v>1512</v>
      </c>
      <c r="H1236" s="598">
        <v>14127561</v>
      </c>
      <c r="I1236" s="322" t="s">
        <v>1497</v>
      </c>
      <c r="J1236" s="418"/>
      <c r="K1236" s="248"/>
      <c r="M1236" s="366"/>
      <c r="AF1236">
        <v>17</v>
      </c>
    </row>
    <row r="1237" spans="1:32" x14ac:dyDescent="0.25">
      <c r="A1237" s="308">
        <v>45349</v>
      </c>
      <c r="B1237" s="416">
        <v>1078377</v>
      </c>
      <c r="C1237" s="413" t="str">
        <f>IFERROR(INDEX(Table14[],MATCH($B1237,Table14[SAPNo],0),3),"")</f>
        <v>13MM CT221 R1</v>
      </c>
      <c r="D1237" s="306"/>
      <c r="E1237" s="421">
        <v>15</v>
      </c>
      <c r="F1237" s="421"/>
      <c r="G1237" s="417" t="s">
        <v>1513</v>
      </c>
      <c r="H1237" s="598">
        <v>14127562</v>
      </c>
      <c r="I1237" s="322" t="s">
        <v>1497</v>
      </c>
      <c r="J1237" s="418"/>
      <c r="K1237" s="248"/>
      <c r="M1237" s="366"/>
      <c r="AF1237">
        <v>15</v>
      </c>
    </row>
    <row r="1238" spans="1:32" x14ac:dyDescent="0.25">
      <c r="A1238" s="308">
        <v>45349</v>
      </c>
      <c r="B1238" s="416">
        <v>1146737</v>
      </c>
      <c r="C1238" s="413" t="str">
        <f>IFERROR(INDEX(Table14[],MATCH($B1238,Table14[SAPNo],0),3),"")</f>
        <v>1613 CT418 18-60</v>
      </c>
      <c r="D1238" s="306"/>
      <c r="E1238" s="421">
        <v>6</v>
      </c>
      <c r="F1238" s="421"/>
      <c r="G1238" s="417" t="s">
        <v>1513</v>
      </c>
      <c r="H1238" s="598">
        <v>14127562</v>
      </c>
      <c r="I1238" s="322" t="s">
        <v>1497</v>
      </c>
      <c r="J1238" s="418"/>
      <c r="K1238" s="248"/>
      <c r="M1238" s="366"/>
      <c r="AF1238">
        <v>6</v>
      </c>
    </row>
    <row r="1239" spans="1:32" x14ac:dyDescent="0.25">
      <c r="A1239" s="308">
        <v>45349</v>
      </c>
      <c r="B1239" s="416">
        <v>1208601</v>
      </c>
      <c r="C1239" s="413" t="str">
        <f>IFERROR(INDEX(Table14[],MATCH($B1239,Table14[SAPNo],0),3),"")</f>
        <v>1613 CT418 U-60</v>
      </c>
      <c r="D1239" s="306"/>
      <c r="E1239" s="421">
        <v>8</v>
      </c>
      <c r="F1239" s="421"/>
      <c r="G1239" s="417" t="s">
        <v>1513</v>
      </c>
      <c r="H1239" s="598">
        <v>14127562</v>
      </c>
      <c r="I1239" s="322" t="s">
        <v>1497</v>
      </c>
      <c r="J1239" s="418"/>
      <c r="K1239" s="248"/>
      <c r="M1239" s="366"/>
      <c r="AF1239">
        <v>8</v>
      </c>
    </row>
    <row r="1240" spans="1:32" x14ac:dyDescent="0.25">
      <c r="A1240" s="308">
        <v>45349</v>
      </c>
      <c r="B1240" s="416">
        <v>1271790</v>
      </c>
      <c r="C1240" s="413" t="str">
        <f>IFERROR(INDEX(Table14[],MATCH($B1240,Table14[SAPNo],0),3),"")</f>
        <v xml:space="preserve">1613 CT170 18-60 </v>
      </c>
      <c r="D1240" s="306"/>
      <c r="E1240" s="421">
        <v>17</v>
      </c>
      <c r="F1240" s="421"/>
      <c r="G1240" s="417" t="s">
        <v>1513</v>
      </c>
      <c r="H1240" s="598">
        <v>14127562</v>
      </c>
      <c r="I1240" s="322" t="s">
        <v>1497</v>
      </c>
      <c r="J1240" s="418"/>
      <c r="K1240" s="248"/>
      <c r="M1240" s="366"/>
      <c r="AF1240">
        <v>17</v>
      </c>
    </row>
    <row r="1241" spans="1:32" x14ac:dyDescent="0.25">
      <c r="A1241" s="308">
        <v>45349</v>
      </c>
      <c r="B1241" s="416">
        <v>418525</v>
      </c>
      <c r="C1241" s="413" t="str">
        <f>IFERROR(INDEX(Table14[],MATCH($B1241,Table14[SAPNo],0),3),"")</f>
        <v>Drop In 1308 CT31   (B)</v>
      </c>
      <c r="D1241" s="306"/>
      <c r="E1241" s="421">
        <v>6</v>
      </c>
      <c r="F1241" s="421"/>
      <c r="G1241" s="417" t="s">
        <v>1513</v>
      </c>
      <c r="H1241" s="598">
        <v>14127562</v>
      </c>
      <c r="I1241" s="322" t="s">
        <v>1497</v>
      </c>
      <c r="J1241" s="418"/>
      <c r="K1241" s="248"/>
      <c r="M1241" s="366"/>
      <c r="AF1241">
        <v>6</v>
      </c>
    </row>
    <row r="1242" spans="1:32" x14ac:dyDescent="0.25">
      <c r="A1242" s="308">
        <v>45349</v>
      </c>
      <c r="B1242" s="416">
        <v>1271790</v>
      </c>
      <c r="C1242" s="413" t="str">
        <f>IFERROR(INDEX(Table14[],MATCH($B1242,Table14[SAPNo],0),3),"")</f>
        <v xml:space="preserve">1613 CT170 18-60 </v>
      </c>
      <c r="D1242" s="306"/>
      <c r="E1242" s="421">
        <v>17</v>
      </c>
      <c r="F1242" s="421"/>
      <c r="G1242" s="417" t="s">
        <v>1514</v>
      </c>
      <c r="H1242" s="598">
        <v>14137158</v>
      </c>
      <c r="I1242" s="322" t="s">
        <v>1497</v>
      </c>
      <c r="J1242" s="418"/>
      <c r="K1242" s="248"/>
      <c r="M1242" s="366"/>
      <c r="AF1242">
        <v>17</v>
      </c>
    </row>
    <row r="1243" spans="1:32" x14ac:dyDescent="0.25">
      <c r="A1243" s="308">
        <v>45349</v>
      </c>
      <c r="B1243" s="416">
        <v>1146737</v>
      </c>
      <c r="C1243" s="413" t="str">
        <f>IFERROR(INDEX(Table14[],MATCH($B1243,Table14[SAPNo],0),3),"")</f>
        <v>1613 CT418 18-60</v>
      </c>
      <c r="D1243" s="306"/>
      <c r="E1243" s="421">
        <v>6</v>
      </c>
      <c r="F1243" s="421"/>
      <c r="G1243" s="417" t="s">
        <v>1514</v>
      </c>
      <c r="H1243" s="598">
        <v>14137158</v>
      </c>
      <c r="I1243" s="322" t="s">
        <v>1497</v>
      </c>
      <c r="J1243" s="418"/>
      <c r="K1243" s="248"/>
      <c r="M1243" s="366"/>
      <c r="AF1243">
        <v>6</v>
      </c>
    </row>
    <row r="1244" spans="1:32" x14ac:dyDescent="0.25">
      <c r="A1244" s="308">
        <v>45349</v>
      </c>
      <c r="B1244" s="416">
        <v>1078377</v>
      </c>
      <c r="C1244" s="413" t="str">
        <f>IFERROR(INDEX(Table14[],MATCH($B1244,Table14[SAPNo],0),3),"")</f>
        <v>13MM CT221 R1</v>
      </c>
      <c r="D1244" s="306"/>
      <c r="E1244" s="421">
        <v>15</v>
      </c>
      <c r="F1244" s="421"/>
      <c r="G1244" s="417" t="s">
        <v>1514</v>
      </c>
      <c r="H1244" s="598">
        <v>14137158</v>
      </c>
      <c r="I1244" s="322" t="s">
        <v>1497</v>
      </c>
      <c r="J1244" s="418"/>
      <c r="K1244" s="248"/>
      <c r="M1244" s="366"/>
      <c r="AF1244">
        <v>15</v>
      </c>
    </row>
    <row r="1245" spans="1:32" x14ac:dyDescent="0.25">
      <c r="A1245" s="308">
        <v>45349</v>
      </c>
      <c r="B1245" s="416">
        <v>418525</v>
      </c>
      <c r="C1245" s="413" t="str">
        <f>IFERROR(INDEX(Table14[],MATCH($B1245,Table14[SAPNo],0),3),"")</f>
        <v>Drop In 1308 CT31   (B)</v>
      </c>
      <c r="D1245" s="306"/>
      <c r="E1245" s="421">
        <v>6</v>
      </c>
      <c r="F1245" s="421"/>
      <c r="G1245" s="417" t="s">
        <v>1514</v>
      </c>
      <c r="H1245" s="598">
        <v>14137158</v>
      </c>
      <c r="I1245" s="322" t="s">
        <v>1497</v>
      </c>
      <c r="J1245" s="418"/>
      <c r="K1245" s="248"/>
      <c r="M1245" s="366"/>
      <c r="AF1245">
        <v>6</v>
      </c>
    </row>
    <row r="1246" spans="1:32" x14ac:dyDescent="0.25">
      <c r="A1246" s="308">
        <v>45349</v>
      </c>
      <c r="B1246" s="416">
        <v>1208601</v>
      </c>
      <c r="C1246" s="413" t="str">
        <f>IFERROR(INDEX(Table14[],MATCH($B1246,Table14[SAPNo],0),3),"")</f>
        <v>1613 CT418 U-60</v>
      </c>
      <c r="D1246" s="306"/>
      <c r="E1246" s="421">
        <v>8</v>
      </c>
      <c r="F1246" s="421"/>
      <c r="G1246" s="417" t="s">
        <v>1514</v>
      </c>
      <c r="H1246" s="598">
        <v>14137158</v>
      </c>
      <c r="I1246" s="322" t="s">
        <v>1497</v>
      </c>
      <c r="J1246" s="418"/>
      <c r="K1246" s="248"/>
      <c r="M1246" s="366"/>
      <c r="AF1246">
        <v>8</v>
      </c>
    </row>
    <row r="1247" spans="1:32" x14ac:dyDescent="0.25">
      <c r="A1247" s="308">
        <v>45349</v>
      </c>
      <c r="B1247" s="416">
        <v>1208601</v>
      </c>
      <c r="C1247" s="413" t="str">
        <f>IFERROR(INDEX(Table14[],MATCH($B1247,Table14[SAPNo],0),3),"")</f>
        <v>1613 CT418 U-60</v>
      </c>
      <c r="D1247" s="306"/>
      <c r="E1247" s="421">
        <v>8</v>
      </c>
      <c r="F1247" s="421"/>
      <c r="G1247" s="417" t="s">
        <v>1515</v>
      </c>
      <c r="H1247" s="598">
        <v>14127564</v>
      </c>
      <c r="I1247" s="322" t="s">
        <v>1516</v>
      </c>
      <c r="J1247" s="418"/>
      <c r="K1247" s="248"/>
      <c r="M1247" s="366"/>
      <c r="AF1247">
        <v>8</v>
      </c>
    </row>
    <row r="1248" spans="1:32" x14ac:dyDescent="0.25">
      <c r="A1248" s="308">
        <v>45349</v>
      </c>
      <c r="B1248" s="416">
        <v>418525</v>
      </c>
      <c r="C1248" s="413" t="str">
        <f>IFERROR(INDEX(Table14[],MATCH($B1248,Table14[SAPNo],0),3),"")</f>
        <v>Drop In 1308 CT31   (B)</v>
      </c>
      <c r="D1248" s="306"/>
      <c r="E1248" s="421">
        <v>6</v>
      </c>
      <c r="F1248" s="421"/>
      <c r="G1248" s="417" t="s">
        <v>1515</v>
      </c>
      <c r="H1248" s="598">
        <v>14127564</v>
      </c>
      <c r="I1248" s="322" t="s">
        <v>1516</v>
      </c>
      <c r="J1248" s="418"/>
      <c r="K1248" s="248"/>
      <c r="M1248" s="366"/>
      <c r="AF1248">
        <v>6</v>
      </c>
    </row>
    <row r="1249" spans="1:32" x14ac:dyDescent="0.25">
      <c r="A1249" s="308">
        <v>45349</v>
      </c>
      <c r="B1249" s="416">
        <v>1146737</v>
      </c>
      <c r="C1249" s="413" t="str">
        <f>IFERROR(INDEX(Table14[],MATCH($B1249,Table14[SAPNo],0),3),"")</f>
        <v>1613 CT418 18-60</v>
      </c>
      <c r="D1249" s="306"/>
      <c r="E1249" s="421">
        <v>6</v>
      </c>
      <c r="F1249" s="421"/>
      <c r="G1249" s="417" t="s">
        <v>1515</v>
      </c>
      <c r="H1249" s="598">
        <v>14127564</v>
      </c>
      <c r="I1249" s="322" t="s">
        <v>1516</v>
      </c>
      <c r="J1249" s="418"/>
      <c r="K1249" s="248"/>
      <c r="M1249" s="366"/>
      <c r="AF1249">
        <v>6</v>
      </c>
    </row>
    <row r="1250" spans="1:32" x14ac:dyDescent="0.25">
      <c r="A1250" s="308">
        <v>45349</v>
      </c>
      <c r="B1250" s="416">
        <v>1271790</v>
      </c>
      <c r="C1250" s="413" t="str">
        <f>IFERROR(INDEX(Table14[],MATCH($B1250,Table14[SAPNo],0),3),"")</f>
        <v xml:space="preserve">1613 CT170 18-60 </v>
      </c>
      <c r="D1250" s="306"/>
      <c r="E1250" s="421">
        <v>17</v>
      </c>
      <c r="F1250" s="421"/>
      <c r="G1250" s="417" t="s">
        <v>1515</v>
      </c>
      <c r="H1250" s="598">
        <v>14127564</v>
      </c>
      <c r="I1250" s="322" t="s">
        <v>1516</v>
      </c>
      <c r="J1250" s="418"/>
      <c r="K1250" s="248"/>
      <c r="M1250" s="366"/>
      <c r="AF1250">
        <v>17</v>
      </c>
    </row>
    <row r="1251" spans="1:32" x14ac:dyDescent="0.25">
      <c r="A1251" s="308">
        <v>45349</v>
      </c>
      <c r="B1251" s="416">
        <v>1078377</v>
      </c>
      <c r="C1251" s="413" t="str">
        <f>IFERROR(INDEX(Table14[],MATCH($B1251,Table14[SAPNo],0),3),"")</f>
        <v>13MM CT221 R1</v>
      </c>
      <c r="D1251" s="306"/>
      <c r="E1251" s="421">
        <v>15</v>
      </c>
      <c r="F1251" s="421"/>
      <c r="G1251" s="417" t="s">
        <v>1515</v>
      </c>
      <c r="H1251" s="598">
        <v>14127564</v>
      </c>
      <c r="I1251" s="322" t="s">
        <v>1516</v>
      </c>
      <c r="J1251" s="418"/>
      <c r="K1251" s="248"/>
      <c r="M1251" s="366"/>
      <c r="AF1251">
        <v>15</v>
      </c>
    </row>
    <row r="1252" spans="1:32" x14ac:dyDescent="0.25">
      <c r="A1252" s="308">
        <v>45349</v>
      </c>
      <c r="B1252" s="416">
        <v>1145493</v>
      </c>
      <c r="C1252" s="413" t="str">
        <f>IFERROR(INDEX(Table14[],MATCH($B1252,Table14[SAPNo],0),3),"")</f>
        <v>Round 1313 CT427  10C (S)</v>
      </c>
      <c r="D1252" s="306"/>
      <c r="E1252" s="421"/>
      <c r="F1252" s="421"/>
      <c r="G1252" s="417">
        <v>20231257</v>
      </c>
      <c r="H1252" s="598" t="s">
        <v>1517</v>
      </c>
      <c r="I1252" s="322" t="s">
        <v>1518</v>
      </c>
      <c r="J1252" s="418"/>
      <c r="K1252" s="248"/>
      <c r="M1252" s="366"/>
    </row>
    <row r="1253" spans="1:32" x14ac:dyDescent="0.25">
      <c r="A1253" s="308">
        <v>45349</v>
      </c>
      <c r="B1253" s="416">
        <v>1209332</v>
      </c>
      <c r="C1253" s="413" t="str">
        <f>IFERROR(INDEX(Table14[],MATCH($B1253,Table14[SAPNo],0),3),"")</f>
        <v>1313 CT147G U</v>
      </c>
      <c r="D1253" s="306"/>
      <c r="E1253" s="421"/>
      <c r="F1253" s="421"/>
      <c r="G1253" s="417">
        <v>20231257</v>
      </c>
      <c r="H1253" s="598" t="s">
        <v>1517</v>
      </c>
      <c r="I1253" s="322" t="s">
        <v>1518</v>
      </c>
      <c r="J1253" s="418"/>
      <c r="K1253" s="248"/>
      <c r="M1253" s="366"/>
    </row>
    <row r="1254" spans="1:32" x14ac:dyDescent="0.25">
      <c r="A1254" s="308">
        <v>45349</v>
      </c>
      <c r="B1254" s="416">
        <v>1145493</v>
      </c>
      <c r="C1254" s="413" t="str">
        <f>IFERROR(INDEX(Table14[],MATCH($B1254,Table14[SAPNo],0),3),"")</f>
        <v>Round 1313 CT427  10C (S)</v>
      </c>
      <c r="D1254" s="306"/>
      <c r="E1254" s="421"/>
      <c r="F1254" s="421"/>
      <c r="G1254" s="417">
        <v>20231255</v>
      </c>
      <c r="H1254" s="598" t="s">
        <v>1519</v>
      </c>
      <c r="I1254" s="322" t="s">
        <v>1520</v>
      </c>
      <c r="J1254" s="418"/>
      <c r="K1254" s="248"/>
      <c r="M1254" s="366"/>
    </row>
    <row r="1255" spans="1:32" x14ac:dyDescent="0.25">
      <c r="A1255" s="308">
        <v>45349</v>
      </c>
      <c r="B1255" s="416">
        <v>871781</v>
      </c>
      <c r="C1255" s="413" t="str">
        <f>IFERROR(INDEX(Table14[],MATCH($B1255,Table14[SAPNo],0),3),"")</f>
        <v>Round 1313 CT200  0.018" (B)</v>
      </c>
      <c r="D1255" s="306"/>
      <c r="E1255" s="421"/>
      <c r="F1255" s="421"/>
      <c r="G1255" s="417">
        <v>20231255</v>
      </c>
      <c r="H1255" s="598" t="s">
        <v>1519</v>
      </c>
      <c r="I1255" s="322" t="s">
        <v>1520</v>
      </c>
      <c r="J1255" s="418"/>
      <c r="K1255" s="248"/>
      <c r="M1255" s="366"/>
    </row>
    <row r="1256" spans="1:32" x14ac:dyDescent="0.25">
      <c r="A1256" s="308">
        <v>45350</v>
      </c>
      <c r="B1256" s="416">
        <v>871781</v>
      </c>
      <c r="C1256" s="413" t="str">
        <f>IFERROR(INDEX(Table14[],MATCH($B1256,Table14[SAPNo],0),3),"")</f>
        <v>Round 1313 CT200  0.018" (B)</v>
      </c>
      <c r="D1256" s="306"/>
      <c r="E1256" s="421">
        <v>5</v>
      </c>
      <c r="F1256" s="421"/>
      <c r="G1256" s="417" t="s">
        <v>1521</v>
      </c>
      <c r="H1256" s="598">
        <v>14136237</v>
      </c>
      <c r="I1256" s="322" t="s">
        <v>1463</v>
      </c>
      <c r="J1256" s="418"/>
      <c r="K1256" s="248"/>
      <c r="M1256" s="366"/>
      <c r="AF1256">
        <v>5</v>
      </c>
    </row>
    <row r="1257" spans="1:32" x14ac:dyDescent="0.25">
      <c r="A1257" s="308">
        <v>45350</v>
      </c>
      <c r="B1257" s="416">
        <v>1271790</v>
      </c>
      <c r="C1257" s="413" t="str">
        <f>IFERROR(INDEX(Table14[],MATCH($B1257,Table14[SAPNo],0),3),"")</f>
        <v xml:space="preserve">1613 CT170 18-60 </v>
      </c>
      <c r="D1257" s="306"/>
      <c r="E1257" s="421">
        <v>30</v>
      </c>
      <c r="F1257" s="421"/>
      <c r="G1257" s="417" t="s">
        <v>1521</v>
      </c>
      <c r="H1257" s="598">
        <v>14136237</v>
      </c>
      <c r="I1257" s="322" t="s">
        <v>1463</v>
      </c>
      <c r="J1257" s="418"/>
      <c r="K1257" s="248"/>
      <c r="M1257" s="366"/>
      <c r="AF1257">
        <v>30</v>
      </c>
    </row>
    <row r="1258" spans="1:32" x14ac:dyDescent="0.25">
      <c r="A1258" s="308">
        <v>45350</v>
      </c>
      <c r="B1258" s="416">
        <v>1209410</v>
      </c>
      <c r="C1258" s="413" t="str">
        <f>IFERROR(INDEX(Table14[],MATCH($B1258,Table14[SAPNo],0),3),"")</f>
        <v>1613 CT430MV3 U TBO</v>
      </c>
      <c r="D1258" s="306"/>
      <c r="E1258" s="421">
        <v>10</v>
      </c>
      <c r="F1258" s="421"/>
      <c r="G1258" s="417" t="s">
        <v>1521</v>
      </c>
      <c r="H1258" s="598">
        <v>14136237</v>
      </c>
      <c r="I1258" s="322" t="s">
        <v>1463</v>
      </c>
      <c r="J1258" s="418"/>
      <c r="K1258" s="248"/>
      <c r="M1258" s="366"/>
      <c r="AF1258">
        <v>10</v>
      </c>
    </row>
    <row r="1259" spans="1:32" x14ac:dyDescent="0.25">
      <c r="A1259" s="308">
        <v>45350</v>
      </c>
      <c r="B1259" s="416">
        <v>1146737</v>
      </c>
      <c r="C1259" s="413" t="str">
        <f>IFERROR(INDEX(Table14[],MATCH($B1259,Table14[SAPNo],0),3),"")</f>
        <v>1613 CT418 18-60</v>
      </c>
      <c r="D1259" s="306"/>
      <c r="E1259" s="421">
        <v>10</v>
      </c>
      <c r="F1259" s="421"/>
      <c r="G1259" s="417" t="s">
        <v>1521</v>
      </c>
      <c r="H1259" s="598">
        <v>14136237</v>
      </c>
      <c r="I1259" s="322" t="s">
        <v>1463</v>
      </c>
      <c r="J1259" s="418"/>
      <c r="K1259" s="248"/>
      <c r="M1259" s="366"/>
      <c r="AF1259">
        <v>10</v>
      </c>
    </row>
    <row r="1260" spans="1:32" x14ac:dyDescent="0.25">
      <c r="A1260" s="308">
        <v>45350</v>
      </c>
      <c r="B1260" s="416">
        <v>1039036</v>
      </c>
      <c r="C1260" s="413" t="str">
        <f>IFERROR(INDEX(Table14[],MATCH($B1260,Table14[SAPNo],0),3),"")</f>
        <v>Round 1313 CT138  0.018" (S)</v>
      </c>
      <c r="D1260" s="306"/>
      <c r="E1260" s="421">
        <v>22</v>
      </c>
      <c r="F1260" s="421"/>
      <c r="G1260" s="417" t="s">
        <v>1521</v>
      </c>
      <c r="H1260" s="598">
        <v>14136237</v>
      </c>
      <c r="I1260" s="322" t="s">
        <v>1463</v>
      </c>
      <c r="J1260" s="418"/>
      <c r="K1260" s="248"/>
      <c r="M1260" s="366"/>
      <c r="AF1260">
        <v>22</v>
      </c>
    </row>
    <row r="1261" spans="1:32" x14ac:dyDescent="0.25">
      <c r="A1261" s="308">
        <v>45350</v>
      </c>
      <c r="B1261" s="416">
        <v>971055</v>
      </c>
      <c r="C1261" s="413" t="str">
        <f>IFERROR(INDEX(Table14[],MATCH($B1261,Table14[SAPNo],0),3),"")</f>
        <v>MED Bullet 10.5 CT217 MBL 0.018" (B)</v>
      </c>
      <c r="D1261" s="306"/>
      <c r="E1261" s="421"/>
      <c r="F1261" s="421"/>
      <c r="G1261" s="417">
        <v>20241019</v>
      </c>
      <c r="H1261" s="598" t="s">
        <v>1522</v>
      </c>
      <c r="I1261" s="322" t="s">
        <v>1523</v>
      </c>
      <c r="J1261" s="418">
        <v>4</v>
      </c>
      <c r="K1261" s="248"/>
      <c r="M1261" s="366"/>
    </row>
    <row r="1262" spans="1:32" x14ac:dyDescent="0.25">
      <c r="A1262" s="308">
        <v>45350</v>
      </c>
      <c r="B1262" s="416">
        <v>717748</v>
      </c>
      <c r="C1262" s="413" t="str">
        <f>IFERROR(INDEX(Table14[],MATCH($B1262,Table14[SAPNo],0),3),"")</f>
        <v>Round 1010 CT200  0.018" (B)</v>
      </c>
      <c r="D1262" s="306"/>
      <c r="E1262" s="421"/>
      <c r="F1262" s="421"/>
      <c r="G1262" s="417">
        <v>20241020</v>
      </c>
      <c r="H1262" s="598" t="s">
        <v>1524</v>
      </c>
      <c r="I1262" s="322" t="s">
        <v>1525</v>
      </c>
      <c r="J1262" s="418">
        <v>8</v>
      </c>
      <c r="K1262" s="248"/>
      <c r="M1262" s="366"/>
    </row>
    <row r="1263" spans="1:32" x14ac:dyDescent="0.25">
      <c r="A1263" s="308">
        <v>45350</v>
      </c>
      <c r="B1263" s="416">
        <v>717748</v>
      </c>
      <c r="C1263" s="413" t="str">
        <f>IFERROR(INDEX(Table14[],MATCH($B1263,Table14[SAPNo],0),3),"")</f>
        <v>Round 1010 CT200  0.018" (B)</v>
      </c>
      <c r="D1263" s="306"/>
      <c r="E1263" s="421"/>
      <c r="F1263" s="421"/>
      <c r="G1263" s="417">
        <v>20241025</v>
      </c>
      <c r="H1263" s="598" t="s">
        <v>1526</v>
      </c>
      <c r="I1263" s="322" t="s">
        <v>1525</v>
      </c>
      <c r="J1263" s="418">
        <v>3</v>
      </c>
      <c r="K1263" s="248"/>
      <c r="M1263" s="366"/>
    </row>
    <row r="1264" spans="1:32" x14ac:dyDescent="0.25">
      <c r="A1264" s="320">
        <v>45350</v>
      </c>
      <c r="B1264" s="419">
        <v>1145493</v>
      </c>
      <c r="C1264" s="413" t="str">
        <f>IFERROR(INDEX(Table14[],MATCH($B1264,Table14[SAPNo],0),3),"")</f>
        <v>Round 1313 CT427  10C (S)</v>
      </c>
      <c r="D1264" s="306"/>
      <c r="E1264" s="421">
        <v>1</v>
      </c>
      <c r="F1264" s="421"/>
      <c r="G1264" s="420">
        <v>20241030</v>
      </c>
      <c r="H1264" s="599">
        <v>14023086</v>
      </c>
      <c r="I1264" s="322" t="s">
        <v>1527</v>
      </c>
      <c r="J1264" s="421"/>
      <c r="K1264" s="422"/>
      <c r="M1264" s="473" t="s">
        <v>1528</v>
      </c>
      <c r="AF1264">
        <v>1</v>
      </c>
    </row>
    <row r="1265" spans="1:32" x14ac:dyDescent="0.25">
      <c r="A1265" s="308">
        <v>45354</v>
      </c>
      <c r="B1265" s="416">
        <v>1271790</v>
      </c>
      <c r="C1265" s="413" t="str">
        <f>IFERROR(INDEX(Table14[],MATCH($B1265,Table14[SAPNo],0),3),"")</f>
        <v xml:space="preserve">1613 CT170 18-60 </v>
      </c>
      <c r="D1265" s="306"/>
      <c r="E1265" s="421">
        <v>30</v>
      </c>
      <c r="F1265" s="421"/>
      <c r="G1265" s="417" t="s">
        <v>1529</v>
      </c>
      <c r="H1265" s="598">
        <v>14136236</v>
      </c>
      <c r="I1265" s="322" t="s">
        <v>1463</v>
      </c>
      <c r="J1265" s="418"/>
      <c r="K1265" s="248"/>
      <c r="M1265" s="422"/>
      <c r="AF1265">
        <v>30</v>
      </c>
    </row>
    <row r="1266" spans="1:32" x14ac:dyDescent="0.25">
      <c r="A1266" s="308">
        <v>45354</v>
      </c>
      <c r="B1266" s="416">
        <v>1146737</v>
      </c>
      <c r="C1266" s="413" t="str">
        <f>IFERROR(INDEX(Table14[],MATCH($B1266,Table14[SAPNo],0),3),"")</f>
        <v>1613 CT418 18-60</v>
      </c>
      <c r="D1266" s="306"/>
      <c r="E1266" s="421">
        <v>10</v>
      </c>
      <c r="F1266" s="421"/>
      <c r="G1266" s="417" t="s">
        <v>1529</v>
      </c>
      <c r="H1266" s="598">
        <v>14136236</v>
      </c>
      <c r="I1266" s="322" t="s">
        <v>1463</v>
      </c>
      <c r="J1266" s="418"/>
      <c r="K1266" s="248"/>
      <c r="M1266" s="366"/>
      <c r="AF1266">
        <v>10</v>
      </c>
    </row>
    <row r="1267" spans="1:32" x14ac:dyDescent="0.25">
      <c r="A1267" s="308">
        <v>45354</v>
      </c>
      <c r="B1267" s="416">
        <v>1209410</v>
      </c>
      <c r="C1267" s="413" t="str">
        <f>IFERROR(INDEX(Table14[],MATCH($B1267,Table14[SAPNo],0),3),"")</f>
        <v>1613 CT430MV3 U TBO</v>
      </c>
      <c r="D1267" s="306"/>
      <c r="E1267" s="421">
        <v>10</v>
      </c>
      <c r="F1267" s="421"/>
      <c r="G1267" s="417" t="s">
        <v>1529</v>
      </c>
      <c r="H1267" s="598">
        <v>14136236</v>
      </c>
      <c r="I1267" s="322" t="s">
        <v>1463</v>
      </c>
      <c r="J1267" s="418"/>
      <c r="K1267" s="248"/>
      <c r="M1267" s="366"/>
      <c r="AF1267">
        <v>10</v>
      </c>
    </row>
    <row r="1268" spans="1:32" x14ac:dyDescent="0.25">
      <c r="A1268" s="308">
        <v>45354</v>
      </c>
      <c r="B1268" s="416">
        <v>871781</v>
      </c>
      <c r="C1268" s="413" t="str">
        <f>IFERROR(INDEX(Table14[],MATCH($B1268,Table14[SAPNo],0),3),"")</f>
        <v>Round 1313 CT200  0.018" (B)</v>
      </c>
      <c r="D1268" s="306"/>
      <c r="E1268" s="421">
        <v>5</v>
      </c>
      <c r="F1268" s="421"/>
      <c r="G1268" s="417" t="s">
        <v>1529</v>
      </c>
      <c r="H1268" s="598">
        <v>14136236</v>
      </c>
      <c r="I1268" s="322" t="s">
        <v>1463</v>
      </c>
      <c r="J1268" s="418"/>
      <c r="K1268" s="248"/>
      <c r="M1268" s="366"/>
      <c r="AF1268">
        <v>5</v>
      </c>
    </row>
    <row r="1269" spans="1:32" x14ac:dyDescent="0.25">
      <c r="A1269" s="308">
        <v>45354</v>
      </c>
      <c r="B1269" s="416">
        <v>887028</v>
      </c>
      <c r="C1269" s="413" t="str">
        <f>IFERROR(INDEX(Table14[],MATCH($B1269,Table14[SAPNo],0),3),"")</f>
        <v>Round 1313 CT109  0.018" (S)</v>
      </c>
      <c r="D1269" s="306"/>
      <c r="E1269" s="421">
        <v>13</v>
      </c>
      <c r="F1269" s="421"/>
      <c r="G1269" s="417" t="s">
        <v>1529</v>
      </c>
      <c r="H1269" s="598">
        <v>14136236</v>
      </c>
      <c r="I1269" s="322" t="s">
        <v>1463</v>
      </c>
      <c r="J1269" s="418"/>
      <c r="K1269" s="248"/>
      <c r="M1269" s="366"/>
      <c r="AF1269">
        <v>13</v>
      </c>
    </row>
    <row r="1270" spans="1:32" x14ac:dyDescent="0.25">
      <c r="A1270" s="308">
        <v>45354</v>
      </c>
      <c r="B1270" s="416">
        <v>638560</v>
      </c>
      <c r="C1270" s="413" t="str">
        <f>IFERROR(INDEX(Table14[],MATCH($B1270,Table14[SAPNo],0),3),"")</f>
        <v>Round 1313 CT70  0.018" (S)</v>
      </c>
      <c r="D1270" s="306"/>
      <c r="E1270" s="421">
        <v>0</v>
      </c>
      <c r="F1270" s="421"/>
      <c r="G1270" s="417" t="s">
        <v>1530</v>
      </c>
      <c r="H1270" s="598">
        <v>14136236</v>
      </c>
      <c r="I1270" s="322" t="s">
        <v>1463</v>
      </c>
      <c r="J1270" s="418"/>
      <c r="K1270" s="248"/>
      <c r="M1270" s="366"/>
      <c r="AF1270">
        <v>0</v>
      </c>
    </row>
    <row r="1271" spans="1:32" x14ac:dyDescent="0.25">
      <c r="A1271" s="308">
        <v>45354</v>
      </c>
      <c r="B1271" s="416">
        <v>1146737</v>
      </c>
      <c r="C1271" s="413" t="str">
        <f>IFERROR(INDEX(Table14[],MATCH($B1271,Table14[SAPNo],0),3),"")</f>
        <v>1613 CT418 18-60</v>
      </c>
      <c r="D1271" s="306"/>
      <c r="E1271" s="421">
        <v>10</v>
      </c>
      <c r="F1271" s="421"/>
      <c r="G1271" s="417" t="s">
        <v>1531</v>
      </c>
      <c r="H1271" s="598">
        <v>14136238</v>
      </c>
      <c r="I1271" s="322" t="s">
        <v>1463</v>
      </c>
      <c r="J1271" s="418"/>
      <c r="K1271" s="248"/>
      <c r="M1271" s="366"/>
      <c r="AF1271">
        <v>10</v>
      </c>
    </row>
    <row r="1272" spans="1:32" x14ac:dyDescent="0.25">
      <c r="A1272" s="308">
        <v>45354</v>
      </c>
      <c r="B1272" s="416">
        <v>1209410</v>
      </c>
      <c r="C1272" s="413" t="str">
        <f>IFERROR(INDEX(Table14[],MATCH($B1272,Table14[SAPNo],0),3),"")</f>
        <v>1613 CT430MV3 U TBO</v>
      </c>
      <c r="D1272" s="306"/>
      <c r="E1272" s="421">
        <v>10</v>
      </c>
      <c r="F1272" s="421"/>
      <c r="G1272" s="417" t="s">
        <v>1531</v>
      </c>
      <c r="H1272" s="598">
        <v>14136238</v>
      </c>
      <c r="I1272" s="322" t="s">
        <v>1463</v>
      </c>
      <c r="J1272" s="418"/>
      <c r="K1272" s="248"/>
      <c r="M1272" s="366"/>
      <c r="AF1272">
        <v>10</v>
      </c>
    </row>
    <row r="1273" spans="1:32" x14ac:dyDescent="0.25">
      <c r="A1273" s="308">
        <v>45354</v>
      </c>
      <c r="B1273" s="416">
        <v>1271790</v>
      </c>
      <c r="C1273" s="413" t="str">
        <f>IFERROR(INDEX(Table14[],MATCH($B1273,Table14[SAPNo],0),3),"")</f>
        <v xml:space="preserve">1613 CT170 18-60 </v>
      </c>
      <c r="D1273" s="306"/>
      <c r="E1273" s="421">
        <v>30</v>
      </c>
      <c r="F1273" s="421"/>
      <c r="G1273" s="417" t="s">
        <v>1531</v>
      </c>
      <c r="H1273" s="598">
        <v>14136238</v>
      </c>
      <c r="I1273" s="322" t="s">
        <v>1463</v>
      </c>
      <c r="J1273" s="418"/>
      <c r="K1273" s="248"/>
      <c r="M1273" s="366"/>
      <c r="AF1273">
        <v>30</v>
      </c>
    </row>
    <row r="1274" spans="1:32" x14ac:dyDescent="0.25">
      <c r="A1274" s="308">
        <v>45354</v>
      </c>
      <c r="B1274" s="416">
        <v>871781</v>
      </c>
      <c r="C1274" s="413" t="str">
        <f>IFERROR(INDEX(Table14[],MATCH($B1274,Table14[SAPNo],0),3),"")</f>
        <v>Round 1313 CT200  0.018" (B)</v>
      </c>
      <c r="D1274" s="306"/>
      <c r="E1274" s="421">
        <v>5</v>
      </c>
      <c r="F1274" s="421"/>
      <c r="G1274" s="417" t="s">
        <v>1532</v>
      </c>
      <c r="H1274" s="598">
        <v>14136238</v>
      </c>
      <c r="I1274" s="322" t="s">
        <v>1463</v>
      </c>
      <c r="J1274" s="418"/>
      <c r="K1274" s="248"/>
      <c r="M1274" s="366"/>
      <c r="AF1274">
        <v>5</v>
      </c>
    </row>
    <row r="1275" spans="1:32" x14ac:dyDescent="0.25">
      <c r="A1275" s="308">
        <v>45354</v>
      </c>
      <c r="B1275" s="416">
        <v>638560</v>
      </c>
      <c r="C1275" s="413" t="str">
        <f>IFERROR(INDEX(Table14[],MATCH($B1275,Table14[SAPNo],0),3),"")</f>
        <v>Round 1313 CT70  0.018" (S)</v>
      </c>
      <c r="D1275" s="306"/>
      <c r="E1275" s="421">
        <v>0</v>
      </c>
      <c r="F1275" s="421"/>
      <c r="G1275" s="417" t="s">
        <v>1533</v>
      </c>
      <c r="H1275" s="598">
        <v>14136238</v>
      </c>
      <c r="I1275" s="322" t="s">
        <v>1463</v>
      </c>
      <c r="J1275" s="418"/>
      <c r="K1275" s="248"/>
      <c r="M1275" s="366"/>
      <c r="AF1275">
        <v>0</v>
      </c>
    </row>
    <row r="1276" spans="1:32" x14ac:dyDescent="0.25">
      <c r="A1276" s="308">
        <v>45354</v>
      </c>
      <c r="B1276" s="416">
        <v>1142711</v>
      </c>
      <c r="C1276" s="413" t="str">
        <f>IFERROR(INDEX(Table14[],MATCH($B1276,Table14[SAPNo],0),3),"")</f>
        <v>1613 CT421 U</v>
      </c>
      <c r="D1276" s="306"/>
      <c r="E1276" s="421">
        <v>21</v>
      </c>
      <c r="F1276" s="421"/>
      <c r="G1276" s="417" t="s">
        <v>1534</v>
      </c>
      <c r="H1276" s="598">
        <v>14127574</v>
      </c>
      <c r="I1276" s="322" t="s">
        <v>1535</v>
      </c>
      <c r="J1276" s="418"/>
      <c r="K1276" s="248"/>
      <c r="M1276" s="366"/>
      <c r="AF1276">
        <v>21</v>
      </c>
    </row>
    <row r="1277" spans="1:32" x14ac:dyDescent="0.25">
      <c r="A1277" s="308">
        <v>45354</v>
      </c>
      <c r="B1277" s="416">
        <v>1146737</v>
      </c>
      <c r="C1277" s="413" t="str">
        <f>IFERROR(INDEX(Table14[],MATCH($B1277,Table14[SAPNo],0),3),"")</f>
        <v>1613 CT418 18-60</v>
      </c>
      <c r="D1277" s="306"/>
      <c r="E1277" s="421">
        <v>8</v>
      </c>
      <c r="F1277" s="421"/>
      <c r="G1277" s="417" t="s">
        <v>1534</v>
      </c>
      <c r="H1277" s="598">
        <v>14127574</v>
      </c>
      <c r="I1277" s="322" t="s">
        <v>1535</v>
      </c>
      <c r="J1277" s="418"/>
      <c r="K1277" s="248"/>
      <c r="M1277" s="366"/>
      <c r="AF1277">
        <v>8</v>
      </c>
    </row>
    <row r="1278" spans="1:32" x14ac:dyDescent="0.25">
      <c r="A1278" s="308">
        <v>45354</v>
      </c>
      <c r="B1278" s="416">
        <v>1208601</v>
      </c>
      <c r="C1278" s="413" t="str">
        <f>IFERROR(INDEX(Table14[],MATCH($B1278,Table14[SAPNo],0),3),"")</f>
        <v>1613 CT418 U-60</v>
      </c>
      <c r="D1278" s="306"/>
      <c r="E1278" s="421">
        <v>11</v>
      </c>
      <c r="F1278" s="421"/>
      <c r="G1278" s="417" t="s">
        <v>1534</v>
      </c>
      <c r="H1278" s="598">
        <v>14127574</v>
      </c>
      <c r="I1278" s="322" t="s">
        <v>1535</v>
      </c>
      <c r="J1278" s="418"/>
      <c r="K1278" s="248"/>
      <c r="M1278" s="366"/>
      <c r="AF1278">
        <v>11</v>
      </c>
    </row>
    <row r="1279" spans="1:32" x14ac:dyDescent="0.25">
      <c r="A1279" s="308">
        <v>45354</v>
      </c>
      <c r="B1279" s="416">
        <v>871781</v>
      </c>
      <c r="C1279" s="413" t="str">
        <f>IFERROR(INDEX(Table14[],MATCH($B1279,Table14[SAPNo],0),3),"")</f>
        <v>Round 1313 CT200  0.018" (B)</v>
      </c>
      <c r="D1279" s="306"/>
      <c r="E1279" s="421">
        <v>7</v>
      </c>
      <c r="F1279" s="421"/>
      <c r="G1279" s="417" t="s">
        <v>1534</v>
      </c>
      <c r="H1279" s="598">
        <v>14127574</v>
      </c>
      <c r="I1279" s="322" t="s">
        <v>1535</v>
      </c>
      <c r="J1279" s="418"/>
      <c r="K1279" s="248"/>
      <c r="M1279" s="366"/>
      <c r="AF1279">
        <v>7</v>
      </c>
    </row>
    <row r="1280" spans="1:32" x14ac:dyDescent="0.25">
      <c r="A1280" s="308">
        <v>45354</v>
      </c>
      <c r="B1280" s="416">
        <v>1271790</v>
      </c>
      <c r="C1280" s="413" t="str">
        <f>IFERROR(INDEX(Table14[],MATCH($B1280,Table14[SAPNo],0),3),"")</f>
        <v xml:space="preserve">1613 CT170 18-60 </v>
      </c>
      <c r="D1280" s="306"/>
      <c r="E1280" s="421">
        <v>6</v>
      </c>
      <c r="F1280" s="421"/>
      <c r="G1280" s="417" t="s">
        <v>1534</v>
      </c>
      <c r="H1280" s="598">
        <v>14127574</v>
      </c>
      <c r="I1280" s="322" t="s">
        <v>1535</v>
      </c>
      <c r="J1280" s="418"/>
      <c r="K1280" s="248"/>
      <c r="M1280" s="366"/>
      <c r="AF1280">
        <v>6</v>
      </c>
    </row>
    <row r="1281" spans="1:32" x14ac:dyDescent="0.25">
      <c r="A1281" s="308">
        <v>45354</v>
      </c>
      <c r="B1281" s="416">
        <v>1219562</v>
      </c>
      <c r="C1281" s="413" t="str">
        <f>IFERROR(INDEX(Table14[],MATCH($B1281,Table14[SAPNo],0),3),"")</f>
        <v>1613 CT147R U</v>
      </c>
      <c r="D1281" s="306"/>
      <c r="E1281" s="421">
        <v>30</v>
      </c>
      <c r="F1281" s="421"/>
      <c r="G1281" s="417" t="s">
        <v>1534</v>
      </c>
      <c r="H1281" s="598">
        <v>14127574</v>
      </c>
      <c r="I1281" s="322" t="s">
        <v>1535</v>
      </c>
      <c r="J1281" s="418"/>
      <c r="K1281" s="248"/>
      <c r="M1281" s="366"/>
      <c r="AF1281">
        <v>30</v>
      </c>
    </row>
    <row r="1282" spans="1:32" x14ac:dyDescent="0.25">
      <c r="A1282" s="308">
        <v>45354</v>
      </c>
      <c r="B1282" s="416">
        <v>625854</v>
      </c>
      <c r="C1282" s="413" t="str">
        <f>IFERROR(INDEX(Table14[],MATCH($B1282,Table14[SAPNo],0),3),"")</f>
        <v>Carbide IA 1318    (C)</v>
      </c>
      <c r="D1282" s="306"/>
      <c r="E1282" s="421">
        <v>6</v>
      </c>
      <c r="F1282" s="421"/>
      <c r="G1282" s="417" t="s">
        <v>1534</v>
      </c>
      <c r="H1282" s="598">
        <v>14127574</v>
      </c>
      <c r="I1282" s="322" t="s">
        <v>1535</v>
      </c>
      <c r="J1282" s="418"/>
      <c r="K1282" s="248"/>
      <c r="M1282" s="366"/>
      <c r="AF1282">
        <v>6</v>
      </c>
    </row>
    <row r="1283" spans="1:32" x14ac:dyDescent="0.25">
      <c r="A1283" s="308">
        <v>45354</v>
      </c>
      <c r="B1283" s="416">
        <v>717748</v>
      </c>
      <c r="C1283" s="413" t="str">
        <f>IFERROR(INDEX(Table14[],MATCH($B1283,Table14[SAPNo],0),3),"")</f>
        <v>Round 1010 CT200  0.018" (B)</v>
      </c>
      <c r="D1283" s="306"/>
      <c r="E1283" s="421">
        <v>4</v>
      </c>
      <c r="F1283" s="421"/>
      <c r="G1283" s="417" t="s">
        <v>1536</v>
      </c>
      <c r="H1283" s="598" t="s">
        <v>1537</v>
      </c>
      <c r="I1283" s="322" t="s">
        <v>1538</v>
      </c>
      <c r="J1283" s="418"/>
      <c r="K1283" s="248"/>
      <c r="M1283" s="366"/>
      <c r="AF1283">
        <v>4</v>
      </c>
    </row>
    <row r="1284" spans="1:32" x14ac:dyDescent="0.25">
      <c r="A1284" s="308">
        <v>45354</v>
      </c>
      <c r="B1284" s="416">
        <v>717748</v>
      </c>
      <c r="C1284" s="413" t="str">
        <f>IFERROR(INDEX(Table14[],MATCH($B1284,Table14[SAPNo],0),3),"")</f>
        <v>Round 1010 CT200  0.018" (B)</v>
      </c>
      <c r="D1284" s="306"/>
      <c r="E1284" s="421">
        <v>2</v>
      </c>
      <c r="F1284" s="421"/>
      <c r="G1284" s="417" t="s">
        <v>1539</v>
      </c>
      <c r="H1284" s="598" t="s">
        <v>1540</v>
      </c>
      <c r="I1284" s="322" t="s">
        <v>1538</v>
      </c>
      <c r="J1284" s="418"/>
      <c r="K1284" s="248"/>
      <c r="M1284" s="366"/>
      <c r="AF1284">
        <v>2</v>
      </c>
    </row>
    <row r="1285" spans="1:32" x14ac:dyDescent="0.25">
      <c r="A1285" s="308">
        <v>45355</v>
      </c>
      <c r="B1285" s="416">
        <v>1271790</v>
      </c>
      <c r="C1285" s="413" t="str">
        <f>IFERROR(INDEX(Table14[],MATCH($B1285,Table14[SAPNo],0),3),"")</f>
        <v xml:space="preserve">1613 CT170 18-60 </v>
      </c>
      <c r="D1285" s="306"/>
      <c r="E1285" s="421">
        <v>1</v>
      </c>
      <c r="F1285" s="421"/>
      <c r="G1285" s="417" t="s">
        <v>1534</v>
      </c>
      <c r="H1285" s="598">
        <v>14127574</v>
      </c>
      <c r="I1285" s="322" t="s">
        <v>1535</v>
      </c>
      <c r="J1285" s="418"/>
      <c r="K1285" s="248"/>
      <c r="M1285" s="366"/>
      <c r="AF1285">
        <v>1</v>
      </c>
    </row>
    <row r="1286" spans="1:32" x14ac:dyDescent="0.25">
      <c r="A1286" s="308">
        <v>45355</v>
      </c>
      <c r="B1286" s="416">
        <v>1130198</v>
      </c>
      <c r="C1286" s="413" t="str">
        <f>IFERROR(INDEX(Table14[],MATCH($B1286,Table14[SAPNo],0),3),"")</f>
        <v>Round 1613 CT182  0.018" (S)</v>
      </c>
      <c r="D1286" s="306"/>
      <c r="E1286" s="421">
        <v>22</v>
      </c>
      <c r="F1286" s="421"/>
      <c r="G1286" s="417" t="s">
        <v>1541</v>
      </c>
      <c r="H1286" s="598">
        <v>14073967</v>
      </c>
      <c r="I1286" s="322" t="s">
        <v>1499</v>
      </c>
      <c r="J1286" s="418"/>
      <c r="K1286" s="248"/>
      <c r="M1286" s="366"/>
      <c r="AF1286">
        <v>22</v>
      </c>
    </row>
    <row r="1287" spans="1:32" x14ac:dyDescent="0.25">
      <c r="A1287" s="308">
        <v>45355</v>
      </c>
      <c r="B1287" s="416">
        <v>871781</v>
      </c>
      <c r="C1287" s="413" t="str">
        <f>IFERROR(INDEX(Table14[],MATCH($B1287,Table14[SAPNo],0),3),"")</f>
        <v>Round 1313 CT200  0.018" (B)</v>
      </c>
      <c r="D1287" s="306"/>
      <c r="E1287" s="421">
        <v>42</v>
      </c>
      <c r="F1287" s="421"/>
      <c r="G1287" s="417" t="s">
        <v>1541</v>
      </c>
      <c r="H1287" s="598">
        <v>14073967</v>
      </c>
      <c r="I1287" s="322" t="s">
        <v>1499</v>
      </c>
      <c r="J1287" s="418"/>
      <c r="K1287" s="248"/>
      <c r="M1287" s="366"/>
      <c r="AF1287">
        <v>42</v>
      </c>
    </row>
    <row r="1288" spans="1:32" x14ac:dyDescent="0.25">
      <c r="A1288" s="308">
        <v>45355</v>
      </c>
      <c r="B1288" s="416">
        <v>1219562</v>
      </c>
      <c r="C1288" s="413" t="str">
        <f>IFERROR(INDEX(Table14[],MATCH($B1288,Table14[SAPNo],0),3),"")</f>
        <v>1613 CT147R U</v>
      </c>
      <c r="D1288" s="306"/>
      <c r="E1288" s="421">
        <v>42</v>
      </c>
      <c r="F1288" s="421"/>
      <c r="G1288" s="417" t="s">
        <v>1541</v>
      </c>
      <c r="H1288" s="598">
        <v>14073967</v>
      </c>
      <c r="I1288" s="322" t="s">
        <v>1499</v>
      </c>
      <c r="J1288" s="418"/>
      <c r="K1288" s="248"/>
      <c r="M1288" s="366"/>
      <c r="AF1288">
        <v>42</v>
      </c>
    </row>
    <row r="1289" spans="1:32" x14ac:dyDescent="0.25">
      <c r="A1289" s="308">
        <v>45355</v>
      </c>
      <c r="B1289" s="416">
        <v>1208601</v>
      </c>
      <c r="C1289" s="413" t="str">
        <f>IFERROR(INDEX(Table14[],MATCH($B1289,Table14[SAPNo],0),3),"")</f>
        <v>1613 CT418 U-60</v>
      </c>
      <c r="D1289" s="306"/>
      <c r="E1289" s="421">
        <v>15</v>
      </c>
      <c r="F1289" s="421"/>
      <c r="G1289" s="417" t="s">
        <v>1541</v>
      </c>
      <c r="H1289" s="598">
        <v>14073967</v>
      </c>
      <c r="I1289" s="322" t="s">
        <v>1499</v>
      </c>
      <c r="J1289" s="418"/>
      <c r="K1289" s="248"/>
      <c r="M1289" s="366"/>
      <c r="AF1289">
        <v>15</v>
      </c>
    </row>
    <row r="1290" spans="1:32" x14ac:dyDescent="0.25">
      <c r="A1290" s="308">
        <v>45355</v>
      </c>
      <c r="B1290" s="416">
        <v>418525</v>
      </c>
      <c r="C1290" s="413" t="str">
        <f>IFERROR(INDEX(Table14[],MATCH($B1290,Table14[SAPNo],0),3),"")</f>
        <v>Drop In 1308 CT31   (B)</v>
      </c>
      <c r="D1290" s="306"/>
      <c r="E1290" s="421">
        <v>7</v>
      </c>
      <c r="F1290" s="421"/>
      <c r="G1290" s="417" t="s">
        <v>1541</v>
      </c>
      <c r="H1290" s="598">
        <v>14073967</v>
      </c>
      <c r="I1290" s="322" t="s">
        <v>1499</v>
      </c>
      <c r="J1290" s="418"/>
      <c r="K1290" s="248"/>
      <c r="M1290" s="366"/>
      <c r="AF1290">
        <v>7</v>
      </c>
    </row>
    <row r="1291" spans="1:32" x14ac:dyDescent="0.25">
      <c r="A1291" s="308">
        <v>45355</v>
      </c>
      <c r="B1291" s="416">
        <v>410851</v>
      </c>
      <c r="C1291" s="413" t="str">
        <f>IFERROR(INDEX(Table14[],MATCH($B1291,Table14[SAPNo],0),3),"")</f>
        <v>PDC Dome 1308 CT31   (B)</v>
      </c>
      <c r="D1291" s="306"/>
      <c r="E1291" s="421">
        <v>28</v>
      </c>
      <c r="F1291" s="421"/>
      <c r="G1291" s="417" t="s">
        <v>1541</v>
      </c>
      <c r="H1291" s="598">
        <v>14073967</v>
      </c>
      <c r="I1291" s="322" t="s">
        <v>1499</v>
      </c>
      <c r="J1291" s="418"/>
      <c r="K1291" s="248"/>
      <c r="M1291" s="366"/>
      <c r="AF1291">
        <v>28</v>
      </c>
    </row>
    <row r="1292" spans="1:32" x14ac:dyDescent="0.25">
      <c r="A1292" s="308">
        <v>45355</v>
      </c>
      <c r="B1292" s="416">
        <v>179734</v>
      </c>
      <c r="C1292" s="413" t="str">
        <f>IFERROR(INDEX(Table14[],MATCH($B1292,Table14[SAPNo],0),3),"")</f>
        <v>Long IPA 13    (C)</v>
      </c>
      <c r="D1292" s="306"/>
      <c r="E1292" s="421">
        <v>22</v>
      </c>
      <c r="F1292" s="421"/>
      <c r="G1292" s="417" t="s">
        <v>1541</v>
      </c>
      <c r="H1292" s="598">
        <v>14073967</v>
      </c>
      <c r="I1292" s="322" t="s">
        <v>1499</v>
      </c>
      <c r="J1292" s="418"/>
      <c r="K1292" s="248"/>
      <c r="M1292" s="366"/>
      <c r="AF1292">
        <v>22</v>
      </c>
    </row>
    <row r="1293" spans="1:32" x14ac:dyDescent="0.25">
      <c r="A1293" s="308">
        <v>45355</v>
      </c>
      <c r="B1293" s="416">
        <v>418525</v>
      </c>
      <c r="C1293" s="413" t="str">
        <f>IFERROR(INDEX(Table14[],MATCH($B1293,Table14[SAPNo],0),3),"")</f>
        <v>Drop In 1308 CT31   (B)</v>
      </c>
      <c r="D1293" s="306"/>
      <c r="E1293" s="421">
        <v>6</v>
      </c>
      <c r="F1293" s="421"/>
      <c r="G1293" s="417" t="s">
        <v>1542</v>
      </c>
      <c r="H1293" s="598">
        <v>14127565</v>
      </c>
      <c r="I1293" s="322" t="s">
        <v>1516</v>
      </c>
      <c r="J1293" s="418"/>
      <c r="K1293" s="248"/>
      <c r="M1293" s="366"/>
      <c r="AF1293">
        <v>6</v>
      </c>
    </row>
    <row r="1294" spans="1:32" x14ac:dyDescent="0.25">
      <c r="A1294" s="308">
        <v>45355</v>
      </c>
      <c r="B1294" s="416">
        <v>1146737</v>
      </c>
      <c r="C1294" s="413" t="str">
        <f>IFERROR(INDEX(Table14[],MATCH($B1294,Table14[SAPNo],0),3),"")</f>
        <v>1613 CT418 18-60</v>
      </c>
      <c r="D1294" s="306"/>
      <c r="E1294" s="421">
        <v>6</v>
      </c>
      <c r="F1294" s="421"/>
      <c r="G1294" s="417" t="s">
        <v>1542</v>
      </c>
      <c r="H1294" s="598">
        <v>14127565</v>
      </c>
      <c r="I1294" s="322" t="s">
        <v>1516</v>
      </c>
      <c r="J1294" s="418"/>
      <c r="K1294" s="248"/>
      <c r="M1294" s="366"/>
      <c r="AF1294">
        <v>6</v>
      </c>
    </row>
    <row r="1295" spans="1:32" x14ac:dyDescent="0.25">
      <c r="A1295" s="308">
        <v>45355</v>
      </c>
      <c r="B1295" s="416">
        <v>1271790</v>
      </c>
      <c r="C1295" s="413" t="str">
        <f>IFERROR(INDEX(Table14[],MATCH($B1295,Table14[SAPNo],0),3),"")</f>
        <v xml:space="preserve">1613 CT170 18-60 </v>
      </c>
      <c r="D1295" s="306"/>
      <c r="E1295" s="421">
        <v>17</v>
      </c>
      <c r="F1295" s="421"/>
      <c r="G1295" s="417" t="s">
        <v>1542</v>
      </c>
      <c r="H1295" s="598">
        <v>14127565</v>
      </c>
      <c r="I1295" s="322" t="s">
        <v>1516</v>
      </c>
      <c r="J1295" s="418"/>
      <c r="K1295" s="248"/>
      <c r="M1295" s="366"/>
      <c r="AF1295">
        <v>17</v>
      </c>
    </row>
    <row r="1296" spans="1:32" x14ac:dyDescent="0.25">
      <c r="A1296" s="308">
        <v>45355</v>
      </c>
      <c r="B1296" s="416">
        <v>1078377</v>
      </c>
      <c r="C1296" s="413" t="str">
        <f>IFERROR(INDEX(Table14[],MATCH($B1296,Table14[SAPNo],0),3),"")</f>
        <v>13MM CT221 R1</v>
      </c>
      <c r="D1296" s="306"/>
      <c r="E1296" s="421">
        <v>15</v>
      </c>
      <c r="F1296" s="421"/>
      <c r="G1296" s="417" t="s">
        <v>1542</v>
      </c>
      <c r="H1296" s="598">
        <v>14127565</v>
      </c>
      <c r="I1296" s="322" t="s">
        <v>1516</v>
      </c>
      <c r="J1296" s="418"/>
      <c r="K1296" s="248"/>
      <c r="M1296" s="366"/>
      <c r="AF1296">
        <v>15</v>
      </c>
    </row>
    <row r="1297" spans="1:32" x14ac:dyDescent="0.25">
      <c r="A1297" s="308">
        <v>45355</v>
      </c>
      <c r="B1297" s="416">
        <v>1208601</v>
      </c>
      <c r="C1297" s="413" t="str">
        <f>IFERROR(INDEX(Table14[],MATCH($B1297,Table14[SAPNo],0),3),"")</f>
        <v>1613 CT418 U-60</v>
      </c>
      <c r="D1297" s="306"/>
      <c r="E1297" s="421">
        <v>8</v>
      </c>
      <c r="F1297" s="421"/>
      <c r="G1297" s="417" t="s">
        <v>1542</v>
      </c>
      <c r="H1297" s="598">
        <v>14127565</v>
      </c>
      <c r="I1297" s="322" t="s">
        <v>1516</v>
      </c>
      <c r="J1297" s="418"/>
      <c r="K1297" s="248"/>
      <c r="M1297" s="366"/>
      <c r="AF1297">
        <v>8</v>
      </c>
    </row>
    <row r="1298" spans="1:32" x14ac:dyDescent="0.25">
      <c r="A1298" s="308">
        <v>45356</v>
      </c>
      <c r="B1298" s="416">
        <v>1208601</v>
      </c>
      <c r="C1298" s="413" t="str">
        <f>IFERROR(INDEX(Table14[],MATCH($B1298,Table14[SAPNo],0),3),"")</f>
        <v>1613 CT418 U-60</v>
      </c>
      <c r="D1298" s="306"/>
      <c r="E1298" s="421">
        <v>11</v>
      </c>
      <c r="F1298" s="421"/>
      <c r="G1298" s="417" t="s">
        <v>1543</v>
      </c>
      <c r="H1298" s="598">
        <v>14127575</v>
      </c>
      <c r="I1298" s="322" t="s">
        <v>1544</v>
      </c>
      <c r="J1298" s="418"/>
      <c r="K1298" s="248"/>
      <c r="M1298" s="366"/>
      <c r="AF1298">
        <v>11</v>
      </c>
    </row>
    <row r="1299" spans="1:32" x14ac:dyDescent="0.25">
      <c r="A1299" s="308">
        <v>45356</v>
      </c>
      <c r="B1299" s="416">
        <v>1126402</v>
      </c>
      <c r="C1299" s="413" t="str">
        <f>IFERROR(INDEX(Table14[],MATCH($B1299,Table14[SAPNo],0),3),"")</f>
        <v>1613 CT421 16-60</v>
      </c>
      <c r="D1299" s="306"/>
      <c r="E1299" s="421">
        <v>29</v>
      </c>
      <c r="F1299" s="421"/>
      <c r="G1299" s="417" t="s">
        <v>1543</v>
      </c>
      <c r="H1299" s="598">
        <v>14127575</v>
      </c>
      <c r="I1299" s="322" t="s">
        <v>1544</v>
      </c>
      <c r="J1299" s="418"/>
      <c r="K1299" s="248"/>
      <c r="M1299" s="366"/>
      <c r="AF1299">
        <v>29</v>
      </c>
    </row>
    <row r="1300" spans="1:32" x14ac:dyDescent="0.25">
      <c r="A1300" s="308">
        <v>45356</v>
      </c>
      <c r="B1300" s="416">
        <v>625854</v>
      </c>
      <c r="C1300" s="413" t="str">
        <f>IFERROR(INDEX(Table14[],MATCH($B1300,Table14[SAPNo],0),3),"")</f>
        <v>Carbide IA 1318    (C)</v>
      </c>
      <c r="D1300" s="306"/>
      <c r="E1300" s="421">
        <v>6</v>
      </c>
      <c r="F1300" s="421"/>
      <c r="G1300" s="417" t="s">
        <v>1543</v>
      </c>
      <c r="H1300" s="598">
        <v>14127575</v>
      </c>
      <c r="I1300" s="322" t="s">
        <v>1544</v>
      </c>
      <c r="J1300" s="418"/>
      <c r="K1300" s="248"/>
      <c r="M1300" s="366"/>
      <c r="AF1300">
        <v>6</v>
      </c>
    </row>
    <row r="1301" spans="1:32" x14ac:dyDescent="0.25">
      <c r="A1301" s="308">
        <v>45356</v>
      </c>
      <c r="B1301" s="416">
        <v>1234679</v>
      </c>
      <c r="C1301" s="413" t="str">
        <f>IFERROR(INDEX(Table14[],MATCH($B1301,Table14[SAPNo],0),3),"")</f>
        <v>1613 CT164R U</v>
      </c>
      <c r="D1301" s="306"/>
      <c r="E1301" s="421">
        <v>30</v>
      </c>
      <c r="F1301" s="421"/>
      <c r="G1301" s="417" t="s">
        <v>1543</v>
      </c>
      <c r="H1301" s="598">
        <v>14127575</v>
      </c>
      <c r="I1301" s="322" t="s">
        <v>1544</v>
      </c>
      <c r="J1301" s="418"/>
      <c r="K1301" s="248"/>
      <c r="M1301" s="366"/>
      <c r="AF1301">
        <v>30</v>
      </c>
    </row>
    <row r="1302" spans="1:32" x14ac:dyDescent="0.25">
      <c r="A1302" s="308">
        <v>45356</v>
      </c>
      <c r="B1302" s="416">
        <v>1231982</v>
      </c>
      <c r="C1302" s="413" t="str">
        <f>IFERROR(INDEX(Table14[],MATCH($B1302,Table14[SAPNo],0),3),"")</f>
        <v>1613 CT164 U</v>
      </c>
      <c r="D1302" s="306"/>
      <c r="E1302" s="421">
        <v>6</v>
      </c>
      <c r="F1302" s="421"/>
      <c r="G1302" s="417" t="s">
        <v>1543</v>
      </c>
      <c r="H1302" s="598">
        <v>14127575</v>
      </c>
      <c r="I1302" s="322" t="s">
        <v>1544</v>
      </c>
      <c r="J1302" s="418"/>
      <c r="K1302" s="248"/>
      <c r="M1302" s="366"/>
      <c r="AF1302">
        <v>6</v>
      </c>
    </row>
    <row r="1303" spans="1:32" x14ac:dyDescent="0.25">
      <c r="A1303" s="320">
        <v>45356</v>
      </c>
      <c r="B1303" s="419">
        <v>871781</v>
      </c>
      <c r="C1303" s="413" t="str">
        <f>IFERROR(INDEX(Table14[],MATCH($B1303,Table14[SAPNo],0),3),"")</f>
        <v>Round 1313 CT200  0.018" (B)</v>
      </c>
      <c r="D1303" s="306"/>
      <c r="E1303" s="421">
        <v>7</v>
      </c>
      <c r="F1303" s="421"/>
      <c r="G1303" s="420" t="s">
        <v>1543</v>
      </c>
      <c r="H1303" s="599">
        <v>14127575</v>
      </c>
      <c r="I1303" s="322" t="s">
        <v>1544</v>
      </c>
      <c r="J1303" s="421"/>
      <c r="K1303" s="422"/>
      <c r="M1303" s="473" t="s">
        <v>1545</v>
      </c>
      <c r="AF1303">
        <v>7</v>
      </c>
    </row>
    <row r="1304" spans="1:32" x14ac:dyDescent="0.25">
      <c r="A1304" s="320">
        <v>45357</v>
      </c>
      <c r="B1304" s="416">
        <v>971055</v>
      </c>
      <c r="C1304" s="413" t="str">
        <f>IFERROR(INDEX(Table14[],MATCH($B1304,Table14[SAPNo],0),3),"")</f>
        <v>MED Bullet 10.5 CT217 MBL 0.018" (B)</v>
      </c>
      <c r="D1304" s="306"/>
      <c r="E1304" s="421"/>
      <c r="F1304" s="421"/>
      <c r="G1304" s="417">
        <v>20241029</v>
      </c>
      <c r="H1304" s="598" t="s">
        <v>1546</v>
      </c>
      <c r="I1304" s="322" t="s">
        <v>1523</v>
      </c>
      <c r="J1304" s="418">
        <v>9</v>
      </c>
      <c r="K1304" s="248"/>
      <c r="M1304" s="422"/>
    </row>
    <row r="1305" spans="1:32" x14ac:dyDescent="0.25">
      <c r="A1305" s="320">
        <v>45357</v>
      </c>
      <c r="B1305" s="419">
        <v>1271790</v>
      </c>
      <c r="C1305" s="413" t="str">
        <f>IFERROR(INDEX(Table14[],MATCH($B1305,Table14[SAPNo],0),3),"")</f>
        <v xml:space="preserve">1613 CT170 18-60 </v>
      </c>
      <c r="D1305" s="306"/>
      <c r="E1305" s="421">
        <v>17</v>
      </c>
      <c r="F1305" s="421"/>
      <c r="G1305" s="420" t="s">
        <v>1547</v>
      </c>
      <c r="H1305" s="599">
        <v>14127566</v>
      </c>
      <c r="I1305" s="322" t="s">
        <v>1516</v>
      </c>
      <c r="J1305" s="421"/>
      <c r="K1305" s="422"/>
      <c r="M1305" s="422"/>
      <c r="AF1305">
        <v>17</v>
      </c>
    </row>
    <row r="1306" spans="1:32" x14ac:dyDescent="0.25">
      <c r="A1306" s="320">
        <v>45357</v>
      </c>
      <c r="B1306" s="419">
        <v>1078377</v>
      </c>
      <c r="C1306" s="413" t="str">
        <f>IFERROR(INDEX(Table14[],MATCH($B1306,Table14[SAPNo],0),3),"")</f>
        <v>13MM CT221 R1</v>
      </c>
      <c r="D1306" s="306"/>
      <c r="E1306" s="421">
        <v>15</v>
      </c>
      <c r="F1306" s="421"/>
      <c r="G1306" s="420" t="s">
        <v>1547</v>
      </c>
      <c r="H1306" s="599">
        <v>14127566</v>
      </c>
      <c r="I1306" s="322" t="s">
        <v>1516</v>
      </c>
      <c r="J1306" s="421"/>
      <c r="K1306" s="422"/>
      <c r="M1306" s="422"/>
      <c r="AF1306">
        <v>15</v>
      </c>
    </row>
    <row r="1307" spans="1:32" x14ac:dyDescent="0.25">
      <c r="A1307" s="308">
        <v>45357</v>
      </c>
      <c r="B1307" s="416">
        <v>1208601</v>
      </c>
      <c r="C1307" s="413" t="str">
        <f>IFERROR(INDEX(Table14[],MATCH($B1307,Table14[SAPNo],0),3),"")</f>
        <v>1613 CT418 U-60</v>
      </c>
      <c r="D1307" s="306"/>
      <c r="E1307" s="421">
        <v>8</v>
      </c>
      <c r="F1307" s="421"/>
      <c r="G1307" s="417" t="s">
        <v>1547</v>
      </c>
      <c r="H1307" s="598">
        <v>14127566</v>
      </c>
      <c r="I1307" s="322" t="s">
        <v>1516</v>
      </c>
      <c r="J1307" s="418"/>
      <c r="K1307" s="248"/>
      <c r="M1307" s="422"/>
      <c r="AF1307">
        <v>8</v>
      </c>
    </row>
    <row r="1308" spans="1:32" x14ac:dyDescent="0.25">
      <c r="A1308" s="308">
        <v>45357</v>
      </c>
      <c r="B1308" s="416">
        <v>418525</v>
      </c>
      <c r="C1308" s="413" t="str">
        <f>IFERROR(INDEX(Table14[],MATCH($B1308,Table14[SAPNo],0),3),"")</f>
        <v>Drop In 1308 CT31   (B)</v>
      </c>
      <c r="D1308" s="306"/>
      <c r="E1308" s="421">
        <v>6</v>
      </c>
      <c r="F1308" s="421"/>
      <c r="G1308" s="417" t="s">
        <v>1547</v>
      </c>
      <c r="H1308" s="598">
        <v>14127566</v>
      </c>
      <c r="I1308" s="322" t="s">
        <v>1516</v>
      </c>
      <c r="J1308" s="418"/>
      <c r="K1308" s="248"/>
      <c r="M1308" s="366"/>
      <c r="AF1308">
        <v>6</v>
      </c>
    </row>
    <row r="1309" spans="1:32" x14ac:dyDescent="0.25">
      <c r="A1309" s="308">
        <v>45357</v>
      </c>
      <c r="B1309" s="416">
        <v>1146737</v>
      </c>
      <c r="C1309" s="413" t="str">
        <f>IFERROR(INDEX(Table14[],MATCH($B1309,Table14[SAPNo],0),3),"")</f>
        <v>1613 CT418 18-60</v>
      </c>
      <c r="D1309" s="306"/>
      <c r="E1309" s="421">
        <v>6</v>
      </c>
      <c r="F1309" s="421"/>
      <c r="G1309" s="417" t="s">
        <v>1547</v>
      </c>
      <c r="H1309" s="598">
        <v>14127566</v>
      </c>
      <c r="I1309" s="322" t="s">
        <v>1516</v>
      </c>
      <c r="J1309" s="418"/>
      <c r="K1309" s="248"/>
      <c r="M1309" s="366"/>
      <c r="AF1309">
        <v>6</v>
      </c>
    </row>
    <row r="1310" spans="1:32" x14ac:dyDescent="0.25">
      <c r="A1310" s="308">
        <v>45357</v>
      </c>
      <c r="B1310" s="416">
        <v>717748</v>
      </c>
      <c r="C1310" s="413" t="str">
        <f>IFERROR(INDEX(Table14[],MATCH($B1310,Table14[SAPNo],0),3),"")</f>
        <v>Round 1010 CT200  0.018" (B)</v>
      </c>
      <c r="D1310" s="306"/>
      <c r="E1310" s="421"/>
      <c r="F1310" s="421"/>
      <c r="G1310" s="417">
        <v>20241031</v>
      </c>
      <c r="H1310" s="598" t="s">
        <v>1548</v>
      </c>
      <c r="I1310" s="322" t="s">
        <v>1525</v>
      </c>
      <c r="J1310" s="418">
        <v>1</v>
      </c>
      <c r="K1310" s="248"/>
      <c r="M1310" s="366"/>
    </row>
    <row r="1311" spans="1:32" x14ac:dyDescent="0.25">
      <c r="A1311" s="308">
        <v>45357</v>
      </c>
      <c r="B1311" s="416">
        <v>647436</v>
      </c>
      <c r="C1311" s="413" t="str">
        <f>IFERROR(INDEX(Table14[],MATCH($B1311,Table14[SAPNo],0),3),"")</f>
        <v>Round 1613 CT200  0.018" (B)</v>
      </c>
      <c r="D1311" s="306"/>
      <c r="E1311" s="421">
        <v>64</v>
      </c>
      <c r="F1311" s="421"/>
      <c r="G1311" s="420" t="s">
        <v>1549</v>
      </c>
      <c r="H1311" s="598">
        <v>14127576</v>
      </c>
      <c r="I1311" s="322" t="s">
        <v>1451</v>
      </c>
      <c r="J1311" s="418"/>
      <c r="K1311" s="248"/>
      <c r="M1311" s="366"/>
      <c r="AF1311">
        <v>64</v>
      </c>
    </row>
    <row r="1312" spans="1:32" x14ac:dyDescent="0.25">
      <c r="A1312" s="308">
        <v>45357</v>
      </c>
      <c r="B1312" s="416">
        <v>1271790</v>
      </c>
      <c r="C1312" s="413" t="str">
        <f>IFERROR(INDEX(Table14[],MATCH($B1312,Table14[SAPNo],0),3),"")</f>
        <v xml:space="preserve">1613 CT170 18-60 </v>
      </c>
      <c r="D1312" s="306"/>
      <c r="E1312" s="421">
        <v>53</v>
      </c>
      <c r="F1312" s="421"/>
      <c r="G1312" s="420" t="s">
        <v>1549</v>
      </c>
      <c r="H1312" s="598">
        <v>14127576</v>
      </c>
      <c r="I1312" s="322" t="s">
        <v>1451</v>
      </c>
      <c r="J1312" s="418"/>
      <c r="K1312" s="248"/>
      <c r="M1312" s="366"/>
      <c r="AF1312">
        <v>53</v>
      </c>
    </row>
    <row r="1313" spans="1:32" x14ac:dyDescent="0.25">
      <c r="A1313" s="308">
        <v>45357</v>
      </c>
      <c r="B1313" s="416">
        <v>1146737</v>
      </c>
      <c r="C1313" s="413" t="str">
        <f>IFERROR(INDEX(Table14[],MATCH($B1313,Table14[SAPNo],0),3),"")</f>
        <v>1613 CT418 18-60</v>
      </c>
      <c r="D1313" s="306"/>
      <c r="E1313" s="421">
        <v>39</v>
      </c>
      <c r="F1313" s="421"/>
      <c r="G1313" s="420" t="s">
        <v>1549</v>
      </c>
      <c r="H1313" s="598">
        <v>14127576</v>
      </c>
      <c r="I1313" s="322" t="s">
        <v>1451</v>
      </c>
      <c r="J1313" s="418"/>
      <c r="K1313" s="248"/>
      <c r="M1313" s="366"/>
      <c r="AF1313">
        <v>39</v>
      </c>
    </row>
    <row r="1314" spans="1:32" x14ac:dyDescent="0.25">
      <c r="A1314" s="308">
        <v>45357</v>
      </c>
      <c r="B1314" s="416">
        <v>647435</v>
      </c>
      <c r="C1314" s="413" t="str">
        <f>IFERROR(INDEX(Table14[],MATCH($B1314,Table14[SAPNo],0),3),"")</f>
        <v>Round 1608 CT200  0.018" (B)</v>
      </c>
      <c r="D1314" s="306"/>
      <c r="E1314" s="421">
        <v>16</v>
      </c>
      <c r="F1314" s="421"/>
      <c r="G1314" s="420" t="s">
        <v>1549</v>
      </c>
      <c r="H1314" s="598">
        <v>14127576</v>
      </c>
      <c r="I1314" s="322" t="s">
        <v>1451</v>
      </c>
      <c r="J1314" s="418"/>
      <c r="K1314" s="248"/>
      <c r="M1314" s="366"/>
      <c r="AF1314">
        <v>16</v>
      </c>
    </row>
    <row r="1315" spans="1:32" x14ac:dyDescent="0.25">
      <c r="A1315" s="308">
        <v>45357</v>
      </c>
      <c r="B1315" s="416">
        <v>418525</v>
      </c>
      <c r="C1315" s="413" t="str">
        <f>IFERROR(INDEX(Table14[],MATCH($B1315,Table14[SAPNo],0),3),"")</f>
        <v>Drop In 1308 CT31   (B)</v>
      </c>
      <c r="D1315" s="306"/>
      <c r="E1315" s="421">
        <v>8</v>
      </c>
      <c r="F1315" s="421"/>
      <c r="G1315" s="420" t="s">
        <v>1549</v>
      </c>
      <c r="H1315" s="598">
        <v>14127576</v>
      </c>
      <c r="I1315" s="322" t="s">
        <v>1451</v>
      </c>
      <c r="J1315" s="418"/>
      <c r="K1315" s="248"/>
      <c r="M1315" s="366"/>
      <c r="AF1315">
        <v>8</v>
      </c>
    </row>
    <row r="1316" spans="1:32" x14ac:dyDescent="0.25">
      <c r="A1316" s="308">
        <v>45358</v>
      </c>
      <c r="B1316" s="416">
        <v>1271790</v>
      </c>
      <c r="C1316" s="413" t="str">
        <f>IFERROR(INDEX(Table14[],MATCH($B1316,Table14[SAPNo],0),3),"")</f>
        <v xml:space="preserve">1613 CT170 18-60 </v>
      </c>
      <c r="D1316" s="306"/>
      <c r="E1316" s="421">
        <v>17</v>
      </c>
      <c r="F1316" s="421"/>
      <c r="G1316" s="417" t="s">
        <v>1550</v>
      </c>
      <c r="H1316" s="598">
        <v>14127563</v>
      </c>
      <c r="I1316" s="322" t="s">
        <v>1497</v>
      </c>
      <c r="J1316" s="418"/>
      <c r="K1316" s="248"/>
      <c r="M1316" s="366"/>
      <c r="AF1316">
        <v>17</v>
      </c>
    </row>
    <row r="1317" spans="1:32" x14ac:dyDescent="0.25">
      <c r="A1317" s="308">
        <v>45358</v>
      </c>
      <c r="B1317" s="416">
        <v>1078377</v>
      </c>
      <c r="C1317" s="413" t="str">
        <f>IFERROR(INDEX(Table14[],MATCH($B1317,Table14[SAPNo],0),3),"")</f>
        <v>13MM CT221 R1</v>
      </c>
      <c r="D1317" s="306"/>
      <c r="E1317" s="421">
        <v>15</v>
      </c>
      <c r="F1317" s="421"/>
      <c r="G1317" s="417" t="s">
        <v>1550</v>
      </c>
      <c r="H1317" s="598">
        <v>14127563</v>
      </c>
      <c r="I1317" s="322" t="s">
        <v>1497</v>
      </c>
      <c r="J1317" s="418"/>
      <c r="K1317" s="248"/>
      <c r="M1317" s="366"/>
      <c r="AF1317">
        <v>15</v>
      </c>
    </row>
    <row r="1318" spans="1:32" x14ac:dyDescent="0.25">
      <c r="A1318" s="308">
        <v>45358</v>
      </c>
      <c r="B1318" s="419">
        <v>1208601</v>
      </c>
      <c r="C1318" s="413" t="str">
        <f>IFERROR(INDEX(Table14[],MATCH($B1318,Table14[SAPNo],0),3),"")</f>
        <v>1613 CT418 U-60</v>
      </c>
      <c r="D1318" s="306"/>
      <c r="E1318" s="421">
        <v>8</v>
      </c>
      <c r="F1318" s="421"/>
      <c r="G1318" s="420" t="s">
        <v>1550</v>
      </c>
      <c r="H1318" s="599">
        <v>14127563</v>
      </c>
      <c r="I1318" s="322" t="s">
        <v>1497</v>
      </c>
      <c r="J1318" s="421"/>
      <c r="K1318" s="422"/>
      <c r="M1318" s="366"/>
      <c r="AF1318">
        <v>8</v>
      </c>
    </row>
    <row r="1319" spans="1:32" x14ac:dyDescent="0.25">
      <c r="A1319" s="308">
        <v>45358</v>
      </c>
      <c r="B1319" s="416">
        <v>418525</v>
      </c>
      <c r="C1319" s="413" t="str">
        <f>IFERROR(INDEX(Table14[],MATCH($B1319,Table14[SAPNo],0),3),"")</f>
        <v>Drop In 1308 CT31   (B)</v>
      </c>
      <c r="D1319" s="306"/>
      <c r="E1319" s="421">
        <v>6</v>
      </c>
      <c r="F1319" s="421"/>
      <c r="G1319" s="417" t="s">
        <v>1550</v>
      </c>
      <c r="H1319" s="598">
        <v>14127563</v>
      </c>
      <c r="I1319" s="322" t="s">
        <v>1497</v>
      </c>
      <c r="J1319" s="418"/>
      <c r="K1319" s="248"/>
      <c r="M1319" s="422"/>
      <c r="AF1319">
        <v>6</v>
      </c>
    </row>
    <row r="1320" spans="1:32" x14ac:dyDescent="0.25">
      <c r="A1320" s="308">
        <v>45358</v>
      </c>
      <c r="B1320" s="416">
        <v>1146737</v>
      </c>
      <c r="C1320" s="413" t="str">
        <f>IFERROR(INDEX(Table14[],MATCH($B1320,Table14[SAPNo],0),3),"")</f>
        <v>1613 CT418 18-60</v>
      </c>
      <c r="D1320" s="306"/>
      <c r="E1320" s="421">
        <v>6</v>
      </c>
      <c r="F1320" s="421"/>
      <c r="G1320" s="417" t="s">
        <v>1550</v>
      </c>
      <c r="H1320" s="598">
        <v>14127563</v>
      </c>
      <c r="I1320" s="322" t="s">
        <v>1497</v>
      </c>
      <c r="J1320" s="418"/>
      <c r="K1320" s="248"/>
      <c r="M1320" s="366"/>
      <c r="AF1320">
        <v>6</v>
      </c>
    </row>
    <row r="1321" spans="1:32" x14ac:dyDescent="0.25">
      <c r="A1321" s="308">
        <v>45358</v>
      </c>
      <c r="B1321" s="416">
        <v>1145493</v>
      </c>
      <c r="C1321" s="413" t="str">
        <f>IFERROR(INDEX(Table14[],MATCH($B1321,Table14[SAPNo],0),3),"")</f>
        <v>Round 1313 CT427  10C (S)</v>
      </c>
      <c r="D1321" s="306"/>
      <c r="E1321" s="421">
        <v>16</v>
      </c>
      <c r="F1321" s="421"/>
      <c r="G1321" s="417" t="s">
        <v>1551</v>
      </c>
      <c r="H1321" s="598">
        <v>14012908</v>
      </c>
      <c r="I1321" s="322" t="s">
        <v>1552</v>
      </c>
      <c r="J1321" s="418"/>
      <c r="K1321" s="248"/>
      <c r="M1321" s="366"/>
      <c r="AF1321">
        <v>16</v>
      </c>
    </row>
    <row r="1322" spans="1:32" x14ac:dyDescent="0.25">
      <c r="A1322" s="308">
        <v>45358</v>
      </c>
      <c r="B1322" s="416">
        <v>1209332</v>
      </c>
      <c r="C1322" s="413" t="str">
        <f>IFERROR(INDEX(Table14[],MATCH($B1322,Table14[SAPNo],0),3),"")</f>
        <v>1313 CT147G U</v>
      </c>
      <c r="D1322" s="306"/>
      <c r="E1322" s="421">
        <v>7</v>
      </c>
      <c r="F1322" s="421"/>
      <c r="G1322" s="417" t="s">
        <v>1551</v>
      </c>
      <c r="H1322" s="598">
        <v>14012908</v>
      </c>
      <c r="I1322" s="322" t="s">
        <v>1552</v>
      </c>
      <c r="J1322" s="418"/>
      <c r="K1322" s="248"/>
      <c r="M1322" s="366"/>
      <c r="AF1322">
        <v>7</v>
      </c>
    </row>
    <row r="1323" spans="1:32" x14ac:dyDescent="0.25">
      <c r="A1323" s="308">
        <v>45358</v>
      </c>
      <c r="B1323" s="416">
        <v>1145493</v>
      </c>
      <c r="C1323" s="413" t="str">
        <f>IFERROR(INDEX(Table14[],MATCH($B1323,Table14[SAPNo],0),3),"")</f>
        <v>Round 1313 CT427  10C (S)</v>
      </c>
      <c r="D1323" s="306"/>
      <c r="E1323" s="421"/>
      <c r="F1323" s="421"/>
      <c r="G1323" s="417">
        <v>20241034</v>
      </c>
      <c r="H1323" s="598" t="s">
        <v>1553</v>
      </c>
      <c r="I1323" s="322" t="s">
        <v>1527</v>
      </c>
      <c r="J1323" s="418">
        <v>4</v>
      </c>
      <c r="K1323" s="248"/>
      <c r="M1323" s="366"/>
    </row>
    <row r="1324" spans="1:32" x14ac:dyDescent="0.25">
      <c r="A1324" s="308">
        <v>45358</v>
      </c>
      <c r="B1324" s="416">
        <v>907609</v>
      </c>
      <c r="C1324" s="413" t="str">
        <f>IFERROR(INDEX(Table14[],MATCH($B1324,Table14[SAPNo],0),3),"")</f>
        <v>Round 1313 CT125 GEDB 10C (S)</v>
      </c>
      <c r="D1324" s="306"/>
      <c r="E1324" s="421"/>
      <c r="F1324" s="421"/>
      <c r="G1324" s="417">
        <v>20241035</v>
      </c>
      <c r="H1324" s="598" t="s">
        <v>1554</v>
      </c>
      <c r="I1324" s="322" t="s">
        <v>1503</v>
      </c>
      <c r="J1324" s="418">
        <v>1</v>
      </c>
      <c r="K1324" s="248"/>
      <c r="M1324" s="366"/>
    </row>
    <row r="1325" spans="1:32" x14ac:dyDescent="0.25">
      <c r="A1325" s="308">
        <v>45358</v>
      </c>
      <c r="B1325" s="416">
        <v>418525</v>
      </c>
      <c r="C1325" s="413" t="str">
        <f>IFERROR(INDEX(Table14[],MATCH($B1325,Table14[SAPNo],0),3),"")</f>
        <v>Drop In 1308 CT31   (B)</v>
      </c>
      <c r="D1325" s="306"/>
      <c r="E1325" s="421">
        <v>3</v>
      </c>
      <c r="F1325" s="421"/>
      <c r="G1325" s="417">
        <v>20241035</v>
      </c>
      <c r="H1325" s="598" t="s">
        <v>1554</v>
      </c>
      <c r="I1325" s="322" t="s">
        <v>1503</v>
      </c>
      <c r="J1325" s="418"/>
      <c r="K1325" s="248"/>
      <c r="M1325" s="366"/>
      <c r="AF1325">
        <v>3</v>
      </c>
    </row>
    <row r="1326" spans="1:32" x14ac:dyDescent="0.25">
      <c r="A1326" s="308">
        <v>45358</v>
      </c>
      <c r="B1326" s="416">
        <v>1145493</v>
      </c>
      <c r="C1326" s="413" t="str">
        <f>IFERROR(INDEX(Table14[],MATCH($B1326,Table14[SAPNo],0),3),"")</f>
        <v>Round 1313 CT427  10C (S)</v>
      </c>
      <c r="D1326" s="306"/>
      <c r="E1326" s="421"/>
      <c r="F1326" s="421"/>
      <c r="G1326" s="417">
        <v>20241035</v>
      </c>
      <c r="H1326" s="598" t="s">
        <v>1554</v>
      </c>
      <c r="I1326" s="322" t="s">
        <v>1503</v>
      </c>
      <c r="J1326" s="418">
        <v>1</v>
      </c>
      <c r="K1326" s="248"/>
      <c r="M1326" s="366"/>
    </row>
    <row r="1327" spans="1:32" x14ac:dyDescent="0.25">
      <c r="A1327" s="308">
        <v>45361</v>
      </c>
      <c r="B1327" s="416">
        <v>418525</v>
      </c>
      <c r="C1327" s="413" t="str">
        <f>IFERROR(INDEX(Table14[],MATCH($B1327,Table14[SAPNo],0),3),"")</f>
        <v>Drop In 1308 CT31   (B)</v>
      </c>
      <c r="D1327" s="306"/>
      <c r="E1327" s="421">
        <v>1</v>
      </c>
      <c r="F1327" s="421"/>
      <c r="G1327" s="417" t="s">
        <v>1555</v>
      </c>
      <c r="H1327" s="598">
        <v>14127563</v>
      </c>
      <c r="I1327" s="322" t="s">
        <v>1497</v>
      </c>
      <c r="J1327" s="418"/>
      <c r="K1327" s="248"/>
      <c r="M1327" s="422"/>
      <c r="AF1327">
        <v>1</v>
      </c>
    </row>
    <row r="1328" spans="1:32" x14ac:dyDescent="0.25">
      <c r="A1328" s="308">
        <v>45361</v>
      </c>
      <c r="B1328" s="416">
        <v>418525</v>
      </c>
      <c r="C1328" s="413" t="str">
        <f>IFERROR(INDEX(Table14[],MATCH($B1328,Table14[SAPNo],0),3),"")</f>
        <v>Drop In 1308 CT31   (B)</v>
      </c>
      <c r="D1328" s="306"/>
      <c r="E1328" s="421">
        <v>2</v>
      </c>
      <c r="F1328" s="421"/>
      <c r="G1328" s="417">
        <v>20241028</v>
      </c>
      <c r="H1328" s="598" t="s">
        <v>1556</v>
      </c>
      <c r="I1328" s="322" t="s">
        <v>1557</v>
      </c>
      <c r="J1328" s="418"/>
      <c r="K1328" s="248"/>
      <c r="M1328" s="422"/>
      <c r="AF1328">
        <v>2</v>
      </c>
    </row>
    <row r="1329" spans="1:32" x14ac:dyDescent="0.25">
      <c r="A1329" s="320">
        <v>45361</v>
      </c>
      <c r="B1329" s="419">
        <v>802064</v>
      </c>
      <c r="C1329" s="413" t="str">
        <f>IFERROR(INDEX(Table14[],MATCH($B1329,Table14[SAPNo],0),3),"")</f>
        <v>Round 1308 CT97  10C (P)</v>
      </c>
      <c r="D1329" s="306"/>
      <c r="E1329" s="421"/>
      <c r="F1329" s="421"/>
      <c r="G1329" s="420">
        <v>20241028</v>
      </c>
      <c r="H1329" s="599" t="s">
        <v>1556</v>
      </c>
      <c r="I1329" s="322" t="s">
        <v>1557</v>
      </c>
      <c r="J1329" s="421">
        <v>2</v>
      </c>
      <c r="K1329" s="422"/>
      <c r="M1329" s="366"/>
    </row>
    <row r="1330" spans="1:32" x14ac:dyDescent="0.25">
      <c r="A1330" s="320">
        <v>45362</v>
      </c>
      <c r="B1330" s="416">
        <v>1234679</v>
      </c>
      <c r="C1330" s="413" t="str">
        <f>IFERROR(INDEX(Table14[],MATCH($B1330,Table14[SAPNo],0),3),"")</f>
        <v>1613 CT164R U</v>
      </c>
      <c r="D1330" s="306"/>
      <c r="E1330" s="421">
        <v>30</v>
      </c>
      <c r="F1330" s="421"/>
      <c r="G1330" s="417" t="s">
        <v>1558</v>
      </c>
      <c r="H1330" s="598">
        <v>14081905</v>
      </c>
      <c r="I1330" s="322" t="s">
        <v>1535</v>
      </c>
      <c r="J1330" s="418"/>
      <c r="K1330" s="248"/>
      <c r="M1330" s="422"/>
      <c r="AF1330">
        <v>30</v>
      </c>
    </row>
    <row r="1331" spans="1:32" x14ac:dyDescent="0.25">
      <c r="A1331" s="320">
        <v>45362</v>
      </c>
      <c r="B1331" s="416">
        <v>1208601</v>
      </c>
      <c r="C1331" s="413" t="str">
        <f>IFERROR(INDEX(Table14[],MATCH($B1331,Table14[SAPNo],0),3),"")</f>
        <v>1613 CT418 U-60</v>
      </c>
      <c r="D1331" s="306"/>
      <c r="E1331" s="421">
        <v>11</v>
      </c>
      <c r="F1331" s="421"/>
      <c r="G1331" s="417" t="s">
        <v>1558</v>
      </c>
      <c r="H1331" s="598">
        <v>14081905</v>
      </c>
      <c r="I1331" s="322" t="s">
        <v>1535</v>
      </c>
      <c r="J1331" s="418"/>
      <c r="K1331" s="248"/>
      <c r="M1331" s="366"/>
      <c r="AF1331">
        <v>11</v>
      </c>
    </row>
    <row r="1332" spans="1:32" x14ac:dyDescent="0.25">
      <c r="A1332" s="320">
        <v>45362</v>
      </c>
      <c r="B1332" s="416">
        <v>871781</v>
      </c>
      <c r="C1332" s="413" t="str">
        <f>IFERROR(INDEX(Table14[],MATCH($B1332,Table14[SAPNo],0),3),"")</f>
        <v>Round 1313 CT200  0.018" (B)</v>
      </c>
      <c r="D1332" s="306"/>
      <c r="E1332" s="421">
        <v>7</v>
      </c>
      <c r="F1332" s="421"/>
      <c r="G1332" s="417" t="s">
        <v>1558</v>
      </c>
      <c r="H1332" s="598">
        <v>14081905</v>
      </c>
      <c r="I1332" s="322" t="s">
        <v>1535</v>
      </c>
      <c r="J1332" s="418"/>
      <c r="K1332" s="248"/>
      <c r="M1332" s="366"/>
      <c r="AF1332">
        <v>7</v>
      </c>
    </row>
    <row r="1333" spans="1:32" x14ac:dyDescent="0.25">
      <c r="A1333" s="320">
        <v>45362</v>
      </c>
      <c r="B1333" s="416">
        <v>625854</v>
      </c>
      <c r="C1333" s="413" t="str">
        <f>IFERROR(INDEX(Table14[],MATCH($B1333,Table14[SAPNo],0),3),"")</f>
        <v>Carbide IA 1318    (C)</v>
      </c>
      <c r="D1333" s="306"/>
      <c r="E1333" s="421">
        <v>6</v>
      </c>
      <c r="F1333" s="421"/>
      <c r="G1333" s="417" t="s">
        <v>1558</v>
      </c>
      <c r="H1333" s="598">
        <v>14081905</v>
      </c>
      <c r="I1333" s="322" t="s">
        <v>1535</v>
      </c>
      <c r="J1333" s="418"/>
      <c r="K1333" s="248"/>
      <c r="M1333" s="366"/>
      <c r="AF1333">
        <v>6</v>
      </c>
    </row>
    <row r="1334" spans="1:32" x14ac:dyDescent="0.25">
      <c r="A1334" s="320">
        <v>45362</v>
      </c>
      <c r="B1334" s="416">
        <v>1130198</v>
      </c>
      <c r="C1334" s="413" t="str">
        <f>IFERROR(INDEX(Table14[],MATCH($B1334,Table14[SAPNo],0),3),"")</f>
        <v>Round 1613 CT182  0.018" (S)</v>
      </c>
      <c r="D1334" s="306"/>
      <c r="E1334" s="421">
        <v>29</v>
      </c>
      <c r="F1334" s="421"/>
      <c r="G1334" s="417" t="s">
        <v>1558</v>
      </c>
      <c r="H1334" s="598">
        <v>14081905</v>
      </c>
      <c r="I1334" s="322" t="s">
        <v>1535</v>
      </c>
      <c r="J1334" s="418"/>
      <c r="K1334" s="248"/>
      <c r="M1334" s="366"/>
      <c r="AF1334">
        <v>29</v>
      </c>
    </row>
    <row r="1335" spans="1:32" x14ac:dyDescent="0.25">
      <c r="A1335" s="320">
        <v>45362</v>
      </c>
      <c r="B1335" s="419">
        <v>1163820</v>
      </c>
      <c r="C1335" s="413" t="str">
        <f>IFERROR(INDEX(Table14[],MATCH($B1335,Table14[SAPNo],0),3),"")</f>
        <v>1613 CT156 0.018"</v>
      </c>
      <c r="D1335" s="306"/>
      <c r="E1335" s="421">
        <v>6</v>
      </c>
      <c r="F1335" s="421"/>
      <c r="G1335" s="417" t="s">
        <v>1558</v>
      </c>
      <c r="H1335" s="599">
        <v>14081905</v>
      </c>
      <c r="I1335" s="322" t="s">
        <v>1535</v>
      </c>
      <c r="J1335" s="421"/>
      <c r="K1335" s="422"/>
      <c r="M1335" s="366"/>
      <c r="AF1335">
        <v>6</v>
      </c>
    </row>
    <row r="1336" spans="1:32" x14ac:dyDescent="0.25">
      <c r="A1336" s="320">
        <v>45363</v>
      </c>
      <c r="B1336" s="416">
        <v>1234679</v>
      </c>
      <c r="C1336" s="413" t="str">
        <f>IFERROR(INDEX(Table14[],MATCH($B1336,Table14[SAPNo],0),3),"")</f>
        <v>1613 CT164R U</v>
      </c>
      <c r="D1336" s="306"/>
      <c r="E1336" s="421">
        <v>30</v>
      </c>
      <c r="F1336" s="421"/>
      <c r="G1336" s="420" t="s">
        <v>1559</v>
      </c>
      <c r="H1336" s="599">
        <v>14081906</v>
      </c>
      <c r="I1336" s="322" t="s">
        <v>1535</v>
      </c>
      <c r="J1336" s="421"/>
      <c r="K1336" s="422"/>
      <c r="M1336" s="422"/>
      <c r="AF1336">
        <v>30</v>
      </c>
    </row>
    <row r="1337" spans="1:32" x14ac:dyDescent="0.25">
      <c r="A1337" s="320">
        <v>45363</v>
      </c>
      <c r="B1337" s="416">
        <v>1208601</v>
      </c>
      <c r="C1337" s="413" t="str">
        <f>IFERROR(INDEX(Table14[],MATCH($B1337,Table14[SAPNo],0),3),"")</f>
        <v>1613 CT418 U-60</v>
      </c>
      <c r="D1337" s="306"/>
      <c r="E1337" s="421">
        <v>11</v>
      </c>
      <c r="F1337" s="421"/>
      <c r="G1337" s="417" t="s">
        <v>1559</v>
      </c>
      <c r="H1337" s="598">
        <v>14081906</v>
      </c>
      <c r="I1337" s="322" t="s">
        <v>1535</v>
      </c>
      <c r="J1337" s="418"/>
      <c r="K1337" s="248"/>
      <c r="M1337" s="422"/>
      <c r="AF1337">
        <v>11</v>
      </c>
    </row>
    <row r="1338" spans="1:32" x14ac:dyDescent="0.25">
      <c r="A1338" s="320">
        <v>45363</v>
      </c>
      <c r="B1338" s="416">
        <v>871781</v>
      </c>
      <c r="C1338" s="413" t="str">
        <f>IFERROR(INDEX(Table14[],MATCH($B1338,Table14[SAPNo],0),3),"")</f>
        <v>Round 1313 CT200  0.018" (B)</v>
      </c>
      <c r="D1338" s="306"/>
      <c r="E1338" s="421">
        <v>7</v>
      </c>
      <c r="F1338" s="421"/>
      <c r="G1338" s="417" t="s">
        <v>1559</v>
      </c>
      <c r="H1338" s="598">
        <v>14081906</v>
      </c>
      <c r="I1338" s="322" t="s">
        <v>1535</v>
      </c>
      <c r="J1338" s="418"/>
      <c r="K1338" s="248"/>
      <c r="M1338" s="366"/>
      <c r="AF1338">
        <v>7</v>
      </c>
    </row>
    <row r="1339" spans="1:32" x14ac:dyDescent="0.25">
      <c r="A1339" s="320">
        <v>45363</v>
      </c>
      <c r="B1339" s="416">
        <v>625854</v>
      </c>
      <c r="C1339" s="413" t="str">
        <f>IFERROR(INDEX(Table14[],MATCH($B1339,Table14[SAPNo],0),3),"")</f>
        <v>Carbide IA 1318    (C)</v>
      </c>
      <c r="D1339" s="306"/>
      <c r="E1339" s="421">
        <v>6</v>
      </c>
      <c r="F1339" s="421"/>
      <c r="G1339" s="417" t="s">
        <v>1559</v>
      </c>
      <c r="H1339" s="598">
        <v>14081906</v>
      </c>
      <c r="I1339" s="322" t="s">
        <v>1535</v>
      </c>
      <c r="J1339" s="418"/>
      <c r="K1339" s="248"/>
      <c r="M1339" s="366"/>
      <c r="AF1339">
        <v>6</v>
      </c>
    </row>
    <row r="1340" spans="1:32" x14ac:dyDescent="0.25">
      <c r="A1340" s="320">
        <v>45363</v>
      </c>
      <c r="B1340" s="416">
        <v>1130198</v>
      </c>
      <c r="C1340" s="413" t="str">
        <f>IFERROR(INDEX(Table14[],MATCH($B1340,Table14[SAPNo],0),3),"")</f>
        <v>Round 1613 CT182  0.018" (S)</v>
      </c>
      <c r="D1340" s="306"/>
      <c r="E1340" s="421">
        <v>29</v>
      </c>
      <c r="F1340" s="421"/>
      <c r="G1340" s="417" t="s">
        <v>1559</v>
      </c>
      <c r="H1340" s="598">
        <v>14081906</v>
      </c>
      <c r="I1340" s="322" t="s">
        <v>1535</v>
      </c>
      <c r="J1340" s="418"/>
      <c r="K1340" s="248"/>
      <c r="M1340" s="366"/>
      <c r="AF1340">
        <v>29</v>
      </c>
    </row>
    <row r="1341" spans="1:32" x14ac:dyDescent="0.25">
      <c r="A1341" s="320">
        <v>45363</v>
      </c>
      <c r="B1341" s="419">
        <v>1163820</v>
      </c>
      <c r="C1341" s="413" t="str">
        <f>IFERROR(INDEX(Table14[],MATCH($B1341,Table14[SAPNo],0),3),"")</f>
        <v>1613 CT156 0.018"</v>
      </c>
      <c r="D1341" s="306"/>
      <c r="E1341" s="421">
        <v>6</v>
      </c>
      <c r="F1341" s="421"/>
      <c r="G1341" s="420" t="s">
        <v>1559</v>
      </c>
      <c r="H1341" s="599">
        <v>14081906</v>
      </c>
      <c r="I1341" s="322" t="s">
        <v>1535</v>
      </c>
      <c r="J1341" s="421"/>
      <c r="K1341" s="422"/>
      <c r="M1341" s="366"/>
      <c r="AF1341">
        <v>6</v>
      </c>
    </row>
    <row r="1342" spans="1:32" x14ac:dyDescent="0.25">
      <c r="A1342" s="320">
        <v>45363</v>
      </c>
      <c r="B1342" s="419">
        <v>717748</v>
      </c>
      <c r="C1342" s="413" t="str">
        <f>IFERROR(INDEX(Table14[],MATCH($B1342,Table14[SAPNo],0),3),"")</f>
        <v>Round 1010 CT200  0.018" (B)</v>
      </c>
      <c r="D1342" s="306"/>
      <c r="E1342" s="421"/>
      <c r="F1342" s="421"/>
      <c r="G1342" s="420">
        <v>20241036</v>
      </c>
      <c r="H1342" s="599" t="s">
        <v>1560</v>
      </c>
      <c r="I1342" s="322" t="s">
        <v>1525</v>
      </c>
      <c r="J1342" s="421">
        <v>7</v>
      </c>
      <c r="K1342" s="422"/>
      <c r="M1342" s="422"/>
    </row>
    <row r="1343" spans="1:32" x14ac:dyDescent="0.25">
      <c r="A1343" s="320">
        <v>45364</v>
      </c>
      <c r="B1343" s="416">
        <v>1130198</v>
      </c>
      <c r="C1343" s="413" t="str">
        <f>IFERROR(INDEX(Table14[],MATCH($B1343,Table14[SAPNo],0),3),"")</f>
        <v>Round 1613 CT182  0.018" (S)</v>
      </c>
      <c r="D1343" s="306"/>
      <c r="E1343" s="421">
        <v>136</v>
      </c>
      <c r="F1343" s="421"/>
      <c r="G1343" s="420" t="s">
        <v>1561</v>
      </c>
      <c r="H1343" s="598">
        <v>14081145</v>
      </c>
      <c r="I1343" s="322" t="s">
        <v>1562</v>
      </c>
      <c r="J1343" s="418"/>
      <c r="K1343" s="248"/>
      <c r="M1343" s="422"/>
      <c r="AF1343">
        <v>136</v>
      </c>
    </row>
    <row r="1344" spans="1:32" x14ac:dyDescent="0.25">
      <c r="A1344" s="308">
        <v>45364</v>
      </c>
      <c r="B1344" s="416">
        <v>418525</v>
      </c>
      <c r="C1344" s="413" t="str">
        <f>IFERROR(INDEX(Table14[],MATCH($B1344,Table14[SAPNo],0),3),"")</f>
        <v>Drop In 1308 CT31   (B)</v>
      </c>
      <c r="D1344" s="306"/>
      <c r="E1344" s="421">
        <v>8</v>
      </c>
      <c r="F1344" s="421"/>
      <c r="G1344" s="420" t="s">
        <v>1561</v>
      </c>
      <c r="H1344" s="598">
        <v>14081145</v>
      </c>
      <c r="I1344" s="322" t="s">
        <v>1562</v>
      </c>
      <c r="J1344" s="418"/>
      <c r="K1344" s="248"/>
      <c r="M1344" s="422"/>
      <c r="AF1344">
        <v>8</v>
      </c>
    </row>
    <row r="1345" spans="1:32" x14ac:dyDescent="0.25">
      <c r="A1345" s="308">
        <v>45364</v>
      </c>
      <c r="B1345" s="416">
        <v>729691</v>
      </c>
      <c r="C1345" s="413" t="str">
        <f>IFERROR(INDEX(Table14[],MATCH($B1345,Table14[SAPNo],0),3),"")</f>
        <v>Round 1613 CT82  0.018" (S)</v>
      </c>
      <c r="D1345" s="306"/>
      <c r="E1345" s="421"/>
      <c r="F1345" s="421"/>
      <c r="G1345" s="420" t="s">
        <v>1563</v>
      </c>
      <c r="H1345" s="598">
        <v>14081145</v>
      </c>
      <c r="I1345" s="322" t="s">
        <v>1562</v>
      </c>
      <c r="J1345" s="418"/>
      <c r="K1345" s="248" t="s">
        <v>1564</v>
      </c>
      <c r="M1345" s="366"/>
    </row>
    <row r="1346" spans="1:32" x14ac:dyDescent="0.25">
      <c r="A1346" s="308">
        <v>45364</v>
      </c>
      <c r="B1346" s="416">
        <v>1271790</v>
      </c>
      <c r="C1346" s="413" t="str">
        <f>IFERROR(INDEX(Table14[],MATCH($B1346,Table14[SAPNo],0),3),"")</f>
        <v xml:space="preserve">1613 CT170 18-60 </v>
      </c>
      <c r="D1346" s="306"/>
      <c r="E1346" s="421">
        <v>17</v>
      </c>
      <c r="F1346" s="421"/>
      <c r="G1346" s="420" t="s">
        <v>1565</v>
      </c>
      <c r="H1346" s="598">
        <v>14137153</v>
      </c>
      <c r="I1346" s="322" t="s">
        <v>1497</v>
      </c>
      <c r="J1346" s="418"/>
      <c r="K1346" s="248"/>
      <c r="M1346" s="366"/>
      <c r="AF1346">
        <v>17</v>
      </c>
    </row>
    <row r="1347" spans="1:32" x14ac:dyDescent="0.25">
      <c r="A1347" s="308">
        <v>45364</v>
      </c>
      <c r="B1347" s="416">
        <v>1078377</v>
      </c>
      <c r="C1347" s="413" t="str">
        <f>IFERROR(INDEX(Table14[],MATCH($B1347,Table14[SAPNo],0),3),"")</f>
        <v>13MM CT221 R1</v>
      </c>
      <c r="D1347" s="306"/>
      <c r="E1347" s="421">
        <v>15</v>
      </c>
      <c r="F1347" s="421"/>
      <c r="G1347" s="420" t="s">
        <v>1565</v>
      </c>
      <c r="H1347" s="598">
        <v>14137153</v>
      </c>
      <c r="I1347" s="322" t="s">
        <v>1497</v>
      </c>
      <c r="J1347" s="418"/>
      <c r="K1347" s="248"/>
      <c r="M1347" s="366"/>
      <c r="AF1347">
        <v>15</v>
      </c>
    </row>
    <row r="1348" spans="1:32" x14ac:dyDescent="0.25">
      <c r="A1348" s="308">
        <v>45364</v>
      </c>
      <c r="B1348" s="416">
        <v>1208601</v>
      </c>
      <c r="C1348" s="413" t="str">
        <f>IFERROR(INDEX(Table14[],MATCH($B1348,Table14[SAPNo],0),3),"")</f>
        <v>1613 CT418 U-60</v>
      </c>
      <c r="D1348" s="306"/>
      <c r="E1348" s="421">
        <v>8</v>
      </c>
      <c r="F1348" s="421"/>
      <c r="G1348" s="420" t="s">
        <v>1565</v>
      </c>
      <c r="H1348" s="598">
        <v>14137153</v>
      </c>
      <c r="I1348" s="322" t="s">
        <v>1497</v>
      </c>
      <c r="J1348" s="418"/>
      <c r="K1348" s="248"/>
      <c r="M1348" s="366"/>
      <c r="AF1348">
        <v>8</v>
      </c>
    </row>
    <row r="1349" spans="1:32" x14ac:dyDescent="0.25">
      <c r="A1349" s="308">
        <v>45364</v>
      </c>
      <c r="B1349" s="416">
        <v>418525</v>
      </c>
      <c r="C1349" s="413" t="str">
        <f>IFERROR(INDEX(Table14[],MATCH($B1349,Table14[SAPNo],0),3),"")</f>
        <v>Drop In 1308 CT31   (B)</v>
      </c>
      <c r="D1349" s="306"/>
      <c r="E1349" s="421">
        <v>6</v>
      </c>
      <c r="F1349" s="421"/>
      <c r="G1349" s="420" t="s">
        <v>1565</v>
      </c>
      <c r="H1349" s="598">
        <v>14137153</v>
      </c>
      <c r="I1349" s="322" t="s">
        <v>1497</v>
      </c>
      <c r="J1349" s="418"/>
      <c r="K1349" s="248"/>
      <c r="M1349" s="366"/>
      <c r="AF1349">
        <v>6</v>
      </c>
    </row>
    <row r="1350" spans="1:32" x14ac:dyDescent="0.25">
      <c r="A1350" s="308">
        <v>45364</v>
      </c>
      <c r="B1350" s="416">
        <v>1146737</v>
      </c>
      <c r="C1350" s="413" t="str">
        <f>IFERROR(INDEX(Table14[],MATCH($B1350,Table14[SAPNo],0),3),"")</f>
        <v>1613 CT418 18-60</v>
      </c>
      <c r="D1350" s="306"/>
      <c r="E1350" s="421">
        <v>6</v>
      </c>
      <c r="F1350" s="421"/>
      <c r="G1350" s="420" t="s">
        <v>1565</v>
      </c>
      <c r="H1350" s="598">
        <v>14137153</v>
      </c>
      <c r="I1350" s="322" t="s">
        <v>1497</v>
      </c>
      <c r="J1350" s="418"/>
      <c r="K1350" s="248"/>
      <c r="M1350" s="366"/>
      <c r="AF1350">
        <v>6</v>
      </c>
    </row>
    <row r="1351" spans="1:32" x14ac:dyDescent="0.25">
      <c r="A1351" s="308">
        <v>45365</v>
      </c>
      <c r="B1351" s="416">
        <v>1100755</v>
      </c>
      <c r="C1351" s="413" t="str">
        <f>IFERROR(INDEX(Table14[],MATCH($B1351,Table14[SAPNo],0),3),"")</f>
        <v>Round 1613 CT421  0.018" (S)</v>
      </c>
      <c r="D1351" s="306"/>
      <c r="E1351" s="421">
        <v>69</v>
      </c>
      <c r="F1351" s="421"/>
      <c r="G1351" s="420" t="s">
        <v>1566</v>
      </c>
      <c r="H1351" s="598">
        <v>14081144</v>
      </c>
      <c r="I1351" s="322" t="s">
        <v>1567</v>
      </c>
      <c r="J1351" s="418"/>
      <c r="K1351" s="248"/>
      <c r="M1351" s="366"/>
      <c r="AF1351">
        <v>69</v>
      </c>
    </row>
    <row r="1352" spans="1:32" x14ac:dyDescent="0.25">
      <c r="A1352" s="308">
        <v>45365</v>
      </c>
      <c r="B1352" s="416">
        <v>1100759</v>
      </c>
      <c r="C1352" s="413" t="str">
        <f>IFERROR(INDEX(Table14[],MATCH($B1352,Table14[SAPNo],0),3),"")</f>
        <v>1913 CT421 0.018"</v>
      </c>
      <c r="D1352" s="306"/>
      <c r="E1352" s="421">
        <v>24</v>
      </c>
      <c r="F1352" s="421"/>
      <c r="G1352" s="420" t="s">
        <v>1566</v>
      </c>
      <c r="H1352" s="598">
        <v>14081144</v>
      </c>
      <c r="I1352" s="322" t="s">
        <v>1567</v>
      </c>
      <c r="J1352" s="418"/>
      <c r="K1352" s="248"/>
      <c r="M1352" s="366"/>
      <c r="AF1352">
        <v>24</v>
      </c>
    </row>
    <row r="1353" spans="1:32" x14ac:dyDescent="0.25">
      <c r="A1353" s="308">
        <v>45365</v>
      </c>
      <c r="B1353" s="416">
        <v>1146737</v>
      </c>
      <c r="C1353" s="413" t="str">
        <f>IFERROR(INDEX(Table14[],MATCH($B1353,Table14[SAPNo],0),3),"")</f>
        <v>1613 CT418 18-60</v>
      </c>
      <c r="D1353" s="306"/>
      <c r="E1353" s="421">
        <v>9</v>
      </c>
      <c r="F1353" s="421"/>
      <c r="G1353" s="420" t="s">
        <v>1566</v>
      </c>
      <c r="H1353" s="598">
        <v>14081144</v>
      </c>
      <c r="I1353" s="322" t="s">
        <v>1567</v>
      </c>
      <c r="J1353" s="418"/>
      <c r="K1353" s="248"/>
      <c r="M1353" s="366"/>
      <c r="AF1353">
        <v>9</v>
      </c>
    </row>
    <row r="1354" spans="1:32" x14ac:dyDescent="0.25">
      <c r="A1354" s="308">
        <v>45365</v>
      </c>
      <c r="B1354" s="419">
        <v>871781</v>
      </c>
      <c r="C1354" s="413" t="str">
        <f>IFERROR(INDEX(Table14[],MATCH($B1354,Table14[SAPNo],0),3),"")</f>
        <v>Round 1313 CT200  0.018" (B)</v>
      </c>
      <c r="D1354" s="306"/>
      <c r="E1354" s="421">
        <v>8</v>
      </c>
      <c r="F1354" s="421"/>
      <c r="G1354" s="420" t="s">
        <v>1566</v>
      </c>
      <c r="H1354" s="599">
        <v>14081144</v>
      </c>
      <c r="I1354" s="322" t="s">
        <v>1567</v>
      </c>
      <c r="J1354" s="421"/>
      <c r="K1354" s="422"/>
      <c r="M1354" s="366"/>
      <c r="AF1354">
        <v>8</v>
      </c>
    </row>
    <row r="1355" spans="1:32" x14ac:dyDescent="0.25">
      <c r="A1355" s="308">
        <v>45365</v>
      </c>
      <c r="B1355" s="416">
        <v>1130197</v>
      </c>
      <c r="C1355" s="413" t="str">
        <f>IFERROR(INDEX(Table14[],MATCH($B1355,Table14[SAPNo],0),3),"")</f>
        <v>Round 1608 CT182  0.018" (S)</v>
      </c>
      <c r="D1355" s="306"/>
      <c r="E1355" s="421">
        <v>8</v>
      </c>
      <c r="F1355" s="421"/>
      <c r="G1355" s="420" t="s">
        <v>1566</v>
      </c>
      <c r="H1355" s="598">
        <v>14081144</v>
      </c>
      <c r="I1355" s="322" t="s">
        <v>1567</v>
      </c>
      <c r="J1355" s="418"/>
      <c r="K1355" s="248"/>
      <c r="M1355" s="422"/>
      <c r="AF1355">
        <v>8</v>
      </c>
    </row>
    <row r="1356" spans="1:32" x14ac:dyDescent="0.25">
      <c r="A1356" s="308">
        <v>45365</v>
      </c>
      <c r="B1356" s="416">
        <v>1271790</v>
      </c>
      <c r="C1356" s="413" t="str">
        <f>IFERROR(INDEX(Table14[],MATCH($B1356,Table14[SAPNo],0),3),"")</f>
        <v xml:space="preserve">1613 CT170 18-60 </v>
      </c>
      <c r="D1356" s="306"/>
      <c r="E1356" s="421">
        <v>17</v>
      </c>
      <c r="F1356" s="421"/>
      <c r="G1356" s="420" t="s">
        <v>1568</v>
      </c>
      <c r="H1356" s="598">
        <v>14137155</v>
      </c>
      <c r="I1356" s="322" t="s">
        <v>1497</v>
      </c>
      <c r="J1356" s="418"/>
      <c r="K1356" s="248"/>
      <c r="M1356" s="366"/>
      <c r="AF1356">
        <v>17</v>
      </c>
    </row>
    <row r="1357" spans="1:32" x14ac:dyDescent="0.25">
      <c r="A1357" s="308">
        <v>45365</v>
      </c>
      <c r="B1357" s="416">
        <v>1078377</v>
      </c>
      <c r="C1357" s="413" t="str">
        <f>IFERROR(INDEX(Table14[],MATCH($B1357,Table14[SAPNo],0),3),"")</f>
        <v>13MM CT221 R1</v>
      </c>
      <c r="D1357" s="306"/>
      <c r="E1357" s="421">
        <v>15</v>
      </c>
      <c r="F1357" s="421"/>
      <c r="G1357" s="420" t="s">
        <v>1568</v>
      </c>
      <c r="H1357" s="598">
        <v>14137155</v>
      </c>
      <c r="I1357" s="322" t="s">
        <v>1497</v>
      </c>
      <c r="J1357" s="418"/>
      <c r="K1357" s="248"/>
      <c r="M1357" s="366"/>
      <c r="AF1357">
        <v>15</v>
      </c>
    </row>
    <row r="1358" spans="1:32" x14ac:dyDescent="0.25">
      <c r="A1358" s="308">
        <v>45365</v>
      </c>
      <c r="B1358" s="416">
        <v>1208601</v>
      </c>
      <c r="C1358" s="413" t="str">
        <f>IFERROR(INDEX(Table14[],MATCH($B1358,Table14[SAPNo],0),3),"")</f>
        <v>1613 CT418 U-60</v>
      </c>
      <c r="D1358" s="306"/>
      <c r="E1358" s="421">
        <v>8</v>
      </c>
      <c r="F1358" s="421"/>
      <c r="G1358" s="420" t="s">
        <v>1568</v>
      </c>
      <c r="H1358" s="598">
        <v>14137155</v>
      </c>
      <c r="I1358" s="322" t="s">
        <v>1497</v>
      </c>
      <c r="J1358" s="418"/>
      <c r="K1358" s="248"/>
      <c r="M1358" s="366"/>
      <c r="AF1358">
        <v>8</v>
      </c>
    </row>
    <row r="1359" spans="1:32" x14ac:dyDescent="0.25">
      <c r="A1359" s="308">
        <v>45365</v>
      </c>
      <c r="B1359" s="416">
        <v>418525</v>
      </c>
      <c r="C1359" s="413" t="str">
        <f>IFERROR(INDEX(Table14[],MATCH($B1359,Table14[SAPNo],0),3),"")</f>
        <v>Drop In 1308 CT31   (B)</v>
      </c>
      <c r="D1359" s="306"/>
      <c r="E1359" s="421">
        <v>6</v>
      </c>
      <c r="F1359" s="421"/>
      <c r="G1359" s="420" t="s">
        <v>1568</v>
      </c>
      <c r="H1359" s="598">
        <v>14137155</v>
      </c>
      <c r="I1359" s="322" t="s">
        <v>1497</v>
      </c>
      <c r="J1359" s="418"/>
      <c r="K1359" s="248"/>
      <c r="M1359" s="366"/>
      <c r="AF1359">
        <v>6</v>
      </c>
    </row>
    <row r="1360" spans="1:32" x14ac:dyDescent="0.25">
      <c r="A1360" s="308">
        <v>45365</v>
      </c>
      <c r="B1360" s="416">
        <v>1146737</v>
      </c>
      <c r="C1360" s="413" t="str">
        <f>IFERROR(INDEX(Table14[],MATCH($B1360,Table14[SAPNo],0),3),"")</f>
        <v>1613 CT418 18-60</v>
      </c>
      <c r="D1360" s="306"/>
      <c r="E1360" s="421">
        <v>6</v>
      </c>
      <c r="F1360" s="421"/>
      <c r="G1360" s="420" t="s">
        <v>1568</v>
      </c>
      <c r="H1360" s="598">
        <v>14137155</v>
      </c>
      <c r="I1360" s="322" t="s">
        <v>1497</v>
      </c>
      <c r="J1360" s="418"/>
      <c r="K1360" s="248"/>
      <c r="M1360" s="366"/>
      <c r="AF1360">
        <v>6</v>
      </c>
    </row>
    <row r="1361" spans="1:32" x14ac:dyDescent="0.25">
      <c r="A1361" s="308">
        <v>45368</v>
      </c>
      <c r="B1361" s="416">
        <v>1130198</v>
      </c>
      <c r="C1361" s="413" t="str">
        <f>IFERROR(INDEX(Table14[],MATCH($B1361,Table14[SAPNo],0),3),"")</f>
        <v>Round 1613 CT182  0.018" (S)</v>
      </c>
      <c r="D1361" s="306"/>
      <c r="E1361" s="421">
        <v>11</v>
      </c>
      <c r="F1361" s="421"/>
      <c r="G1361" s="420" t="s">
        <v>1569</v>
      </c>
      <c r="H1361" s="598">
        <v>14081145</v>
      </c>
      <c r="I1361" s="322" t="s">
        <v>1562</v>
      </c>
      <c r="J1361" s="418"/>
      <c r="K1361" s="248"/>
      <c r="M1361" s="366"/>
      <c r="AF1361">
        <v>11</v>
      </c>
    </row>
    <row r="1362" spans="1:32" x14ac:dyDescent="0.25">
      <c r="A1362" s="308">
        <v>45368</v>
      </c>
      <c r="B1362" s="416">
        <v>647436</v>
      </c>
      <c r="C1362" s="413" t="str">
        <f>IFERROR(INDEX(Table14[],MATCH($B1362,Table14[SAPNo],0),3),"")</f>
        <v>Round 1613 CT200  0.018" (B)</v>
      </c>
      <c r="D1362" s="306"/>
      <c r="E1362" s="421">
        <v>64</v>
      </c>
      <c r="F1362" s="421"/>
      <c r="G1362" s="417" t="s">
        <v>1570</v>
      </c>
      <c r="H1362" s="598">
        <v>14127577</v>
      </c>
      <c r="I1362" s="322" t="s">
        <v>1451</v>
      </c>
      <c r="J1362" s="418"/>
      <c r="K1362" s="248"/>
      <c r="M1362" s="366"/>
      <c r="AF1362">
        <v>64</v>
      </c>
    </row>
    <row r="1363" spans="1:32" x14ac:dyDescent="0.25">
      <c r="A1363" s="308">
        <v>45368</v>
      </c>
      <c r="B1363" s="416">
        <v>1271790</v>
      </c>
      <c r="C1363" s="413" t="str">
        <f>IFERROR(INDEX(Table14[],MATCH($B1363,Table14[SAPNo],0),3),"")</f>
        <v xml:space="preserve">1613 CT170 18-60 </v>
      </c>
      <c r="D1363" s="306"/>
      <c r="E1363" s="421">
        <v>53</v>
      </c>
      <c r="F1363" s="421"/>
      <c r="G1363" s="417" t="s">
        <v>1570</v>
      </c>
      <c r="H1363" s="598">
        <v>14127577</v>
      </c>
      <c r="I1363" s="322" t="s">
        <v>1451</v>
      </c>
      <c r="J1363" s="418"/>
      <c r="K1363" s="248"/>
      <c r="M1363" s="422"/>
      <c r="AF1363">
        <v>53</v>
      </c>
    </row>
    <row r="1364" spans="1:32" x14ac:dyDescent="0.25">
      <c r="A1364" s="308">
        <v>45368</v>
      </c>
      <c r="B1364" s="416">
        <v>1146737</v>
      </c>
      <c r="C1364" s="413" t="str">
        <f>IFERROR(INDEX(Table14[],MATCH($B1364,Table14[SAPNo],0),3),"")</f>
        <v>1613 CT418 18-60</v>
      </c>
      <c r="D1364" s="306"/>
      <c r="E1364" s="421">
        <v>39</v>
      </c>
      <c r="F1364" s="421"/>
      <c r="G1364" s="417" t="s">
        <v>1570</v>
      </c>
      <c r="H1364" s="598">
        <v>14127577</v>
      </c>
      <c r="I1364" s="322" t="s">
        <v>1451</v>
      </c>
      <c r="J1364" s="418"/>
      <c r="K1364" s="248"/>
      <c r="M1364" s="366"/>
      <c r="AF1364">
        <v>39</v>
      </c>
    </row>
    <row r="1365" spans="1:32" x14ac:dyDescent="0.25">
      <c r="A1365" s="308">
        <v>45368</v>
      </c>
      <c r="B1365" s="416">
        <v>647435</v>
      </c>
      <c r="C1365" s="413" t="str">
        <f>IFERROR(INDEX(Table14[],MATCH($B1365,Table14[SAPNo],0),3),"")</f>
        <v>Round 1608 CT200  0.018" (B)</v>
      </c>
      <c r="D1365" s="306"/>
      <c r="E1365" s="421">
        <v>16</v>
      </c>
      <c r="F1365" s="421"/>
      <c r="G1365" s="417" t="s">
        <v>1570</v>
      </c>
      <c r="H1365" s="598">
        <v>14127577</v>
      </c>
      <c r="I1365" s="322" t="s">
        <v>1451</v>
      </c>
      <c r="J1365" s="418"/>
      <c r="K1365" s="248"/>
      <c r="M1365" s="366"/>
      <c r="AF1365">
        <v>16</v>
      </c>
    </row>
    <row r="1366" spans="1:32" x14ac:dyDescent="0.25">
      <c r="A1366" s="308">
        <v>45368</v>
      </c>
      <c r="B1366" s="416">
        <v>418525</v>
      </c>
      <c r="C1366" s="413" t="str">
        <f>IFERROR(INDEX(Table14[],MATCH($B1366,Table14[SAPNo],0),3),"")</f>
        <v>Drop In 1308 CT31   (B)</v>
      </c>
      <c r="D1366" s="306"/>
      <c r="E1366" s="421">
        <v>8</v>
      </c>
      <c r="F1366" s="421"/>
      <c r="G1366" s="417" t="s">
        <v>1570</v>
      </c>
      <c r="H1366" s="598">
        <v>14127577</v>
      </c>
      <c r="I1366" s="322" t="s">
        <v>1451</v>
      </c>
      <c r="J1366" s="418"/>
      <c r="K1366" s="248"/>
      <c r="M1366" s="366"/>
      <c r="AF1366">
        <v>8</v>
      </c>
    </row>
    <row r="1367" spans="1:32" x14ac:dyDescent="0.25">
      <c r="A1367" s="308">
        <v>45369</v>
      </c>
      <c r="B1367" s="416">
        <v>717748</v>
      </c>
      <c r="C1367" s="413" t="str">
        <f>IFERROR(INDEX(Table14[],MATCH($B1367,Table14[SAPNo],0),3),"")</f>
        <v>Round 1010 CT200  0.018" (B)</v>
      </c>
      <c r="D1367" s="306"/>
      <c r="E1367" s="421"/>
      <c r="F1367" s="421"/>
      <c r="G1367" s="417">
        <v>20241032</v>
      </c>
      <c r="H1367" s="598" t="s">
        <v>1571</v>
      </c>
      <c r="I1367" s="322" t="s">
        <v>1572</v>
      </c>
      <c r="J1367" s="418">
        <v>6</v>
      </c>
      <c r="K1367" s="248"/>
      <c r="M1367" s="422"/>
    </row>
    <row r="1368" spans="1:32" x14ac:dyDescent="0.25">
      <c r="A1368" s="308">
        <v>45369</v>
      </c>
      <c r="B1368" s="416">
        <v>647436</v>
      </c>
      <c r="C1368" s="413" t="str">
        <f>IFERROR(INDEX(Table14[],MATCH($B1368,Table14[SAPNo],0),3),"")</f>
        <v>Round 1613 CT200  0.018" (B)</v>
      </c>
      <c r="D1368" s="306"/>
      <c r="E1368" s="421">
        <v>64</v>
      </c>
      <c r="F1368" s="421"/>
      <c r="G1368" s="417" t="s">
        <v>1573</v>
      </c>
      <c r="H1368" s="598">
        <v>14127578</v>
      </c>
      <c r="I1368" s="322" t="s">
        <v>1451</v>
      </c>
      <c r="J1368" s="418"/>
      <c r="K1368" s="248"/>
      <c r="M1368" s="422"/>
      <c r="AF1368">
        <v>64</v>
      </c>
    </row>
    <row r="1369" spans="1:32" x14ac:dyDescent="0.25">
      <c r="A1369" s="308">
        <v>45369</v>
      </c>
      <c r="B1369" s="416">
        <v>1271790</v>
      </c>
      <c r="C1369" s="413" t="str">
        <f>IFERROR(INDEX(Table14[],MATCH($B1369,Table14[SAPNo],0),3),"")</f>
        <v xml:space="preserve">1613 CT170 18-60 </v>
      </c>
      <c r="D1369" s="306"/>
      <c r="E1369" s="421">
        <v>53</v>
      </c>
      <c r="F1369" s="421"/>
      <c r="G1369" s="417" t="s">
        <v>1573</v>
      </c>
      <c r="H1369" s="598">
        <v>14127578</v>
      </c>
      <c r="I1369" s="322" t="s">
        <v>1451</v>
      </c>
      <c r="J1369" s="418"/>
      <c r="K1369" s="248"/>
      <c r="M1369" s="366"/>
      <c r="AF1369">
        <v>53</v>
      </c>
    </row>
    <row r="1370" spans="1:32" x14ac:dyDescent="0.25">
      <c r="A1370" s="308">
        <v>45369</v>
      </c>
      <c r="B1370" s="416">
        <v>1146737</v>
      </c>
      <c r="C1370" s="413" t="str">
        <f>IFERROR(INDEX(Table14[],MATCH($B1370,Table14[SAPNo],0),3),"")</f>
        <v>1613 CT418 18-60</v>
      </c>
      <c r="D1370" s="306"/>
      <c r="E1370" s="421">
        <v>39</v>
      </c>
      <c r="F1370" s="421"/>
      <c r="G1370" s="417" t="s">
        <v>1573</v>
      </c>
      <c r="H1370" s="598">
        <v>14127578</v>
      </c>
      <c r="I1370" s="322" t="s">
        <v>1451</v>
      </c>
      <c r="J1370" s="418"/>
      <c r="K1370" s="248"/>
      <c r="M1370" s="366"/>
      <c r="AF1370">
        <v>39</v>
      </c>
    </row>
    <row r="1371" spans="1:32" x14ac:dyDescent="0.25">
      <c r="A1371" s="308">
        <v>45369</v>
      </c>
      <c r="B1371" s="416">
        <v>647435</v>
      </c>
      <c r="C1371" s="413" t="str">
        <f>IFERROR(INDEX(Table14[],MATCH($B1371,Table14[SAPNo],0),3),"")</f>
        <v>Round 1608 CT200  0.018" (B)</v>
      </c>
      <c r="D1371" s="306"/>
      <c r="E1371" s="421">
        <v>16</v>
      </c>
      <c r="F1371" s="421"/>
      <c r="G1371" s="417" t="s">
        <v>1573</v>
      </c>
      <c r="H1371" s="598">
        <v>14127578</v>
      </c>
      <c r="I1371" s="322" t="s">
        <v>1451</v>
      </c>
      <c r="J1371" s="418"/>
      <c r="K1371" s="248"/>
      <c r="M1371" s="366"/>
      <c r="AF1371">
        <v>16</v>
      </c>
    </row>
    <row r="1372" spans="1:32" x14ac:dyDescent="0.25">
      <c r="A1372" s="320">
        <v>45369</v>
      </c>
      <c r="B1372" s="419">
        <v>418525</v>
      </c>
      <c r="C1372" s="413" t="str">
        <f>IFERROR(INDEX(Table14[],MATCH($B1372,Table14[SAPNo],0),3),"")</f>
        <v>Drop In 1308 CT31   (B)</v>
      </c>
      <c r="D1372" s="306"/>
      <c r="E1372" s="421">
        <v>8</v>
      </c>
      <c r="F1372" s="421"/>
      <c r="G1372" s="417" t="s">
        <v>1573</v>
      </c>
      <c r="H1372" s="599">
        <v>14127578</v>
      </c>
      <c r="I1372" s="322" t="s">
        <v>1451</v>
      </c>
      <c r="J1372" s="421"/>
      <c r="K1372" s="422"/>
      <c r="M1372" s="366"/>
      <c r="AF1372">
        <v>8</v>
      </c>
    </row>
    <row r="1373" spans="1:32" x14ac:dyDescent="0.25">
      <c r="A1373" s="320">
        <v>45370</v>
      </c>
      <c r="B1373" s="416">
        <v>708306</v>
      </c>
      <c r="C1373" s="413" t="str">
        <f>IFERROR(INDEX(Table14[],MATCH($B1373,Table14[SAPNo],0),3),"")</f>
        <v>Round 1913 CT200  0.018" (B)</v>
      </c>
      <c r="D1373" s="306"/>
      <c r="E1373" s="421">
        <v>34</v>
      </c>
      <c r="F1373" s="421"/>
      <c r="G1373" s="417" t="s">
        <v>1574</v>
      </c>
      <c r="H1373" s="598">
        <v>14119212</v>
      </c>
      <c r="I1373" s="322" t="s">
        <v>1575</v>
      </c>
      <c r="J1373" s="418"/>
      <c r="K1373" s="248"/>
      <c r="M1373" s="422"/>
      <c r="AF1373">
        <v>34</v>
      </c>
    </row>
    <row r="1374" spans="1:32" x14ac:dyDescent="0.25">
      <c r="A1374" s="308">
        <v>45370</v>
      </c>
      <c r="B1374" s="416">
        <v>1250971</v>
      </c>
      <c r="C1374" s="413" t="str">
        <f>IFERROR(INDEX(Table14[],MATCH($B1374,Table14[SAPNo],0),3),"")</f>
        <v>1913 CT164R U</v>
      </c>
      <c r="D1374" s="306"/>
      <c r="E1374" s="421">
        <v>30</v>
      </c>
      <c r="F1374" s="421"/>
      <c r="G1374" s="417" t="s">
        <v>1574</v>
      </c>
      <c r="H1374" s="598">
        <v>14119212</v>
      </c>
      <c r="I1374" s="322" t="s">
        <v>1575</v>
      </c>
      <c r="J1374" s="418"/>
      <c r="K1374" s="248"/>
      <c r="M1374" s="422"/>
      <c r="AF1374">
        <v>30</v>
      </c>
    </row>
    <row r="1375" spans="1:32" x14ac:dyDescent="0.25">
      <c r="A1375" s="308">
        <v>45370</v>
      </c>
      <c r="B1375" s="416">
        <v>1100759</v>
      </c>
      <c r="C1375" s="413" t="str">
        <f>IFERROR(INDEX(Table14[],MATCH($B1375,Table14[SAPNo],0),3),"")</f>
        <v>1913 CT421 0.018"</v>
      </c>
      <c r="D1375" s="306"/>
      <c r="E1375" s="421">
        <v>18</v>
      </c>
      <c r="F1375" s="421"/>
      <c r="G1375" s="417" t="s">
        <v>1574</v>
      </c>
      <c r="H1375" s="598">
        <v>14119212</v>
      </c>
      <c r="I1375" s="322" t="s">
        <v>1575</v>
      </c>
      <c r="J1375" s="418"/>
      <c r="K1375" s="248"/>
      <c r="M1375" s="366"/>
      <c r="AF1375">
        <v>18</v>
      </c>
    </row>
    <row r="1376" spans="1:32" x14ac:dyDescent="0.25">
      <c r="A1376" s="308">
        <v>45370</v>
      </c>
      <c r="B1376" s="416">
        <v>1146737</v>
      </c>
      <c r="C1376" s="413" t="str">
        <f>IFERROR(INDEX(Table14[],MATCH($B1376,Table14[SAPNo],0),3),"")</f>
        <v>1613 CT418 18-60</v>
      </c>
      <c r="D1376" s="306"/>
      <c r="E1376" s="421">
        <v>9</v>
      </c>
      <c r="F1376" s="421"/>
      <c r="G1376" s="417" t="s">
        <v>1574</v>
      </c>
      <c r="H1376" s="598">
        <v>14119212</v>
      </c>
      <c r="I1376" s="322" t="s">
        <v>1575</v>
      </c>
      <c r="J1376" s="418"/>
      <c r="K1376" s="248"/>
      <c r="M1376" s="366"/>
      <c r="AF1376">
        <v>9</v>
      </c>
    </row>
    <row r="1377" spans="1:32" x14ac:dyDescent="0.25">
      <c r="A1377" s="308">
        <v>45370</v>
      </c>
      <c r="B1377" s="416">
        <v>871781</v>
      </c>
      <c r="C1377" s="413" t="str">
        <f>IFERROR(INDEX(Table14[],MATCH($B1377,Table14[SAPNo],0),3),"")</f>
        <v>Round 1313 CT200  0.018" (B)</v>
      </c>
      <c r="D1377" s="306"/>
      <c r="E1377" s="421">
        <v>8</v>
      </c>
      <c r="F1377" s="421"/>
      <c r="G1377" s="417" t="s">
        <v>1574</v>
      </c>
      <c r="H1377" s="598">
        <v>14119212</v>
      </c>
      <c r="I1377" s="322" t="s">
        <v>1575</v>
      </c>
      <c r="J1377" s="418"/>
      <c r="K1377" s="248"/>
      <c r="M1377" s="366"/>
      <c r="AF1377">
        <v>8</v>
      </c>
    </row>
    <row r="1378" spans="1:32" x14ac:dyDescent="0.25">
      <c r="A1378" s="308">
        <v>45370</v>
      </c>
      <c r="B1378" s="416">
        <v>1271790</v>
      </c>
      <c r="C1378" s="413" t="str">
        <f>IFERROR(INDEX(Table14[],MATCH($B1378,Table14[SAPNo],0),3),"")</f>
        <v xml:space="preserve">1613 CT170 18-60 </v>
      </c>
      <c r="D1378" s="306"/>
      <c r="E1378" s="421">
        <v>17</v>
      </c>
      <c r="F1378" s="421"/>
      <c r="G1378" s="417" t="s">
        <v>1576</v>
      </c>
      <c r="H1378" s="598">
        <v>14137156</v>
      </c>
      <c r="I1378" s="322" t="s">
        <v>1497</v>
      </c>
      <c r="J1378" s="418"/>
      <c r="K1378" s="248"/>
      <c r="M1378" s="366"/>
      <c r="AF1378">
        <v>17</v>
      </c>
    </row>
    <row r="1379" spans="1:32" x14ac:dyDescent="0.25">
      <c r="A1379" s="308">
        <v>45370</v>
      </c>
      <c r="B1379" s="416">
        <v>1078377</v>
      </c>
      <c r="C1379" s="413" t="str">
        <f>IFERROR(INDEX(Table14[],MATCH($B1379,Table14[SAPNo],0),3),"")</f>
        <v>13MM CT221 R1</v>
      </c>
      <c r="D1379" s="306"/>
      <c r="E1379" s="421">
        <v>15</v>
      </c>
      <c r="F1379" s="421"/>
      <c r="G1379" s="417" t="s">
        <v>1576</v>
      </c>
      <c r="H1379" s="598">
        <v>14137156</v>
      </c>
      <c r="I1379" s="322" t="s">
        <v>1497</v>
      </c>
      <c r="J1379" s="418"/>
      <c r="K1379" s="248"/>
      <c r="M1379" s="366"/>
      <c r="AF1379">
        <v>15</v>
      </c>
    </row>
    <row r="1380" spans="1:32" x14ac:dyDescent="0.25">
      <c r="A1380" s="308">
        <v>45370</v>
      </c>
      <c r="B1380" s="416">
        <v>1208601</v>
      </c>
      <c r="C1380" s="413" t="str">
        <f>IFERROR(INDEX(Table14[],MATCH($B1380,Table14[SAPNo],0),3),"")</f>
        <v>1613 CT418 U-60</v>
      </c>
      <c r="D1380" s="306"/>
      <c r="E1380" s="421">
        <v>8</v>
      </c>
      <c r="F1380" s="421"/>
      <c r="G1380" s="417" t="s">
        <v>1576</v>
      </c>
      <c r="H1380" s="598">
        <v>14137156</v>
      </c>
      <c r="I1380" s="322" t="s">
        <v>1497</v>
      </c>
      <c r="J1380" s="418"/>
      <c r="K1380" s="248"/>
      <c r="M1380" s="366"/>
      <c r="AF1380">
        <v>8</v>
      </c>
    </row>
    <row r="1381" spans="1:32" x14ac:dyDescent="0.25">
      <c r="A1381" s="308">
        <v>45370</v>
      </c>
      <c r="B1381" s="416">
        <v>418525</v>
      </c>
      <c r="C1381" s="413" t="str">
        <f>IFERROR(INDEX(Table14[],MATCH($B1381,Table14[SAPNo],0),3),"")</f>
        <v>Drop In 1308 CT31   (B)</v>
      </c>
      <c r="D1381" s="306"/>
      <c r="E1381" s="421">
        <v>6</v>
      </c>
      <c r="F1381" s="421"/>
      <c r="G1381" s="417" t="s">
        <v>1576</v>
      </c>
      <c r="H1381" s="598">
        <v>14137156</v>
      </c>
      <c r="I1381" s="322" t="s">
        <v>1497</v>
      </c>
      <c r="J1381" s="418"/>
      <c r="K1381" s="248"/>
      <c r="M1381" s="366"/>
      <c r="AF1381">
        <v>6</v>
      </c>
    </row>
    <row r="1382" spans="1:32" x14ac:dyDescent="0.25">
      <c r="A1382" s="320">
        <v>45370</v>
      </c>
      <c r="B1382" s="419">
        <v>1146737</v>
      </c>
      <c r="C1382" s="413" t="str">
        <f>IFERROR(INDEX(Table14[],MATCH($B1382,Table14[SAPNo],0),3),"")</f>
        <v>1613 CT418 18-60</v>
      </c>
      <c r="D1382" s="306"/>
      <c r="E1382" s="421">
        <v>6</v>
      </c>
      <c r="F1382" s="421"/>
      <c r="G1382" s="417" t="s">
        <v>1576</v>
      </c>
      <c r="H1382" s="599">
        <v>14137156</v>
      </c>
      <c r="I1382" s="322" t="s">
        <v>1497</v>
      </c>
      <c r="J1382" s="421"/>
      <c r="K1382" s="422"/>
      <c r="M1382" s="366"/>
      <c r="AF1382">
        <v>6</v>
      </c>
    </row>
    <row r="1383" spans="1:32" x14ac:dyDescent="0.25">
      <c r="A1383" s="320">
        <v>45371</v>
      </c>
      <c r="B1383" s="416">
        <v>1250971</v>
      </c>
      <c r="C1383" s="413" t="str">
        <f>IFERROR(INDEX(Table14[],MATCH($B1383,Table14[SAPNo],0),3),"")</f>
        <v>1913 CT164R U</v>
      </c>
      <c r="D1383" s="306"/>
      <c r="E1383" s="421">
        <v>1</v>
      </c>
      <c r="F1383" s="421"/>
      <c r="G1383" s="417" t="s">
        <v>1577</v>
      </c>
      <c r="H1383" s="598">
        <v>14119212</v>
      </c>
      <c r="I1383" s="322" t="s">
        <v>1575</v>
      </c>
      <c r="J1383" s="418"/>
      <c r="K1383" s="248"/>
      <c r="M1383" s="473" t="s">
        <v>1578</v>
      </c>
      <c r="AF1383">
        <v>1</v>
      </c>
    </row>
    <row r="1384" spans="1:32" x14ac:dyDescent="0.25">
      <c r="A1384" s="320">
        <v>45371</v>
      </c>
      <c r="B1384" s="416">
        <v>1271790</v>
      </c>
      <c r="C1384" s="413" t="str">
        <f>IFERROR(INDEX(Table14[],MATCH($B1384,Table14[SAPNo],0),3),"")</f>
        <v xml:space="preserve">1613 CT170 18-60 </v>
      </c>
      <c r="D1384" s="306"/>
      <c r="E1384" s="421">
        <v>17</v>
      </c>
      <c r="F1384" s="421"/>
      <c r="G1384" s="417" t="s">
        <v>1579</v>
      </c>
      <c r="H1384" s="598">
        <v>14137157</v>
      </c>
      <c r="I1384" s="322" t="s">
        <v>1497</v>
      </c>
      <c r="J1384" s="418"/>
      <c r="K1384" s="248"/>
      <c r="M1384" s="422"/>
      <c r="AF1384">
        <v>17</v>
      </c>
    </row>
    <row r="1385" spans="1:32" x14ac:dyDescent="0.25">
      <c r="A1385" s="308">
        <v>45371</v>
      </c>
      <c r="B1385" s="416">
        <v>1078377</v>
      </c>
      <c r="C1385" s="413" t="str">
        <f>IFERROR(INDEX(Table14[],MATCH($B1385,Table14[SAPNo],0),3),"")</f>
        <v>13MM CT221 R1</v>
      </c>
      <c r="D1385" s="306"/>
      <c r="E1385" s="421">
        <v>15</v>
      </c>
      <c r="F1385" s="421"/>
      <c r="G1385" s="417" t="s">
        <v>1579</v>
      </c>
      <c r="H1385" s="598">
        <v>14137157</v>
      </c>
      <c r="I1385" s="322" t="s">
        <v>1497</v>
      </c>
      <c r="J1385" s="418"/>
      <c r="K1385" s="248"/>
      <c r="M1385" s="422"/>
      <c r="AF1385">
        <v>15</v>
      </c>
    </row>
    <row r="1386" spans="1:32" x14ac:dyDescent="0.25">
      <c r="A1386" s="308">
        <v>45371</v>
      </c>
      <c r="B1386" s="416">
        <v>1208601</v>
      </c>
      <c r="C1386" s="413" t="str">
        <f>IFERROR(INDEX(Table14[],MATCH($B1386,Table14[SAPNo],0),3),"")</f>
        <v>1613 CT418 U-60</v>
      </c>
      <c r="D1386" s="306"/>
      <c r="E1386" s="421">
        <v>8</v>
      </c>
      <c r="F1386" s="421"/>
      <c r="G1386" s="417" t="s">
        <v>1579</v>
      </c>
      <c r="H1386" s="598">
        <v>14137157</v>
      </c>
      <c r="I1386" s="322" t="s">
        <v>1497</v>
      </c>
      <c r="J1386" s="418"/>
      <c r="K1386" s="248"/>
      <c r="M1386" s="366"/>
      <c r="AF1386">
        <v>8</v>
      </c>
    </row>
    <row r="1387" spans="1:32" x14ac:dyDescent="0.25">
      <c r="A1387" s="308">
        <v>45371</v>
      </c>
      <c r="B1387" s="416">
        <v>418525</v>
      </c>
      <c r="C1387" s="413" t="str">
        <f>IFERROR(INDEX(Table14[],MATCH($B1387,Table14[SAPNo],0),3),"")</f>
        <v>Drop In 1308 CT31   (B)</v>
      </c>
      <c r="D1387" s="306"/>
      <c r="E1387" s="421">
        <v>6</v>
      </c>
      <c r="F1387" s="421"/>
      <c r="G1387" s="417" t="s">
        <v>1579</v>
      </c>
      <c r="H1387" s="598">
        <v>14137157</v>
      </c>
      <c r="I1387" s="322" t="s">
        <v>1497</v>
      </c>
      <c r="J1387" s="418"/>
      <c r="K1387" s="248"/>
      <c r="M1387" s="366"/>
      <c r="AF1387">
        <v>6</v>
      </c>
    </row>
    <row r="1388" spans="1:32" x14ac:dyDescent="0.25">
      <c r="A1388" s="320">
        <v>45371</v>
      </c>
      <c r="B1388" s="419">
        <v>1146737</v>
      </c>
      <c r="C1388" s="413" t="str">
        <f>IFERROR(INDEX(Table14[],MATCH($B1388,Table14[SAPNo],0),3),"")</f>
        <v>1613 CT418 18-60</v>
      </c>
      <c r="D1388" s="306"/>
      <c r="E1388" s="421">
        <v>6</v>
      </c>
      <c r="F1388" s="421"/>
      <c r="G1388" s="417" t="s">
        <v>1579</v>
      </c>
      <c r="H1388" s="599">
        <v>14137157</v>
      </c>
      <c r="I1388" s="322" t="s">
        <v>1497</v>
      </c>
      <c r="J1388" s="421"/>
      <c r="K1388" s="422"/>
      <c r="M1388" s="366"/>
      <c r="AF1388">
        <v>6</v>
      </c>
    </row>
    <row r="1389" spans="1:32" x14ac:dyDescent="0.25">
      <c r="A1389" s="308">
        <v>45371</v>
      </c>
      <c r="B1389" s="416">
        <v>708306</v>
      </c>
      <c r="C1389" s="413" t="str">
        <f>IFERROR(INDEX(Table14[],MATCH($B1389,Table14[SAPNo],0),3),"")</f>
        <v>Round 1913 CT200  0.018" (B)</v>
      </c>
      <c r="D1389" s="306"/>
      <c r="E1389" s="421">
        <v>34</v>
      </c>
      <c r="F1389" s="421"/>
      <c r="G1389" s="417" t="s">
        <v>1580</v>
      </c>
      <c r="H1389" s="598">
        <v>14119211</v>
      </c>
      <c r="I1389" s="322" t="s">
        <v>1575</v>
      </c>
      <c r="J1389" s="418"/>
      <c r="K1389" s="248"/>
      <c r="M1389" s="422"/>
      <c r="AF1389">
        <v>34</v>
      </c>
    </row>
    <row r="1390" spans="1:32" x14ac:dyDescent="0.25">
      <c r="A1390" s="308">
        <v>45371</v>
      </c>
      <c r="B1390" s="416">
        <v>1250971</v>
      </c>
      <c r="C1390" s="413" t="str">
        <f>IFERROR(INDEX(Table14[],MATCH($B1390,Table14[SAPNo],0),3),"")</f>
        <v>1913 CT164R U</v>
      </c>
      <c r="D1390" s="306"/>
      <c r="E1390" s="421">
        <v>30</v>
      </c>
      <c r="F1390" s="421"/>
      <c r="G1390" s="417" t="s">
        <v>1580</v>
      </c>
      <c r="H1390" s="598">
        <v>14119211</v>
      </c>
      <c r="I1390" s="322" t="s">
        <v>1575</v>
      </c>
      <c r="J1390" s="418"/>
      <c r="K1390" s="248"/>
      <c r="M1390" s="366"/>
      <c r="AF1390">
        <v>30</v>
      </c>
    </row>
    <row r="1391" spans="1:32" x14ac:dyDescent="0.25">
      <c r="A1391" s="308">
        <v>45371</v>
      </c>
      <c r="B1391" s="416">
        <v>1100759</v>
      </c>
      <c r="C1391" s="413" t="str">
        <f>IFERROR(INDEX(Table14[],MATCH($B1391,Table14[SAPNo],0),3),"")</f>
        <v>1913 CT421 0.018"</v>
      </c>
      <c r="D1391" s="306"/>
      <c r="E1391" s="421">
        <v>18</v>
      </c>
      <c r="F1391" s="421"/>
      <c r="G1391" s="417" t="s">
        <v>1580</v>
      </c>
      <c r="H1391" s="598">
        <v>14119211</v>
      </c>
      <c r="I1391" s="322" t="s">
        <v>1575</v>
      </c>
      <c r="J1391" s="418"/>
      <c r="K1391" s="248"/>
      <c r="M1391" s="366"/>
      <c r="AF1391">
        <v>18</v>
      </c>
    </row>
    <row r="1392" spans="1:32" x14ac:dyDescent="0.25">
      <c r="A1392" s="308">
        <v>45371</v>
      </c>
      <c r="B1392" s="416">
        <v>1146737</v>
      </c>
      <c r="C1392" s="413" t="str">
        <f>IFERROR(INDEX(Table14[],MATCH($B1392,Table14[SAPNo],0),3),"")</f>
        <v>1613 CT418 18-60</v>
      </c>
      <c r="D1392" s="306"/>
      <c r="E1392" s="421">
        <v>9</v>
      </c>
      <c r="F1392" s="421"/>
      <c r="G1392" s="417" t="s">
        <v>1580</v>
      </c>
      <c r="H1392" s="598">
        <v>14119211</v>
      </c>
      <c r="I1392" s="322" t="s">
        <v>1575</v>
      </c>
      <c r="J1392" s="418"/>
      <c r="K1392" s="248"/>
      <c r="M1392" s="366"/>
      <c r="AF1392">
        <v>9</v>
      </c>
    </row>
    <row r="1393" spans="1:32" x14ac:dyDescent="0.25">
      <c r="A1393" s="320">
        <v>45371</v>
      </c>
      <c r="B1393" s="419">
        <v>871781</v>
      </c>
      <c r="C1393" s="413" t="str">
        <f>IFERROR(INDEX(Table14[],MATCH($B1393,Table14[SAPNo],0),3),"")</f>
        <v>Round 1313 CT200  0.018" (B)</v>
      </c>
      <c r="D1393" s="306"/>
      <c r="E1393" s="421">
        <v>8</v>
      </c>
      <c r="F1393" s="421"/>
      <c r="G1393" s="417" t="s">
        <v>1580</v>
      </c>
      <c r="H1393" s="599">
        <v>14119211</v>
      </c>
      <c r="I1393" s="322" t="s">
        <v>1575</v>
      </c>
      <c r="J1393" s="421"/>
      <c r="K1393" s="422"/>
      <c r="M1393" s="366"/>
      <c r="AF1393">
        <v>8</v>
      </c>
    </row>
    <row r="1394" spans="1:32" x14ac:dyDescent="0.25">
      <c r="A1394" s="320">
        <v>45372</v>
      </c>
      <c r="B1394" s="416">
        <v>1145493</v>
      </c>
      <c r="C1394" s="413" t="str">
        <f>IFERROR(INDEX(Table14[],MATCH($B1394,Table14[SAPNo],0),3),"")</f>
        <v>Round 1313 CT427  10C (S)</v>
      </c>
      <c r="D1394" s="306"/>
      <c r="E1394" s="421"/>
      <c r="F1394" s="421"/>
      <c r="G1394" s="417">
        <v>20241043</v>
      </c>
      <c r="H1394" s="598" t="s">
        <v>1581</v>
      </c>
      <c r="I1394" s="322" t="s">
        <v>1582</v>
      </c>
      <c r="J1394" s="418">
        <v>3</v>
      </c>
      <c r="K1394" s="248"/>
      <c r="M1394" s="422"/>
    </row>
    <row r="1395" spans="1:32" x14ac:dyDescent="0.25">
      <c r="A1395" s="308">
        <v>45372</v>
      </c>
      <c r="B1395" s="416">
        <v>418525</v>
      </c>
      <c r="C1395" s="413" t="str">
        <f>IFERROR(INDEX(Table14[],MATCH($B1395,Table14[SAPNo],0),3),"")</f>
        <v>Drop In 1308 CT31   (B)</v>
      </c>
      <c r="D1395" s="306"/>
      <c r="E1395" s="421">
        <v>1</v>
      </c>
      <c r="F1395" s="421"/>
      <c r="G1395" s="417">
        <v>20241043</v>
      </c>
      <c r="H1395" s="598" t="s">
        <v>1581</v>
      </c>
      <c r="I1395" s="322" t="s">
        <v>1582</v>
      </c>
      <c r="J1395" s="418"/>
      <c r="K1395" s="248"/>
      <c r="M1395" s="422"/>
      <c r="AF1395">
        <v>1</v>
      </c>
    </row>
    <row r="1396" spans="1:32" x14ac:dyDescent="0.25">
      <c r="A1396" s="308">
        <v>45372</v>
      </c>
      <c r="B1396" s="416">
        <v>1209332</v>
      </c>
      <c r="C1396" s="413" t="str">
        <f>IFERROR(INDEX(Table14[],MATCH($B1396,Table14[SAPNo],0),3),"")</f>
        <v>1313 CT147G U</v>
      </c>
      <c r="D1396" s="306"/>
      <c r="E1396" s="421"/>
      <c r="F1396" s="421"/>
      <c r="G1396" s="417">
        <v>20241043</v>
      </c>
      <c r="H1396" s="598" t="s">
        <v>1581</v>
      </c>
      <c r="I1396" s="322" t="s">
        <v>1582</v>
      </c>
      <c r="J1396" s="418">
        <v>2</v>
      </c>
      <c r="K1396" s="248"/>
      <c r="M1396" s="366"/>
    </row>
    <row r="1397" spans="1:32" x14ac:dyDescent="0.25">
      <c r="A1397" s="308">
        <v>45372</v>
      </c>
      <c r="B1397" s="416">
        <v>418525</v>
      </c>
      <c r="C1397" s="413" t="str">
        <f>IFERROR(INDEX(Table14[],MATCH($B1397,Table14[SAPNo],0),3),"")</f>
        <v>Drop In 1308 CT31   (B)</v>
      </c>
      <c r="D1397" s="306"/>
      <c r="E1397" s="421">
        <v>1</v>
      </c>
      <c r="F1397" s="421"/>
      <c r="G1397" s="417">
        <v>20241042</v>
      </c>
      <c r="H1397" s="598" t="s">
        <v>1583</v>
      </c>
      <c r="I1397" s="322" t="s">
        <v>1582</v>
      </c>
      <c r="J1397" s="418"/>
      <c r="K1397" s="248"/>
      <c r="M1397" s="366"/>
      <c r="AF1397">
        <v>1</v>
      </c>
    </row>
    <row r="1398" spans="1:32" x14ac:dyDescent="0.25">
      <c r="A1398" s="308">
        <v>45372</v>
      </c>
      <c r="B1398" s="416">
        <v>1209332</v>
      </c>
      <c r="C1398" s="413" t="str">
        <f>IFERROR(INDEX(Table14[],MATCH($B1398,Table14[SAPNo],0),3),"")</f>
        <v>1313 CT147G U</v>
      </c>
      <c r="D1398" s="306"/>
      <c r="E1398" s="421"/>
      <c r="F1398" s="421"/>
      <c r="G1398" s="417">
        <v>20241042</v>
      </c>
      <c r="H1398" s="598" t="s">
        <v>1583</v>
      </c>
      <c r="I1398" s="322" t="s">
        <v>1582</v>
      </c>
      <c r="J1398" s="418">
        <v>2</v>
      </c>
      <c r="K1398" s="248"/>
      <c r="M1398" s="366"/>
    </row>
    <row r="1399" spans="1:32" x14ac:dyDescent="0.25">
      <c r="A1399" s="308">
        <v>45372</v>
      </c>
      <c r="B1399" s="416">
        <v>1261319</v>
      </c>
      <c r="C1399" s="413" t="str">
        <f>IFERROR(INDEX(Table14[],MATCH($B1399,Table14[SAPNo],0),3),"")</f>
        <v>1308 CT155 U-60</v>
      </c>
      <c r="D1399" s="306"/>
      <c r="E1399" s="421">
        <v>24</v>
      </c>
      <c r="F1399" s="421"/>
      <c r="G1399" s="417" t="s">
        <v>1584</v>
      </c>
      <c r="H1399" s="598">
        <v>14127553</v>
      </c>
      <c r="I1399" s="322" t="s">
        <v>1440</v>
      </c>
      <c r="J1399" s="418"/>
      <c r="K1399" s="248"/>
      <c r="M1399" s="366"/>
      <c r="AF1399">
        <v>24</v>
      </c>
    </row>
    <row r="1400" spans="1:32" x14ac:dyDescent="0.25">
      <c r="A1400" s="308">
        <v>45372</v>
      </c>
      <c r="B1400" s="416">
        <v>1228503</v>
      </c>
      <c r="C1400" s="413" t="str">
        <f>IFERROR(INDEX(Table14[],MATCH($B1400,Table14[SAPNo],0),3),"")</f>
        <v>1618 CT182 U-60 Ring</v>
      </c>
      <c r="D1400" s="306"/>
      <c r="E1400" s="421">
        <v>10</v>
      </c>
      <c r="F1400" s="421"/>
      <c r="G1400" s="417" t="s">
        <v>1584</v>
      </c>
      <c r="H1400" s="598">
        <v>14127553</v>
      </c>
      <c r="I1400" s="322" t="s">
        <v>1440</v>
      </c>
      <c r="J1400" s="418"/>
      <c r="K1400" s="248"/>
      <c r="M1400" s="366"/>
      <c r="AF1400">
        <v>10</v>
      </c>
    </row>
    <row r="1401" spans="1:32" x14ac:dyDescent="0.25">
      <c r="A1401" s="308">
        <v>45372</v>
      </c>
      <c r="B1401" s="416">
        <v>1228502</v>
      </c>
      <c r="C1401" s="413" t="str">
        <f>IFERROR(INDEX(Table14[],MATCH($B1401,Table14[SAPNo],0),3),"")</f>
        <v>1618 CT182 U-60 Rotor</v>
      </c>
      <c r="D1401" s="306"/>
      <c r="E1401" s="421">
        <v>10</v>
      </c>
      <c r="F1401" s="421"/>
      <c r="G1401" s="417" t="s">
        <v>1584</v>
      </c>
      <c r="H1401" s="598">
        <v>14127553</v>
      </c>
      <c r="I1401" s="322" t="s">
        <v>1440</v>
      </c>
      <c r="J1401" s="418"/>
      <c r="K1401" s="248"/>
      <c r="M1401" s="366"/>
      <c r="AF1401">
        <v>10</v>
      </c>
    </row>
    <row r="1402" spans="1:32" x14ac:dyDescent="0.25">
      <c r="A1402" s="308">
        <v>45372</v>
      </c>
      <c r="B1402" s="416">
        <v>1220554</v>
      </c>
      <c r="C1402" s="413" t="str">
        <f>IFERROR(INDEX(Table14[],MATCH($B1402,Table14[SAPNo],0),3),"")</f>
        <v xml:space="preserve">1618 CT182 U-60 Carbide </v>
      </c>
      <c r="D1402" s="306"/>
      <c r="E1402" s="421">
        <v>10</v>
      </c>
      <c r="F1402" s="421"/>
      <c r="G1402" s="417" t="s">
        <v>1584</v>
      </c>
      <c r="H1402" s="598">
        <v>14127553</v>
      </c>
      <c r="I1402" s="322" t="s">
        <v>1440</v>
      </c>
      <c r="J1402" s="418"/>
      <c r="K1402" s="248"/>
      <c r="M1402" s="366"/>
      <c r="AF1402">
        <v>10</v>
      </c>
    </row>
    <row r="1403" spans="1:32" x14ac:dyDescent="0.25">
      <c r="A1403" s="308">
        <v>45372</v>
      </c>
      <c r="B1403" s="416">
        <v>1228501</v>
      </c>
      <c r="C1403" s="413" t="str">
        <f>IFERROR(INDEX(Table14[],MATCH($B1403,Table14[SAPNo],0),3),"")</f>
        <v>1618 CT182 U-60 stator</v>
      </c>
      <c r="D1403" s="306"/>
      <c r="E1403" s="421">
        <v>10</v>
      </c>
      <c r="F1403" s="421"/>
      <c r="G1403" s="417" t="s">
        <v>1584</v>
      </c>
      <c r="H1403" s="598">
        <v>14127553</v>
      </c>
      <c r="I1403" s="322" t="s">
        <v>1440</v>
      </c>
      <c r="J1403" s="418"/>
      <c r="K1403" s="248"/>
      <c r="M1403" s="366"/>
      <c r="AF1403">
        <v>10</v>
      </c>
    </row>
    <row r="1404" spans="1:32" x14ac:dyDescent="0.25">
      <c r="A1404" s="308">
        <v>45372</v>
      </c>
      <c r="B1404" s="416">
        <v>871781</v>
      </c>
      <c r="C1404" s="413" t="str">
        <f>IFERROR(INDEX(Table14[],MATCH($B1404,Table14[SAPNo],0),3),"")</f>
        <v>Round 1313 CT200  0.018" (B)</v>
      </c>
      <c r="D1404" s="306"/>
      <c r="E1404" s="421">
        <v>6</v>
      </c>
      <c r="F1404" s="421"/>
      <c r="G1404" s="417" t="s">
        <v>1584</v>
      </c>
      <c r="H1404" s="598">
        <v>14127553</v>
      </c>
      <c r="I1404" s="322" t="s">
        <v>1440</v>
      </c>
      <c r="J1404" s="418"/>
      <c r="K1404" s="248"/>
      <c r="M1404" s="366"/>
      <c r="AF1404">
        <v>6</v>
      </c>
    </row>
    <row r="1405" spans="1:32" x14ac:dyDescent="0.25">
      <c r="A1405" s="308">
        <v>45372</v>
      </c>
      <c r="B1405" s="416">
        <v>1261320</v>
      </c>
      <c r="C1405" s="413" t="str">
        <f>IFERROR(INDEX(Table14[],MATCH($B1405,Table14[SAPNo],0),3),"")</f>
        <v>1313 CT155 U-60</v>
      </c>
      <c r="D1405" s="306"/>
      <c r="E1405" s="421">
        <v>6</v>
      </c>
      <c r="F1405" s="421"/>
      <c r="G1405" s="417" t="s">
        <v>1584</v>
      </c>
      <c r="H1405" s="598">
        <v>14127553</v>
      </c>
      <c r="I1405" s="322" t="s">
        <v>1440</v>
      </c>
      <c r="J1405" s="418"/>
      <c r="K1405" s="248"/>
      <c r="M1405" s="366"/>
      <c r="AF1405">
        <v>6</v>
      </c>
    </row>
    <row r="1406" spans="1:32" x14ac:dyDescent="0.25">
      <c r="A1406" s="320">
        <v>45372</v>
      </c>
      <c r="B1406" s="419">
        <v>1261321</v>
      </c>
      <c r="C1406" s="413" t="str">
        <f>IFERROR(INDEX(Table14[],MATCH($B1406,Table14[SAPNo],0),3),"")</f>
        <v>1613 CT155 U-60</v>
      </c>
      <c r="D1406" s="306"/>
      <c r="E1406" s="421">
        <v>4</v>
      </c>
      <c r="F1406" s="421"/>
      <c r="G1406" s="417" t="s">
        <v>1584</v>
      </c>
      <c r="H1406" s="599">
        <v>14127553</v>
      </c>
      <c r="I1406" s="322" t="s">
        <v>1440</v>
      </c>
      <c r="J1406" s="421"/>
      <c r="K1406" s="422"/>
      <c r="M1406" s="366"/>
      <c r="AF1406">
        <v>4</v>
      </c>
    </row>
    <row r="1407" spans="1:32" x14ac:dyDescent="0.25">
      <c r="A1407" s="320">
        <v>45372</v>
      </c>
      <c r="B1407" s="416">
        <v>1220688</v>
      </c>
      <c r="C1407" s="413" t="str">
        <f>IFERROR(INDEX(Table14[],MATCH($B1407,Table14[SAPNo],0),3),"")</f>
        <v>1005 CT155 U-60</v>
      </c>
      <c r="D1407" s="306"/>
      <c r="E1407" s="421">
        <v>38</v>
      </c>
      <c r="F1407" s="421"/>
      <c r="G1407" s="417" t="s">
        <v>1585</v>
      </c>
      <c r="H1407" s="598">
        <v>14127148</v>
      </c>
      <c r="I1407" s="322" t="s">
        <v>1586</v>
      </c>
      <c r="J1407" s="418"/>
      <c r="K1407" s="248"/>
      <c r="M1407" s="422"/>
      <c r="AF1407">
        <v>38</v>
      </c>
    </row>
    <row r="1408" spans="1:32" x14ac:dyDescent="0.25">
      <c r="A1408" s="320">
        <v>45372</v>
      </c>
      <c r="B1408" s="419">
        <v>1220688</v>
      </c>
      <c r="C1408" s="413" t="str">
        <f>IFERROR(INDEX(Table14[],MATCH($B1408,Table14[SAPNo],0),3),"")</f>
        <v>1005 CT155 U-60</v>
      </c>
      <c r="D1408" s="306"/>
      <c r="E1408" s="421">
        <v>38</v>
      </c>
      <c r="F1408" s="421"/>
      <c r="G1408" s="417" t="s">
        <v>1587</v>
      </c>
      <c r="H1408" s="599">
        <v>14127549</v>
      </c>
      <c r="I1408" s="322" t="s">
        <v>1586</v>
      </c>
      <c r="J1408" s="421"/>
      <c r="K1408" s="422"/>
      <c r="M1408" s="422"/>
      <c r="AF1408">
        <v>38</v>
      </c>
    </row>
    <row r="1409" spans="1:32" x14ac:dyDescent="0.25">
      <c r="A1409" s="308">
        <v>45372</v>
      </c>
      <c r="B1409" s="416">
        <v>708306</v>
      </c>
      <c r="C1409" s="413" t="str">
        <f>IFERROR(INDEX(Table14[],MATCH($B1409,Table14[SAPNo],0),3),"")</f>
        <v>Round 1913 CT200  0.018" (B)</v>
      </c>
      <c r="D1409" s="306"/>
      <c r="E1409" s="421">
        <v>34</v>
      </c>
      <c r="F1409" s="421"/>
      <c r="G1409" s="417" t="s">
        <v>1588</v>
      </c>
      <c r="H1409" s="598">
        <v>14119210</v>
      </c>
      <c r="I1409" s="322" t="s">
        <v>1575</v>
      </c>
      <c r="J1409" s="418"/>
      <c r="K1409" s="248"/>
      <c r="M1409" s="422"/>
      <c r="AF1409">
        <v>34</v>
      </c>
    </row>
    <row r="1410" spans="1:32" x14ac:dyDescent="0.25">
      <c r="A1410" s="308">
        <v>45372</v>
      </c>
      <c r="B1410" s="416">
        <v>1250971</v>
      </c>
      <c r="C1410" s="413" t="str">
        <f>IFERROR(INDEX(Table14[],MATCH($B1410,Table14[SAPNo],0),3),"")</f>
        <v>1913 CT164R U</v>
      </c>
      <c r="D1410" s="306"/>
      <c r="E1410" s="421">
        <v>30</v>
      </c>
      <c r="F1410" s="421"/>
      <c r="G1410" s="417" t="s">
        <v>1588</v>
      </c>
      <c r="H1410" s="598">
        <v>14119210</v>
      </c>
      <c r="I1410" s="322" t="s">
        <v>1575</v>
      </c>
      <c r="J1410" s="418"/>
      <c r="K1410" s="248"/>
      <c r="M1410" s="366"/>
      <c r="AF1410">
        <v>30</v>
      </c>
    </row>
    <row r="1411" spans="1:32" x14ac:dyDescent="0.25">
      <c r="A1411" s="308">
        <v>45372</v>
      </c>
      <c r="B1411" s="416">
        <v>1100759</v>
      </c>
      <c r="C1411" s="413" t="str">
        <f>IFERROR(INDEX(Table14[],MATCH($B1411,Table14[SAPNo],0),3),"")</f>
        <v>1913 CT421 0.018"</v>
      </c>
      <c r="D1411" s="306"/>
      <c r="E1411" s="421">
        <v>18</v>
      </c>
      <c r="F1411" s="421"/>
      <c r="G1411" s="417" t="s">
        <v>1588</v>
      </c>
      <c r="H1411" s="598">
        <v>14119210</v>
      </c>
      <c r="I1411" s="322" t="s">
        <v>1575</v>
      </c>
      <c r="J1411" s="418"/>
      <c r="K1411" s="248"/>
      <c r="M1411" s="366"/>
      <c r="AF1411">
        <v>18</v>
      </c>
    </row>
    <row r="1412" spans="1:32" x14ac:dyDescent="0.25">
      <c r="A1412" s="308">
        <v>45372</v>
      </c>
      <c r="B1412" s="416">
        <v>1146737</v>
      </c>
      <c r="C1412" s="413" t="str">
        <f>IFERROR(INDEX(Table14[],MATCH($B1412,Table14[SAPNo],0),3),"")</f>
        <v>1613 CT418 18-60</v>
      </c>
      <c r="D1412" s="306"/>
      <c r="E1412" s="421">
        <v>9</v>
      </c>
      <c r="F1412" s="421"/>
      <c r="G1412" s="417" t="s">
        <v>1588</v>
      </c>
      <c r="H1412" s="598">
        <v>14119210</v>
      </c>
      <c r="I1412" s="322" t="s">
        <v>1575</v>
      </c>
      <c r="J1412" s="418"/>
      <c r="K1412" s="248"/>
      <c r="M1412" s="366"/>
      <c r="AF1412">
        <v>9</v>
      </c>
    </row>
    <row r="1413" spans="1:32" x14ac:dyDescent="0.25">
      <c r="A1413" s="320">
        <v>45372</v>
      </c>
      <c r="B1413" s="419">
        <v>871781</v>
      </c>
      <c r="C1413" s="413" t="str">
        <f>IFERROR(INDEX(Table14[],MATCH($B1413,Table14[SAPNo],0),3),"")</f>
        <v>Round 1313 CT200  0.018" (B)</v>
      </c>
      <c r="D1413" s="306"/>
      <c r="E1413" s="421">
        <v>8</v>
      </c>
      <c r="F1413" s="421"/>
      <c r="G1413" s="417" t="s">
        <v>1588</v>
      </c>
      <c r="H1413" s="599">
        <v>14119210</v>
      </c>
      <c r="I1413" s="322" t="s">
        <v>1575</v>
      </c>
      <c r="J1413" s="421"/>
      <c r="K1413" s="422"/>
      <c r="M1413" s="366"/>
      <c r="AF1413">
        <v>8</v>
      </c>
    </row>
    <row r="1414" spans="1:32" x14ac:dyDescent="0.25">
      <c r="A1414" s="320">
        <v>45373</v>
      </c>
      <c r="B1414" s="416">
        <v>1220688</v>
      </c>
      <c r="C1414" s="413" t="str">
        <f>IFERROR(INDEX(Table14[],MATCH($B1414,Table14[SAPNo],0),3),"")</f>
        <v>1005 CT155 U-60</v>
      </c>
      <c r="D1414" s="306"/>
      <c r="E1414" s="421">
        <v>38</v>
      </c>
      <c r="F1414" s="421"/>
      <c r="G1414" s="417" t="s">
        <v>1589</v>
      </c>
      <c r="H1414" s="598">
        <v>14127146</v>
      </c>
      <c r="I1414" s="322" t="s">
        <v>1586</v>
      </c>
      <c r="J1414" s="418"/>
      <c r="K1414" s="248"/>
      <c r="M1414" s="422"/>
      <c r="AF1414">
        <v>38</v>
      </c>
    </row>
    <row r="1415" spans="1:32" x14ac:dyDescent="0.25">
      <c r="A1415" s="320">
        <v>45373</v>
      </c>
      <c r="B1415" s="416">
        <v>1220688</v>
      </c>
      <c r="C1415" s="413" t="str">
        <f>IFERROR(INDEX(Table14[],MATCH($B1415,Table14[SAPNo],0),3),"")</f>
        <v>1005 CT155 U-60</v>
      </c>
      <c r="D1415" s="306"/>
      <c r="E1415" s="421">
        <v>38</v>
      </c>
      <c r="F1415" s="421"/>
      <c r="G1415" s="417" t="s">
        <v>1590</v>
      </c>
      <c r="H1415" s="599">
        <v>14127147</v>
      </c>
      <c r="I1415" s="322" t="s">
        <v>1586</v>
      </c>
      <c r="J1415" s="421"/>
      <c r="K1415" s="422"/>
      <c r="M1415" s="473" t="s">
        <v>1591</v>
      </c>
      <c r="AF1415">
        <v>38</v>
      </c>
    </row>
    <row r="1416" spans="1:32" x14ac:dyDescent="0.25">
      <c r="A1416" s="308">
        <v>45377</v>
      </c>
      <c r="B1416" s="416">
        <v>1130198</v>
      </c>
      <c r="C1416" s="413" t="str">
        <f>IFERROR(INDEX(Table14[],MATCH($B1416,Table14[SAPNo],0),3),"")</f>
        <v>Round 1613 CT182  0.018" (S)</v>
      </c>
      <c r="D1416" s="306"/>
      <c r="E1416" s="421">
        <v>9</v>
      </c>
      <c r="F1416" s="421"/>
      <c r="G1416" s="417" t="s">
        <v>1592</v>
      </c>
      <c r="H1416" s="598">
        <v>13917051</v>
      </c>
      <c r="I1416" s="322" t="s">
        <v>1457</v>
      </c>
      <c r="J1416" s="418"/>
      <c r="K1416" s="248"/>
      <c r="M1416" s="422"/>
      <c r="AF1416">
        <v>9</v>
      </c>
    </row>
    <row r="1417" spans="1:32" x14ac:dyDescent="0.25">
      <c r="A1417" s="308">
        <v>45377</v>
      </c>
      <c r="B1417" s="416">
        <v>1100751</v>
      </c>
      <c r="C1417" s="413" t="str">
        <f>IFERROR(INDEX(Table14[],MATCH($B1417,Table14[SAPNo],0),3),"")</f>
        <v>1313 CT421 0.018"</v>
      </c>
      <c r="D1417" s="306"/>
      <c r="E1417" s="421">
        <v>12</v>
      </c>
      <c r="F1417" s="421"/>
      <c r="G1417" s="417" t="s">
        <v>1592</v>
      </c>
      <c r="H1417" s="598">
        <v>13917051</v>
      </c>
      <c r="I1417" s="322" t="s">
        <v>1457</v>
      </c>
      <c r="J1417" s="418"/>
      <c r="K1417" s="248"/>
      <c r="M1417" s="366"/>
      <c r="AF1417">
        <v>12</v>
      </c>
    </row>
    <row r="1418" spans="1:32" x14ac:dyDescent="0.25">
      <c r="A1418" s="308">
        <v>45377</v>
      </c>
      <c r="B1418" s="416">
        <v>871781</v>
      </c>
      <c r="C1418" s="413" t="str">
        <f>IFERROR(INDEX(Table14[],MATCH($B1418,Table14[SAPNo],0),3),"")</f>
        <v>Round 1313 CT200  0.018" (B)</v>
      </c>
      <c r="D1418" s="306"/>
      <c r="E1418" s="421">
        <v>4</v>
      </c>
      <c r="F1418" s="421"/>
      <c r="G1418" s="417" t="s">
        <v>1592</v>
      </c>
      <c r="H1418" s="598">
        <v>13917051</v>
      </c>
      <c r="I1418" s="322" t="s">
        <v>1457</v>
      </c>
      <c r="J1418" s="418"/>
      <c r="K1418" s="248"/>
      <c r="M1418" s="366"/>
      <c r="AF1418">
        <v>4</v>
      </c>
    </row>
    <row r="1419" spans="1:32" x14ac:dyDescent="0.25">
      <c r="A1419" s="308">
        <v>45377</v>
      </c>
      <c r="B1419" s="416">
        <v>1100759</v>
      </c>
      <c r="C1419" s="413" t="str">
        <f>IFERROR(INDEX(Table14[],MATCH($B1419,Table14[SAPNo],0),3),"")</f>
        <v>1913 CT421 0.018"</v>
      </c>
      <c r="D1419" s="306"/>
      <c r="E1419" s="421">
        <v>32</v>
      </c>
      <c r="F1419" s="421"/>
      <c r="G1419" s="417" t="s">
        <v>1592</v>
      </c>
      <c r="H1419" s="598">
        <v>13917051</v>
      </c>
      <c r="I1419" s="322" t="s">
        <v>1457</v>
      </c>
      <c r="J1419" s="418"/>
      <c r="K1419" s="248"/>
      <c r="M1419" s="366"/>
      <c r="AF1419">
        <v>32</v>
      </c>
    </row>
    <row r="1420" spans="1:32" x14ac:dyDescent="0.25">
      <c r="A1420" s="308">
        <v>45377</v>
      </c>
      <c r="B1420" s="416">
        <v>418525</v>
      </c>
      <c r="C1420" s="413" t="str">
        <f>IFERROR(INDEX(Table14[],MATCH($B1420,Table14[SAPNo],0),3),"")</f>
        <v>Drop In 1308 CT31   (B)</v>
      </c>
      <c r="D1420" s="306"/>
      <c r="E1420" s="421">
        <v>3</v>
      </c>
      <c r="F1420" s="421"/>
      <c r="G1420" s="417" t="s">
        <v>1592</v>
      </c>
      <c r="H1420" s="598">
        <v>13917051</v>
      </c>
      <c r="I1420" s="322" t="s">
        <v>1457</v>
      </c>
      <c r="J1420" s="418"/>
      <c r="K1420" s="248"/>
      <c r="M1420" s="366"/>
      <c r="AF1420">
        <v>3</v>
      </c>
    </row>
    <row r="1421" spans="1:32" x14ac:dyDescent="0.25">
      <c r="A1421" s="308">
        <v>45377</v>
      </c>
      <c r="B1421" s="416">
        <v>882800</v>
      </c>
      <c r="C1421" s="413" t="str">
        <f>IFERROR(INDEX(Table14[],MATCH($B1421,Table14[SAPNo],0),3),"")</f>
        <v>Round 0808 CT80  0.018" (B)</v>
      </c>
      <c r="D1421" s="306"/>
      <c r="E1421" s="421">
        <v>10</v>
      </c>
      <c r="F1421" s="421"/>
      <c r="G1421" s="417" t="s">
        <v>1593</v>
      </c>
      <c r="H1421" s="598">
        <v>14036258</v>
      </c>
      <c r="I1421" s="322" t="s">
        <v>1594</v>
      </c>
      <c r="J1421" s="418"/>
      <c r="K1421" s="248"/>
      <c r="M1421" s="366"/>
      <c r="AF1421">
        <v>10</v>
      </c>
    </row>
    <row r="1422" spans="1:32" x14ac:dyDescent="0.25">
      <c r="A1422" s="308">
        <v>45377</v>
      </c>
      <c r="B1422" s="416">
        <v>1130193</v>
      </c>
      <c r="C1422" s="413" t="str">
        <f>IFERROR(INDEX(Table14[],MATCH($B1422,Table14[SAPNo],0),3),"")</f>
        <v xml:space="preserve"> 1005 CT182  0.018 (S)</v>
      </c>
      <c r="D1422" s="306"/>
      <c r="E1422" s="421">
        <v>8</v>
      </c>
      <c r="F1422" s="421"/>
      <c r="G1422" s="417" t="s">
        <v>1593</v>
      </c>
      <c r="H1422" s="598">
        <v>14036258</v>
      </c>
      <c r="I1422" s="322" t="s">
        <v>1594</v>
      </c>
      <c r="J1422" s="418"/>
      <c r="K1422" s="248"/>
      <c r="M1422" s="366"/>
      <c r="AF1422">
        <v>8</v>
      </c>
    </row>
    <row r="1423" spans="1:32" x14ac:dyDescent="0.25">
      <c r="A1423" s="308">
        <v>45377</v>
      </c>
      <c r="B1423" s="416">
        <v>1130194</v>
      </c>
      <c r="C1423" s="413" t="str">
        <f>IFERROR(INDEX(Table14[],MATCH($B1423,Table14[SAPNo],0),3),"")</f>
        <v>1010 CT182 18C</v>
      </c>
      <c r="D1423" s="306"/>
      <c r="E1423" s="421">
        <v>26</v>
      </c>
      <c r="F1423" s="421"/>
      <c r="G1423" s="417" t="s">
        <v>1593</v>
      </c>
      <c r="H1423" s="598">
        <v>14036258</v>
      </c>
      <c r="I1423" s="322" t="s">
        <v>1594</v>
      </c>
      <c r="J1423" s="418"/>
      <c r="K1423" s="248"/>
      <c r="M1423" s="366"/>
      <c r="AF1423">
        <v>26</v>
      </c>
    </row>
    <row r="1424" spans="1:32" x14ac:dyDescent="0.25">
      <c r="A1424" s="308">
        <v>45377</v>
      </c>
      <c r="B1424" s="416">
        <v>882800</v>
      </c>
      <c r="C1424" s="413" t="str">
        <f>IFERROR(INDEX(Table14[],MATCH($B1424,Table14[SAPNo],0),3),"")</f>
        <v>Round 0808 CT80  0.018" (B)</v>
      </c>
      <c r="D1424" s="306"/>
      <c r="E1424" s="421">
        <v>10</v>
      </c>
      <c r="F1424" s="421"/>
      <c r="G1424" s="417" t="s">
        <v>1595</v>
      </c>
      <c r="H1424" s="598">
        <v>14036262</v>
      </c>
      <c r="I1424" s="322" t="s">
        <v>1594</v>
      </c>
      <c r="J1424" s="418"/>
      <c r="K1424" s="248"/>
      <c r="M1424" s="366"/>
      <c r="AF1424">
        <v>10</v>
      </c>
    </row>
    <row r="1425" spans="1:32" x14ac:dyDescent="0.25">
      <c r="A1425" s="308">
        <v>45377</v>
      </c>
      <c r="B1425" s="416">
        <v>1130193</v>
      </c>
      <c r="C1425" s="413" t="str">
        <f>IFERROR(INDEX(Table14[],MATCH($B1425,Table14[SAPNo],0),3),"")</f>
        <v xml:space="preserve"> 1005 CT182  0.018 (S)</v>
      </c>
      <c r="D1425" s="306"/>
      <c r="E1425" s="421">
        <v>8</v>
      </c>
      <c r="F1425" s="421"/>
      <c r="G1425" s="417" t="s">
        <v>1595</v>
      </c>
      <c r="H1425" s="598">
        <v>14036262</v>
      </c>
      <c r="I1425" s="322" t="s">
        <v>1594</v>
      </c>
      <c r="J1425" s="418"/>
      <c r="K1425" s="248"/>
      <c r="M1425" s="366"/>
      <c r="AF1425">
        <v>8</v>
      </c>
    </row>
    <row r="1426" spans="1:32" x14ac:dyDescent="0.25">
      <c r="A1426" s="308">
        <v>45377</v>
      </c>
      <c r="B1426" s="416">
        <v>1130194</v>
      </c>
      <c r="C1426" s="413" t="str">
        <f>IFERROR(INDEX(Table14[],MATCH($B1426,Table14[SAPNo],0),3),"")</f>
        <v>1010 CT182 18C</v>
      </c>
      <c r="D1426" s="306"/>
      <c r="E1426" s="421">
        <v>26</v>
      </c>
      <c r="F1426" s="421"/>
      <c r="G1426" s="417" t="s">
        <v>1595</v>
      </c>
      <c r="H1426" s="598">
        <v>14036262</v>
      </c>
      <c r="I1426" s="322" t="s">
        <v>1594</v>
      </c>
      <c r="J1426" s="418"/>
      <c r="K1426" s="248"/>
      <c r="M1426" s="366"/>
      <c r="AF1426">
        <v>26</v>
      </c>
    </row>
    <row r="1427" spans="1:32" x14ac:dyDescent="0.25">
      <c r="A1427" s="308">
        <v>45378</v>
      </c>
      <c r="B1427" s="416">
        <v>882800</v>
      </c>
      <c r="C1427" s="413" t="str">
        <f>IFERROR(INDEX(Table14[],MATCH($B1427,Table14[SAPNo],0),3),"")</f>
        <v>Round 0808 CT80  0.018" (B)</v>
      </c>
      <c r="D1427" s="306"/>
      <c r="E1427" s="421">
        <v>10</v>
      </c>
      <c r="F1427" s="421"/>
      <c r="G1427" s="417" t="s">
        <v>1596</v>
      </c>
      <c r="H1427" s="598">
        <v>14127140</v>
      </c>
      <c r="I1427" s="322" t="s">
        <v>1594</v>
      </c>
      <c r="J1427" s="418"/>
      <c r="K1427" s="248"/>
      <c r="M1427" s="366"/>
      <c r="AF1427">
        <v>10</v>
      </c>
    </row>
    <row r="1428" spans="1:32" x14ac:dyDescent="0.25">
      <c r="A1428" s="308">
        <v>45378</v>
      </c>
      <c r="B1428" s="416">
        <v>1130193</v>
      </c>
      <c r="C1428" s="413" t="str">
        <f>IFERROR(INDEX(Table14[],MATCH($B1428,Table14[SAPNo],0),3),"")</f>
        <v xml:space="preserve"> 1005 CT182  0.018 (S)</v>
      </c>
      <c r="D1428" s="306"/>
      <c r="E1428" s="421">
        <v>8</v>
      </c>
      <c r="F1428" s="421"/>
      <c r="G1428" s="417" t="s">
        <v>1596</v>
      </c>
      <c r="H1428" s="598">
        <v>14127140</v>
      </c>
      <c r="I1428" s="322" t="s">
        <v>1594</v>
      </c>
      <c r="J1428" s="418"/>
      <c r="K1428" s="248"/>
      <c r="M1428" s="366"/>
      <c r="AF1428">
        <v>8</v>
      </c>
    </row>
    <row r="1429" spans="1:32" x14ac:dyDescent="0.25">
      <c r="A1429" s="308">
        <v>45378</v>
      </c>
      <c r="B1429" s="416">
        <v>1130194</v>
      </c>
      <c r="C1429" s="413" t="str">
        <f>IFERROR(INDEX(Table14[],MATCH($B1429,Table14[SAPNo],0),3),"")</f>
        <v>1010 CT182 18C</v>
      </c>
      <c r="D1429" s="306"/>
      <c r="E1429" s="421">
        <v>26</v>
      </c>
      <c r="F1429" s="421"/>
      <c r="G1429" s="417" t="s">
        <v>1596</v>
      </c>
      <c r="H1429" s="598">
        <v>14127140</v>
      </c>
      <c r="I1429" s="322" t="s">
        <v>1594</v>
      </c>
      <c r="J1429" s="418"/>
      <c r="K1429" s="248"/>
      <c r="M1429" s="366"/>
      <c r="AF1429">
        <v>26</v>
      </c>
    </row>
    <row r="1430" spans="1:32" x14ac:dyDescent="0.25">
      <c r="A1430" s="308">
        <v>45378</v>
      </c>
      <c r="B1430" s="416">
        <v>1130193</v>
      </c>
      <c r="C1430" s="413" t="str">
        <f>IFERROR(INDEX(Table14[],MATCH($B1430,Table14[SAPNo],0),3),"")</f>
        <v xml:space="preserve"> 1005 CT182  0.018 (S)</v>
      </c>
      <c r="D1430" s="306"/>
      <c r="E1430" s="421">
        <v>8</v>
      </c>
      <c r="F1430" s="421"/>
      <c r="G1430" s="417" t="s">
        <v>1597</v>
      </c>
      <c r="H1430" s="598">
        <v>14127141</v>
      </c>
      <c r="I1430" s="322" t="s">
        <v>1594</v>
      </c>
      <c r="J1430" s="418"/>
      <c r="K1430" s="248"/>
      <c r="M1430" s="366"/>
      <c r="AF1430">
        <v>8</v>
      </c>
    </row>
    <row r="1431" spans="1:32" x14ac:dyDescent="0.25">
      <c r="A1431" s="308">
        <v>45378</v>
      </c>
      <c r="B1431" s="416">
        <v>1130194</v>
      </c>
      <c r="C1431" s="413" t="str">
        <f>IFERROR(INDEX(Table14[],MATCH($B1431,Table14[SAPNo],0),3),"")</f>
        <v>1010 CT182 18C</v>
      </c>
      <c r="D1431" s="306"/>
      <c r="E1431" s="421">
        <v>26</v>
      </c>
      <c r="F1431" s="421"/>
      <c r="G1431" s="417" t="s">
        <v>1597</v>
      </c>
      <c r="H1431" s="598">
        <v>14127141</v>
      </c>
      <c r="I1431" s="322" t="s">
        <v>1594</v>
      </c>
      <c r="J1431" s="418"/>
      <c r="K1431" s="248"/>
      <c r="M1431" s="366"/>
      <c r="AF1431">
        <v>26</v>
      </c>
    </row>
    <row r="1432" spans="1:32" x14ac:dyDescent="0.25">
      <c r="A1432" s="308">
        <v>45378</v>
      </c>
      <c r="B1432" s="416">
        <v>882800</v>
      </c>
      <c r="C1432" s="413" t="str">
        <f>IFERROR(INDEX(Table14[],MATCH($B1432,Table14[SAPNo],0),3),"")</f>
        <v>Round 0808 CT80  0.018" (B)</v>
      </c>
      <c r="D1432" s="306"/>
      <c r="E1432" s="421">
        <v>10</v>
      </c>
      <c r="F1432" s="421"/>
      <c r="G1432" s="417" t="s">
        <v>1597</v>
      </c>
      <c r="H1432" s="598">
        <v>14127141</v>
      </c>
      <c r="I1432" s="322" t="s">
        <v>1594</v>
      </c>
      <c r="J1432" s="418"/>
      <c r="K1432" s="248"/>
      <c r="M1432" s="366"/>
      <c r="AF1432">
        <v>10</v>
      </c>
    </row>
    <row r="1433" spans="1:32" x14ac:dyDescent="0.25">
      <c r="A1433" s="308">
        <v>45378</v>
      </c>
      <c r="B1433" s="416">
        <v>1130198</v>
      </c>
      <c r="C1433" s="413" t="str">
        <f>IFERROR(INDEX(Table14[],MATCH($B1433,Table14[SAPNo],0),3),"")</f>
        <v>Round 1613 CT182  0.018" (S)</v>
      </c>
      <c r="D1433" s="306"/>
      <c r="E1433" s="421">
        <v>9</v>
      </c>
      <c r="F1433" s="421"/>
      <c r="G1433" s="417" t="s">
        <v>1598</v>
      </c>
      <c r="H1433" s="598">
        <v>14144637</v>
      </c>
      <c r="I1433" s="322" t="s">
        <v>1599</v>
      </c>
      <c r="J1433" s="418"/>
      <c r="K1433" s="248"/>
      <c r="M1433" s="366"/>
      <c r="AF1433">
        <v>9</v>
      </c>
    </row>
    <row r="1434" spans="1:32" x14ac:dyDescent="0.25">
      <c r="A1434" s="308">
        <v>45378</v>
      </c>
      <c r="B1434" s="416">
        <v>1100759</v>
      </c>
      <c r="C1434" s="413" t="str">
        <f>IFERROR(INDEX(Table14[],MATCH($B1434,Table14[SAPNo],0),3),"")</f>
        <v>1913 CT421 0.018"</v>
      </c>
      <c r="D1434" s="306"/>
      <c r="E1434" s="421">
        <v>48</v>
      </c>
      <c r="F1434" s="421"/>
      <c r="G1434" s="417" t="s">
        <v>1598</v>
      </c>
      <c r="H1434" s="598">
        <v>14144637</v>
      </c>
      <c r="I1434" s="322" t="s">
        <v>1599</v>
      </c>
      <c r="J1434" s="418"/>
      <c r="K1434" s="248"/>
      <c r="M1434" s="366"/>
      <c r="AF1434">
        <v>48</v>
      </c>
    </row>
    <row r="1435" spans="1:32" x14ac:dyDescent="0.25">
      <c r="A1435" s="308">
        <v>45378</v>
      </c>
      <c r="B1435" s="416">
        <v>708306</v>
      </c>
      <c r="C1435" s="413" t="str">
        <f>IFERROR(INDEX(Table14[],MATCH($B1435,Table14[SAPNo],0),3),"")</f>
        <v>Round 1913 CT200  0.018" (B)</v>
      </c>
      <c r="D1435" s="306"/>
      <c r="E1435" s="421">
        <v>34</v>
      </c>
      <c r="F1435" s="421"/>
      <c r="G1435" s="417" t="s">
        <v>1598</v>
      </c>
      <c r="H1435" s="598">
        <v>14144637</v>
      </c>
      <c r="I1435" s="322" t="s">
        <v>1599</v>
      </c>
      <c r="J1435" s="418"/>
      <c r="K1435" s="248"/>
      <c r="M1435" s="366"/>
      <c r="AF1435">
        <v>34</v>
      </c>
    </row>
    <row r="1436" spans="1:32" x14ac:dyDescent="0.25">
      <c r="A1436" s="308">
        <v>45378</v>
      </c>
      <c r="B1436" s="416">
        <v>871781</v>
      </c>
      <c r="C1436" s="413" t="str">
        <f>IFERROR(INDEX(Table14[],MATCH($B1436,Table14[SAPNo],0),3),"")</f>
        <v>Round 1313 CT200  0.018" (B)</v>
      </c>
      <c r="D1436" s="306"/>
      <c r="E1436" s="421">
        <v>8</v>
      </c>
      <c r="F1436" s="421"/>
      <c r="G1436" s="417" t="s">
        <v>1598</v>
      </c>
      <c r="H1436" s="598">
        <v>14144637</v>
      </c>
      <c r="I1436" s="322" t="s">
        <v>1599</v>
      </c>
      <c r="J1436" s="418"/>
      <c r="K1436" s="248"/>
      <c r="M1436" s="366"/>
      <c r="AF1436">
        <v>8</v>
      </c>
    </row>
    <row r="1437" spans="1:32" x14ac:dyDescent="0.25">
      <c r="A1437" s="308">
        <v>45378</v>
      </c>
      <c r="B1437" s="416">
        <v>1039060</v>
      </c>
      <c r="C1437" s="413" t="str">
        <f>IFERROR(INDEX(Table14[],MATCH($B1437,Table14[SAPNo],0),3),"")</f>
        <v>Round 1613 CT138  0.018" (S)</v>
      </c>
      <c r="D1437" s="306"/>
      <c r="E1437" s="421">
        <v>33</v>
      </c>
      <c r="F1437" s="421"/>
      <c r="G1437" s="417" t="s">
        <v>1600</v>
      </c>
      <c r="H1437" s="598">
        <v>13870632</v>
      </c>
      <c r="I1437" s="322" t="s">
        <v>1601</v>
      </c>
      <c r="J1437" s="418"/>
      <c r="K1437" s="248"/>
      <c r="M1437" s="366"/>
      <c r="AF1437">
        <v>33</v>
      </c>
    </row>
    <row r="1438" spans="1:32" x14ac:dyDescent="0.25">
      <c r="A1438" s="308">
        <v>45378</v>
      </c>
      <c r="B1438" s="416">
        <v>418525</v>
      </c>
      <c r="C1438" s="413" t="str">
        <f>IFERROR(INDEX(Table14[],MATCH($B1438,Table14[SAPNo],0),3),"")</f>
        <v>Drop In 1308 CT31   (B)</v>
      </c>
      <c r="D1438" s="306"/>
      <c r="E1438" s="421">
        <v>6</v>
      </c>
      <c r="F1438" s="421"/>
      <c r="G1438" s="417" t="s">
        <v>1600</v>
      </c>
      <c r="H1438" s="598">
        <v>13870632</v>
      </c>
      <c r="I1438" s="322" t="s">
        <v>1601</v>
      </c>
      <c r="J1438" s="418"/>
      <c r="K1438" s="248"/>
      <c r="M1438" s="366"/>
      <c r="AF1438">
        <v>6</v>
      </c>
    </row>
    <row r="1439" spans="1:32" x14ac:dyDescent="0.25">
      <c r="A1439" s="308">
        <v>45378</v>
      </c>
      <c r="B1439" s="416">
        <v>1130197</v>
      </c>
      <c r="C1439" s="413" t="str">
        <f>IFERROR(INDEX(Table14[],MATCH($B1439,Table14[SAPNo],0),3),"")</f>
        <v>Round 1608 CT182  0.018" (S)</v>
      </c>
      <c r="D1439" s="306"/>
      <c r="E1439" s="421">
        <v>23</v>
      </c>
      <c r="F1439" s="421"/>
      <c r="G1439" s="417" t="s">
        <v>1600</v>
      </c>
      <c r="H1439" s="598">
        <v>13870632</v>
      </c>
      <c r="I1439" s="322" t="s">
        <v>1601</v>
      </c>
      <c r="J1439" s="418"/>
      <c r="K1439" s="248"/>
      <c r="M1439" s="366"/>
      <c r="AF1439">
        <v>23</v>
      </c>
    </row>
    <row r="1440" spans="1:32" x14ac:dyDescent="0.25">
      <c r="A1440" s="308">
        <v>45378</v>
      </c>
      <c r="B1440" s="416">
        <v>1220688</v>
      </c>
      <c r="C1440" s="413" t="str">
        <f>IFERROR(INDEX(Table14[],MATCH($B1440,Table14[SAPNo],0),3),"")</f>
        <v>1005 CT155 U-60</v>
      </c>
      <c r="D1440" s="306"/>
      <c r="E1440" s="421">
        <v>38</v>
      </c>
      <c r="F1440" s="421"/>
      <c r="G1440" s="417" t="s">
        <v>1602</v>
      </c>
      <c r="H1440" s="598">
        <v>14127144</v>
      </c>
      <c r="I1440" s="322" t="s">
        <v>1586</v>
      </c>
      <c r="J1440" s="418"/>
      <c r="K1440" s="248"/>
      <c r="M1440" s="366"/>
      <c r="AF1440">
        <v>38</v>
      </c>
    </row>
    <row r="1441" spans="1:32" x14ac:dyDescent="0.25">
      <c r="A1441" s="320">
        <v>45378</v>
      </c>
      <c r="B1441" s="419">
        <v>717748</v>
      </c>
      <c r="C1441" s="413" t="str">
        <f>IFERROR(INDEX(Table14[],MATCH($B1441,Table14[SAPNo],0),3),"")</f>
        <v>Round 1010 CT200  0.018" (B)</v>
      </c>
      <c r="D1441" s="306"/>
      <c r="E1441" s="421">
        <v>0</v>
      </c>
      <c r="F1441" s="421"/>
      <c r="G1441" s="420">
        <v>20241045</v>
      </c>
      <c r="H1441" s="599" t="s">
        <v>1603</v>
      </c>
      <c r="I1441" s="322" t="s">
        <v>1572</v>
      </c>
      <c r="J1441" s="421">
        <v>4</v>
      </c>
      <c r="K1441" s="422"/>
      <c r="M1441" s="366"/>
      <c r="AF1441">
        <v>0</v>
      </c>
    </row>
    <row r="1442" spans="1:32" x14ac:dyDescent="0.25">
      <c r="A1442" s="320">
        <v>45379</v>
      </c>
      <c r="B1442" s="419">
        <v>1100696</v>
      </c>
      <c r="C1442" s="413" t="str">
        <f>IFERROR(INDEX(Table14[],MATCH($B1442,Table14[SAPNo],0),3),"")</f>
        <v>Round 1313 CT418  10C (S)</v>
      </c>
      <c r="D1442" s="306"/>
      <c r="E1442" s="421">
        <v>0</v>
      </c>
      <c r="F1442" s="421"/>
      <c r="G1442" s="420" t="s">
        <v>1551</v>
      </c>
      <c r="H1442" s="599">
        <v>14012908</v>
      </c>
      <c r="I1442" s="322" t="s">
        <v>1604</v>
      </c>
      <c r="J1442" s="421"/>
      <c r="K1442" s="422" t="s">
        <v>1605</v>
      </c>
      <c r="M1442" s="422"/>
      <c r="AF1442">
        <v>0</v>
      </c>
    </row>
    <row r="1443" spans="1:32" x14ac:dyDescent="0.25">
      <c r="A1443" s="320">
        <v>45379</v>
      </c>
      <c r="B1443" s="419">
        <v>1145493</v>
      </c>
      <c r="C1443" s="413" t="str">
        <f>IFERROR(INDEX(Table14[],MATCH($B1443,Table14[SAPNo],0),3),"")</f>
        <v>Round 1313 CT427  10C (S)</v>
      </c>
      <c r="D1443" s="306"/>
      <c r="E1443" s="421">
        <v>0</v>
      </c>
      <c r="F1443" s="421"/>
      <c r="G1443" s="420">
        <v>20241013</v>
      </c>
      <c r="H1443" s="599" t="s">
        <v>1606</v>
      </c>
      <c r="I1443" s="322" t="s">
        <v>1518</v>
      </c>
      <c r="J1443" s="421"/>
      <c r="K1443" s="422"/>
      <c r="M1443" s="422"/>
      <c r="AF1443">
        <v>0</v>
      </c>
    </row>
    <row r="1444" spans="1:32" x14ac:dyDescent="0.25">
      <c r="A1444" s="320">
        <v>45379</v>
      </c>
      <c r="B1444" s="419">
        <v>1209332</v>
      </c>
      <c r="C1444" s="413" t="str">
        <f>IFERROR(INDEX(Table14[],MATCH($B1444,Table14[SAPNo],0),3),"")</f>
        <v>1313 CT147G U</v>
      </c>
      <c r="D1444" s="306"/>
      <c r="E1444" s="421">
        <v>0</v>
      </c>
      <c r="F1444" s="421"/>
      <c r="G1444" s="420">
        <v>20241013</v>
      </c>
      <c r="H1444" s="599" t="s">
        <v>1606</v>
      </c>
      <c r="I1444" s="322" t="s">
        <v>1518</v>
      </c>
      <c r="J1444" s="421"/>
      <c r="K1444" s="422"/>
      <c r="M1444" s="422"/>
      <c r="AF1444">
        <v>0</v>
      </c>
    </row>
    <row r="1445" spans="1:32" x14ac:dyDescent="0.25">
      <c r="A1445" s="308">
        <v>45379</v>
      </c>
      <c r="B1445" s="416">
        <v>418525</v>
      </c>
      <c r="C1445" s="413" t="str">
        <f>IFERROR(INDEX(Table14[],MATCH($B1445,Table14[SAPNo],0),3),"")</f>
        <v>Drop In 1308 CT31   (B)</v>
      </c>
      <c r="D1445" s="306"/>
      <c r="E1445" s="421">
        <v>6</v>
      </c>
      <c r="F1445" s="421"/>
      <c r="G1445" s="417" t="s">
        <v>1607</v>
      </c>
      <c r="H1445" s="598">
        <v>13870635</v>
      </c>
      <c r="I1445" s="322" t="s">
        <v>1601</v>
      </c>
      <c r="J1445" s="418"/>
      <c r="K1445" s="248"/>
      <c r="M1445" s="422"/>
      <c r="AF1445">
        <v>6</v>
      </c>
    </row>
    <row r="1446" spans="1:32" x14ac:dyDescent="0.25">
      <c r="A1446" s="308">
        <v>45379</v>
      </c>
      <c r="B1446" s="416">
        <v>1130197</v>
      </c>
      <c r="C1446" s="413" t="str">
        <f>IFERROR(INDEX(Table14[],MATCH($B1446,Table14[SAPNo],0),3),"")</f>
        <v>Round 1608 CT182  0.018" (S)</v>
      </c>
      <c r="D1446" s="306"/>
      <c r="E1446" s="421">
        <v>23</v>
      </c>
      <c r="F1446" s="421"/>
      <c r="G1446" s="417" t="s">
        <v>1607</v>
      </c>
      <c r="H1446" s="598">
        <v>13870635</v>
      </c>
      <c r="I1446" s="322" t="s">
        <v>1601</v>
      </c>
      <c r="J1446" s="418"/>
      <c r="K1446" s="248"/>
      <c r="M1446" s="366"/>
      <c r="AF1446">
        <v>23</v>
      </c>
    </row>
    <row r="1447" spans="1:32" x14ac:dyDescent="0.25">
      <c r="A1447" s="308">
        <v>45379</v>
      </c>
      <c r="B1447" s="416">
        <v>1039060</v>
      </c>
      <c r="C1447" s="413" t="str">
        <f>IFERROR(INDEX(Table14[],MATCH($B1447,Table14[SAPNo],0),3),"")</f>
        <v>Round 1613 CT138  0.018" (S)</v>
      </c>
      <c r="D1447" s="306"/>
      <c r="E1447" s="421">
        <v>33</v>
      </c>
      <c r="F1447" s="421"/>
      <c r="G1447" s="417" t="s">
        <v>1607</v>
      </c>
      <c r="H1447" s="598">
        <v>13870635</v>
      </c>
      <c r="I1447" s="322" t="s">
        <v>1601</v>
      </c>
      <c r="J1447" s="418"/>
      <c r="K1447" s="248"/>
      <c r="M1447" s="366"/>
      <c r="AF1447">
        <v>33</v>
      </c>
    </row>
    <row r="1448" spans="1:32" x14ac:dyDescent="0.25">
      <c r="A1448" s="308">
        <v>45379</v>
      </c>
      <c r="B1448" s="416">
        <v>871781</v>
      </c>
      <c r="C1448" s="413" t="str">
        <f>IFERROR(INDEX(Table14[],MATCH($B1448,Table14[SAPNo],0),3),"")</f>
        <v>Round 1313 CT200  0.018" (B)</v>
      </c>
      <c r="D1448" s="306"/>
      <c r="E1448" s="421">
        <v>6</v>
      </c>
      <c r="F1448" s="421"/>
      <c r="G1448" s="417" t="s">
        <v>1608</v>
      </c>
      <c r="H1448" s="598">
        <v>14127557</v>
      </c>
      <c r="I1448" s="322" t="s">
        <v>1440</v>
      </c>
      <c r="J1448" s="418"/>
      <c r="K1448" s="248"/>
      <c r="M1448" s="366"/>
      <c r="AF1448">
        <v>6</v>
      </c>
    </row>
    <row r="1449" spans="1:32" x14ac:dyDescent="0.25">
      <c r="A1449" s="308">
        <v>45379</v>
      </c>
      <c r="B1449" s="416">
        <v>1261321</v>
      </c>
      <c r="C1449" s="413" t="str">
        <f>IFERROR(INDEX(Table14[],MATCH($B1449,Table14[SAPNo],0),3),"")</f>
        <v>1613 CT155 U-60</v>
      </c>
      <c r="D1449" s="306"/>
      <c r="E1449" s="421">
        <v>4</v>
      </c>
      <c r="F1449" s="421"/>
      <c r="G1449" s="417" t="s">
        <v>1608</v>
      </c>
      <c r="H1449" s="598">
        <v>14127557</v>
      </c>
      <c r="I1449" s="322" t="s">
        <v>1440</v>
      </c>
      <c r="J1449" s="418"/>
      <c r="K1449" s="248"/>
      <c r="M1449" s="366"/>
      <c r="AF1449">
        <v>4</v>
      </c>
    </row>
    <row r="1450" spans="1:32" x14ac:dyDescent="0.25">
      <c r="A1450" s="308">
        <v>45379</v>
      </c>
      <c r="B1450" s="416">
        <v>1261320</v>
      </c>
      <c r="C1450" s="413" t="str">
        <f>IFERROR(INDEX(Table14[],MATCH($B1450,Table14[SAPNo],0),3),"")</f>
        <v>1313 CT155 U-60</v>
      </c>
      <c r="D1450" s="306"/>
      <c r="E1450" s="421">
        <v>6</v>
      </c>
      <c r="F1450" s="421"/>
      <c r="G1450" s="417" t="s">
        <v>1608</v>
      </c>
      <c r="H1450" s="598">
        <v>14127557</v>
      </c>
      <c r="I1450" s="322" t="s">
        <v>1440</v>
      </c>
      <c r="J1450" s="418"/>
      <c r="K1450" s="248"/>
      <c r="M1450" s="366"/>
      <c r="AF1450">
        <v>6</v>
      </c>
    </row>
    <row r="1451" spans="1:32" x14ac:dyDescent="0.25">
      <c r="A1451" s="308">
        <v>45379</v>
      </c>
      <c r="B1451" s="416">
        <v>1261319</v>
      </c>
      <c r="C1451" s="413" t="str">
        <f>IFERROR(INDEX(Table14[],MATCH($B1451,Table14[SAPNo],0),3),"")</f>
        <v>1308 CT155 U-60</v>
      </c>
      <c r="D1451" s="306"/>
      <c r="E1451" s="421">
        <v>24</v>
      </c>
      <c r="F1451" s="421"/>
      <c r="G1451" s="417" t="s">
        <v>1608</v>
      </c>
      <c r="H1451" s="598">
        <v>14127557</v>
      </c>
      <c r="I1451" s="322" t="s">
        <v>1440</v>
      </c>
      <c r="J1451" s="418"/>
      <c r="K1451" s="248"/>
      <c r="M1451" s="366"/>
      <c r="AF1451">
        <v>24</v>
      </c>
    </row>
    <row r="1452" spans="1:32" x14ac:dyDescent="0.25">
      <c r="A1452" s="308">
        <v>45379</v>
      </c>
      <c r="B1452" s="416">
        <v>1228503</v>
      </c>
      <c r="C1452" s="413" t="str">
        <f>IFERROR(INDEX(Table14[],MATCH($B1452,Table14[SAPNo],0),3),"")</f>
        <v>1618 CT182 U-60 Ring</v>
      </c>
      <c r="D1452" s="306"/>
      <c r="E1452" s="421">
        <v>10</v>
      </c>
      <c r="F1452" s="421"/>
      <c r="G1452" s="417" t="s">
        <v>1608</v>
      </c>
      <c r="H1452" s="598">
        <v>14127557</v>
      </c>
      <c r="I1452" s="322" t="s">
        <v>1440</v>
      </c>
      <c r="J1452" s="418"/>
      <c r="K1452" s="248"/>
      <c r="M1452" s="366"/>
      <c r="AF1452">
        <v>10</v>
      </c>
    </row>
    <row r="1453" spans="1:32" x14ac:dyDescent="0.25">
      <c r="A1453" s="308">
        <v>45379</v>
      </c>
      <c r="B1453" s="416">
        <v>1228502</v>
      </c>
      <c r="C1453" s="413" t="str">
        <f>IFERROR(INDEX(Table14[],MATCH($B1453,Table14[SAPNo],0),3),"")</f>
        <v>1618 CT182 U-60 Rotor</v>
      </c>
      <c r="D1453" s="306"/>
      <c r="E1453" s="421">
        <v>10</v>
      </c>
      <c r="F1453" s="421"/>
      <c r="G1453" s="417" t="s">
        <v>1608</v>
      </c>
      <c r="H1453" s="598">
        <v>14127557</v>
      </c>
      <c r="I1453" s="322" t="s">
        <v>1440</v>
      </c>
      <c r="J1453" s="418"/>
      <c r="K1453" s="248"/>
      <c r="M1453" s="366"/>
      <c r="AF1453">
        <v>10</v>
      </c>
    </row>
    <row r="1454" spans="1:32" x14ac:dyDescent="0.25">
      <c r="A1454" s="320">
        <v>45379</v>
      </c>
      <c r="B1454" s="419">
        <v>1228501</v>
      </c>
      <c r="C1454" s="413" t="str">
        <f>IFERROR(INDEX(Table14[],MATCH($B1454,Table14[SAPNo],0),3),"")</f>
        <v>1618 CT182 U-60 stator</v>
      </c>
      <c r="D1454" s="306"/>
      <c r="E1454" s="421">
        <v>10</v>
      </c>
      <c r="F1454" s="421"/>
      <c r="G1454" s="420" t="s">
        <v>1608</v>
      </c>
      <c r="H1454" s="599">
        <v>14127557</v>
      </c>
      <c r="I1454" s="322" t="s">
        <v>1440</v>
      </c>
      <c r="J1454" s="421"/>
      <c r="K1454" s="422"/>
      <c r="M1454" s="366"/>
      <c r="AF1454">
        <v>10</v>
      </c>
    </row>
    <row r="1455" spans="1:32" x14ac:dyDescent="0.25">
      <c r="A1455" s="320">
        <v>45379</v>
      </c>
      <c r="B1455" s="419">
        <v>1220554</v>
      </c>
      <c r="C1455" s="413" t="str">
        <f>IFERROR(INDEX(Table14[],MATCH($B1455,Table14[SAPNo],0),3),"")</f>
        <v xml:space="preserve">1618 CT182 U-60 Carbide </v>
      </c>
      <c r="D1455" s="306"/>
      <c r="E1455" s="421">
        <v>10</v>
      </c>
      <c r="F1455" s="421"/>
      <c r="G1455" s="420" t="s">
        <v>1608</v>
      </c>
      <c r="H1455" s="599">
        <v>14127557</v>
      </c>
      <c r="I1455" s="322" t="s">
        <v>1440</v>
      </c>
      <c r="J1455" s="421"/>
      <c r="K1455" s="422"/>
      <c r="M1455" s="422"/>
      <c r="AF1455">
        <v>10</v>
      </c>
    </row>
    <row r="1456" spans="1:32" x14ac:dyDescent="0.25">
      <c r="A1456" s="308">
        <v>45383</v>
      </c>
      <c r="B1456" s="416">
        <v>1209332</v>
      </c>
      <c r="C1456" s="413" t="str">
        <f>IFERROR(INDEX(Table14[],MATCH($B1456,Table14[SAPNo],0),3),"")</f>
        <v>1313 CT147G U</v>
      </c>
      <c r="D1456" s="306"/>
      <c r="E1456" s="421">
        <v>7</v>
      </c>
      <c r="F1456" s="421"/>
      <c r="G1456" s="417" t="s">
        <v>1609</v>
      </c>
      <c r="H1456" s="598">
        <v>14012911</v>
      </c>
      <c r="I1456" s="322" t="s">
        <v>1604</v>
      </c>
      <c r="J1456" s="418"/>
      <c r="K1456" s="248"/>
      <c r="M1456" s="422"/>
      <c r="AF1456">
        <v>7</v>
      </c>
    </row>
    <row r="1457" spans="1:32" x14ac:dyDescent="0.25">
      <c r="A1457" s="308">
        <v>45383</v>
      </c>
      <c r="B1457" s="416">
        <v>1145493</v>
      </c>
      <c r="C1457" s="413" t="str">
        <f>IFERROR(INDEX(Table14[],MATCH($B1457,Table14[SAPNo],0),3),"")</f>
        <v>Round 1313 CT427  10C (S)</v>
      </c>
      <c r="D1457" s="306"/>
      <c r="E1457" s="421">
        <v>16</v>
      </c>
      <c r="F1457" s="421"/>
      <c r="G1457" s="417" t="s">
        <v>1609</v>
      </c>
      <c r="H1457" s="598">
        <v>14012911</v>
      </c>
      <c r="I1457" s="322" t="s">
        <v>1604</v>
      </c>
      <c r="J1457" s="418"/>
      <c r="K1457" s="248"/>
      <c r="M1457" s="366"/>
      <c r="AF1457">
        <v>16</v>
      </c>
    </row>
    <row r="1458" spans="1:32" x14ac:dyDescent="0.25">
      <c r="A1458" s="308">
        <v>45383</v>
      </c>
      <c r="B1458" s="416">
        <v>418525</v>
      </c>
      <c r="C1458" s="413" t="str">
        <f>IFERROR(INDEX(Table14[],MATCH($B1458,Table14[SAPNo],0),3),"")</f>
        <v>Drop In 1308 CT31   (B)</v>
      </c>
      <c r="D1458" s="306"/>
      <c r="E1458" s="421">
        <v>8</v>
      </c>
      <c r="F1458" s="421"/>
      <c r="G1458" s="417" t="s">
        <v>1610</v>
      </c>
      <c r="H1458" s="598">
        <v>14109681</v>
      </c>
      <c r="I1458" s="322" t="s">
        <v>1487</v>
      </c>
      <c r="J1458" s="418"/>
      <c r="K1458" s="248"/>
      <c r="M1458" s="366"/>
      <c r="AF1458">
        <v>8</v>
      </c>
    </row>
    <row r="1459" spans="1:32" x14ac:dyDescent="0.25">
      <c r="A1459" s="308">
        <v>45383</v>
      </c>
      <c r="B1459" s="416">
        <v>1130198</v>
      </c>
      <c r="C1459" s="413" t="str">
        <f>IFERROR(INDEX(Table14[],MATCH($B1459,Table14[SAPNo],0),3),"")</f>
        <v>Round 1613 CT182  0.018" (S)</v>
      </c>
      <c r="D1459" s="306"/>
      <c r="E1459" s="421">
        <v>147</v>
      </c>
      <c r="F1459" s="421"/>
      <c r="G1459" s="417" t="s">
        <v>1610</v>
      </c>
      <c r="H1459" s="598">
        <v>14109681</v>
      </c>
      <c r="I1459" s="322" t="s">
        <v>1487</v>
      </c>
      <c r="J1459" s="418"/>
      <c r="K1459" s="248"/>
      <c r="M1459" s="366"/>
      <c r="AF1459">
        <v>147</v>
      </c>
    </row>
    <row r="1460" spans="1:32" x14ac:dyDescent="0.25">
      <c r="A1460" s="308">
        <v>45383</v>
      </c>
      <c r="B1460" s="416">
        <v>871781</v>
      </c>
      <c r="C1460" s="413" t="str">
        <f>IFERROR(INDEX(Table14[],MATCH($B1460,Table14[SAPNo],0),3),"")</f>
        <v>Round 1313 CT200  0.018" (B)</v>
      </c>
      <c r="D1460" s="306"/>
      <c r="E1460" s="421">
        <v>6</v>
      </c>
      <c r="F1460" s="421"/>
      <c r="G1460" s="417" t="s">
        <v>1611</v>
      </c>
      <c r="H1460" s="598">
        <v>14127554</v>
      </c>
      <c r="I1460" s="322" t="s">
        <v>1440</v>
      </c>
      <c r="J1460" s="418"/>
      <c r="K1460" s="248"/>
      <c r="M1460" s="366"/>
      <c r="AF1460">
        <v>6</v>
      </c>
    </row>
    <row r="1461" spans="1:32" x14ac:dyDescent="0.25">
      <c r="A1461" s="308">
        <v>45383</v>
      </c>
      <c r="B1461" s="416">
        <v>1261321</v>
      </c>
      <c r="C1461" s="413" t="str">
        <f>IFERROR(INDEX(Table14[],MATCH($B1461,Table14[SAPNo],0),3),"")</f>
        <v>1613 CT155 U-60</v>
      </c>
      <c r="D1461" s="306"/>
      <c r="E1461" s="421">
        <v>4</v>
      </c>
      <c r="F1461" s="421"/>
      <c r="G1461" s="417" t="s">
        <v>1611</v>
      </c>
      <c r="H1461" s="598">
        <v>14127554</v>
      </c>
      <c r="I1461" s="322" t="s">
        <v>1440</v>
      </c>
      <c r="J1461" s="418"/>
      <c r="K1461" s="248"/>
      <c r="M1461" s="366"/>
      <c r="AF1461">
        <v>4</v>
      </c>
    </row>
    <row r="1462" spans="1:32" x14ac:dyDescent="0.25">
      <c r="A1462" s="308">
        <v>45383</v>
      </c>
      <c r="B1462" s="416">
        <v>1261320</v>
      </c>
      <c r="C1462" s="413" t="str">
        <f>IFERROR(INDEX(Table14[],MATCH($B1462,Table14[SAPNo],0),3),"")</f>
        <v>1313 CT155 U-60</v>
      </c>
      <c r="D1462" s="306"/>
      <c r="E1462" s="421">
        <v>6</v>
      </c>
      <c r="F1462" s="421"/>
      <c r="G1462" s="417" t="s">
        <v>1611</v>
      </c>
      <c r="H1462" s="598">
        <v>14127554</v>
      </c>
      <c r="I1462" s="322" t="s">
        <v>1440</v>
      </c>
      <c r="J1462" s="418"/>
      <c r="K1462" s="248"/>
      <c r="M1462" s="366"/>
      <c r="AF1462">
        <v>6</v>
      </c>
    </row>
    <row r="1463" spans="1:32" x14ac:dyDescent="0.25">
      <c r="A1463" s="308">
        <v>45383</v>
      </c>
      <c r="B1463" s="416">
        <v>1261319</v>
      </c>
      <c r="C1463" s="413" t="str">
        <f>IFERROR(INDEX(Table14[],MATCH($B1463,Table14[SAPNo],0),3),"")</f>
        <v>1308 CT155 U-60</v>
      </c>
      <c r="D1463" s="306"/>
      <c r="E1463" s="421">
        <v>24</v>
      </c>
      <c r="F1463" s="421"/>
      <c r="G1463" s="417" t="s">
        <v>1611</v>
      </c>
      <c r="H1463" s="598">
        <v>14127554</v>
      </c>
      <c r="I1463" s="322" t="s">
        <v>1440</v>
      </c>
      <c r="J1463" s="418"/>
      <c r="K1463" s="248"/>
      <c r="M1463" s="366"/>
      <c r="AF1463">
        <v>24</v>
      </c>
    </row>
    <row r="1464" spans="1:32" x14ac:dyDescent="0.25">
      <c r="A1464" s="308">
        <v>45383</v>
      </c>
      <c r="B1464" s="416">
        <v>1228503</v>
      </c>
      <c r="C1464" s="413" t="str">
        <f>IFERROR(INDEX(Table14[],MATCH($B1464,Table14[SAPNo],0),3),"")</f>
        <v>1618 CT182 U-60 Ring</v>
      </c>
      <c r="D1464" s="306"/>
      <c r="E1464" s="421">
        <v>10</v>
      </c>
      <c r="F1464" s="421"/>
      <c r="G1464" s="417" t="s">
        <v>1611</v>
      </c>
      <c r="H1464" s="598">
        <v>14127554</v>
      </c>
      <c r="I1464" s="322" t="s">
        <v>1440</v>
      </c>
      <c r="J1464" s="418"/>
      <c r="K1464" s="248"/>
      <c r="M1464" s="366"/>
      <c r="AF1464">
        <v>10</v>
      </c>
    </row>
    <row r="1465" spans="1:32" x14ac:dyDescent="0.25">
      <c r="A1465" s="308">
        <v>45383</v>
      </c>
      <c r="B1465" s="416">
        <v>1228502</v>
      </c>
      <c r="C1465" s="413" t="str">
        <f>IFERROR(INDEX(Table14[],MATCH($B1465,Table14[SAPNo],0),3),"")</f>
        <v>1618 CT182 U-60 Rotor</v>
      </c>
      <c r="D1465" s="306"/>
      <c r="E1465" s="421">
        <v>10</v>
      </c>
      <c r="F1465" s="421"/>
      <c r="G1465" s="417" t="s">
        <v>1611</v>
      </c>
      <c r="H1465" s="598">
        <v>14127554</v>
      </c>
      <c r="I1465" s="322" t="s">
        <v>1440</v>
      </c>
      <c r="J1465" s="418"/>
      <c r="K1465" s="248"/>
      <c r="M1465" s="366"/>
      <c r="AF1465">
        <v>10</v>
      </c>
    </row>
    <row r="1466" spans="1:32" x14ac:dyDescent="0.25">
      <c r="A1466" s="308">
        <v>45383</v>
      </c>
      <c r="B1466" s="416">
        <v>1228501</v>
      </c>
      <c r="C1466" s="413" t="str">
        <f>IFERROR(INDEX(Table14[],MATCH($B1466,Table14[SAPNo],0),3),"")</f>
        <v>1618 CT182 U-60 stator</v>
      </c>
      <c r="D1466" s="306"/>
      <c r="E1466" s="421">
        <v>10</v>
      </c>
      <c r="F1466" s="421"/>
      <c r="G1466" s="417" t="s">
        <v>1611</v>
      </c>
      <c r="H1466" s="598">
        <v>14127554</v>
      </c>
      <c r="I1466" s="322" t="s">
        <v>1440</v>
      </c>
      <c r="J1466" s="418"/>
      <c r="K1466" s="248"/>
      <c r="M1466" s="366"/>
      <c r="AF1466">
        <v>10</v>
      </c>
    </row>
    <row r="1467" spans="1:32" x14ac:dyDescent="0.25">
      <c r="A1467" s="320">
        <v>45383</v>
      </c>
      <c r="B1467" s="419">
        <v>1220554</v>
      </c>
      <c r="C1467" s="413" t="str">
        <f>IFERROR(INDEX(Table14[],MATCH($B1467,Table14[SAPNo],0),3),"")</f>
        <v xml:space="preserve">1618 CT182 U-60 Carbide </v>
      </c>
      <c r="D1467" s="306"/>
      <c r="E1467" s="421">
        <v>10</v>
      </c>
      <c r="F1467" s="421"/>
      <c r="G1467" s="420" t="s">
        <v>1611</v>
      </c>
      <c r="H1467" s="599">
        <v>14127554</v>
      </c>
      <c r="I1467" s="322" t="s">
        <v>1440</v>
      </c>
      <c r="J1467" s="421"/>
      <c r="K1467" s="422"/>
      <c r="M1467" s="366"/>
      <c r="AF1467">
        <v>10</v>
      </c>
    </row>
    <row r="1468" spans="1:32" x14ac:dyDescent="0.25">
      <c r="A1468" s="320">
        <v>45384</v>
      </c>
      <c r="B1468" s="416">
        <v>773384</v>
      </c>
      <c r="C1468" s="413" t="str">
        <f>IFERROR(INDEX(Table14[],MATCH($B1468,Table14[SAPNo],0),3),"")</f>
        <v>Round 1005 CT200  0.018" (B)</v>
      </c>
      <c r="D1468" s="306"/>
      <c r="E1468" s="421">
        <v>10</v>
      </c>
      <c r="F1468" s="421"/>
      <c r="G1468" s="420" t="s">
        <v>1612</v>
      </c>
      <c r="H1468" s="598">
        <v>14056716</v>
      </c>
      <c r="I1468" s="322" t="s">
        <v>1453</v>
      </c>
      <c r="J1468" s="418"/>
      <c r="K1468" s="248"/>
      <c r="M1468" s="422"/>
      <c r="AF1468">
        <v>10</v>
      </c>
    </row>
    <row r="1469" spans="1:32" x14ac:dyDescent="0.25">
      <c r="A1469" s="308">
        <v>45384</v>
      </c>
      <c r="B1469" s="416">
        <v>882800</v>
      </c>
      <c r="C1469" s="413" t="str">
        <f>IFERROR(INDEX(Table14[],MATCH($B1469,Table14[SAPNo],0),3),"")</f>
        <v>Round 0808 CT80  0.018" (B)</v>
      </c>
      <c r="D1469" s="306"/>
      <c r="E1469" s="421">
        <v>10</v>
      </c>
      <c r="F1469" s="421"/>
      <c r="G1469" s="420" t="s">
        <v>1612</v>
      </c>
      <c r="H1469" s="598">
        <v>14056716</v>
      </c>
      <c r="I1469" s="322" t="s">
        <v>1453</v>
      </c>
      <c r="J1469" s="418"/>
      <c r="K1469" s="248"/>
      <c r="M1469" s="422"/>
      <c r="AF1469">
        <v>10</v>
      </c>
    </row>
    <row r="1470" spans="1:32" x14ac:dyDescent="0.25">
      <c r="A1470" s="308">
        <v>45384</v>
      </c>
      <c r="B1470" s="416">
        <v>1177229</v>
      </c>
      <c r="C1470" s="413" t="str">
        <f>IFERROR(INDEX(Table14[],MATCH($B1470,Table14[SAPNo],0),3),"")</f>
        <v>1010 CT182 U</v>
      </c>
      <c r="D1470" s="306"/>
      <c r="E1470" s="421">
        <v>23</v>
      </c>
      <c r="F1470" s="421"/>
      <c r="G1470" s="420" t="s">
        <v>1612</v>
      </c>
      <c r="H1470" s="598">
        <v>14056716</v>
      </c>
      <c r="I1470" s="322" t="s">
        <v>1453</v>
      </c>
      <c r="J1470" s="418"/>
      <c r="K1470" s="248"/>
      <c r="M1470" s="366"/>
      <c r="AF1470">
        <v>23</v>
      </c>
    </row>
    <row r="1471" spans="1:32" x14ac:dyDescent="0.25">
      <c r="A1471" s="308">
        <v>45384</v>
      </c>
      <c r="B1471" s="416">
        <v>773384</v>
      </c>
      <c r="C1471" s="413" t="str">
        <f>IFERROR(INDEX(Table14[],MATCH($B1471,Table14[SAPNo],0),3),"")</f>
        <v>Round 1005 CT200  0.018" (B)</v>
      </c>
      <c r="D1471" s="306"/>
      <c r="E1471" s="421">
        <v>10</v>
      </c>
      <c r="F1471" s="421"/>
      <c r="G1471" s="420" t="s">
        <v>1613</v>
      </c>
      <c r="H1471" s="598">
        <v>14056717</v>
      </c>
      <c r="I1471" s="322" t="s">
        <v>1453</v>
      </c>
      <c r="J1471" s="418"/>
      <c r="K1471" s="248"/>
      <c r="M1471" s="366"/>
      <c r="AF1471">
        <v>10</v>
      </c>
    </row>
    <row r="1472" spans="1:32" x14ac:dyDescent="0.25">
      <c r="A1472" s="308">
        <v>45384</v>
      </c>
      <c r="B1472" s="416">
        <v>882800</v>
      </c>
      <c r="C1472" s="413" t="str">
        <f>IFERROR(INDEX(Table14[],MATCH($B1472,Table14[SAPNo],0),3),"")</f>
        <v>Round 0808 CT80  0.018" (B)</v>
      </c>
      <c r="D1472" s="306"/>
      <c r="E1472" s="421">
        <v>10</v>
      </c>
      <c r="F1472" s="421"/>
      <c r="G1472" s="420" t="s">
        <v>1613</v>
      </c>
      <c r="H1472" s="598">
        <v>14056717</v>
      </c>
      <c r="I1472" s="322" t="s">
        <v>1453</v>
      </c>
      <c r="J1472" s="418"/>
      <c r="K1472" s="248"/>
      <c r="M1472" s="366"/>
      <c r="AF1472">
        <v>10</v>
      </c>
    </row>
    <row r="1473" spans="1:32" x14ac:dyDescent="0.25">
      <c r="A1473" s="308">
        <v>45384</v>
      </c>
      <c r="B1473" s="416">
        <v>1177229</v>
      </c>
      <c r="C1473" s="413" t="str">
        <f>IFERROR(INDEX(Table14[],MATCH($B1473,Table14[SAPNo],0),3),"")</f>
        <v>1010 CT182 U</v>
      </c>
      <c r="D1473" s="306"/>
      <c r="E1473" s="421">
        <v>14</v>
      </c>
      <c r="F1473" s="421"/>
      <c r="G1473" s="420" t="s">
        <v>1613</v>
      </c>
      <c r="H1473" s="598">
        <v>14056717</v>
      </c>
      <c r="I1473" s="322" t="s">
        <v>1453</v>
      </c>
      <c r="J1473" s="418"/>
      <c r="K1473" s="248"/>
      <c r="M1473" s="366"/>
      <c r="AF1473">
        <v>14</v>
      </c>
    </row>
    <row r="1474" spans="1:32" x14ac:dyDescent="0.25">
      <c r="A1474" s="308">
        <v>45384</v>
      </c>
      <c r="B1474" s="416">
        <v>1177229</v>
      </c>
      <c r="C1474" s="413" t="str">
        <f>IFERROR(INDEX(Table14[],MATCH($B1474,Table14[SAPNo],0),3),"")</f>
        <v>1010 CT182 U</v>
      </c>
      <c r="D1474" s="306"/>
      <c r="E1474" s="421">
        <v>9</v>
      </c>
      <c r="F1474" s="421"/>
      <c r="G1474" s="420" t="s">
        <v>1613</v>
      </c>
      <c r="H1474" s="598">
        <v>14056717</v>
      </c>
      <c r="I1474" s="322" t="s">
        <v>1453</v>
      </c>
      <c r="J1474" s="418"/>
      <c r="K1474" s="248"/>
      <c r="M1474" s="422"/>
      <c r="AF1474">
        <v>9</v>
      </c>
    </row>
    <row r="1475" spans="1:32" x14ac:dyDescent="0.25">
      <c r="A1475" s="308">
        <v>45384</v>
      </c>
      <c r="B1475" s="416">
        <v>1261319</v>
      </c>
      <c r="C1475" s="413" t="str">
        <f>IFERROR(INDEX(Table14[],MATCH($B1475,Table14[SAPNo],0),3),"")</f>
        <v>1308 CT155 U-60</v>
      </c>
      <c r="D1475" s="306"/>
      <c r="E1475" s="421">
        <v>24</v>
      </c>
      <c r="F1475" s="421"/>
      <c r="G1475" s="417" t="s">
        <v>1614</v>
      </c>
      <c r="H1475" s="598">
        <v>14127555</v>
      </c>
      <c r="I1475" s="322" t="s">
        <v>1440</v>
      </c>
      <c r="J1475" s="418"/>
      <c r="K1475" s="248"/>
      <c r="M1475" s="366"/>
      <c r="AF1475">
        <v>24</v>
      </c>
    </row>
    <row r="1476" spans="1:32" x14ac:dyDescent="0.25">
      <c r="A1476" s="308">
        <v>45384</v>
      </c>
      <c r="B1476" s="416">
        <v>1228502</v>
      </c>
      <c r="C1476" s="413" t="str">
        <f>IFERROR(INDEX(Table14[],MATCH($B1476,Table14[SAPNo],0),3),"")</f>
        <v>1618 CT182 U-60 Rotor</v>
      </c>
      <c r="D1476" s="306"/>
      <c r="E1476" s="421">
        <v>10</v>
      </c>
      <c r="F1476" s="421"/>
      <c r="G1476" s="417" t="s">
        <v>1614</v>
      </c>
      <c r="H1476" s="598">
        <v>14127555</v>
      </c>
      <c r="I1476" s="322" t="s">
        <v>1440</v>
      </c>
      <c r="J1476" s="418"/>
      <c r="K1476" s="248"/>
      <c r="M1476" s="366"/>
      <c r="AF1476">
        <v>10</v>
      </c>
    </row>
    <row r="1477" spans="1:32" x14ac:dyDescent="0.25">
      <c r="A1477" s="308">
        <v>45384</v>
      </c>
      <c r="B1477" s="416">
        <v>1228503</v>
      </c>
      <c r="C1477" s="413" t="str">
        <f>IFERROR(INDEX(Table14[],MATCH($B1477,Table14[SAPNo],0),3),"")</f>
        <v>1618 CT182 U-60 Ring</v>
      </c>
      <c r="D1477" s="306"/>
      <c r="E1477" s="421">
        <v>10</v>
      </c>
      <c r="F1477" s="421"/>
      <c r="G1477" s="417" t="s">
        <v>1614</v>
      </c>
      <c r="H1477" s="598">
        <v>14127555</v>
      </c>
      <c r="I1477" s="322" t="s">
        <v>1440</v>
      </c>
      <c r="J1477" s="418"/>
      <c r="K1477" s="248"/>
      <c r="M1477" s="366"/>
      <c r="AF1477">
        <v>10</v>
      </c>
    </row>
    <row r="1478" spans="1:32" x14ac:dyDescent="0.25">
      <c r="A1478" s="308">
        <v>45384</v>
      </c>
      <c r="B1478" s="416">
        <v>1228501</v>
      </c>
      <c r="C1478" s="413" t="str">
        <f>IFERROR(INDEX(Table14[],MATCH($B1478,Table14[SAPNo],0),3),"")</f>
        <v>1618 CT182 U-60 stator</v>
      </c>
      <c r="D1478" s="306"/>
      <c r="E1478" s="421">
        <v>10</v>
      </c>
      <c r="F1478" s="421"/>
      <c r="G1478" s="417" t="s">
        <v>1614</v>
      </c>
      <c r="H1478" s="598">
        <v>14127555</v>
      </c>
      <c r="I1478" s="322" t="s">
        <v>1440</v>
      </c>
      <c r="J1478" s="418"/>
      <c r="K1478" s="248"/>
      <c r="M1478" s="366"/>
      <c r="AF1478">
        <v>10</v>
      </c>
    </row>
    <row r="1479" spans="1:32" x14ac:dyDescent="0.25">
      <c r="A1479" s="320">
        <v>45384</v>
      </c>
      <c r="B1479" s="419">
        <v>871781</v>
      </c>
      <c r="C1479" s="413" t="str">
        <f>IFERROR(INDEX(Table14[],MATCH($B1479,Table14[SAPNo],0),3),"")</f>
        <v>Round 1313 CT200  0.018" (B)</v>
      </c>
      <c r="D1479" s="306"/>
      <c r="E1479" s="421">
        <v>6</v>
      </c>
      <c r="F1479" s="421"/>
      <c r="G1479" s="417" t="s">
        <v>1614</v>
      </c>
      <c r="H1479" s="599">
        <v>14127555</v>
      </c>
      <c r="I1479" s="322" t="s">
        <v>1440</v>
      </c>
      <c r="J1479" s="421"/>
      <c r="K1479" s="422"/>
      <c r="M1479" s="366"/>
      <c r="AF1479">
        <v>6</v>
      </c>
    </row>
    <row r="1480" spans="1:32" x14ac:dyDescent="0.25">
      <c r="A1480" s="308">
        <v>45384</v>
      </c>
      <c r="B1480" s="416">
        <v>1261320</v>
      </c>
      <c r="C1480" s="413" t="str">
        <f>IFERROR(INDEX(Table14[],MATCH($B1480,Table14[SAPNo],0),3),"")</f>
        <v>1313 CT155 U-60</v>
      </c>
      <c r="D1480" s="306"/>
      <c r="E1480" s="421">
        <v>6</v>
      </c>
      <c r="F1480" s="421"/>
      <c r="G1480" s="417" t="s">
        <v>1614</v>
      </c>
      <c r="H1480" s="598">
        <v>14127555</v>
      </c>
      <c r="I1480" s="322" t="s">
        <v>1440</v>
      </c>
      <c r="J1480" s="418"/>
      <c r="K1480" s="248"/>
      <c r="M1480" s="422"/>
      <c r="AF1480">
        <v>6</v>
      </c>
    </row>
    <row r="1481" spans="1:32" x14ac:dyDescent="0.25">
      <c r="A1481" s="320">
        <v>45384</v>
      </c>
      <c r="B1481" s="419">
        <v>1261321</v>
      </c>
      <c r="C1481" s="413" t="str">
        <f>IFERROR(INDEX(Table14[],MATCH($B1481,Table14[SAPNo],0),3),"")</f>
        <v>1613 CT155 U-60</v>
      </c>
      <c r="D1481" s="306"/>
      <c r="E1481" s="421">
        <v>4</v>
      </c>
      <c r="F1481" s="421"/>
      <c r="G1481" s="417" t="s">
        <v>1614</v>
      </c>
      <c r="H1481" s="599">
        <v>14127555</v>
      </c>
      <c r="I1481" s="322" t="s">
        <v>1440</v>
      </c>
      <c r="J1481" s="421"/>
      <c r="K1481" s="422"/>
      <c r="M1481" s="366"/>
      <c r="AF1481">
        <v>4</v>
      </c>
    </row>
    <row r="1482" spans="1:32" x14ac:dyDescent="0.25">
      <c r="A1482" s="320">
        <v>45384</v>
      </c>
      <c r="B1482" s="419">
        <v>1220554</v>
      </c>
      <c r="C1482" s="413" t="str">
        <f>IFERROR(INDEX(Table14[],MATCH($B1482,Table14[SAPNo],0),3),"")</f>
        <v xml:space="preserve">1618 CT182 U-60 Carbide </v>
      </c>
      <c r="D1482" s="306"/>
      <c r="E1482" s="421">
        <v>10</v>
      </c>
      <c r="F1482" s="421"/>
      <c r="G1482" s="417" t="s">
        <v>1614</v>
      </c>
      <c r="H1482" s="599">
        <v>14127555</v>
      </c>
      <c r="I1482" s="322" t="s">
        <v>1440</v>
      </c>
      <c r="J1482" s="421"/>
      <c r="K1482" s="422"/>
      <c r="M1482" s="422"/>
      <c r="AF1482">
        <v>10</v>
      </c>
    </row>
    <row r="1483" spans="1:32" x14ac:dyDescent="0.25">
      <c r="A1483" s="320">
        <v>45385</v>
      </c>
      <c r="B1483" s="416">
        <v>1271790</v>
      </c>
      <c r="C1483" s="413" t="str">
        <f>IFERROR(INDEX(Table14[],MATCH($B1483,Table14[SAPNo],0),3),"")</f>
        <v xml:space="preserve">1613 CT170 18-60 </v>
      </c>
      <c r="D1483" s="306"/>
      <c r="E1483" s="421">
        <v>17</v>
      </c>
      <c r="F1483" s="421"/>
      <c r="G1483" s="417" t="s">
        <v>1615</v>
      </c>
      <c r="H1483" s="598">
        <v>14137152</v>
      </c>
      <c r="I1483" s="322" t="s">
        <v>1497</v>
      </c>
      <c r="J1483" s="418"/>
      <c r="K1483" s="248"/>
      <c r="M1483" s="422"/>
      <c r="AF1483">
        <v>17</v>
      </c>
    </row>
    <row r="1484" spans="1:32" x14ac:dyDescent="0.25">
      <c r="A1484" s="308">
        <v>45385</v>
      </c>
      <c r="B1484" s="416">
        <v>1078377</v>
      </c>
      <c r="C1484" s="413" t="str">
        <f>IFERROR(INDEX(Table14[],MATCH($B1484,Table14[SAPNo],0),3),"")</f>
        <v>13MM CT221 R1</v>
      </c>
      <c r="D1484" s="306"/>
      <c r="E1484" s="421">
        <v>15</v>
      </c>
      <c r="F1484" s="421"/>
      <c r="G1484" s="417" t="s">
        <v>1615</v>
      </c>
      <c r="H1484" s="598">
        <v>14137152</v>
      </c>
      <c r="I1484" s="322" t="s">
        <v>1497</v>
      </c>
      <c r="J1484" s="418"/>
      <c r="K1484" s="248"/>
      <c r="M1484" s="422"/>
      <c r="AF1484">
        <v>15</v>
      </c>
    </row>
    <row r="1485" spans="1:32" x14ac:dyDescent="0.25">
      <c r="A1485" s="308">
        <v>45385</v>
      </c>
      <c r="B1485" s="416">
        <v>1208601</v>
      </c>
      <c r="C1485" s="413" t="str">
        <f>IFERROR(INDEX(Table14[],MATCH($B1485,Table14[SAPNo],0),3),"")</f>
        <v>1613 CT418 U-60</v>
      </c>
      <c r="D1485" s="306"/>
      <c r="E1485" s="421">
        <v>8</v>
      </c>
      <c r="F1485" s="421"/>
      <c r="G1485" s="417" t="s">
        <v>1615</v>
      </c>
      <c r="H1485" s="598">
        <v>14137152</v>
      </c>
      <c r="I1485" s="322" t="s">
        <v>1497</v>
      </c>
      <c r="J1485" s="418"/>
      <c r="K1485" s="248"/>
      <c r="M1485" s="366"/>
      <c r="AF1485">
        <v>8</v>
      </c>
    </row>
    <row r="1486" spans="1:32" x14ac:dyDescent="0.25">
      <c r="A1486" s="308">
        <v>45385</v>
      </c>
      <c r="B1486" s="416">
        <v>418525</v>
      </c>
      <c r="C1486" s="413" t="str">
        <f>IFERROR(INDEX(Table14[],MATCH($B1486,Table14[SAPNo],0),3),"")</f>
        <v>Drop In 1308 CT31   (B)</v>
      </c>
      <c r="D1486" s="306"/>
      <c r="E1486" s="421">
        <v>6</v>
      </c>
      <c r="F1486" s="421"/>
      <c r="G1486" s="417" t="s">
        <v>1615</v>
      </c>
      <c r="H1486" s="598">
        <v>14137152</v>
      </c>
      <c r="I1486" s="322" t="s">
        <v>1497</v>
      </c>
      <c r="J1486" s="418"/>
      <c r="K1486" s="248"/>
      <c r="M1486" s="366"/>
      <c r="AF1486">
        <v>6</v>
      </c>
    </row>
    <row r="1487" spans="1:32" x14ac:dyDescent="0.25">
      <c r="A1487" s="320">
        <v>45385</v>
      </c>
      <c r="B1487" s="419">
        <v>1146737</v>
      </c>
      <c r="C1487" s="413" t="str">
        <f>IFERROR(INDEX(Table14[],MATCH($B1487,Table14[SAPNo],0),3),"")</f>
        <v>1613 CT418 18-60</v>
      </c>
      <c r="D1487" s="306"/>
      <c r="E1487" s="421">
        <v>6</v>
      </c>
      <c r="F1487" s="421"/>
      <c r="G1487" s="417" t="s">
        <v>1615</v>
      </c>
      <c r="H1487" s="599">
        <v>14137152</v>
      </c>
      <c r="I1487" s="322" t="s">
        <v>1497</v>
      </c>
      <c r="J1487" s="421"/>
      <c r="K1487" s="422"/>
      <c r="M1487" s="366"/>
      <c r="AF1487">
        <v>6</v>
      </c>
    </row>
    <row r="1488" spans="1:32" x14ac:dyDescent="0.25">
      <c r="A1488" s="308">
        <v>45386</v>
      </c>
      <c r="B1488" s="416">
        <v>418525</v>
      </c>
      <c r="C1488" s="413" t="str">
        <f>IFERROR(INDEX(Table14[],MATCH($B1488,Table14[SAPNo],0),3),"")</f>
        <v>Drop In 1308 CT31   (B)</v>
      </c>
      <c r="D1488" s="306"/>
      <c r="E1488" s="421">
        <v>1</v>
      </c>
      <c r="F1488" s="421"/>
      <c r="G1488" s="417">
        <v>20241049</v>
      </c>
      <c r="H1488" s="598" t="s">
        <v>1616</v>
      </c>
      <c r="I1488" s="322" t="s">
        <v>1503</v>
      </c>
      <c r="J1488" s="418"/>
      <c r="K1488" s="248"/>
      <c r="M1488" s="422"/>
      <c r="AF1488">
        <v>1</v>
      </c>
    </row>
    <row r="1489" spans="1:32" x14ac:dyDescent="0.25">
      <c r="A1489" s="308">
        <v>45386</v>
      </c>
      <c r="B1489" s="416">
        <v>1145493</v>
      </c>
      <c r="C1489" s="413" t="str">
        <f>IFERROR(INDEX(Table14[],MATCH($B1489,Table14[SAPNo],0),3),"")</f>
        <v>Round 1313 CT427  10C (S)</v>
      </c>
      <c r="D1489" s="306"/>
      <c r="E1489" s="421"/>
      <c r="F1489" s="421"/>
      <c r="G1489" s="417">
        <v>20241049</v>
      </c>
      <c r="H1489" s="598" t="s">
        <v>1616</v>
      </c>
      <c r="I1489" s="322" t="s">
        <v>1503</v>
      </c>
      <c r="J1489" s="418">
        <v>5</v>
      </c>
      <c r="K1489" s="248"/>
      <c r="M1489" s="366"/>
    </row>
    <row r="1490" spans="1:32" x14ac:dyDescent="0.25">
      <c r="A1490" s="308">
        <v>45386</v>
      </c>
      <c r="B1490" s="416">
        <v>647436</v>
      </c>
      <c r="C1490" s="413" t="str">
        <f>IFERROR(INDEX(Table14[],MATCH($B1490,Table14[SAPNo],0),3),"")</f>
        <v>Round 1613 CT200  0.018" (B)</v>
      </c>
      <c r="D1490" s="306"/>
      <c r="E1490" s="421">
        <v>32</v>
      </c>
      <c r="F1490" s="421"/>
      <c r="G1490" s="417" t="s">
        <v>1617</v>
      </c>
      <c r="H1490" s="598">
        <v>14127581</v>
      </c>
      <c r="I1490" s="322" t="s">
        <v>1477</v>
      </c>
      <c r="J1490" s="418"/>
      <c r="K1490" s="248"/>
      <c r="M1490" s="366"/>
      <c r="AF1490">
        <v>32</v>
      </c>
    </row>
    <row r="1491" spans="1:32" x14ac:dyDescent="0.25">
      <c r="A1491" s="308">
        <v>45386</v>
      </c>
      <c r="B1491" s="416">
        <v>418525</v>
      </c>
      <c r="C1491" s="413" t="str">
        <f>IFERROR(INDEX(Table14[],MATCH($B1491,Table14[SAPNo],0),3),"")</f>
        <v>Drop In 1308 CT31   (B)</v>
      </c>
      <c r="D1491" s="306"/>
      <c r="E1491" s="421">
        <v>8</v>
      </c>
      <c r="F1491" s="421"/>
      <c r="G1491" s="417" t="s">
        <v>1617</v>
      </c>
      <c r="H1491" s="598">
        <v>14127581</v>
      </c>
      <c r="I1491" s="322" t="s">
        <v>1477</v>
      </c>
      <c r="J1491" s="418"/>
      <c r="K1491" s="248"/>
      <c r="M1491" s="366"/>
      <c r="AF1491">
        <v>8</v>
      </c>
    </row>
    <row r="1492" spans="1:32" x14ac:dyDescent="0.25">
      <c r="A1492" s="308">
        <v>45386</v>
      </c>
      <c r="B1492" s="416">
        <v>1130198</v>
      </c>
      <c r="C1492" s="413" t="str">
        <f>IFERROR(INDEX(Table14[],MATCH($B1492,Table14[SAPNo],0),3),"")</f>
        <v>Round 1613 CT182  0.018" (S)</v>
      </c>
      <c r="D1492" s="306"/>
      <c r="E1492" s="421">
        <v>105</v>
      </c>
      <c r="F1492" s="421"/>
      <c r="G1492" s="417" t="s">
        <v>1617</v>
      </c>
      <c r="H1492" s="598">
        <v>14127581</v>
      </c>
      <c r="I1492" s="322" t="s">
        <v>1477</v>
      </c>
      <c r="J1492" s="418"/>
      <c r="K1492" s="248"/>
      <c r="M1492" s="366"/>
      <c r="AF1492">
        <v>105</v>
      </c>
    </row>
    <row r="1493" spans="1:32" x14ac:dyDescent="0.25">
      <c r="A1493" s="308">
        <v>45386</v>
      </c>
      <c r="B1493" s="416">
        <v>1146346</v>
      </c>
      <c r="C1493" s="413" t="str">
        <f>IFERROR(INDEX(Table14[],MATCH($B1493,Table14[SAPNo],0),3),"")</f>
        <v>1313 CT418 18-60</v>
      </c>
      <c r="D1493" s="306"/>
      <c r="E1493" s="421">
        <v>7</v>
      </c>
      <c r="F1493" s="421"/>
      <c r="G1493" s="417" t="s">
        <v>1618</v>
      </c>
      <c r="H1493" s="598">
        <v>14127558</v>
      </c>
      <c r="I1493" s="322" t="s">
        <v>1447</v>
      </c>
      <c r="J1493" s="418"/>
      <c r="K1493" s="248"/>
      <c r="M1493" s="366"/>
      <c r="AF1493">
        <v>7</v>
      </c>
    </row>
    <row r="1494" spans="1:32" x14ac:dyDescent="0.25">
      <c r="A1494" s="308">
        <v>45386</v>
      </c>
      <c r="B1494" s="416">
        <v>418525</v>
      </c>
      <c r="C1494" s="413" t="str">
        <f>IFERROR(INDEX(Table14[],MATCH($B1494,Table14[SAPNo],0),3),"")</f>
        <v>Drop In 1308 CT31   (B)</v>
      </c>
      <c r="D1494" s="306"/>
      <c r="E1494" s="421">
        <v>6</v>
      </c>
      <c r="F1494" s="421"/>
      <c r="G1494" s="417" t="s">
        <v>1618</v>
      </c>
      <c r="H1494" s="598">
        <v>14127558</v>
      </c>
      <c r="I1494" s="322" t="s">
        <v>1447</v>
      </c>
      <c r="J1494" s="418"/>
      <c r="K1494" s="248"/>
      <c r="M1494" s="366"/>
      <c r="AF1494">
        <v>6</v>
      </c>
    </row>
    <row r="1495" spans="1:32" x14ac:dyDescent="0.25">
      <c r="A1495" s="308">
        <v>45386</v>
      </c>
      <c r="B1495" s="416">
        <v>1101509</v>
      </c>
      <c r="C1495" s="413" t="str">
        <f>IFERROR(INDEX(Table14[],MATCH($B1495,Table14[SAPNo],0),3),"")</f>
        <v>Short IA 8    (C)</v>
      </c>
      <c r="D1495" s="306"/>
      <c r="E1495" s="421">
        <v>5</v>
      </c>
      <c r="F1495" s="421"/>
      <c r="G1495" s="417" t="s">
        <v>1618</v>
      </c>
      <c r="H1495" s="598">
        <v>14127558</v>
      </c>
      <c r="I1495" s="322" t="s">
        <v>1447</v>
      </c>
      <c r="J1495" s="418"/>
      <c r="K1495" s="248"/>
      <c r="M1495" s="366"/>
      <c r="AF1495">
        <v>5</v>
      </c>
    </row>
    <row r="1496" spans="1:32" x14ac:dyDescent="0.25">
      <c r="A1496" s="308">
        <v>45386</v>
      </c>
      <c r="B1496" s="416">
        <v>1104083</v>
      </c>
      <c r="C1496" s="413" t="str">
        <f>IFERROR(INDEX(Table14[],MATCH($B1496,Table14[SAPNo],0),3),"")</f>
        <v>1313 CT144H  10C (S)</v>
      </c>
      <c r="D1496" s="306"/>
      <c r="E1496" s="421">
        <v>1</v>
      </c>
      <c r="F1496" s="421"/>
      <c r="G1496" s="417" t="s">
        <v>1618</v>
      </c>
      <c r="H1496" s="598">
        <v>14127558</v>
      </c>
      <c r="I1496" s="322" t="s">
        <v>1447</v>
      </c>
      <c r="J1496" s="418"/>
      <c r="K1496" s="248"/>
      <c r="M1496" s="366"/>
      <c r="AF1496">
        <v>1</v>
      </c>
    </row>
    <row r="1497" spans="1:32" x14ac:dyDescent="0.25">
      <c r="A1497" s="308">
        <v>45386</v>
      </c>
      <c r="B1497" s="416">
        <v>1136984</v>
      </c>
      <c r="C1497" s="413" t="str">
        <f>IFERROR(INDEX(Table14[],MATCH($B1497,Table14[SAPNo],0),3),"")</f>
        <v>DBLMCHT 1313 CT182DM  10C (S)</v>
      </c>
      <c r="D1497" s="306"/>
      <c r="E1497" s="421">
        <v>13</v>
      </c>
      <c r="F1497" s="421"/>
      <c r="G1497" s="417" t="s">
        <v>1618</v>
      </c>
      <c r="H1497" s="598">
        <v>14127558</v>
      </c>
      <c r="I1497" s="322" t="s">
        <v>1447</v>
      </c>
      <c r="J1497" s="418"/>
      <c r="K1497" s="248"/>
      <c r="M1497" s="366"/>
      <c r="AF1497">
        <v>13</v>
      </c>
    </row>
    <row r="1498" spans="1:32" x14ac:dyDescent="0.25">
      <c r="A1498" s="308">
        <v>45386</v>
      </c>
      <c r="B1498" s="416">
        <v>1100696</v>
      </c>
      <c r="C1498" s="413" t="str">
        <f>IFERROR(INDEX(Table14[],MATCH($B1498,Table14[SAPNo],0),3),"")</f>
        <v>Round 1313 CT418  10C (S)</v>
      </c>
      <c r="D1498" s="306"/>
      <c r="E1498" s="421">
        <v>5</v>
      </c>
      <c r="F1498" s="421"/>
      <c r="G1498" s="417" t="s">
        <v>1618</v>
      </c>
      <c r="H1498" s="598">
        <v>14127558</v>
      </c>
      <c r="I1498" s="322" t="s">
        <v>1447</v>
      </c>
      <c r="J1498" s="418"/>
      <c r="K1498" s="248"/>
      <c r="M1498" s="366"/>
      <c r="AF1498">
        <v>5</v>
      </c>
    </row>
    <row r="1499" spans="1:32" x14ac:dyDescent="0.25">
      <c r="A1499" s="308">
        <v>45386</v>
      </c>
      <c r="B1499" s="416">
        <v>1100696</v>
      </c>
      <c r="C1499" s="413" t="str">
        <f>IFERROR(INDEX(Table14[],MATCH($B1499,Table14[SAPNo],0),3),"")</f>
        <v>Round 1313 CT418  10C (S)</v>
      </c>
      <c r="D1499" s="306"/>
      <c r="E1499" s="421">
        <v>5</v>
      </c>
      <c r="F1499" s="421"/>
      <c r="G1499" s="417" t="s">
        <v>1619</v>
      </c>
      <c r="H1499" s="598">
        <v>14127559</v>
      </c>
      <c r="I1499" s="322" t="s">
        <v>1447</v>
      </c>
      <c r="J1499" s="418"/>
      <c r="K1499" s="248"/>
      <c r="M1499" s="366"/>
      <c r="AF1499">
        <v>5</v>
      </c>
    </row>
    <row r="1500" spans="1:32" x14ac:dyDescent="0.25">
      <c r="A1500" s="308">
        <v>45386</v>
      </c>
      <c r="B1500" s="416">
        <v>1101509</v>
      </c>
      <c r="C1500" s="413" t="str">
        <f>IFERROR(INDEX(Table14[],MATCH($B1500,Table14[SAPNo],0),3),"")</f>
        <v>Short IA 8    (C)</v>
      </c>
      <c r="D1500" s="306"/>
      <c r="E1500" s="421">
        <v>5</v>
      </c>
      <c r="F1500" s="421"/>
      <c r="G1500" s="417" t="s">
        <v>1619</v>
      </c>
      <c r="H1500" s="598">
        <v>14127559</v>
      </c>
      <c r="I1500" s="322" t="s">
        <v>1447</v>
      </c>
      <c r="J1500" s="418"/>
      <c r="K1500" s="248"/>
      <c r="M1500" s="366"/>
      <c r="AF1500">
        <v>5</v>
      </c>
    </row>
    <row r="1501" spans="1:32" x14ac:dyDescent="0.25">
      <c r="A1501" s="308">
        <v>45386</v>
      </c>
      <c r="B1501" s="416">
        <v>1104083</v>
      </c>
      <c r="C1501" s="413" t="str">
        <f>IFERROR(INDEX(Table14[],MATCH($B1501,Table14[SAPNo],0),3),"")</f>
        <v>1313 CT144H  10C (S)</v>
      </c>
      <c r="D1501" s="306"/>
      <c r="E1501" s="421">
        <v>1</v>
      </c>
      <c r="F1501" s="421"/>
      <c r="G1501" s="417" t="s">
        <v>1619</v>
      </c>
      <c r="H1501" s="598">
        <v>14127559</v>
      </c>
      <c r="I1501" s="322" t="s">
        <v>1447</v>
      </c>
      <c r="J1501" s="418"/>
      <c r="K1501" s="248"/>
      <c r="M1501" s="366"/>
      <c r="AF1501">
        <v>1</v>
      </c>
    </row>
    <row r="1502" spans="1:32" x14ac:dyDescent="0.25">
      <c r="A1502" s="308">
        <v>45386</v>
      </c>
      <c r="B1502" s="416">
        <v>1136984</v>
      </c>
      <c r="C1502" s="413" t="str">
        <f>IFERROR(INDEX(Table14[],MATCH($B1502,Table14[SAPNo],0),3),"")</f>
        <v>DBLMCHT 1313 CT182DM  10C (S)</v>
      </c>
      <c r="D1502" s="306"/>
      <c r="E1502" s="421">
        <v>13</v>
      </c>
      <c r="F1502" s="421"/>
      <c r="G1502" s="417" t="s">
        <v>1619</v>
      </c>
      <c r="H1502" s="598">
        <v>14127559</v>
      </c>
      <c r="I1502" s="322" t="s">
        <v>1447</v>
      </c>
      <c r="J1502" s="418"/>
      <c r="K1502" s="248"/>
      <c r="M1502" s="366"/>
      <c r="AF1502">
        <v>13</v>
      </c>
    </row>
    <row r="1503" spans="1:32" x14ac:dyDescent="0.25">
      <c r="A1503" s="308">
        <v>45386</v>
      </c>
      <c r="B1503" s="416">
        <v>1146346</v>
      </c>
      <c r="C1503" s="413" t="str">
        <f>IFERROR(INDEX(Table14[],MATCH($B1503,Table14[SAPNo],0),3),"")</f>
        <v>1313 CT418 18-60</v>
      </c>
      <c r="D1503" s="306"/>
      <c r="E1503" s="421">
        <v>7</v>
      </c>
      <c r="F1503" s="421"/>
      <c r="G1503" s="417" t="s">
        <v>1619</v>
      </c>
      <c r="H1503" s="598">
        <v>14127559</v>
      </c>
      <c r="I1503" s="322" t="s">
        <v>1447</v>
      </c>
      <c r="J1503" s="418"/>
      <c r="K1503" s="248"/>
      <c r="M1503" s="366"/>
      <c r="AF1503">
        <v>7</v>
      </c>
    </row>
    <row r="1504" spans="1:32" x14ac:dyDescent="0.25">
      <c r="A1504" s="308">
        <v>45386</v>
      </c>
      <c r="B1504" s="416">
        <v>418525</v>
      </c>
      <c r="C1504" s="413" t="str">
        <f>IFERROR(INDEX(Table14[],MATCH($B1504,Table14[SAPNo],0),3),"")</f>
        <v>Drop In 1308 CT31   (B)</v>
      </c>
      <c r="D1504" s="306"/>
      <c r="E1504" s="421">
        <v>6</v>
      </c>
      <c r="F1504" s="421"/>
      <c r="G1504" s="417" t="s">
        <v>1619</v>
      </c>
      <c r="H1504" s="598">
        <v>14127559</v>
      </c>
      <c r="I1504" s="322" t="s">
        <v>1447</v>
      </c>
      <c r="J1504" s="418"/>
      <c r="K1504" s="248"/>
      <c r="M1504" s="366"/>
      <c r="AF1504">
        <v>6</v>
      </c>
    </row>
    <row r="1505" spans="1:32" x14ac:dyDescent="0.25">
      <c r="A1505" s="308">
        <v>45386</v>
      </c>
      <c r="B1505" s="416">
        <v>1142711</v>
      </c>
      <c r="C1505" s="413" t="str">
        <f>IFERROR(INDEX(Table14[],MATCH($B1505,Table14[SAPNo],0),3),"")</f>
        <v>1613 CT421 U</v>
      </c>
      <c r="D1505" s="306"/>
      <c r="E1505" s="421">
        <v>10</v>
      </c>
      <c r="F1505" s="421"/>
      <c r="G1505" s="417" t="s">
        <v>1620</v>
      </c>
      <c r="H1505" s="598">
        <v>14081901</v>
      </c>
      <c r="I1505" s="322" t="s">
        <v>1621</v>
      </c>
      <c r="J1505" s="418"/>
      <c r="K1505" s="248"/>
      <c r="M1505" s="366"/>
      <c r="AF1505">
        <v>10</v>
      </c>
    </row>
    <row r="1506" spans="1:32" x14ac:dyDescent="0.25">
      <c r="A1506" s="308">
        <v>45386</v>
      </c>
      <c r="B1506" s="416">
        <v>871781</v>
      </c>
      <c r="C1506" s="413" t="str">
        <f>IFERROR(INDEX(Table14[],MATCH($B1506,Table14[SAPNo],0),3),"")</f>
        <v>Round 1313 CT200  0.018" (B)</v>
      </c>
      <c r="D1506" s="306"/>
      <c r="E1506" s="421">
        <v>5</v>
      </c>
      <c r="F1506" s="421"/>
      <c r="G1506" s="417" t="s">
        <v>1620</v>
      </c>
      <c r="H1506" s="598">
        <v>14081901</v>
      </c>
      <c r="I1506" s="322" t="s">
        <v>1621</v>
      </c>
      <c r="J1506" s="418"/>
      <c r="K1506" s="248"/>
      <c r="M1506" s="366"/>
      <c r="AF1506">
        <v>5</v>
      </c>
    </row>
    <row r="1507" spans="1:32" x14ac:dyDescent="0.25">
      <c r="A1507" s="308">
        <v>45386</v>
      </c>
      <c r="B1507" s="416">
        <v>1200972</v>
      </c>
      <c r="C1507" s="413" t="str">
        <f>IFERROR(INDEX(Table14[],MATCH($B1507,Table14[SAPNo],0),3),"")</f>
        <v xml:space="preserve">8MM WC-MAT400 </v>
      </c>
      <c r="D1507" s="306"/>
      <c r="E1507" s="421">
        <v>5</v>
      </c>
      <c r="F1507" s="421"/>
      <c r="G1507" s="417" t="s">
        <v>1620</v>
      </c>
      <c r="H1507" s="598">
        <v>14081901</v>
      </c>
      <c r="I1507" s="322" t="s">
        <v>1621</v>
      </c>
      <c r="J1507" s="418"/>
      <c r="K1507" s="248"/>
      <c r="M1507" s="366"/>
      <c r="AF1507">
        <v>5</v>
      </c>
    </row>
    <row r="1508" spans="1:32" x14ac:dyDescent="0.25">
      <c r="A1508" s="308">
        <v>45386</v>
      </c>
      <c r="B1508" s="416">
        <v>1208601</v>
      </c>
      <c r="C1508" s="413" t="str">
        <f>IFERROR(INDEX(Table14[],MATCH($B1508,Table14[SAPNo],0),3),"")</f>
        <v>1613 CT418 U-60</v>
      </c>
      <c r="D1508" s="306"/>
      <c r="E1508" s="421">
        <v>7</v>
      </c>
      <c r="F1508" s="421"/>
      <c r="G1508" s="417" t="s">
        <v>1620</v>
      </c>
      <c r="H1508" s="598">
        <v>14081901</v>
      </c>
      <c r="I1508" s="322" t="s">
        <v>1621</v>
      </c>
      <c r="J1508" s="418"/>
      <c r="K1508" s="248"/>
      <c r="M1508" s="366"/>
      <c r="AF1508">
        <v>7</v>
      </c>
    </row>
    <row r="1509" spans="1:32" x14ac:dyDescent="0.25">
      <c r="A1509" s="308">
        <v>45386</v>
      </c>
      <c r="B1509" s="416">
        <v>1219562</v>
      </c>
      <c r="C1509" s="413" t="str">
        <f>IFERROR(INDEX(Table14[],MATCH($B1509,Table14[SAPNo],0),3),"")</f>
        <v>1613 CT147R U</v>
      </c>
      <c r="D1509" s="306"/>
      <c r="E1509" s="421">
        <v>16</v>
      </c>
      <c r="F1509" s="421"/>
      <c r="G1509" s="417" t="s">
        <v>1620</v>
      </c>
      <c r="H1509" s="598">
        <v>14081901</v>
      </c>
      <c r="I1509" s="322" t="s">
        <v>1621</v>
      </c>
      <c r="J1509" s="418"/>
      <c r="K1509" s="248"/>
      <c r="M1509" s="366"/>
      <c r="AF1509">
        <v>16</v>
      </c>
    </row>
    <row r="1510" spans="1:32" x14ac:dyDescent="0.25">
      <c r="A1510" s="308">
        <v>45386</v>
      </c>
      <c r="B1510" s="416">
        <v>1234189</v>
      </c>
      <c r="C1510" s="413" t="str">
        <f>IFERROR(INDEX(Table14[],MATCH($B1510,Table14[SAPNo],0),3),"")</f>
        <v xml:space="preserve">13MM WC-MAT400 </v>
      </c>
      <c r="D1510" s="306"/>
      <c r="E1510" s="421">
        <v>3</v>
      </c>
      <c r="F1510" s="421"/>
      <c r="G1510" s="417" t="s">
        <v>1620</v>
      </c>
      <c r="H1510" s="598">
        <v>14081901</v>
      </c>
      <c r="I1510" s="322" t="s">
        <v>1621</v>
      </c>
      <c r="J1510" s="418"/>
      <c r="K1510" s="248"/>
      <c r="M1510" s="366"/>
      <c r="AF1510">
        <v>3</v>
      </c>
    </row>
    <row r="1511" spans="1:32" x14ac:dyDescent="0.25">
      <c r="A1511" s="308">
        <v>45386</v>
      </c>
      <c r="B1511" s="416">
        <v>1271790</v>
      </c>
      <c r="C1511" s="413" t="str">
        <f>IFERROR(INDEX(Table14[],MATCH($B1511,Table14[SAPNo],0),3),"")</f>
        <v xml:space="preserve">1613 CT170 18-60 </v>
      </c>
      <c r="D1511" s="306"/>
      <c r="E1511" s="421">
        <v>6</v>
      </c>
      <c r="F1511" s="421"/>
      <c r="G1511" s="417" t="s">
        <v>1620</v>
      </c>
      <c r="H1511" s="598">
        <v>14081901</v>
      </c>
      <c r="I1511" s="322" t="s">
        <v>1621</v>
      </c>
      <c r="J1511" s="418"/>
      <c r="K1511" s="248"/>
      <c r="M1511" s="366"/>
      <c r="AF1511">
        <v>6</v>
      </c>
    </row>
    <row r="1512" spans="1:32" x14ac:dyDescent="0.25">
      <c r="A1512" s="320">
        <v>45386</v>
      </c>
      <c r="B1512" s="419">
        <v>1146737</v>
      </c>
      <c r="C1512" s="413" t="str">
        <f>IFERROR(INDEX(Table14[],MATCH($B1512,Table14[SAPNo],0),3),"")</f>
        <v>1613 CT418 18-60</v>
      </c>
      <c r="D1512" s="306"/>
      <c r="E1512" s="421">
        <v>10</v>
      </c>
      <c r="F1512" s="421"/>
      <c r="G1512" s="420" t="s">
        <v>1620</v>
      </c>
      <c r="H1512" s="599">
        <v>14081901</v>
      </c>
      <c r="I1512" s="322" t="s">
        <v>1621</v>
      </c>
      <c r="J1512" s="421"/>
      <c r="K1512" s="422"/>
      <c r="M1512" s="366"/>
      <c r="AF1512">
        <v>10</v>
      </c>
    </row>
    <row r="1513" spans="1:32" x14ac:dyDescent="0.25">
      <c r="A1513" s="308">
        <v>45386</v>
      </c>
      <c r="B1513" s="416">
        <v>1209333</v>
      </c>
      <c r="C1513" s="413" t="str">
        <f>IFERROR(INDEX(Table14[],MATCH($B1513,Table14[SAPNo],0),3),"")</f>
        <v>1613 CT147G U</v>
      </c>
      <c r="D1513" s="306"/>
      <c r="E1513" s="421">
        <v>12</v>
      </c>
      <c r="F1513" s="421"/>
      <c r="G1513" s="420" t="s">
        <v>1622</v>
      </c>
      <c r="H1513" s="598">
        <v>13994929</v>
      </c>
      <c r="I1513" s="322" t="s">
        <v>1623</v>
      </c>
      <c r="J1513" s="418"/>
      <c r="K1513" s="248"/>
      <c r="M1513" s="422"/>
      <c r="AF1513">
        <v>12</v>
      </c>
    </row>
    <row r="1514" spans="1:32" x14ac:dyDescent="0.25">
      <c r="A1514" s="308">
        <v>45386</v>
      </c>
      <c r="B1514" s="416">
        <v>418525</v>
      </c>
      <c r="C1514" s="413" t="str">
        <f>IFERROR(INDEX(Table14[],MATCH($B1514,Table14[SAPNo],0),3),"")</f>
        <v>Drop In 1308 CT31   (B)</v>
      </c>
      <c r="D1514" s="306"/>
      <c r="E1514" s="421">
        <v>6</v>
      </c>
      <c r="F1514" s="421"/>
      <c r="G1514" s="420" t="s">
        <v>1622</v>
      </c>
      <c r="H1514" s="598">
        <v>13994929</v>
      </c>
      <c r="I1514" s="322" t="s">
        <v>1623</v>
      </c>
      <c r="J1514" s="418"/>
      <c r="K1514" s="248"/>
      <c r="M1514" s="366"/>
      <c r="AF1514">
        <v>6</v>
      </c>
    </row>
    <row r="1515" spans="1:32" x14ac:dyDescent="0.25">
      <c r="A1515" s="308">
        <v>45386</v>
      </c>
      <c r="B1515" s="416">
        <v>625854</v>
      </c>
      <c r="C1515" s="413" t="str">
        <f>IFERROR(INDEX(Table14[],MATCH($B1515,Table14[SAPNo],0),3),"")</f>
        <v>Carbide IA 1318    (C)</v>
      </c>
      <c r="D1515" s="306"/>
      <c r="E1515" s="421">
        <v>6</v>
      </c>
      <c r="F1515" s="421"/>
      <c r="G1515" s="420" t="s">
        <v>1622</v>
      </c>
      <c r="H1515" s="598">
        <v>13994929</v>
      </c>
      <c r="I1515" s="322" t="s">
        <v>1623</v>
      </c>
      <c r="J1515" s="418"/>
      <c r="K1515" s="248"/>
      <c r="M1515" s="366"/>
      <c r="AF1515">
        <v>6</v>
      </c>
    </row>
    <row r="1516" spans="1:32" x14ac:dyDescent="0.25">
      <c r="A1516" s="308">
        <v>45386</v>
      </c>
      <c r="B1516" s="416">
        <v>1208601</v>
      </c>
      <c r="C1516" s="413" t="str">
        <f>IFERROR(INDEX(Table14[],MATCH($B1516,Table14[SAPNo],0),3),"")</f>
        <v>1613 CT418 U-60</v>
      </c>
      <c r="D1516" s="306"/>
      <c r="E1516" s="421">
        <v>13</v>
      </c>
      <c r="F1516" s="421"/>
      <c r="G1516" s="420" t="s">
        <v>1622</v>
      </c>
      <c r="H1516" s="598">
        <v>13994929</v>
      </c>
      <c r="I1516" s="322" t="s">
        <v>1623</v>
      </c>
      <c r="J1516" s="418"/>
      <c r="K1516" s="248"/>
      <c r="M1516" s="366"/>
      <c r="AF1516">
        <v>13</v>
      </c>
    </row>
    <row r="1517" spans="1:32" x14ac:dyDescent="0.25">
      <c r="A1517" s="320">
        <v>45386</v>
      </c>
      <c r="B1517" s="419">
        <v>1146737</v>
      </c>
      <c r="C1517" s="413" t="str">
        <f>IFERROR(INDEX(Table14[],MATCH($B1517,Table14[SAPNo],0),3),"")</f>
        <v>1613 CT418 18-60</v>
      </c>
      <c r="D1517" s="306"/>
      <c r="E1517" s="421">
        <v>6</v>
      </c>
      <c r="F1517" s="421"/>
      <c r="G1517" s="420" t="s">
        <v>1622</v>
      </c>
      <c r="H1517" s="599">
        <v>13994929</v>
      </c>
      <c r="I1517" s="322" t="s">
        <v>1623</v>
      </c>
      <c r="J1517" s="421"/>
      <c r="K1517" s="422"/>
      <c r="M1517" s="366"/>
      <c r="AF1517">
        <v>6</v>
      </c>
    </row>
    <row r="1518" spans="1:32" x14ac:dyDescent="0.25">
      <c r="A1518" s="308">
        <v>45390</v>
      </c>
      <c r="B1518" s="416">
        <v>708306</v>
      </c>
      <c r="C1518" s="413" t="str">
        <f>IFERROR(INDEX(Table14[],MATCH($B1518,Table14[SAPNo],0),3),"")</f>
        <v>Round 1913 CT200  0.018" (B)</v>
      </c>
      <c r="D1518" s="306"/>
      <c r="E1518" s="421">
        <v>1</v>
      </c>
      <c r="F1518" s="421"/>
      <c r="G1518" s="417" t="s">
        <v>1624</v>
      </c>
      <c r="H1518" s="598">
        <v>14093081</v>
      </c>
      <c r="I1518" s="322" t="s">
        <v>1299</v>
      </c>
      <c r="J1518" s="418"/>
      <c r="K1518" s="248"/>
      <c r="M1518" s="422"/>
      <c r="AF1518">
        <v>1</v>
      </c>
    </row>
    <row r="1519" spans="1:32" x14ac:dyDescent="0.25">
      <c r="A1519" s="308">
        <v>45390</v>
      </c>
      <c r="B1519" s="416">
        <v>1130200</v>
      </c>
      <c r="C1519" s="413" t="str">
        <f>IFERROR(INDEX(Table14[],MATCH($B1519,Table14[SAPNo],0),3),"")</f>
        <v>Round 1913 CT182  0.018" (S)</v>
      </c>
      <c r="D1519" s="306"/>
      <c r="E1519" s="421">
        <v>2</v>
      </c>
      <c r="F1519" s="421"/>
      <c r="G1519" s="417" t="s">
        <v>1624</v>
      </c>
      <c r="H1519" s="598">
        <v>14093081</v>
      </c>
      <c r="I1519" s="322" t="s">
        <v>1299</v>
      </c>
      <c r="J1519" s="418"/>
      <c r="K1519" s="248"/>
      <c r="M1519" s="366"/>
      <c r="AF1519">
        <v>2</v>
      </c>
    </row>
    <row r="1520" spans="1:32" x14ac:dyDescent="0.25">
      <c r="A1520" s="308">
        <v>45389</v>
      </c>
      <c r="B1520" s="416">
        <v>1209332</v>
      </c>
      <c r="C1520" s="413" t="str">
        <f>IFERROR(INDEX(Table14[],MATCH($B1520,Table14[SAPNo],0),3),"")</f>
        <v>1313 CT147G U</v>
      </c>
      <c r="D1520" s="306"/>
      <c r="E1520" s="421">
        <v>7</v>
      </c>
      <c r="F1520" s="421"/>
      <c r="G1520" s="417" t="s">
        <v>1625</v>
      </c>
      <c r="H1520" s="598">
        <v>13844444</v>
      </c>
      <c r="I1520" s="322" t="s">
        <v>1626</v>
      </c>
      <c r="J1520" s="418"/>
      <c r="K1520" s="248"/>
      <c r="M1520" s="366"/>
      <c r="AF1520">
        <v>7</v>
      </c>
    </row>
    <row r="1521" spans="1:32" x14ac:dyDescent="0.25">
      <c r="A1521" s="308">
        <v>45390</v>
      </c>
      <c r="B1521" s="416">
        <v>1100696</v>
      </c>
      <c r="C1521" s="413" t="str">
        <f>IFERROR(INDEX(Table14[],MATCH($B1521,Table14[SAPNo],0),3),"")</f>
        <v>Round 1313 CT418  10C (S)</v>
      </c>
      <c r="D1521" s="306"/>
      <c r="E1521" s="421">
        <v>16</v>
      </c>
      <c r="F1521" s="421"/>
      <c r="G1521" s="417" t="s">
        <v>1625</v>
      </c>
      <c r="H1521" s="598">
        <v>13844444</v>
      </c>
      <c r="I1521" s="322" t="s">
        <v>1626</v>
      </c>
      <c r="J1521" s="418"/>
      <c r="K1521" s="248"/>
      <c r="M1521" s="366"/>
      <c r="AF1521">
        <v>16</v>
      </c>
    </row>
    <row r="1522" spans="1:32" x14ac:dyDescent="0.25">
      <c r="A1522" s="308">
        <v>45389</v>
      </c>
      <c r="B1522" s="416">
        <v>1209332</v>
      </c>
      <c r="C1522" s="413" t="str">
        <f>IFERROR(INDEX(Table14[],MATCH($B1522,Table14[SAPNo],0),3),"")</f>
        <v>1313 CT147G U</v>
      </c>
      <c r="D1522" s="306"/>
      <c r="E1522" s="421">
        <v>7</v>
      </c>
      <c r="F1522" s="421"/>
      <c r="G1522" s="417" t="s">
        <v>1627</v>
      </c>
      <c r="H1522" s="598">
        <v>13807907</v>
      </c>
      <c r="I1522" s="322" t="s">
        <v>1628</v>
      </c>
      <c r="J1522" s="418"/>
      <c r="K1522" s="248"/>
      <c r="M1522" s="366"/>
      <c r="AF1522">
        <v>7</v>
      </c>
    </row>
    <row r="1523" spans="1:32" x14ac:dyDescent="0.25">
      <c r="A1523" s="308">
        <v>45389</v>
      </c>
      <c r="B1523" s="416">
        <v>1100696</v>
      </c>
      <c r="C1523" s="413" t="str">
        <f>IFERROR(INDEX(Table14[],MATCH($B1523,Table14[SAPNo],0),3),"")</f>
        <v>Round 1313 CT418  10C (S)</v>
      </c>
      <c r="D1523" s="306"/>
      <c r="E1523" s="421">
        <v>12</v>
      </c>
      <c r="F1523" s="421"/>
      <c r="G1523" s="417" t="s">
        <v>1627</v>
      </c>
      <c r="H1523" s="598">
        <v>13807907</v>
      </c>
      <c r="I1523" s="322" t="s">
        <v>1628</v>
      </c>
      <c r="J1523" s="418"/>
      <c r="K1523" s="248"/>
      <c r="M1523" s="366"/>
      <c r="AF1523">
        <v>12</v>
      </c>
    </row>
    <row r="1524" spans="1:32" x14ac:dyDescent="0.25">
      <c r="A1524" s="308">
        <v>45389</v>
      </c>
      <c r="B1524" s="416">
        <v>1228503</v>
      </c>
      <c r="C1524" s="413" t="str">
        <f>IFERROR(INDEX(Table14[],MATCH($B1524,Table14[SAPNo],0),3),"")</f>
        <v>1618 CT182 U-60 Ring</v>
      </c>
      <c r="D1524" s="306"/>
      <c r="E1524" s="421">
        <v>10</v>
      </c>
      <c r="F1524" s="421"/>
      <c r="G1524" s="417" t="s">
        <v>1629</v>
      </c>
      <c r="H1524" s="598">
        <v>14127551</v>
      </c>
      <c r="I1524" s="322" t="s">
        <v>1630</v>
      </c>
      <c r="J1524" s="418"/>
      <c r="K1524" s="248"/>
      <c r="M1524" s="366"/>
      <c r="AF1524">
        <v>10</v>
      </c>
    </row>
    <row r="1525" spans="1:32" x14ac:dyDescent="0.25">
      <c r="A1525" s="308">
        <v>45389</v>
      </c>
      <c r="B1525" s="416">
        <v>1228502</v>
      </c>
      <c r="C1525" s="413" t="str">
        <f>IFERROR(INDEX(Table14[],MATCH($B1525,Table14[SAPNo],0),3),"")</f>
        <v>1618 CT182 U-60 Rotor</v>
      </c>
      <c r="D1525" s="306"/>
      <c r="E1525" s="421">
        <v>10</v>
      </c>
      <c r="F1525" s="421"/>
      <c r="G1525" s="417" t="s">
        <v>1629</v>
      </c>
      <c r="H1525" s="598">
        <v>14127551</v>
      </c>
      <c r="I1525" s="322" t="s">
        <v>1630</v>
      </c>
      <c r="J1525" s="418"/>
      <c r="K1525" s="248"/>
      <c r="M1525" s="366"/>
      <c r="AF1525">
        <v>10</v>
      </c>
    </row>
    <row r="1526" spans="1:32" x14ac:dyDescent="0.25">
      <c r="A1526" s="308">
        <v>45389</v>
      </c>
      <c r="B1526" s="416">
        <v>1220554</v>
      </c>
      <c r="C1526" s="413" t="str">
        <f>IFERROR(INDEX(Table14[],MATCH($B1526,Table14[SAPNo],0),3),"")</f>
        <v xml:space="preserve">1618 CT182 U-60 Carbide </v>
      </c>
      <c r="D1526" s="306"/>
      <c r="E1526" s="421">
        <v>10</v>
      </c>
      <c r="F1526" s="421"/>
      <c r="G1526" s="417" t="s">
        <v>1629</v>
      </c>
      <c r="H1526" s="598">
        <v>14127551</v>
      </c>
      <c r="I1526" s="322" t="s">
        <v>1630</v>
      </c>
      <c r="J1526" s="418"/>
      <c r="K1526" s="248"/>
      <c r="M1526" s="366"/>
      <c r="AF1526">
        <v>10</v>
      </c>
    </row>
    <row r="1527" spans="1:32" x14ac:dyDescent="0.25">
      <c r="A1527" s="308">
        <v>45390</v>
      </c>
      <c r="B1527" s="416">
        <v>1228501</v>
      </c>
      <c r="C1527" s="413" t="str">
        <f>IFERROR(INDEX(Table14[],MATCH($B1527,Table14[SAPNo],0),3),"")</f>
        <v>1618 CT182 U-60 stator</v>
      </c>
      <c r="D1527" s="306"/>
      <c r="E1527" s="421">
        <v>10</v>
      </c>
      <c r="F1527" s="421"/>
      <c r="G1527" s="417" t="s">
        <v>1629</v>
      </c>
      <c r="H1527" s="598">
        <v>14127551</v>
      </c>
      <c r="I1527" s="322" t="s">
        <v>1630</v>
      </c>
      <c r="J1527" s="418"/>
      <c r="K1527" s="248"/>
      <c r="M1527" s="366"/>
      <c r="AF1527">
        <v>10</v>
      </c>
    </row>
    <row r="1528" spans="1:32" x14ac:dyDescent="0.25">
      <c r="A1528" s="320">
        <v>45390</v>
      </c>
      <c r="B1528" s="419">
        <v>717748</v>
      </c>
      <c r="C1528" s="413" t="str">
        <f>IFERROR(INDEX(Table14[],MATCH($B1528,Table14[SAPNo],0),3),"")</f>
        <v>Round 1010 CT200  0.018" (B)</v>
      </c>
      <c r="D1528" s="306"/>
      <c r="E1528" s="421">
        <v>2</v>
      </c>
      <c r="F1528" s="421"/>
      <c r="G1528" s="420" t="s">
        <v>1631</v>
      </c>
      <c r="H1528" s="599" t="s">
        <v>1632</v>
      </c>
      <c r="I1528" s="322" t="s">
        <v>1069</v>
      </c>
      <c r="J1528" s="421"/>
      <c r="K1528" s="422"/>
      <c r="M1528" s="366"/>
      <c r="AF1528">
        <v>2</v>
      </c>
    </row>
    <row r="1529" spans="1:32" x14ac:dyDescent="0.25">
      <c r="A1529" s="308">
        <v>45398</v>
      </c>
      <c r="B1529" s="416">
        <v>418525</v>
      </c>
      <c r="C1529" s="413" t="str">
        <f>IFERROR(INDEX(Table14[],MATCH($B1529,Table14[SAPNo],0),3),"")</f>
        <v>Drop In 1308 CT31   (B)</v>
      </c>
      <c r="D1529" s="306"/>
      <c r="E1529" s="421">
        <v>2</v>
      </c>
      <c r="F1529" s="421"/>
      <c r="G1529" s="417">
        <v>20241050</v>
      </c>
      <c r="H1529" s="598" t="s">
        <v>1633</v>
      </c>
      <c r="I1529" s="322" t="s">
        <v>1634</v>
      </c>
      <c r="J1529" s="418"/>
      <c r="K1529" s="248"/>
      <c r="M1529" s="422"/>
      <c r="AF1529">
        <v>2</v>
      </c>
    </row>
    <row r="1530" spans="1:32" x14ac:dyDescent="0.25">
      <c r="A1530" s="308">
        <v>45398</v>
      </c>
      <c r="B1530" s="416">
        <v>1104083</v>
      </c>
      <c r="C1530" s="413" t="str">
        <f>IFERROR(INDEX(Table14[],MATCH($B1530,Table14[SAPNo],0),3),"")</f>
        <v>1313 CT144H  10C (S)</v>
      </c>
      <c r="D1530" s="306"/>
      <c r="E1530" s="421"/>
      <c r="F1530" s="421"/>
      <c r="G1530" s="417">
        <v>20241050</v>
      </c>
      <c r="H1530" s="598" t="s">
        <v>1633</v>
      </c>
      <c r="I1530" s="322" t="s">
        <v>1634</v>
      </c>
      <c r="J1530" s="418">
        <v>1</v>
      </c>
      <c r="K1530" s="248"/>
      <c r="M1530" s="366"/>
    </row>
    <row r="1531" spans="1:32" x14ac:dyDescent="0.25">
      <c r="A1531" s="308">
        <v>45398</v>
      </c>
      <c r="B1531" s="416">
        <v>1100696</v>
      </c>
      <c r="C1531" s="413" t="str">
        <f>IFERROR(INDEX(Table14[],MATCH($B1531,Table14[SAPNo],0),3),"")</f>
        <v>Round 1313 CT418  10C (S)</v>
      </c>
      <c r="D1531" s="306"/>
      <c r="E1531" s="421"/>
      <c r="F1531" s="421"/>
      <c r="G1531" s="417">
        <v>20241050</v>
      </c>
      <c r="H1531" s="598" t="s">
        <v>1633</v>
      </c>
      <c r="I1531" s="322" t="s">
        <v>1634</v>
      </c>
      <c r="J1531" s="418">
        <v>1</v>
      </c>
      <c r="K1531" s="248"/>
      <c r="M1531" s="366"/>
    </row>
    <row r="1532" spans="1:32" x14ac:dyDescent="0.25">
      <c r="A1532" s="308">
        <v>45398</v>
      </c>
      <c r="B1532" s="416">
        <v>418525</v>
      </c>
      <c r="C1532" s="413" t="str">
        <f>IFERROR(INDEX(Table14[],MATCH($B1532,Table14[SAPNo],0),3),"")</f>
        <v>Drop In 1308 CT31   (B)</v>
      </c>
      <c r="D1532" s="306"/>
      <c r="E1532" s="421">
        <v>1</v>
      </c>
      <c r="F1532" s="421"/>
      <c r="G1532" s="417">
        <v>20241056</v>
      </c>
      <c r="H1532" s="598">
        <v>14012911</v>
      </c>
      <c r="I1532" s="322" t="s">
        <v>1635</v>
      </c>
      <c r="J1532" s="418"/>
      <c r="K1532" s="248"/>
      <c r="M1532" s="366"/>
      <c r="AF1532">
        <v>1</v>
      </c>
    </row>
    <row r="1533" spans="1:32" x14ac:dyDescent="0.25">
      <c r="A1533" s="308">
        <v>45398</v>
      </c>
      <c r="B1533" s="416">
        <v>1209332</v>
      </c>
      <c r="C1533" s="413" t="str">
        <f>IFERROR(INDEX(Table14[],MATCH($B1533,Table14[SAPNo],0),3),"")</f>
        <v>1313 CT147G U</v>
      </c>
      <c r="D1533" s="306"/>
      <c r="E1533" s="421"/>
      <c r="F1533" s="421"/>
      <c r="G1533" s="417">
        <v>20241056</v>
      </c>
      <c r="H1533" s="598">
        <v>14012911</v>
      </c>
      <c r="I1533" s="322" t="s">
        <v>1635</v>
      </c>
      <c r="J1533" s="418">
        <v>1</v>
      </c>
      <c r="K1533" s="248"/>
      <c r="M1533" s="366"/>
    </row>
    <row r="1534" spans="1:32" x14ac:dyDescent="0.25">
      <c r="A1534" s="308">
        <v>45398</v>
      </c>
      <c r="B1534" s="416">
        <v>1145493</v>
      </c>
      <c r="C1534" s="413" t="str">
        <f>IFERROR(INDEX(Table14[],MATCH($B1534,Table14[SAPNo],0),3),"")</f>
        <v>Round 1313 CT427  10C (S)</v>
      </c>
      <c r="D1534" s="306"/>
      <c r="E1534" s="421"/>
      <c r="F1534" s="421"/>
      <c r="G1534" s="417">
        <v>20241056</v>
      </c>
      <c r="H1534" s="598">
        <v>14012911</v>
      </c>
      <c r="I1534" s="322" t="s">
        <v>1635</v>
      </c>
      <c r="J1534" s="418">
        <v>4</v>
      </c>
      <c r="K1534" s="248"/>
      <c r="M1534" s="366"/>
    </row>
    <row r="1535" spans="1:32" x14ac:dyDescent="0.25">
      <c r="A1535" s="308">
        <v>45397</v>
      </c>
      <c r="B1535" s="416">
        <v>882800</v>
      </c>
      <c r="C1535" s="413" t="str">
        <f>IFERROR(INDEX(Table14[],MATCH($B1535,Table14[SAPNo],0),3),"")</f>
        <v>Round 0808 CT80  0.018" (B)</v>
      </c>
      <c r="D1535" s="306"/>
      <c r="E1535" s="421">
        <v>10</v>
      </c>
      <c r="F1535" s="421"/>
      <c r="G1535" s="417" t="s">
        <v>1636</v>
      </c>
      <c r="H1535" s="598">
        <v>14127142</v>
      </c>
      <c r="I1535" s="322" t="s">
        <v>1594</v>
      </c>
      <c r="J1535" s="418"/>
      <c r="K1535" s="248"/>
      <c r="M1535" s="366"/>
      <c r="AF1535">
        <v>10</v>
      </c>
    </row>
    <row r="1536" spans="1:32" x14ac:dyDescent="0.25">
      <c r="A1536" s="308">
        <v>45397</v>
      </c>
      <c r="B1536" s="416">
        <v>1130194</v>
      </c>
      <c r="C1536" s="413" t="str">
        <f>IFERROR(INDEX(Table14[],MATCH($B1536,Table14[SAPNo],0),3),"")</f>
        <v>1010 CT182 18C</v>
      </c>
      <c r="D1536" s="306"/>
      <c r="E1536" s="421">
        <v>26</v>
      </c>
      <c r="F1536" s="421"/>
      <c r="G1536" s="417" t="s">
        <v>1636</v>
      </c>
      <c r="H1536" s="598">
        <v>14127142</v>
      </c>
      <c r="I1536" s="322" t="s">
        <v>1594</v>
      </c>
      <c r="J1536" s="418"/>
      <c r="K1536" s="248"/>
      <c r="M1536" s="366"/>
      <c r="AF1536">
        <v>26</v>
      </c>
    </row>
    <row r="1537" spans="1:32" x14ac:dyDescent="0.25">
      <c r="A1537" s="308">
        <v>45397</v>
      </c>
      <c r="B1537" s="416">
        <v>1130193</v>
      </c>
      <c r="C1537" s="413" t="str">
        <f>IFERROR(INDEX(Table14[],MATCH($B1537,Table14[SAPNo],0),3),"")</f>
        <v xml:space="preserve"> 1005 CT182  0.018 (S)</v>
      </c>
      <c r="D1537" s="306"/>
      <c r="E1537" s="421">
        <v>8</v>
      </c>
      <c r="F1537" s="421"/>
      <c r="G1537" s="417" t="s">
        <v>1636</v>
      </c>
      <c r="H1537" s="598">
        <v>14127142</v>
      </c>
      <c r="I1537" s="322" t="s">
        <v>1594</v>
      </c>
      <c r="J1537" s="418"/>
      <c r="K1537" s="248"/>
      <c r="M1537" s="366"/>
      <c r="AF1537">
        <v>8</v>
      </c>
    </row>
    <row r="1538" spans="1:32" x14ac:dyDescent="0.25">
      <c r="A1538" s="308">
        <v>45397</v>
      </c>
      <c r="B1538" s="416">
        <v>882800</v>
      </c>
      <c r="C1538" s="413" t="str">
        <f>IFERROR(INDEX(Table14[],MATCH($B1538,Table14[SAPNo],0),3),"")</f>
        <v>Round 0808 CT80  0.018" (B)</v>
      </c>
      <c r="D1538" s="306"/>
      <c r="E1538" s="421">
        <v>10</v>
      </c>
      <c r="F1538" s="421"/>
      <c r="G1538" s="417" t="s">
        <v>1637</v>
      </c>
      <c r="H1538" s="598">
        <v>14127143</v>
      </c>
      <c r="I1538" s="322" t="s">
        <v>1594</v>
      </c>
      <c r="J1538" s="418"/>
      <c r="K1538" s="248"/>
      <c r="M1538" s="366"/>
      <c r="AF1538">
        <v>10</v>
      </c>
    </row>
    <row r="1539" spans="1:32" x14ac:dyDescent="0.25">
      <c r="A1539" s="308">
        <v>45397</v>
      </c>
      <c r="B1539" s="416">
        <v>1130194</v>
      </c>
      <c r="C1539" s="413" t="str">
        <f>IFERROR(INDEX(Table14[],MATCH($B1539,Table14[SAPNo],0),3),"")</f>
        <v>1010 CT182 18C</v>
      </c>
      <c r="D1539" s="306"/>
      <c r="E1539" s="421">
        <v>26</v>
      </c>
      <c r="F1539" s="421"/>
      <c r="G1539" s="417" t="s">
        <v>1637</v>
      </c>
      <c r="H1539" s="598">
        <v>14127143</v>
      </c>
      <c r="I1539" s="322" t="s">
        <v>1594</v>
      </c>
      <c r="J1539" s="418"/>
      <c r="K1539" s="248"/>
      <c r="M1539" s="366"/>
      <c r="AF1539">
        <v>26</v>
      </c>
    </row>
    <row r="1540" spans="1:32" x14ac:dyDescent="0.25">
      <c r="A1540" s="320">
        <v>45397</v>
      </c>
      <c r="B1540" s="419">
        <v>1130193</v>
      </c>
      <c r="C1540" s="413" t="str">
        <f>IFERROR(INDEX(Table14[],MATCH($B1540,Table14[SAPNo],0),3),"")</f>
        <v xml:space="preserve"> 1005 CT182  0.018 (S)</v>
      </c>
      <c r="D1540" s="306"/>
      <c r="E1540" s="421">
        <v>8</v>
      </c>
      <c r="F1540" s="421"/>
      <c r="G1540" s="420" t="s">
        <v>1637</v>
      </c>
      <c r="H1540" s="599">
        <v>14127143</v>
      </c>
      <c r="I1540" s="322" t="s">
        <v>1594</v>
      </c>
      <c r="J1540" s="421"/>
      <c r="K1540" s="422"/>
      <c r="M1540" s="473" t="s">
        <v>1638</v>
      </c>
      <c r="AF1540">
        <v>8</v>
      </c>
    </row>
    <row r="1541" spans="1:32" x14ac:dyDescent="0.25">
      <c r="A1541" s="308">
        <v>45399</v>
      </c>
      <c r="B1541" s="416">
        <v>971055</v>
      </c>
      <c r="C1541" s="413" t="str">
        <f>IFERROR(INDEX(Table14[],MATCH($B1541,Table14[SAPNo],0),3),"")</f>
        <v>MED Bullet 10.5 CT217 MBL 0.018" (B)</v>
      </c>
      <c r="D1541" s="306"/>
      <c r="E1541" s="421"/>
      <c r="F1541" s="421"/>
      <c r="G1541" s="417">
        <v>20241055</v>
      </c>
      <c r="H1541" s="598" t="s">
        <v>1639</v>
      </c>
      <c r="I1541" s="322" t="s">
        <v>1523</v>
      </c>
      <c r="J1541" s="418">
        <v>1</v>
      </c>
      <c r="K1541" s="248"/>
      <c r="M1541" s="422"/>
    </row>
    <row r="1542" spans="1:32" x14ac:dyDescent="0.25">
      <c r="A1542" s="308">
        <v>45399</v>
      </c>
      <c r="B1542" s="416">
        <v>971055</v>
      </c>
      <c r="C1542" s="413" t="str">
        <f>IFERROR(INDEX(Table14[],MATCH($B1542,Table14[SAPNo],0),3),"")</f>
        <v>MED Bullet 10.5 CT217 MBL 0.018" (B)</v>
      </c>
      <c r="D1542" s="306"/>
      <c r="E1542" s="421"/>
      <c r="F1542" s="421"/>
      <c r="G1542" s="417">
        <v>20241058</v>
      </c>
      <c r="H1542" s="598" t="s">
        <v>1640</v>
      </c>
      <c r="I1542" s="322" t="s">
        <v>1523</v>
      </c>
      <c r="J1542" s="418">
        <v>2</v>
      </c>
      <c r="K1542" s="248"/>
      <c r="M1542" s="366"/>
    </row>
    <row r="1543" spans="1:32" x14ac:dyDescent="0.25">
      <c r="A1543" s="308">
        <v>45399</v>
      </c>
      <c r="B1543" s="416">
        <v>647436</v>
      </c>
      <c r="C1543" s="413" t="str">
        <f>IFERROR(INDEX(Table14[],MATCH($B1543,Table14[SAPNo],0),3),"")</f>
        <v>Round 1613 CT200  0.018" (B)</v>
      </c>
      <c r="D1543" s="306"/>
      <c r="E1543" s="421">
        <v>64</v>
      </c>
      <c r="F1543" s="421"/>
      <c r="G1543" s="417" t="s">
        <v>1641</v>
      </c>
      <c r="H1543" s="598">
        <v>14144647</v>
      </c>
      <c r="I1543" s="322" t="s">
        <v>1451</v>
      </c>
      <c r="J1543" s="418"/>
      <c r="K1543" s="248"/>
      <c r="M1543" s="366"/>
      <c r="AF1543">
        <v>64</v>
      </c>
    </row>
    <row r="1544" spans="1:32" x14ac:dyDescent="0.25">
      <c r="A1544" s="308">
        <v>45399</v>
      </c>
      <c r="B1544" s="416">
        <v>647435</v>
      </c>
      <c r="C1544" s="413" t="str">
        <f>IFERROR(INDEX(Table14[],MATCH($B1544,Table14[SAPNo],0),3),"")</f>
        <v>Round 1608 CT200  0.018" (B)</v>
      </c>
      <c r="D1544" s="306"/>
      <c r="E1544" s="421">
        <v>16</v>
      </c>
      <c r="F1544" s="421"/>
      <c r="G1544" s="417" t="s">
        <v>1641</v>
      </c>
      <c r="H1544" s="598">
        <v>14144647</v>
      </c>
      <c r="I1544" s="322" t="s">
        <v>1451</v>
      </c>
      <c r="J1544" s="418"/>
      <c r="K1544" s="248"/>
      <c r="M1544" s="366"/>
      <c r="AF1544">
        <v>16</v>
      </c>
    </row>
    <row r="1545" spans="1:32" x14ac:dyDescent="0.25">
      <c r="A1545" s="308">
        <v>45399</v>
      </c>
      <c r="B1545" s="416">
        <v>418525</v>
      </c>
      <c r="C1545" s="413" t="str">
        <f>IFERROR(INDEX(Table14[],MATCH($B1545,Table14[SAPNo],0),3),"")</f>
        <v>Drop In 1308 CT31   (B)</v>
      </c>
      <c r="D1545" s="306"/>
      <c r="E1545" s="421">
        <v>8</v>
      </c>
      <c r="F1545" s="421"/>
      <c r="G1545" s="417" t="s">
        <v>1641</v>
      </c>
      <c r="H1545" s="598">
        <v>14144647</v>
      </c>
      <c r="I1545" s="322" t="s">
        <v>1451</v>
      </c>
      <c r="J1545" s="418"/>
      <c r="K1545" s="248"/>
      <c r="M1545" s="366"/>
      <c r="AF1545">
        <v>8</v>
      </c>
    </row>
    <row r="1546" spans="1:32" x14ac:dyDescent="0.25">
      <c r="A1546" s="308">
        <v>45399</v>
      </c>
      <c r="B1546" s="416">
        <v>1271790</v>
      </c>
      <c r="C1546" s="413" t="str">
        <f>IFERROR(INDEX(Table14[],MATCH($B1546,Table14[SAPNo],0),3),"")</f>
        <v xml:space="preserve">1613 CT170 18-60 </v>
      </c>
      <c r="D1546" s="306"/>
      <c r="E1546" s="421">
        <v>53</v>
      </c>
      <c r="F1546" s="421"/>
      <c r="G1546" s="417" t="s">
        <v>1641</v>
      </c>
      <c r="H1546" s="598">
        <v>14144647</v>
      </c>
      <c r="I1546" s="322" t="s">
        <v>1451</v>
      </c>
      <c r="J1546" s="418"/>
      <c r="K1546" s="248"/>
      <c r="M1546" s="366"/>
      <c r="AF1546">
        <v>53</v>
      </c>
    </row>
    <row r="1547" spans="1:32" x14ac:dyDescent="0.25">
      <c r="A1547" s="308">
        <v>45399</v>
      </c>
      <c r="B1547" s="416">
        <v>1146737</v>
      </c>
      <c r="C1547" s="413" t="str">
        <f>IFERROR(INDEX(Table14[],MATCH($B1547,Table14[SAPNo],0),3),"")</f>
        <v>1613 CT418 18-60</v>
      </c>
      <c r="D1547" s="306"/>
      <c r="E1547" s="421">
        <v>39</v>
      </c>
      <c r="F1547" s="421"/>
      <c r="G1547" s="417" t="s">
        <v>1641</v>
      </c>
      <c r="H1547" s="598">
        <v>14144647</v>
      </c>
      <c r="I1547" s="322" t="s">
        <v>1451</v>
      </c>
      <c r="J1547" s="418"/>
      <c r="K1547" s="248"/>
      <c r="M1547" s="366"/>
      <c r="AF1547">
        <v>39</v>
      </c>
    </row>
    <row r="1548" spans="1:32" x14ac:dyDescent="0.25">
      <c r="A1548" s="308">
        <v>45399</v>
      </c>
      <c r="B1548" s="416">
        <v>625854</v>
      </c>
      <c r="C1548" s="413" t="str">
        <f>IFERROR(INDEX(Table14[],MATCH($B1548,Table14[SAPNo],0),3),"")</f>
        <v>Carbide IA 1318    (C)</v>
      </c>
      <c r="D1548" s="306"/>
      <c r="E1548" s="421">
        <v>6</v>
      </c>
      <c r="F1548" s="421"/>
      <c r="G1548" s="417" t="s">
        <v>1642</v>
      </c>
      <c r="H1548" s="598">
        <v>13992671</v>
      </c>
      <c r="I1548" s="322" t="s">
        <v>1643</v>
      </c>
      <c r="J1548" s="418"/>
      <c r="K1548" s="248"/>
      <c r="M1548" s="366"/>
      <c r="AF1548">
        <v>6</v>
      </c>
    </row>
    <row r="1549" spans="1:32" x14ac:dyDescent="0.25">
      <c r="A1549" s="308">
        <v>45399</v>
      </c>
      <c r="B1549" s="416">
        <v>1100741</v>
      </c>
      <c r="C1549" s="413" t="str">
        <f>IFERROR(INDEX(Table14[],MATCH($B1549,Table14[SAPNo],0),3),"")</f>
        <v>Round 1613 CT418  0.018" (S)</v>
      </c>
      <c r="D1549" s="306"/>
      <c r="E1549" s="421">
        <v>19</v>
      </c>
      <c r="F1549" s="421"/>
      <c r="G1549" s="417" t="s">
        <v>1642</v>
      </c>
      <c r="H1549" s="598">
        <v>13992671</v>
      </c>
      <c r="I1549" s="322" t="s">
        <v>1643</v>
      </c>
      <c r="J1549" s="418"/>
      <c r="K1549" s="248"/>
      <c r="M1549" s="366"/>
      <c r="AF1549">
        <v>19</v>
      </c>
    </row>
    <row r="1550" spans="1:32" x14ac:dyDescent="0.25">
      <c r="A1550" s="308">
        <v>45399</v>
      </c>
      <c r="B1550" s="416">
        <v>1209333</v>
      </c>
      <c r="C1550" s="413" t="str">
        <f>IFERROR(INDEX(Table14[],MATCH($B1550,Table14[SAPNo],0),3),"")</f>
        <v>1613 CT147G U</v>
      </c>
      <c r="D1550" s="306"/>
      <c r="E1550" s="421">
        <v>12</v>
      </c>
      <c r="F1550" s="421"/>
      <c r="G1550" s="417" t="s">
        <v>1642</v>
      </c>
      <c r="H1550" s="598">
        <v>13992671</v>
      </c>
      <c r="I1550" s="322" t="s">
        <v>1643</v>
      </c>
      <c r="J1550" s="418"/>
      <c r="K1550" s="248"/>
      <c r="M1550" s="366"/>
      <c r="AF1550">
        <v>12</v>
      </c>
    </row>
    <row r="1551" spans="1:32" x14ac:dyDescent="0.25">
      <c r="A1551" s="308">
        <v>45399</v>
      </c>
      <c r="B1551" s="416">
        <v>418525</v>
      </c>
      <c r="C1551" s="413" t="str">
        <f>IFERROR(INDEX(Table14[],MATCH($B1551,Table14[SAPNo],0),3),"")</f>
        <v>Drop In 1308 CT31   (B)</v>
      </c>
      <c r="D1551" s="306"/>
      <c r="E1551" s="421">
        <v>6</v>
      </c>
      <c r="F1551" s="421"/>
      <c r="G1551" s="417" t="s">
        <v>1642</v>
      </c>
      <c r="H1551" s="598">
        <v>13992671</v>
      </c>
      <c r="I1551" s="322" t="s">
        <v>1643</v>
      </c>
      <c r="J1551" s="418"/>
      <c r="K1551" s="248"/>
      <c r="M1551" s="366"/>
      <c r="AF1551">
        <v>6</v>
      </c>
    </row>
    <row r="1552" spans="1:32" x14ac:dyDescent="0.25">
      <c r="A1552" s="308">
        <v>45400</v>
      </c>
      <c r="B1552" s="416">
        <v>703670</v>
      </c>
      <c r="C1552" s="413" t="str">
        <f>IFERROR(INDEX(Table14[],MATCH($B1552,Table14[SAPNo],0),3),"")</f>
        <v>Round 1313 CT200  10C (B)</v>
      </c>
      <c r="D1552" s="306"/>
      <c r="E1552" s="421"/>
      <c r="F1552" s="421"/>
      <c r="G1552" s="417">
        <v>20241059</v>
      </c>
      <c r="H1552" s="598" t="s">
        <v>1644</v>
      </c>
      <c r="I1552" s="322" t="s">
        <v>1503</v>
      </c>
      <c r="J1552" s="418">
        <v>1</v>
      </c>
      <c r="K1552" s="248"/>
      <c r="M1552" s="366"/>
    </row>
    <row r="1553" spans="1:32" x14ac:dyDescent="0.25">
      <c r="A1553" s="308">
        <v>45400</v>
      </c>
      <c r="B1553" s="416">
        <v>418525</v>
      </c>
      <c r="C1553" s="413" t="str">
        <f>IFERROR(INDEX(Table14[],MATCH($B1553,Table14[SAPNo],0),3),"")</f>
        <v>Drop In 1308 CT31   (B)</v>
      </c>
      <c r="D1553" s="306"/>
      <c r="E1553" s="421">
        <v>2</v>
      </c>
      <c r="F1553" s="421"/>
      <c r="G1553" s="417">
        <v>20241059</v>
      </c>
      <c r="H1553" s="598" t="s">
        <v>1644</v>
      </c>
      <c r="I1553" s="322" t="s">
        <v>1503</v>
      </c>
      <c r="J1553" s="418"/>
      <c r="K1553" s="248"/>
      <c r="M1553" s="366"/>
      <c r="AF1553">
        <v>2</v>
      </c>
    </row>
    <row r="1554" spans="1:32" x14ac:dyDescent="0.25">
      <c r="A1554" s="308">
        <v>45400</v>
      </c>
      <c r="B1554" s="416">
        <v>418525</v>
      </c>
      <c r="C1554" s="413" t="str">
        <f>IFERROR(INDEX(Table14[],MATCH($B1554,Table14[SAPNo],0),3),"")</f>
        <v>Drop In 1308 CT31   (B)</v>
      </c>
      <c r="D1554" s="306"/>
      <c r="E1554" s="421">
        <v>10</v>
      </c>
      <c r="F1554" s="421"/>
      <c r="G1554" s="417" t="s">
        <v>1645</v>
      </c>
      <c r="H1554" s="598">
        <v>14144627</v>
      </c>
      <c r="I1554" s="322" t="s">
        <v>1646</v>
      </c>
      <c r="J1554" s="418"/>
      <c r="K1554" s="248"/>
      <c r="M1554" s="366"/>
      <c r="AF1554">
        <v>10</v>
      </c>
    </row>
    <row r="1555" spans="1:32" x14ac:dyDescent="0.25">
      <c r="A1555" s="308">
        <v>45400</v>
      </c>
      <c r="B1555" s="416">
        <v>1100696</v>
      </c>
      <c r="C1555" s="413" t="str">
        <f>IFERROR(INDEX(Table14[],MATCH($B1555,Table14[SAPNo],0),3),"")</f>
        <v>Round 1313 CT418  10C (S)</v>
      </c>
      <c r="D1555" s="306"/>
      <c r="E1555" s="421">
        <v>23</v>
      </c>
      <c r="F1555" s="421"/>
      <c r="G1555" s="417" t="s">
        <v>1645</v>
      </c>
      <c r="H1555" s="598">
        <v>14144627</v>
      </c>
      <c r="I1555" s="322" t="s">
        <v>1646</v>
      </c>
      <c r="J1555" s="418"/>
      <c r="K1555" s="248"/>
      <c r="M1555" s="366"/>
      <c r="AF1555">
        <v>23</v>
      </c>
    </row>
    <row r="1556" spans="1:32" x14ac:dyDescent="0.25">
      <c r="A1556" s="308">
        <v>45400</v>
      </c>
      <c r="B1556" s="416">
        <v>1130198</v>
      </c>
      <c r="C1556" s="413" t="str">
        <f>IFERROR(INDEX(Table14[],MATCH($B1556,Table14[SAPNo],0),3),"")</f>
        <v>Round 1613 CT182  0.018" (S)</v>
      </c>
      <c r="D1556" s="306"/>
      <c r="E1556" s="421">
        <v>105</v>
      </c>
      <c r="F1556" s="421"/>
      <c r="G1556" s="417" t="s">
        <v>1647</v>
      </c>
      <c r="H1556" s="598">
        <v>14127579</v>
      </c>
      <c r="I1556" s="322" t="s">
        <v>1477</v>
      </c>
      <c r="J1556" s="418"/>
      <c r="K1556" s="248"/>
      <c r="M1556" s="366"/>
      <c r="AF1556">
        <v>105</v>
      </c>
    </row>
    <row r="1557" spans="1:32" x14ac:dyDescent="0.25">
      <c r="A1557" s="308">
        <v>45400</v>
      </c>
      <c r="B1557" s="416">
        <v>647436</v>
      </c>
      <c r="C1557" s="413" t="str">
        <f>IFERROR(INDEX(Table14[],MATCH($B1557,Table14[SAPNo],0),3),"")</f>
        <v>Round 1613 CT200  0.018" (B)</v>
      </c>
      <c r="D1557" s="306"/>
      <c r="E1557" s="421">
        <v>32</v>
      </c>
      <c r="F1557" s="421"/>
      <c r="G1557" s="417" t="s">
        <v>1647</v>
      </c>
      <c r="H1557" s="598">
        <v>14127579</v>
      </c>
      <c r="I1557" s="322" t="s">
        <v>1477</v>
      </c>
      <c r="J1557" s="418"/>
      <c r="K1557" s="248"/>
      <c r="M1557" s="366"/>
      <c r="AF1557">
        <v>32</v>
      </c>
    </row>
    <row r="1558" spans="1:32" x14ac:dyDescent="0.25">
      <c r="A1558" s="308">
        <v>45400</v>
      </c>
      <c r="B1558" s="416">
        <v>418525</v>
      </c>
      <c r="C1558" s="413" t="str">
        <f>IFERROR(INDEX(Table14[],MATCH($B1558,Table14[SAPNo],0),3),"")</f>
        <v>Drop In 1308 CT31   (B)</v>
      </c>
      <c r="D1558" s="306"/>
      <c r="E1558" s="421">
        <v>8</v>
      </c>
      <c r="F1558" s="421"/>
      <c r="G1558" s="417" t="s">
        <v>1647</v>
      </c>
      <c r="H1558" s="598">
        <v>14127579</v>
      </c>
      <c r="I1558" s="322" t="s">
        <v>1477</v>
      </c>
      <c r="J1558" s="418"/>
      <c r="K1558" s="248"/>
      <c r="M1558" s="366"/>
      <c r="AF1558">
        <v>8</v>
      </c>
    </row>
    <row r="1559" spans="1:32" x14ac:dyDescent="0.25">
      <c r="A1559" s="308">
        <v>45400</v>
      </c>
      <c r="B1559" s="416">
        <v>1130198</v>
      </c>
      <c r="C1559" s="413" t="str">
        <f>IFERROR(INDEX(Table14[],MATCH($B1559,Table14[SAPNo],0),3),"")</f>
        <v>Round 1613 CT182  0.018" (S)</v>
      </c>
      <c r="D1559" s="306"/>
      <c r="E1559" s="421">
        <v>105</v>
      </c>
      <c r="F1559" s="421"/>
      <c r="G1559" s="417" t="s">
        <v>1648</v>
      </c>
      <c r="H1559" s="598">
        <v>14127580</v>
      </c>
      <c r="I1559" s="322" t="s">
        <v>1477</v>
      </c>
      <c r="J1559" s="418"/>
      <c r="K1559" s="248"/>
      <c r="M1559" s="366"/>
      <c r="AF1559">
        <v>105</v>
      </c>
    </row>
    <row r="1560" spans="1:32" x14ac:dyDescent="0.25">
      <c r="A1560" s="308">
        <v>45400</v>
      </c>
      <c r="B1560" s="416">
        <v>647436</v>
      </c>
      <c r="C1560" s="413" t="str">
        <f>IFERROR(INDEX(Table14[],MATCH($B1560,Table14[SAPNo],0),3),"")</f>
        <v>Round 1613 CT200  0.018" (B)</v>
      </c>
      <c r="D1560" s="306"/>
      <c r="E1560" s="421">
        <v>32</v>
      </c>
      <c r="F1560" s="421"/>
      <c r="G1560" s="417" t="s">
        <v>1648</v>
      </c>
      <c r="H1560" s="598">
        <v>14127580</v>
      </c>
      <c r="I1560" s="322" t="s">
        <v>1477</v>
      </c>
      <c r="J1560" s="418"/>
      <c r="K1560" s="248"/>
      <c r="M1560" s="366"/>
      <c r="AF1560">
        <v>32</v>
      </c>
    </row>
    <row r="1561" spans="1:32" x14ac:dyDescent="0.25">
      <c r="A1561" s="308">
        <v>45400</v>
      </c>
      <c r="B1561" s="416">
        <v>418525</v>
      </c>
      <c r="C1561" s="413" t="str">
        <f>IFERROR(INDEX(Table14[],MATCH($B1561,Table14[SAPNo],0),3),"")</f>
        <v>Drop In 1308 CT31   (B)</v>
      </c>
      <c r="D1561" s="306"/>
      <c r="E1561" s="421">
        <v>8</v>
      </c>
      <c r="F1561" s="421"/>
      <c r="G1561" s="417" t="s">
        <v>1648</v>
      </c>
      <c r="H1561" s="598">
        <v>14127580</v>
      </c>
      <c r="I1561" s="322" t="s">
        <v>1477</v>
      </c>
      <c r="J1561" s="418"/>
      <c r="K1561" s="248"/>
      <c r="M1561" s="366"/>
      <c r="AF1561">
        <v>8</v>
      </c>
    </row>
    <row r="1562" spans="1:32" x14ac:dyDescent="0.25">
      <c r="A1562" s="308">
        <v>45400</v>
      </c>
      <c r="B1562" s="416">
        <v>708306</v>
      </c>
      <c r="C1562" s="413" t="str">
        <f>IFERROR(INDEX(Table14[],MATCH($B1562,Table14[SAPNo],0),3),"")</f>
        <v>Round 1913 CT200  0.018" (B)</v>
      </c>
      <c r="D1562" s="306"/>
      <c r="E1562" s="421">
        <v>34</v>
      </c>
      <c r="F1562" s="421"/>
      <c r="G1562" s="417" t="s">
        <v>1649</v>
      </c>
      <c r="H1562" s="598">
        <v>14144639</v>
      </c>
      <c r="I1562" s="322" t="s">
        <v>1599</v>
      </c>
      <c r="J1562" s="418"/>
      <c r="K1562" s="248"/>
      <c r="M1562" s="366"/>
      <c r="AF1562">
        <v>34</v>
      </c>
    </row>
    <row r="1563" spans="1:32" x14ac:dyDescent="0.25">
      <c r="A1563" s="308">
        <v>45400</v>
      </c>
      <c r="B1563" s="416">
        <v>1100759</v>
      </c>
      <c r="C1563" s="413" t="str">
        <f>IFERROR(INDEX(Table14[],MATCH($B1563,Table14[SAPNo],0),3),"")</f>
        <v>1913 CT421 0.018"</v>
      </c>
      <c r="D1563" s="306"/>
      <c r="E1563" s="421">
        <v>48</v>
      </c>
      <c r="F1563" s="421"/>
      <c r="G1563" s="417" t="s">
        <v>1649</v>
      </c>
      <c r="H1563" s="598">
        <v>14144639</v>
      </c>
      <c r="I1563" s="322" t="s">
        <v>1599</v>
      </c>
      <c r="J1563" s="418"/>
      <c r="K1563" s="248"/>
      <c r="M1563" s="366"/>
      <c r="AF1563">
        <v>48</v>
      </c>
    </row>
    <row r="1564" spans="1:32" x14ac:dyDescent="0.25">
      <c r="A1564" s="308">
        <v>45400</v>
      </c>
      <c r="B1564" s="416">
        <v>871781</v>
      </c>
      <c r="C1564" s="413" t="str">
        <f>IFERROR(INDEX(Table14[],MATCH($B1564,Table14[SAPNo],0),3),"")</f>
        <v>Round 1313 CT200  0.018" (B)</v>
      </c>
      <c r="D1564" s="306"/>
      <c r="E1564" s="421">
        <v>8</v>
      </c>
      <c r="F1564" s="421"/>
      <c r="G1564" s="417" t="s">
        <v>1649</v>
      </c>
      <c r="H1564" s="598">
        <v>14144639</v>
      </c>
      <c r="I1564" s="322" t="s">
        <v>1599</v>
      </c>
      <c r="J1564" s="418"/>
      <c r="K1564" s="248"/>
      <c r="M1564" s="366"/>
      <c r="AF1564">
        <v>8</v>
      </c>
    </row>
    <row r="1565" spans="1:32" x14ac:dyDescent="0.25">
      <c r="A1565" s="308">
        <v>45400</v>
      </c>
      <c r="B1565" s="416">
        <v>1130198</v>
      </c>
      <c r="C1565" s="413" t="str">
        <f>IFERROR(INDEX(Table14[],MATCH($B1565,Table14[SAPNo],0),3),"")</f>
        <v>Round 1613 CT182  0.018" (S)</v>
      </c>
      <c r="D1565" s="306"/>
      <c r="E1565" s="421">
        <v>9</v>
      </c>
      <c r="F1565" s="421"/>
      <c r="G1565" s="417" t="s">
        <v>1649</v>
      </c>
      <c r="H1565" s="598">
        <v>14144639</v>
      </c>
      <c r="I1565" s="322" t="s">
        <v>1599</v>
      </c>
      <c r="J1565" s="418"/>
      <c r="K1565" s="248"/>
      <c r="M1565" s="366"/>
      <c r="AF1565">
        <v>9</v>
      </c>
    </row>
    <row r="1566" spans="1:32" x14ac:dyDescent="0.25">
      <c r="A1566" s="308">
        <v>45400</v>
      </c>
      <c r="B1566" s="416">
        <v>1100741</v>
      </c>
      <c r="C1566" s="413" t="str">
        <f>IFERROR(INDEX(Table14[],MATCH($B1566,Table14[SAPNo],0),3),"")</f>
        <v>Round 1613 CT418  0.018" (S)</v>
      </c>
      <c r="D1566" s="306"/>
      <c r="E1566" s="421">
        <v>19</v>
      </c>
      <c r="F1566" s="421"/>
      <c r="G1566" s="417" t="s">
        <v>1650</v>
      </c>
      <c r="H1566" s="598">
        <v>13992672</v>
      </c>
      <c r="I1566" s="322" t="s">
        <v>1643</v>
      </c>
      <c r="J1566" s="418"/>
      <c r="K1566" s="248"/>
      <c r="M1566" s="366"/>
      <c r="AF1566">
        <v>19</v>
      </c>
    </row>
    <row r="1567" spans="1:32" x14ac:dyDescent="0.25">
      <c r="A1567" s="308">
        <v>45400</v>
      </c>
      <c r="B1567" s="416">
        <v>1209333</v>
      </c>
      <c r="C1567" s="413" t="str">
        <f>IFERROR(INDEX(Table14[],MATCH($B1567,Table14[SAPNo],0),3),"")</f>
        <v>1613 CT147G U</v>
      </c>
      <c r="D1567" s="306"/>
      <c r="E1567" s="421">
        <v>12</v>
      </c>
      <c r="F1567" s="421"/>
      <c r="G1567" s="417" t="s">
        <v>1650</v>
      </c>
      <c r="H1567" s="598">
        <v>13992672</v>
      </c>
      <c r="I1567" s="322" t="s">
        <v>1643</v>
      </c>
      <c r="J1567" s="418"/>
      <c r="K1567" s="248"/>
      <c r="M1567" s="366"/>
      <c r="AF1567">
        <v>12</v>
      </c>
    </row>
    <row r="1568" spans="1:32" x14ac:dyDescent="0.25">
      <c r="A1568" s="308">
        <v>45400</v>
      </c>
      <c r="B1568" s="416">
        <v>625854</v>
      </c>
      <c r="C1568" s="413" t="str">
        <f>IFERROR(INDEX(Table14[],MATCH($B1568,Table14[SAPNo],0),3),"")</f>
        <v>Carbide IA 1318    (C)</v>
      </c>
      <c r="D1568" s="306"/>
      <c r="E1568" s="421">
        <v>6</v>
      </c>
      <c r="F1568" s="421"/>
      <c r="G1568" s="417" t="s">
        <v>1650</v>
      </c>
      <c r="H1568" s="598">
        <v>13992672</v>
      </c>
      <c r="I1568" s="322" t="s">
        <v>1643</v>
      </c>
      <c r="J1568" s="418"/>
      <c r="K1568" s="248"/>
      <c r="M1568" s="366"/>
      <c r="AF1568">
        <v>6</v>
      </c>
    </row>
    <row r="1569" spans="1:32" x14ac:dyDescent="0.25">
      <c r="A1569" s="308">
        <v>45400</v>
      </c>
      <c r="B1569" s="416">
        <v>418525</v>
      </c>
      <c r="C1569" s="413" t="str">
        <f>IFERROR(INDEX(Table14[],MATCH($B1569,Table14[SAPNo],0),3),"")</f>
        <v>Drop In 1308 CT31   (B)</v>
      </c>
      <c r="D1569" s="306"/>
      <c r="E1569" s="421">
        <v>6</v>
      </c>
      <c r="F1569" s="421"/>
      <c r="G1569" s="417" t="s">
        <v>1650</v>
      </c>
      <c r="H1569" s="598">
        <v>13992672</v>
      </c>
      <c r="I1569" s="322" t="s">
        <v>1643</v>
      </c>
      <c r="J1569" s="418"/>
      <c r="K1569" s="248"/>
      <c r="M1569" s="366"/>
      <c r="AF1569">
        <v>6</v>
      </c>
    </row>
    <row r="1570" spans="1:32" x14ac:dyDescent="0.25">
      <c r="A1570" s="308">
        <v>45400</v>
      </c>
      <c r="B1570" s="416">
        <v>418525</v>
      </c>
      <c r="C1570" s="413" t="str">
        <f>IFERROR(INDEX(Table14[],MATCH($B1570,Table14[SAPNo],0),3),"")</f>
        <v>Drop In 1308 CT31   (B)</v>
      </c>
      <c r="D1570" s="306"/>
      <c r="E1570" s="421">
        <v>6</v>
      </c>
      <c r="F1570" s="421"/>
      <c r="G1570" s="417" t="s">
        <v>1651</v>
      </c>
      <c r="H1570" s="598">
        <v>14144631</v>
      </c>
      <c r="I1570" s="322" t="s">
        <v>1497</v>
      </c>
      <c r="J1570" s="418"/>
      <c r="K1570" s="248"/>
      <c r="M1570" s="366"/>
      <c r="AF1570">
        <v>6</v>
      </c>
    </row>
    <row r="1571" spans="1:32" x14ac:dyDescent="0.25">
      <c r="A1571" s="308">
        <v>45400</v>
      </c>
      <c r="B1571" s="416">
        <v>1271790</v>
      </c>
      <c r="C1571" s="413" t="str">
        <f>IFERROR(INDEX(Table14[],MATCH($B1571,Table14[SAPNo],0),3),"")</f>
        <v xml:space="preserve">1613 CT170 18-60 </v>
      </c>
      <c r="D1571" s="306"/>
      <c r="E1571" s="421">
        <v>17</v>
      </c>
      <c r="F1571" s="421"/>
      <c r="G1571" s="417" t="s">
        <v>1651</v>
      </c>
      <c r="H1571" s="598">
        <v>14144631</v>
      </c>
      <c r="I1571" s="322" t="s">
        <v>1497</v>
      </c>
      <c r="J1571" s="418"/>
      <c r="K1571" s="248"/>
      <c r="M1571" s="366"/>
      <c r="AF1571">
        <v>17</v>
      </c>
    </row>
    <row r="1572" spans="1:32" x14ac:dyDescent="0.25">
      <c r="A1572" s="308">
        <v>45400</v>
      </c>
      <c r="B1572" s="416">
        <v>1078377</v>
      </c>
      <c r="C1572" s="413" t="str">
        <f>IFERROR(INDEX(Table14[],MATCH($B1572,Table14[SAPNo],0),3),"")</f>
        <v>13MM CT221 R1</v>
      </c>
      <c r="D1572" s="306"/>
      <c r="E1572" s="421">
        <v>15</v>
      </c>
      <c r="F1572" s="421"/>
      <c r="G1572" s="417" t="s">
        <v>1651</v>
      </c>
      <c r="H1572" s="598">
        <v>14144631</v>
      </c>
      <c r="I1572" s="322" t="s">
        <v>1497</v>
      </c>
      <c r="J1572" s="418"/>
      <c r="K1572" s="248"/>
      <c r="M1572" s="366"/>
      <c r="AF1572">
        <v>15</v>
      </c>
    </row>
    <row r="1573" spans="1:32" x14ac:dyDescent="0.25">
      <c r="A1573" s="308">
        <v>45400</v>
      </c>
      <c r="B1573" s="416">
        <v>1146737</v>
      </c>
      <c r="C1573" s="413" t="str">
        <f>IFERROR(INDEX(Table14[],MATCH($B1573,Table14[SAPNo],0),3),"")</f>
        <v>1613 CT418 18-60</v>
      </c>
      <c r="D1573" s="306"/>
      <c r="E1573" s="421">
        <v>6</v>
      </c>
      <c r="F1573" s="421"/>
      <c r="G1573" s="417" t="s">
        <v>1651</v>
      </c>
      <c r="H1573" s="598">
        <v>14144631</v>
      </c>
      <c r="I1573" s="322" t="s">
        <v>1497</v>
      </c>
      <c r="J1573" s="418"/>
      <c r="K1573" s="248"/>
      <c r="M1573" s="366"/>
      <c r="AF1573">
        <v>6</v>
      </c>
    </row>
    <row r="1574" spans="1:32" x14ac:dyDescent="0.25">
      <c r="A1574" s="308">
        <v>45400</v>
      </c>
      <c r="B1574" s="416">
        <v>1208601</v>
      </c>
      <c r="C1574" s="413" t="str">
        <f>IFERROR(INDEX(Table14[],MATCH($B1574,Table14[SAPNo],0),3),"")</f>
        <v>1613 CT418 U-60</v>
      </c>
      <c r="D1574" s="306"/>
      <c r="E1574" s="421">
        <v>8</v>
      </c>
      <c r="F1574" s="421"/>
      <c r="G1574" s="417" t="s">
        <v>1651</v>
      </c>
      <c r="H1574" s="598">
        <v>14144631</v>
      </c>
      <c r="I1574" s="322" t="s">
        <v>1497</v>
      </c>
      <c r="J1574" s="418"/>
      <c r="K1574" s="248"/>
      <c r="M1574" s="366"/>
      <c r="AF1574">
        <v>8</v>
      </c>
    </row>
    <row r="1575" spans="1:32" x14ac:dyDescent="0.25">
      <c r="A1575" s="308">
        <v>45400</v>
      </c>
      <c r="B1575" s="416">
        <v>1208601</v>
      </c>
      <c r="C1575" s="413" t="str">
        <f>IFERROR(INDEX(Table14[],MATCH($B1575,Table14[SAPNo],0),3),"")</f>
        <v>1613 CT418 U-60</v>
      </c>
      <c r="D1575" s="306"/>
      <c r="E1575" s="421">
        <v>8</v>
      </c>
      <c r="F1575" s="421"/>
      <c r="G1575" s="417" t="s">
        <v>1652</v>
      </c>
      <c r="H1575" s="598">
        <v>14144629</v>
      </c>
      <c r="I1575" s="322" t="s">
        <v>1497</v>
      </c>
      <c r="J1575" s="418"/>
      <c r="K1575" s="248"/>
      <c r="M1575" s="366"/>
      <c r="AF1575">
        <v>8</v>
      </c>
    </row>
    <row r="1576" spans="1:32" x14ac:dyDescent="0.25">
      <c r="A1576" s="308">
        <v>45400</v>
      </c>
      <c r="B1576" s="416">
        <v>1146737</v>
      </c>
      <c r="C1576" s="413" t="str">
        <f>IFERROR(INDEX(Table14[],MATCH($B1576,Table14[SAPNo],0),3),"")</f>
        <v>1613 CT418 18-60</v>
      </c>
      <c r="D1576" s="306"/>
      <c r="E1576" s="421">
        <v>6</v>
      </c>
      <c r="F1576" s="421"/>
      <c r="G1576" s="417" t="s">
        <v>1652</v>
      </c>
      <c r="H1576" s="598">
        <v>14144629</v>
      </c>
      <c r="I1576" s="322" t="s">
        <v>1497</v>
      </c>
      <c r="J1576" s="418"/>
      <c r="K1576" s="248"/>
      <c r="M1576" s="366"/>
      <c r="AF1576">
        <v>6</v>
      </c>
    </row>
    <row r="1577" spans="1:32" x14ac:dyDescent="0.25">
      <c r="A1577" s="308">
        <v>45400</v>
      </c>
      <c r="B1577" s="416">
        <v>1271790</v>
      </c>
      <c r="C1577" s="413" t="str">
        <f>IFERROR(INDEX(Table14[],MATCH($B1577,Table14[SAPNo],0),3),"")</f>
        <v xml:space="preserve">1613 CT170 18-60 </v>
      </c>
      <c r="D1577" s="306"/>
      <c r="E1577" s="421">
        <v>17</v>
      </c>
      <c r="F1577" s="421"/>
      <c r="G1577" s="417" t="s">
        <v>1652</v>
      </c>
      <c r="H1577" s="598">
        <v>14144629</v>
      </c>
      <c r="I1577" s="322" t="s">
        <v>1497</v>
      </c>
      <c r="J1577" s="418"/>
      <c r="K1577" s="248"/>
      <c r="M1577" s="366"/>
      <c r="AF1577">
        <v>17</v>
      </c>
    </row>
    <row r="1578" spans="1:32" x14ac:dyDescent="0.25">
      <c r="A1578" s="308">
        <v>45400</v>
      </c>
      <c r="B1578" s="416">
        <v>418525</v>
      </c>
      <c r="C1578" s="413" t="str">
        <f>IFERROR(INDEX(Table14[],MATCH($B1578,Table14[SAPNo],0),3),"")</f>
        <v>Drop In 1308 CT31   (B)</v>
      </c>
      <c r="D1578" s="306"/>
      <c r="E1578" s="421">
        <v>6</v>
      </c>
      <c r="F1578" s="421"/>
      <c r="G1578" s="417" t="s">
        <v>1652</v>
      </c>
      <c r="H1578" s="598">
        <v>14144629</v>
      </c>
      <c r="I1578" s="322" t="s">
        <v>1497</v>
      </c>
      <c r="J1578" s="418"/>
      <c r="K1578" s="248"/>
      <c r="M1578" s="366"/>
      <c r="AF1578">
        <v>6</v>
      </c>
    </row>
    <row r="1579" spans="1:32" x14ac:dyDescent="0.25">
      <c r="A1579" s="308">
        <v>45400</v>
      </c>
      <c r="B1579" s="416">
        <v>1078377</v>
      </c>
      <c r="C1579" s="413" t="str">
        <f>IFERROR(INDEX(Table14[],MATCH($B1579,Table14[SAPNo],0),3),"")</f>
        <v>13MM CT221 R1</v>
      </c>
      <c r="D1579" s="306"/>
      <c r="E1579" s="421">
        <v>15</v>
      </c>
      <c r="F1579" s="421"/>
      <c r="G1579" s="417" t="s">
        <v>1652</v>
      </c>
      <c r="H1579" s="598">
        <v>14144629</v>
      </c>
      <c r="I1579" s="322" t="s">
        <v>1497</v>
      </c>
      <c r="J1579" s="418"/>
      <c r="K1579" s="248"/>
      <c r="M1579" s="366"/>
      <c r="AF1579">
        <v>15</v>
      </c>
    </row>
    <row r="1580" spans="1:32" x14ac:dyDescent="0.25">
      <c r="A1580" s="308">
        <v>45400</v>
      </c>
      <c r="B1580" s="416">
        <v>1208601</v>
      </c>
      <c r="C1580" s="413" t="str">
        <f>IFERROR(INDEX(Table14[],MATCH($B1580,Table14[SAPNo],0),3),"")</f>
        <v>1613 CT418 U-60</v>
      </c>
      <c r="D1580" s="306"/>
      <c r="E1580" s="421">
        <v>11</v>
      </c>
      <c r="F1580" s="421"/>
      <c r="G1580" s="417" t="s">
        <v>1653</v>
      </c>
      <c r="H1580" s="598">
        <v>14155386</v>
      </c>
      <c r="I1580" s="322" t="s">
        <v>1544</v>
      </c>
      <c r="J1580" s="418"/>
      <c r="K1580" s="248"/>
      <c r="M1580" s="366"/>
      <c r="AF1580">
        <v>11</v>
      </c>
    </row>
    <row r="1581" spans="1:32" x14ac:dyDescent="0.25">
      <c r="A1581" s="308">
        <v>45400</v>
      </c>
      <c r="B1581" s="416">
        <v>1142711</v>
      </c>
      <c r="C1581" s="413" t="str">
        <f>IFERROR(INDEX(Table14[],MATCH($B1581,Table14[SAPNo],0),3),"")</f>
        <v>1613 CT421 U</v>
      </c>
      <c r="D1581" s="306"/>
      <c r="E1581" s="421">
        <v>21</v>
      </c>
      <c r="F1581" s="421"/>
      <c r="G1581" s="417" t="s">
        <v>1653</v>
      </c>
      <c r="H1581" s="598">
        <v>14155386</v>
      </c>
      <c r="I1581" s="322" t="s">
        <v>1544</v>
      </c>
      <c r="J1581" s="418"/>
      <c r="K1581" s="248"/>
      <c r="M1581" s="366"/>
      <c r="AF1581">
        <v>21</v>
      </c>
    </row>
    <row r="1582" spans="1:32" x14ac:dyDescent="0.25">
      <c r="A1582" s="308">
        <v>45400</v>
      </c>
      <c r="B1582" s="416">
        <v>1234679</v>
      </c>
      <c r="C1582" s="413" t="str">
        <f>IFERROR(INDEX(Table14[],MATCH($B1582,Table14[SAPNo],0),3),"")</f>
        <v>1613 CT164R U</v>
      </c>
      <c r="D1582" s="306"/>
      <c r="E1582" s="421">
        <v>30</v>
      </c>
      <c r="F1582" s="421"/>
      <c r="G1582" s="417" t="s">
        <v>1653</v>
      </c>
      <c r="H1582" s="598">
        <v>14155386</v>
      </c>
      <c r="I1582" s="322" t="s">
        <v>1544</v>
      </c>
      <c r="J1582" s="418"/>
      <c r="K1582" s="248"/>
      <c r="M1582" s="366"/>
      <c r="AF1582">
        <v>30</v>
      </c>
    </row>
    <row r="1583" spans="1:32" x14ac:dyDescent="0.25">
      <c r="A1583" s="308">
        <v>45400</v>
      </c>
      <c r="B1583" s="416">
        <v>1146737</v>
      </c>
      <c r="C1583" s="413" t="str">
        <f>IFERROR(INDEX(Table14[],MATCH($B1583,Table14[SAPNo],0),3),"")</f>
        <v>1613 CT418 18-60</v>
      </c>
      <c r="D1583" s="306"/>
      <c r="E1583" s="421">
        <v>8</v>
      </c>
      <c r="F1583" s="421"/>
      <c r="G1583" s="417" t="s">
        <v>1653</v>
      </c>
      <c r="H1583" s="598">
        <v>14155386</v>
      </c>
      <c r="I1583" s="322" t="s">
        <v>1544</v>
      </c>
      <c r="J1583" s="418"/>
      <c r="K1583" s="248"/>
      <c r="M1583" s="366"/>
      <c r="AF1583">
        <v>8</v>
      </c>
    </row>
    <row r="1584" spans="1:32" x14ac:dyDescent="0.25">
      <c r="A1584" s="308">
        <v>45400</v>
      </c>
      <c r="B1584" s="416">
        <v>1163820</v>
      </c>
      <c r="C1584" s="413" t="str">
        <f>IFERROR(INDEX(Table14[],MATCH($B1584,Table14[SAPNo],0),3),"")</f>
        <v>1613 CT156 0.018"</v>
      </c>
      <c r="D1584" s="306"/>
      <c r="E1584" s="421">
        <v>6</v>
      </c>
      <c r="F1584" s="421"/>
      <c r="G1584" s="417" t="s">
        <v>1653</v>
      </c>
      <c r="H1584" s="598">
        <v>14155386</v>
      </c>
      <c r="I1584" s="322" t="s">
        <v>1544</v>
      </c>
      <c r="J1584" s="418"/>
      <c r="K1584" s="248"/>
      <c r="M1584" s="366"/>
      <c r="AF1584">
        <v>6</v>
      </c>
    </row>
    <row r="1585" spans="1:32" x14ac:dyDescent="0.25">
      <c r="A1585" s="308">
        <v>45400</v>
      </c>
      <c r="B1585" s="416">
        <v>625854</v>
      </c>
      <c r="C1585" s="413" t="str">
        <f>IFERROR(INDEX(Table14[],MATCH($B1585,Table14[SAPNo],0),3),"")</f>
        <v>Carbide IA 1318    (C)</v>
      </c>
      <c r="D1585" s="306"/>
      <c r="E1585" s="421">
        <v>6</v>
      </c>
      <c r="F1585" s="421"/>
      <c r="G1585" s="417" t="s">
        <v>1653</v>
      </c>
      <c r="H1585" s="598">
        <v>14155386</v>
      </c>
      <c r="I1585" s="322" t="s">
        <v>1544</v>
      </c>
      <c r="J1585" s="418"/>
      <c r="K1585" s="248"/>
      <c r="M1585" s="366"/>
      <c r="AF1585">
        <v>6</v>
      </c>
    </row>
    <row r="1586" spans="1:32" x14ac:dyDescent="0.25">
      <c r="A1586" s="308">
        <v>45400</v>
      </c>
      <c r="B1586" s="416">
        <v>871781</v>
      </c>
      <c r="C1586" s="413" t="str">
        <f>IFERROR(INDEX(Table14[],MATCH($B1586,Table14[SAPNo],0),3),"")</f>
        <v>Round 1313 CT200  0.018" (B)</v>
      </c>
      <c r="D1586" s="306"/>
      <c r="E1586" s="421">
        <v>7</v>
      </c>
      <c r="F1586" s="421"/>
      <c r="G1586" s="417" t="s">
        <v>1653</v>
      </c>
      <c r="H1586" s="598">
        <v>14155386</v>
      </c>
      <c r="I1586" s="322" t="s">
        <v>1544</v>
      </c>
      <c r="J1586" s="418"/>
      <c r="K1586" s="248"/>
      <c r="M1586" s="366"/>
      <c r="AF1586">
        <v>7</v>
      </c>
    </row>
    <row r="1587" spans="1:32" x14ac:dyDescent="0.25">
      <c r="A1587" s="308">
        <v>45401</v>
      </c>
      <c r="B1587" s="416">
        <v>1100759</v>
      </c>
      <c r="C1587" s="413" t="str">
        <f>IFERROR(INDEX(Table14[],MATCH($B1587,Table14[SAPNo],0),3),"")</f>
        <v>1913 CT421 0.018"</v>
      </c>
      <c r="D1587" s="306"/>
      <c r="E1587" s="421">
        <v>1</v>
      </c>
      <c r="F1587" s="421"/>
      <c r="G1587" s="417" t="s">
        <v>1654</v>
      </c>
      <c r="H1587" s="598">
        <v>14144639</v>
      </c>
      <c r="I1587" s="322" t="s">
        <v>1599</v>
      </c>
      <c r="J1587" s="418"/>
      <c r="K1587" s="248"/>
      <c r="M1587" s="366"/>
      <c r="AF1587">
        <v>1</v>
      </c>
    </row>
    <row r="1588" spans="1:32" x14ac:dyDescent="0.25">
      <c r="A1588" s="308">
        <v>45403</v>
      </c>
      <c r="B1588" s="416">
        <v>717748</v>
      </c>
      <c r="C1588" s="413" t="str">
        <f>IFERROR(INDEX(Table14[],MATCH($B1588,Table14[SAPNo],0),3),"")</f>
        <v>Round 1010 CT200  0.018" (B)</v>
      </c>
      <c r="D1588" s="306"/>
      <c r="E1588" s="421"/>
      <c r="F1588" s="421"/>
      <c r="G1588" s="417" t="s">
        <v>1655</v>
      </c>
      <c r="H1588" s="598" t="s">
        <v>1656</v>
      </c>
      <c r="I1588" s="322" t="s">
        <v>1268</v>
      </c>
      <c r="J1588" s="418">
        <v>1</v>
      </c>
      <c r="K1588" s="248"/>
      <c r="M1588" s="366"/>
    </row>
    <row r="1589" spans="1:32" x14ac:dyDescent="0.25">
      <c r="A1589" s="308">
        <v>45403</v>
      </c>
      <c r="B1589" s="416">
        <v>717748</v>
      </c>
      <c r="C1589" s="413" t="str">
        <f>IFERROR(INDEX(Table14[],MATCH($B1589,Table14[SAPNo],0),3),"")</f>
        <v>Round 1010 CT200  0.018" (B)</v>
      </c>
      <c r="D1589" s="306"/>
      <c r="E1589" s="421"/>
      <c r="F1589" s="421"/>
      <c r="G1589" s="417" t="s">
        <v>1657</v>
      </c>
      <c r="H1589" s="598" t="s">
        <v>1658</v>
      </c>
      <c r="I1589" s="322" t="s">
        <v>1069</v>
      </c>
      <c r="J1589" s="418">
        <v>1</v>
      </c>
      <c r="K1589" s="248"/>
      <c r="M1589" s="366"/>
    </row>
    <row r="1590" spans="1:32" x14ac:dyDescent="0.25">
      <c r="A1590" s="308">
        <v>45403</v>
      </c>
      <c r="B1590" s="416">
        <v>1100755</v>
      </c>
      <c r="C1590" s="413" t="str">
        <f>IFERROR(INDEX(Table14[],MATCH($B1590,Table14[SAPNo],0),3),"")</f>
        <v>Round 1613 CT421  0.018" (S)</v>
      </c>
      <c r="D1590" s="306"/>
      <c r="E1590" s="421">
        <v>9</v>
      </c>
      <c r="F1590" s="421"/>
      <c r="G1590" s="417" t="s">
        <v>1659</v>
      </c>
      <c r="H1590" s="598">
        <v>14144638</v>
      </c>
      <c r="I1590" s="322" t="s">
        <v>1599</v>
      </c>
      <c r="J1590" s="418"/>
      <c r="K1590" s="248"/>
      <c r="M1590" s="366"/>
      <c r="AF1590">
        <v>9</v>
      </c>
    </row>
    <row r="1591" spans="1:32" x14ac:dyDescent="0.25">
      <c r="A1591" s="308">
        <v>45403</v>
      </c>
      <c r="B1591" s="416">
        <v>1100759</v>
      </c>
      <c r="C1591" s="413" t="str">
        <f>IFERROR(INDEX(Table14[],MATCH($B1591,Table14[SAPNo],0),3),"")</f>
        <v>1913 CT421 0.018"</v>
      </c>
      <c r="D1591" s="306"/>
      <c r="E1591" s="421">
        <v>48</v>
      </c>
      <c r="F1591" s="421"/>
      <c r="G1591" s="417" t="s">
        <v>1659</v>
      </c>
      <c r="H1591" s="598">
        <v>14144638</v>
      </c>
      <c r="I1591" s="322" t="s">
        <v>1599</v>
      </c>
      <c r="J1591" s="418"/>
      <c r="K1591" s="248"/>
      <c r="M1591" s="366"/>
      <c r="AF1591">
        <v>48</v>
      </c>
    </row>
    <row r="1592" spans="1:32" x14ac:dyDescent="0.25">
      <c r="A1592" s="308">
        <v>45403</v>
      </c>
      <c r="B1592" s="416">
        <v>708306</v>
      </c>
      <c r="C1592" s="413" t="str">
        <f>IFERROR(INDEX(Table14[],MATCH($B1592,Table14[SAPNo],0),3),"")</f>
        <v>Round 1913 CT200  0.018" (B)</v>
      </c>
      <c r="D1592" s="306"/>
      <c r="E1592" s="421">
        <v>34</v>
      </c>
      <c r="F1592" s="421"/>
      <c r="G1592" s="417" t="s">
        <v>1659</v>
      </c>
      <c r="H1592" s="598">
        <v>14144638</v>
      </c>
      <c r="I1592" s="322" t="s">
        <v>1599</v>
      </c>
      <c r="J1592" s="418"/>
      <c r="K1592" s="248"/>
      <c r="M1592" s="366"/>
      <c r="AF1592">
        <v>34</v>
      </c>
    </row>
    <row r="1593" spans="1:32" x14ac:dyDescent="0.25">
      <c r="A1593" s="320">
        <v>45403</v>
      </c>
      <c r="B1593" s="419">
        <v>871781</v>
      </c>
      <c r="C1593" s="413" t="str">
        <f>IFERROR(INDEX(Table14[],MATCH($B1593,Table14[SAPNo],0),3),"")</f>
        <v>Round 1313 CT200  0.018" (B)</v>
      </c>
      <c r="D1593" s="306"/>
      <c r="E1593" s="421">
        <v>8</v>
      </c>
      <c r="F1593" s="421"/>
      <c r="G1593" s="420" t="s">
        <v>1659</v>
      </c>
      <c r="H1593" s="599">
        <v>14144638</v>
      </c>
      <c r="I1593" s="322" t="s">
        <v>1599</v>
      </c>
      <c r="J1593" s="421"/>
      <c r="K1593" s="422"/>
      <c r="M1593" s="366"/>
      <c r="AF1593">
        <v>8</v>
      </c>
    </row>
    <row r="1594" spans="1:32" x14ac:dyDescent="0.25">
      <c r="A1594" s="308">
        <v>45404</v>
      </c>
      <c r="B1594" s="642">
        <v>1133896</v>
      </c>
      <c r="C1594" s="643" t="str">
        <f>IFERROR(INDEX(Table14[],MATCH($B1594,Table14[SAPNo],0),3),"")</f>
        <v>1613 CT418 U</v>
      </c>
      <c r="D1594" s="732"/>
      <c r="E1594" s="644"/>
      <c r="F1594" s="421"/>
      <c r="G1594" s="417" t="s">
        <v>1660</v>
      </c>
      <c r="H1594" s="598">
        <v>13999833</v>
      </c>
      <c r="I1594" s="322" t="s">
        <v>1661</v>
      </c>
      <c r="J1594" s="418">
        <v>1</v>
      </c>
      <c r="K1594" s="248"/>
      <c r="M1594" s="422"/>
    </row>
    <row r="1595" spans="1:32" x14ac:dyDescent="0.25">
      <c r="A1595" s="308">
        <v>45404</v>
      </c>
      <c r="B1595" s="642">
        <v>418525</v>
      </c>
      <c r="C1595" s="643" t="str">
        <f>IFERROR(INDEX(Table14[],MATCH($B1595,Table14[SAPNo],0),3),"")</f>
        <v>Drop In 1308 CT31   (B)</v>
      </c>
      <c r="D1595" s="732"/>
      <c r="E1595" s="644">
        <v>2</v>
      </c>
      <c r="F1595" s="421"/>
      <c r="G1595" s="417" t="s">
        <v>1660</v>
      </c>
      <c r="H1595" s="598">
        <v>13999833</v>
      </c>
      <c r="I1595" s="322" t="s">
        <v>1661</v>
      </c>
      <c r="J1595" s="418"/>
      <c r="K1595" s="248"/>
      <c r="M1595" s="366"/>
      <c r="AF1595">
        <v>2</v>
      </c>
    </row>
    <row r="1596" spans="1:32" x14ac:dyDescent="0.25">
      <c r="A1596" s="308">
        <v>45404</v>
      </c>
      <c r="B1596" s="642">
        <v>179733</v>
      </c>
      <c r="C1596" s="643" t="str">
        <f>IFERROR(INDEX(Table14[],MATCH($B1596,Table14[SAPNo],0),3),"")</f>
        <v>Short IA 13    (C)</v>
      </c>
      <c r="D1596" s="732"/>
      <c r="E1596" s="644">
        <v>2</v>
      </c>
      <c r="F1596" s="421"/>
      <c r="G1596" s="417" t="s">
        <v>1660</v>
      </c>
      <c r="H1596" s="598">
        <v>13999833</v>
      </c>
      <c r="I1596" s="322" t="s">
        <v>1661</v>
      </c>
      <c r="J1596" s="418"/>
      <c r="K1596" s="248"/>
      <c r="M1596" s="366"/>
      <c r="AF1596">
        <v>2</v>
      </c>
    </row>
    <row r="1597" spans="1:32" x14ac:dyDescent="0.25">
      <c r="A1597" s="308">
        <v>45404</v>
      </c>
      <c r="B1597" s="642">
        <v>1219562</v>
      </c>
      <c r="C1597" s="643" t="str">
        <f>IFERROR(INDEX(Table14[],MATCH($B1597,Table14[SAPNo],0),3),"")</f>
        <v>1613 CT147R U</v>
      </c>
      <c r="D1597" s="732"/>
      <c r="E1597" s="644">
        <v>2</v>
      </c>
      <c r="F1597" s="421"/>
      <c r="G1597" s="417" t="s">
        <v>1660</v>
      </c>
      <c r="H1597" s="598">
        <v>13999833</v>
      </c>
      <c r="I1597" s="322" t="s">
        <v>1661</v>
      </c>
      <c r="J1597" s="418"/>
      <c r="K1597" s="248"/>
      <c r="M1597" s="366"/>
      <c r="AF1597">
        <v>2</v>
      </c>
    </row>
    <row r="1598" spans="1:32" x14ac:dyDescent="0.25">
      <c r="A1598" s="308">
        <v>45404</v>
      </c>
      <c r="B1598" s="642">
        <v>1146742</v>
      </c>
      <c r="C1598" s="643" t="str">
        <f>IFERROR(INDEX(Table14[],MATCH($B1598,Table14[SAPNo],0),3),"")</f>
        <v>1913 CT418 U-60</v>
      </c>
      <c r="D1598" s="732"/>
      <c r="E1598" s="644">
        <v>1</v>
      </c>
      <c r="F1598" s="421"/>
      <c r="G1598" s="417" t="s">
        <v>1660</v>
      </c>
      <c r="H1598" s="598">
        <v>13999833</v>
      </c>
      <c r="I1598" s="322" t="s">
        <v>1661</v>
      </c>
      <c r="J1598" s="418"/>
      <c r="K1598" s="248"/>
      <c r="M1598" s="366"/>
      <c r="AF1598">
        <v>1</v>
      </c>
    </row>
    <row r="1599" spans="1:32" x14ac:dyDescent="0.25">
      <c r="A1599" s="308">
        <v>45404</v>
      </c>
      <c r="B1599" s="642">
        <v>1100745</v>
      </c>
      <c r="C1599" s="643" t="str">
        <f>IFERROR(INDEX(Table14[],MATCH($B1599,Table14[SAPNo],0),3),"")</f>
        <v>Round 1913 CT418  0.018" (S)</v>
      </c>
      <c r="D1599" s="732"/>
      <c r="E1599" s="644">
        <v>3</v>
      </c>
      <c r="F1599" s="421"/>
      <c r="G1599" s="417" t="s">
        <v>1660</v>
      </c>
      <c r="H1599" s="598">
        <v>13999833</v>
      </c>
      <c r="I1599" s="322" t="s">
        <v>1661</v>
      </c>
      <c r="J1599" s="418"/>
      <c r="K1599" s="248"/>
      <c r="M1599" s="366"/>
      <c r="AF1599">
        <v>3</v>
      </c>
    </row>
    <row r="1600" spans="1:32" x14ac:dyDescent="0.25">
      <c r="A1600" s="308">
        <v>45404</v>
      </c>
      <c r="B1600" s="416">
        <v>871781</v>
      </c>
      <c r="C1600" s="413" t="str">
        <f>IFERROR(INDEX(Table14[],MATCH($B1600,Table14[SAPNo],0),3),"")</f>
        <v>Round 1313 CT200  0.018" (B)</v>
      </c>
      <c r="D1600" s="306"/>
      <c r="E1600" s="421">
        <v>3</v>
      </c>
      <c r="F1600" s="421"/>
      <c r="G1600" s="417" t="s">
        <v>1662</v>
      </c>
      <c r="H1600" s="598">
        <v>13885235</v>
      </c>
      <c r="I1600" s="322" t="s">
        <v>1663</v>
      </c>
      <c r="J1600" s="418"/>
      <c r="K1600" s="248" t="s">
        <v>1664</v>
      </c>
      <c r="M1600" s="366"/>
      <c r="AF1600">
        <v>3</v>
      </c>
    </row>
    <row r="1601" spans="1:32" x14ac:dyDescent="0.25">
      <c r="A1601" s="308">
        <v>45404</v>
      </c>
      <c r="B1601" s="416">
        <v>418525</v>
      </c>
      <c r="C1601" s="413" t="str">
        <f>IFERROR(INDEX(Table14[],MATCH($B1601,Table14[SAPNo],0),3),"")</f>
        <v>Drop In 1308 CT31   (B)</v>
      </c>
      <c r="D1601" s="306"/>
      <c r="E1601" s="421">
        <v>6</v>
      </c>
      <c r="F1601" s="421"/>
      <c r="G1601" s="417" t="s">
        <v>1662</v>
      </c>
      <c r="H1601" s="598">
        <v>13885235</v>
      </c>
      <c r="I1601" s="322" t="s">
        <v>1663</v>
      </c>
      <c r="J1601" s="418"/>
      <c r="K1601" s="248" t="s">
        <v>1664</v>
      </c>
      <c r="M1601" s="366"/>
      <c r="AF1601">
        <v>6</v>
      </c>
    </row>
    <row r="1602" spans="1:32" x14ac:dyDescent="0.25">
      <c r="A1602" s="308">
        <v>45404</v>
      </c>
      <c r="B1602" s="416">
        <v>1199265</v>
      </c>
      <c r="C1602" s="413" t="str">
        <f>IFERROR(INDEX(Table14[],MATCH($B1602,Table14[SAPNo],0),3),"")</f>
        <v>1613 CT158 18C</v>
      </c>
      <c r="D1602" s="306"/>
      <c r="E1602" s="421">
        <v>28</v>
      </c>
      <c r="F1602" s="421"/>
      <c r="G1602" s="417" t="s">
        <v>1662</v>
      </c>
      <c r="H1602" s="598">
        <v>13885235</v>
      </c>
      <c r="I1602" s="322" t="s">
        <v>1663</v>
      </c>
      <c r="J1602" s="418"/>
      <c r="K1602" s="248" t="s">
        <v>1664</v>
      </c>
      <c r="M1602" s="366"/>
      <c r="AF1602">
        <v>28</v>
      </c>
    </row>
    <row r="1603" spans="1:32" x14ac:dyDescent="0.25">
      <c r="A1603" s="320">
        <v>45404</v>
      </c>
      <c r="B1603" s="419">
        <v>1130196</v>
      </c>
      <c r="C1603" s="413" t="str">
        <f>IFERROR(INDEX(Table14[],MATCH($B1603,Table14[SAPNo],0),3),"")</f>
        <v>Round 1313 CT182  0.018" (S)</v>
      </c>
      <c r="D1603" s="306"/>
      <c r="E1603" s="421">
        <v>3</v>
      </c>
      <c r="F1603" s="421"/>
      <c r="G1603" s="420" t="s">
        <v>1662</v>
      </c>
      <c r="H1603" s="599">
        <v>13885235</v>
      </c>
      <c r="I1603" s="322" t="s">
        <v>1663</v>
      </c>
      <c r="J1603" s="421"/>
      <c r="K1603" s="422" t="s">
        <v>1664</v>
      </c>
      <c r="M1603" s="366"/>
      <c r="AF1603">
        <v>3</v>
      </c>
    </row>
    <row r="1604" spans="1:32" x14ac:dyDescent="0.25">
      <c r="A1604" s="320">
        <v>45404</v>
      </c>
      <c r="B1604" s="416">
        <v>647436</v>
      </c>
      <c r="C1604" s="413" t="str">
        <f>IFERROR(INDEX(Table14[],MATCH($B1604,Table14[SAPNo],0),3),"")</f>
        <v>Round 1613 CT200  0.018" (B)</v>
      </c>
      <c r="D1604" s="306"/>
      <c r="E1604" s="421">
        <v>32</v>
      </c>
      <c r="F1604" s="421"/>
      <c r="G1604" s="417" t="s">
        <v>1665</v>
      </c>
      <c r="H1604" s="598">
        <v>14127582</v>
      </c>
      <c r="I1604" s="322" t="s">
        <v>1477</v>
      </c>
      <c r="J1604" s="418"/>
      <c r="K1604" s="248"/>
      <c r="M1604" s="422"/>
      <c r="AF1604">
        <v>32</v>
      </c>
    </row>
    <row r="1605" spans="1:32" x14ac:dyDescent="0.25">
      <c r="A1605" s="320">
        <v>45404</v>
      </c>
      <c r="B1605" s="416">
        <v>418525</v>
      </c>
      <c r="C1605" s="413" t="str">
        <f>IFERROR(INDEX(Table14[],MATCH($B1605,Table14[SAPNo],0),3),"")</f>
        <v>Drop In 1308 CT31   (B)</v>
      </c>
      <c r="D1605" s="306"/>
      <c r="E1605" s="421">
        <v>8</v>
      </c>
      <c r="F1605" s="421"/>
      <c r="G1605" s="417" t="s">
        <v>1665</v>
      </c>
      <c r="H1605" s="598">
        <v>14127582</v>
      </c>
      <c r="I1605" s="322" t="s">
        <v>1477</v>
      </c>
      <c r="J1605" s="418"/>
      <c r="K1605" s="248"/>
      <c r="M1605" s="366"/>
      <c r="AF1605">
        <v>8</v>
      </c>
    </row>
    <row r="1606" spans="1:32" x14ac:dyDescent="0.25">
      <c r="A1606" s="320">
        <v>45404</v>
      </c>
      <c r="B1606" s="416">
        <v>1130198</v>
      </c>
      <c r="C1606" s="413" t="str">
        <f>IFERROR(INDEX(Table14[],MATCH($B1606,Table14[SAPNo],0),3),"")</f>
        <v>Round 1613 CT182  0.018" (S)</v>
      </c>
      <c r="D1606" s="306"/>
      <c r="E1606" s="421">
        <v>105</v>
      </c>
      <c r="F1606" s="421"/>
      <c r="G1606" s="417" t="s">
        <v>1665</v>
      </c>
      <c r="H1606" s="598">
        <v>14127582</v>
      </c>
      <c r="I1606" s="322" t="s">
        <v>1477</v>
      </c>
      <c r="J1606" s="418"/>
      <c r="K1606" s="248"/>
      <c r="M1606" s="366"/>
      <c r="AF1606">
        <v>105</v>
      </c>
    </row>
    <row r="1607" spans="1:32" x14ac:dyDescent="0.25">
      <c r="A1607" s="320">
        <v>45404</v>
      </c>
      <c r="B1607" s="416">
        <v>418525</v>
      </c>
      <c r="C1607" s="413" t="str">
        <f>IFERROR(INDEX(Table14[],MATCH($B1607,Table14[SAPNo],0),3),"")</f>
        <v>Drop In 1308 CT31   (B)</v>
      </c>
      <c r="D1607" s="306"/>
      <c r="E1607" s="421">
        <v>6</v>
      </c>
      <c r="F1607" s="421"/>
      <c r="G1607" s="417" t="s">
        <v>1666</v>
      </c>
      <c r="H1607" s="598">
        <v>14144630</v>
      </c>
      <c r="I1607" s="322" t="s">
        <v>1497</v>
      </c>
      <c r="J1607" s="418"/>
      <c r="K1607" s="248"/>
      <c r="M1607" s="366"/>
      <c r="AF1607">
        <v>6</v>
      </c>
    </row>
    <row r="1608" spans="1:32" x14ac:dyDescent="0.25">
      <c r="A1608" s="320">
        <v>45404</v>
      </c>
      <c r="B1608" s="416">
        <v>1271790</v>
      </c>
      <c r="C1608" s="413" t="str">
        <f>IFERROR(INDEX(Table14[],MATCH($B1608,Table14[SAPNo],0),3),"")</f>
        <v xml:space="preserve">1613 CT170 18-60 </v>
      </c>
      <c r="D1608" s="306"/>
      <c r="E1608" s="421">
        <v>17</v>
      </c>
      <c r="F1608" s="421"/>
      <c r="G1608" s="417" t="s">
        <v>1666</v>
      </c>
      <c r="H1608" s="598">
        <v>14144630</v>
      </c>
      <c r="I1608" s="322" t="s">
        <v>1497</v>
      </c>
      <c r="J1608" s="418"/>
      <c r="K1608" s="248"/>
      <c r="M1608" s="366"/>
      <c r="AF1608">
        <v>17</v>
      </c>
    </row>
    <row r="1609" spans="1:32" x14ac:dyDescent="0.25">
      <c r="A1609" s="320">
        <v>45404</v>
      </c>
      <c r="B1609" s="416">
        <v>1208601</v>
      </c>
      <c r="C1609" s="413" t="str">
        <f>IFERROR(INDEX(Table14[],MATCH($B1609,Table14[SAPNo],0),3),"")</f>
        <v>1613 CT418 U-60</v>
      </c>
      <c r="D1609" s="306"/>
      <c r="E1609" s="421">
        <v>8</v>
      </c>
      <c r="F1609" s="421"/>
      <c r="G1609" s="417" t="s">
        <v>1666</v>
      </c>
      <c r="H1609" s="598">
        <v>14144630</v>
      </c>
      <c r="I1609" s="322" t="s">
        <v>1497</v>
      </c>
      <c r="J1609" s="418"/>
      <c r="K1609" s="248"/>
      <c r="M1609" s="366"/>
      <c r="AF1609">
        <v>8</v>
      </c>
    </row>
    <row r="1610" spans="1:32" x14ac:dyDescent="0.25">
      <c r="A1610" s="320">
        <v>45404</v>
      </c>
      <c r="B1610" s="416">
        <v>1146737</v>
      </c>
      <c r="C1610" s="413" t="str">
        <f>IFERROR(INDEX(Table14[],MATCH($B1610,Table14[SAPNo],0),3),"")</f>
        <v>1613 CT418 18-60</v>
      </c>
      <c r="D1610" s="306"/>
      <c r="E1610" s="421">
        <v>6</v>
      </c>
      <c r="F1610" s="421"/>
      <c r="G1610" s="417" t="s">
        <v>1666</v>
      </c>
      <c r="H1610" s="598">
        <v>14144630</v>
      </c>
      <c r="I1610" s="322" t="s">
        <v>1497</v>
      </c>
      <c r="J1610" s="418"/>
      <c r="K1610" s="248"/>
      <c r="M1610" s="366"/>
      <c r="AF1610">
        <v>6</v>
      </c>
    </row>
    <row r="1611" spans="1:32" x14ac:dyDescent="0.25">
      <c r="A1611" s="320">
        <v>45404</v>
      </c>
      <c r="B1611" s="419">
        <v>1078377</v>
      </c>
      <c r="C1611" s="413" t="str">
        <f>IFERROR(INDEX(Table14[],MATCH($B1611,Table14[SAPNo],0),3),"")</f>
        <v>13MM CT221 R1</v>
      </c>
      <c r="D1611" s="306"/>
      <c r="E1611" s="421">
        <v>15</v>
      </c>
      <c r="F1611" s="421"/>
      <c r="G1611" s="420" t="s">
        <v>1666</v>
      </c>
      <c r="H1611" s="599">
        <v>14144630</v>
      </c>
      <c r="I1611" s="322" t="s">
        <v>1497</v>
      </c>
      <c r="J1611" s="421"/>
      <c r="K1611" s="422"/>
      <c r="M1611" s="366"/>
      <c r="AF1611">
        <v>15</v>
      </c>
    </row>
    <row r="1612" spans="1:32" x14ac:dyDescent="0.25">
      <c r="A1612" s="320">
        <v>45405</v>
      </c>
      <c r="B1612" s="416">
        <v>708306</v>
      </c>
      <c r="C1612" s="413" t="str">
        <f>IFERROR(INDEX(Table14[],MATCH($B1612,Table14[SAPNo],0),3),"")</f>
        <v>Round 1913 CT200  0.018" (B)</v>
      </c>
      <c r="D1612" s="306"/>
      <c r="E1612" s="421">
        <v>35</v>
      </c>
      <c r="F1612" s="421"/>
      <c r="G1612" s="420" t="s">
        <v>1667</v>
      </c>
      <c r="H1612" s="598">
        <v>14144636</v>
      </c>
      <c r="I1612" s="322" t="s">
        <v>1501</v>
      </c>
      <c r="J1612" s="418"/>
      <c r="K1612" s="248"/>
      <c r="M1612" s="422"/>
      <c r="AF1612">
        <v>35</v>
      </c>
    </row>
    <row r="1613" spans="1:32" x14ac:dyDescent="0.25">
      <c r="A1613" s="308">
        <v>45405</v>
      </c>
      <c r="B1613" s="416">
        <v>871781</v>
      </c>
      <c r="C1613" s="413" t="str">
        <f>IFERROR(INDEX(Table14[],MATCH($B1613,Table14[SAPNo],0),3),"")</f>
        <v>Round 1313 CT200  0.018" (B)</v>
      </c>
      <c r="D1613" s="306"/>
      <c r="E1613" s="421">
        <v>4</v>
      </c>
      <c r="F1613" s="421"/>
      <c r="G1613" s="420" t="s">
        <v>1667</v>
      </c>
      <c r="H1613" s="598">
        <v>14144636</v>
      </c>
      <c r="I1613" s="322" t="s">
        <v>1501</v>
      </c>
      <c r="J1613" s="418"/>
      <c r="K1613" s="248"/>
      <c r="M1613" s="422"/>
      <c r="AF1613">
        <v>4</v>
      </c>
    </row>
    <row r="1614" spans="1:32" x14ac:dyDescent="0.25">
      <c r="A1614" s="320">
        <v>45405</v>
      </c>
      <c r="B1614" s="419">
        <v>418525</v>
      </c>
      <c r="C1614" s="413" t="str">
        <f>IFERROR(INDEX(Table14[],MATCH($B1614,Table14[SAPNo],0),3),"")</f>
        <v>Drop In 1308 CT31   (B)</v>
      </c>
      <c r="D1614" s="306"/>
      <c r="E1614" s="421">
        <v>3</v>
      </c>
      <c r="F1614" s="421"/>
      <c r="G1614" s="420" t="s">
        <v>1667</v>
      </c>
      <c r="H1614" s="599">
        <v>14144636</v>
      </c>
      <c r="I1614" s="322" t="s">
        <v>1501</v>
      </c>
      <c r="J1614" s="421"/>
      <c r="K1614" s="422"/>
      <c r="M1614" s="366"/>
      <c r="AF1614">
        <v>3</v>
      </c>
    </row>
    <row r="1615" spans="1:32" x14ac:dyDescent="0.25">
      <c r="A1615" s="320">
        <v>45405</v>
      </c>
      <c r="B1615" s="419">
        <v>1100759</v>
      </c>
      <c r="C1615" s="413" t="str">
        <f>IFERROR(INDEX(Table14[],MATCH($B1615,Table14[SAPNo],0),3),"")</f>
        <v>1913 CT421 0.018"</v>
      </c>
      <c r="D1615" s="306"/>
      <c r="E1615" s="421">
        <v>52</v>
      </c>
      <c r="F1615" s="421"/>
      <c r="G1615" s="420" t="s">
        <v>1667</v>
      </c>
      <c r="H1615" s="599">
        <v>14144636</v>
      </c>
      <c r="I1615" s="322" t="s">
        <v>1501</v>
      </c>
      <c r="J1615" s="421"/>
      <c r="K1615" s="422"/>
      <c r="M1615" s="422"/>
      <c r="AF1615">
        <v>52</v>
      </c>
    </row>
    <row r="1616" spans="1:32" x14ac:dyDescent="0.25">
      <c r="A1616" s="308">
        <v>45406</v>
      </c>
      <c r="B1616" s="416">
        <v>1208601</v>
      </c>
      <c r="C1616" s="413" t="str">
        <f>IFERROR(INDEX(Table14[],MATCH($B1616,Table14[SAPNo],0),3),"")</f>
        <v>1613 CT418 U-60</v>
      </c>
      <c r="D1616" s="306"/>
      <c r="E1616" s="421">
        <v>8</v>
      </c>
      <c r="F1616" s="421"/>
      <c r="G1616" s="417" t="s">
        <v>1668</v>
      </c>
      <c r="H1616" s="598">
        <v>14144632</v>
      </c>
      <c r="I1616" s="322" t="s">
        <v>1497</v>
      </c>
      <c r="J1616" s="418"/>
      <c r="K1616" s="248"/>
      <c r="M1616" s="422"/>
      <c r="AF1616">
        <v>8</v>
      </c>
    </row>
    <row r="1617" spans="1:32" x14ac:dyDescent="0.25">
      <c r="A1617" s="308">
        <v>45406</v>
      </c>
      <c r="B1617" s="416">
        <v>1078377</v>
      </c>
      <c r="C1617" s="413" t="str">
        <f>IFERROR(INDEX(Table14[],MATCH($B1617,Table14[SAPNo],0),3),"")</f>
        <v>13MM CT221 R1</v>
      </c>
      <c r="D1617" s="306"/>
      <c r="E1617" s="421">
        <v>15</v>
      </c>
      <c r="F1617" s="421"/>
      <c r="G1617" s="417" t="s">
        <v>1668</v>
      </c>
      <c r="H1617" s="598">
        <v>14144632</v>
      </c>
      <c r="I1617" s="322" t="s">
        <v>1497</v>
      </c>
      <c r="J1617" s="418"/>
      <c r="K1617" s="248"/>
      <c r="M1617" s="366"/>
      <c r="AF1617">
        <v>15</v>
      </c>
    </row>
    <row r="1618" spans="1:32" x14ac:dyDescent="0.25">
      <c r="A1618" s="308">
        <v>45406</v>
      </c>
      <c r="B1618" s="416">
        <v>418525</v>
      </c>
      <c r="C1618" s="413" t="str">
        <f>IFERROR(INDEX(Table14[],MATCH($B1618,Table14[SAPNo],0),3),"")</f>
        <v>Drop In 1308 CT31   (B)</v>
      </c>
      <c r="D1618" s="306"/>
      <c r="E1618" s="421">
        <v>6</v>
      </c>
      <c r="F1618" s="421"/>
      <c r="G1618" s="417" t="s">
        <v>1668</v>
      </c>
      <c r="H1618" s="598">
        <v>14144632</v>
      </c>
      <c r="I1618" s="322" t="s">
        <v>1497</v>
      </c>
      <c r="J1618" s="418"/>
      <c r="K1618" s="248"/>
      <c r="M1618" s="366"/>
      <c r="AF1618">
        <v>6</v>
      </c>
    </row>
    <row r="1619" spans="1:32" x14ac:dyDescent="0.25">
      <c r="A1619" s="308">
        <v>45406</v>
      </c>
      <c r="B1619" s="416">
        <v>1146737</v>
      </c>
      <c r="C1619" s="413" t="str">
        <f>IFERROR(INDEX(Table14[],MATCH($B1619,Table14[SAPNo],0),3),"")</f>
        <v>1613 CT418 18-60</v>
      </c>
      <c r="D1619" s="306"/>
      <c r="E1619" s="421">
        <v>6</v>
      </c>
      <c r="F1619" s="421"/>
      <c r="G1619" s="417" t="s">
        <v>1668</v>
      </c>
      <c r="H1619" s="598">
        <v>14144632</v>
      </c>
      <c r="I1619" s="322" t="s">
        <v>1497</v>
      </c>
      <c r="J1619" s="418"/>
      <c r="K1619" s="248"/>
      <c r="M1619" s="366"/>
      <c r="AF1619">
        <v>6</v>
      </c>
    </row>
    <row r="1620" spans="1:32" x14ac:dyDescent="0.25">
      <c r="A1620" s="308">
        <v>45406</v>
      </c>
      <c r="B1620" s="416">
        <v>1271790</v>
      </c>
      <c r="C1620" s="413" t="str">
        <f>IFERROR(INDEX(Table14[],MATCH($B1620,Table14[SAPNo],0),3),"")</f>
        <v xml:space="preserve">1613 CT170 18-60 </v>
      </c>
      <c r="D1620" s="306"/>
      <c r="E1620" s="421">
        <v>17</v>
      </c>
      <c r="F1620" s="421"/>
      <c r="G1620" s="417" t="s">
        <v>1668</v>
      </c>
      <c r="H1620" s="598">
        <v>14144632</v>
      </c>
      <c r="I1620" s="322" t="s">
        <v>1497</v>
      </c>
      <c r="J1620" s="418"/>
      <c r="K1620" s="248"/>
      <c r="M1620" s="366"/>
      <c r="AF1620">
        <v>17</v>
      </c>
    </row>
    <row r="1621" spans="1:32" x14ac:dyDescent="0.25">
      <c r="A1621" s="308">
        <v>45406</v>
      </c>
      <c r="B1621" s="416">
        <v>1146737</v>
      </c>
      <c r="C1621" s="413" t="str">
        <f>IFERROR(INDEX(Table14[],MATCH($B1621,Table14[SAPNo],0),3),"")</f>
        <v>1613 CT418 18-60</v>
      </c>
      <c r="D1621" s="306"/>
      <c r="E1621" s="421">
        <v>6</v>
      </c>
      <c r="F1621" s="421"/>
      <c r="G1621" s="417" t="s">
        <v>1669</v>
      </c>
      <c r="H1621" s="598">
        <v>14144633</v>
      </c>
      <c r="I1621" s="322" t="s">
        <v>1497</v>
      </c>
      <c r="J1621" s="418"/>
      <c r="K1621" s="248"/>
      <c r="M1621" s="366"/>
      <c r="AF1621">
        <v>6</v>
      </c>
    </row>
    <row r="1622" spans="1:32" x14ac:dyDescent="0.25">
      <c r="A1622" s="308">
        <v>45406</v>
      </c>
      <c r="B1622" s="416">
        <v>1208601</v>
      </c>
      <c r="C1622" s="413" t="str">
        <f>IFERROR(INDEX(Table14[],MATCH($B1622,Table14[SAPNo],0),3),"")</f>
        <v>1613 CT418 U-60</v>
      </c>
      <c r="D1622" s="306"/>
      <c r="E1622" s="421">
        <v>8</v>
      </c>
      <c r="F1622" s="421"/>
      <c r="G1622" s="417" t="s">
        <v>1669</v>
      </c>
      <c r="H1622" s="598">
        <v>14144633</v>
      </c>
      <c r="I1622" s="322" t="s">
        <v>1497</v>
      </c>
      <c r="J1622" s="418"/>
      <c r="K1622" s="248"/>
      <c r="M1622" s="366"/>
      <c r="AF1622">
        <v>8</v>
      </c>
    </row>
    <row r="1623" spans="1:32" x14ac:dyDescent="0.25">
      <c r="A1623" s="308">
        <v>45406</v>
      </c>
      <c r="B1623" s="416">
        <v>1271790</v>
      </c>
      <c r="C1623" s="413" t="str">
        <f>IFERROR(INDEX(Table14[],MATCH($B1623,Table14[SAPNo],0),3),"")</f>
        <v xml:space="preserve">1613 CT170 18-60 </v>
      </c>
      <c r="D1623" s="306"/>
      <c r="E1623" s="421">
        <v>17</v>
      </c>
      <c r="F1623" s="421"/>
      <c r="G1623" s="417" t="s">
        <v>1669</v>
      </c>
      <c r="H1623" s="598">
        <v>14144633</v>
      </c>
      <c r="I1623" s="322" t="s">
        <v>1497</v>
      </c>
      <c r="J1623" s="418"/>
      <c r="K1623" s="248"/>
      <c r="M1623" s="366"/>
      <c r="AF1623">
        <v>17</v>
      </c>
    </row>
    <row r="1624" spans="1:32" x14ac:dyDescent="0.25">
      <c r="A1624" s="308">
        <v>45406</v>
      </c>
      <c r="B1624" s="416">
        <v>418525</v>
      </c>
      <c r="C1624" s="413" t="str">
        <f>IFERROR(INDEX(Table14[],MATCH($B1624,Table14[SAPNo],0),3),"")</f>
        <v>Drop In 1308 CT31   (B)</v>
      </c>
      <c r="D1624" s="306"/>
      <c r="E1624" s="421">
        <v>6</v>
      </c>
      <c r="F1624" s="421"/>
      <c r="G1624" s="417" t="s">
        <v>1669</v>
      </c>
      <c r="H1624" s="598">
        <v>14144633</v>
      </c>
      <c r="I1624" s="322" t="s">
        <v>1497</v>
      </c>
      <c r="J1624" s="418"/>
      <c r="K1624" s="248"/>
      <c r="M1624" s="366"/>
      <c r="AF1624">
        <v>6</v>
      </c>
    </row>
    <row r="1625" spans="1:32" x14ac:dyDescent="0.25">
      <c r="A1625" s="308">
        <v>45406</v>
      </c>
      <c r="B1625" s="416">
        <v>1078377</v>
      </c>
      <c r="C1625" s="413" t="str">
        <f>IFERROR(INDEX(Table14[],MATCH($B1625,Table14[SAPNo],0),3),"")</f>
        <v>13MM CT221 R1</v>
      </c>
      <c r="D1625" s="306"/>
      <c r="E1625" s="421">
        <v>15</v>
      </c>
      <c r="F1625" s="421"/>
      <c r="G1625" s="417" t="s">
        <v>1669</v>
      </c>
      <c r="H1625" s="598">
        <v>14144633</v>
      </c>
      <c r="I1625" s="322" t="s">
        <v>1497</v>
      </c>
      <c r="J1625" s="418"/>
      <c r="K1625" s="248"/>
      <c r="M1625" s="366"/>
      <c r="AF1625">
        <v>15</v>
      </c>
    </row>
    <row r="1626" spans="1:32" x14ac:dyDescent="0.25">
      <c r="A1626" s="308">
        <v>45406</v>
      </c>
      <c r="B1626" s="416">
        <v>1146737</v>
      </c>
      <c r="C1626" s="413" t="str">
        <f>IFERROR(INDEX(Table14[],MATCH($B1626,Table14[SAPNo],0),3),"")</f>
        <v>1613 CT418 18-60</v>
      </c>
      <c r="D1626" s="306"/>
      <c r="E1626" s="421">
        <v>6</v>
      </c>
      <c r="F1626" s="421"/>
      <c r="G1626" s="417" t="s">
        <v>1670</v>
      </c>
      <c r="H1626" s="598">
        <v>14144634</v>
      </c>
      <c r="I1626" s="322" t="s">
        <v>1497</v>
      </c>
      <c r="J1626" s="418"/>
      <c r="K1626" s="248"/>
      <c r="M1626" s="366"/>
      <c r="AF1626">
        <v>6</v>
      </c>
    </row>
    <row r="1627" spans="1:32" x14ac:dyDescent="0.25">
      <c r="A1627" s="308">
        <v>45406</v>
      </c>
      <c r="B1627" s="416">
        <v>1208601</v>
      </c>
      <c r="C1627" s="413" t="str">
        <f>IFERROR(INDEX(Table14[],MATCH($B1627,Table14[SAPNo],0),3),"")</f>
        <v>1613 CT418 U-60</v>
      </c>
      <c r="D1627" s="306"/>
      <c r="E1627" s="421">
        <v>8</v>
      </c>
      <c r="F1627" s="421"/>
      <c r="G1627" s="417" t="s">
        <v>1670</v>
      </c>
      <c r="H1627" s="598">
        <v>14144634</v>
      </c>
      <c r="I1627" s="322" t="s">
        <v>1497</v>
      </c>
      <c r="J1627" s="418"/>
      <c r="K1627" s="248"/>
      <c r="M1627" s="366"/>
      <c r="AF1627">
        <v>8</v>
      </c>
    </row>
    <row r="1628" spans="1:32" x14ac:dyDescent="0.25">
      <c r="A1628" s="308">
        <v>45406</v>
      </c>
      <c r="B1628" s="416">
        <v>418525</v>
      </c>
      <c r="C1628" s="413" t="str">
        <f>IFERROR(INDEX(Table14[],MATCH($B1628,Table14[SAPNo],0),3),"")</f>
        <v>Drop In 1308 CT31   (B)</v>
      </c>
      <c r="D1628" s="306"/>
      <c r="E1628" s="421">
        <v>6</v>
      </c>
      <c r="F1628" s="421"/>
      <c r="G1628" s="417" t="s">
        <v>1670</v>
      </c>
      <c r="H1628" s="598">
        <v>14144634</v>
      </c>
      <c r="I1628" s="322" t="s">
        <v>1497</v>
      </c>
      <c r="J1628" s="418"/>
      <c r="K1628" s="248"/>
      <c r="M1628" s="366"/>
      <c r="AF1628">
        <v>6</v>
      </c>
    </row>
    <row r="1629" spans="1:32" x14ac:dyDescent="0.25">
      <c r="A1629" s="308">
        <v>45406</v>
      </c>
      <c r="B1629" s="416">
        <v>1078377</v>
      </c>
      <c r="C1629" s="413" t="str">
        <f>IFERROR(INDEX(Table14[],MATCH($B1629,Table14[SAPNo],0),3),"")</f>
        <v>13MM CT221 R1</v>
      </c>
      <c r="D1629" s="306"/>
      <c r="E1629" s="421">
        <v>15</v>
      </c>
      <c r="F1629" s="421"/>
      <c r="G1629" s="417" t="s">
        <v>1670</v>
      </c>
      <c r="H1629" s="598">
        <v>14144634</v>
      </c>
      <c r="I1629" s="322" t="s">
        <v>1497</v>
      </c>
      <c r="J1629" s="418"/>
      <c r="K1629" s="248"/>
      <c r="M1629" s="366"/>
      <c r="AF1629">
        <v>15</v>
      </c>
    </row>
    <row r="1630" spans="1:32" x14ac:dyDescent="0.25">
      <c r="A1630" s="308">
        <v>45406</v>
      </c>
      <c r="B1630" s="416">
        <v>1271790</v>
      </c>
      <c r="C1630" s="413" t="str">
        <f>IFERROR(INDEX(Table14[],MATCH($B1630,Table14[SAPNo],0),3),"")</f>
        <v xml:space="preserve">1613 CT170 18-60 </v>
      </c>
      <c r="D1630" s="306"/>
      <c r="E1630" s="421">
        <v>17</v>
      </c>
      <c r="F1630" s="421"/>
      <c r="G1630" s="417" t="s">
        <v>1670</v>
      </c>
      <c r="H1630" s="598">
        <v>14144634</v>
      </c>
      <c r="I1630" s="322" t="s">
        <v>1497</v>
      </c>
      <c r="J1630" s="418"/>
      <c r="K1630" s="248"/>
      <c r="M1630" s="366"/>
      <c r="AF1630">
        <v>17</v>
      </c>
    </row>
    <row r="1631" spans="1:32" x14ac:dyDescent="0.25">
      <c r="A1631" s="308">
        <v>45406</v>
      </c>
      <c r="B1631" s="416">
        <v>1078377</v>
      </c>
      <c r="C1631" s="413" t="str">
        <f>IFERROR(INDEX(Table14[],MATCH($B1631,Table14[SAPNo],0),3),"")</f>
        <v>13MM CT221 R1</v>
      </c>
      <c r="D1631" s="306"/>
      <c r="E1631" s="421">
        <v>15</v>
      </c>
      <c r="F1631" s="421"/>
      <c r="G1631" s="417" t="s">
        <v>1671</v>
      </c>
      <c r="H1631" s="598">
        <v>14167842</v>
      </c>
      <c r="I1631" s="322" t="s">
        <v>1516</v>
      </c>
      <c r="J1631" s="418"/>
      <c r="K1631" s="248"/>
      <c r="M1631" s="366"/>
      <c r="AF1631">
        <v>15</v>
      </c>
    </row>
    <row r="1632" spans="1:32" x14ac:dyDescent="0.25">
      <c r="A1632" s="308">
        <v>45406</v>
      </c>
      <c r="B1632" s="416">
        <v>1146737</v>
      </c>
      <c r="C1632" s="413" t="str">
        <f>IFERROR(INDEX(Table14[],MATCH($B1632,Table14[SAPNo],0),3),"")</f>
        <v>1613 CT418 18-60</v>
      </c>
      <c r="D1632" s="306"/>
      <c r="E1632" s="421">
        <v>6</v>
      </c>
      <c r="F1632" s="421"/>
      <c r="G1632" s="417" t="s">
        <v>1671</v>
      </c>
      <c r="H1632" s="598">
        <v>14167842</v>
      </c>
      <c r="I1632" s="322" t="s">
        <v>1516</v>
      </c>
      <c r="J1632" s="418"/>
      <c r="K1632" s="248"/>
      <c r="M1632" s="366"/>
      <c r="AF1632">
        <v>6</v>
      </c>
    </row>
    <row r="1633" spans="1:32" x14ac:dyDescent="0.25">
      <c r="A1633" s="308">
        <v>45406</v>
      </c>
      <c r="B1633" s="416">
        <v>1208601</v>
      </c>
      <c r="C1633" s="413" t="str">
        <f>IFERROR(INDEX(Table14[],MATCH($B1633,Table14[SAPNo],0),3),"")</f>
        <v>1613 CT418 U-60</v>
      </c>
      <c r="D1633" s="306"/>
      <c r="E1633" s="421">
        <v>8</v>
      </c>
      <c r="F1633" s="421"/>
      <c r="G1633" s="417" t="s">
        <v>1671</v>
      </c>
      <c r="H1633" s="598">
        <v>14167842</v>
      </c>
      <c r="I1633" s="322" t="s">
        <v>1516</v>
      </c>
      <c r="J1633" s="418"/>
      <c r="K1633" s="248"/>
      <c r="M1633" s="366"/>
      <c r="AF1633">
        <v>8</v>
      </c>
    </row>
    <row r="1634" spans="1:32" x14ac:dyDescent="0.25">
      <c r="A1634" s="308">
        <v>45406</v>
      </c>
      <c r="B1634" s="416">
        <v>1271790</v>
      </c>
      <c r="C1634" s="413" t="str">
        <f>IFERROR(INDEX(Table14[],MATCH($B1634,Table14[SAPNo],0),3),"")</f>
        <v xml:space="preserve">1613 CT170 18-60 </v>
      </c>
      <c r="D1634" s="306"/>
      <c r="E1634" s="421">
        <v>17</v>
      </c>
      <c r="F1634" s="421"/>
      <c r="G1634" s="417" t="s">
        <v>1671</v>
      </c>
      <c r="H1634" s="598">
        <v>14167842</v>
      </c>
      <c r="I1634" s="322" t="s">
        <v>1516</v>
      </c>
      <c r="J1634" s="418"/>
      <c r="K1634" s="248"/>
      <c r="M1634" s="366"/>
      <c r="AF1634">
        <v>17</v>
      </c>
    </row>
    <row r="1635" spans="1:32" x14ac:dyDescent="0.25">
      <c r="A1635" s="308">
        <v>45406</v>
      </c>
      <c r="B1635" s="416">
        <v>418525</v>
      </c>
      <c r="C1635" s="413" t="str">
        <f>IFERROR(INDEX(Table14[],MATCH($B1635,Table14[SAPNo],0),3),"")</f>
        <v>Drop In 1308 CT31   (B)</v>
      </c>
      <c r="D1635" s="306"/>
      <c r="E1635" s="421">
        <v>6</v>
      </c>
      <c r="F1635" s="421"/>
      <c r="G1635" s="417" t="s">
        <v>1671</v>
      </c>
      <c r="H1635" s="598">
        <v>14167842</v>
      </c>
      <c r="I1635" s="322" t="s">
        <v>1516</v>
      </c>
      <c r="J1635" s="418"/>
      <c r="K1635" s="248"/>
      <c r="M1635" s="366"/>
      <c r="AF1635">
        <v>6</v>
      </c>
    </row>
    <row r="1636" spans="1:32" x14ac:dyDescent="0.25">
      <c r="A1636" s="308">
        <v>45406</v>
      </c>
      <c r="B1636" s="416">
        <v>1146737</v>
      </c>
      <c r="C1636" s="413" t="str">
        <f>IFERROR(INDEX(Table14[],MATCH($B1636,Table14[SAPNo],0),3),"")</f>
        <v>1613 CT418 18-60</v>
      </c>
      <c r="D1636" s="306"/>
      <c r="E1636" s="421">
        <v>6</v>
      </c>
      <c r="F1636" s="421"/>
      <c r="G1636" s="417" t="s">
        <v>1672</v>
      </c>
      <c r="H1636" s="598">
        <v>14167843</v>
      </c>
      <c r="I1636" s="322" t="s">
        <v>1516</v>
      </c>
      <c r="J1636" s="418"/>
      <c r="K1636" s="248"/>
      <c r="M1636" s="366"/>
      <c r="AF1636">
        <v>6</v>
      </c>
    </row>
    <row r="1637" spans="1:32" x14ac:dyDescent="0.25">
      <c r="A1637" s="308">
        <v>45406</v>
      </c>
      <c r="B1637" s="416">
        <v>1078377</v>
      </c>
      <c r="C1637" s="413" t="str">
        <f>IFERROR(INDEX(Table14[],MATCH($B1637,Table14[SAPNo],0),3),"")</f>
        <v>13MM CT221 R1</v>
      </c>
      <c r="D1637" s="306"/>
      <c r="E1637" s="421">
        <v>15</v>
      </c>
      <c r="F1637" s="421"/>
      <c r="G1637" s="417" t="s">
        <v>1672</v>
      </c>
      <c r="H1637" s="598">
        <v>14167843</v>
      </c>
      <c r="I1637" s="322" t="s">
        <v>1516</v>
      </c>
      <c r="J1637" s="418"/>
      <c r="K1637" s="248"/>
      <c r="M1637" s="366"/>
      <c r="AF1637">
        <v>15</v>
      </c>
    </row>
    <row r="1638" spans="1:32" x14ac:dyDescent="0.25">
      <c r="A1638" s="308">
        <v>45406</v>
      </c>
      <c r="B1638" s="416">
        <v>1271790</v>
      </c>
      <c r="C1638" s="413" t="str">
        <f>IFERROR(INDEX(Table14[],MATCH($B1638,Table14[SAPNo],0),3),"")</f>
        <v xml:space="preserve">1613 CT170 18-60 </v>
      </c>
      <c r="D1638" s="306"/>
      <c r="E1638" s="421">
        <v>17</v>
      </c>
      <c r="F1638" s="421"/>
      <c r="G1638" s="417" t="s">
        <v>1672</v>
      </c>
      <c r="H1638" s="598">
        <v>14167843</v>
      </c>
      <c r="I1638" s="322" t="s">
        <v>1516</v>
      </c>
      <c r="J1638" s="418"/>
      <c r="K1638" s="248"/>
      <c r="M1638" s="366"/>
      <c r="AF1638">
        <v>17</v>
      </c>
    </row>
    <row r="1639" spans="1:32" x14ac:dyDescent="0.25">
      <c r="A1639" s="308">
        <v>45406</v>
      </c>
      <c r="B1639" s="416">
        <v>418525</v>
      </c>
      <c r="C1639" s="413" t="str">
        <f>IFERROR(INDEX(Table14[],MATCH($B1639,Table14[SAPNo],0),3),"")</f>
        <v>Drop In 1308 CT31   (B)</v>
      </c>
      <c r="D1639" s="306"/>
      <c r="E1639" s="421">
        <v>6</v>
      </c>
      <c r="F1639" s="421"/>
      <c r="G1639" s="417" t="s">
        <v>1672</v>
      </c>
      <c r="H1639" s="598">
        <v>14167843</v>
      </c>
      <c r="I1639" s="322" t="s">
        <v>1516</v>
      </c>
      <c r="J1639" s="418"/>
      <c r="K1639" s="248"/>
      <c r="M1639" s="366"/>
      <c r="AF1639">
        <v>6</v>
      </c>
    </row>
    <row r="1640" spans="1:32" x14ac:dyDescent="0.25">
      <c r="A1640" s="320">
        <v>45406</v>
      </c>
      <c r="B1640" s="419">
        <v>1208601</v>
      </c>
      <c r="C1640" s="413" t="str">
        <f>IFERROR(INDEX(Table14[],MATCH($B1640,Table14[SAPNo],0),3),"")</f>
        <v>1613 CT418 U-60</v>
      </c>
      <c r="D1640" s="306"/>
      <c r="E1640" s="421">
        <v>8</v>
      </c>
      <c r="F1640" s="421"/>
      <c r="G1640" s="420" t="s">
        <v>1672</v>
      </c>
      <c r="H1640" s="599">
        <v>14167843</v>
      </c>
      <c r="I1640" s="322" t="s">
        <v>1516</v>
      </c>
      <c r="J1640" s="421"/>
      <c r="K1640" s="422"/>
      <c r="M1640" s="473" t="s">
        <v>1673</v>
      </c>
      <c r="AF1640">
        <v>8</v>
      </c>
    </row>
    <row r="1641" spans="1:32" x14ac:dyDescent="0.25">
      <c r="A1641" s="320">
        <v>45407</v>
      </c>
      <c r="B1641" s="416">
        <v>1100696</v>
      </c>
      <c r="C1641" s="634" t="str">
        <f>IFERROR(INDEX(Table14[],MATCH($B1641,Table14[SAPNo],0),3),"")</f>
        <v>Round 1313 CT418  10C (S)</v>
      </c>
      <c r="D1641" s="306"/>
      <c r="E1641" s="576"/>
      <c r="F1641" s="576"/>
      <c r="G1641" s="498" t="s">
        <v>1674</v>
      </c>
      <c r="H1641" s="598">
        <v>14012911</v>
      </c>
      <c r="I1641" s="322" t="s">
        <v>1552</v>
      </c>
      <c r="J1641" s="418"/>
      <c r="K1641" s="248"/>
      <c r="M1641" s="422"/>
    </row>
    <row r="1642" spans="1:32" x14ac:dyDescent="0.25">
      <c r="A1642" s="320">
        <v>45407</v>
      </c>
      <c r="B1642" s="416">
        <v>1100696</v>
      </c>
      <c r="C1642" s="634" t="str">
        <f>IFERROR(INDEX(Table14[],MATCH($B1642,Table14[SAPNo],0),3),"")</f>
        <v>Round 1313 CT418  10C (S)</v>
      </c>
      <c r="D1642" s="306"/>
      <c r="E1642" s="576"/>
      <c r="F1642" s="576"/>
      <c r="G1642" s="498" t="s">
        <v>1675</v>
      </c>
      <c r="H1642" s="598">
        <v>14012911</v>
      </c>
      <c r="I1642" s="322" t="s">
        <v>1552</v>
      </c>
      <c r="J1642" s="418"/>
      <c r="K1642" s="248"/>
      <c r="M1642" s="422"/>
    </row>
    <row r="1643" spans="1:32" x14ac:dyDescent="0.25">
      <c r="A1643" s="320">
        <v>45407</v>
      </c>
      <c r="B1643" s="419">
        <v>1145493</v>
      </c>
      <c r="C1643" s="413" t="str">
        <f>IFERROR(INDEX(Table14[],MATCH($B1643,Table14[SAPNo],0),3),"")</f>
        <v>Round 1313 CT427  10C (S)</v>
      </c>
      <c r="D1643" s="306"/>
      <c r="E1643" s="421"/>
      <c r="F1643" s="421"/>
      <c r="G1643" s="420" t="s">
        <v>1676</v>
      </c>
      <c r="H1643" s="599">
        <v>13807907</v>
      </c>
      <c r="I1643" s="322" t="s">
        <v>1242</v>
      </c>
      <c r="J1643" s="421"/>
      <c r="K1643" s="422"/>
      <c r="M1643" s="422"/>
    </row>
    <row r="1644" spans="1:32" x14ac:dyDescent="0.25">
      <c r="A1644" s="320">
        <v>45407</v>
      </c>
      <c r="B1644" s="419">
        <v>1145493</v>
      </c>
      <c r="C1644" s="413" t="str">
        <f>IFERROR(INDEX(Table14[],MATCH($B1644,Table14[SAPNo],0),3),"")</f>
        <v>Round 1313 CT427  10C (S)</v>
      </c>
      <c r="D1644" s="306"/>
      <c r="E1644" s="421"/>
      <c r="F1644" s="421"/>
      <c r="G1644" s="420" t="s">
        <v>1677</v>
      </c>
      <c r="H1644" s="599">
        <v>13807907</v>
      </c>
      <c r="I1644" s="322" t="s">
        <v>1242</v>
      </c>
      <c r="J1644" s="421"/>
      <c r="K1644" s="422"/>
      <c r="M1644" s="422"/>
    </row>
    <row r="1645" spans="1:32" x14ac:dyDescent="0.25">
      <c r="A1645" s="320">
        <v>45407</v>
      </c>
      <c r="B1645" s="419">
        <v>1145493</v>
      </c>
      <c r="C1645" s="413" t="str">
        <f>IFERROR(INDEX(Table14[],MATCH($B1645,Table14[SAPNo],0),3),"")</f>
        <v>Round 1313 CT427  10C (S)</v>
      </c>
      <c r="D1645" s="306"/>
      <c r="E1645" s="421"/>
      <c r="F1645" s="421"/>
      <c r="G1645" s="420" t="s">
        <v>1678</v>
      </c>
      <c r="H1645" s="599">
        <v>13844444</v>
      </c>
      <c r="I1645" s="322" t="s">
        <v>1679</v>
      </c>
      <c r="J1645" s="421"/>
      <c r="K1645" s="422"/>
      <c r="M1645" s="422"/>
    </row>
    <row r="1646" spans="1:32" x14ac:dyDescent="0.25">
      <c r="A1646" s="320">
        <v>45407</v>
      </c>
      <c r="B1646" s="419">
        <v>1145493</v>
      </c>
      <c r="C1646" s="413" t="str">
        <f>IFERROR(INDEX(Table14[],MATCH($B1646,Table14[SAPNo],0),3),"")</f>
        <v>Round 1313 CT427  10C (S)</v>
      </c>
      <c r="D1646" s="306"/>
      <c r="E1646" s="421"/>
      <c r="F1646" s="421"/>
      <c r="G1646" s="420" t="s">
        <v>1680</v>
      </c>
      <c r="H1646" s="599">
        <v>13844444</v>
      </c>
      <c r="I1646" s="322" t="s">
        <v>1679</v>
      </c>
      <c r="J1646" s="421"/>
      <c r="K1646" s="422"/>
      <c r="M1646" s="422"/>
    </row>
    <row r="1647" spans="1:32" ht="16" customHeight="1" x14ac:dyDescent="0.25">
      <c r="A1647" s="320">
        <v>45407</v>
      </c>
      <c r="B1647" s="419">
        <v>1145493</v>
      </c>
      <c r="C1647" s="413" t="str">
        <f>IFERROR(INDEX(Table14[],MATCH($B1647,Table14[SAPNo],0),3),"")</f>
        <v>Round 1313 CT427  10C (S)</v>
      </c>
      <c r="D1647" s="306"/>
      <c r="E1647" s="421"/>
      <c r="F1647" s="421"/>
      <c r="G1647" s="420">
        <v>20241039</v>
      </c>
      <c r="H1647" s="599" t="s">
        <v>1681</v>
      </c>
      <c r="I1647" s="322" t="s">
        <v>1527</v>
      </c>
      <c r="J1647" s="421"/>
      <c r="K1647" s="422"/>
      <c r="M1647" s="422"/>
    </row>
    <row r="1648" spans="1:32" x14ac:dyDescent="0.25">
      <c r="A1648" s="320">
        <v>45407</v>
      </c>
      <c r="B1648" s="419">
        <v>1244299</v>
      </c>
      <c r="C1648" s="413" t="str">
        <f>IFERROR(INDEX(Table14[],MATCH($B1648,Table14[SAPNo],0),3),"")</f>
        <v>1313 CT147CV4 U</v>
      </c>
      <c r="D1648" s="306"/>
      <c r="E1648" s="421"/>
      <c r="F1648" s="421"/>
      <c r="G1648" s="420">
        <v>20241039</v>
      </c>
      <c r="H1648" s="599" t="s">
        <v>1681</v>
      </c>
      <c r="I1648" s="322" t="s">
        <v>1527</v>
      </c>
      <c r="J1648" s="421"/>
      <c r="K1648" s="422"/>
      <c r="M1648" s="422"/>
    </row>
    <row r="1649" spans="1:32" x14ac:dyDescent="0.25">
      <c r="A1649" s="320">
        <v>45407</v>
      </c>
      <c r="B1649" s="419">
        <v>1145493</v>
      </c>
      <c r="C1649" s="413" t="str">
        <f>IFERROR(INDEX(Table14[],MATCH($B1649,Table14[SAPNo],0),3),"")</f>
        <v>Round 1313 CT427  10C (S)</v>
      </c>
      <c r="D1649" s="306"/>
      <c r="E1649" s="421"/>
      <c r="F1649" s="421"/>
      <c r="G1649" s="420">
        <v>20241047</v>
      </c>
      <c r="H1649" s="599" t="s">
        <v>1682</v>
      </c>
      <c r="I1649" s="322" t="s">
        <v>1683</v>
      </c>
      <c r="J1649" s="421"/>
      <c r="K1649" s="422"/>
      <c r="M1649" s="422"/>
    </row>
    <row r="1650" spans="1:32" x14ac:dyDescent="0.25">
      <c r="A1650" s="308">
        <v>45407</v>
      </c>
      <c r="B1650" s="416">
        <v>1145493</v>
      </c>
      <c r="C1650" s="413" t="str">
        <f>IFERROR(INDEX(Table14[],MATCH($B1650,Table14[SAPNo],0),3),"")</f>
        <v>Round 1313 CT427  10C (S)</v>
      </c>
      <c r="D1650" s="306"/>
      <c r="E1650" s="421"/>
      <c r="F1650" s="421"/>
      <c r="G1650" s="417">
        <v>20241063</v>
      </c>
      <c r="H1650" s="598">
        <v>13844444</v>
      </c>
      <c r="I1650" s="322" t="s">
        <v>1684</v>
      </c>
      <c r="J1650" s="418">
        <v>2</v>
      </c>
      <c r="K1650" s="248"/>
      <c r="M1650" s="422"/>
    </row>
    <row r="1651" spans="1:32" x14ac:dyDescent="0.25">
      <c r="A1651" s="308">
        <v>45407</v>
      </c>
      <c r="B1651" s="416">
        <v>418525</v>
      </c>
      <c r="C1651" s="413" t="str">
        <f>IFERROR(INDEX(Table14[],MATCH($B1651,Table14[SAPNo],0),3),"")</f>
        <v>Drop In 1308 CT31   (B)</v>
      </c>
      <c r="D1651" s="306"/>
      <c r="E1651" s="421">
        <v>1</v>
      </c>
      <c r="F1651" s="421"/>
      <c r="G1651" s="417">
        <v>20241063</v>
      </c>
      <c r="H1651" s="598">
        <v>13844444</v>
      </c>
      <c r="I1651" s="322" t="s">
        <v>1684</v>
      </c>
      <c r="J1651" s="418"/>
      <c r="K1651" s="248"/>
      <c r="M1651" s="366"/>
      <c r="AF1651">
        <v>1</v>
      </c>
    </row>
    <row r="1652" spans="1:32" x14ac:dyDescent="0.25">
      <c r="A1652" s="308">
        <v>45408</v>
      </c>
      <c r="B1652" s="416">
        <v>882800</v>
      </c>
      <c r="C1652" s="413" t="str">
        <f>IFERROR(INDEX(Table14[],MATCH($B1652,Table14[SAPNo],0),3),"")</f>
        <v>Round 0808 CT80  0.018" (B)</v>
      </c>
      <c r="D1652" s="306"/>
      <c r="E1652" s="421">
        <v>10</v>
      </c>
      <c r="F1652" s="421"/>
      <c r="G1652" s="417" t="s">
        <v>1685</v>
      </c>
      <c r="H1652" s="598">
        <v>14056714</v>
      </c>
      <c r="I1652" s="322" t="s">
        <v>1453</v>
      </c>
      <c r="J1652" s="418"/>
      <c r="K1652" s="248"/>
      <c r="M1652" s="366"/>
      <c r="AF1652">
        <v>10</v>
      </c>
    </row>
    <row r="1653" spans="1:32" x14ac:dyDescent="0.25">
      <c r="A1653" s="308">
        <v>45408</v>
      </c>
      <c r="B1653" s="416">
        <v>773384</v>
      </c>
      <c r="C1653" s="413" t="str">
        <f>IFERROR(INDEX(Table14[],MATCH($B1653,Table14[SAPNo],0),3),"")</f>
        <v>Round 1005 CT200  0.018" (B)</v>
      </c>
      <c r="D1653" s="306"/>
      <c r="E1653" s="421">
        <v>10</v>
      </c>
      <c r="F1653" s="421"/>
      <c r="G1653" s="417" t="s">
        <v>1685</v>
      </c>
      <c r="H1653" s="598">
        <v>14056714</v>
      </c>
      <c r="I1653" s="322" t="s">
        <v>1453</v>
      </c>
      <c r="J1653" s="418"/>
      <c r="K1653" s="248"/>
      <c r="M1653" s="366"/>
      <c r="AF1653">
        <v>10</v>
      </c>
    </row>
    <row r="1654" spans="1:32" x14ac:dyDescent="0.25">
      <c r="A1654" s="308">
        <v>45408</v>
      </c>
      <c r="B1654" s="416">
        <v>717748</v>
      </c>
      <c r="C1654" s="413" t="str">
        <f>IFERROR(INDEX(Table14[],MATCH($B1654,Table14[SAPNo],0),3),"")</f>
        <v>Round 1010 CT200  0.018" (B)</v>
      </c>
      <c r="D1654" s="306"/>
      <c r="E1654" s="421">
        <v>23</v>
      </c>
      <c r="F1654" s="421"/>
      <c r="G1654" s="417" t="s">
        <v>1685</v>
      </c>
      <c r="H1654" s="598">
        <v>14056714</v>
      </c>
      <c r="I1654" s="322" t="s">
        <v>1453</v>
      </c>
      <c r="J1654" s="418"/>
      <c r="K1654" s="248"/>
      <c r="M1654" s="366"/>
      <c r="AF1654">
        <v>23</v>
      </c>
    </row>
    <row r="1655" spans="1:32" x14ac:dyDescent="0.25">
      <c r="A1655" s="308">
        <v>45408</v>
      </c>
      <c r="B1655" s="416">
        <v>773384</v>
      </c>
      <c r="C1655" s="413" t="str">
        <f>IFERROR(INDEX(Table14[],MATCH($B1655,Table14[SAPNo],0),3),"")</f>
        <v>Round 1005 CT200  0.018" (B)</v>
      </c>
      <c r="D1655" s="306"/>
      <c r="E1655" s="421">
        <v>10</v>
      </c>
      <c r="F1655" s="421"/>
      <c r="G1655" s="417" t="s">
        <v>1686</v>
      </c>
      <c r="H1655" s="598">
        <v>14056718</v>
      </c>
      <c r="I1655" s="322" t="s">
        <v>1453</v>
      </c>
      <c r="J1655" s="418"/>
      <c r="K1655" s="248"/>
      <c r="M1655" s="366"/>
      <c r="AF1655">
        <v>10</v>
      </c>
    </row>
    <row r="1656" spans="1:32" x14ac:dyDescent="0.25">
      <c r="A1656" s="308">
        <v>45408</v>
      </c>
      <c r="B1656" s="416">
        <v>717748</v>
      </c>
      <c r="C1656" s="413" t="str">
        <f>IFERROR(INDEX(Table14[],MATCH($B1656,Table14[SAPNo],0),3),"")</f>
        <v>Round 1010 CT200  0.018" (B)</v>
      </c>
      <c r="D1656" s="306"/>
      <c r="E1656" s="421">
        <v>23</v>
      </c>
      <c r="F1656" s="421"/>
      <c r="G1656" s="417" t="s">
        <v>1686</v>
      </c>
      <c r="H1656" s="598">
        <v>14056718</v>
      </c>
      <c r="I1656" s="322" t="s">
        <v>1453</v>
      </c>
      <c r="J1656" s="418"/>
      <c r="K1656" s="248"/>
      <c r="M1656" s="366"/>
      <c r="AF1656">
        <v>23</v>
      </c>
    </row>
    <row r="1657" spans="1:32" x14ac:dyDescent="0.25">
      <c r="A1657" s="308">
        <v>45408</v>
      </c>
      <c r="B1657" s="416">
        <v>882800</v>
      </c>
      <c r="C1657" s="413" t="str">
        <f>IFERROR(INDEX(Table14[],MATCH($B1657,Table14[SAPNo],0),3),"")</f>
        <v>Round 0808 CT80  0.018" (B)</v>
      </c>
      <c r="D1657" s="306"/>
      <c r="E1657" s="421">
        <v>10</v>
      </c>
      <c r="F1657" s="421"/>
      <c r="G1657" s="417" t="s">
        <v>1686</v>
      </c>
      <c r="H1657" s="598">
        <v>14056718</v>
      </c>
      <c r="I1657" s="322" t="s">
        <v>1453</v>
      </c>
      <c r="J1657" s="418"/>
      <c r="K1657" s="248"/>
      <c r="M1657" s="366"/>
      <c r="AF1657">
        <v>10</v>
      </c>
    </row>
    <row r="1658" spans="1:32" x14ac:dyDescent="0.25">
      <c r="A1658" s="308">
        <v>45408</v>
      </c>
      <c r="B1658" s="416">
        <v>647435</v>
      </c>
      <c r="C1658" s="413" t="str">
        <f>IFERROR(INDEX(Table14[],MATCH($B1658,Table14[SAPNo],0),3),"")</f>
        <v>Round 1608 CT200  0.018" (B)</v>
      </c>
      <c r="D1658" s="306"/>
      <c r="E1658" s="421">
        <v>16</v>
      </c>
      <c r="F1658" s="421"/>
      <c r="G1658" s="417" t="s">
        <v>1687</v>
      </c>
      <c r="H1658" s="598">
        <v>14145051</v>
      </c>
      <c r="I1658" s="322" t="s">
        <v>1451</v>
      </c>
      <c r="J1658" s="418"/>
      <c r="K1658" s="248"/>
      <c r="M1658" s="366"/>
      <c r="AF1658">
        <v>16</v>
      </c>
    </row>
    <row r="1659" spans="1:32" x14ac:dyDescent="0.25">
      <c r="A1659" s="308">
        <v>45408</v>
      </c>
      <c r="B1659" s="416">
        <v>1146737</v>
      </c>
      <c r="C1659" s="413" t="str">
        <f>IFERROR(INDEX(Table14[],MATCH($B1659,Table14[SAPNo],0),3),"")</f>
        <v>1613 CT418 18-60</v>
      </c>
      <c r="D1659" s="306"/>
      <c r="E1659" s="421">
        <v>39</v>
      </c>
      <c r="F1659" s="421"/>
      <c r="G1659" s="417" t="s">
        <v>1687</v>
      </c>
      <c r="H1659" s="598">
        <v>14145051</v>
      </c>
      <c r="I1659" s="322" t="s">
        <v>1451</v>
      </c>
      <c r="J1659" s="418"/>
      <c r="K1659" s="248"/>
      <c r="M1659" s="366"/>
      <c r="AF1659">
        <v>39</v>
      </c>
    </row>
    <row r="1660" spans="1:32" x14ac:dyDescent="0.25">
      <c r="A1660" s="308">
        <v>45408</v>
      </c>
      <c r="B1660" s="416">
        <v>1271790</v>
      </c>
      <c r="C1660" s="413" t="str">
        <f>IFERROR(INDEX(Table14[],MATCH($B1660,Table14[SAPNo],0),3),"")</f>
        <v xml:space="preserve">1613 CT170 18-60 </v>
      </c>
      <c r="D1660" s="306"/>
      <c r="E1660" s="421">
        <v>53</v>
      </c>
      <c r="F1660" s="421"/>
      <c r="G1660" s="417" t="s">
        <v>1687</v>
      </c>
      <c r="H1660" s="598">
        <v>14145051</v>
      </c>
      <c r="I1660" s="322" t="s">
        <v>1451</v>
      </c>
      <c r="J1660" s="418"/>
      <c r="K1660" s="248"/>
      <c r="M1660" s="366"/>
      <c r="AF1660">
        <v>53</v>
      </c>
    </row>
    <row r="1661" spans="1:32" x14ac:dyDescent="0.25">
      <c r="A1661" s="308">
        <v>45408</v>
      </c>
      <c r="B1661" s="416">
        <v>418525</v>
      </c>
      <c r="C1661" s="413" t="str">
        <f>IFERROR(INDEX(Table14[],MATCH($B1661,Table14[SAPNo],0),3),"")</f>
        <v>Drop In 1308 CT31   (B)</v>
      </c>
      <c r="D1661" s="306"/>
      <c r="E1661" s="421">
        <v>8</v>
      </c>
      <c r="F1661" s="421"/>
      <c r="G1661" s="417" t="s">
        <v>1687</v>
      </c>
      <c r="H1661" s="598">
        <v>14145051</v>
      </c>
      <c r="I1661" s="322" t="s">
        <v>1451</v>
      </c>
      <c r="J1661" s="418"/>
      <c r="K1661" s="248"/>
      <c r="M1661" s="366"/>
      <c r="AF1661">
        <v>8</v>
      </c>
    </row>
    <row r="1662" spans="1:32" x14ac:dyDescent="0.25">
      <c r="A1662" s="308">
        <v>45408</v>
      </c>
      <c r="B1662" s="416">
        <v>647436</v>
      </c>
      <c r="C1662" s="413" t="str">
        <f>IFERROR(INDEX(Table14[],MATCH($B1662,Table14[SAPNo],0),3),"")</f>
        <v>Round 1613 CT200  0.018" (B)</v>
      </c>
      <c r="D1662" s="306"/>
      <c r="E1662" s="421">
        <v>64</v>
      </c>
      <c r="F1662" s="421"/>
      <c r="G1662" s="417" t="s">
        <v>1687</v>
      </c>
      <c r="H1662" s="598">
        <v>14145051</v>
      </c>
      <c r="I1662" s="322" t="s">
        <v>1451</v>
      </c>
      <c r="J1662" s="418"/>
      <c r="K1662" s="248"/>
      <c r="M1662" s="366"/>
      <c r="AF1662">
        <v>64</v>
      </c>
    </row>
    <row r="1663" spans="1:32" x14ac:dyDescent="0.25">
      <c r="A1663" s="308">
        <v>45408</v>
      </c>
      <c r="B1663" s="416">
        <v>1142711</v>
      </c>
      <c r="C1663" s="413" t="str">
        <f>IFERROR(INDEX(Table14[],MATCH($B1663,Table14[SAPNo],0),3),"")</f>
        <v>1613 CT421 U</v>
      </c>
      <c r="D1663" s="306"/>
      <c r="E1663" s="421">
        <v>21</v>
      </c>
      <c r="F1663" s="421"/>
      <c r="G1663" s="417" t="s">
        <v>1688</v>
      </c>
      <c r="H1663" s="598">
        <v>14162006</v>
      </c>
      <c r="I1663" s="322" t="s">
        <v>1544</v>
      </c>
      <c r="J1663" s="418"/>
      <c r="K1663" s="248"/>
      <c r="M1663" s="366"/>
      <c r="AF1663">
        <v>21</v>
      </c>
    </row>
    <row r="1664" spans="1:32" x14ac:dyDescent="0.25">
      <c r="A1664" s="308">
        <v>45408</v>
      </c>
      <c r="B1664" s="416">
        <v>1234679</v>
      </c>
      <c r="C1664" s="413" t="str">
        <f>IFERROR(INDEX(Table14[],MATCH($B1664,Table14[SAPNo],0),3),"")</f>
        <v>1613 CT164R U</v>
      </c>
      <c r="D1664" s="306"/>
      <c r="E1664" s="421">
        <v>30</v>
      </c>
      <c r="F1664" s="421"/>
      <c r="G1664" s="417" t="s">
        <v>1688</v>
      </c>
      <c r="H1664" s="598">
        <v>14162006</v>
      </c>
      <c r="I1664" s="322" t="s">
        <v>1544</v>
      </c>
      <c r="J1664" s="418"/>
      <c r="K1664" s="248"/>
      <c r="M1664" s="366"/>
      <c r="AF1664">
        <v>30</v>
      </c>
    </row>
    <row r="1665" spans="1:32" x14ac:dyDescent="0.25">
      <c r="A1665" s="308">
        <v>45408</v>
      </c>
      <c r="B1665" s="416">
        <v>1208601</v>
      </c>
      <c r="C1665" s="413" t="str">
        <f>IFERROR(INDEX(Table14[],MATCH($B1665,Table14[SAPNo],0),3),"")</f>
        <v>1613 CT418 U-60</v>
      </c>
      <c r="D1665" s="306"/>
      <c r="E1665" s="421">
        <v>11</v>
      </c>
      <c r="F1665" s="421"/>
      <c r="G1665" s="417" t="s">
        <v>1688</v>
      </c>
      <c r="H1665" s="598">
        <v>14162006</v>
      </c>
      <c r="I1665" s="322" t="s">
        <v>1544</v>
      </c>
      <c r="J1665" s="418"/>
      <c r="K1665" s="248"/>
      <c r="M1665" s="366"/>
      <c r="AF1665">
        <v>11</v>
      </c>
    </row>
    <row r="1666" spans="1:32" x14ac:dyDescent="0.25">
      <c r="A1666" s="308">
        <v>45408</v>
      </c>
      <c r="B1666" s="416">
        <v>1163820</v>
      </c>
      <c r="C1666" s="413" t="str">
        <f>IFERROR(INDEX(Table14[],MATCH($B1666,Table14[SAPNo],0),3),"")</f>
        <v>1613 CT156 0.018"</v>
      </c>
      <c r="D1666" s="306"/>
      <c r="E1666" s="421">
        <v>6</v>
      </c>
      <c r="F1666" s="421"/>
      <c r="G1666" s="417" t="s">
        <v>1688</v>
      </c>
      <c r="H1666" s="598">
        <v>14162006</v>
      </c>
      <c r="I1666" s="322" t="s">
        <v>1544</v>
      </c>
      <c r="J1666" s="418"/>
      <c r="K1666" s="248"/>
      <c r="M1666" s="366"/>
      <c r="AF1666">
        <v>6</v>
      </c>
    </row>
    <row r="1667" spans="1:32" x14ac:dyDescent="0.25">
      <c r="A1667" s="308">
        <v>45408</v>
      </c>
      <c r="B1667" s="416">
        <v>1146737</v>
      </c>
      <c r="C1667" s="413" t="str">
        <f>IFERROR(INDEX(Table14[],MATCH($B1667,Table14[SAPNo],0),3),"")</f>
        <v>1613 CT418 18-60</v>
      </c>
      <c r="D1667" s="306"/>
      <c r="E1667" s="421">
        <v>8</v>
      </c>
      <c r="F1667" s="421"/>
      <c r="G1667" s="417" t="s">
        <v>1688</v>
      </c>
      <c r="H1667" s="598">
        <v>14162006</v>
      </c>
      <c r="I1667" s="322" t="s">
        <v>1544</v>
      </c>
      <c r="J1667" s="418"/>
      <c r="K1667" s="248"/>
      <c r="M1667" s="366"/>
      <c r="AF1667">
        <v>8</v>
      </c>
    </row>
    <row r="1668" spans="1:32" x14ac:dyDescent="0.25">
      <c r="A1668" s="308">
        <v>45408</v>
      </c>
      <c r="B1668" s="416">
        <v>871781</v>
      </c>
      <c r="C1668" s="413" t="str">
        <f>IFERROR(INDEX(Table14[],MATCH($B1668,Table14[SAPNo],0),3),"")</f>
        <v>Round 1313 CT200  0.018" (B)</v>
      </c>
      <c r="D1668" s="306"/>
      <c r="E1668" s="421">
        <v>7</v>
      </c>
      <c r="F1668" s="421"/>
      <c r="G1668" s="417" t="s">
        <v>1688</v>
      </c>
      <c r="H1668" s="598">
        <v>14162006</v>
      </c>
      <c r="I1668" s="322" t="s">
        <v>1544</v>
      </c>
      <c r="J1668" s="418"/>
      <c r="K1668" s="248"/>
      <c r="M1668" s="366"/>
      <c r="AF1668">
        <v>7</v>
      </c>
    </row>
    <row r="1669" spans="1:32" x14ac:dyDescent="0.25">
      <c r="A1669" s="320">
        <v>45408</v>
      </c>
      <c r="B1669" s="419">
        <v>625854</v>
      </c>
      <c r="C1669" s="413" t="str">
        <f>IFERROR(INDEX(Table14[],MATCH($B1669,Table14[SAPNo],0),3),"")</f>
        <v>Carbide IA 1318    (C)</v>
      </c>
      <c r="D1669" s="306"/>
      <c r="E1669" s="421">
        <v>6</v>
      </c>
      <c r="F1669" s="421"/>
      <c r="G1669" s="420" t="s">
        <v>1688</v>
      </c>
      <c r="H1669" s="599">
        <v>14162006</v>
      </c>
      <c r="I1669" s="322" t="s">
        <v>1544</v>
      </c>
      <c r="J1669" s="421"/>
      <c r="K1669" s="422"/>
      <c r="M1669" s="366"/>
      <c r="AF1669">
        <v>6</v>
      </c>
    </row>
    <row r="1670" spans="1:32" x14ac:dyDescent="0.25">
      <c r="A1670" s="308">
        <v>45413</v>
      </c>
      <c r="B1670" s="416">
        <v>1039060</v>
      </c>
      <c r="C1670" s="413" t="str">
        <f>IFERROR(INDEX(Table14[],MATCH($B1670,Table14[SAPNo],0),3),"")</f>
        <v>Round 1613 CT138  0.018" (S)</v>
      </c>
      <c r="D1670" s="306"/>
      <c r="E1670" s="421">
        <v>33</v>
      </c>
      <c r="F1670" s="421"/>
      <c r="G1670" s="417" t="s">
        <v>1689</v>
      </c>
      <c r="H1670" s="598">
        <v>13770618</v>
      </c>
      <c r="I1670" s="322" t="s">
        <v>1690</v>
      </c>
      <c r="J1670" s="418"/>
      <c r="K1670" s="248"/>
      <c r="M1670" s="422"/>
      <c r="AF1670">
        <v>33</v>
      </c>
    </row>
    <row r="1671" spans="1:32" x14ac:dyDescent="0.25">
      <c r="A1671" s="308">
        <v>45413</v>
      </c>
      <c r="B1671" s="416">
        <v>871781</v>
      </c>
      <c r="C1671" s="413" t="str">
        <f>IFERROR(INDEX(Table14[],MATCH($B1671,Table14[SAPNo],0),3),"")</f>
        <v>Round 1313 CT200  0.018" (B)</v>
      </c>
      <c r="D1671" s="306"/>
      <c r="E1671" s="421">
        <v>8</v>
      </c>
      <c r="F1671" s="421"/>
      <c r="G1671" s="417" t="s">
        <v>1691</v>
      </c>
      <c r="H1671" s="598">
        <v>14144646</v>
      </c>
      <c r="I1671" s="322" t="s">
        <v>1575</v>
      </c>
      <c r="J1671" s="418"/>
      <c r="K1671" s="248"/>
      <c r="M1671" s="366"/>
      <c r="AF1671">
        <v>8</v>
      </c>
    </row>
    <row r="1672" spans="1:32" x14ac:dyDescent="0.25">
      <c r="A1672" s="308">
        <v>45413</v>
      </c>
      <c r="B1672" s="416">
        <v>708306</v>
      </c>
      <c r="C1672" s="413" t="str">
        <f>IFERROR(INDEX(Table14[],MATCH($B1672,Table14[SAPNo],0),3),"")</f>
        <v>Round 1913 CT200  0.018" (B)</v>
      </c>
      <c r="D1672" s="306"/>
      <c r="E1672" s="421">
        <v>34</v>
      </c>
      <c r="F1672" s="421"/>
      <c r="G1672" s="417" t="s">
        <v>1691</v>
      </c>
      <c r="H1672" s="598">
        <v>14144646</v>
      </c>
      <c r="I1672" s="322" t="s">
        <v>1575</v>
      </c>
      <c r="J1672" s="418"/>
      <c r="K1672" s="248"/>
      <c r="M1672" s="366"/>
      <c r="AF1672">
        <v>34</v>
      </c>
    </row>
    <row r="1673" spans="1:32" x14ac:dyDescent="0.25">
      <c r="A1673" s="308">
        <v>45413</v>
      </c>
      <c r="B1673" s="416">
        <v>1250971</v>
      </c>
      <c r="C1673" s="413" t="str">
        <f>IFERROR(INDEX(Table14[],MATCH($B1673,Table14[SAPNo],0),3),"")</f>
        <v>1913 CT164R U</v>
      </c>
      <c r="D1673" s="306"/>
      <c r="E1673" s="421">
        <v>30</v>
      </c>
      <c r="F1673" s="421"/>
      <c r="G1673" s="417" t="s">
        <v>1691</v>
      </c>
      <c r="H1673" s="598">
        <v>14144646</v>
      </c>
      <c r="I1673" s="322" t="s">
        <v>1575</v>
      </c>
      <c r="J1673" s="418"/>
      <c r="K1673" s="248"/>
      <c r="M1673" s="366"/>
      <c r="AF1673">
        <v>30</v>
      </c>
    </row>
    <row r="1674" spans="1:32" x14ac:dyDescent="0.25">
      <c r="A1674" s="308">
        <v>45413</v>
      </c>
      <c r="B1674" s="416">
        <v>1146737</v>
      </c>
      <c r="C1674" s="413" t="str">
        <f>IFERROR(INDEX(Table14[],MATCH($B1674,Table14[SAPNo],0),3),"")</f>
        <v>1613 CT418 18-60</v>
      </c>
      <c r="D1674" s="306"/>
      <c r="E1674" s="421">
        <v>9</v>
      </c>
      <c r="F1674" s="421"/>
      <c r="G1674" s="417" t="s">
        <v>1691</v>
      </c>
      <c r="H1674" s="598">
        <v>14144646</v>
      </c>
      <c r="I1674" s="322" t="s">
        <v>1575</v>
      </c>
      <c r="J1674" s="418"/>
      <c r="K1674" s="248"/>
      <c r="M1674" s="366"/>
      <c r="AF1674">
        <v>9</v>
      </c>
    </row>
    <row r="1675" spans="1:32" x14ac:dyDescent="0.25">
      <c r="A1675" s="308">
        <v>45413</v>
      </c>
      <c r="B1675" s="416">
        <v>1100759</v>
      </c>
      <c r="C1675" s="413" t="str">
        <f>IFERROR(INDEX(Table14[],MATCH($B1675,Table14[SAPNo],0),3),"")</f>
        <v>1913 CT421 0.018"</v>
      </c>
      <c r="D1675" s="306"/>
      <c r="E1675" s="421">
        <v>18</v>
      </c>
      <c r="F1675" s="421"/>
      <c r="G1675" s="417" t="s">
        <v>1691</v>
      </c>
      <c r="H1675" s="598">
        <v>14144646</v>
      </c>
      <c r="I1675" s="322" t="s">
        <v>1575</v>
      </c>
      <c r="J1675" s="418"/>
      <c r="K1675" s="248"/>
      <c r="M1675" s="366"/>
      <c r="AF1675">
        <v>18</v>
      </c>
    </row>
    <row r="1676" spans="1:32" x14ac:dyDescent="0.25">
      <c r="A1676" s="308">
        <v>45413</v>
      </c>
      <c r="B1676" s="416">
        <v>871781</v>
      </c>
      <c r="C1676" s="413" t="str">
        <f>IFERROR(INDEX(Table14[],MATCH($B1676,Table14[SAPNo],0),3),"")</f>
        <v>Round 1313 CT200  0.018" (B)</v>
      </c>
      <c r="D1676" s="306"/>
      <c r="E1676" s="421">
        <v>5</v>
      </c>
      <c r="F1676" s="421"/>
      <c r="G1676" s="417" t="s">
        <v>1692</v>
      </c>
      <c r="H1676" s="598">
        <v>14162001</v>
      </c>
      <c r="I1676" s="322" t="s">
        <v>1463</v>
      </c>
      <c r="J1676" s="418"/>
      <c r="K1676" s="248"/>
      <c r="M1676" s="366"/>
      <c r="AF1676">
        <v>5</v>
      </c>
    </row>
    <row r="1677" spans="1:32" x14ac:dyDescent="0.25">
      <c r="A1677" s="308">
        <v>45413</v>
      </c>
      <c r="B1677" s="416">
        <v>1271790</v>
      </c>
      <c r="C1677" s="413" t="str">
        <f>IFERROR(INDEX(Table14[],MATCH($B1677,Table14[SAPNo],0),3),"")</f>
        <v xml:space="preserve">1613 CT170 18-60 </v>
      </c>
      <c r="D1677" s="306"/>
      <c r="E1677" s="421">
        <v>30</v>
      </c>
      <c r="F1677" s="421"/>
      <c r="G1677" s="417" t="s">
        <v>1692</v>
      </c>
      <c r="H1677" s="598">
        <v>14162001</v>
      </c>
      <c r="I1677" s="322" t="s">
        <v>1463</v>
      </c>
      <c r="J1677" s="418"/>
      <c r="K1677" s="248"/>
      <c r="M1677" s="366"/>
      <c r="AF1677">
        <v>30</v>
      </c>
    </row>
    <row r="1678" spans="1:32" x14ac:dyDescent="0.25">
      <c r="A1678" s="308">
        <v>45413</v>
      </c>
      <c r="B1678" s="416">
        <v>1209410</v>
      </c>
      <c r="C1678" s="413" t="str">
        <f>IFERROR(INDEX(Table14[],MATCH($B1678,Table14[SAPNo],0),3),"")</f>
        <v>1613 CT430MV3 U TBO</v>
      </c>
      <c r="D1678" s="306"/>
      <c r="E1678" s="421">
        <v>10</v>
      </c>
      <c r="F1678" s="421"/>
      <c r="G1678" s="417" t="s">
        <v>1692</v>
      </c>
      <c r="H1678" s="598">
        <v>14162001</v>
      </c>
      <c r="I1678" s="322" t="s">
        <v>1463</v>
      </c>
      <c r="J1678" s="418"/>
      <c r="K1678" s="248"/>
      <c r="M1678" s="366"/>
      <c r="AF1678">
        <v>10</v>
      </c>
    </row>
    <row r="1679" spans="1:32" x14ac:dyDescent="0.25">
      <c r="A1679" s="308">
        <v>45413</v>
      </c>
      <c r="B1679" s="416">
        <v>1146737</v>
      </c>
      <c r="C1679" s="413" t="str">
        <f>IFERROR(INDEX(Table14[],MATCH($B1679,Table14[SAPNo],0),3),"")</f>
        <v>1613 CT418 18-60</v>
      </c>
      <c r="D1679" s="306"/>
      <c r="E1679" s="421">
        <v>10</v>
      </c>
      <c r="F1679" s="421"/>
      <c r="G1679" s="417" t="s">
        <v>1692</v>
      </c>
      <c r="H1679" s="598">
        <v>14162001</v>
      </c>
      <c r="I1679" s="322" t="s">
        <v>1463</v>
      </c>
      <c r="J1679" s="418"/>
      <c r="K1679" s="248"/>
      <c r="M1679" s="366"/>
      <c r="AF1679">
        <v>10</v>
      </c>
    </row>
    <row r="1680" spans="1:32" x14ac:dyDescent="0.25">
      <c r="A1680" s="320">
        <v>45413</v>
      </c>
      <c r="B1680" s="419">
        <v>1100751</v>
      </c>
      <c r="C1680" s="413" t="str">
        <f>IFERROR(INDEX(Table14[],MATCH($B1680,Table14[SAPNo],0),3),"")</f>
        <v>1313 CT421 0.018"</v>
      </c>
      <c r="D1680" s="306"/>
      <c r="E1680" s="421">
        <v>22</v>
      </c>
      <c r="F1680" s="421"/>
      <c r="G1680" s="420" t="s">
        <v>1692</v>
      </c>
      <c r="H1680" s="599">
        <v>14162001</v>
      </c>
      <c r="I1680" s="322" t="s">
        <v>1463</v>
      </c>
      <c r="J1680" s="421"/>
      <c r="K1680" s="422"/>
      <c r="M1680" s="366"/>
      <c r="AF1680">
        <v>22</v>
      </c>
    </row>
    <row r="1681" spans="1:32" x14ac:dyDescent="0.25">
      <c r="A1681" s="308">
        <v>45414</v>
      </c>
      <c r="B1681" s="416">
        <v>1130197</v>
      </c>
      <c r="C1681" s="413" t="str">
        <f>IFERROR(INDEX(Table14[],MATCH($B1681,Table14[SAPNo],0),3),"")</f>
        <v>Round 1608 CT182  0.018" (S)</v>
      </c>
      <c r="D1681" s="306"/>
      <c r="E1681" s="421">
        <v>8</v>
      </c>
      <c r="F1681" s="421"/>
      <c r="G1681" s="417" t="s">
        <v>1693</v>
      </c>
      <c r="H1681" s="598">
        <v>14144640</v>
      </c>
      <c r="I1681" s="322" t="s">
        <v>1694</v>
      </c>
      <c r="J1681" s="418"/>
      <c r="K1681" s="248"/>
      <c r="M1681" s="422"/>
      <c r="AF1681">
        <v>8</v>
      </c>
    </row>
    <row r="1682" spans="1:32" x14ac:dyDescent="0.25">
      <c r="A1682" s="308">
        <v>45414</v>
      </c>
      <c r="B1682" s="416">
        <v>1100755</v>
      </c>
      <c r="C1682" s="413" t="str">
        <f>IFERROR(INDEX(Table14[],MATCH($B1682,Table14[SAPNo],0),3),"")</f>
        <v>Round 1613 CT421  0.018" (S)</v>
      </c>
      <c r="D1682" s="306"/>
      <c r="E1682" s="421">
        <v>69</v>
      </c>
      <c r="F1682" s="421"/>
      <c r="G1682" s="417" t="s">
        <v>1693</v>
      </c>
      <c r="H1682" s="598">
        <v>14144640</v>
      </c>
      <c r="I1682" s="322" t="s">
        <v>1694</v>
      </c>
      <c r="J1682" s="418"/>
      <c r="K1682" s="248"/>
      <c r="M1682" s="366"/>
      <c r="AF1682">
        <v>69</v>
      </c>
    </row>
    <row r="1683" spans="1:32" x14ac:dyDescent="0.25">
      <c r="A1683" s="308">
        <v>45414</v>
      </c>
      <c r="B1683" s="416">
        <v>871781</v>
      </c>
      <c r="C1683" s="413" t="str">
        <f>IFERROR(INDEX(Table14[],MATCH($B1683,Table14[SAPNo],0),3),"")</f>
        <v>Round 1313 CT200  0.018" (B)</v>
      </c>
      <c r="D1683" s="306"/>
      <c r="E1683" s="421">
        <v>8</v>
      </c>
      <c r="F1683" s="421"/>
      <c r="G1683" s="417" t="s">
        <v>1693</v>
      </c>
      <c r="H1683" s="598">
        <v>14144640</v>
      </c>
      <c r="I1683" s="322" t="s">
        <v>1694</v>
      </c>
      <c r="J1683" s="418"/>
      <c r="K1683" s="248"/>
      <c r="M1683" s="366"/>
      <c r="AF1683">
        <v>8</v>
      </c>
    </row>
    <row r="1684" spans="1:32" x14ac:dyDescent="0.25">
      <c r="A1684" s="308">
        <v>45414</v>
      </c>
      <c r="B1684" s="416">
        <v>1100759</v>
      </c>
      <c r="C1684" s="413" t="str">
        <f>IFERROR(INDEX(Table14[],MATCH($B1684,Table14[SAPNo],0),3),"")</f>
        <v>1913 CT421 0.018"</v>
      </c>
      <c r="D1684" s="306"/>
      <c r="E1684" s="421">
        <v>24</v>
      </c>
      <c r="F1684" s="421"/>
      <c r="G1684" s="417" t="s">
        <v>1693</v>
      </c>
      <c r="H1684" s="598">
        <v>14144640</v>
      </c>
      <c r="I1684" s="322" t="s">
        <v>1694</v>
      </c>
      <c r="J1684" s="418"/>
      <c r="K1684" s="248"/>
      <c r="M1684" s="366"/>
      <c r="AF1684">
        <v>24</v>
      </c>
    </row>
    <row r="1685" spans="1:32" x14ac:dyDescent="0.25">
      <c r="A1685" s="308">
        <v>45414</v>
      </c>
      <c r="B1685" s="416">
        <v>1100741</v>
      </c>
      <c r="C1685" s="413" t="str">
        <f>IFERROR(INDEX(Table14[],MATCH($B1685,Table14[SAPNo],0),3),"")</f>
        <v>Round 1613 CT418  0.018" (S)</v>
      </c>
      <c r="D1685" s="306"/>
      <c r="E1685" s="421">
        <v>9</v>
      </c>
      <c r="F1685" s="421"/>
      <c r="G1685" s="417" t="s">
        <v>1693</v>
      </c>
      <c r="H1685" s="598">
        <v>14144640</v>
      </c>
      <c r="I1685" s="322" t="s">
        <v>1694</v>
      </c>
      <c r="J1685" s="418"/>
      <c r="K1685" s="248"/>
      <c r="M1685" s="366"/>
      <c r="AF1685">
        <v>9</v>
      </c>
    </row>
    <row r="1686" spans="1:32" x14ac:dyDescent="0.25">
      <c r="A1686" s="308">
        <v>45414</v>
      </c>
      <c r="B1686" s="416">
        <v>1100741</v>
      </c>
      <c r="C1686" s="413" t="str">
        <f>IFERROR(INDEX(Table14[],MATCH($B1686,Table14[SAPNo],0),3),"")</f>
        <v>Round 1613 CT418  0.018" (S)</v>
      </c>
      <c r="D1686" s="306"/>
      <c r="E1686" s="421">
        <v>9</v>
      </c>
      <c r="F1686" s="421"/>
      <c r="G1686" s="417" t="s">
        <v>1695</v>
      </c>
      <c r="H1686" s="598">
        <v>14144641</v>
      </c>
      <c r="I1686" s="322" t="s">
        <v>1696</v>
      </c>
      <c r="J1686" s="418"/>
      <c r="K1686" s="248"/>
      <c r="M1686" s="366"/>
      <c r="AF1686">
        <v>9</v>
      </c>
    </row>
    <row r="1687" spans="1:32" x14ac:dyDescent="0.25">
      <c r="A1687" s="308">
        <v>45414</v>
      </c>
      <c r="B1687" s="416">
        <v>1100755</v>
      </c>
      <c r="C1687" s="413" t="str">
        <f>IFERROR(INDEX(Table14[],MATCH($B1687,Table14[SAPNo],0),3),"")</f>
        <v>Round 1613 CT421  0.018" (S)</v>
      </c>
      <c r="D1687" s="306"/>
      <c r="E1687" s="421">
        <v>69</v>
      </c>
      <c r="F1687" s="421"/>
      <c r="G1687" s="417" t="s">
        <v>1695</v>
      </c>
      <c r="H1687" s="598">
        <v>14144641</v>
      </c>
      <c r="I1687" s="322" t="s">
        <v>1696</v>
      </c>
      <c r="J1687" s="418"/>
      <c r="K1687" s="248"/>
      <c r="M1687" s="366"/>
      <c r="AF1687">
        <v>69</v>
      </c>
    </row>
    <row r="1688" spans="1:32" x14ac:dyDescent="0.25">
      <c r="A1688" s="308">
        <v>45414</v>
      </c>
      <c r="B1688" s="416">
        <v>1100759</v>
      </c>
      <c r="C1688" s="413" t="str">
        <f>IFERROR(INDEX(Table14[],MATCH($B1688,Table14[SAPNo],0),3),"")</f>
        <v>1913 CT421 0.018"</v>
      </c>
      <c r="D1688" s="306"/>
      <c r="E1688" s="421">
        <v>24</v>
      </c>
      <c r="F1688" s="421"/>
      <c r="G1688" s="417" t="s">
        <v>1695</v>
      </c>
      <c r="H1688" s="598">
        <v>14144641</v>
      </c>
      <c r="I1688" s="322" t="s">
        <v>1696</v>
      </c>
      <c r="J1688" s="418"/>
      <c r="K1688" s="248"/>
      <c r="M1688" s="366"/>
      <c r="AF1688">
        <v>24</v>
      </c>
    </row>
    <row r="1689" spans="1:32" x14ac:dyDescent="0.25">
      <c r="A1689" s="308">
        <v>45414</v>
      </c>
      <c r="B1689" s="416">
        <v>1130197</v>
      </c>
      <c r="C1689" s="413" t="str">
        <f>IFERROR(INDEX(Table14[],MATCH($B1689,Table14[SAPNo],0),3),"")</f>
        <v>Round 1608 CT182  0.018" (S)</v>
      </c>
      <c r="D1689" s="306"/>
      <c r="E1689" s="421">
        <v>8</v>
      </c>
      <c r="F1689" s="421"/>
      <c r="G1689" s="417" t="s">
        <v>1695</v>
      </c>
      <c r="H1689" s="598">
        <v>14144641</v>
      </c>
      <c r="I1689" s="322" t="s">
        <v>1696</v>
      </c>
      <c r="J1689" s="418"/>
      <c r="K1689" s="248"/>
      <c r="M1689" s="366"/>
      <c r="AF1689">
        <v>8</v>
      </c>
    </row>
    <row r="1690" spans="1:32" x14ac:dyDescent="0.25">
      <c r="A1690" s="308">
        <v>45414</v>
      </c>
      <c r="B1690" s="416">
        <v>871781</v>
      </c>
      <c r="C1690" s="413" t="str">
        <f>IFERROR(INDEX(Table14[],MATCH($B1690,Table14[SAPNo],0),3),"")</f>
        <v>Round 1313 CT200  0.018" (B)</v>
      </c>
      <c r="D1690" s="306"/>
      <c r="E1690" s="421">
        <v>8</v>
      </c>
      <c r="F1690" s="421"/>
      <c r="G1690" s="417" t="s">
        <v>1695</v>
      </c>
      <c r="H1690" s="598">
        <v>14144641</v>
      </c>
      <c r="I1690" s="322" t="s">
        <v>1696</v>
      </c>
      <c r="J1690" s="418"/>
      <c r="K1690" s="248"/>
      <c r="M1690" s="366"/>
      <c r="AF1690">
        <v>8</v>
      </c>
    </row>
    <row r="1691" spans="1:32" x14ac:dyDescent="0.25">
      <c r="A1691" s="308">
        <v>45414</v>
      </c>
      <c r="B1691" s="416">
        <v>1146737</v>
      </c>
      <c r="C1691" s="413" t="str">
        <f>IFERROR(INDEX(Table14[],MATCH($B1691,Table14[SAPNo],0),3),"")</f>
        <v>1613 CT418 18-60</v>
      </c>
      <c r="D1691" s="306"/>
      <c r="E1691" s="421">
        <v>20</v>
      </c>
      <c r="F1691" s="421"/>
      <c r="G1691" s="417" t="s">
        <v>1697</v>
      </c>
      <c r="H1691" s="598">
        <v>14159991</v>
      </c>
      <c r="I1691" s="322" t="s">
        <v>1698</v>
      </c>
      <c r="J1691" s="418"/>
      <c r="K1691" s="248"/>
      <c r="M1691" s="366"/>
      <c r="AF1691">
        <v>20</v>
      </c>
    </row>
    <row r="1692" spans="1:32" x14ac:dyDescent="0.25">
      <c r="A1692" s="308">
        <v>45414</v>
      </c>
      <c r="B1692" s="416">
        <v>1271790</v>
      </c>
      <c r="C1692" s="413" t="str">
        <f>IFERROR(INDEX(Table14[],MATCH($B1692,Table14[SAPNo],0),3),"")</f>
        <v xml:space="preserve">1613 CT170 18-60 </v>
      </c>
      <c r="D1692" s="306"/>
      <c r="E1692" s="421">
        <v>32</v>
      </c>
      <c r="F1692" s="421"/>
      <c r="G1692" s="417" t="s">
        <v>1697</v>
      </c>
      <c r="H1692" s="598">
        <v>14159991</v>
      </c>
      <c r="I1692" s="322" t="s">
        <v>1698</v>
      </c>
      <c r="J1692" s="418"/>
      <c r="K1692" s="248"/>
      <c r="M1692" s="366"/>
      <c r="AF1692">
        <v>32</v>
      </c>
    </row>
    <row r="1693" spans="1:32" x14ac:dyDescent="0.25">
      <c r="A1693" s="308">
        <v>45414</v>
      </c>
      <c r="B1693" s="416">
        <v>1104086</v>
      </c>
      <c r="C1693" s="413" t="str">
        <f>IFERROR(INDEX(Table14[],MATCH($B1693,Table14[SAPNo],0),3),"")</f>
        <v xml:space="preserve"> 1613 CT144H  0.018 ()</v>
      </c>
      <c r="D1693" s="306"/>
      <c r="E1693" s="421">
        <v>1</v>
      </c>
      <c r="F1693" s="421"/>
      <c r="G1693" s="417" t="s">
        <v>1697</v>
      </c>
      <c r="H1693" s="598">
        <v>14159991</v>
      </c>
      <c r="I1693" s="322" t="s">
        <v>1698</v>
      </c>
      <c r="J1693" s="418"/>
      <c r="K1693" s="248"/>
      <c r="M1693" s="366"/>
      <c r="AF1693">
        <v>1</v>
      </c>
    </row>
    <row r="1694" spans="1:32" x14ac:dyDescent="0.25">
      <c r="A1694" s="308">
        <v>45414</v>
      </c>
      <c r="B1694" s="416">
        <v>1100755</v>
      </c>
      <c r="C1694" s="413" t="str">
        <f>IFERROR(INDEX(Table14[],MATCH($B1694,Table14[SAPNo],0),3),"")</f>
        <v>Round 1613 CT421  0.018" (S)</v>
      </c>
      <c r="D1694" s="306"/>
      <c r="E1694" s="421">
        <v>22</v>
      </c>
      <c r="F1694" s="421"/>
      <c r="G1694" s="417" t="s">
        <v>1697</v>
      </c>
      <c r="H1694" s="598">
        <v>14159991</v>
      </c>
      <c r="I1694" s="322" t="s">
        <v>1698</v>
      </c>
      <c r="J1694" s="418"/>
      <c r="K1694" s="248"/>
      <c r="M1694" s="366"/>
      <c r="AF1694">
        <v>22</v>
      </c>
    </row>
    <row r="1695" spans="1:32" x14ac:dyDescent="0.25">
      <c r="A1695" s="308">
        <v>45414</v>
      </c>
      <c r="B1695" s="416">
        <v>871781</v>
      </c>
      <c r="C1695" s="413" t="str">
        <f>IFERROR(INDEX(Table14[],MATCH($B1695,Table14[SAPNo],0),3),"")</f>
        <v>Round 1313 CT200  0.018" (B)</v>
      </c>
      <c r="D1695" s="306"/>
      <c r="E1695" s="421">
        <v>7</v>
      </c>
      <c r="F1695" s="421"/>
      <c r="G1695" s="417" t="s">
        <v>1697</v>
      </c>
      <c r="H1695" s="598">
        <v>14159991</v>
      </c>
      <c r="I1695" s="322" t="s">
        <v>1698</v>
      </c>
      <c r="J1695" s="418"/>
      <c r="K1695" s="248"/>
      <c r="M1695" s="366"/>
      <c r="AF1695">
        <v>7</v>
      </c>
    </row>
    <row r="1696" spans="1:32" x14ac:dyDescent="0.25">
      <c r="A1696" s="308">
        <v>45414</v>
      </c>
      <c r="B1696" s="416">
        <v>1130197</v>
      </c>
      <c r="C1696" s="413" t="str">
        <f>IFERROR(INDEX(Table14[],MATCH($B1696,Table14[SAPNo],0),3),"")</f>
        <v>Round 1608 CT182  0.018" (S)</v>
      </c>
      <c r="D1696" s="306"/>
      <c r="E1696" s="421">
        <v>6</v>
      </c>
      <c r="F1696" s="421"/>
      <c r="G1696" s="417" t="s">
        <v>1697</v>
      </c>
      <c r="H1696" s="598">
        <v>14159991</v>
      </c>
      <c r="I1696" s="322" t="s">
        <v>1698</v>
      </c>
      <c r="J1696" s="418"/>
      <c r="K1696" s="248"/>
      <c r="M1696" s="366"/>
      <c r="AF1696">
        <v>6</v>
      </c>
    </row>
    <row r="1697" spans="1:32" x14ac:dyDescent="0.25">
      <c r="A1697" s="308">
        <v>45414</v>
      </c>
      <c r="B1697" s="416">
        <v>647435</v>
      </c>
      <c r="C1697" s="413" t="str">
        <f>IFERROR(INDEX(Table14[],MATCH($B1697,Table14[SAPNo],0),3),"")</f>
        <v>Round 1608 CT200  0.018" (B)</v>
      </c>
      <c r="D1697" s="306"/>
      <c r="E1697" s="421">
        <v>23</v>
      </c>
      <c r="F1697" s="421"/>
      <c r="G1697" s="417" t="s">
        <v>1699</v>
      </c>
      <c r="H1697" s="598">
        <v>14160194</v>
      </c>
      <c r="I1697" s="322" t="s">
        <v>1700</v>
      </c>
      <c r="J1697" s="418"/>
      <c r="K1697" s="248"/>
      <c r="M1697" s="366"/>
      <c r="AF1697">
        <v>23</v>
      </c>
    </row>
    <row r="1698" spans="1:32" x14ac:dyDescent="0.25">
      <c r="A1698" s="308">
        <v>45414</v>
      </c>
      <c r="B1698" s="416">
        <v>1100755</v>
      </c>
      <c r="C1698" s="413" t="str">
        <f>IFERROR(INDEX(Table14[],MATCH($B1698,Table14[SAPNo],0),3),"")</f>
        <v>Round 1613 CT421  0.018" (S)</v>
      </c>
      <c r="D1698" s="306"/>
      <c r="E1698" s="421">
        <v>33</v>
      </c>
      <c r="F1698" s="421"/>
      <c r="G1698" s="417" t="s">
        <v>1699</v>
      </c>
      <c r="H1698" s="598">
        <v>14160194</v>
      </c>
      <c r="I1698" s="322" t="s">
        <v>1700</v>
      </c>
      <c r="J1698" s="418"/>
      <c r="K1698" s="248"/>
      <c r="M1698" s="366"/>
      <c r="AF1698">
        <v>33</v>
      </c>
    </row>
    <row r="1699" spans="1:32" x14ac:dyDescent="0.25">
      <c r="A1699" s="308">
        <v>45414</v>
      </c>
      <c r="B1699" s="416">
        <v>871781</v>
      </c>
      <c r="C1699" s="413" t="str">
        <f>IFERROR(INDEX(Table14[],MATCH($B1699,Table14[SAPNo],0),3),"")</f>
        <v>Round 1313 CT200  0.018" (B)</v>
      </c>
      <c r="D1699" s="306"/>
      <c r="E1699" s="421">
        <v>6</v>
      </c>
      <c r="F1699" s="421"/>
      <c r="G1699" s="417" t="s">
        <v>1699</v>
      </c>
      <c r="H1699" s="598">
        <v>14160194</v>
      </c>
      <c r="I1699" s="322" t="s">
        <v>1700</v>
      </c>
      <c r="J1699" s="418"/>
      <c r="K1699" s="248"/>
      <c r="M1699" s="366"/>
      <c r="AF1699">
        <v>6</v>
      </c>
    </row>
    <row r="1700" spans="1:32" x14ac:dyDescent="0.25">
      <c r="A1700" s="308">
        <v>45414</v>
      </c>
      <c r="B1700" s="416">
        <v>871781</v>
      </c>
      <c r="C1700" s="413" t="str">
        <f>IFERROR(INDEX(Table14[],MATCH($B1700,Table14[SAPNo],0),3),"")</f>
        <v>Round 1313 CT200  0.018" (B)</v>
      </c>
      <c r="D1700" s="306"/>
      <c r="E1700" s="421">
        <v>6</v>
      </c>
      <c r="F1700" s="421"/>
      <c r="G1700" s="417" t="s">
        <v>1701</v>
      </c>
      <c r="H1700" s="598">
        <v>14160195</v>
      </c>
      <c r="I1700" s="322" t="s">
        <v>1702</v>
      </c>
      <c r="J1700" s="418"/>
      <c r="K1700" s="248"/>
      <c r="M1700" s="366"/>
      <c r="AF1700">
        <v>6</v>
      </c>
    </row>
    <row r="1701" spans="1:32" x14ac:dyDescent="0.25">
      <c r="A1701" s="308">
        <v>45414</v>
      </c>
      <c r="B1701" s="416">
        <v>647435</v>
      </c>
      <c r="C1701" s="413" t="str">
        <f>IFERROR(INDEX(Table14[],MATCH($B1701,Table14[SAPNo],0),3),"")</f>
        <v>Round 1608 CT200  0.018" (B)</v>
      </c>
      <c r="D1701" s="306"/>
      <c r="E1701" s="421">
        <v>23</v>
      </c>
      <c r="F1701" s="421"/>
      <c r="G1701" s="417" t="s">
        <v>1701</v>
      </c>
      <c r="H1701" s="598">
        <v>14160195</v>
      </c>
      <c r="I1701" s="322" t="s">
        <v>1702</v>
      </c>
      <c r="J1701" s="418"/>
      <c r="K1701" s="248"/>
      <c r="M1701" s="366"/>
      <c r="AF1701">
        <v>23</v>
      </c>
    </row>
    <row r="1702" spans="1:32" x14ac:dyDescent="0.25">
      <c r="A1702" s="308">
        <v>45414</v>
      </c>
      <c r="B1702" s="416">
        <v>1100755</v>
      </c>
      <c r="C1702" s="413" t="str">
        <f>IFERROR(INDEX(Table14[],MATCH($B1702,Table14[SAPNo],0),3),"")</f>
        <v>Round 1613 CT421  0.018" (S)</v>
      </c>
      <c r="D1702" s="306"/>
      <c r="E1702" s="421">
        <v>33</v>
      </c>
      <c r="F1702" s="421"/>
      <c r="G1702" s="417" t="s">
        <v>1701</v>
      </c>
      <c r="H1702" s="598">
        <v>14160195</v>
      </c>
      <c r="I1702" s="322" t="s">
        <v>1702</v>
      </c>
      <c r="J1702" s="418"/>
      <c r="K1702" s="248"/>
      <c r="M1702" s="366"/>
      <c r="AF1702">
        <v>33</v>
      </c>
    </row>
    <row r="1703" spans="1:32" x14ac:dyDescent="0.25">
      <c r="A1703" s="308">
        <v>45414</v>
      </c>
      <c r="B1703" s="416">
        <v>1220688</v>
      </c>
      <c r="C1703" s="413" t="str">
        <f>IFERROR(INDEX(Table14[],MATCH($B1703,Table14[SAPNo],0),3),"")</f>
        <v>1005 CT155 U-60</v>
      </c>
      <c r="D1703" s="306"/>
      <c r="E1703" s="421">
        <v>38</v>
      </c>
      <c r="F1703" s="421"/>
      <c r="G1703" s="417" t="s">
        <v>1703</v>
      </c>
      <c r="H1703" s="598">
        <v>14127145</v>
      </c>
      <c r="I1703" s="322" t="s">
        <v>1704</v>
      </c>
      <c r="J1703" s="418"/>
      <c r="K1703" s="248"/>
      <c r="M1703" s="366"/>
      <c r="AF1703">
        <v>38</v>
      </c>
    </row>
    <row r="1704" spans="1:32" x14ac:dyDescent="0.25">
      <c r="A1704" s="320">
        <v>45414</v>
      </c>
      <c r="B1704" s="419">
        <v>1220688</v>
      </c>
      <c r="C1704" s="413" t="str">
        <f>IFERROR(INDEX(Table14[],MATCH($B1704,Table14[SAPNo],0),3),"")</f>
        <v>1005 CT155 U-60</v>
      </c>
      <c r="D1704" s="306"/>
      <c r="E1704" s="421">
        <v>38</v>
      </c>
      <c r="F1704" s="421"/>
      <c r="G1704" s="420" t="s">
        <v>1705</v>
      </c>
      <c r="H1704" s="599">
        <v>14109669</v>
      </c>
      <c r="I1704" s="322" t="s">
        <v>1704</v>
      </c>
      <c r="J1704" s="421"/>
      <c r="K1704" s="422"/>
      <c r="M1704" s="366"/>
      <c r="AF1704">
        <v>38</v>
      </c>
    </row>
    <row r="1705" spans="1:32" x14ac:dyDescent="0.25">
      <c r="A1705" s="308">
        <v>45415</v>
      </c>
      <c r="B1705" s="416">
        <v>1261319</v>
      </c>
      <c r="C1705" s="413" t="str">
        <f>IFERROR(INDEX(Table14[],MATCH($B1705,Table14[SAPNo],0),3),"")</f>
        <v>1308 CT155 U-60</v>
      </c>
      <c r="D1705" s="306"/>
      <c r="E1705" s="421">
        <v>24</v>
      </c>
      <c r="F1705" s="421"/>
      <c r="G1705" s="417" t="s">
        <v>1706</v>
      </c>
      <c r="H1705" s="598">
        <v>14144620</v>
      </c>
      <c r="I1705" s="322" t="s">
        <v>1440</v>
      </c>
      <c r="J1705" s="418"/>
      <c r="K1705" s="248"/>
      <c r="M1705" s="422"/>
      <c r="AF1705">
        <v>24</v>
      </c>
    </row>
    <row r="1706" spans="1:32" x14ac:dyDescent="0.25">
      <c r="A1706" s="308">
        <v>45415</v>
      </c>
      <c r="B1706" s="416">
        <v>871781</v>
      </c>
      <c r="C1706" s="413" t="str">
        <f>IFERROR(INDEX(Table14[],MATCH($B1706,Table14[SAPNo],0),3),"")</f>
        <v>Round 1313 CT200  0.018" (B)</v>
      </c>
      <c r="D1706" s="306"/>
      <c r="E1706" s="421">
        <v>6</v>
      </c>
      <c r="F1706" s="421"/>
      <c r="G1706" s="417" t="s">
        <v>1706</v>
      </c>
      <c r="H1706" s="598">
        <v>14144620</v>
      </c>
      <c r="I1706" s="322" t="s">
        <v>1440</v>
      </c>
      <c r="J1706" s="418"/>
      <c r="K1706" s="248"/>
      <c r="M1706" s="366"/>
      <c r="AF1706">
        <v>6</v>
      </c>
    </row>
    <row r="1707" spans="1:32" x14ac:dyDescent="0.25">
      <c r="A1707" s="308">
        <v>45415</v>
      </c>
      <c r="B1707" s="416">
        <v>1228502</v>
      </c>
      <c r="C1707" s="413" t="str">
        <f>IFERROR(INDEX(Table14[],MATCH($B1707,Table14[SAPNo],0),3),"")</f>
        <v>1618 CT182 U-60 Rotor</v>
      </c>
      <c r="D1707" s="306"/>
      <c r="E1707" s="421">
        <v>10</v>
      </c>
      <c r="F1707" s="421"/>
      <c r="G1707" s="417" t="s">
        <v>1706</v>
      </c>
      <c r="H1707" s="598">
        <v>14144620</v>
      </c>
      <c r="I1707" s="322" t="s">
        <v>1440</v>
      </c>
      <c r="J1707" s="418"/>
      <c r="K1707" s="248"/>
      <c r="M1707" s="366"/>
      <c r="AF1707">
        <v>10</v>
      </c>
    </row>
    <row r="1708" spans="1:32" x14ac:dyDescent="0.25">
      <c r="A1708" s="308">
        <v>45415</v>
      </c>
      <c r="B1708" s="416">
        <v>1261321</v>
      </c>
      <c r="C1708" s="413" t="str">
        <f>IFERROR(INDEX(Table14[],MATCH($B1708,Table14[SAPNo],0),3),"")</f>
        <v>1613 CT155 U-60</v>
      </c>
      <c r="D1708" s="306"/>
      <c r="E1708" s="421">
        <v>4</v>
      </c>
      <c r="F1708" s="421"/>
      <c r="G1708" s="417" t="s">
        <v>1706</v>
      </c>
      <c r="H1708" s="598">
        <v>14144620</v>
      </c>
      <c r="I1708" s="322" t="s">
        <v>1440</v>
      </c>
      <c r="J1708" s="418"/>
      <c r="K1708" s="248"/>
      <c r="M1708" s="366"/>
      <c r="AF1708">
        <v>4</v>
      </c>
    </row>
    <row r="1709" spans="1:32" x14ac:dyDescent="0.25">
      <c r="A1709" s="308">
        <v>45415</v>
      </c>
      <c r="B1709" s="416">
        <v>1228503</v>
      </c>
      <c r="C1709" s="413" t="str">
        <f>IFERROR(INDEX(Table14[],MATCH($B1709,Table14[SAPNo],0),3),"")</f>
        <v>1618 CT182 U-60 Ring</v>
      </c>
      <c r="D1709" s="306"/>
      <c r="E1709" s="421">
        <v>10</v>
      </c>
      <c r="F1709" s="421"/>
      <c r="G1709" s="417" t="s">
        <v>1706</v>
      </c>
      <c r="H1709" s="598">
        <v>14144620</v>
      </c>
      <c r="I1709" s="322" t="s">
        <v>1440</v>
      </c>
      <c r="J1709" s="418"/>
      <c r="K1709" s="248"/>
      <c r="M1709" s="366"/>
      <c r="AF1709">
        <v>10</v>
      </c>
    </row>
    <row r="1710" spans="1:32" x14ac:dyDescent="0.25">
      <c r="A1710" s="308">
        <v>45415</v>
      </c>
      <c r="B1710" s="416">
        <v>1261320</v>
      </c>
      <c r="C1710" s="413" t="str">
        <f>IFERROR(INDEX(Table14[],MATCH($B1710,Table14[SAPNo],0),3),"")</f>
        <v>1313 CT155 U-60</v>
      </c>
      <c r="D1710" s="306"/>
      <c r="E1710" s="421">
        <v>6</v>
      </c>
      <c r="F1710" s="421"/>
      <c r="G1710" s="417" t="s">
        <v>1706</v>
      </c>
      <c r="H1710" s="598">
        <v>14144620</v>
      </c>
      <c r="I1710" s="322" t="s">
        <v>1440</v>
      </c>
      <c r="J1710" s="418"/>
      <c r="K1710" s="248"/>
      <c r="M1710" s="366"/>
      <c r="AF1710">
        <v>6</v>
      </c>
    </row>
    <row r="1711" spans="1:32" x14ac:dyDescent="0.25">
      <c r="A1711" s="308">
        <v>45415</v>
      </c>
      <c r="B1711" s="416">
        <v>1228501</v>
      </c>
      <c r="C1711" s="413" t="str">
        <f>IFERROR(INDEX(Table14[],MATCH($B1711,Table14[SAPNo],0),3),"")</f>
        <v>1618 CT182 U-60 stator</v>
      </c>
      <c r="D1711" s="306"/>
      <c r="E1711" s="421">
        <v>10</v>
      </c>
      <c r="F1711" s="421"/>
      <c r="G1711" s="417" t="s">
        <v>1706</v>
      </c>
      <c r="H1711" s="598">
        <v>14144620</v>
      </c>
      <c r="I1711" s="322" t="s">
        <v>1440</v>
      </c>
      <c r="J1711" s="418"/>
      <c r="K1711" s="248"/>
      <c r="M1711" s="366"/>
      <c r="AF1711">
        <v>10</v>
      </c>
    </row>
    <row r="1712" spans="1:32" x14ac:dyDescent="0.25">
      <c r="A1712" s="308">
        <v>45415</v>
      </c>
      <c r="B1712" s="416">
        <v>1220554</v>
      </c>
      <c r="C1712" s="413" t="str">
        <f>IFERROR(INDEX(Table14[],MATCH($B1712,Table14[SAPNo],0),3),"")</f>
        <v xml:space="preserve">1618 CT182 U-60 Carbide </v>
      </c>
      <c r="D1712" s="306"/>
      <c r="E1712" s="421">
        <v>10</v>
      </c>
      <c r="F1712" s="421"/>
      <c r="G1712" s="417" t="s">
        <v>1706</v>
      </c>
      <c r="H1712" s="598">
        <v>14144620</v>
      </c>
      <c r="I1712" s="322" t="s">
        <v>1440</v>
      </c>
      <c r="J1712" s="418"/>
      <c r="K1712" s="248"/>
      <c r="M1712" s="366"/>
      <c r="AF1712">
        <v>10</v>
      </c>
    </row>
    <row r="1713" spans="1:32" x14ac:dyDescent="0.25">
      <c r="A1713" s="308">
        <v>45415</v>
      </c>
      <c r="B1713" s="416">
        <v>1228501</v>
      </c>
      <c r="C1713" s="413" t="str">
        <f>IFERROR(INDEX(Table14[],MATCH($B1713,Table14[SAPNo],0),3),"")</f>
        <v>1618 CT182 U-60 stator</v>
      </c>
      <c r="D1713" s="306"/>
      <c r="E1713" s="421">
        <v>10</v>
      </c>
      <c r="F1713" s="421"/>
      <c r="G1713" s="417" t="s">
        <v>1707</v>
      </c>
      <c r="H1713" s="598">
        <v>14144621</v>
      </c>
      <c r="I1713" s="322" t="s">
        <v>1440</v>
      </c>
      <c r="J1713" s="418"/>
      <c r="K1713" s="248"/>
      <c r="M1713" s="366"/>
      <c r="AF1713">
        <v>10</v>
      </c>
    </row>
    <row r="1714" spans="1:32" x14ac:dyDescent="0.25">
      <c r="A1714" s="308">
        <v>45415</v>
      </c>
      <c r="B1714" s="416">
        <v>1228502</v>
      </c>
      <c r="C1714" s="413" t="str">
        <f>IFERROR(INDEX(Table14[],MATCH($B1714,Table14[SAPNo],0),3),"")</f>
        <v>1618 CT182 U-60 Rotor</v>
      </c>
      <c r="D1714" s="306"/>
      <c r="E1714" s="421">
        <v>10</v>
      </c>
      <c r="F1714" s="421"/>
      <c r="G1714" s="417" t="s">
        <v>1707</v>
      </c>
      <c r="H1714" s="598">
        <v>14144621</v>
      </c>
      <c r="I1714" s="322" t="s">
        <v>1440</v>
      </c>
      <c r="J1714" s="418"/>
      <c r="K1714" s="248"/>
      <c r="M1714" s="366"/>
      <c r="AF1714">
        <v>10</v>
      </c>
    </row>
    <row r="1715" spans="1:32" x14ac:dyDescent="0.25">
      <c r="A1715" s="308">
        <v>45415</v>
      </c>
      <c r="B1715" s="416">
        <v>1228503</v>
      </c>
      <c r="C1715" s="413" t="str">
        <f>IFERROR(INDEX(Table14[],MATCH($B1715,Table14[SAPNo],0),3),"")</f>
        <v>1618 CT182 U-60 Ring</v>
      </c>
      <c r="D1715" s="306"/>
      <c r="E1715" s="421">
        <v>10</v>
      </c>
      <c r="F1715" s="421"/>
      <c r="G1715" s="417" t="s">
        <v>1707</v>
      </c>
      <c r="H1715" s="598">
        <v>14144621</v>
      </c>
      <c r="I1715" s="322" t="s">
        <v>1440</v>
      </c>
      <c r="J1715" s="418"/>
      <c r="K1715" s="248"/>
      <c r="M1715" s="366"/>
      <c r="AF1715">
        <v>10</v>
      </c>
    </row>
    <row r="1716" spans="1:32" x14ac:dyDescent="0.25">
      <c r="A1716" s="308">
        <v>45415</v>
      </c>
      <c r="B1716" s="416">
        <v>1261319</v>
      </c>
      <c r="C1716" s="413" t="str">
        <f>IFERROR(INDEX(Table14[],MATCH($B1716,Table14[SAPNo],0),3),"")</f>
        <v>1308 CT155 U-60</v>
      </c>
      <c r="D1716" s="306"/>
      <c r="E1716" s="421">
        <v>24</v>
      </c>
      <c r="F1716" s="421"/>
      <c r="G1716" s="417" t="s">
        <v>1707</v>
      </c>
      <c r="H1716" s="598">
        <v>14144621</v>
      </c>
      <c r="I1716" s="322" t="s">
        <v>1440</v>
      </c>
      <c r="J1716" s="418"/>
      <c r="K1716" s="248"/>
      <c r="M1716" s="366"/>
      <c r="AF1716">
        <v>24</v>
      </c>
    </row>
    <row r="1717" spans="1:32" x14ac:dyDescent="0.25">
      <c r="A1717" s="308">
        <v>45415</v>
      </c>
      <c r="B1717" s="416">
        <v>1261320</v>
      </c>
      <c r="C1717" s="413" t="str">
        <f>IFERROR(INDEX(Table14[],MATCH($B1717,Table14[SAPNo],0),3),"")</f>
        <v>1313 CT155 U-60</v>
      </c>
      <c r="D1717" s="306"/>
      <c r="E1717" s="421">
        <v>6</v>
      </c>
      <c r="F1717" s="421"/>
      <c r="G1717" s="417" t="s">
        <v>1707</v>
      </c>
      <c r="H1717" s="598">
        <v>14144621</v>
      </c>
      <c r="I1717" s="322" t="s">
        <v>1440</v>
      </c>
      <c r="J1717" s="418"/>
      <c r="K1717" s="248"/>
      <c r="M1717" s="366"/>
      <c r="AF1717">
        <v>6</v>
      </c>
    </row>
    <row r="1718" spans="1:32" x14ac:dyDescent="0.25">
      <c r="A1718" s="308">
        <v>45415</v>
      </c>
      <c r="B1718" s="416">
        <v>1261321</v>
      </c>
      <c r="C1718" s="413" t="str">
        <f>IFERROR(INDEX(Table14[],MATCH($B1718,Table14[SAPNo],0),3),"")</f>
        <v>1613 CT155 U-60</v>
      </c>
      <c r="D1718" s="306"/>
      <c r="E1718" s="421">
        <v>4</v>
      </c>
      <c r="F1718" s="421"/>
      <c r="G1718" s="417" t="s">
        <v>1707</v>
      </c>
      <c r="H1718" s="598">
        <v>14144621</v>
      </c>
      <c r="I1718" s="322" t="s">
        <v>1440</v>
      </c>
      <c r="J1718" s="418"/>
      <c r="K1718" s="248"/>
      <c r="M1718" s="366"/>
      <c r="AF1718">
        <v>4</v>
      </c>
    </row>
    <row r="1719" spans="1:32" x14ac:dyDescent="0.25">
      <c r="A1719" s="308">
        <v>45415</v>
      </c>
      <c r="B1719" s="416">
        <v>871781</v>
      </c>
      <c r="C1719" s="413" t="str">
        <f>IFERROR(INDEX(Table14[],MATCH($B1719,Table14[SAPNo],0),3),"")</f>
        <v>Round 1313 CT200  0.018" (B)</v>
      </c>
      <c r="D1719" s="306"/>
      <c r="E1719" s="421">
        <v>6</v>
      </c>
      <c r="F1719" s="421"/>
      <c r="G1719" s="417" t="s">
        <v>1707</v>
      </c>
      <c r="H1719" s="598">
        <v>14144621</v>
      </c>
      <c r="I1719" s="322" t="s">
        <v>1440</v>
      </c>
      <c r="J1719" s="418"/>
      <c r="K1719" s="248"/>
      <c r="M1719" s="366"/>
      <c r="AF1719">
        <v>6</v>
      </c>
    </row>
    <row r="1720" spans="1:32" x14ac:dyDescent="0.25">
      <c r="A1720" s="308">
        <v>45415</v>
      </c>
      <c r="B1720" s="416">
        <v>1220554</v>
      </c>
      <c r="C1720" s="413" t="str">
        <f>IFERROR(INDEX(Table14[],MATCH($B1720,Table14[SAPNo],0),3),"")</f>
        <v xml:space="preserve">1618 CT182 U-60 Carbide </v>
      </c>
      <c r="D1720" s="306"/>
      <c r="E1720" s="421">
        <v>10</v>
      </c>
      <c r="F1720" s="421"/>
      <c r="G1720" s="417" t="s">
        <v>1707</v>
      </c>
      <c r="H1720" s="598">
        <v>14144621</v>
      </c>
      <c r="I1720" s="322" t="s">
        <v>1440</v>
      </c>
      <c r="J1720" s="418"/>
      <c r="K1720" s="248"/>
      <c r="M1720" s="366"/>
      <c r="AF1720">
        <v>10</v>
      </c>
    </row>
    <row r="1721" spans="1:32" x14ac:dyDescent="0.25">
      <c r="A1721" s="308">
        <v>45415</v>
      </c>
      <c r="B1721" s="416">
        <v>871781</v>
      </c>
      <c r="C1721" s="413" t="str">
        <f>IFERROR(INDEX(Table14[],MATCH($B1721,Table14[SAPNo],0),3),"")</f>
        <v>Round 1313 CT200  0.018" (B)</v>
      </c>
      <c r="D1721" s="306"/>
      <c r="E1721" s="421">
        <v>6</v>
      </c>
      <c r="F1721" s="421"/>
      <c r="G1721" s="417" t="s">
        <v>1708</v>
      </c>
      <c r="H1721" s="598">
        <v>14144622</v>
      </c>
      <c r="I1721" s="322" t="s">
        <v>1440</v>
      </c>
      <c r="J1721" s="418"/>
      <c r="K1721" s="248"/>
      <c r="M1721" s="366"/>
      <c r="AF1721">
        <v>6</v>
      </c>
    </row>
    <row r="1722" spans="1:32" x14ac:dyDescent="0.25">
      <c r="A1722" s="308">
        <v>45415</v>
      </c>
      <c r="B1722" s="416">
        <v>1228503</v>
      </c>
      <c r="C1722" s="413" t="str">
        <f>IFERROR(INDEX(Table14[],MATCH($B1722,Table14[SAPNo],0),3),"")</f>
        <v>1618 CT182 U-60 Ring</v>
      </c>
      <c r="D1722" s="306"/>
      <c r="E1722" s="421">
        <v>10</v>
      </c>
      <c r="F1722" s="421"/>
      <c r="G1722" s="417" t="s">
        <v>1708</v>
      </c>
      <c r="H1722" s="598">
        <v>14144622</v>
      </c>
      <c r="I1722" s="322" t="s">
        <v>1440</v>
      </c>
      <c r="J1722" s="418"/>
      <c r="K1722" s="248"/>
      <c r="M1722" s="366"/>
      <c r="AF1722">
        <v>10</v>
      </c>
    </row>
    <row r="1723" spans="1:32" x14ac:dyDescent="0.25">
      <c r="A1723" s="308">
        <v>45415</v>
      </c>
      <c r="B1723" s="416">
        <v>1261320</v>
      </c>
      <c r="C1723" s="413" t="str">
        <f>IFERROR(INDEX(Table14[],MATCH($B1723,Table14[SAPNo],0),3),"")</f>
        <v>1313 CT155 U-60</v>
      </c>
      <c r="D1723" s="306"/>
      <c r="E1723" s="421">
        <v>6</v>
      </c>
      <c r="F1723" s="421"/>
      <c r="G1723" s="417" t="s">
        <v>1708</v>
      </c>
      <c r="H1723" s="598">
        <v>14144622</v>
      </c>
      <c r="I1723" s="322" t="s">
        <v>1440</v>
      </c>
      <c r="J1723" s="418"/>
      <c r="K1723" s="248"/>
      <c r="M1723" s="366"/>
      <c r="AF1723">
        <v>6</v>
      </c>
    </row>
    <row r="1724" spans="1:32" x14ac:dyDescent="0.25">
      <c r="A1724" s="308">
        <v>45415</v>
      </c>
      <c r="B1724" s="416">
        <v>1228502</v>
      </c>
      <c r="C1724" s="413" t="str">
        <f>IFERROR(INDEX(Table14[],MATCH($B1724,Table14[SAPNo],0),3),"")</f>
        <v>1618 CT182 U-60 Rotor</v>
      </c>
      <c r="D1724" s="306"/>
      <c r="E1724" s="421">
        <v>10</v>
      </c>
      <c r="F1724" s="421"/>
      <c r="G1724" s="417" t="s">
        <v>1708</v>
      </c>
      <c r="H1724" s="598">
        <v>14144622</v>
      </c>
      <c r="I1724" s="322" t="s">
        <v>1440</v>
      </c>
      <c r="J1724" s="418"/>
      <c r="K1724" s="248"/>
      <c r="M1724" s="366"/>
      <c r="AF1724">
        <v>10</v>
      </c>
    </row>
    <row r="1725" spans="1:32" x14ac:dyDescent="0.25">
      <c r="A1725" s="308">
        <v>45415</v>
      </c>
      <c r="B1725" s="416">
        <v>1261321</v>
      </c>
      <c r="C1725" s="413" t="str">
        <f>IFERROR(INDEX(Table14[],MATCH($B1725,Table14[SAPNo],0),3),"")</f>
        <v>1613 CT155 U-60</v>
      </c>
      <c r="D1725" s="306"/>
      <c r="E1725" s="421">
        <v>4</v>
      </c>
      <c r="F1725" s="421"/>
      <c r="G1725" s="417" t="s">
        <v>1708</v>
      </c>
      <c r="H1725" s="598">
        <v>14144622</v>
      </c>
      <c r="I1725" s="322" t="s">
        <v>1440</v>
      </c>
      <c r="J1725" s="418"/>
      <c r="K1725" s="248"/>
      <c r="M1725" s="366"/>
      <c r="AF1725">
        <v>4</v>
      </c>
    </row>
    <row r="1726" spans="1:32" x14ac:dyDescent="0.25">
      <c r="A1726" s="308">
        <v>45415</v>
      </c>
      <c r="B1726" s="416">
        <v>1228501</v>
      </c>
      <c r="C1726" s="413" t="str">
        <f>IFERROR(INDEX(Table14[],MATCH($B1726,Table14[SAPNo],0),3),"")</f>
        <v>1618 CT182 U-60 stator</v>
      </c>
      <c r="D1726" s="306"/>
      <c r="E1726" s="421">
        <v>10</v>
      </c>
      <c r="F1726" s="421"/>
      <c r="G1726" s="417" t="s">
        <v>1708</v>
      </c>
      <c r="H1726" s="598">
        <v>14144622</v>
      </c>
      <c r="I1726" s="322" t="s">
        <v>1440</v>
      </c>
      <c r="J1726" s="418"/>
      <c r="K1726" s="248"/>
      <c r="M1726" s="366"/>
      <c r="AF1726">
        <v>10</v>
      </c>
    </row>
    <row r="1727" spans="1:32" x14ac:dyDescent="0.25">
      <c r="A1727" s="308">
        <v>45415</v>
      </c>
      <c r="B1727" s="416">
        <v>1261319</v>
      </c>
      <c r="C1727" s="413" t="str">
        <f>IFERROR(INDEX(Table14[],MATCH($B1727,Table14[SAPNo],0),3),"")</f>
        <v>1308 CT155 U-60</v>
      </c>
      <c r="D1727" s="306"/>
      <c r="E1727" s="421">
        <v>24</v>
      </c>
      <c r="F1727" s="421"/>
      <c r="G1727" s="417" t="s">
        <v>1708</v>
      </c>
      <c r="H1727" s="598">
        <v>14144622</v>
      </c>
      <c r="I1727" s="322" t="s">
        <v>1440</v>
      </c>
      <c r="J1727" s="418"/>
      <c r="K1727" s="248"/>
      <c r="M1727" s="366"/>
      <c r="AF1727">
        <v>24</v>
      </c>
    </row>
    <row r="1728" spans="1:32" x14ac:dyDescent="0.25">
      <c r="A1728" s="320">
        <v>45415</v>
      </c>
      <c r="B1728" s="419">
        <v>1220554</v>
      </c>
      <c r="C1728" s="413" t="str">
        <f>IFERROR(INDEX(Table14[],MATCH($B1728,Table14[SAPNo],0),3),"")</f>
        <v xml:space="preserve">1618 CT182 U-60 Carbide </v>
      </c>
      <c r="D1728" s="306"/>
      <c r="E1728" s="421">
        <v>10</v>
      </c>
      <c r="F1728" s="421"/>
      <c r="G1728" s="420" t="s">
        <v>1708</v>
      </c>
      <c r="H1728" s="599">
        <v>14144622</v>
      </c>
      <c r="I1728" s="322" t="s">
        <v>1440</v>
      </c>
      <c r="J1728" s="421"/>
      <c r="K1728" s="422"/>
      <c r="M1728" s="366"/>
      <c r="AF1728">
        <v>10</v>
      </c>
    </row>
    <row r="1729" spans="1:32" x14ac:dyDescent="0.25">
      <c r="A1729" s="308">
        <v>45418</v>
      </c>
      <c r="B1729" s="416">
        <v>1209332</v>
      </c>
      <c r="C1729" s="413" t="str">
        <f>IFERROR(INDEX(Table14[],MATCH($B1729,Table14[SAPNo],0),3),"")</f>
        <v>1313 CT147G U</v>
      </c>
      <c r="D1729" s="306"/>
      <c r="E1729" s="421"/>
      <c r="F1729" s="421"/>
      <c r="G1729" s="417">
        <v>20241065</v>
      </c>
      <c r="H1729" s="598" t="s">
        <v>1709</v>
      </c>
      <c r="I1729" s="322" t="s">
        <v>1582</v>
      </c>
      <c r="J1729" s="418">
        <v>1</v>
      </c>
      <c r="K1729" s="248"/>
      <c r="M1729" s="422"/>
    </row>
    <row r="1730" spans="1:32" x14ac:dyDescent="0.25">
      <c r="A1730" s="308">
        <v>45418</v>
      </c>
      <c r="B1730" s="416">
        <v>1145493</v>
      </c>
      <c r="C1730" s="413" t="str">
        <f>IFERROR(INDEX(Table14[],MATCH($B1730,Table14[SAPNo],0),3),"")</f>
        <v>Round 1313 CT427  10C (S)</v>
      </c>
      <c r="D1730" s="306"/>
      <c r="E1730" s="421"/>
      <c r="F1730" s="421"/>
      <c r="G1730" s="417">
        <v>20241065</v>
      </c>
      <c r="H1730" s="598" t="s">
        <v>1709</v>
      </c>
      <c r="I1730" s="322" t="s">
        <v>1582</v>
      </c>
      <c r="J1730" s="418">
        <v>4</v>
      </c>
      <c r="K1730" s="248"/>
      <c r="M1730" s="366"/>
    </row>
    <row r="1731" spans="1:32" x14ac:dyDescent="0.25">
      <c r="A1731" s="308">
        <v>45418</v>
      </c>
      <c r="B1731" s="416">
        <v>1209332</v>
      </c>
      <c r="C1731" s="413" t="str">
        <f>IFERROR(INDEX(Table14[],MATCH($B1731,Table14[SAPNo],0),3),"")</f>
        <v>1313 CT147G U</v>
      </c>
      <c r="D1731" s="306"/>
      <c r="E1731" s="421"/>
      <c r="F1731" s="421"/>
      <c r="G1731" s="417">
        <v>20241040</v>
      </c>
      <c r="H1731" s="598" t="s">
        <v>1710</v>
      </c>
      <c r="I1731" s="322" t="s">
        <v>1711</v>
      </c>
      <c r="J1731" s="418">
        <v>7</v>
      </c>
      <c r="K1731" s="248"/>
      <c r="M1731" s="366"/>
    </row>
    <row r="1732" spans="1:32" x14ac:dyDescent="0.25">
      <c r="A1732" s="308">
        <v>45418</v>
      </c>
      <c r="B1732" s="416">
        <v>1145493</v>
      </c>
      <c r="C1732" s="413" t="str">
        <f>IFERROR(INDEX(Table14[],MATCH($B1732,Table14[SAPNo],0),3),"")</f>
        <v>Round 1313 CT427  10C (S)</v>
      </c>
      <c r="D1732" s="306"/>
      <c r="E1732" s="421"/>
      <c r="F1732" s="421"/>
      <c r="G1732" s="417">
        <v>20241040</v>
      </c>
      <c r="H1732" s="598" t="s">
        <v>1710</v>
      </c>
      <c r="I1732" s="322" t="s">
        <v>1711</v>
      </c>
      <c r="J1732" s="418">
        <v>2</v>
      </c>
      <c r="K1732" s="248"/>
      <c r="M1732" s="366"/>
    </row>
    <row r="1733" spans="1:32" x14ac:dyDescent="0.25">
      <c r="A1733" s="308">
        <v>45418</v>
      </c>
      <c r="B1733" s="416">
        <v>418525</v>
      </c>
      <c r="C1733" s="413" t="str">
        <f>IFERROR(INDEX(Table14[],MATCH($B1733,Table14[SAPNo],0),3),"")</f>
        <v>Drop In 1308 CT31   (B)</v>
      </c>
      <c r="D1733" s="306"/>
      <c r="E1733" s="421">
        <v>3</v>
      </c>
      <c r="F1733" s="421"/>
      <c r="G1733" s="417">
        <v>20241040</v>
      </c>
      <c r="H1733" s="598" t="s">
        <v>1710</v>
      </c>
      <c r="I1733" s="322" t="s">
        <v>1711</v>
      </c>
      <c r="J1733" s="418"/>
      <c r="K1733" s="248"/>
      <c r="M1733" s="366"/>
      <c r="AF1733">
        <v>3</v>
      </c>
    </row>
    <row r="1734" spans="1:32" x14ac:dyDescent="0.25">
      <c r="A1734" s="308">
        <v>45418</v>
      </c>
      <c r="B1734" s="416">
        <v>1220688</v>
      </c>
      <c r="C1734" s="413" t="str">
        <f>IFERROR(INDEX(Table14[],MATCH($B1734,Table14[SAPNo],0),3),"")</f>
        <v>1005 CT155 U-60</v>
      </c>
      <c r="D1734" s="306"/>
      <c r="E1734" s="421">
        <v>38</v>
      </c>
      <c r="F1734" s="421"/>
      <c r="G1734" s="417" t="s">
        <v>1712</v>
      </c>
      <c r="H1734" s="598">
        <v>14127550</v>
      </c>
      <c r="I1734" s="322" t="s">
        <v>1704</v>
      </c>
      <c r="J1734" s="418"/>
      <c r="K1734" s="248"/>
      <c r="M1734" s="366"/>
      <c r="AF1734">
        <v>38</v>
      </c>
    </row>
    <row r="1735" spans="1:32" x14ac:dyDescent="0.25">
      <c r="A1735" s="308">
        <v>45419</v>
      </c>
      <c r="B1735" s="416">
        <v>1130223</v>
      </c>
      <c r="C1735" s="413" t="str">
        <f>IFERROR(INDEX(Table14[],MATCH($B1735,Table14[SAPNo],0),3),"")</f>
        <v xml:space="preserve"> 1913 CT182  10C (S)</v>
      </c>
      <c r="D1735" s="306"/>
      <c r="E1735" s="421"/>
      <c r="F1735" s="421"/>
      <c r="G1735" s="417" t="s">
        <v>1713</v>
      </c>
      <c r="H1735" s="598" t="s">
        <v>1714</v>
      </c>
      <c r="I1735" s="322" t="s">
        <v>1715</v>
      </c>
      <c r="J1735" s="418"/>
      <c r="K1735" s="248" t="s">
        <v>1716</v>
      </c>
      <c r="M1735" s="366"/>
    </row>
    <row r="1736" spans="1:32" x14ac:dyDescent="0.25">
      <c r="A1736" s="308">
        <v>45419</v>
      </c>
      <c r="B1736" s="416">
        <v>1271790</v>
      </c>
      <c r="C1736" s="413" t="str">
        <f>IFERROR(INDEX(Table14[],MATCH($B1736,Table14[SAPNo],0),3),"")</f>
        <v xml:space="preserve">1613 CT170 18-60 </v>
      </c>
      <c r="D1736" s="306"/>
      <c r="E1736" s="421">
        <v>30</v>
      </c>
      <c r="F1736" s="421"/>
      <c r="G1736" s="417" t="s">
        <v>1717</v>
      </c>
      <c r="H1736" s="598">
        <v>14162003</v>
      </c>
      <c r="I1736" s="322" t="s">
        <v>1718</v>
      </c>
      <c r="J1736" s="418"/>
      <c r="K1736" s="248"/>
      <c r="M1736" s="366"/>
      <c r="AF1736">
        <v>30</v>
      </c>
    </row>
    <row r="1737" spans="1:32" x14ac:dyDescent="0.25">
      <c r="A1737" s="308">
        <v>45419</v>
      </c>
      <c r="B1737" s="416">
        <v>1100751</v>
      </c>
      <c r="C1737" s="413" t="str">
        <f>IFERROR(INDEX(Table14[],MATCH($B1737,Table14[SAPNo],0),3),"")</f>
        <v>1313 CT421 0.018"</v>
      </c>
      <c r="D1737" s="306"/>
      <c r="E1737" s="421">
        <v>22</v>
      </c>
      <c r="F1737" s="421"/>
      <c r="G1737" s="417" t="s">
        <v>1717</v>
      </c>
      <c r="H1737" s="598">
        <v>14162003</v>
      </c>
      <c r="I1737" s="322" t="s">
        <v>1718</v>
      </c>
      <c r="J1737" s="418"/>
      <c r="K1737" s="248"/>
      <c r="M1737" s="366"/>
      <c r="AF1737">
        <v>22</v>
      </c>
    </row>
    <row r="1738" spans="1:32" x14ac:dyDescent="0.25">
      <c r="A1738" s="308">
        <v>45419</v>
      </c>
      <c r="B1738" s="416">
        <v>871781</v>
      </c>
      <c r="C1738" s="413" t="str">
        <f>IFERROR(INDEX(Table14[],MATCH($B1738,Table14[SAPNo],0),3),"")</f>
        <v>Round 1313 CT200  0.018" (B)</v>
      </c>
      <c r="D1738" s="306"/>
      <c r="E1738" s="421">
        <v>5</v>
      </c>
      <c r="F1738" s="421"/>
      <c r="G1738" s="417" t="s">
        <v>1717</v>
      </c>
      <c r="H1738" s="598">
        <v>14162003</v>
      </c>
      <c r="I1738" s="322" t="s">
        <v>1718</v>
      </c>
      <c r="J1738" s="418"/>
      <c r="K1738" s="248"/>
      <c r="M1738" s="366"/>
      <c r="AF1738">
        <v>5</v>
      </c>
    </row>
    <row r="1739" spans="1:32" x14ac:dyDescent="0.25">
      <c r="A1739" s="308">
        <v>45419</v>
      </c>
      <c r="B1739" s="416">
        <v>1146737</v>
      </c>
      <c r="C1739" s="413" t="str">
        <f>IFERROR(INDEX(Table14[],MATCH($B1739,Table14[SAPNo],0),3),"")</f>
        <v>1613 CT418 18-60</v>
      </c>
      <c r="D1739" s="306"/>
      <c r="E1739" s="421">
        <v>10</v>
      </c>
      <c r="F1739" s="421"/>
      <c r="G1739" s="417" t="s">
        <v>1717</v>
      </c>
      <c r="H1739" s="598">
        <v>14162003</v>
      </c>
      <c r="I1739" s="322" t="s">
        <v>1718</v>
      </c>
      <c r="J1739" s="418"/>
      <c r="K1739" s="248"/>
      <c r="M1739" s="366"/>
      <c r="AF1739">
        <v>10</v>
      </c>
    </row>
    <row r="1740" spans="1:32" x14ac:dyDescent="0.25">
      <c r="A1740" s="308">
        <v>45419</v>
      </c>
      <c r="B1740" s="416">
        <v>1282370</v>
      </c>
      <c r="C1740" s="413" t="str">
        <f>IFERROR(INDEX(Table14[],MATCH($B1740,Table14[SAPNo],0),3),"")</f>
        <v>1613 CT436Mv3 U-60</v>
      </c>
      <c r="D1740" s="306"/>
      <c r="E1740" s="421">
        <v>10</v>
      </c>
      <c r="F1740" s="421"/>
      <c r="G1740" s="417" t="s">
        <v>1717</v>
      </c>
      <c r="H1740" s="598">
        <v>14162003</v>
      </c>
      <c r="I1740" s="322" t="s">
        <v>1718</v>
      </c>
      <c r="J1740" s="418"/>
      <c r="K1740" s="248"/>
      <c r="M1740" s="366"/>
      <c r="AF1740">
        <v>10</v>
      </c>
    </row>
    <row r="1741" spans="1:32" x14ac:dyDescent="0.25">
      <c r="A1741" s="308">
        <v>45419</v>
      </c>
      <c r="B1741" s="416">
        <v>1100751</v>
      </c>
      <c r="C1741" s="413" t="str">
        <f>IFERROR(INDEX(Table14[],MATCH($B1741,Table14[SAPNo],0),3),"")</f>
        <v>1313 CT421 0.018"</v>
      </c>
      <c r="D1741" s="306"/>
      <c r="E1741" s="421">
        <v>22</v>
      </c>
      <c r="F1741" s="421"/>
      <c r="G1741" s="417" t="s">
        <v>1719</v>
      </c>
      <c r="H1741" s="598">
        <v>14162000</v>
      </c>
      <c r="I1741" s="322" t="s">
        <v>1718</v>
      </c>
      <c r="J1741" s="418"/>
      <c r="K1741" s="248"/>
      <c r="M1741" s="366"/>
      <c r="AF1741">
        <v>22</v>
      </c>
    </row>
    <row r="1742" spans="1:32" x14ac:dyDescent="0.25">
      <c r="A1742" s="308">
        <v>45419</v>
      </c>
      <c r="B1742" s="416">
        <v>1146737</v>
      </c>
      <c r="C1742" s="413" t="str">
        <f>IFERROR(INDEX(Table14[],MATCH($B1742,Table14[SAPNo],0),3),"")</f>
        <v>1613 CT418 18-60</v>
      </c>
      <c r="D1742" s="306"/>
      <c r="E1742" s="421">
        <v>10</v>
      </c>
      <c r="F1742" s="421"/>
      <c r="G1742" s="417" t="s">
        <v>1719</v>
      </c>
      <c r="H1742" s="598">
        <v>14162000</v>
      </c>
      <c r="I1742" s="322" t="s">
        <v>1718</v>
      </c>
      <c r="J1742" s="418"/>
      <c r="K1742" s="248"/>
      <c r="M1742" s="366"/>
      <c r="AF1742">
        <v>10</v>
      </c>
    </row>
    <row r="1743" spans="1:32" x14ac:dyDescent="0.25">
      <c r="A1743" s="308">
        <v>45419</v>
      </c>
      <c r="B1743" s="416">
        <v>1271790</v>
      </c>
      <c r="C1743" s="413" t="str">
        <f>IFERROR(INDEX(Table14[],MATCH($B1743,Table14[SAPNo],0),3),"")</f>
        <v xml:space="preserve">1613 CT170 18-60 </v>
      </c>
      <c r="D1743" s="306"/>
      <c r="E1743" s="421">
        <v>31</v>
      </c>
      <c r="F1743" s="421"/>
      <c r="G1743" s="417" t="s">
        <v>1719</v>
      </c>
      <c r="H1743" s="598">
        <v>14162000</v>
      </c>
      <c r="I1743" s="322" t="s">
        <v>1718</v>
      </c>
      <c r="J1743" s="418"/>
      <c r="K1743" s="248"/>
      <c r="M1743" s="366"/>
      <c r="AF1743">
        <v>31</v>
      </c>
    </row>
    <row r="1744" spans="1:32" x14ac:dyDescent="0.25">
      <c r="A1744" s="308">
        <v>45419</v>
      </c>
      <c r="B1744" s="416">
        <v>1282370</v>
      </c>
      <c r="C1744" s="413" t="str">
        <f>IFERROR(INDEX(Table14[],MATCH($B1744,Table14[SAPNo],0),3),"")</f>
        <v>1613 CT436Mv3 U-60</v>
      </c>
      <c r="D1744" s="306"/>
      <c r="E1744" s="421">
        <v>10</v>
      </c>
      <c r="F1744" s="421"/>
      <c r="G1744" s="417" t="s">
        <v>1719</v>
      </c>
      <c r="H1744" s="598">
        <v>14162000</v>
      </c>
      <c r="I1744" s="322" t="s">
        <v>1718</v>
      </c>
      <c r="J1744" s="418"/>
      <c r="K1744" s="248"/>
      <c r="M1744" s="366"/>
      <c r="AF1744">
        <v>10</v>
      </c>
    </row>
    <row r="1745" spans="1:32" x14ac:dyDescent="0.25">
      <c r="A1745" s="308">
        <v>45419</v>
      </c>
      <c r="B1745" s="416">
        <v>871781</v>
      </c>
      <c r="C1745" s="413" t="str">
        <f>IFERROR(INDEX(Table14[],MATCH($B1745,Table14[SAPNo],0),3),"")</f>
        <v>Round 1313 CT200  0.018" (B)</v>
      </c>
      <c r="D1745" s="306"/>
      <c r="E1745" s="421">
        <v>5</v>
      </c>
      <c r="F1745" s="421"/>
      <c r="G1745" s="417" t="s">
        <v>1719</v>
      </c>
      <c r="H1745" s="598">
        <v>14162000</v>
      </c>
      <c r="I1745" s="322" t="s">
        <v>1718</v>
      </c>
      <c r="J1745" s="418"/>
      <c r="K1745" s="248"/>
      <c r="M1745" s="366"/>
      <c r="AF1745">
        <v>5</v>
      </c>
    </row>
    <row r="1746" spans="1:32" x14ac:dyDescent="0.25">
      <c r="A1746" s="308">
        <v>45419</v>
      </c>
      <c r="B1746" s="416">
        <v>647435</v>
      </c>
      <c r="C1746" s="413" t="str">
        <f>IFERROR(INDEX(Table14[],MATCH($B1746,Table14[SAPNo],0),3),"")</f>
        <v>Round 1608 CT200  0.018" (B)</v>
      </c>
      <c r="D1746" s="306"/>
      <c r="E1746" s="421">
        <v>23</v>
      </c>
      <c r="F1746" s="421"/>
      <c r="G1746" s="417" t="s">
        <v>1720</v>
      </c>
      <c r="H1746" s="598">
        <v>14178487</v>
      </c>
      <c r="I1746" s="322" t="s">
        <v>1721</v>
      </c>
      <c r="J1746" s="418"/>
      <c r="K1746" s="248"/>
      <c r="M1746" s="366"/>
      <c r="AF1746">
        <v>23</v>
      </c>
    </row>
    <row r="1747" spans="1:32" x14ac:dyDescent="0.25">
      <c r="A1747" s="308">
        <v>45419</v>
      </c>
      <c r="B1747" s="416">
        <v>1100755</v>
      </c>
      <c r="C1747" s="413" t="str">
        <f>IFERROR(INDEX(Table14[],MATCH($B1747,Table14[SAPNo],0),3),"")</f>
        <v>Round 1613 CT421  0.018" (S)</v>
      </c>
      <c r="D1747" s="306"/>
      <c r="E1747" s="421">
        <v>33</v>
      </c>
      <c r="F1747" s="421"/>
      <c r="G1747" s="417" t="s">
        <v>1720</v>
      </c>
      <c r="H1747" s="598">
        <v>14178487</v>
      </c>
      <c r="I1747" s="322" t="s">
        <v>1721</v>
      </c>
      <c r="J1747" s="418"/>
      <c r="K1747" s="248"/>
      <c r="M1747" s="366"/>
      <c r="AF1747">
        <v>33</v>
      </c>
    </row>
    <row r="1748" spans="1:32" x14ac:dyDescent="0.25">
      <c r="A1748" s="308">
        <v>45419</v>
      </c>
      <c r="B1748" s="416">
        <v>871781</v>
      </c>
      <c r="C1748" s="413" t="str">
        <f>IFERROR(INDEX(Table14[],MATCH($B1748,Table14[SAPNo],0),3),"")</f>
        <v>Round 1313 CT200  0.018" (B)</v>
      </c>
      <c r="D1748" s="306"/>
      <c r="E1748" s="421">
        <v>6</v>
      </c>
      <c r="F1748" s="421"/>
      <c r="G1748" s="417" t="s">
        <v>1720</v>
      </c>
      <c r="H1748" s="598">
        <v>14178487</v>
      </c>
      <c r="I1748" s="322" t="s">
        <v>1721</v>
      </c>
      <c r="J1748" s="418"/>
      <c r="K1748" s="248"/>
      <c r="M1748" s="366"/>
      <c r="AF1748">
        <v>6</v>
      </c>
    </row>
    <row r="1749" spans="1:32" x14ac:dyDescent="0.25">
      <c r="A1749" s="308">
        <v>45419</v>
      </c>
      <c r="B1749" s="416">
        <v>871781</v>
      </c>
      <c r="C1749" s="413" t="str">
        <f>IFERROR(INDEX(Table14[],MATCH($B1749,Table14[SAPNo],0),3),"")</f>
        <v>Round 1313 CT200  0.018" (B)</v>
      </c>
      <c r="D1749" s="306"/>
      <c r="E1749" s="421">
        <v>6</v>
      </c>
      <c r="F1749" s="421"/>
      <c r="G1749" s="417" t="s">
        <v>1722</v>
      </c>
      <c r="H1749" s="598">
        <v>14178489</v>
      </c>
      <c r="I1749" s="322" t="s">
        <v>1721</v>
      </c>
      <c r="J1749" s="418"/>
      <c r="K1749" s="248"/>
      <c r="M1749" s="366"/>
      <c r="AF1749">
        <v>6</v>
      </c>
    </row>
    <row r="1750" spans="1:32" x14ac:dyDescent="0.25">
      <c r="A1750" s="308">
        <v>45419</v>
      </c>
      <c r="B1750" s="416">
        <v>647435</v>
      </c>
      <c r="C1750" s="413" t="str">
        <f>IFERROR(INDEX(Table14[],MATCH($B1750,Table14[SAPNo],0),3),"")</f>
        <v>Round 1608 CT200  0.018" (B)</v>
      </c>
      <c r="D1750" s="306"/>
      <c r="E1750" s="421">
        <v>23</v>
      </c>
      <c r="F1750" s="421"/>
      <c r="G1750" s="417" t="s">
        <v>1722</v>
      </c>
      <c r="H1750" s="598">
        <v>14178489</v>
      </c>
      <c r="I1750" s="322" t="s">
        <v>1721</v>
      </c>
      <c r="J1750" s="418"/>
      <c r="K1750" s="248"/>
      <c r="M1750" s="366"/>
      <c r="AF1750">
        <v>23</v>
      </c>
    </row>
    <row r="1751" spans="1:32" x14ac:dyDescent="0.25">
      <c r="A1751" s="308">
        <v>45419</v>
      </c>
      <c r="B1751" s="416">
        <v>1100755</v>
      </c>
      <c r="C1751" s="413" t="str">
        <f>IFERROR(INDEX(Table14[],MATCH($B1751,Table14[SAPNo],0),3),"")</f>
        <v>Round 1613 CT421  0.018" (S)</v>
      </c>
      <c r="D1751" s="306"/>
      <c r="E1751" s="421">
        <v>33</v>
      </c>
      <c r="F1751" s="421"/>
      <c r="G1751" s="417" t="s">
        <v>1722</v>
      </c>
      <c r="H1751" s="598">
        <v>14178489</v>
      </c>
      <c r="I1751" s="322" t="s">
        <v>1721</v>
      </c>
      <c r="J1751" s="418"/>
      <c r="K1751" s="248"/>
      <c r="M1751" s="366"/>
      <c r="AF1751">
        <v>33</v>
      </c>
    </row>
    <row r="1752" spans="1:32" x14ac:dyDescent="0.25">
      <c r="A1752" s="308">
        <v>45419</v>
      </c>
      <c r="B1752" s="416">
        <v>1271790</v>
      </c>
      <c r="C1752" s="413" t="str">
        <f>IFERROR(INDEX(Table14[],MATCH($B1752,Table14[SAPNo],0),3),"")</f>
        <v xml:space="preserve">1613 CT170 18-60 </v>
      </c>
      <c r="D1752" s="306"/>
      <c r="E1752" s="421">
        <v>17</v>
      </c>
      <c r="F1752" s="421"/>
      <c r="G1752" s="417" t="s">
        <v>1723</v>
      </c>
      <c r="H1752" s="598">
        <v>14167844</v>
      </c>
      <c r="I1752" s="322" t="s">
        <v>1516</v>
      </c>
      <c r="J1752" s="418"/>
      <c r="K1752" s="248"/>
      <c r="M1752" s="366"/>
      <c r="AF1752">
        <v>17</v>
      </c>
    </row>
    <row r="1753" spans="1:32" x14ac:dyDescent="0.25">
      <c r="A1753" s="308">
        <v>45419</v>
      </c>
      <c r="B1753" s="416">
        <v>1078377</v>
      </c>
      <c r="C1753" s="413" t="str">
        <f>IFERROR(INDEX(Table14[],MATCH($B1753,Table14[SAPNo],0),3),"")</f>
        <v>13MM CT221 R1</v>
      </c>
      <c r="D1753" s="306"/>
      <c r="E1753" s="421">
        <v>15</v>
      </c>
      <c r="F1753" s="421"/>
      <c r="G1753" s="417" t="s">
        <v>1723</v>
      </c>
      <c r="H1753" s="598">
        <v>14167844</v>
      </c>
      <c r="I1753" s="322" t="s">
        <v>1516</v>
      </c>
      <c r="J1753" s="418"/>
      <c r="K1753" s="248"/>
      <c r="M1753" s="366"/>
      <c r="AF1753">
        <v>15</v>
      </c>
    </row>
    <row r="1754" spans="1:32" x14ac:dyDescent="0.25">
      <c r="A1754" s="308">
        <v>45419</v>
      </c>
      <c r="B1754" s="416">
        <v>1208601</v>
      </c>
      <c r="C1754" s="413" t="str">
        <f>IFERROR(INDEX(Table14[],MATCH($B1754,Table14[SAPNo],0),3),"")</f>
        <v>1613 CT418 U-60</v>
      </c>
      <c r="D1754" s="306"/>
      <c r="E1754" s="421">
        <v>8</v>
      </c>
      <c r="F1754" s="421"/>
      <c r="G1754" s="417" t="s">
        <v>1723</v>
      </c>
      <c r="H1754" s="598">
        <v>14167844</v>
      </c>
      <c r="I1754" s="322" t="s">
        <v>1516</v>
      </c>
      <c r="J1754" s="418"/>
      <c r="K1754" s="248"/>
      <c r="M1754" s="366"/>
      <c r="AF1754">
        <v>8</v>
      </c>
    </row>
    <row r="1755" spans="1:32" x14ac:dyDescent="0.25">
      <c r="A1755" s="308">
        <v>45419</v>
      </c>
      <c r="B1755" s="416">
        <v>1146737</v>
      </c>
      <c r="C1755" s="413" t="str">
        <f>IFERROR(INDEX(Table14[],MATCH($B1755,Table14[SAPNo],0),3),"")</f>
        <v>1613 CT418 18-60</v>
      </c>
      <c r="D1755" s="306"/>
      <c r="E1755" s="421">
        <v>6</v>
      </c>
      <c r="F1755" s="421"/>
      <c r="G1755" s="417" t="s">
        <v>1723</v>
      </c>
      <c r="H1755" s="598">
        <v>14167844</v>
      </c>
      <c r="I1755" s="322" t="s">
        <v>1516</v>
      </c>
      <c r="J1755" s="418"/>
      <c r="K1755" s="248"/>
      <c r="M1755" s="366"/>
      <c r="AF1755">
        <v>6</v>
      </c>
    </row>
    <row r="1756" spans="1:32" x14ac:dyDescent="0.25">
      <c r="A1756" s="320">
        <v>45419</v>
      </c>
      <c r="B1756" s="419">
        <v>418525</v>
      </c>
      <c r="C1756" s="413" t="str">
        <f>IFERROR(INDEX(Table14[],MATCH($B1756,Table14[SAPNo],0),3),"")</f>
        <v>Drop In 1308 CT31   (B)</v>
      </c>
      <c r="D1756" s="306"/>
      <c r="E1756" s="421">
        <v>6</v>
      </c>
      <c r="F1756" s="421"/>
      <c r="G1756" s="420" t="s">
        <v>1723</v>
      </c>
      <c r="H1756" s="599">
        <v>14167844</v>
      </c>
      <c r="I1756" s="322" t="s">
        <v>1516</v>
      </c>
      <c r="J1756" s="421"/>
      <c r="K1756" s="422"/>
      <c r="M1756" s="473" t="s">
        <v>1724</v>
      </c>
      <c r="AF1756">
        <v>6</v>
      </c>
    </row>
    <row r="1757" spans="1:32" x14ac:dyDescent="0.25">
      <c r="A1757" s="308">
        <v>45421</v>
      </c>
      <c r="B1757" s="416">
        <v>418525</v>
      </c>
      <c r="C1757" s="413" t="str">
        <f>IFERROR(INDEX(Table14[],MATCH($B1757,Table14[SAPNo],0),3),"")</f>
        <v>Drop In 1308 CT31   (B)</v>
      </c>
      <c r="D1757" s="306"/>
      <c r="E1757" s="421">
        <v>6</v>
      </c>
      <c r="F1757" s="421"/>
      <c r="G1757" s="417" t="s">
        <v>1725</v>
      </c>
      <c r="H1757" s="598">
        <v>14178467</v>
      </c>
      <c r="I1757" s="322" t="s">
        <v>1516</v>
      </c>
      <c r="J1757" s="418"/>
      <c r="K1757" s="248"/>
      <c r="M1757" s="422"/>
      <c r="AF1757">
        <v>6</v>
      </c>
    </row>
    <row r="1758" spans="1:32" x14ac:dyDescent="0.25">
      <c r="A1758" s="308">
        <v>45421</v>
      </c>
      <c r="B1758" s="416">
        <v>1271790</v>
      </c>
      <c r="C1758" s="413" t="str">
        <f>IFERROR(INDEX(Table14[],MATCH($B1758,Table14[SAPNo],0),3),"")</f>
        <v xml:space="preserve">1613 CT170 18-60 </v>
      </c>
      <c r="D1758" s="306"/>
      <c r="E1758" s="421">
        <v>17</v>
      </c>
      <c r="F1758" s="421"/>
      <c r="G1758" s="417" t="s">
        <v>1725</v>
      </c>
      <c r="H1758" s="598">
        <v>14178467</v>
      </c>
      <c r="I1758" s="322" t="s">
        <v>1516</v>
      </c>
      <c r="J1758" s="418"/>
      <c r="K1758" s="248"/>
      <c r="M1758" s="366"/>
      <c r="AF1758">
        <v>17</v>
      </c>
    </row>
    <row r="1759" spans="1:32" x14ac:dyDescent="0.25">
      <c r="A1759" s="308">
        <v>45421</v>
      </c>
      <c r="B1759" s="416">
        <v>1208601</v>
      </c>
      <c r="C1759" s="413" t="str">
        <f>IFERROR(INDEX(Table14[],MATCH($B1759,Table14[SAPNo],0),3),"")</f>
        <v>1613 CT418 U-60</v>
      </c>
      <c r="D1759" s="306"/>
      <c r="E1759" s="421">
        <v>8</v>
      </c>
      <c r="F1759" s="421"/>
      <c r="G1759" s="417" t="s">
        <v>1725</v>
      </c>
      <c r="H1759" s="598">
        <v>14178467</v>
      </c>
      <c r="I1759" s="322" t="s">
        <v>1516</v>
      </c>
      <c r="J1759" s="418"/>
      <c r="K1759" s="248"/>
      <c r="M1759" s="366"/>
      <c r="AF1759">
        <v>8</v>
      </c>
    </row>
    <row r="1760" spans="1:32" x14ac:dyDescent="0.25">
      <c r="A1760" s="308">
        <v>45421</v>
      </c>
      <c r="B1760" s="416">
        <v>1146737</v>
      </c>
      <c r="C1760" s="413" t="str">
        <f>IFERROR(INDEX(Table14[],MATCH($B1760,Table14[SAPNo],0),3),"")</f>
        <v>1613 CT418 18-60</v>
      </c>
      <c r="D1760" s="306"/>
      <c r="E1760" s="421">
        <v>6</v>
      </c>
      <c r="F1760" s="421"/>
      <c r="G1760" s="417" t="s">
        <v>1725</v>
      </c>
      <c r="H1760" s="598">
        <v>14178467</v>
      </c>
      <c r="I1760" s="322" t="s">
        <v>1516</v>
      </c>
      <c r="J1760" s="418"/>
      <c r="K1760" s="248"/>
      <c r="M1760" s="366"/>
      <c r="AF1760">
        <v>6</v>
      </c>
    </row>
    <row r="1761" spans="1:32" x14ac:dyDescent="0.25">
      <c r="A1761" s="308">
        <v>45421</v>
      </c>
      <c r="B1761" s="416">
        <v>1078377</v>
      </c>
      <c r="C1761" s="413" t="str">
        <f>IFERROR(INDEX(Table14[],MATCH($B1761,Table14[SAPNo],0),3),"")</f>
        <v>13MM CT221 R1</v>
      </c>
      <c r="D1761" s="306"/>
      <c r="E1761" s="421">
        <v>15</v>
      </c>
      <c r="F1761" s="421"/>
      <c r="G1761" s="417" t="s">
        <v>1725</v>
      </c>
      <c r="H1761" s="598">
        <v>14178467</v>
      </c>
      <c r="I1761" s="322" t="s">
        <v>1516</v>
      </c>
      <c r="J1761" s="418"/>
      <c r="K1761" s="248"/>
      <c r="M1761" s="366"/>
      <c r="AF1761">
        <v>15</v>
      </c>
    </row>
    <row r="1762" spans="1:32" x14ac:dyDescent="0.25">
      <c r="A1762" s="308">
        <v>45421</v>
      </c>
      <c r="B1762" s="416">
        <v>717748</v>
      </c>
      <c r="C1762" s="413" t="str">
        <f>IFERROR(INDEX(Table14[],MATCH($B1762,Table14[SAPNo],0),3),"")</f>
        <v>Round 1010 CT200  0.018" (B)</v>
      </c>
      <c r="D1762" s="306"/>
      <c r="E1762" s="421"/>
      <c r="F1762" s="421"/>
      <c r="G1762" s="417" t="s">
        <v>1726</v>
      </c>
      <c r="H1762" s="598" t="s">
        <v>1727</v>
      </c>
      <c r="I1762" s="322" t="s">
        <v>1069</v>
      </c>
      <c r="J1762" s="418">
        <v>2</v>
      </c>
      <c r="K1762" s="248"/>
      <c r="M1762" s="366"/>
    </row>
    <row r="1763" spans="1:32" x14ac:dyDescent="0.25">
      <c r="A1763" s="308">
        <v>45421</v>
      </c>
      <c r="B1763" s="416">
        <v>717748</v>
      </c>
      <c r="C1763" s="413" t="str">
        <f>IFERROR(INDEX(Table14[],MATCH($B1763,Table14[SAPNo],0),3),"")</f>
        <v>Round 1010 CT200  0.018" (B)</v>
      </c>
      <c r="D1763" s="306"/>
      <c r="E1763" s="421">
        <v>7</v>
      </c>
      <c r="F1763" s="421"/>
      <c r="G1763" s="417" t="s">
        <v>1728</v>
      </c>
      <c r="H1763" s="598" t="s">
        <v>1729</v>
      </c>
      <c r="I1763" s="322" t="s">
        <v>1069</v>
      </c>
      <c r="J1763" s="418"/>
      <c r="K1763" s="248"/>
      <c r="M1763" s="366"/>
      <c r="AF1763">
        <v>7</v>
      </c>
    </row>
    <row r="1764" spans="1:32" x14ac:dyDescent="0.25">
      <c r="A1764" s="308">
        <v>45424</v>
      </c>
      <c r="B1764" s="416">
        <v>418525</v>
      </c>
      <c r="C1764" s="413" t="str">
        <f>IFERROR(INDEX(Table14[],MATCH($B1764,Table14[SAPNo],0),3),"")</f>
        <v>Drop In 1308 CT31   (B)</v>
      </c>
      <c r="D1764" s="306"/>
      <c r="E1764" s="421">
        <v>6</v>
      </c>
      <c r="F1764" s="421"/>
      <c r="G1764" s="417" t="s">
        <v>1730</v>
      </c>
      <c r="H1764" s="598">
        <v>14178466</v>
      </c>
      <c r="I1764" s="322" t="s">
        <v>1516</v>
      </c>
      <c r="J1764" s="418"/>
      <c r="K1764" s="248"/>
      <c r="M1764" s="366"/>
      <c r="AF1764">
        <v>6</v>
      </c>
    </row>
    <row r="1765" spans="1:32" x14ac:dyDescent="0.25">
      <c r="A1765" s="308">
        <v>45424</v>
      </c>
      <c r="B1765" s="416">
        <v>1271790</v>
      </c>
      <c r="C1765" s="413" t="str">
        <f>IFERROR(INDEX(Table14[],MATCH($B1765,Table14[SAPNo],0),3),"")</f>
        <v xml:space="preserve">1613 CT170 18-60 </v>
      </c>
      <c r="D1765" s="306"/>
      <c r="E1765" s="421">
        <v>17</v>
      </c>
      <c r="F1765" s="421"/>
      <c r="G1765" s="417" t="s">
        <v>1730</v>
      </c>
      <c r="H1765" s="598">
        <v>14178466</v>
      </c>
      <c r="I1765" s="322" t="s">
        <v>1516</v>
      </c>
      <c r="J1765" s="418"/>
      <c r="K1765" s="248"/>
      <c r="M1765" s="366"/>
      <c r="AF1765">
        <v>17</v>
      </c>
    </row>
    <row r="1766" spans="1:32" x14ac:dyDescent="0.25">
      <c r="A1766" s="308">
        <v>45424</v>
      </c>
      <c r="B1766" s="416">
        <v>1208601</v>
      </c>
      <c r="C1766" s="413" t="str">
        <f>IFERROR(INDEX(Table14[],MATCH($B1766,Table14[SAPNo],0),3),"")</f>
        <v>1613 CT418 U-60</v>
      </c>
      <c r="D1766" s="306"/>
      <c r="E1766" s="421">
        <v>8</v>
      </c>
      <c r="F1766" s="421"/>
      <c r="G1766" s="417" t="s">
        <v>1730</v>
      </c>
      <c r="H1766" s="598">
        <v>14178466</v>
      </c>
      <c r="I1766" s="322" t="s">
        <v>1516</v>
      </c>
      <c r="J1766" s="418"/>
      <c r="K1766" s="248"/>
      <c r="M1766" s="366"/>
      <c r="AF1766">
        <v>8</v>
      </c>
    </row>
    <row r="1767" spans="1:32" x14ac:dyDescent="0.25">
      <c r="A1767" s="308">
        <v>45424</v>
      </c>
      <c r="B1767" s="416">
        <v>1146737</v>
      </c>
      <c r="C1767" s="413" t="str">
        <f>IFERROR(INDEX(Table14[],MATCH($B1767,Table14[SAPNo],0),3),"")</f>
        <v>1613 CT418 18-60</v>
      </c>
      <c r="D1767" s="306"/>
      <c r="E1767" s="421">
        <v>6</v>
      </c>
      <c r="F1767" s="421"/>
      <c r="G1767" s="417" t="s">
        <v>1730</v>
      </c>
      <c r="H1767" s="598">
        <v>14178466</v>
      </c>
      <c r="I1767" s="322" t="s">
        <v>1516</v>
      </c>
      <c r="J1767" s="418"/>
      <c r="K1767" s="248"/>
      <c r="M1767" s="366"/>
      <c r="AF1767">
        <v>6</v>
      </c>
    </row>
    <row r="1768" spans="1:32" x14ac:dyDescent="0.25">
      <c r="A1768" s="320">
        <v>45424</v>
      </c>
      <c r="B1768" s="419">
        <v>1078377</v>
      </c>
      <c r="C1768" s="413" t="str">
        <f>IFERROR(INDEX(Table14[],MATCH($B1768,Table14[SAPNo],0),3),"")</f>
        <v>13MM CT221 R1</v>
      </c>
      <c r="D1768" s="306"/>
      <c r="E1768" s="421">
        <v>15</v>
      </c>
      <c r="F1768" s="421"/>
      <c r="G1768" s="420" t="s">
        <v>1730</v>
      </c>
      <c r="H1768" s="599">
        <v>14178466</v>
      </c>
      <c r="I1768" s="322" t="s">
        <v>1516</v>
      </c>
      <c r="J1768" s="421"/>
      <c r="K1768" s="422"/>
      <c r="M1768" s="366"/>
      <c r="AF1768">
        <v>15</v>
      </c>
    </row>
    <row r="1769" spans="1:32" x14ac:dyDescent="0.25">
      <c r="A1769" s="308">
        <v>45425</v>
      </c>
      <c r="B1769" s="416">
        <v>1145493</v>
      </c>
      <c r="C1769" s="413" t="str">
        <f>IFERROR(INDEX(Table14[],MATCH($B1769,Table14[SAPNo],0),3),"")</f>
        <v>Round 1313 CT427  10C (S)</v>
      </c>
      <c r="D1769" s="306"/>
      <c r="E1769" s="421"/>
      <c r="F1769" s="421"/>
      <c r="G1769" s="417">
        <v>20241002</v>
      </c>
      <c r="H1769" s="598" t="s">
        <v>1731</v>
      </c>
      <c r="I1769" s="322" t="s">
        <v>1282</v>
      </c>
      <c r="J1769" s="418">
        <v>14</v>
      </c>
      <c r="K1769" s="248"/>
      <c r="M1769" s="422"/>
    </row>
    <row r="1770" spans="1:32" x14ac:dyDescent="0.25">
      <c r="A1770" s="308">
        <v>45425</v>
      </c>
      <c r="B1770" s="416">
        <v>717748</v>
      </c>
      <c r="C1770" s="413" t="str">
        <f>IFERROR(INDEX(Table14[],MATCH($B1770,Table14[SAPNo],0),3),"")</f>
        <v>Round 1010 CT200  0.018" (B)</v>
      </c>
      <c r="D1770" s="306"/>
      <c r="E1770" s="421"/>
      <c r="F1770" s="421"/>
      <c r="G1770" s="417">
        <v>20241066</v>
      </c>
      <c r="H1770" s="598" t="s">
        <v>1732</v>
      </c>
      <c r="I1770" s="322" t="s">
        <v>1069</v>
      </c>
      <c r="J1770" s="418">
        <v>1</v>
      </c>
      <c r="K1770" s="248"/>
      <c r="M1770" s="366"/>
    </row>
    <row r="1771" spans="1:32" x14ac:dyDescent="0.25">
      <c r="A1771" s="308">
        <v>45425</v>
      </c>
      <c r="B1771" s="416">
        <v>717748</v>
      </c>
      <c r="C1771" s="413" t="str">
        <f>IFERROR(INDEX(Table14[],MATCH($B1771,Table14[SAPNo],0),3),"")</f>
        <v>Round 1010 CT200  0.018" (B)</v>
      </c>
      <c r="D1771" s="306"/>
      <c r="E1771" s="421"/>
      <c r="F1771" s="421"/>
      <c r="G1771" s="417">
        <v>20241070</v>
      </c>
      <c r="H1771" s="598" t="s">
        <v>1733</v>
      </c>
      <c r="I1771" s="322" t="s">
        <v>1069</v>
      </c>
      <c r="J1771" s="418">
        <v>1</v>
      </c>
      <c r="K1771" s="248"/>
      <c r="M1771" s="366"/>
    </row>
    <row r="1772" spans="1:32" x14ac:dyDescent="0.25">
      <c r="A1772" s="308">
        <v>45425</v>
      </c>
      <c r="B1772" s="416">
        <v>418525</v>
      </c>
      <c r="C1772" s="413" t="str">
        <f>IFERROR(INDEX(Table14[],MATCH($B1772,Table14[SAPNo],0),3),"")</f>
        <v>Drop In 1308 CT31   (B)</v>
      </c>
      <c r="D1772" s="306"/>
      <c r="E1772" s="421">
        <v>5</v>
      </c>
      <c r="F1772" s="421"/>
      <c r="G1772" s="417">
        <v>20241046</v>
      </c>
      <c r="H1772" s="598" t="s">
        <v>1734</v>
      </c>
      <c r="I1772" s="322" t="s">
        <v>1128</v>
      </c>
      <c r="J1772" s="418"/>
      <c r="K1772" s="248"/>
      <c r="M1772" s="366"/>
      <c r="AF1772">
        <v>5</v>
      </c>
    </row>
    <row r="1773" spans="1:32" x14ac:dyDescent="0.25">
      <c r="A1773" s="308">
        <v>45425</v>
      </c>
      <c r="B1773" s="416">
        <v>1136984</v>
      </c>
      <c r="C1773" s="413" t="str">
        <f>IFERROR(INDEX(Table14[],MATCH($B1773,Table14[SAPNo],0),3),"")</f>
        <v>DBLMCHT 1313 CT182DM  10C (S)</v>
      </c>
      <c r="D1773" s="306"/>
      <c r="E1773" s="421"/>
      <c r="F1773" s="421"/>
      <c r="G1773" s="417">
        <v>20241046</v>
      </c>
      <c r="H1773" s="598" t="s">
        <v>1734</v>
      </c>
      <c r="I1773" s="322" t="s">
        <v>1128</v>
      </c>
      <c r="J1773" s="418">
        <v>1</v>
      </c>
      <c r="K1773" s="248"/>
      <c r="M1773" s="366"/>
    </row>
    <row r="1774" spans="1:32" x14ac:dyDescent="0.25">
      <c r="A1774" s="308">
        <v>45425</v>
      </c>
      <c r="B1774" s="416">
        <v>418525</v>
      </c>
      <c r="C1774" s="413" t="str">
        <f>IFERROR(INDEX(Table14[],MATCH($B1774,Table14[SAPNo],0),3),"")</f>
        <v>Drop In 1308 CT31   (B)</v>
      </c>
      <c r="D1774" s="306"/>
      <c r="E1774" s="421">
        <v>1</v>
      </c>
      <c r="F1774" s="421"/>
      <c r="G1774" s="417">
        <v>20241060</v>
      </c>
      <c r="H1774" s="598" t="s">
        <v>1735</v>
      </c>
      <c r="I1774" s="322" t="s">
        <v>1128</v>
      </c>
      <c r="J1774" s="418"/>
      <c r="K1774" s="248"/>
      <c r="M1774" s="366"/>
      <c r="AF1774">
        <v>1</v>
      </c>
    </row>
    <row r="1775" spans="1:32" x14ac:dyDescent="0.25">
      <c r="A1775" s="308">
        <v>45425</v>
      </c>
      <c r="B1775" s="416">
        <v>1100696</v>
      </c>
      <c r="C1775" s="413" t="str">
        <f>IFERROR(INDEX(Table14[],MATCH($B1775,Table14[SAPNo],0),3),"")</f>
        <v>Round 1313 CT418  10C (S)</v>
      </c>
      <c r="D1775" s="306"/>
      <c r="E1775" s="421"/>
      <c r="F1775" s="421"/>
      <c r="G1775" s="417">
        <v>20241060</v>
      </c>
      <c r="H1775" s="598" t="s">
        <v>1735</v>
      </c>
      <c r="I1775" s="322" t="s">
        <v>1128</v>
      </c>
      <c r="J1775" s="418">
        <v>1</v>
      </c>
      <c r="K1775" s="248"/>
      <c r="M1775" s="366"/>
    </row>
    <row r="1776" spans="1:32" x14ac:dyDescent="0.25">
      <c r="A1776" s="308">
        <v>45425</v>
      </c>
      <c r="B1776" s="416">
        <v>871781</v>
      </c>
      <c r="C1776" s="413" t="str">
        <f>IFERROR(INDEX(Table14[],MATCH($B1776,Table14[SAPNo],0),3),"")</f>
        <v>Round 1313 CT200  0.018" (B)</v>
      </c>
      <c r="D1776" s="306"/>
      <c r="E1776" s="421">
        <v>5</v>
      </c>
      <c r="F1776" s="421"/>
      <c r="G1776" s="417" t="s">
        <v>1736</v>
      </c>
      <c r="H1776" s="598">
        <v>14162002</v>
      </c>
      <c r="I1776" s="322" t="s">
        <v>1737</v>
      </c>
      <c r="J1776" s="418"/>
      <c r="K1776" s="248"/>
      <c r="M1776" s="366"/>
      <c r="AF1776">
        <v>5</v>
      </c>
    </row>
    <row r="1777" spans="1:32" x14ac:dyDescent="0.25">
      <c r="A1777" s="308">
        <v>45425</v>
      </c>
      <c r="B1777" s="416">
        <v>1282370</v>
      </c>
      <c r="C1777" s="413" t="str">
        <f>IFERROR(INDEX(Table14[],MATCH($B1777,Table14[SAPNo],0),3),"")</f>
        <v>1613 CT436Mv3 U-60</v>
      </c>
      <c r="D1777" s="306"/>
      <c r="E1777" s="421">
        <v>5</v>
      </c>
      <c r="F1777" s="421"/>
      <c r="G1777" s="417" t="s">
        <v>1736</v>
      </c>
      <c r="H1777" s="598">
        <v>14162002</v>
      </c>
      <c r="I1777" s="322" t="s">
        <v>1737</v>
      </c>
      <c r="J1777" s="418"/>
      <c r="K1777" s="248"/>
      <c r="M1777" s="366"/>
      <c r="AF1777">
        <v>5</v>
      </c>
    </row>
    <row r="1778" spans="1:32" x14ac:dyDescent="0.25">
      <c r="A1778" s="308">
        <v>45425</v>
      </c>
      <c r="B1778" s="416">
        <v>1271790</v>
      </c>
      <c r="C1778" s="413" t="str">
        <f>IFERROR(INDEX(Table14[],MATCH($B1778,Table14[SAPNo],0),3),"")</f>
        <v xml:space="preserve">1613 CT170 18-60 </v>
      </c>
      <c r="D1778" s="306"/>
      <c r="E1778" s="421">
        <v>30</v>
      </c>
      <c r="F1778" s="421"/>
      <c r="G1778" s="417" t="s">
        <v>1736</v>
      </c>
      <c r="H1778" s="598">
        <v>14162002</v>
      </c>
      <c r="I1778" s="322" t="s">
        <v>1737</v>
      </c>
      <c r="J1778" s="418"/>
      <c r="K1778" s="248"/>
      <c r="M1778" s="366"/>
      <c r="AF1778">
        <v>30</v>
      </c>
    </row>
    <row r="1779" spans="1:32" x14ac:dyDescent="0.25">
      <c r="A1779" s="308">
        <v>45425</v>
      </c>
      <c r="B1779" s="416">
        <v>1209410</v>
      </c>
      <c r="C1779" s="413" t="str">
        <f>IFERROR(INDEX(Table14[],MATCH($B1779,Table14[SAPNo],0),3),"")</f>
        <v>1613 CT430MV3 U TBO</v>
      </c>
      <c r="D1779" s="306"/>
      <c r="E1779" s="421">
        <v>5</v>
      </c>
      <c r="F1779" s="421"/>
      <c r="G1779" s="417" t="s">
        <v>1736</v>
      </c>
      <c r="H1779" s="598">
        <v>14162002</v>
      </c>
      <c r="I1779" s="322" t="s">
        <v>1737</v>
      </c>
      <c r="J1779" s="418"/>
      <c r="K1779" s="248"/>
      <c r="M1779" s="366"/>
      <c r="AF1779">
        <v>5</v>
      </c>
    </row>
    <row r="1780" spans="1:32" x14ac:dyDescent="0.25">
      <c r="A1780" s="308">
        <v>45425</v>
      </c>
      <c r="B1780" s="416">
        <v>1146737</v>
      </c>
      <c r="C1780" s="413" t="str">
        <f>IFERROR(INDEX(Table14[],MATCH($B1780,Table14[SAPNo],0),3),"")</f>
        <v>1613 CT418 18-60</v>
      </c>
      <c r="D1780" s="306"/>
      <c r="E1780" s="421">
        <v>10</v>
      </c>
      <c r="F1780" s="421"/>
      <c r="G1780" s="417" t="s">
        <v>1736</v>
      </c>
      <c r="H1780" s="598">
        <v>14162002</v>
      </c>
      <c r="I1780" s="322" t="s">
        <v>1737</v>
      </c>
      <c r="J1780" s="418"/>
      <c r="K1780" s="248"/>
      <c r="M1780" s="366"/>
      <c r="AF1780">
        <v>10</v>
      </c>
    </row>
    <row r="1781" spans="1:32" x14ac:dyDescent="0.25">
      <c r="A1781" s="320">
        <v>45425</v>
      </c>
      <c r="B1781" s="419">
        <v>1100751</v>
      </c>
      <c r="C1781" s="413" t="str">
        <f>IFERROR(INDEX(Table14[],MATCH($B1781,Table14[SAPNo],0),3),"")</f>
        <v>1313 CT421 0.018"</v>
      </c>
      <c r="D1781" s="306"/>
      <c r="E1781" s="421">
        <v>22</v>
      </c>
      <c r="F1781" s="421"/>
      <c r="G1781" s="420" t="s">
        <v>1736</v>
      </c>
      <c r="H1781" s="599">
        <v>14162002</v>
      </c>
      <c r="I1781" s="322" t="s">
        <v>1737</v>
      </c>
      <c r="J1781" s="421"/>
      <c r="K1781" s="422"/>
      <c r="M1781" s="366"/>
      <c r="AF1781">
        <v>22</v>
      </c>
    </row>
    <row r="1782" spans="1:32" x14ac:dyDescent="0.25">
      <c r="A1782" s="308">
        <v>45426</v>
      </c>
      <c r="B1782" s="416">
        <v>871781</v>
      </c>
      <c r="C1782" s="413" t="str">
        <f>IFERROR(INDEX(Table14[],MATCH($B1782,Table14[SAPNo],0),3),"")</f>
        <v>Round 1313 CT200  0.018" (B)</v>
      </c>
      <c r="D1782" s="306"/>
      <c r="E1782" s="421">
        <v>8</v>
      </c>
      <c r="F1782" s="421"/>
      <c r="G1782" s="417" t="s">
        <v>1738</v>
      </c>
      <c r="H1782" s="598">
        <v>14162012</v>
      </c>
      <c r="I1782" s="322" t="s">
        <v>1599</v>
      </c>
      <c r="J1782" s="418"/>
      <c r="K1782" s="248"/>
      <c r="M1782" s="422"/>
      <c r="AF1782">
        <v>8</v>
      </c>
    </row>
    <row r="1783" spans="1:32" x14ac:dyDescent="0.25">
      <c r="A1783" s="308">
        <v>45426</v>
      </c>
      <c r="B1783" s="416">
        <v>708306</v>
      </c>
      <c r="C1783" s="413" t="str">
        <f>IFERROR(INDEX(Table14[],MATCH($B1783,Table14[SAPNo],0),3),"")</f>
        <v>Round 1913 CT200  0.018" (B)</v>
      </c>
      <c r="D1783" s="306"/>
      <c r="E1783" s="421">
        <v>34</v>
      </c>
      <c r="F1783" s="421"/>
      <c r="G1783" s="417" t="s">
        <v>1738</v>
      </c>
      <c r="H1783" s="598">
        <v>14162012</v>
      </c>
      <c r="I1783" s="322" t="s">
        <v>1599</v>
      </c>
      <c r="J1783" s="418"/>
      <c r="K1783" s="248"/>
      <c r="M1783" s="366"/>
      <c r="AF1783">
        <v>34</v>
      </c>
    </row>
    <row r="1784" spans="1:32" x14ac:dyDescent="0.25">
      <c r="A1784" s="308">
        <v>45426</v>
      </c>
      <c r="B1784" s="416">
        <v>1100755</v>
      </c>
      <c r="C1784" s="413" t="str">
        <f>IFERROR(INDEX(Table14[],MATCH($B1784,Table14[SAPNo],0),3),"")</f>
        <v>Round 1613 CT421  0.018" (S)</v>
      </c>
      <c r="D1784" s="306"/>
      <c r="E1784" s="421">
        <v>9</v>
      </c>
      <c r="F1784" s="421"/>
      <c r="G1784" s="417" t="s">
        <v>1738</v>
      </c>
      <c r="H1784" s="598">
        <v>14162012</v>
      </c>
      <c r="I1784" s="322" t="s">
        <v>1599</v>
      </c>
      <c r="J1784" s="418"/>
      <c r="K1784" s="248"/>
      <c r="M1784" s="366"/>
      <c r="AF1784">
        <v>9</v>
      </c>
    </row>
    <row r="1785" spans="1:32" x14ac:dyDescent="0.25">
      <c r="A1785" s="308">
        <v>45426</v>
      </c>
      <c r="B1785" s="416">
        <v>1100759</v>
      </c>
      <c r="C1785" s="413" t="str">
        <f>IFERROR(INDEX(Table14[],MATCH($B1785,Table14[SAPNo],0),3),"")</f>
        <v>1913 CT421 0.018"</v>
      </c>
      <c r="D1785" s="306"/>
      <c r="E1785" s="421">
        <v>48</v>
      </c>
      <c r="F1785" s="421"/>
      <c r="G1785" s="417" t="s">
        <v>1738</v>
      </c>
      <c r="H1785" s="598">
        <v>14162012</v>
      </c>
      <c r="I1785" s="322" t="s">
        <v>1599</v>
      </c>
      <c r="J1785" s="418"/>
      <c r="K1785" s="248"/>
      <c r="M1785" s="366"/>
      <c r="AF1785">
        <v>48</v>
      </c>
    </row>
    <row r="1786" spans="1:32" x14ac:dyDescent="0.25">
      <c r="A1786" s="308">
        <v>45426</v>
      </c>
      <c r="B1786" s="416">
        <v>729690</v>
      </c>
      <c r="C1786" s="413" t="str">
        <f>IFERROR(INDEX(Table14[],MATCH($B1786,Table14[SAPNo],0),3),"")</f>
        <v>Round 1608 CT82  0.018" (S)</v>
      </c>
      <c r="D1786" s="306"/>
      <c r="E1786" s="421">
        <v>23</v>
      </c>
      <c r="F1786" s="421"/>
      <c r="G1786" s="417" t="s">
        <v>1739</v>
      </c>
      <c r="H1786" s="598">
        <v>14178460</v>
      </c>
      <c r="I1786" s="322" t="s">
        <v>1740</v>
      </c>
      <c r="J1786" s="418"/>
      <c r="K1786" s="248"/>
      <c r="M1786" s="366"/>
      <c r="AF1786">
        <v>23</v>
      </c>
    </row>
    <row r="1787" spans="1:32" x14ac:dyDescent="0.25">
      <c r="A1787" s="308">
        <v>45426</v>
      </c>
      <c r="B1787" s="416">
        <v>871781</v>
      </c>
      <c r="C1787" s="413" t="str">
        <f>IFERROR(INDEX(Table14[],MATCH($B1787,Table14[SAPNo],0),3),"")</f>
        <v>Round 1313 CT200  0.018" (B)</v>
      </c>
      <c r="D1787" s="306"/>
      <c r="E1787" s="421">
        <v>6</v>
      </c>
      <c r="F1787" s="421"/>
      <c r="G1787" s="417" t="s">
        <v>1739</v>
      </c>
      <c r="H1787" s="598">
        <v>14178460</v>
      </c>
      <c r="I1787" s="322" t="s">
        <v>1740</v>
      </c>
      <c r="J1787" s="418"/>
      <c r="K1787" s="248"/>
      <c r="M1787" s="366"/>
      <c r="AF1787">
        <v>6</v>
      </c>
    </row>
    <row r="1788" spans="1:32" x14ac:dyDescent="0.25">
      <c r="A1788" s="308">
        <v>45426</v>
      </c>
      <c r="B1788" s="416">
        <v>1039060</v>
      </c>
      <c r="C1788" s="413" t="str">
        <f>IFERROR(INDEX(Table14[],MATCH($B1788,Table14[SAPNo],0),3),"")</f>
        <v>Round 1613 CT138  0.018" (S)</v>
      </c>
      <c r="D1788" s="306"/>
      <c r="E1788" s="421">
        <v>33</v>
      </c>
      <c r="F1788" s="421"/>
      <c r="G1788" s="417" t="s">
        <v>1739</v>
      </c>
      <c r="H1788" s="598">
        <v>14178460</v>
      </c>
      <c r="I1788" s="322" t="s">
        <v>1740</v>
      </c>
      <c r="J1788" s="418"/>
      <c r="K1788" s="248"/>
      <c r="M1788" s="366"/>
      <c r="AF1788">
        <v>33</v>
      </c>
    </row>
    <row r="1789" spans="1:32" x14ac:dyDescent="0.25">
      <c r="A1789" s="308">
        <v>45426</v>
      </c>
      <c r="B1789" s="416">
        <v>1271790</v>
      </c>
      <c r="C1789" s="413" t="str">
        <f>IFERROR(INDEX(Table14[],MATCH($B1789,Table14[SAPNo],0),3),"")</f>
        <v xml:space="preserve">1613 CT170 18-60 </v>
      </c>
      <c r="D1789" s="306"/>
      <c r="E1789" s="421">
        <v>17</v>
      </c>
      <c r="F1789" s="421"/>
      <c r="G1789" s="417" t="s">
        <v>1741</v>
      </c>
      <c r="H1789" s="598">
        <v>14178468</v>
      </c>
      <c r="I1789" s="322" t="s">
        <v>1516</v>
      </c>
      <c r="J1789" s="418"/>
      <c r="K1789" s="248"/>
      <c r="M1789" s="366"/>
      <c r="AF1789">
        <v>17</v>
      </c>
    </row>
    <row r="1790" spans="1:32" x14ac:dyDescent="0.25">
      <c r="A1790" s="308">
        <v>45426</v>
      </c>
      <c r="B1790" s="416">
        <v>1078377</v>
      </c>
      <c r="C1790" s="413" t="str">
        <f>IFERROR(INDEX(Table14[],MATCH($B1790,Table14[SAPNo],0),3),"")</f>
        <v>13MM CT221 R1</v>
      </c>
      <c r="D1790" s="306"/>
      <c r="E1790" s="421">
        <v>15</v>
      </c>
      <c r="F1790" s="421"/>
      <c r="G1790" s="417" t="s">
        <v>1741</v>
      </c>
      <c r="H1790" s="598">
        <v>14178468</v>
      </c>
      <c r="I1790" s="322" t="s">
        <v>1516</v>
      </c>
      <c r="J1790" s="418"/>
      <c r="K1790" s="248"/>
      <c r="M1790" s="366"/>
      <c r="AF1790">
        <v>15</v>
      </c>
    </row>
    <row r="1791" spans="1:32" x14ac:dyDescent="0.25">
      <c r="A1791" s="308">
        <v>45426</v>
      </c>
      <c r="B1791" s="416">
        <v>1146737</v>
      </c>
      <c r="C1791" s="413" t="str">
        <f>IFERROR(INDEX(Table14[],MATCH($B1791,Table14[SAPNo],0),3),"")</f>
        <v>1613 CT418 18-60</v>
      </c>
      <c r="D1791" s="306"/>
      <c r="E1791" s="421">
        <v>6</v>
      </c>
      <c r="F1791" s="421"/>
      <c r="G1791" s="417" t="s">
        <v>1741</v>
      </c>
      <c r="H1791" s="598">
        <v>14178468</v>
      </c>
      <c r="I1791" s="322" t="s">
        <v>1516</v>
      </c>
      <c r="J1791" s="418"/>
      <c r="K1791" s="248"/>
      <c r="M1791" s="366"/>
      <c r="AF1791">
        <v>6</v>
      </c>
    </row>
    <row r="1792" spans="1:32" x14ac:dyDescent="0.25">
      <c r="A1792" s="308">
        <v>45426</v>
      </c>
      <c r="B1792" s="416">
        <v>1208601</v>
      </c>
      <c r="C1792" s="413" t="str">
        <f>IFERROR(INDEX(Table14[],MATCH($B1792,Table14[SAPNo],0),3),"")</f>
        <v>1613 CT418 U-60</v>
      </c>
      <c r="D1792" s="306"/>
      <c r="E1792" s="421">
        <v>8</v>
      </c>
      <c r="F1792" s="421"/>
      <c r="G1792" s="417" t="s">
        <v>1741</v>
      </c>
      <c r="H1792" s="598">
        <v>14178468</v>
      </c>
      <c r="I1792" s="322" t="s">
        <v>1516</v>
      </c>
      <c r="J1792" s="418"/>
      <c r="K1792" s="248"/>
      <c r="M1792" s="366"/>
      <c r="AF1792">
        <v>8</v>
      </c>
    </row>
    <row r="1793" spans="1:32" x14ac:dyDescent="0.25">
      <c r="A1793" s="308">
        <v>45426</v>
      </c>
      <c r="B1793" s="416">
        <v>418525</v>
      </c>
      <c r="C1793" s="413" t="str">
        <f>IFERROR(INDEX(Table14[],MATCH($B1793,Table14[SAPNo],0),3),"")</f>
        <v>Drop In 1308 CT31   (B)</v>
      </c>
      <c r="D1793" s="306"/>
      <c r="E1793" s="421">
        <v>6</v>
      </c>
      <c r="F1793" s="421"/>
      <c r="G1793" s="417" t="s">
        <v>1741</v>
      </c>
      <c r="H1793" s="598">
        <v>14178468</v>
      </c>
      <c r="I1793" s="322" t="s">
        <v>1516</v>
      </c>
      <c r="J1793" s="418"/>
      <c r="K1793" s="248"/>
      <c r="M1793" s="366"/>
      <c r="AF1793">
        <v>6</v>
      </c>
    </row>
    <row r="1794" spans="1:32" x14ac:dyDescent="0.25">
      <c r="A1794" s="308">
        <v>45426</v>
      </c>
      <c r="B1794" s="416">
        <v>1146742</v>
      </c>
      <c r="C1794" s="413" t="str">
        <f>IFERROR(INDEX(Table14[],MATCH($B1794,Table14[SAPNo],0),3),"")</f>
        <v>1913 CT418 U-60</v>
      </c>
      <c r="D1794" s="306"/>
      <c r="E1794" s="421">
        <v>20</v>
      </c>
      <c r="F1794" s="421"/>
      <c r="G1794" s="417" t="s">
        <v>1742</v>
      </c>
      <c r="H1794" s="598">
        <v>13999834</v>
      </c>
      <c r="I1794" s="322" t="s">
        <v>1743</v>
      </c>
      <c r="J1794" s="418"/>
      <c r="K1794" s="248"/>
      <c r="M1794" s="366"/>
      <c r="AF1794">
        <v>20</v>
      </c>
    </row>
    <row r="1795" spans="1:32" x14ac:dyDescent="0.25">
      <c r="A1795" s="308">
        <v>45426</v>
      </c>
      <c r="B1795" s="416">
        <v>1146737</v>
      </c>
      <c r="C1795" s="413" t="str">
        <f>IFERROR(INDEX(Table14[],MATCH($B1795,Table14[SAPNo],0),3),"")</f>
        <v>1613 CT418 18-60</v>
      </c>
      <c r="D1795" s="306"/>
      <c r="E1795" s="421">
        <v>7</v>
      </c>
      <c r="F1795" s="421"/>
      <c r="G1795" s="417" t="s">
        <v>1742</v>
      </c>
      <c r="H1795" s="598">
        <v>13999834</v>
      </c>
      <c r="I1795" s="322" t="s">
        <v>1743</v>
      </c>
      <c r="J1795" s="418"/>
      <c r="K1795" s="248"/>
      <c r="M1795" s="366"/>
      <c r="AF1795">
        <v>7</v>
      </c>
    </row>
    <row r="1796" spans="1:32" x14ac:dyDescent="0.25">
      <c r="A1796" s="308">
        <v>45426</v>
      </c>
      <c r="B1796" s="416">
        <v>179733</v>
      </c>
      <c r="C1796" s="413" t="str">
        <f>IFERROR(INDEX(Table14[],MATCH($B1796,Table14[SAPNo],0),3),"")</f>
        <v>Short IA 13    (C)</v>
      </c>
      <c r="D1796" s="306"/>
      <c r="E1796" s="421">
        <v>20</v>
      </c>
      <c r="F1796" s="421"/>
      <c r="G1796" s="417" t="s">
        <v>1742</v>
      </c>
      <c r="H1796" s="598">
        <v>13999834</v>
      </c>
      <c r="I1796" s="322" t="s">
        <v>1743</v>
      </c>
      <c r="J1796" s="418"/>
      <c r="K1796" s="248"/>
      <c r="M1796" s="366"/>
      <c r="AF1796">
        <v>20</v>
      </c>
    </row>
    <row r="1797" spans="1:32" x14ac:dyDescent="0.25">
      <c r="A1797" s="308">
        <v>45426</v>
      </c>
      <c r="B1797" s="416">
        <v>418525</v>
      </c>
      <c r="C1797" s="413" t="str">
        <f>IFERROR(INDEX(Table14[],MATCH($B1797,Table14[SAPNo],0),3),"")</f>
        <v>Drop In 1308 CT31   (B)</v>
      </c>
      <c r="D1797" s="306"/>
      <c r="E1797" s="421">
        <v>7</v>
      </c>
      <c r="F1797" s="421"/>
      <c r="G1797" s="417" t="s">
        <v>1742</v>
      </c>
      <c r="H1797" s="598">
        <v>13999834</v>
      </c>
      <c r="I1797" s="322" t="s">
        <v>1743</v>
      </c>
      <c r="J1797" s="418"/>
      <c r="K1797" s="248"/>
      <c r="M1797" s="366"/>
      <c r="AF1797">
        <v>7</v>
      </c>
    </row>
    <row r="1798" spans="1:32" x14ac:dyDescent="0.25">
      <c r="A1798" s="308">
        <v>45426</v>
      </c>
      <c r="B1798" s="416">
        <v>1100741</v>
      </c>
      <c r="C1798" s="413" t="str">
        <f>IFERROR(INDEX(Table14[],MATCH($B1798,Table14[SAPNo],0),3),"")</f>
        <v>Round 1613 CT418  0.018" (S)</v>
      </c>
      <c r="D1798" s="306"/>
      <c r="E1798" s="421">
        <v>41</v>
      </c>
      <c r="F1798" s="421"/>
      <c r="G1798" s="417" t="s">
        <v>1742</v>
      </c>
      <c r="H1798" s="598">
        <v>13999834</v>
      </c>
      <c r="I1798" s="322" t="s">
        <v>1743</v>
      </c>
      <c r="J1798" s="418"/>
      <c r="K1798" s="248"/>
      <c r="M1798" s="366"/>
      <c r="AF1798">
        <v>41</v>
      </c>
    </row>
    <row r="1799" spans="1:32" x14ac:dyDescent="0.25">
      <c r="A1799" s="308">
        <v>45426</v>
      </c>
      <c r="B1799" s="416">
        <v>1263823</v>
      </c>
      <c r="C1799" s="413" t="str">
        <f>IFERROR(INDEX(Table14[],MATCH($B1799,Table14[SAPNo],0),3),"")</f>
        <v>1613 CT170R U</v>
      </c>
      <c r="D1799" s="306"/>
      <c r="E1799" s="421">
        <v>41</v>
      </c>
      <c r="F1799" s="421"/>
      <c r="G1799" s="417" t="s">
        <v>1742</v>
      </c>
      <c r="H1799" s="598">
        <v>13999834</v>
      </c>
      <c r="I1799" s="322" t="s">
        <v>1743</v>
      </c>
      <c r="J1799" s="418"/>
      <c r="K1799" s="248"/>
      <c r="M1799" s="366"/>
      <c r="AF1799">
        <v>41</v>
      </c>
    </row>
    <row r="1800" spans="1:32" x14ac:dyDescent="0.25">
      <c r="A1800" s="308">
        <v>45426</v>
      </c>
      <c r="B1800" s="416">
        <v>717748</v>
      </c>
      <c r="C1800" s="413" t="str">
        <f>IFERROR(INDEX(Table14[],MATCH($B1800,Table14[SAPNo],0),3),"")</f>
        <v>Round 1010 CT200  0.018" (B)</v>
      </c>
      <c r="D1800" s="306"/>
      <c r="E1800" s="421">
        <v>3</v>
      </c>
      <c r="F1800" s="421"/>
      <c r="G1800" s="417" t="s">
        <v>1744</v>
      </c>
      <c r="H1800" s="598" t="s">
        <v>1727</v>
      </c>
      <c r="I1800" s="322" t="s">
        <v>1069</v>
      </c>
      <c r="J1800" s="418"/>
      <c r="K1800" s="248"/>
      <c r="M1800" s="366"/>
      <c r="AF1800">
        <v>3</v>
      </c>
    </row>
    <row r="1801" spans="1:32" x14ac:dyDescent="0.25">
      <c r="A1801" s="320">
        <v>45426</v>
      </c>
      <c r="B1801" s="419">
        <v>1145493</v>
      </c>
      <c r="C1801" s="413" t="str">
        <f>IFERROR(INDEX(Table14[],MATCH($B1801,Table14[SAPNo],0),3),"")</f>
        <v>Round 1313 CT427  10C (S)</v>
      </c>
      <c r="D1801" s="306"/>
      <c r="E1801" s="421"/>
      <c r="F1801" s="421"/>
      <c r="G1801" s="420">
        <v>20241074</v>
      </c>
      <c r="H1801" s="599" t="s">
        <v>1745</v>
      </c>
      <c r="I1801" s="322" t="s">
        <v>1746</v>
      </c>
      <c r="J1801" s="421">
        <v>3</v>
      </c>
      <c r="K1801" s="422"/>
      <c r="M1801" s="366"/>
    </row>
    <row r="1802" spans="1:32" x14ac:dyDescent="0.25">
      <c r="A1802" s="308">
        <v>45427</v>
      </c>
      <c r="B1802" s="416">
        <v>179733</v>
      </c>
      <c r="C1802" s="413" t="str">
        <f>IFERROR(INDEX(Table14[],MATCH($B1802,Table14[SAPNo],0),3),"")</f>
        <v>Short IA 13    (C)</v>
      </c>
      <c r="D1802" s="306"/>
      <c r="E1802" s="421">
        <v>23</v>
      </c>
      <c r="F1802" s="421"/>
      <c r="G1802" s="417" t="s">
        <v>1747</v>
      </c>
      <c r="H1802" s="598">
        <v>14109692</v>
      </c>
      <c r="I1802" s="322" t="s">
        <v>1748</v>
      </c>
      <c r="J1802" s="418"/>
      <c r="K1802" s="248"/>
      <c r="M1802" s="422"/>
      <c r="AF1802">
        <v>23</v>
      </c>
    </row>
    <row r="1803" spans="1:32" x14ac:dyDescent="0.25">
      <c r="A1803" s="308">
        <v>45427</v>
      </c>
      <c r="B1803" s="416">
        <v>1100741</v>
      </c>
      <c r="C1803" s="413" t="str">
        <f>IFERROR(INDEX(Table14[],MATCH($B1803,Table14[SAPNo],0),3),"")</f>
        <v>Round 1613 CT418  0.018" (S)</v>
      </c>
      <c r="D1803" s="306"/>
      <c r="E1803" s="421">
        <v>1</v>
      </c>
      <c r="F1803" s="421"/>
      <c r="G1803" s="417" t="s">
        <v>1747</v>
      </c>
      <c r="H1803" s="598">
        <v>14109692</v>
      </c>
      <c r="I1803" s="322" t="s">
        <v>1748</v>
      </c>
      <c r="J1803" s="418"/>
      <c r="K1803" s="248"/>
      <c r="M1803" s="366"/>
      <c r="AF1803">
        <v>1</v>
      </c>
    </row>
    <row r="1804" spans="1:32" x14ac:dyDescent="0.25">
      <c r="A1804" s="308">
        <v>45427</v>
      </c>
      <c r="B1804" s="416">
        <v>1146737</v>
      </c>
      <c r="C1804" s="413" t="str">
        <f>IFERROR(INDEX(Table14[],MATCH($B1804,Table14[SAPNo],0),3),"")</f>
        <v>1613 CT418 18-60</v>
      </c>
      <c r="D1804" s="306"/>
      <c r="E1804" s="421">
        <v>14</v>
      </c>
      <c r="F1804" s="421"/>
      <c r="G1804" s="417" t="s">
        <v>1747</v>
      </c>
      <c r="H1804" s="598">
        <v>14109692</v>
      </c>
      <c r="I1804" s="322" t="s">
        <v>1748</v>
      </c>
      <c r="J1804" s="418"/>
      <c r="K1804" s="248"/>
      <c r="M1804" s="366"/>
      <c r="AF1804">
        <v>14</v>
      </c>
    </row>
    <row r="1805" spans="1:32" x14ac:dyDescent="0.25">
      <c r="A1805" s="308">
        <v>45427</v>
      </c>
      <c r="B1805" s="416">
        <v>1100739</v>
      </c>
      <c r="C1805" s="413" t="str">
        <f>IFERROR(INDEX(Table14[],MATCH($B1805,Table14[SAPNo],0),3),"")</f>
        <v>1608 CT418 0.018"</v>
      </c>
      <c r="D1805" s="306"/>
      <c r="E1805" s="421">
        <v>13</v>
      </c>
      <c r="F1805" s="421"/>
      <c r="G1805" s="417" t="s">
        <v>1747</v>
      </c>
      <c r="H1805" s="598">
        <v>14109692</v>
      </c>
      <c r="I1805" s="322" t="s">
        <v>1748</v>
      </c>
      <c r="J1805" s="418"/>
      <c r="K1805" s="248"/>
      <c r="M1805" s="366"/>
      <c r="AF1805">
        <v>13</v>
      </c>
    </row>
    <row r="1806" spans="1:32" x14ac:dyDescent="0.25">
      <c r="A1806" s="308">
        <v>45427</v>
      </c>
      <c r="B1806" s="416">
        <v>1271790</v>
      </c>
      <c r="C1806" s="413" t="str">
        <f>IFERROR(INDEX(Table14[],MATCH($B1806,Table14[SAPNo],0),3),"")</f>
        <v xml:space="preserve">1613 CT170 18-60 </v>
      </c>
      <c r="D1806" s="306"/>
      <c r="E1806" s="421">
        <v>41</v>
      </c>
      <c r="F1806" s="421"/>
      <c r="G1806" s="417" t="s">
        <v>1747</v>
      </c>
      <c r="H1806" s="598">
        <v>14109692</v>
      </c>
      <c r="I1806" s="322" t="s">
        <v>1748</v>
      </c>
      <c r="J1806" s="418"/>
      <c r="K1806" s="248"/>
      <c r="M1806" s="366"/>
      <c r="AF1806">
        <v>41</v>
      </c>
    </row>
    <row r="1807" spans="1:32" x14ac:dyDescent="0.25">
      <c r="A1807" s="308">
        <v>45427</v>
      </c>
      <c r="B1807" s="416">
        <v>410851</v>
      </c>
      <c r="C1807" s="413" t="str">
        <f>IFERROR(INDEX(Table14[],MATCH($B1807,Table14[SAPNo],0),3),"")</f>
        <v>PDC Dome 1308 CT31   (B)</v>
      </c>
      <c r="D1807" s="306"/>
      <c r="E1807" s="421">
        <v>42</v>
      </c>
      <c r="F1807" s="421"/>
      <c r="G1807" s="417" t="s">
        <v>1747</v>
      </c>
      <c r="H1807" s="598">
        <v>14109692</v>
      </c>
      <c r="I1807" s="322" t="s">
        <v>1748</v>
      </c>
      <c r="J1807" s="418"/>
      <c r="K1807" s="248"/>
      <c r="M1807" s="366"/>
      <c r="AF1807">
        <v>42</v>
      </c>
    </row>
    <row r="1808" spans="1:32" x14ac:dyDescent="0.25">
      <c r="A1808" s="308">
        <v>45427</v>
      </c>
      <c r="B1808" s="416">
        <v>418525</v>
      </c>
      <c r="C1808" s="413" t="str">
        <f>IFERROR(INDEX(Table14[],MATCH($B1808,Table14[SAPNo],0),3),"")</f>
        <v>Drop In 1308 CT31   (B)</v>
      </c>
      <c r="D1808" s="306"/>
      <c r="E1808" s="421">
        <v>14</v>
      </c>
      <c r="F1808" s="421"/>
      <c r="G1808" s="417" t="s">
        <v>1747</v>
      </c>
      <c r="H1808" s="598">
        <v>14109692</v>
      </c>
      <c r="I1808" s="322" t="s">
        <v>1748</v>
      </c>
      <c r="J1808" s="418"/>
      <c r="K1808" s="248"/>
      <c r="M1808" s="366"/>
      <c r="AF1808">
        <v>14</v>
      </c>
    </row>
    <row r="1809" spans="1:32" x14ac:dyDescent="0.25">
      <c r="A1809" s="308">
        <v>45427</v>
      </c>
      <c r="B1809" s="416">
        <v>717751</v>
      </c>
      <c r="C1809" s="413" t="str">
        <f>IFERROR(INDEX(Table14[],MATCH($B1809,Table14[SAPNo],0),3),"")</f>
        <v>Round 1308 CT200  0.018" (B)</v>
      </c>
      <c r="D1809" s="306"/>
      <c r="E1809" s="421">
        <v>39</v>
      </c>
      <c r="F1809" s="421"/>
      <c r="G1809" s="417" t="s">
        <v>1747</v>
      </c>
      <c r="H1809" s="598">
        <v>14109692</v>
      </c>
      <c r="I1809" s="322" t="s">
        <v>1748</v>
      </c>
      <c r="J1809" s="418"/>
      <c r="K1809" s="248"/>
      <c r="M1809" s="366"/>
      <c r="AF1809">
        <v>39</v>
      </c>
    </row>
    <row r="1810" spans="1:32" x14ac:dyDescent="0.25">
      <c r="A1810" s="308">
        <v>45427</v>
      </c>
      <c r="B1810" s="416">
        <v>708306</v>
      </c>
      <c r="C1810" s="413" t="str">
        <f>IFERROR(INDEX(Table14[],MATCH($B1810,Table14[SAPNo],0),3),"")</f>
        <v>Round 1913 CT200  0.018" (B)</v>
      </c>
      <c r="D1810" s="306"/>
      <c r="E1810" s="421">
        <v>34</v>
      </c>
      <c r="F1810" s="421"/>
      <c r="G1810" s="417" t="s">
        <v>1749</v>
      </c>
      <c r="H1810" s="598">
        <v>14162009</v>
      </c>
      <c r="I1810" s="322" t="s">
        <v>1599</v>
      </c>
      <c r="J1810" s="418"/>
      <c r="K1810" s="248"/>
      <c r="M1810" s="366"/>
      <c r="AF1810">
        <v>34</v>
      </c>
    </row>
    <row r="1811" spans="1:32" x14ac:dyDescent="0.25">
      <c r="A1811" s="308">
        <v>45427</v>
      </c>
      <c r="B1811" s="416">
        <v>871781</v>
      </c>
      <c r="C1811" s="413" t="str">
        <f>IFERROR(INDEX(Table14[],MATCH($B1811,Table14[SAPNo],0),3),"")</f>
        <v>Round 1313 CT200  0.018" (B)</v>
      </c>
      <c r="D1811" s="306"/>
      <c r="E1811" s="421">
        <v>8</v>
      </c>
      <c r="F1811" s="421"/>
      <c r="G1811" s="417" t="s">
        <v>1749</v>
      </c>
      <c r="H1811" s="598">
        <v>14162009</v>
      </c>
      <c r="I1811" s="322" t="s">
        <v>1599</v>
      </c>
      <c r="J1811" s="418"/>
      <c r="K1811" s="248"/>
      <c r="M1811" s="366"/>
      <c r="AF1811">
        <v>8</v>
      </c>
    </row>
    <row r="1812" spans="1:32" x14ac:dyDescent="0.25">
      <c r="A1812" s="308">
        <v>45427</v>
      </c>
      <c r="B1812" s="416">
        <v>1100759</v>
      </c>
      <c r="C1812" s="413" t="str">
        <f>IFERROR(INDEX(Table14[],MATCH($B1812,Table14[SAPNo],0),3),"")</f>
        <v>1913 CT421 0.018"</v>
      </c>
      <c r="D1812" s="306"/>
      <c r="E1812" s="421">
        <v>48</v>
      </c>
      <c r="F1812" s="421"/>
      <c r="G1812" s="417" t="s">
        <v>1749</v>
      </c>
      <c r="H1812" s="598">
        <v>14162009</v>
      </c>
      <c r="I1812" s="322" t="s">
        <v>1599</v>
      </c>
      <c r="J1812" s="418"/>
      <c r="K1812" s="248"/>
      <c r="M1812" s="366"/>
      <c r="AF1812">
        <v>48</v>
      </c>
    </row>
    <row r="1813" spans="1:32" x14ac:dyDescent="0.25">
      <c r="A1813" s="308">
        <v>45427</v>
      </c>
      <c r="B1813" s="416">
        <v>1100755</v>
      </c>
      <c r="C1813" s="413" t="str">
        <f>IFERROR(INDEX(Table14[],MATCH($B1813,Table14[SAPNo],0),3),"")</f>
        <v>Round 1613 CT421  0.018" (S)</v>
      </c>
      <c r="D1813" s="306"/>
      <c r="E1813" s="421">
        <v>9</v>
      </c>
      <c r="F1813" s="421"/>
      <c r="G1813" s="417" t="s">
        <v>1749</v>
      </c>
      <c r="H1813" s="598">
        <v>14162009</v>
      </c>
      <c r="I1813" s="322" t="s">
        <v>1599</v>
      </c>
      <c r="J1813" s="418"/>
      <c r="K1813" s="248"/>
      <c r="M1813" s="366"/>
      <c r="AF1813">
        <v>9</v>
      </c>
    </row>
    <row r="1814" spans="1:32" x14ac:dyDescent="0.25">
      <c r="A1814" s="308">
        <v>45427</v>
      </c>
      <c r="B1814" s="416">
        <v>647435</v>
      </c>
      <c r="C1814" s="413" t="str">
        <f>IFERROR(INDEX(Table14[],MATCH($B1814,Table14[SAPNo],0),3),"")</f>
        <v>Round 1608 CT200  0.018" (B)</v>
      </c>
      <c r="D1814" s="306"/>
      <c r="E1814" s="421">
        <v>23</v>
      </c>
      <c r="F1814" s="421"/>
      <c r="G1814" s="417" t="s">
        <v>1750</v>
      </c>
      <c r="H1814" s="598">
        <v>14178461</v>
      </c>
      <c r="I1814" s="322" t="s">
        <v>1751</v>
      </c>
      <c r="J1814" s="418"/>
      <c r="K1814" s="248"/>
      <c r="M1814" s="366"/>
      <c r="AF1814">
        <v>23</v>
      </c>
    </row>
    <row r="1815" spans="1:32" x14ac:dyDescent="0.25">
      <c r="A1815" s="308">
        <v>45427</v>
      </c>
      <c r="B1815" s="416">
        <v>1100755</v>
      </c>
      <c r="C1815" s="413" t="str">
        <f>IFERROR(INDEX(Table14[],MATCH($B1815,Table14[SAPNo],0),3),"")</f>
        <v>Round 1613 CT421  0.018" (S)</v>
      </c>
      <c r="D1815" s="306"/>
      <c r="E1815" s="421">
        <v>33</v>
      </c>
      <c r="F1815" s="421"/>
      <c r="G1815" s="417" t="s">
        <v>1750</v>
      </c>
      <c r="H1815" s="598">
        <v>14178461</v>
      </c>
      <c r="I1815" s="322" t="s">
        <v>1751</v>
      </c>
      <c r="J1815" s="418"/>
      <c r="K1815" s="248"/>
      <c r="M1815" s="366"/>
      <c r="AF1815">
        <v>33</v>
      </c>
    </row>
    <row r="1816" spans="1:32" x14ac:dyDescent="0.25">
      <c r="A1816" s="308">
        <v>45427</v>
      </c>
      <c r="B1816" s="416">
        <v>871781</v>
      </c>
      <c r="C1816" s="413" t="str">
        <f>IFERROR(INDEX(Table14[],MATCH($B1816,Table14[SAPNo],0),3),"")</f>
        <v>Round 1313 CT200  0.018" (B)</v>
      </c>
      <c r="D1816" s="306"/>
      <c r="E1816" s="421">
        <v>6</v>
      </c>
      <c r="F1816" s="421"/>
      <c r="G1816" s="417" t="s">
        <v>1750</v>
      </c>
      <c r="H1816" s="598">
        <v>14178461</v>
      </c>
      <c r="I1816" s="322" t="s">
        <v>1751</v>
      </c>
      <c r="J1816" s="418"/>
      <c r="K1816" s="248"/>
      <c r="M1816" s="366"/>
      <c r="AF1816">
        <v>6</v>
      </c>
    </row>
    <row r="1817" spans="1:32" x14ac:dyDescent="0.25">
      <c r="A1817" s="308">
        <v>45427</v>
      </c>
      <c r="B1817" s="416">
        <v>871781</v>
      </c>
      <c r="C1817" s="413" t="str">
        <f>IFERROR(INDEX(Table14[],MATCH($B1817,Table14[SAPNo],0),3),"")</f>
        <v>Round 1313 CT200  0.018" (B)</v>
      </c>
      <c r="D1817" s="306"/>
      <c r="E1817" s="421">
        <v>5</v>
      </c>
      <c r="F1817" s="421"/>
      <c r="G1817" s="417" t="s">
        <v>1752</v>
      </c>
      <c r="H1817" s="598">
        <v>14161999</v>
      </c>
      <c r="I1817" s="322" t="s">
        <v>1463</v>
      </c>
      <c r="J1817" s="418"/>
      <c r="K1817" s="248"/>
      <c r="M1817" s="366"/>
      <c r="AF1817">
        <v>5</v>
      </c>
    </row>
    <row r="1818" spans="1:32" x14ac:dyDescent="0.25">
      <c r="A1818" s="308">
        <v>45427</v>
      </c>
      <c r="B1818" s="416">
        <v>1209410</v>
      </c>
      <c r="C1818" s="413" t="str">
        <f>IFERROR(INDEX(Table14[],MATCH($B1818,Table14[SAPNo],0),3),"")</f>
        <v>1613 CT430MV3 U TBO</v>
      </c>
      <c r="D1818" s="306"/>
      <c r="E1818" s="421">
        <v>10</v>
      </c>
      <c r="F1818" s="421"/>
      <c r="G1818" s="417" t="s">
        <v>1752</v>
      </c>
      <c r="H1818" s="598">
        <v>14161999</v>
      </c>
      <c r="I1818" s="322" t="s">
        <v>1463</v>
      </c>
      <c r="J1818" s="418"/>
      <c r="K1818" s="248"/>
      <c r="M1818" s="366"/>
      <c r="AF1818">
        <v>10</v>
      </c>
    </row>
    <row r="1819" spans="1:32" x14ac:dyDescent="0.25">
      <c r="A1819" s="308">
        <v>45427</v>
      </c>
      <c r="B1819" s="416">
        <v>1146737</v>
      </c>
      <c r="C1819" s="413" t="str">
        <f>IFERROR(INDEX(Table14[],MATCH($B1819,Table14[SAPNo],0),3),"")</f>
        <v>1613 CT418 18-60</v>
      </c>
      <c r="D1819" s="306"/>
      <c r="E1819" s="421">
        <v>10</v>
      </c>
      <c r="F1819" s="421"/>
      <c r="G1819" s="417" t="s">
        <v>1752</v>
      </c>
      <c r="H1819" s="598">
        <v>14161999</v>
      </c>
      <c r="I1819" s="322" t="s">
        <v>1463</v>
      </c>
      <c r="J1819" s="418"/>
      <c r="K1819" s="248"/>
      <c r="M1819" s="366"/>
      <c r="AF1819">
        <v>10</v>
      </c>
    </row>
    <row r="1820" spans="1:32" x14ac:dyDescent="0.25">
      <c r="A1820" s="308">
        <v>45427</v>
      </c>
      <c r="B1820" s="416">
        <v>1100751</v>
      </c>
      <c r="C1820" s="413" t="str">
        <f>IFERROR(INDEX(Table14[],MATCH($B1820,Table14[SAPNo],0),3),"")</f>
        <v>1313 CT421 0.018"</v>
      </c>
      <c r="D1820" s="306"/>
      <c r="E1820" s="421">
        <v>22</v>
      </c>
      <c r="F1820" s="421"/>
      <c r="G1820" s="417" t="s">
        <v>1752</v>
      </c>
      <c r="H1820" s="598">
        <v>14161999</v>
      </c>
      <c r="I1820" s="322" t="s">
        <v>1463</v>
      </c>
      <c r="J1820" s="418"/>
      <c r="K1820" s="248"/>
      <c r="M1820" s="366"/>
      <c r="AF1820">
        <v>22</v>
      </c>
    </row>
    <row r="1821" spans="1:32" x14ac:dyDescent="0.25">
      <c r="A1821" s="308">
        <v>45427</v>
      </c>
      <c r="B1821" s="416">
        <v>1271790</v>
      </c>
      <c r="C1821" s="413" t="str">
        <f>IFERROR(INDEX(Table14[],MATCH($B1821,Table14[SAPNo],0),3),"")</f>
        <v xml:space="preserve">1613 CT170 18-60 </v>
      </c>
      <c r="D1821" s="306"/>
      <c r="E1821" s="421">
        <v>30</v>
      </c>
      <c r="F1821" s="421"/>
      <c r="G1821" s="417" t="s">
        <v>1752</v>
      </c>
      <c r="H1821" s="598">
        <v>14161999</v>
      </c>
      <c r="I1821" s="322" t="s">
        <v>1463</v>
      </c>
      <c r="J1821" s="418"/>
      <c r="K1821" s="248"/>
      <c r="M1821" s="366"/>
      <c r="AF1821">
        <v>30</v>
      </c>
    </row>
    <row r="1822" spans="1:32" x14ac:dyDescent="0.25">
      <c r="A1822" s="320">
        <v>45427</v>
      </c>
      <c r="B1822" s="419">
        <v>717748</v>
      </c>
      <c r="C1822" s="413" t="str">
        <f>IFERROR(INDEX(Table14[],MATCH($B1822,Table14[SAPNo],0),3),"")</f>
        <v>Round 1010 CT200  0.018" (B)</v>
      </c>
      <c r="D1822" s="306"/>
      <c r="E1822" s="421">
        <v>3</v>
      </c>
      <c r="F1822" s="421"/>
      <c r="G1822" s="420" t="s">
        <v>1753</v>
      </c>
      <c r="H1822" s="599" t="s">
        <v>1754</v>
      </c>
      <c r="I1822" s="322" t="s">
        <v>1069</v>
      </c>
      <c r="J1822" s="421"/>
      <c r="K1822" s="422"/>
      <c r="M1822" s="366"/>
      <c r="AF1822">
        <v>3</v>
      </c>
    </row>
    <row r="1823" spans="1:32" x14ac:dyDescent="0.25">
      <c r="A1823" s="308">
        <v>45428</v>
      </c>
      <c r="B1823" s="416">
        <v>1100696</v>
      </c>
      <c r="C1823" s="413" t="str">
        <f>IFERROR(INDEX(Table14[],MATCH($B1823,Table14[SAPNo],0),3),"")</f>
        <v>Round 1313 CT418  10C (S)</v>
      </c>
      <c r="D1823" s="306"/>
      <c r="E1823" s="421">
        <v>17</v>
      </c>
      <c r="F1823" s="421"/>
      <c r="G1823" s="417" t="s">
        <v>1755</v>
      </c>
      <c r="H1823" s="598">
        <v>14178455</v>
      </c>
      <c r="I1823" s="322" t="s">
        <v>1646</v>
      </c>
      <c r="J1823" s="418"/>
      <c r="K1823" s="248"/>
      <c r="M1823" s="422"/>
      <c r="AF1823">
        <v>17</v>
      </c>
    </row>
    <row r="1824" spans="1:32" x14ac:dyDescent="0.25">
      <c r="A1824" s="308">
        <v>45428</v>
      </c>
      <c r="B1824" s="416">
        <v>418525</v>
      </c>
      <c r="C1824" s="413" t="str">
        <f>IFERROR(INDEX(Table14[],MATCH($B1824,Table14[SAPNo],0),3),"")</f>
        <v>Drop In 1308 CT31   (B)</v>
      </c>
      <c r="D1824" s="306"/>
      <c r="E1824" s="421">
        <v>10</v>
      </c>
      <c r="F1824" s="421"/>
      <c r="G1824" s="417" t="s">
        <v>1755</v>
      </c>
      <c r="H1824" s="598">
        <v>14178455</v>
      </c>
      <c r="I1824" s="322" t="s">
        <v>1646</v>
      </c>
      <c r="J1824" s="418"/>
      <c r="K1824" s="248"/>
      <c r="M1824" s="366"/>
      <c r="AF1824">
        <v>10</v>
      </c>
    </row>
    <row r="1825" spans="1:32" x14ac:dyDescent="0.25">
      <c r="A1825" s="308">
        <v>45428</v>
      </c>
      <c r="B1825" s="416">
        <v>1146346</v>
      </c>
      <c r="C1825" s="413" t="str">
        <f>IFERROR(INDEX(Table14[],MATCH($B1825,Table14[SAPNo],0),3),"")</f>
        <v>1313 CT418 18-60</v>
      </c>
      <c r="D1825" s="306"/>
      <c r="E1825" s="421">
        <v>6</v>
      </c>
      <c r="F1825" s="421"/>
      <c r="G1825" s="417" t="s">
        <v>1755</v>
      </c>
      <c r="H1825" s="598">
        <v>14178455</v>
      </c>
      <c r="I1825" s="322" t="s">
        <v>1646</v>
      </c>
      <c r="J1825" s="418"/>
      <c r="K1825" s="248"/>
      <c r="M1825" s="366"/>
      <c r="AF1825">
        <v>6</v>
      </c>
    </row>
    <row r="1826" spans="1:32" x14ac:dyDescent="0.25">
      <c r="A1826" s="308">
        <v>45428</v>
      </c>
      <c r="B1826" s="416">
        <v>418525</v>
      </c>
      <c r="C1826" s="413" t="str">
        <f>IFERROR(INDEX(Table14[],MATCH($B1826,Table14[SAPNo],0),3),"")</f>
        <v>Drop In 1308 CT31   (B)</v>
      </c>
      <c r="D1826" s="306"/>
      <c r="E1826" s="421">
        <v>10</v>
      </c>
      <c r="F1826" s="421"/>
      <c r="G1826" s="417" t="s">
        <v>1756</v>
      </c>
      <c r="H1826" s="598">
        <v>14178456</v>
      </c>
      <c r="I1826" s="322" t="s">
        <v>1646</v>
      </c>
      <c r="J1826" s="418"/>
      <c r="K1826" s="248"/>
      <c r="M1826" s="366"/>
      <c r="AF1826">
        <v>10</v>
      </c>
    </row>
    <row r="1827" spans="1:32" x14ac:dyDescent="0.25">
      <c r="A1827" s="308">
        <v>45428</v>
      </c>
      <c r="B1827" s="416">
        <v>1100696</v>
      </c>
      <c r="C1827" s="413" t="str">
        <f>IFERROR(INDEX(Table14[],MATCH($B1827,Table14[SAPNo],0),3),"")</f>
        <v>Round 1313 CT418  10C (S)</v>
      </c>
      <c r="D1827" s="306"/>
      <c r="E1827" s="421">
        <v>17</v>
      </c>
      <c r="F1827" s="421"/>
      <c r="G1827" s="417" t="s">
        <v>1756</v>
      </c>
      <c r="H1827" s="598">
        <v>14178456</v>
      </c>
      <c r="I1827" s="322" t="s">
        <v>1646</v>
      </c>
      <c r="J1827" s="418"/>
      <c r="K1827" s="248"/>
      <c r="M1827" s="366"/>
      <c r="AF1827">
        <v>17</v>
      </c>
    </row>
    <row r="1828" spans="1:32" x14ac:dyDescent="0.25">
      <c r="A1828" s="308">
        <v>45428</v>
      </c>
      <c r="B1828" s="416">
        <v>1146346</v>
      </c>
      <c r="C1828" s="413" t="str">
        <f>IFERROR(INDEX(Table14[],MATCH($B1828,Table14[SAPNo],0),3),"")</f>
        <v>1313 CT418 18-60</v>
      </c>
      <c r="D1828" s="306"/>
      <c r="E1828" s="421">
        <v>6</v>
      </c>
      <c r="F1828" s="421"/>
      <c r="G1828" s="417" t="s">
        <v>1756</v>
      </c>
      <c r="H1828" s="598">
        <v>14178456</v>
      </c>
      <c r="I1828" s="322" t="s">
        <v>1646</v>
      </c>
      <c r="J1828" s="418"/>
      <c r="K1828" s="248"/>
      <c r="M1828" s="366"/>
      <c r="AF1828">
        <v>6</v>
      </c>
    </row>
    <row r="1829" spans="1:32" x14ac:dyDescent="0.25">
      <c r="A1829" s="308">
        <v>45428</v>
      </c>
      <c r="B1829" s="416">
        <v>1146346</v>
      </c>
      <c r="C1829" s="413" t="str">
        <f>IFERROR(INDEX(Table14[],MATCH($B1829,Table14[SAPNo],0),3),"")</f>
        <v>1313 CT418 18-60</v>
      </c>
      <c r="D1829" s="306"/>
      <c r="E1829" s="421">
        <v>6</v>
      </c>
      <c r="F1829" s="421"/>
      <c r="G1829" s="417" t="s">
        <v>1757</v>
      </c>
      <c r="H1829" s="598">
        <v>14178457</v>
      </c>
      <c r="I1829" s="322" t="s">
        <v>1646</v>
      </c>
      <c r="J1829" s="418"/>
      <c r="K1829" s="248"/>
      <c r="M1829" s="366"/>
      <c r="AF1829">
        <v>6</v>
      </c>
    </row>
    <row r="1830" spans="1:32" x14ac:dyDescent="0.25">
      <c r="A1830" s="308">
        <v>45428</v>
      </c>
      <c r="B1830" s="416">
        <v>418525</v>
      </c>
      <c r="C1830" s="413" t="str">
        <f>IFERROR(INDEX(Table14[],MATCH($B1830,Table14[SAPNo],0),3),"")</f>
        <v>Drop In 1308 CT31   (B)</v>
      </c>
      <c r="D1830" s="306"/>
      <c r="E1830" s="421">
        <v>10</v>
      </c>
      <c r="F1830" s="421"/>
      <c r="G1830" s="417" t="s">
        <v>1757</v>
      </c>
      <c r="H1830" s="598">
        <v>14178457</v>
      </c>
      <c r="I1830" s="322" t="s">
        <v>1646</v>
      </c>
      <c r="J1830" s="418"/>
      <c r="K1830" s="248"/>
      <c r="M1830" s="366"/>
      <c r="AF1830">
        <v>10</v>
      </c>
    </row>
    <row r="1831" spans="1:32" x14ac:dyDescent="0.25">
      <c r="A1831" s="308">
        <v>45428</v>
      </c>
      <c r="B1831" s="416">
        <v>1100696</v>
      </c>
      <c r="C1831" s="413" t="str">
        <f>IFERROR(INDEX(Table14[],MATCH($B1831,Table14[SAPNo],0),3),"")</f>
        <v>Round 1313 CT418  10C (S)</v>
      </c>
      <c r="D1831" s="306"/>
      <c r="E1831" s="421">
        <v>17</v>
      </c>
      <c r="F1831" s="421"/>
      <c r="G1831" s="417" t="s">
        <v>1757</v>
      </c>
      <c r="H1831" s="598">
        <v>14178457</v>
      </c>
      <c r="I1831" s="322" t="s">
        <v>1646</v>
      </c>
      <c r="J1831" s="418"/>
      <c r="K1831" s="248"/>
      <c r="M1831" s="366"/>
      <c r="AF1831">
        <v>17</v>
      </c>
    </row>
    <row r="1832" spans="1:32" x14ac:dyDescent="0.25">
      <c r="A1832" s="308">
        <v>45428</v>
      </c>
      <c r="B1832" s="416">
        <v>1078377</v>
      </c>
      <c r="C1832" s="413" t="str">
        <f>IFERROR(INDEX(Table14[],MATCH($B1832,Table14[SAPNo],0),3),"")</f>
        <v>13MM CT221 R1</v>
      </c>
      <c r="D1832" s="306"/>
      <c r="E1832" s="421">
        <v>15</v>
      </c>
      <c r="F1832" s="421"/>
      <c r="G1832" s="417" t="s">
        <v>1758</v>
      </c>
      <c r="H1832" s="598">
        <v>14144628</v>
      </c>
      <c r="I1832" s="322" t="s">
        <v>1497</v>
      </c>
      <c r="J1832" s="418"/>
      <c r="K1832" s="248"/>
      <c r="M1832" s="366"/>
      <c r="AF1832">
        <v>15</v>
      </c>
    </row>
    <row r="1833" spans="1:32" x14ac:dyDescent="0.25">
      <c r="A1833" s="308">
        <v>45428</v>
      </c>
      <c r="B1833" s="416">
        <v>1208601</v>
      </c>
      <c r="C1833" s="413" t="str">
        <f>IFERROR(INDEX(Table14[],MATCH($B1833,Table14[SAPNo],0),3),"")</f>
        <v>1613 CT418 U-60</v>
      </c>
      <c r="D1833" s="306"/>
      <c r="E1833" s="421">
        <v>8</v>
      </c>
      <c r="F1833" s="421"/>
      <c r="G1833" s="417" t="s">
        <v>1758</v>
      </c>
      <c r="H1833" s="598">
        <v>14144628</v>
      </c>
      <c r="I1833" s="322" t="s">
        <v>1497</v>
      </c>
      <c r="J1833" s="418"/>
      <c r="K1833" s="248"/>
      <c r="M1833" s="366"/>
      <c r="AF1833">
        <v>8</v>
      </c>
    </row>
    <row r="1834" spans="1:32" x14ac:dyDescent="0.25">
      <c r="A1834" s="308">
        <v>45428</v>
      </c>
      <c r="B1834" s="416">
        <v>1271790</v>
      </c>
      <c r="C1834" s="413" t="str">
        <f>IFERROR(INDEX(Table14[],MATCH($B1834,Table14[SAPNo],0),3),"")</f>
        <v xml:space="preserve">1613 CT170 18-60 </v>
      </c>
      <c r="D1834" s="306"/>
      <c r="E1834" s="421">
        <v>17</v>
      </c>
      <c r="F1834" s="421"/>
      <c r="G1834" s="417" t="s">
        <v>1758</v>
      </c>
      <c r="H1834" s="598">
        <v>14144628</v>
      </c>
      <c r="I1834" s="322" t="s">
        <v>1497</v>
      </c>
      <c r="J1834" s="418"/>
      <c r="K1834" s="248"/>
      <c r="M1834" s="366"/>
      <c r="AF1834">
        <v>17</v>
      </c>
    </row>
    <row r="1835" spans="1:32" x14ac:dyDescent="0.25">
      <c r="A1835" s="308">
        <v>45428</v>
      </c>
      <c r="B1835" s="416">
        <v>418525</v>
      </c>
      <c r="C1835" s="413" t="str">
        <f>IFERROR(INDEX(Table14[],MATCH($B1835,Table14[SAPNo],0),3),"")</f>
        <v>Drop In 1308 CT31   (B)</v>
      </c>
      <c r="D1835" s="306"/>
      <c r="E1835" s="421">
        <v>6</v>
      </c>
      <c r="F1835" s="421"/>
      <c r="G1835" s="417" t="s">
        <v>1758</v>
      </c>
      <c r="H1835" s="598">
        <v>14144628</v>
      </c>
      <c r="I1835" s="322" t="s">
        <v>1497</v>
      </c>
      <c r="J1835" s="418"/>
      <c r="K1835" s="248"/>
      <c r="M1835" s="366"/>
      <c r="AF1835">
        <v>6</v>
      </c>
    </row>
    <row r="1836" spans="1:32" x14ac:dyDescent="0.25">
      <c r="A1836" s="308">
        <v>45428</v>
      </c>
      <c r="B1836" s="416">
        <v>1146737</v>
      </c>
      <c r="C1836" s="413" t="str">
        <f>IFERROR(INDEX(Table14[],MATCH($B1836,Table14[SAPNo],0),3),"")</f>
        <v>1613 CT418 18-60</v>
      </c>
      <c r="D1836" s="306"/>
      <c r="E1836" s="421">
        <v>6</v>
      </c>
      <c r="F1836" s="421"/>
      <c r="G1836" s="417" t="s">
        <v>1758</v>
      </c>
      <c r="H1836" s="598">
        <v>14144628</v>
      </c>
      <c r="I1836" s="322" t="s">
        <v>1497</v>
      </c>
      <c r="J1836" s="418"/>
      <c r="K1836" s="248"/>
      <c r="M1836" s="366"/>
      <c r="AF1836">
        <v>6</v>
      </c>
    </row>
    <row r="1837" spans="1:32" x14ac:dyDescent="0.25">
      <c r="A1837" s="308">
        <v>45429</v>
      </c>
      <c r="B1837" s="416">
        <v>717751</v>
      </c>
      <c r="C1837" s="413" t="str">
        <f>IFERROR(INDEX(Table14[],MATCH($B1837,Table14[SAPNo],0),3),"")</f>
        <v>Round 1308 CT200  0.018" (B)</v>
      </c>
      <c r="D1837" s="306"/>
      <c r="E1837" s="421">
        <v>1</v>
      </c>
      <c r="F1837" s="421"/>
      <c r="G1837" s="417" t="s">
        <v>1759</v>
      </c>
      <c r="H1837" s="598">
        <v>14109692</v>
      </c>
      <c r="I1837" s="322" t="s">
        <v>1748</v>
      </c>
      <c r="J1837" s="418"/>
      <c r="K1837" s="248"/>
      <c r="M1837" s="366"/>
      <c r="AF1837">
        <v>1</v>
      </c>
    </row>
    <row r="1838" spans="1:32" x14ac:dyDescent="0.25">
      <c r="A1838" s="308">
        <v>45429</v>
      </c>
      <c r="B1838" s="416">
        <v>708306</v>
      </c>
      <c r="C1838" s="413" t="str">
        <f>IFERROR(INDEX(Table14[],MATCH($B1838,Table14[SAPNo],0),3),"")</f>
        <v>Round 1913 CT200  0.018" (B)</v>
      </c>
      <c r="D1838" s="306"/>
      <c r="E1838" s="421">
        <v>34</v>
      </c>
      <c r="F1838" s="421"/>
      <c r="G1838" s="417" t="s">
        <v>1760</v>
      </c>
      <c r="H1838" s="598">
        <v>14162010</v>
      </c>
      <c r="I1838" s="322" t="s">
        <v>1599</v>
      </c>
      <c r="J1838" s="418"/>
      <c r="K1838" s="248"/>
      <c r="M1838" s="366"/>
      <c r="AF1838">
        <v>34</v>
      </c>
    </row>
    <row r="1839" spans="1:32" x14ac:dyDescent="0.25">
      <c r="A1839" s="308">
        <v>45429</v>
      </c>
      <c r="B1839" s="416">
        <v>871781</v>
      </c>
      <c r="C1839" s="413" t="str">
        <f>IFERROR(INDEX(Table14[],MATCH($B1839,Table14[SAPNo],0),3),"")</f>
        <v>Round 1313 CT200  0.018" (B)</v>
      </c>
      <c r="D1839" s="306"/>
      <c r="E1839" s="421">
        <v>8</v>
      </c>
      <c r="F1839" s="421"/>
      <c r="G1839" s="417" t="s">
        <v>1760</v>
      </c>
      <c r="H1839" s="598">
        <v>14162010</v>
      </c>
      <c r="I1839" s="322" t="s">
        <v>1599</v>
      </c>
      <c r="J1839" s="418"/>
      <c r="K1839" s="248"/>
      <c r="M1839" s="366"/>
      <c r="AF1839">
        <v>8</v>
      </c>
    </row>
    <row r="1840" spans="1:32" x14ac:dyDescent="0.25">
      <c r="A1840" s="308">
        <v>45429</v>
      </c>
      <c r="B1840" s="416">
        <v>1100755</v>
      </c>
      <c r="C1840" s="413" t="str">
        <f>IFERROR(INDEX(Table14[],MATCH($B1840,Table14[SAPNo],0),3),"")</f>
        <v>Round 1613 CT421  0.018" (S)</v>
      </c>
      <c r="D1840" s="306"/>
      <c r="E1840" s="421">
        <v>9</v>
      </c>
      <c r="F1840" s="421"/>
      <c r="G1840" s="417" t="s">
        <v>1760</v>
      </c>
      <c r="H1840" s="598">
        <v>14162010</v>
      </c>
      <c r="I1840" s="322" t="s">
        <v>1599</v>
      </c>
      <c r="J1840" s="418"/>
      <c r="K1840" s="248"/>
      <c r="M1840" s="366"/>
      <c r="AF1840">
        <v>9</v>
      </c>
    </row>
    <row r="1841" spans="1:32" x14ac:dyDescent="0.25">
      <c r="A1841" s="320">
        <v>45429</v>
      </c>
      <c r="B1841" s="419">
        <v>1100759</v>
      </c>
      <c r="C1841" s="413" t="str">
        <f>IFERROR(INDEX(Table14[],MATCH($B1841,Table14[SAPNo],0),3),"")</f>
        <v>1913 CT421 0.018"</v>
      </c>
      <c r="D1841" s="306"/>
      <c r="E1841" s="421">
        <v>48</v>
      </c>
      <c r="F1841" s="421"/>
      <c r="G1841" s="420" t="s">
        <v>1760</v>
      </c>
      <c r="H1841" s="599">
        <v>14162010</v>
      </c>
      <c r="I1841" s="322" t="s">
        <v>1599</v>
      </c>
      <c r="J1841" s="421"/>
      <c r="K1841" s="422"/>
      <c r="M1841" s="366"/>
      <c r="AF1841">
        <v>48</v>
      </c>
    </row>
    <row r="1842" spans="1:32" x14ac:dyDescent="0.25">
      <c r="A1842" s="308">
        <v>45431</v>
      </c>
      <c r="B1842" s="416">
        <v>418525</v>
      </c>
      <c r="C1842" s="413" t="str">
        <f>IFERROR(INDEX(Table14[],MATCH($B1842,Table14[SAPNo],0),3),"")</f>
        <v>Drop In 1308 CT31   (B)</v>
      </c>
      <c r="D1842" s="306"/>
      <c r="E1842" s="421">
        <v>6</v>
      </c>
      <c r="F1842" s="421"/>
      <c r="G1842" s="417" t="s">
        <v>1761</v>
      </c>
      <c r="H1842" s="598">
        <v>14178463</v>
      </c>
      <c r="I1842" s="322" t="s">
        <v>1516</v>
      </c>
      <c r="J1842" s="418"/>
      <c r="K1842" s="248"/>
      <c r="M1842" s="422"/>
      <c r="AF1842">
        <v>6</v>
      </c>
    </row>
    <row r="1843" spans="1:32" x14ac:dyDescent="0.25">
      <c r="A1843" s="308">
        <v>45431</v>
      </c>
      <c r="B1843" s="416">
        <v>1271790</v>
      </c>
      <c r="C1843" s="413" t="str">
        <f>IFERROR(INDEX(Table14[],MATCH($B1843,Table14[SAPNo],0),3),"")</f>
        <v xml:space="preserve">1613 CT170 18-60 </v>
      </c>
      <c r="D1843" s="306"/>
      <c r="E1843" s="421">
        <v>17</v>
      </c>
      <c r="F1843" s="421"/>
      <c r="G1843" s="417" t="s">
        <v>1761</v>
      </c>
      <c r="H1843" s="598">
        <v>14178463</v>
      </c>
      <c r="I1843" s="322" t="s">
        <v>1516</v>
      </c>
      <c r="J1843" s="418"/>
      <c r="K1843" s="248"/>
      <c r="M1843" s="366"/>
      <c r="AF1843">
        <v>17</v>
      </c>
    </row>
    <row r="1844" spans="1:32" x14ac:dyDescent="0.25">
      <c r="A1844" s="308">
        <v>45431</v>
      </c>
      <c r="B1844" s="416">
        <v>1146737</v>
      </c>
      <c r="C1844" s="413" t="str">
        <f>IFERROR(INDEX(Table14[],MATCH($B1844,Table14[SAPNo],0),3),"")</f>
        <v>1613 CT418 18-60</v>
      </c>
      <c r="D1844" s="306"/>
      <c r="E1844" s="421">
        <v>6</v>
      </c>
      <c r="F1844" s="421"/>
      <c r="G1844" s="417" t="s">
        <v>1761</v>
      </c>
      <c r="H1844" s="598">
        <v>14178463</v>
      </c>
      <c r="I1844" s="322" t="s">
        <v>1516</v>
      </c>
      <c r="J1844" s="418"/>
      <c r="K1844" s="248"/>
      <c r="M1844" s="366"/>
      <c r="AF1844">
        <v>6</v>
      </c>
    </row>
    <row r="1845" spans="1:32" x14ac:dyDescent="0.25">
      <c r="A1845" s="308">
        <v>45431</v>
      </c>
      <c r="B1845" s="416">
        <v>1078377</v>
      </c>
      <c r="C1845" s="413" t="str">
        <f>IFERROR(INDEX(Table14[],MATCH($B1845,Table14[SAPNo],0),3),"")</f>
        <v>13MM CT221 R1</v>
      </c>
      <c r="D1845" s="306"/>
      <c r="E1845" s="421">
        <v>15</v>
      </c>
      <c r="F1845" s="421"/>
      <c r="G1845" s="417" t="s">
        <v>1761</v>
      </c>
      <c r="H1845" s="598">
        <v>14178463</v>
      </c>
      <c r="I1845" s="322" t="s">
        <v>1516</v>
      </c>
      <c r="J1845" s="418"/>
      <c r="K1845" s="248"/>
      <c r="M1845" s="366"/>
      <c r="AF1845">
        <v>15</v>
      </c>
    </row>
    <row r="1846" spans="1:32" x14ac:dyDescent="0.25">
      <c r="A1846" s="308">
        <v>45431</v>
      </c>
      <c r="B1846" s="416">
        <v>1208601</v>
      </c>
      <c r="C1846" s="413" t="str">
        <f>IFERROR(INDEX(Table14[],MATCH($B1846,Table14[SAPNo],0),3),"")</f>
        <v>1613 CT418 U-60</v>
      </c>
      <c r="D1846" s="306"/>
      <c r="E1846" s="421">
        <v>8</v>
      </c>
      <c r="F1846" s="421"/>
      <c r="G1846" s="417" t="s">
        <v>1761</v>
      </c>
      <c r="H1846" s="598">
        <v>14178463</v>
      </c>
      <c r="I1846" s="322" t="s">
        <v>1516</v>
      </c>
      <c r="J1846" s="418"/>
      <c r="K1846" s="248"/>
      <c r="M1846" s="366"/>
      <c r="AF1846">
        <v>8</v>
      </c>
    </row>
    <row r="1847" spans="1:32" x14ac:dyDescent="0.25">
      <c r="A1847" s="308">
        <v>45431</v>
      </c>
      <c r="B1847" s="416">
        <v>1208601</v>
      </c>
      <c r="C1847" s="413" t="str">
        <f>IFERROR(INDEX(Table14[],MATCH($B1847,Table14[SAPNo],0),3),"")</f>
        <v>1613 CT418 U-60</v>
      </c>
      <c r="D1847" s="306"/>
      <c r="E1847" s="421">
        <v>8</v>
      </c>
      <c r="F1847" s="421"/>
      <c r="G1847" s="417" t="s">
        <v>1762</v>
      </c>
      <c r="H1847" s="598">
        <v>14178469</v>
      </c>
      <c r="I1847" s="322" t="s">
        <v>1516</v>
      </c>
      <c r="J1847" s="418"/>
      <c r="K1847" s="248"/>
      <c r="M1847" s="366"/>
      <c r="AF1847">
        <v>8</v>
      </c>
    </row>
    <row r="1848" spans="1:32" x14ac:dyDescent="0.25">
      <c r="A1848" s="308">
        <v>45431</v>
      </c>
      <c r="B1848" s="416">
        <v>1078377</v>
      </c>
      <c r="C1848" s="413" t="str">
        <f>IFERROR(INDEX(Table14[],MATCH($B1848,Table14[SAPNo],0),3),"")</f>
        <v>13MM CT221 R1</v>
      </c>
      <c r="D1848" s="306"/>
      <c r="E1848" s="421">
        <v>15</v>
      </c>
      <c r="F1848" s="421"/>
      <c r="G1848" s="417" t="s">
        <v>1762</v>
      </c>
      <c r="H1848" s="598">
        <v>14178469</v>
      </c>
      <c r="I1848" s="322" t="s">
        <v>1516</v>
      </c>
      <c r="J1848" s="418"/>
      <c r="K1848" s="248"/>
      <c r="M1848" s="366"/>
      <c r="AF1848">
        <v>15</v>
      </c>
    </row>
    <row r="1849" spans="1:32" x14ac:dyDescent="0.25">
      <c r="A1849" s="308">
        <v>45431</v>
      </c>
      <c r="B1849" s="416">
        <v>418525</v>
      </c>
      <c r="C1849" s="413" t="str">
        <f>IFERROR(INDEX(Table14[],MATCH($B1849,Table14[SAPNo],0),3),"")</f>
        <v>Drop In 1308 CT31   (B)</v>
      </c>
      <c r="D1849" s="306"/>
      <c r="E1849" s="421">
        <v>6</v>
      </c>
      <c r="F1849" s="421"/>
      <c r="G1849" s="417" t="s">
        <v>1762</v>
      </c>
      <c r="H1849" s="598">
        <v>14178469</v>
      </c>
      <c r="I1849" s="322" t="s">
        <v>1516</v>
      </c>
      <c r="J1849" s="418"/>
      <c r="K1849" s="248"/>
      <c r="M1849" s="366"/>
      <c r="AF1849">
        <v>6</v>
      </c>
    </row>
    <row r="1850" spans="1:32" x14ac:dyDescent="0.25">
      <c r="A1850" s="308">
        <v>45431</v>
      </c>
      <c r="B1850" s="416">
        <v>1271790</v>
      </c>
      <c r="C1850" s="413" t="str">
        <f>IFERROR(INDEX(Table14[],MATCH($B1850,Table14[SAPNo],0),3),"")</f>
        <v xml:space="preserve">1613 CT170 18-60 </v>
      </c>
      <c r="D1850" s="306"/>
      <c r="E1850" s="421">
        <v>17</v>
      </c>
      <c r="F1850" s="421"/>
      <c r="G1850" s="417" t="s">
        <v>1762</v>
      </c>
      <c r="H1850" s="598">
        <v>14178469</v>
      </c>
      <c r="I1850" s="322" t="s">
        <v>1516</v>
      </c>
      <c r="J1850" s="418"/>
      <c r="K1850" s="248"/>
      <c r="M1850" s="366"/>
      <c r="AF1850">
        <v>17</v>
      </c>
    </row>
    <row r="1851" spans="1:32" x14ac:dyDescent="0.25">
      <c r="A1851" s="308">
        <v>45431</v>
      </c>
      <c r="B1851" s="416">
        <v>1146737</v>
      </c>
      <c r="C1851" s="413" t="str">
        <f>IFERROR(INDEX(Table14[],MATCH($B1851,Table14[SAPNo],0),3),"")</f>
        <v>1613 CT418 18-60</v>
      </c>
      <c r="D1851" s="306"/>
      <c r="E1851" s="421">
        <v>6</v>
      </c>
      <c r="F1851" s="421"/>
      <c r="G1851" s="417" t="s">
        <v>1762</v>
      </c>
      <c r="H1851" s="598">
        <v>14178469</v>
      </c>
      <c r="I1851" s="322" t="s">
        <v>1516</v>
      </c>
      <c r="J1851" s="418"/>
      <c r="K1851" s="248"/>
      <c r="M1851" s="366"/>
      <c r="AF1851">
        <v>6</v>
      </c>
    </row>
    <row r="1852" spans="1:32" x14ac:dyDescent="0.25">
      <c r="A1852" s="308">
        <v>45431</v>
      </c>
      <c r="B1852" s="416">
        <v>1142711</v>
      </c>
      <c r="C1852" s="413" t="str">
        <f>IFERROR(INDEX(Table14[],MATCH($B1852,Table14[SAPNo],0),3),"")</f>
        <v>1613 CT421 U</v>
      </c>
      <c r="D1852" s="306"/>
      <c r="E1852" s="421">
        <v>21</v>
      </c>
      <c r="F1852" s="421"/>
      <c r="G1852" s="417" t="s">
        <v>1763</v>
      </c>
      <c r="H1852" s="598">
        <v>14178476</v>
      </c>
      <c r="I1852" s="322" t="s">
        <v>1764</v>
      </c>
      <c r="J1852" s="418"/>
      <c r="K1852" s="248"/>
      <c r="M1852" s="366"/>
      <c r="AF1852">
        <v>21</v>
      </c>
    </row>
    <row r="1853" spans="1:32" x14ac:dyDescent="0.25">
      <c r="A1853" s="308">
        <v>45431</v>
      </c>
      <c r="B1853" s="416">
        <v>1146737</v>
      </c>
      <c r="C1853" s="413" t="str">
        <f>IFERROR(INDEX(Table14[],MATCH($B1853,Table14[SAPNo],0),3),"")</f>
        <v>1613 CT418 18-60</v>
      </c>
      <c r="D1853" s="306"/>
      <c r="E1853" s="421">
        <v>8</v>
      </c>
      <c r="F1853" s="421"/>
      <c r="G1853" s="417" t="s">
        <v>1763</v>
      </c>
      <c r="H1853" s="598">
        <v>14178476</v>
      </c>
      <c r="I1853" s="322" t="s">
        <v>1764</v>
      </c>
      <c r="J1853" s="418"/>
      <c r="K1853" s="248"/>
      <c r="M1853" s="366"/>
      <c r="AF1853">
        <v>8</v>
      </c>
    </row>
    <row r="1854" spans="1:32" x14ac:dyDescent="0.25">
      <c r="A1854" s="308">
        <v>45431</v>
      </c>
      <c r="B1854" s="416">
        <v>1263823</v>
      </c>
      <c r="C1854" s="413" t="str">
        <f>IFERROR(INDEX(Table14[],MATCH($B1854,Table14[SAPNo],0),3),"")</f>
        <v>1613 CT170R U</v>
      </c>
      <c r="D1854" s="306"/>
      <c r="E1854" s="421">
        <v>30</v>
      </c>
      <c r="F1854" s="421"/>
      <c r="G1854" s="417" t="s">
        <v>1763</v>
      </c>
      <c r="H1854" s="598">
        <v>14178476</v>
      </c>
      <c r="I1854" s="322" t="s">
        <v>1764</v>
      </c>
      <c r="J1854" s="418"/>
      <c r="K1854" s="248"/>
      <c r="M1854" s="366"/>
      <c r="AF1854">
        <v>30</v>
      </c>
    </row>
    <row r="1855" spans="1:32" x14ac:dyDescent="0.25">
      <c r="A1855" s="308">
        <v>45431</v>
      </c>
      <c r="B1855" s="416">
        <v>871781</v>
      </c>
      <c r="C1855" s="413" t="str">
        <f>IFERROR(INDEX(Table14[],MATCH($B1855,Table14[SAPNo],0),3),"")</f>
        <v>Round 1313 CT200  0.018" (B)</v>
      </c>
      <c r="D1855" s="306"/>
      <c r="E1855" s="421">
        <v>7</v>
      </c>
      <c r="F1855" s="421"/>
      <c r="G1855" s="417" t="s">
        <v>1763</v>
      </c>
      <c r="H1855" s="598">
        <v>14178476</v>
      </c>
      <c r="I1855" s="322" t="s">
        <v>1764</v>
      </c>
      <c r="J1855" s="418"/>
      <c r="K1855" s="248"/>
      <c r="M1855" s="366"/>
      <c r="AF1855">
        <v>7</v>
      </c>
    </row>
    <row r="1856" spans="1:32" x14ac:dyDescent="0.25">
      <c r="A1856" s="308">
        <v>45431</v>
      </c>
      <c r="B1856" s="416">
        <v>1271790</v>
      </c>
      <c r="C1856" s="413" t="str">
        <f>IFERROR(INDEX(Table14[],MATCH($B1856,Table14[SAPNo],0),3),"")</f>
        <v xml:space="preserve">1613 CT170 18-60 </v>
      </c>
      <c r="D1856" s="306"/>
      <c r="E1856" s="421">
        <v>6</v>
      </c>
      <c r="F1856" s="421"/>
      <c r="G1856" s="417" t="s">
        <v>1763</v>
      </c>
      <c r="H1856" s="598">
        <v>14178476</v>
      </c>
      <c r="I1856" s="322" t="s">
        <v>1764</v>
      </c>
      <c r="J1856" s="418"/>
      <c r="K1856" s="248"/>
      <c r="M1856" s="366"/>
      <c r="AF1856">
        <v>6</v>
      </c>
    </row>
    <row r="1857" spans="1:32" x14ac:dyDescent="0.25">
      <c r="A1857" s="308">
        <v>45431</v>
      </c>
      <c r="B1857" s="416">
        <v>625854</v>
      </c>
      <c r="C1857" s="413" t="str">
        <f>IFERROR(INDEX(Table14[],MATCH($B1857,Table14[SAPNo],0),3),"")</f>
        <v>Carbide IA 1318    (C)</v>
      </c>
      <c r="D1857" s="306"/>
      <c r="E1857" s="421">
        <v>6</v>
      </c>
      <c r="F1857" s="421"/>
      <c r="G1857" s="417" t="s">
        <v>1763</v>
      </c>
      <c r="H1857" s="598">
        <v>14178476</v>
      </c>
      <c r="I1857" s="322" t="s">
        <v>1764</v>
      </c>
      <c r="J1857" s="418"/>
      <c r="K1857" s="248"/>
      <c r="M1857" s="366"/>
      <c r="AF1857">
        <v>6</v>
      </c>
    </row>
    <row r="1858" spans="1:32" x14ac:dyDescent="0.25">
      <c r="A1858" s="320">
        <v>45431</v>
      </c>
      <c r="B1858" s="419">
        <v>1208601</v>
      </c>
      <c r="C1858" s="413" t="str">
        <f>IFERROR(INDEX(Table14[],MATCH($B1858,Table14[SAPNo],0),3),"")</f>
        <v>1613 CT418 U-60</v>
      </c>
      <c r="D1858" s="306"/>
      <c r="E1858" s="421">
        <v>11</v>
      </c>
      <c r="F1858" s="421"/>
      <c r="G1858" s="420" t="s">
        <v>1763</v>
      </c>
      <c r="H1858" s="599">
        <v>14178476</v>
      </c>
      <c r="I1858" s="322" t="s">
        <v>1764</v>
      </c>
      <c r="J1858" s="421"/>
      <c r="K1858" s="422"/>
      <c r="M1858" s="366"/>
      <c r="AF1858">
        <v>11</v>
      </c>
    </row>
    <row r="1859" spans="1:32" x14ac:dyDescent="0.25">
      <c r="A1859" s="308">
        <v>45432</v>
      </c>
      <c r="B1859" s="416">
        <v>717748</v>
      </c>
      <c r="C1859" s="413" t="str">
        <f>IFERROR(INDEX(Table14[],MATCH($B1859,Table14[SAPNo],0),3),"")</f>
        <v>Round 1010 CT200  0.018" (B)</v>
      </c>
      <c r="D1859" s="306"/>
      <c r="E1859" s="421"/>
      <c r="F1859" s="421"/>
      <c r="G1859" s="417">
        <v>20241075</v>
      </c>
      <c r="H1859" s="598" t="s">
        <v>1765</v>
      </c>
      <c r="I1859" s="322" t="s">
        <v>1268</v>
      </c>
      <c r="J1859" s="418">
        <v>7</v>
      </c>
      <c r="K1859" s="248"/>
      <c r="M1859" s="422"/>
    </row>
    <row r="1860" spans="1:32" x14ac:dyDescent="0.25">
      <c r="A1860" s="308">
        <v>45432</v>
      </c>
      <c r="B1860" s="416">
        <v>418525</v>
      </c>
      <c r="C1860" s="413" t="str">
        <f>IFERROR(INDEX(Table14[],MATCH($B1860,Table14[SAPNo],0),3),"")</f>
        <v>Drop In 1308 CT31   (B)</v>
      </c>
      <c r="D1860" s="306"/>
      <c r="E1860" s="421">
        <v>9</v>
      </c>
      <c r="F1860" s="421"/>
      <c r="G1860" s="417">
        <v>20241077</v>
      </c>
      <c r="H1860" s="598" t="s">
        <v>1766</v>
      </c>
      <c r="I1860" s="322" t="s">
        <v>1115</v>
      </c>
      <c r="J1860" s="418"/>
      <c r="K1860" s="248"/>
      <c r="M1860" s="366"/>
      <c r="AF1860">
        <v>9</v>
      </c>
    </row>
    <row r="1861" spans="1:32" x14ac:dyDescent="0.25">
      <c r="A1861" s="308">
        <v>45432</v>
      </c>
      <c r="B1861" s="416">
        <v>1145493</v>
      </c>
      <c r="C1861" s="413" t="str">
        <f>IFERROR(INDEX(Table14[],MATCH($B1861,Table14[SAPNo],0),3),"")</f>
        <v>Round 1313 CT427  10C (S)</v>
      </c>
      <c r="D1861" s="306"/>
      <c r="E1861" s="421"/>
      <c r="F1861" s="421"/>
      <c r="G1861" s="417">
        <v>20241077</v>
      </c>
      <c r="H1861" s="598" t="s">
        <v>1766</v>
      </c>
      <c r="I1861" s="322" t="s">
        <v>1115</v>
      </c>
      <c r="J1861" s="418">
        <v>4</v>
      </c>
      <c r="K1861" s="248"/>
      <c r="M1861" s="366"/>
    </row>
    <row r="1862" spans="1:32" x14ac:dyDescent="0.25">
      <c r="A1862" s="308">
        <v>45432</v>
      </c>
      <c r="B1862" s="416">
        <v>1145493</v>
      </c>
      <c r="C1862" s="413" t="str">
        <f>IFERROR(INDEX(Table14[],MATCH($B1862,Table14[SAPNo],0),3),"")</f>
        <v>Round 1313 CT427  10C (S)</v>
      </c>
      <c r="D1862" s="306"/>
      <c r="E1862" s="421"/>
      <c r="F1862" s="421"/>
      <c r="G1862" s="417">
        <v>20241078</v>
      </c>
      <c r="H1862" s="598" t="s">
        <v>1767</v>
      </c>
      <c r="I1862" s="322" t="s">
        <v>1768</v>
      </c>
      <c r="J1862" s="418">
        <v>3</v>
      </c>
      <c r="K1862" s="248"/>
      <c r="M1862" s="366"/>
    </row>
    <row r="1863" spans="1:32" x14ac:dyDescent="0.25">
      <c r="A1863" s="308">
        <v>45432</v>
      </c>
      <c r="B1863" s="416">
        <v>418525</v>
      </c>
      <c r="C1863" s="413" t="str">
        <f>IFERROR(INDEX(Table14[],MATCH($B1863,Table14[SAPNo],0),3),"")</f>
        <v>Drop In 1308 CT31   (B)</v>
      </c>
      <c r="D1863" s="306"/>
      <c r="E1863" s="421">
        <v>7</v>
      </c>
      <c r="F1863" s="421"/>
      <c r="G1863" s="417">
        <v>20241078</v>
      </c>
      <c r="H1863" s="598" t="s">
        <v>1767</v>
      </c>
      <c r="I1863" s="322" t="s">
        <v>1768</v>
      </c>
      <c r="J1863" s="418"/>
      <c r="K1863" s="248"/>
      <c r="M1863" s="366"/>
      <c r="AF1863">
        <v>7</v>
      </c>
    </row>
    <row r="1864" spans="1:32" x14ac:dyDescent="0.25">
      <c r="A1864" s="308">
        <v>45432</v>
      </c>
      <c r="B1864" s="416">
        <v>708306</v>
      </c>
      <c r="C1864" s="413" t="str">
        <f>IFERROR(INDEX(Table14[],MATCH($B1864,Table14[SAPNo],0),3),"")</f>
        <v>Round 1913 CT200  0.018" (B)</v>
      </c>
      <c r="D1864" s="306"/>
      <c r="E1864" s="421">
        <v>2</v>
      </c>
      <c r="F1864" s="421"/>
      <c r="G1864" s="417" t="s">
        <v>1769</v>
      </c>
      <c r="H1864" s="598">
        <v>14162010</v>
      </c>
      <c r="I1864" s="322" t="s">
        <v>1599</v>
      </c>
      <c r="J1864" s="418"/>
      <c r="K1864" s="248"/>
      <c r="M1864" s="366"/>
      <c r="AF1864">
        <v>2</v>
      </c>
    </row>
    <row r="1865" spans="1:32" x14ac:dyDescent="0.25">
      <c r="A1865" s="308">
        <v>45432</v>
      </c>
      <c r="B1865" s="416">
        <v>871781</v>
      </c>
      <c r="C1865" s="413" t="str">
        <f>IFERROR(INDEX(Table14[],MATCH($B1865,Table14[SAPNo],0),3),"")</f>
        <v>Round 1313 CT200  0.018" (B)</v>
      </c>
      <c r="D1865" s="306"/>
      <c r="E1865" s="421">
        <v>6</v>
      </c>
      <c r="F1865" s="421"/>
      <c r="G1865" s="417" t="s">
        <v>1770</v>
      </c>
      <c r="H1865" s="598">
        <v>14144623</v>
      </c>
      <c r="I1865" s="322" t="s">
        <v>1440</v>
      </c>
      <c r="J1865" s="418"/>
      <c r="K1865" s="248"/>
      <c r="M1865" s="366"/>
      <c r="AF1865">
        <v>6</v>
      </c>
    </row>
    <row r="1866" spans="1:32" x14ac:dyDescent="0.25">
      <c r="A1866" s="308">
        <v>45432</v>
      </c>
      <c r="B1866" s="416">
        <v>1261321</v>
      </c>
      <c r="C1866" s="413" t="str">
        <f>IFERROR(INDEX(Table14[],MATCH($B1866,Table14[SAPNo],0),3),"")</f>
        <v>1613 CT155 U-60</v>
      </c>
      <c r="D1866" s="306"/>
      <c r="E1866" s="421">
        <v>4</v>
      </c>
      <c r="F1866" s="421"/>
      <c r="G1866" s="417" t="s">
        <v>1770</v>
      </c>
      <c r="H1866" s="598">
        <v>14144623</v>
      </c>
      <c r="I1866" s="322" t="s">
        <v>1440</v>
      </c>
      <c r="J1866" s="418"/>
      <c r="K1866" s="248"/>
      <c r="M1866" s="366"/>
      <c r="AF1866">
        <v>4</v>
      </c>
    </row>
    <row r="1867" spans="1:32" x14ac:dyDescent="0.25">
      <c r="A1867" s="308">
        <v>45432</v>
      </c>
      <c r="B1867" s="416">
        <v>1261320</v>
      </c>
      <c r="C1867" s="413" t="str">
        <f>IFERROR(INDEX(Table14[],MATCH($B1867,Table14[SAPNo],0),3),"")</f>
        <v>1313 CT155 U-60</v>
      </c>
      <c r="D1867" s="306"/>
      <c r="E1867" s="421">
        <v>6</v>
      </c>
      <c r="F1867" s="421"/>
      <c r="G1867" s="417" t="s">
        <v>1770</v>
      </c>
      <c r="H1867" s="598">
        <v>14144623</v>
      </c>
      <c r="I1867" s="322" t="s">
        <v>1440</v>
      </c>
      <c r="J1867" s="418"/>
      <c r="K1867" s="248"/>
      <c r="M1867" s="366"/>
      <c r="AF1867">
        <v>6</v>
      </c>
    </row>
    <row r="1868" spans="1:32" x14ac:dyDescent="0.25">
      <c r="A1868" s="308">
        <v>45432</v>
      </c>
      <c r="B1868" s="416">
        <v>1261319</v>
      </c>
      <c r="C1868" s="413" t="str">
        <f>IFERROR(INDEX(Table14[],MATCH($B1868,Table14[SAPNo],0),3),"")</f>
        <v>1308 CT155 U-60</v>
      </c>
      <c r="D1868" s="306"/>
      <c r="E1868" s="421">
        <v>24</v>
      </c>
      <c r="F1868" s="421"/>
      <c r="G1868" s="417" t="s">
        <v>1770</v>
      </c>
      <c r="H1868" s="598">
        <v>14144623</v>
      </c>
      <c r="I1868" s="322" t="s">
        <v>1440</v>
      </c>
      <c r="J1868" s="418"/>
      <c r="K1868" s="248"/>
      <c r="M1868" s="366"/>
      <c r="AF1868">
        <v>24</v>
      </c>
    </row>
    <row r="1869" spans="1:32" x14ac:dyDescent="0.25">
      <c r="A1869" s="308">
        <v>45432</v>
      </c>
      <c r="B1869" s="416">
        <v>1228503</v>
      </c>
      <c r="C1869" s="413" t="str">
        <f>IFERROR(INDEX(Table14[],MATCH($B1869,Table14[SAPNo],0),3),"")</f>
        <v>1618 CT182 U-60 Ring</v>
      </c>
      <c r="D1869" s="306"/>
      <c r="E1869" s="421">
        <v>10</v>
      </c>
      <c r="F1869" s="421"/>
      <c r="G1869" s="417" t="s">
        <v>1770</v>
      </c>
      <c r="H1869" s="598">
        <v>14144623</v>
      </c>
      <c r="I1869" s="322" t="s">
        <v>1440</v>
      </c>
      <c r="J1869" s="418"/>
      <c r="K1869" s="248"/>
      <c r="M1869" s="366"/>
      <c r="AF1869">
        <v>10</v>
      </c>
    </row>
    <row r="1870" spans="1:32" x14ac:dyDescent="0.25">
      <c r="A1870" s="308">
        <v>45432</v>
      </c>
      <c r="B1870" s="416">
        <v>1228502</v>
      </c>
      <c r="C1870" s="413" t="str">
        <f>IFERROR(INDEX(Table14[],MATCH($B1870,Table14[SAPNo],0),3),"")</f>
        <v>1618 CT182 U-60 Rotor</v>
      </c>
      <c r="D1870" s="306"/>
      <c r="E1870" s="421">
        <v>10</v>
      </c>
      <c r="F1870" s="421"/>
      <c r="G1870" s="417" t="s">
        <v>1770</v>
      </c>
      <c r="H1870" s="598">
        <v>14144623</v>
      </c>
      <c r="I1870" s="322" t="s">
        <v>1440</v>
      </c>
      <c r="J1870" s="418"/>
      <c r="K1870" s="248"/>
      <c r="M1870" s="366"/>
      <c r="AF1870">
        <v>10</v>
      </c>
    </row>
    <row r="1871" spans="1:32" x14ac:dyDescent="0.25">
      <c r="A1871" s="308">
        <v>45432</v>
      </c>
      <c r="B1871" s="416">
        <v>1228501</v>
      </c>
      <c r="C1871" s="413" t="str">
        <f>IFERROR(INDEX(Table14[],MATCH($B1871,Table14[SAPNo],0),3),"")</f>
        <v>1618 CT182 U-60 stator</v>
      </c>
      <c r="D1871" s="306"/>
      <c r="E1871" s="421">
        <v>10</v>
      </c>
      <c r="F1871" s="421"/>
      <c r="G1871" s="417" t="s">
        <v>1770</v>
      </c>
      <c r="H1871" s="598">
        <v>14144623</v>
      </c>
      <c r="I1871" s="322" t="s">
        <v>1440</v>
      </c>
      <c r="J1871" s="418"/>
      <c r="K1871" s="248"/>
      <c r="M1871" s="366"/>
      <c r="AF1871">
        <v>10</v>
      </c>
    </row>
    <row r="1872" spans="1:32" x14ac:dyDescent="0.25">
      <c r="A1872" s="308">
        <v>45432</v>
      </c>
      <c r="B1872" s="416">
        <v>1220554</v>
      </c>
      <c r="C1872" s="413" t="str">
        <f>IFERROR(INDEX(Table14[],MATCH($B1872,Table14[SAPNo],0),3),"")</f>
        <v xml:space="preserve">1618 CT182 U-60 Carbide </v>
      </c>
      <c r="D1872" s="306"/>
      <c r="E1872" s="421">
        <v>12</v>
      </c>
      <c r="F1872" s="421"/>
      <c r="G1872" s="417" t="s">
        <v>1770</v>
      </c>
      <c r="H1872" s="598">
        <v>14144623</v>
      </c>
      <c r="I1872" s="322" t="s">
        <v>1440</v>
      </c>
      <c r="J1872" s="418"/>
      <c r="K1872" s="248"/>
      <c r="M1872" s="366"/>
      <c r="AF1872">
        <v>12</v>
      </c>
    </row>
    <row r="1873" spans="1:32" x14ac:dyDescent="0.25">
      <c r="A1873" s="320">
        <v>45432</v>
      </c>
      <c r="B1873" s="419">
        <v>717748</v>
      </c>
      <c r="C1873" s="413" t="str">
        <f>IFERROR(INDEX(Table14[],MATCH($B1873,Table14[SAPNo],0),3),"")</f>
        <v>Round 1010 CT200  0.018" (B)</v>
      </c>
      <c r="D1873" s="306"/>
      <c r="E1873" s="421">
        <v>3</v>
      </c>
      <c r="F1873" s="421"/>
      <c r="G1873" s="420" t="s">
        <v>1771</v>
      </c>
      <c r="H1873" s="599" t="s">
        <v>1754</v>
      </c>
      <c r="I1873" s="322" t="s">
        <v>1069</v>
      </c>
      <c r="J1873" s="421"/>
      <c r="K1873" s="422"/>
      <c r="M1873" s="473" t="s">
        <v>1772</v>
      </c>
      <c r="AF1873">
        <v>3</v>
      </c>
    </row>
    <row r="1874" spans="1:32" x14ac:dyDescent="0.25">
      <c r="A1874" s="320">
        <v>45432</v>
      </c>
      <c r="B1874" s="419">
        <v>971055</v>
      </c>
      <c r="C1874" s="413" t="str">
        <f>IFERROR(INDEX(Table14[],MATCH($B1874,Table14[SAPNo],0),3),"")</f>
        <v>MED Bullet 10.5 CT217 MBL 0.018" (B)</v>
      </c>
      <c r="D1874" s="306"/>
      <c r="E1874" s="421"/>
      <c r="F1874" s="421"/>
      <c r="G1874" s="420" t="s">
        <v>1773</v>
      </c>
      <c r="H1874" s="599"/>
      <c r="I1874" s="322" t="s">
        <v>29</v>
      </c>
      <c r="J1874" s="421"/>
      <c r="K1874" s="422"/>
      <c r="M1874" s="422"/>
    </row>
    <row r="1875" spans="1:32" x14ac:dyDescent="0.25">
      <c r="A1875" s="308">
        <v>45433</v>
      </c>
      <c r="B1875" s="416">
        <v>871781</v>
      </c>
      <c r="C1875" s="413" t="str">
        <f>IFERROR(INDEX(Table14[],MATCH($B1875,Table14[SAPNo],0),3),"")</f>
        <v>Round 1313 CT200  0.018" (B)</v>
      </c>
      <c r="D1875" s="306"/>
      <c r="E1875" s="421">
        <v>8</v>
      </c>
      <c r="F1875" s="421"/>
      <c r="G1875" s="417" t="s">
        <v>1774</v>
      </c>
      <c r="H1875" s="598">
        <v>14162011</v>
      </c>
      <c r="I1875" s="322" t="s">
        <v>1599</v>
      </c>
      <c r="J1875" s="418"/>
      <c r="K1875" s="248"/>
      <c r="M1875" s="422"/>
      <c r="AF1875">
        <v>8</v>
      </c>
    </row>
    <row r="1876" spans="1:32" x14ac:dyDescent="0.25">
      <c r="A1876" s="308">
        <v>45433</v>
      </c>
      <c r="B1876" s="416">
        <v>708306</v>
      </c>
      <c r="C1876" s="413" t="str">
        <f>IFERROR(INDEX(Table14[],MATCH($B1876,Table14[SAPNo],0),3),"")</f>
        <v>Round 1913 CT200  0.018" (B)</v>
      </c>
      <c r="D1876" s="306"/>
      <c r="E1876" s="421">
        <v>34</v>
      </c>
      <c r="F1876" s="421"/>
      <c r="G1876" s="417" t="s">
        <v>1774</v>
      </c>
      <c r="H1876" s="598">
        <v>14162011</v>
      </c>
      <c r="I1876" s="322" t="s">
        <v>1599</v>
      </c>
      <c r="J1876" s="418"/>
      <c r="K1876" s="248"/>
      <c r="M1876" s="366"/>
      <c r="AF1876">
        <v>34</v>
      </c>
    </row>
    <row r="1877" spans="1:32" x14ac:dyDescent="0.25">
      <c r="A1877" s="308">
        <v>45433</v>
      </c>
      <c r="B1877" s="416">
        <v>1100755</v>
      </c>
      <c r="C1877" s="413" t="str">
        <f>IFERROR(INDEX(Table14[],MATCH($B1877,Table14[SAPNo],0),3),"")</f>
        <v>Round 1613 CT421  0.018" (S)</v>
      </c>
      <c r="D1877" s="306"/>
      <c r="E1877" s="421">
        <v>9</v>
      </c>
      <c r="F1877" s="421"/>
      <c r="G1877" s="417" t="s">
        <v>1774</v>
      </c>
      <c r="H1877" s="598">
        <v>14162011</v>
      </c>
      <c r="I1877" s="322" t="s">
        <v>1599</v>
      </c>
      <c r="J1877" s="418"/>
      <c r="K1877" s="248"/>
      <c r="M1877" s="366"/>
      <c r="AF1877">
        <v>9</v>
      </c>
    </row>
    <row r="1878" spans="1:32" x14ac:dyDescent="0.25">
      <c r="A1878" s="308">
        <v>45433</v>
      </c>
      <c r="B1878" s="416">
        <v>1100759</v>
      </c>
      <c r="C1878" s="413" t="str">
        <f>IFERROR(INDEX(Table14[],MATCH($B1878,Table14[SAPNo],0),3),"")</f>
        <v>1913 CT421 0.018"</v>
      </c>
      <c r="D1878" s="306"/>
      <c r="E1878" s="421">
        <v>48</v>
      </c>
      <c r="F1878" s="421"/>
      <c r="G1878" s="417" t="s">
        <v>1774</v>
      </c>
      <c r="H1878" s="598">
        <v>14162011</v>
      </c>
      <c r="I1878" s="322" t="s">
        <v>1599</v>
      </c>
      <c r="J1878" s="418"/>
      <c r="K1878" s="248"/>
      <c r="M1878" s="366"/>
      <c r="AF1878">
        <v>48</v>
      </c>
    </row>
    <row r="1879" spans="1:32" x14ac:dyDescent="0.25">
      <c r="A1879" s="308">
        <v>45433</v>
      </c>
      <c r="B1879" s="416">
        <v>871781</v>
      </c>
      <c r="C1879" s="413" t="str">
        <f>IFERROR(INDEX(Table14[],MATCH($B1879,Table14[SAPNo],0),3),"")</f>
        <v>Round 1313 CT200  0.018" (B)</v>
      </c>
      <c r="D1879" s="306"/>
      <c r="E1879" s="421">
        <v>8</v>
      </c>
      <c r="F1879" s="421"/>
      <c r="G1879" s="417" t="s">
        <v>1775</v>
      </c>
      <c r="H1879" s="598">
        <v>14162013</v>
      </c>
      <c r="I1879" s="322" t="s">
        <v>1599</v>
      </c>
      <c r="J1879" s="418"/>
      <c r="K1879" s="248"/>
      <c r="M1879" s="366"/>
      <c r="AF1879">
        <v>8</v>
      </c>
    </row>
    <row r="1880" spans="1:32" x14ac:dyDescent="0.25">
      <c r="A1880" s="308">
        <v>45433</v>
      </c>
      <c r="B1880" s="416">
        <v>708306</v>
      </c>
      <c r="C1880" s="413" t="str">
        <f>IFERROR(INDEX(Table14[],MATCH($B1880,Table14[SAPNo],0),3),"")</f>
        <v>Round 1913 CT200  0.018" (B)</v>
      </c>
      <c r="D1880" s="306"/>
      <c r="E1880" s="421">
        <v>34</v>
      </c>
      <c r="F1880" s="421"/>
      <c r="G1880" s="417" t="s">
        <v>1775</v>
      </c>
      <c r="H1880" s="598">
        <v>14162013</v>
      </c>
      <c r="I1880" s="322" t="s">
        <v>1599</v>
      </c>
      <c r="J1880" s="418"/>
      <c r="K1880" s="248"/>
      <c r="M1880" s="366"/>
      <c r="AF1880">
        <v>34</v>
      </c>
    </row>
    <row r="1881" spans="1:32" x14ac:dyDescent="0.25">
      <c r="A1881" s="308">
        <v>45433</v>
      </c>
      <c r="B1881" s="416">
        <v>1100755</v>
      </c>
      <c r="C1881" s="413" t="str">
        <f>IFERROR(INDEX(Table14[],MATCH($B1881,Table14[SAPNo],0),3),"")</f>
        <v>Round 1613 CT421  0.018" (S)</v>
      </c>
      <c r="D1881" s="306"/>
      <c r="E1881" s="421">
        <v>9</v>
      </c>
      <c r="F1881" s="421"/>
      <c r="G1881" s="417" t="s">
        <v>1775</v>
      </c>
      <c r="H1881" s="598">
        <v>14162013</v>
      </c>
      <c r="I1881" s="322" t="s">
        <v>1599</v>
      </c>
      <c r="J1881" s="418"/>
      <c r="K1881" s="248"/>
      <c r="M1881" s="366"/>
      <c r="AF1881">
        <v>9</v>
      </c>
    </row>
    <row r="1882" spans="1:32" x14ac:dyDescent="0.25">
      <c r="A1882" s="308">
        <v>45433</v>
      </c>
      <c r="B1882" s="416">
        <v>1100759</v>
      </c>
      <c r="C1882" s="413" t="str">
        <f>IFERROR(INDEX(Table14[],MATCH($B1882,Table14[SAPNo],0),3),"")</f>
        <v>1913 CT421 0.018"</v>
      </c>
      <c r="D1882" s="306"/>
      <c r="E1882" s="421">
        <v>48</v>
      </c>
      <c r="F1882" s="421"/>
      <c r="G1882" s="417" t="s">
        <v>1775</v>
      </c>
      <c r="H1882" s="598">
        <v>14162013</v>
      </c>
      <c r="I1882" s="322" t="s">
        <v>1599</v>
      </c>
      <c r="J1882" s="418"/>
      <c r="K1882" s="248"/>
      <c r="M1882" s="366"/>
      <c r="AF1882">
        <v>48</v>
      </c>
    </row>
    <row r="1883" spans="1:32" x14ac:dyDescent="0.25">
      <c r="A1883" s="308">
        <v>45434</v>
      </c>
      <c r="B1883" s="416">
        <v>871781</v>
      </c>
      <c r="C1883" s="413" t="str">
        <f>IFERROR(INDEX(Table14[],MATCH($B1883,Table14[SAPNo],0),3),"")</f>
        <v>Round 1313 CT200  0.018" (B)</v>
      </c>
      <c r="D1883" s="306"/>
      <c r="E1883" s="421">
        <v>5</v>
      </c>
      <c r="F1883" s="421"/>
      <c r="G1883" s="417" t="s">
        <v>1776</v>
      </c>
      <c r="H1883" s="598">
        <v>14162005</v>
      </c>
      <c r="I1883" s="322" t="s">
        <v>1463</v>
      </c>
      <c r="J1883" s="418"/>
      <c r="K1883" s="248"/>
      <c r="M1883" s="366"/>
      <c r="AF1883">
        <v>5</v>
      </c>
    </row>
    <row r="1884" spans="1:32" x14ac:dyDescent="0.25">
      <c r="A1884" s="308">
        <v>45434</v>
      </c>
      <c r="B1884" s="416">
        <v>1271790</v>
      </c>
      <c r="C1884" s="413" t="str">
        <f>IFERROR(INDEX(Table14[],MATCH($B1884,Table14[SAPNo],0),3),"")</f>
        <v xml:space="preserve">1613 CT170 18-60 </v>
      </c>
      <c r="D1884" s="306"/>
      <c r="E1884" s="421">
        <v>30</v>
      </c>
      <c r="F1884" s="421"/>
      <c r="G1884" s="417" t="s">
        <v>1776</v>
      </c>
      <c r="H1884" s="598">
        <v>14162005</v>
      </c>
      <c r="I1884" s="322" t="s">
        <v>1463</v>
      </c>
      <c r="J1884" s="418"/>
      <c r="K1884" s="248"/>
      <c r="M1884" s="366"/>
      <c r="AF1884">
        <v>30</v>
      </c>
    </row>
    <row r="1885" spans="1:32" x14ac:dyDescent="0.25">
      <c r="A1885" s="308">
        <v>45434</v>
      </c>
      <c r="B1885" s="416">
        <v>1100751</v>
      </c>
      <c r="C1885" s="413" t="str">
        <f>IFERROR(INDEX(Table14[],MATCH($B1885,Table14[SAPNo],0),3),"")</f>
        <v>1313 CT421 0.018"</v>
      </c>
      <c r="D1885" s="306"/>
      <c r="E1885" s="421">
        <v>22</v>
      </c>
      <c r="F1885" s="421"/>
      <c r="G1885" s="417" t="s">
        <v>1776</v>
      </c>
      <c r="H1885" s="598">
        <v>14162005</v>
      </c>
      <c r="I1885" s="322" t="s">
        <v>1463</v>
      </c>
      <c r="J1885" s="418"/>
      <c r="K1885" s="248"/>
      <c r="M1885" s="366"/>
      <c r="AF1885">
        <v>22</v>
      </c>
    </row>
    <row r="1886" spans="1:32" x14ac:dyDescent="0.25">
      <c r="A1886" s="308">
        <v>45434</v>
      </c>
      <c r="B1886" s="416">
        <v>1146737</v>
      </c>
      <c r="C1886" s="413" t="str">
        <f>IFERROR(INDEX(Table14[],MATCH($B1886,Table14[SAPNo],0),3),"")</f>
        <v>1613 CT418 18-60</v>
      </c>
      <c r="D1886" s="306"/>
      <c r="E1886" s="421">
        <v>10</v>
      </c>
      <c r="F1886" s="421"/>
      <c r="G1886" s="417" t="s">
        <v>1776</v>
      </c>
      <c r="H1886" s="598">
        <v>14162005</v>
      </c>
      <c r="I1886" s="322" t="s">
        <v>1463</v>
      </c>
      <c r="J1886" s="418"/>
      <c r="K1886" s="248"/>
      <c r="M1886" s="366"/>
      <c r="AF1886">
        <v>10</v>
      </c>
    </row>
    <row r="1887" spans="1:32" x14ac:dyDescent="0.25">
      <c r="A1887" s="308">
        <v>45434</v>
      </c>
      <c r="B1887" s="416">
        <v>1209410</v>
      </c>
      <c r="C1887" s="413" t="str">
        <f>IFERROR(INDEX(Table14[],MATCH($B1887,Table14[SAPNo],0),3),"")</f>
        <v>1613 CT430MV3 U TBO</v>
      </c>
      <c r="D1887" s="306"/>
      <c r="E1887" s="421">
        <v>10</v>
      </c>
      <c r="F1887" s="421"/>
      <c r="G1887" s="417" t="s">
        <v>1776</v>
      </c>
      <c r="H1887" s="598">
        <v>14162005</v>
      </c>
      <c r="I1887" s="322" t="s">
        <v>1463</v>
      </c>
      <c r="J1887" s="418"/>
      <c r="K1887" s="248"/>
      <c r="M1887" s="366"/>
      <c r="AF1887">
        <v>10</v>
      </c>
    </row>
    <row r="1888" spans="1:32" x14ac:dyDescent="0.25">
      <c r="A1888" s="308">
        <v>45434</v>
      </c>
      <c r="B1888" s="416">
        <v>1261319</v>
      </c>
      <c r="C1888" s="413" t="str">
        <f>IFERROR(INDEX(Table14[],MATCH($B1888,Table14[SAPNo],0),3),"")</f>
        <v>1308 CT155 U-60</v>
      </c>
      <c r="D1888" s="306"/>
      <c r="E1888" s="421">
        <v>24</v>
      </c>
      <c r="F1888" s="421"/>
      <c r="G1888" s="417" t="s">
        <v>1777</v>
      </c>
      <c r="H1888" s="598">
        <v>14167824</v>
      </c>
      <c r="I1888" s="322" t="s">
        <v>1440</v>
      </c>
      <c r="J1888" s="418"/>
      <c r="K1888" s="248"/>
      <c r="M1888" s="366"/>
      <c r="AF1888">
        <v>24</v>
      </c>
    </row>
    <row r="1889" spans="1:32" x14ac:dyDescent="0.25">
      <c r="A1889" s="308">
        <v>45434</v>
      </c>
      <c r="B1889" s="416">
        <v>1228501</v>
      </c>
      <c r="C1889" s="413" t="str">
        <f>IFERROR(INDEX(Table14[],MATCH($B1889,Table14[SAPNo],0),3),"")</f>
        <v>1618 CT182 U-60 stator</v>
      </c>
      <c r="D1889" s="306"/>
      <c r="E1889" s="421">
        <v>10</v>
      </c>
      <c r="F1889" s="421"/>
      <c r="G1889" s="417" t="s">
        <v>1777</v>
      </c>
      <c r="H1889" s="598">
        <v>14167824</v>
      </c>
      <c r="I1889" s="322" t="s">
        <v>1440</v>
      </c>
      <c r="J1889" s="418"/>
      <c r="K1889" s="248"/>
      <c r="M1889" s="366"/>
      <c r="AF1889">
        <v>10</v>
      </c>
    </row>
    <row r="1890" spans="1:32" x14ac:dyDescent="0.25">
      <c r="A1890" s="308">
        <v>45434</v>
      </c>
      <c r="B1890" s="416">
        <v>1228503</v>
      </c>
      <c r="C1890" s="413" t="str">
        <f>IFERROR(INDEX(Table14[],MATCH($B1890,Table14[SAPNo],0),3),"")</f>
        <v>1618 CT182 U-60 Ring</v>
      </c>
      <c r="D1890" s="306"/>
      <c r="E1890" s="421">
        <v>10</v>
      </c>
      <c r="F1890" s="421"/>
      <c r="G1890" s="417" t="s">
        <v>1777</v>
      </c>
      <c r="H1890" s="598">
        <v>14167824</v>
      </c>
      <c r="I1890" s="322" t="s">
        <v>1440</v>
      </c>
      <c r="J1890" s="418"/>
      <c r="K1890" s="248"/>
      <c r="M1890" s="366"/>
      <c r="AF1890">
        <v>10</v>
      </c>
    </row>
    <row r="1891" spans="1:32" x14ac:dyDescent="0.25">
      <c r="A1891" s="308">
        <v>45434</v>
      </c>
      <c r="B1891" s="416">
        <v>871781</v>
      </c>
      <c r="C1891" s="413" t="str">
        <f>IFERROR(INDEX(Table14[],MATCH($B1891,Table14[SAPNo],0),3),"")</f>
        <v>Round 1313 CT200  0.018" (B)</v>
      </c>
      <c r="D1891" s="306"/>
      <c r="E1891" s="421">
        <v>6</v>
      </c>
      <c r="F1891" s="421"/>
      <c r="G1891" s="417" t="s">
        <v>1777</v>
      </c>
      <c r="H1891" s="598">
        <v>14167824</v>
      </c>
      <c r="I1891" s="322" t="s">
        <v>1440</v>
      </c>
      <c r="J1891" s="418"/>
      <c r="K1891" s="248"/>
      <c r="M1891" s="366"/>
      <c r="AF1891">
        <v>6</v>
      </c>
    </row>
    <row r="1892" spans="1:32" x14ac:dyDescent="0.25">
      <c r="A1892" s="308">
        <v>45434</v>
      </c>
      <c r="B1892" s="416">
        <v>1261320</v>
      </c>
      <c r="C1892" s="413" t="str">
        <f>IFERROR(INDEX(Table14[],MATCH($B1892,Table14[SAPNo],0),3),"")</f>
        <v>1313 CT155 U-60</v>
      </c>
      <c r="D1892" s="306"/>
      <c r="E1892" s="421">
        <v>6</v>
      </c>
      <c r="F1892" s="421"/>
      <c r="G1892" s="417" t="s">
        <v>1777</v>
      </c>
      <c r="H1892" s="598">
        <v>14167824</v>
      </c>
      <c r="I1892" s="322" t="s">
        <v>1440</v>
      </c>
      <c r="J1892" s="418"/>
      <c r="K1892" s="248"/>
      <c r="M1892" s="366"/>
      <c r="AF1892">
        <v>6</v>
      </c>
    </row>
    <row r="1893" spans="1:32" x14ac:dyDescent="0.25">
      <c r="A1893" s="308">
        <v>45434</v>
      </c>
      <c r="B1893" s="416">
        <v>1261321</v>
      </c>
      <c r="C1893" s="413" t="str">
        <f>IFERROR(INDEX(Table14[],MATCH($B1893,Table14[SAPNo],0),3),"")</f>
        <v>1613 CT155 U-60</v>
      </c>
      <c r="D1893" s="306"/>
      <c r="E1893" s="421">
        <v>4</v>
      </c>
      <c r="F1893" s="421"/>
      <c r="G1893" s="417" t="s">
        <v>1777</v>
      </c>
      <c r="H1893" s="598">
        <v>14167824</v>
      </c>
      <c r="I1893" s="322" t="s">
        <v>1440</v>
      </c>
      <c r="J1893" s="418"/>
      <c r="K1893" s="248"/>
      <c r="M1893" s="366"/>
      <c r="AF1893">
        <v>4</v>
      </c>
    </row>
    <row r="1894" spans="1:32" x14ac:dyDescent="0.25">
      <c r="A1894" s="308">
        <v>45434</v>
      </c>
      <c r="B1894" s="416">
        <v>1228502</v>
      </c>
      <c r="C1894" s="413" t="str">
        <f>IFERROR(INDEX(Table14[],MATCH($B1894,Table14[SAPNo],0),3),"")</f>
        <v>1618 CT182 U-60 Rotor</v>
      </c>
      <c r="D1894" s="306"/>
      <c r="E1894" s="421">
        <v>10</v>
      </c>
      <c r="F1894" s="421"/>
      <c r="G1894" s="417" t="s">
        <v>1777</v>
      </c>
      <c r="H1894" s="598">
        <v>14167824</v>
      </c>
      <c r="I1894" s="322" t="s">
        <v>1440</v>
      </c>
      <c r="J1894" s="418"/>
      <c r="K1894" s="248"/>
      <c r="M1894" s="366"/>
      <c r="AF1894">
        <v>10</v>
      </c>
    </row>
    <row r="1895" spans="1:32" x14ac:dyDescent="0.25">
      <c r="A1895" s="308">
        <v>45434</v>
      </c>
      <c r="B1895" s="416">
        <v>717748</v>
      </c>
      <c r="C1895" s="413" t="str">
        <f>IFERROR(INDEX(Table14[],MATCH($B1895,Table14[SAPNo],0),3),"")</f>
        <v>Round 1010 CT200  0.018" (B)</v>
      </c>
      <c r="D1895" s="306"/>
      <c r="E1895" s="421"/>
      <c r="F1895" s="421"/>
      <c r="G1895" s="417" t="s">
        <v>1778</v>
      </c>
      <c r="H1895" s="598" t="s">
        <v>1765</v>
      </c>
      <c r="I1895" s="322" t="s">
        <v>1268</v>
      </c>
      <c r="J1895" s="418">
        <v>3</v>
      </c>
      <c r="K1895" s="248"/>
      <c r="M1895" s="366"/>
    </row>
    <row r="1896" spans="1:32" x14ac:dyDescent="0.25">
      <c r="A1896" s="308">
        <v>45434</v>
      </c>
      <c r="B1896" s="416">
        <v>1145493</v>
      </c>
      <c r="C1896" s="413" t="str">
        <f>IFERROR(INDEX(Table14[],MATCH($B1896,Table14[SAPNo],0),3),"")</f>
        <v>Round 1313 CT427  10C (S)</v>
      </c>
      <c r="D1896" s="306"/>
      <c r="E1896" s="421"/>
      <c r="F1896" s="421"/>
      <c r="G1896" s="417">
        <v>20241079</v>
      </c>
      <c r="H1896" s="598" t="s">
        <v>1779</v>
      </c>
      <c r="I1896" s="322" t="s">
        <v>1368</v>
      </c>
      <c r="J1896" s="418">
        <v>1</v>
      </c>
      <c r="K1896" s="248"/>
      <c r="M1896" s="366"/>
    </row>
    <row r="1897" spans="1:32" x14ac:dyDescent="0.25">
      <c r="A1897" s="320">
        <v>45434</v>
      </c>
      <c r="B1897" s="419">
        <v>1209332</v>
      </c>
      <c r="C1897" s="413" t="str">
        <f>IFERROR(INDEX(Table14[],MATCH($B1897,Table14[SAPNo],0),3),"")</f>
        <v>1313 CT147G U</v>
      </c>
      <c r="D1897" s="306"/>
      <c r="E1897" s="421"/>
      <c r="F1897" s="421"/>
      <c r="G1897" s="420">
        <v>20241080</v>
      </c>
      <c r="H1897" s="599">
        <v>13807907</v>
      </c>
      <c r="I1897" s="322" t="s">
        <v>1297</v>
      </c>
      <c r="J1897" s="421">
        <v>1</v>
      </c>
      <c r="K1897" s="422"/>
      <c r="M1897" s="366"/>
    </row>
    <row r="1898" spans="1:32" x14ac:dyDescent="0.25">
      <c r="A1898" s="308">
        <v>45435</v>
      </c>
      <c r="B1898" s="416">
        <v>1209332</v>
      </c>
      <c r="C1898" s="413" t="str">
        <f>IFERROR(INDEX(Table14[],MATCH($B1898,Table14[SAPNo],0),3),"")</f>
        <v>1313 CT147G U</v>
      </c>
      <c r="D1898" s="306"/>
      <c r="E1898" s="421"/>
      <c r="F1898" s="421"/>
      <c r="G1898" s="417">
        <v>20241081</v>
      </c>
      <c r="H1898" s="598" t="s">
        <v>1780</v>
      </c>
      <c r="I1898" s="322" t="s">
        <v>1781</v>
      </c>
      <c r="J1898" s="418">
        <v>1</v>
      </c>
      <c r="K1898" s="248"/>
      <c r="M1898" s="422"/>
    </row>
    <row r="1899" spans="1:32" x14ac:dyDescent="0.25">
      <c r="A1899" s="308">
        <v>45435</v>
      </c>
      <c r="B1899" s="416">
        <v>1145493</v>
      </c>
      <c r="C1899" s="413" t="str">
        <f>IFERROR(INDEX(Table14[],MATCH($B1899,Table14[SAPNo],0),3),"")</f>
        <v>Round 1313 CT427  10C (S)</v>
      </c>
      <c r="D1899" s="306"/>
      <c r="E1899" s="421"/>
      <c r="F1899" s="421"/>
      <c r="G1899" s="417">
        <v>20241081</v>
      </c>
      <c r="H1899" s="598" t="s">
        <v>1780</v>
      </c>
      <c r="I1899" s="322" t="s">
        <v>1781</v>
      </c>
      <c r="J1899" s="418">
        <v>2</v>
      </c>
      <c r="K1899" s="248"/>
      <c r="M1899" s="366"/>
    </row>
    <row r="1900" spans="1:32" x14ac:dyDescent="0.25">
      <c r="A1900" s="308">
        <v>45435</v>
      </c>
      <c r="B1900" s="416">
        <v>418525</v>
      </c>
      <c r="C1900" s="413" t="str">
        <f>IFERROR(INDEX(Table14[],MATCH($B1900,Table14[SAPNo],0),3),"")</f>
        <v>Drop In 1308 CT31   (B)</v>
      </c>
      <c r="D1900" s="306"/>
      <c r="E1900" s="421">
        <v>3</v>
      </c>
      <c r="F1900" s="421"/>
      <c r="G1900" s="417">
        <v>20241081</v>
      </c>
      <c r="H1900" s="598" t="s">
        <v>1780</v>
      </c>
      <c r="I1900" s="322" t="s">
        <v>1781</v>
      </c>
      <c r="J1900" s="418"/>
      <c r="K1900" s="248"/>
      <c r="M1900" s="366"/>
      <c r="AF1900">
        <v>3</v>
      </c>
    </row>
    <row r="1901" spans="1:32" x14ac:dyDescent="0.25">
      <c r="A1901" s="308">
        <v>45435</v>
      </c>
      <c r="B1901" s="416">
        <v>1271790</v>
      </c>
      <c r="C1901" s="413" t="str">
        <f>IFERROR(INDEX(Table14[],MATCH($B1901,Table14[SAPNo],0),3),"")</f>
        <v xml:space="preserve">1613 CT170 18-60 </v>
      </c>
      <c r="D1901" s="306"/>
      <c r="E1901" s="421">
        <v>47</v>
      </c>
      <c r="F1901" s="421"/>
      <c r="G1901" s="417" t="s">
        <v>1782</v>
      </c>
      <c r="H1901" s="598">
        <v>13754562</v>
      </c>
      <c r="I1901" s="322" t="s">
        <v>1162</v>
      </c>
      <c r="J1901" s="418"/>
      <c r="K1901" s="248"/>
      <c r="M1901" s="366"/>
      <c r="AF1901">
        <v>47</v>
      </c>
    </row>
    <row r="1902" spans="1:32" x14ac:dyDescent="0.25">
      <c r="A1902" s="308">
        <v>45435</v>
      </c>
      <c r="B1902" s="416">
        <v>1146737</v>
      </c>
      <c r="C1902" s="413" t="str">
        <f>IFERROR(INDEX(Table14[],MATCH($B1902,Table14[SAPNo],0),3),"")</f>
        <v>1613 CT418 18-60</v>
      </c>
      <c r="D1902" s="306"/>
      <c r="E1902" s="421">
        <v>33</v>
      </c>
      <c r="F1902" s="421"/>
      <c r="G1902" s="417" t="s">
        <v>1782</v>
      </c>
      <c r="H1902" s="598">
        <v>13754562</v>
      </c>
      <c r="I1902" s="322" t="s">
        <v>1162</v>
      </c>
      <c r="J1902" s="418"/>
      <c r="K1902" s="248"/>
      <c r="M1902" s="366"/>
      <c r="AF1902">
        <v>33</v>
      </c>
    </row>
    <row r="1903" spans="1:32" x14ac:dyDescent="0.25">
      <c r="A1903" s="308">
        <v>45435</v>
      </c>
      <c r="B1903" s="416">
        <v>418525</v>
      </c>
      <c r="C1903" s="413" t="str">
        <f>IFERROR(INDEX(Table14[],MATCH($B1903,Table14[SAPNo],0),3),"")</f>
        <v>Drop In 1308 CT31   (B)</v>
      </c>
      <c r="D1903" s="306"/>
      <c r="E1903" s="421">
        <v>6</v>
      </c>
      <c r="F1903" s="421"/>
      <c r="G1903" s="417" t="s">
        <v>1783</v>
      </c>
      <c r="H1903" s="598">
        <v>14160191</v>
      </c>
      <c r="I1903" s="322" t="s">
        <v>1447</v>
      </c>
      <c r="J1903" s="418"/>
      <c r="K1903" s="248"/>
      <c r="M1903" s="366"/>
      <c r="AF1903">
        <v>6</v>
      </c>
    </row>
    <row r="1904" spans="1:32" x14ac:dyDescent="0.25">
      <c r="A1904" s="308">
        <v>45435</v>
      </c>
      <c r="B1904" s="416">
        <v>1146346</v>
      </c>
      <c r="C1904" s="413" t="str">
        <f>IFERROR(INDEX(Table14[],MATCH($B1904,Table14[SAPNo],0),3),"")</f>
        <v>1313 CT418 18-60</v>
      </c>
      <c r="D1904" s="306"/>
      <c r="E1904" s="421">
        <v>7</v>
      </c>
      <c r="F1904" s="421"/>
      <c r="G1904" s="417" t="s">
        <v>1783</v>
      </c>
      <c r="H1904" s="598">
        <v>14160191</v>
      </c>
      <c r="I1904" s="322" t="s">
        <v>1447</v>
      </c>
      <c r="J1904" s="418"/>
      <c r="K1904" s="248"/>
      <c r="M1904" s="366"/>
      <c r="AF1904">
        <v>7</v>
      </c>
    </row>
    <row r="1905" spans="1:32" x14ac:dyDescent="0.25">
      <c r="A1905" s="308">
        <v>45435</v>
      </c>
      <c r="B1905" s="416">
        <v>1136984</v>
      </c>
      <c r="C1905" s="413" t="str">
        <f>IFERROR(INDEX(Table14[],MATCH($B1905,Table14[SAPNo],0),3),"")</f>
        <v>DBLMCHT 1313 CT182DM  10C (S)</v>
      </c>
      <c r="D1905" s="306"/>
      <c r="E1905" s="421">
        <v>13</v>
      </c>
      <c r="F1905" s="421"/>
      <c r="G1905" s="417" t="s">
        <v>1783</v>
      </c>
      <c r="H1905" s="598">
        <v>14160191</v>
      </c>
      <c r="I1905" s="322" t="s">
        <v>1447</v>
      </c>
      <c r="J1905" s="418"/>
      <c r="K1905" s="248"/>
      <c r="M1905" s="366"/>
      <c r="AF1905">
        <v>13</v>
      </c>
    </row>
    <row r="1906" spans="1:32" x14ac:dyDescent="0.25">
      <c r="A1906" s="308">
        <v>45435</v>
      </c>
      <c r="B1906" s="416">
        <v>1104083</v>
      </c>
      <c r="C1906" s="413" t="str">
        <f>IFERROR(INDEX(Table14[],MATCH($B1906,Table14[SAPNo],0),3),"")</f>
        <v>1313 CT144H  10C (S)</v>
      </c>
      <c r="D1906" s="306"/>
      <c r="E1906" s="421">
        <v>1</v>
      </c>
      <c r="F1906" s="421"/>
      <c r="G1906" s="417" t="s">
        <v>1783</v>
      </c>
      <c r="H1906" s="598">
        <v>14160191</v>
      </c>
      <c r="I1906" s="322" t="s">
        <v>1447</v>
      </c>
      <c r="J1906" s="418"/>
      <c r="K1906" s="248"/>
      <c r="M1906" s="366"/>
      <c r="AF1906">
        <v>1</v>
      </c>
    </row>
    <row r="1907" spans="1:32" x14ac:dyDescent="0.25">
      <c r="A1907" s="308">
        <v>45435</v>
      </c>
      <c r="B1907" s="416">
        <v>1101509</v>
      </c>
      <c r="C1907" s="413" t="str">
        <f>IFERROR(INDEX(Table14[],MATCH($B1907,Table14[SAPNo],0),3),"")</f>
        <v>Short IA 8    (C)</v>
      </c>
      <c r="D1907" s="306"/>
      <c r="E1907" s="421">
        <v>5</v>
      </c>
      <c r="F1907" s="421"/>
      <c r="G1907" s="417" t="s">
        <v>1783</v>
      </c>
      <c r="H1907" s="598">
        <v>14160191</v>
      </c>
      <c r="I1907" s="322" t="s">
        <v>1447</v>
      </c>
      <c r="J1907" s="418"/>
      <c r="K1907" s="248"/>
      <c r="M1907" s="366"/>
      <c r="AF1907">
        <v>5</v>
      </c>
    </row>
    <row r="1908" spans="1:32" x14ac:dyDescent="0.25">
      <c r="A1908" s="308">
        <v>45435</v>
      </c>
      <c r="B1908" s="416">
        <v>1100696</v>
      </c>
      <c r="C1908" s="413" t="str">
        <f>IFERROR(INDEX(Table14[],MATCH($B1908,Table14[SAPNo],0),3),"")</f>
        <v>Round 1313 CT418  10C (S)</v>
      </c>
      <c r="D1908" s="306"/>
      <c r="E1908" s="421">
        <v>5</v>
      </c>
      <c r="F1908" s="421"/>
      <c r="G1908" s="417" t="s">
        <v>1783</v>
      </c>
      <c r="H1908" s="598">
        <v>14160191</v>
      </c>
      <c r="I1908" s="322" t="s">
        <v>1447</v>
      </c>
      <c r="J1908" s="418"/>
      <c r="K1908" s="248"/>
      <c r="M1908" s="366"/>
      <c r="AF1908">
        <v>5</v>
      </c>
    </row>
    <row r="1909" spans="1:32" x14ac:dyDescent="0.25">
      <c r="A1909" s="308">
        <v>45435</v>
      </c>
      <c r="B1909" s="416">
        <v>418525</v>
      </c>
      <c r="C1909" s="413" t="str">
        <f>IFERROR(INDEX(Table14[],MATCH($B1909,Table14[SAPNo],0),3),"")</f>
        <v>Drop In 1308 CT31   (B)</v>
      </c>
      <c r="D1909" s="306"/>
      <c r="E1909" s="421">
        <v>6</v>
      </c>
      <c r="F1909" s="421"/>
      <c r="G1909" s="417" t="s">
        <v>1784</v>
      </c>
      <c r="H1909" s="598">
        <v>14160192</v>
      </c>
      <c r="I1909" s="322" t="s">
        <v>1447</v>
      </c>
      <c r="J1909" s="418"/>
      <c r="K1909" s="248"/>
      <c r="M1909" s="366"/>
      <c r="AF1909">
        <v>6</v>
      </c>
    </row>
    <row r="1910" spans="1:32" x14ac:dyDescent="0.25">
      <c r="A1910" s="308">
        <v>45435</v>
      </c>
      <c r="B1910" s="416">
        <v>1146346</v>
      </c>
      <c r="C1910" s="413" t="str">
        <f>IFERROR(INDEX(Table14[],MATCH($B1910,Table14[SAPNo],0),3),"")</f>
        <v>1313 CT418 18-60</v>
      </c>
      <c r="D1910" s="306"/>
      <c r="E1910" s="421">
        <v>7</v>
      </c>
      <c r="F1910" s="421"/>
      <c r="G1910" s="417" t="s">
        <v>1784</v>
      </c>
      <c r="H1910" s="598">
        <v>14160192</v>
      </c>
      <c r="I1910" s="322" t="s">
        <v>1447</v>
      </c>
      <c r="J1910" s="418"/>
      <c r="K1910" s="248"/>
      <c r="M1910" s="366"/>
      <c r="AF1910">
        <v>7</v>
      </c>
    </row>
    <row r="1911" spans="1:32" x14ac:dyDescent="0.25">
      <c r="A1911" s="308">
        <v>45435</v>
      </c>
      <c r="B1911" s="416">
        <v>1136984</v>
      </c>
      <c r="C1911" s="413" t="str">
        <f>IFERROR(INDEX(Table14[],MATCH($B1911,Table14[SAPNo],0),3),"")</f>
        <v>DBLMCHT 1313 CT182DM  10C (S)</v>
      </c>
      <c r="D1911" s="306"/>
      <c r="E1911" s="421">
        <v>13</v>
      </c>
      <c r="F1911" s="421"/>
      <c r="G1911" s="417" t="s">
        <v>1784</v>
      </c>
      <c r="H1911" s="598">
        <v>14160192</v>
      </c>
      <c r="I1911" s="322" t="s">
        <v>1447</v>
      </c>
      <c r="J1911" s="418"/>
      <c r="K1911" s="248"/>
      <c r="M1911" s="366"/>
      <c r="AF1911">
        <v>13</v>
      </c>
    </row>
    <row r="1912" spans="1:32" x14ac:dyDescent="0.25">
      <c r="A1912" s="308">
        <v>45435</v>
      </c>
      <c r="B1912" s="416">
        <v>1104083</v>
      </c>
      <c r="C1912" s="413" t="str">
        <f>IFERROR(INDEX(Table14[],MATCH($B1912,Table14[SAPNo],0),3),"")</f>
        <v>1313 CT144H  10C (S)</v>
      </c>
      <c r="D1912" s="306"/>
      <c r="E1912" s="421">
        <v>1</v>
      </c>
      <c r="F1912" s="421"/>
      <c r="G1912" s="417" t="s">
        <v>1784</v>
      </c>
      <c r="H1912" s="598">
        <v>14160192</v>
      </c>
      <c r="I1912" s="322" t="s">
        <v>1447</v>
      </c>
      <c r="J1912" s="418"/>
      <c r="K1912" s="248"/>
      <c r="M1912" s="366"/>
      <c r="AF1912">
        <v>1</v>
      </c>
    </row>
    <row r="1913" spans="1:32" x14ac:dyDescent="0.25">
      <c r="A1913" s="308">
        <v>45435</v>
      </c>
      <c r="B1913" s="416">
        <v>1101509</v>
      </c>
      <c r="C1913" s="413" t="str">
        <f>IFERROR(INDEX(Table14[],MATCH($B1913,Table14[SAPNo],0),3),"")</f>
        <v>Short IA 8    (C)</v>
      </c>
      <c r="D1913" s="306"/>
      <c r="E1913" s="421">
        <v>5</v>
      </c>
      <c r="F1913" s="421"/>
      <c r="G1913" s="417" t="s">
        <v>1784</v>
      </c>
      <c r="H1913" s="598">
        <v>14160192</v>
      </c>
      <c r="I1913" s="322" t="s">
        <v>1447</v>
      </c>
      <c r="J1913" s="418"/>
      <c r="K1913" s="248"/>
      <c r="M1913" s="366"/>
      <c r="AF1913">
        <v>5</v>
      </c>
    </row>
    <row r="1914" spans="1:32" x14ac:dyDescent="0.25">
      <c r="A1914" s="320">
        <v>45435</v>
      </c>
      <c r="B1914" s="419">
        <v>1100696</v>
      </c>
      <c r="C1914" s="413" t="str">
        <f>IFERROR(INDEX(Table14[],MATCH($B1914,Table14[SAPNo],0),3),"")</f>
        <v>Round 1313 CT418  10C (S)</v>
      </c>
      <c r="D1914" s="306"/>
      <c r="E1914" s="421">
        <v>5</v>
      </c>
      <c r="F1914" s="421"/>
      <c r="G1914" s="420" t="s">
        <v>1784</v>
      </c>
      <c r="H1914" s="599">
        <v>14160192</v>
      </c>
      <c r="I1914" s="322" t="s">
        <v>1447</v>
      </c>
      <c r="J1914" s="421"/>
      <c r="K1914" s="422"/>
      <c r="M1914" s="366"/>
      <c r="AF1914">
        <v>5</v>
      </c>
    </row>
    <row r="1915" spans="1:32" x14ac:dyDescent="0.25">
      <c r="A1915" s="308">
        <v>45438</v>
      </c>
      <c r="B1915" s="416">
        <v>871781</v>
      </c>
      <c r="C1915" s="413" t="str">
        <f>IFERROR(INDEX(Table14[],MATCH($B1915,Table14[SAPNo],0),3),"")</f>
        <v>Round 1313 CT200  0.018" (B)</v>
      </c>
      <c r="D1915" s="306"/>
      <c r="E1915" s="421">
        <v>5</v>
      </c>
      <c r="F1915" s="421"/>
      <c r="G1915" s="417" t="s">
        <v>1785</v>
      </c>
      <c r="H1915" s="598">
        <v>14162004</v>
      </c>
      <c r="I1915" s="322" t="s">
        <v>1463</v>
      </c>
      <c r="J1915" s="418"/>
      <c r="K1915" s="248"/>
      <c r="M1915" s="422"/>
      <c r="AF1915">
        <v>5</v>
      </c>
    </row>
    <row r="1916" spans="1:32" x14ac:dyDescent="0.25">
      <c r="A1916" s="308">
        <v>45438</v>
      </c>
      <c r="B1916" s="416">
        <v>1271790</v>
      </c>
      <c r="C1916" s="413" t="str">
        <f>IFERROR(INDEX(Table14[],MATCH($B1916,Table14[SAPNo],0),3),"")</f>
        <v xml:space="preserve">1613 CT170 18-60 </v>
      </c>
      <c r="D1916" s="306"/>
      <c r="E1916" s="421">
        <v>30</v>
      </c>
      <c r="F1916" s="421"/>
      <c r="G1916" s="417" t="s">
        <v>1785</v>
      </c>
      <c r="H1916" s="598">
        <v>14162004</v>
      </c>
      <c r="I1916" s="322" t="s">
        <v>1463</v>
      </c>
      <c r="J1916" s="418"/>
      <c r="K1916" s="248"/>
      <c r="M1916" s="366"/>
      <c r="AF1916">
        <v>30</v>
      </c>
    </row>
    <row r="1917" spans="1:32" x14ac:dyDescent="0.25">
      <c r="A1917" s="308">
        <v>45438</v>
      </c>
      <c r="B1917" s="416">
        <v>1209410</v>
      </c>
      <c r="C1917" s="413" t="str">
        <f>IFERROR(INDEX(Table14[],MATCH($B1917,Table14[SAPNo],0),3),"")</f>
        <v>1613 CT430MV3 U TBO</v>
      </c>
      <c r="D1917" s="306"/>
      <c r="E1917" s="421">
        <v>10</v>
      </c>
      <c r="F1917" s="421"/>
      <c r="G1917" s="417" t="s">
        <v>1785</v>
      </c>
      <c r="H1917" s="598">
        <v>14162004</v>
      </c>
      <c r="I1917" s="322" t="s">
        <v>1463</v>
      </c>
      <c r="J1917" s="418"/>
      <c r="K1917" s="248"/>
      <c r="M1917" s="366"/>
      <c r="AF1917">
        <v>10</v>
      </c>
    </row>
    <row r="1918" spans="1:32" x14ac:dyDescent="0.25">
      <c r="A1918" s="308">
        <v>45438</v>
      </c>
      <c r="B1918" s="416">
        <v>1146737</v>
      </c>
      <c r="C1918" s="413" t="str">
        <f>IFERROR(INDEX(Table14[],MATCH($B1918,Table14[SAPNo],0),3),"")</f>
        <v>1613 CT418 18-60</v>
      </c>
      <c r="D1918" s="306"/>
      <c r="E1918" s="421">
        <v>10</v>
      </c>
      <c r="F1918" s="421"/>
      <c r="G1918" s="417" t="s">
        <v>1785</v>
      </c>
      <c r="H1918" s="598">
        <v>14162004</v>
      </c>
      <c r="I1918" s="322" t="s">
        <v>1463</v>
      </c>
      <c r="J1918" s="418"/>
      <c r="K1918" s="248"/>
      <c r="M1918" s="366"/>
      <c r="AF1918">
        <v>10</v>
      </c>
    </row>
    <row r="1919" spans="1:32" x14ac:dyDescent="0.25">
      <c r="A1919" s="308">
        <v>45438</v>
      </c>
      <c r="B1919" s="416">
        <v>1100751</v>
      </c>
      <c r="C1919" s="413" t="str">
        <f>IFERROR(INDEX(Table14[],MATCH($B1919,Table14[SAPNo],0),3),"")</f>
        <v>1313 CT421 0.018"</v>
      </c>
      <c r="D1919" s="306"/>
      <c r="E1919" s="421">
        <v>22</v>
      </c>
      <c r="F1919" s="421"/>
      <c r="G1919" s="417" t="s">
        <v>1785</v>
      </c>
      <c r="H1919" s="598">
        <v>14162004</v>
      </c>
      <c r="I1919" s="322" t="s">
        <v>1463</v>
      </c>
      <c r="J1919" s="418"/>
      <c r="K1919" s="248"/>
      <c r="M1919" s="366"/>
      <c r="AF1919">
        <v>22</v>
      </c>
    </row>
    <row r="1920" spans="1:32" x14ac:dyDescent="0.25">
      <c r="A1920" s="308">
        <v>45438</v>
      </c>
      <c r="B1920" s="416">
        <v>871781</v>
      </c>
      <c r="C1920" s="413" t="str">
        <f>IFERROR(INDEX(Table14[],MATCH($B1920,Table14[SAPNo],0),3),"")</f>
        <v>Round 1313 CT200  0.018" (B)</v>
      </c>
      <c r="D1920" s="306"/>
      <c r="E1920" s="421">
        <v>5</v>
      </c>
      <c r="F1920" s="421"/>
      <c r="G1920" s="417" t="s">
        <v>1786</v>
      </c>
      <c r="H1920" s="598">
        <v>14178472</v>
      </c>
      <c r="I1920" s="322" t="s">
        <v>1463</v>
      </c>
      <c r="J1920" s="418"/>
      <c r="K1920" s="248"/>
      <c r="M1920" s="366"/>
      <c r="AF1920">
        <v>5</v>
      </c>
    </row>
    <row r="1921" spans="1:32" x14ac:dyDescent="0.25">
      <c r="A1921" s="308">
        <v>45438</v>
      </c>
      <c r="B1921" s="416">
        <v>1271790</v>
      </c>
      <c r="C1921" s="413" t="str">
        <f>IFERROR(INDEX(Table14[],MATCH($B1921,Table14[SAPNo],0),3),"")</f>
        <v xml:space="preserve">1613 CT170 18-60 </v>
      </c>
      <c r="D1921" s="306"/>
      <c r="E1921" s="421">
        <v>30</v>
      </c>
      <c r="F1921" s="421"/>
      <c r="G1921" s="417" t="s">
        <v>1786</v>
      </c>
      <c r="H1921" s="598">
        <v>14178472</v>
      </c>
      <c r="I1921" s="322" t="s">
        <v>1463</v>
      </c>
      <c r="J1921" s="418"/>
      <c r="K1921" s="248"/>
      <c r="M1921" s="366"/>
      <c r="AF1921">
        <v>30</v>
      </c>
    </row>
    <row r="1922" spans="1:32" x14ac:dyDescent="0.25">
      <c r="A1922" s="308">
        <v>45438</v>
      </c>
      <c r="B1922" s="416">
        <v>1209410</v>
      </c>
      <c r="C1922" s="413" t="str">
        <f>IFERROR(INDEX(Table14[],MATCH($B1922,Table14[SAPNo],0),3),"")</f>
        <v>1613 CT430MV3 U TBO</v>
      </c>
      <c r="D1922" s="306"/>
      <c r="E1922" s="421">
        <v>10</v>
      </c>
      <c r="F1922" s="421"/>
      <c r="G1922" s="417" t="s">
        <v>1786</v>
      </c>
      <c r="H1922" s="598">
        <v>14178472</v>
      </c>
      <c r="I1922" s="322" t="s">
        <v>1463</v>
      </c>
      <c r="J1922" s="418"/>
      <c r="K1922" s="248"/>
      <c r="M1922" s="366"/>
      <c r="AF1922">
        <v>10</v>
      </c>
    </row>
    <row r="1923" spans="1:32" x14ac:dyDescent="0.25">
      <c r="A1923" s="308">
        <v>45438</v>
      </c>
      <c r="B1923" s="416">
        <v>1146737</v>
      </c>
      <c r="C1923" s="413" t="str">
        <f>IFERROR(INDEX(Table14[],MATCH($B1923,Table14[SAPNo],0),3),"")</f>
        <v>1613 CT418 18-60</v>
      </c>
      <c r="D1923" s="306"/>
      <c r="E1923" s="421">
        <v>10</v>
      </c>
      <c r="F1923" s="421"/>
      <c r="G1923" s="417" t="s">
        <v>1786</v>
      </c>
      <c r="H1923" s="598">
        <v>14178472</v>
      </c>
      <c r="I1923" s="322" t="s">
        <v>1463</v>
      </c>
      <c r="J1923" s="418"/>
      <c r="K1923" s="248"/>
      <c r="M1923" s="366"/>
      <c r="AF1923">
        <v>10</v>
      </c>
    </row>
    <row r="1924" spans="1:32" x14ac:dyDescent="0.25">
      <c r="A1924" s="308">
        <v>45438</v>
      </c>
      <c r="B1924" s="416">
        <v>1100751</v>
      </c>
      <c r="C1924" s="413" t="str">
        <f>IFERROR(INDEX(Table14[],MATCH($B1924,Table14[SAPNo],0),3),"")</f>
        <v>1313 CT421 0.018"</v>
      </c>
      <c r="D1924" s="306"/>
      <c r="E1924" s="421">
        <v>22</v>
      </c>
      <c r="F1924" s="421"/>
      <c r="G1924" s="417" t="s">
        <v>1786</v>
      </c>
      <c r="H1924" s="598">
        <v>14178472</v>
      </c>
      <c r="I1924" s="322" t="s">
        <v>1463</v>
      </c>
      <c r="J1924" s="418"/>
      <c r="K1924" s="248"/>
      <c r="M1924" s="366"/>
      <c r="AF1924">
        <v>22</v>
      </c>
    </row>
    <row r="1925" spans="1:32" x14ac:dyDescent="0.25">
      <c r="A1925" s="308">
        <v>45438</v>
      </c>
      <c r="B1925" s="416">
        <v>871781</v>
      </c>
      <c r="C1925" s="413" t="str">
        <f>IFERROR(INDEX(Table14[],MATCH($B1925,Table14[SAPNo],0),3),"")</f>
        <v>Round 1313 CT200  0.018" (B)</v>
      </c>
      <c r="D1925" s="306"/>
      <c r="E1925" s="421">
        <v>6</v>
      </c>
      <c r="F1925" s="421"/>
      <c r="G1925" s="417" t="s">
        <v>1787</v>
      </c>
      <c r="H1925" s="598">
        <v>14178488</v>
      </c>
      <c r="I1925" s="322" t="s">
        <v>1788</v>
      </c>
      <c r="J1925" s="418"/>
      <c r="K1925" s="248"/>
      <c r="M1925" s="366"/>
      <c r="AF1925">
        <v>6</v>
      </c>
    </row>
    <row r="1926" spans="1:32" x14ac:dyDescent="0.25">
      <c r="A1926" s="308">
        <v>45438</v>
      </c>
      <c r="B1926" s="416">
        <v>647435</v>
      </c>
      <c r="C1926" s="413" t="str">
        <f>IFERROR(INDEX(Table14[],MATCH($B1926,Table14[SAPNo],0),3),"")</f>
        <v>Round 1608 CT200  0.018" (B)</v>
      </c>
      <c r="D1926" s="306"/>
      <c r="E1926" s="421">
        <v>23</v>
      </c>
      <c r="F1926" s="421"/>
      <c r="G1926" s="417" t="s">
        <v>1787</v>
      </c>
      <c r="H1926" s="598">
        <v>14178488</v>
      </c>
      <c r="I1926" s="322" t="s">
        <v>1788</v>
      </c>
      <c r="J1926" s="418"/>
      <c r="K1926" s="248"/>
      <c r="M1926" s="366"/>
      <c r="AF1926">
        <v>23</v>
      </c>
    </row>
    <row r="1927" spans="1:32" x14ac:dyDescent="0.25">
      <c r="A1927" s="308">
        <v>45438</v>
      </c>
      <c r="B1927" s="416">
        <v>1100755</v>
      </c>
      <c r="C1927" s="413" t="str">
        <f>IFERROR(INDEX(Table14[],MATCH($B1927,Table14[SAPNo],0),3),"")</f>
        <v>Round 1613 CT421  0.018" (S)</v>
      </c>
      <c r="D1927" s="306"/>
      <c r="E1927" s="421">
        <v>33</v>
      </c>
      <c r="F1927" s="421"/>
      <c r="G1927" s="417" t="s">
        <v>1787</v>
      </c>
      <c r="H1927" s="598">
        <v>14178488</v>
      </c>
      <c r="I1927" s="322" t="s">
        <v>1788</v>
      </c>
      <c r="J1927" s="418"/>
      <c r="K1927" s="248"/>
      <c r="M1927" s="366"/>
      <c r="AF1927">
        <v>33</v>
      </c>
    </row>
    <row r="1928" spans="1:32" x14ac:dyDescent="0.25">
      <c r="A1928" s="320">
        <v>45438</v>
      </c>
      <c r="B1928" s="419">
        <v>971055</v>
      </c>
      <c r="C1928" s="413" t="str">
        <f>IFERROR(INDEX(Table14[],MATCH($B1928,Table14[SAPNo],0),3),"")</f>
        <v>MED Bullet 10.5 CT217 MBL 0.018" (B)</v>
      </c>
      <c r="D1928" s="306"/>
      <c r="E1928" s="421"/>
      <c r="F1928" s="421"/>
      <c r="G1928" s="420">
        <v>20241052</v>
      </c>
      <c r="H1928" s="599" t="s">
        <v>1789</v>
      </c>
      <c r="I1928" s="322" t="s">
        <v>1112</v>
      </c>
      <c r="J1928" s="421">
        <v>2</v>
      </c>
      <c r="K1928" s="422"/>
      <c r="M1928" s="473" t="s">
        <v>1790</v>
      </c>
    </row>
    <row r="1929" spans="1:32" x14ac:dyDescent="0.25">
      <c r="A1929" s="308">
        <v>45439</v>
      </c>
      <c r="B1929" s="416">
        <v>1271790</v>
      </c>
      <c r="C1929" s="413" t="str">
        <f>IFERROR(INDEX(Table14[],MATCH($B1929,Table14[SAPNo],0),3),"")</f>
        <v xml:space="preserve">1613 CT170 18-60 </v>
      </c>
      <c r="D1929" s="306"/>
      <c r="E1929" s="421">
        <v>47</v>
      </c>
      <c r="F1929" s="421"/>
      <c r="G1929" s="417" t="s">
        <v>1791</v>
      </c>
      <c r="H1929" s="598">
        <v>13845746</v>
      </c>
      <c r="I1929" s="322" t="s">
        <v>1792</v>
      </c>
      <c r="J1929" s="418"/>
      <c r="K1929" s="248"/>
      <c r="M1929" s="422"/>
      <c r="AF1929">
        <v>47</v>
      </c>
    </row>
    <row r="1930" spans="1:32" x14ac:dyDescent="0.25">
      <c r="A1930" s="308">
        <v>45439</v>
      </c>
      <c r="B1930" s="416">
        <v>1146737</v>
      </c>
      <c r="C1930" s="413" t="str">
        <f>IFERROR(INDEX(Table14[],MATCH($B1930,Table14[SAPNo],0),3),"")</f>
        <v>1613 CT418 18-60</v>
      </c>
      <c r="D1930" s="306"/>
      <c r="E1930" s="421">
        <v>33</v>
      </c>
      <c r="F1930" s="421"/>
      <c r="G1930" s="417" t="s">
        <v>1791</v>
      </c>
      <c r="H1930" s="598">
        <v>13845746</v>
      </c>
      <c r="I1930" s="322" t="s">
        <v>1792</v>
      </c>
      <c r="J1930" s="418"/>
      <c r="K1930" s="248"/>
      <c r="M1930" s="366"/>
      <c r="AF1930">
        <v>33</v>
      </c>
    </row>
    <row r="1931" spans="1:32" x14ac:dyDescent="0.25">
      <c r="A1931" s="308">
        <v>45439</v>
      </c>
      <c r="B1931" s="416">
        <v>871781</v>
      </c>
      <c r="C1931" s="413" t="str">
        <f>IFERROR(INDEX(Table14[],MATCH($B1931,Table14[SAPNo],0),3),"")</f>
        <v>Round 1313 CT200  0.018" (B)</v>
      </c>
      <c r="D1931" s="306"/>
      <c r="E1931" s="421">
        <v>8</v>
      </c>
      <c r="F1931" s="421"/>
      <c r="G1931" s="417" t="s">
        <v>1793</v>
      </c>
      <c r="H1931" s="598">
        <v>14162014</v>
      </c>
      <c r="I1931" s="322" t="s">
        <v>1599</v>
      </c>
      <c r="J1931" s="418"/>
      <c r="K1931" s="248"/>
      <c r="M1931" s="366"/>
      <c r="AF1931">
        <v>8</v>
      </c>
    </row>
    <row r="1932" spans="1:32" x14ac:dyDescent="0.25">
      <c r="A1932" s="308">
        <v>45439</v>
      </c>
      <c r="B1932" s="416">
        <v>708306</v>
      </c>
      <c r="C1932" s="413" t="str">
        <f>IFERROR(INDEX(Table14[],MATCH($B1932,Table14[SAPNo],0),3),"")</f>
        <v>Round 1913 CT200  0.018" (B)</v>
      </c>
      <c r="D1932" s="306"/>
      <c r="E1932" s="421">
        <v>34</v>
      </c>
      <c r="F1932" s="421"/>
      <c r="G1932" s="417" t="s">
        <v>1793</v>
      </c>
      <c r="H1932" s="598">
        <v>14162014</v>
      </c>
      <c r="I1932" s="322" t="s">
        <v>1599</v>
      </c>
      <c r="J1932" s="418"/>
      <c r="K1932" s="248"/>
      <c r="M1932" s="366"/>
      <c r="AF1932">
        <v>34</v>
      </c>
    </row>
    <row r="1933" spans="1:32" x14ac:dyDescent="0.25">
      <c r="A1933" s="308">
        <v>45439</v>
      </c>
      <c r="B1933" s="416">
        <v>1100755</v>
      </c>
      <c r="C1933" s="413" t="str">
        <f>IFERROR(INDEX(Table14[],MATCH($B1933,Table14[SAPNo],0),3),"")</f>
        <v>Round 1613 CT421  0.018" (S)</v>
      </c>
      <c r="D1933" s="306"/>
      <c r="E1933" s="421">
        <v>9</v>
      </c>
      <c r="F1933" s="421"/>
      <c r="G1933" s="417" t="s">
        <v>1793</v>
      </c>
      <c r="H1933" s="598">
        <v>14162014</v>
      </c>
      <c r="I1933" s="322" t="s">
        <v>1599</v>
      </c>
      <c r="J1933" s="418"/>
      <c r="K1933" s="248"/>
      <c r="M1933" s="366"/>
      <c r="AF1933">
        <v>9</v>
      </c>
    </row>
    <row r="1934" spans="1:32" x14ac:dyDescent="0.25">
      <c r="A1934" s="308">
        <v>45439</v>
      </c>
      <c r="B1934" s="416">
        <v>1100759</v>
      </c>
      <c r="C1934" s="413" t="str">
        <f>IFERROR(INDEX(Table14[],MATCH($B1934,Table14[SAPNo],0),3),"")</f>
        <v>1913 CT421 0.018"</v>
      </c>
      <c r="D1934" s="306"/>
      <c r="E1934" s="421">
        <v>48</v>
      </c>
      <c r="F1934" s="421"/>
      <c r="G1934" s="417" t="s">
        <v>1793</v>
      </c>
      <c r="H1934" s="598">
        <v>14162014</v>
      </c>
      <c r="I1934" s="322" t="s">
        <v>1599</v>
      </c>
      <c r="J1934" s="418"/>
      <c r="K1934" s="248"/>
      <c r="M1934" s="366"/>
      <c r="AF1934">
        <v>48</v>
      </c>
    </row>
    <row r="1935" spans="1:32" x14ac:dyDescent="0.25">
      <c r="A1935" s="308">
        <v>45439</v>
      </c>
      <c r="B1935" s="416">
        <v>717751</v>
      </c>
      <c r="C1935" s="413" t="str">
        <f>IFERROR(INDEX(Table14[],MATCH($B1935,Table14[SAPNo],0),3),"")</f>
        <v>Round 1308 CT200  0.018" (B)</v>
      </c>
      <c r="D1935" s="306"/>
      <c r="E1935" s="421">
        <v>39</v>
      </c>
      <c r="F1935" s="421"/>
      <c r="G1935" s="417" t="s">
        <v>1794</v>
      </c>
      <c r="H1935" s="598">
        <v>14109693</v>
      </c>
      <c r="I1935" s="322" t="s">
        <v>1748</v>
      </c>
      <c r="J1935" s="418"/>
      <c r="K1935" s="248"/>
      <c r="M1935" s="366"/>
      <c r="AF1935">
        <v>39</v>
      </c>
    </row>
    <row r="1936" spans="1:32" x14ac:dyDescent="0.25">
      <c r="A1936" s="308">
        <v>45439</v>
      </c>
      <c r="B1936" s="416">
        <v>1100741</v>
      </c>
      <c r="C1936" s="413" t="str">
        <f>IFERROR(INDEX(Table14[],MATCH($B1936,Table14[SAPNo],0),3),"")</f>
        <v>Round 1613 CT418  0.018" (S)</v>
      </c>
      <c r="D1936" s="306"/>
      <c r="E1936" s="421">
        <v>1</v>
      </c>
      <c r="F1936" s="421"/>
      <c r="G1936" s="417" t="s">
        <v>1794</v>
      </c>
      <c r="H1936" s="598">
        <v>14109693</v>
      </c>
      <c r="I1936" s="322" t="s">
        <v>1748</v>
      </c>
      <c r="J1936" s="418"/>
      <c r="K1936" s="248"/>
      <c r="M1936" s="366"/>
      <c r="AF1936">
        <v>1</v>
      </c>
    </row>
    <row r="1937" spans="1:32" x14ac:dyDescent="0.25">
      <c r="A1937" s="308">
        <v>45439</v>
      </c>
      <c r="B1937" s="416">
        <v>418525</v>
      </c>
      <c r="C1937" s="413" t="str">
        <f>IFERROR(INDEX(Table14[],MATCH($B1937,Table14[SAPNo],0),3),"")</f>
        <v>Drop In 1308 CT31   (B)</v>
      </c>
      <c r="D1937" s="306"/>
      <c r="E1937" s="421">
        <v>14</v>
      </c>
      <c r="F1937" s="421"/>
      <c r="G1937" s="417" t="s">
        <v>1794</v>
      </c>
      <c r="H1937" s="598">
        <v>14109693</v>
      </c>
      <c r="I1937" s="322" t="s">
        <v>1748</v>
      </c>
      <c r="J1937" s="418"/>
      <c r="K1937" s="248"/>
      <c r="M1937" s="366"/>
      <c r="AF1937">
        <v>14</v>
      </c>
    </row>
    <row r="1938" spans="1:32" x14ac:dyDescent="0.25">
      <c r="A1938" s="308">
        <v>45439</v>
      </c>
      <c r="B1938" s="416">
        <v>410851</v>
      </c>
      <c r="C1938" s="413" t="str">
        <f>IFERROR(INDEX(Table14[],MATCH($B1938,Table14[SAPNo],0),3),"")</f>
        <v>PDC Dome 1308 CT31   (B)</v>
      </c>
      <c r="D1938" s="306"/>
      <c r="E1938" s="421">
        <v>42</v>
      </c>
      <c r="F1938" s="421"/>
      <c r="G1938" s="417" t="s">
        <v>1794</v>
      </c>
      <c r="H1938" s="598">
        <v>14109693</v>
      </c>
      <c r="I1938" s="322" t="s">
        <v>1748</v>
      </c>
      <c r="J1938" s="418"/>
      <c r="K1938" s="248"/>
      <c r="M1938" s="366"/>
      <c r="AF1938">
        <v>42</v>
      </c>
    </row>
    <row r="1939" spans="1:32" x14ac:dyDescent="0.25">
      <c r="A1939" s="308">
        <v>45439</v>
      </c>
      <c r="B1939" s="416">
        <v>179733</v>
      </c>
      <c r="C1939" s="413" t="str">
        <f>IFERROR(INDEX(Table14[],MATCH($B1939,Table14[SAPNo],0),3),"")</f>
        <v>Short IA 13    (C)</v>
      </c>
      <c r="D1939" s="306"/>
      <c r="E1939" s="421">
        <v>23</v>
      </c>
      <c r="F1939" s="421"/>
      <c r="G1939" s="417" t="s">
        <v>1794</v>
      </c>
      <c r="H1939" s="598">
        <v>14109693</v>
      </c>
      <c r="I1939" s="322" t="s">
        <v>1748</v>
      </c>
      <c r="J1939" s="418"/>
      <c r="K1939" s="248"/>
      <c r="M1939" s="366"/>
      <c r="AF1939">
        <v>23</v>
      </c>
    </row>
    <row r="1940" spans="1:32" x14ac:dyDescent="0.25">
      <c r="A1940" s="308">
        <v>45439</v>
      </c>
      <c r="B1940" s="416">
        <v>1271790</v>
      </c>
      <c r="C1940" s="413" t="str">
        <f>IFERROR(INDEX(Table14[],MATCH($B1940,Table14[SAPNo],0),3),"")</f>
        <v xml:space="preserve">1613 CT170 18-60 </v>
      </c>
      <c r="D1940" s="306"/>
      <c r="E1940" s="421">
        <v>41</v>
      </c>
      <c r="F1940" s="421"/>
      <c r="G1940" s="417" t="s">
        <v>1794</v>
      </c>
      <c r="H1940" s="598">
        <v>14109693</v>
      </c>
      <c r="I1940" s="322" t="s">
        <v>1748</v>
      </c>
      <c r="J1940" s="418"/>
      <c r="K1940" s="248"/>
      <c r="M1940" s="366"/>
      <c r="AF1940">
        <v>41</v>
      </c>
    </row>
    <row r="1941" spans="1:32" x14ac:dyDescent="0.25">
      <c r="A1941" s="308">
        <v>45439</v>
      </c>
      <c r="B1941" s="416">
        <v>1100739</v>
      </c>
      <c r="C1941" s="413" t="str">
        <f>IFERROR(INDEX(Table14[],MATCH($B1941,Table14[SAPNo],0),3),"")</f>
        <v>1608 CT418 0.018"</v>
      </c>
      <c r="D1941" s="306"/>
      <c r="E1941" s="421">
        <v>13</v>
      </c>
      <c r="F1941" s="421"/>
      <c r="G1941" s="417" t="s">
        <v>1794</v>
      </c>
      <c r="H1941" s="598">
        <v>14109693</v>
      </c>
      <c r="I1941" s="322" t="s">
        <v>1748</v>
      </c>
      <c r="J1941" s="418"/>
      <c r="K1941" s="248"/>
      <c r="M1941" s="366"/>
      <c r="AF1941">
        <v>13</v>
      </c>
    </row>
    <row r="1942" spans="1:32" x14ac:dyDescent="0.25">
      <c r="A1942" s="308">
        <v>45439</v>
      </c>
      <c r="B1942" s="416">
        <v>1146737</v>
      </c>
      <c r="C1942" s="413" t="str">
        <f>IFERROR(INDEX(Table14[],MATCH($B1942,Table14[SAPNo],0),3),"")</f>
        <v>1613 CT418 18-60</v>
      </c>
      <c r="D1942" s="306"/>
      <c r="E1942" s="421">
        <v>14</v>
      </c>
      <c r="F1942" s="421"/>
      <c r="G1942" s="417" t="s">
        <v>1794</v>
      </c>
      <c r="H1942" s="598">
        <v>14109693</v>
      </c>
      <c r="I1942" s="322" t="s">
        <v>1748</v>
      </c>
      <c r="J1942" s="418"/>
      <c r="K1942" s="248"/>
      <c r="M1942" s="366"/>
      <c r="AF1942">
        <v>14</v>
      </c>
    </row>
    <row r="1943" spans="1:32" x14ac:dyDescent="0.25">
      <c r="A1943" s="308">
        <v>45439</v>
      </c>
      <c r="B1943" s="416">
        <v>1126402</v>
      </c>
      <c r="C1943" s="413" t="str">
        <f>IFERROR(INDEX(Table14[],MATCH($B1943,Table14[SAPNo],0),3),"")</f>
        <v>1613 CT421 16-60</v>
      </c>
      <c r="D1943" s="306"/>
      <c r="E1943" s="421">
        <v>21</v>
      </c>
      <c r="F1943" s="421"/>
      <c r="G1943" s="417" t="s">
        <v>1795</v>
      </c>
      <c r="H1943" s="598">
        <v>14178477</v>
      </c>
      <c r="I1943" s="322" t="s">
        <v>1796</v>
      </c>
      <c r="J1943" s="418"/>
      <c r="K1943" s="248"/>
      <c r="M1943" s="366"/>
      <c r="AF1943">
        <v>21</v>
      </c>
    </row>
    <row r="1944" spans="1:32" x14ac:dyDescent="0.25">
      <c r="A1944" s="308">
        <v>45439</v>
      </c>
      <c r="B1944" s="416">
        <v>1146737</v>
      </c>
      <c r="C1944" s="413" t="str">
        <f>IFERROR(INDEX(Table14[],MATCH($B1944,Table14[SAPNo],0),3),"")</f>
        <v>1613 CT418 18-60</v>
      </c>
      <c r="D1944" s="306"/>
      <c r="E1944" s="421">
        <v>8</v>
      </c>
      <c r="F1944" s="421"/>
      <c r="G1944" s="417" t="s">
        <v>1795</v>
      </c>
      <c r="H1944" s="598">
        <v>14178477</v>
      </c>
      <c r="I1944" s="322" t="s">
        <v>1796</v>
      </c>
      <c r="J1944" s="418"/>
      <c r="K1944" s="248"/>
      <c r="M1944" s="366"/>
      <c r="AF1944">
        <v>8</v>
      </c>
    </row>
    <row r="1945" spans="1:32" x14ac:dyDescent="0.25">
      <c r="A1945" s="308">
        <v>45439</v>
      </c>
      <c r="B1945" s="416">
        <v>1163820</v>
      </c>
      <c r="C1945" s="413" t="str">
        <f>IFERROR(INDEX(Table14[],MATCH($B1945,Table14[SAPNo],0),3),"")</f>
        <v>1613 CT156 0.018"</v>
      </c>
      <c r="D1945" s="306"/>
      <c r="E1945" s="421">
        <v>6</v>
      </c>
      <c r="F1945" s="421"/>
      <c r="G1945" s="417" t="s">
        <v>1795</v>
      </c>
      <c r="H1945" s="598">
        <v>14178477</v>
      </c>
      <c r="I1945" s="322" t="s">
        <v>1796</v>
      </c>
      <c r="J1945" s="418"/>
      <c r="K1945" s="248"/>
      <c r="M1945" s="366"/>
      <c r="AF1945">
        <v>6</v>
      </c>
    </row>
    <row r="1946" spans="1:32" x14ac:dyDescent="0.25">
      <c r="A1946" s="308">
        <v>45439</v>
      </c>
      <c r="B1946" s="416">
        <v>1261615</v>
      </c>
      <c r="C1946" s="413" t="str">
        <f>IFERROR(INDEX(Table14[],MATCH($B1946,Table14[SAPNo],0),3),"")</f>
        <v>1613 CT172R U</v>
      </c>
      <c r="D1946" s="306"/>
      <c r="E1946" s="421">
        <v>30</v>
      </c>
      <c r="F1946" s="421"/>
      <c r="G1946" s="417" t="s">
        <v>1795</v>
      </c>
      <c r="H1946" s="598">
        <v>14178477</v>
      </c>
      <c r="I1946" s="322" t="s">
        <v>1796</v>
      </c>
      <c r="J1946" s="418"/>
      <c r="K1946" s="248"/>
      <c r="M1946" s="366"/>
      <c r="AF1946">
        <v>30</v>
      </c>
    </row>
    <row r="1947" spans="1:32" x14ac:dyDescent="0.25">
      <c r="A1947" s="308">
        <v>45439</v>
      </c>
      <c r="B1947" s="416">
        <v>871781</v>
      </c>
      <c r="C1947" s="413" t="str">
        <f>IFERROR(INDEX(Table14[],MATCH($B1947,Table14[SAPNo],0),3),"")</f>
        <v>Round 1313 CT200  0.018" (B)</v>
      </c>
      <c r="D1947" s="306"/>
      <c r="E1947" s="421">
        <v>7</v>
      </c>
      <c r="F1947" s="421"/>
      <c r="G1947" s="417" t="s">
        <v>1795</v>
      </c>
      <c r="H1947" s="598">
        <v>14178477</v>
      </c>
      <c r="I1947" s="322" t="s">
        <v>1796</v>
      </c>
      <c r="J1947" s="418"/>
      <c r="K1947" s="248"/>
      <c r="M1947" s="366"/>
      <c r="AF1947">
        <v>7</v>
      </c>
    </row>
    <row r="1948" spans="1:32" x14ac:dyDescent="0.25">
      <c r="A1948" s="308">
        <v>45439</v>
      </c>
      <c r="B1948" s="416">
        <v>625854</v>
      </c>
      <c r="C1948" s="413" t="str">
        <f>IFERROR(INDEX(Table14[],MATCH($B1948,Table14[SAPNo],0),3),"")</f>
        <v>Carbide IA 1318    (C)</v>
      </c>
      <c r="D1948" s="306"/>
      <c r="E1948" s="421">
        <v>6</v>
      </c>
      <c r="F1948" s="421"/>
      <c r="G1948" s="417" t="s">
        <v>1795</v>
      </c>
      <c r="H1948" s="598">
        <v>14178477</v>
      </c>
      <c r="I1948" s="322" t="s">
        <v>1796</v>
      </c>
      <c r="J1948" s="418"/>
      <c r="K1948" s="248"/>
      <c r="M1948" s="366"/>
      <c r="AF1948">
        <v>6</v>
      </c>
    </row>
    <row r="1949" spans="1:32" x14ac:dyDescent="0.25">
      <c r="A1949" s="320">
        <v>45439</v>
      </c>
      <c r="B1949" s="419">
        <v>1208601</v>
      </c>
      <c r="C1949" s="413" t="str">
        <f>IFERROR(INDEX(Table14[],MATCH($B1949,Table14[SAPNo],0),3),"")</f>
        <v>1613 CT418 U-60</v>
      </c>
      <c r="D1949" s="306"/>
      <c r="E1949" s="421">
        <v>11</v>
      </c>
      <c r="F1949" s="421"/>
      <c r="G1949" s="420" t="s">
        <v>1795</v>
      </c>
      <c r="H1949" s="599">
        <v>14178477</v>
      </c>
      <c r="I1949" s="322" t="s">
        <v>1796</v>
      </c>
      <c r="J1949" s="421"/>
      <c r="K1949" s="422"/>
      <c r="M1949" s="366"/>
      <c r="AF1949">
        <v>11</v>
      </c>
    </row>
    <row r="1950" spans="1:32" x14ac:dyDescent="0.25">
      <c r="A1950" s="320">
        <v>45440</v>
      </c>
      <c r="B1950" s="416">
        <v>1100755</v>
      </c>
      <c r="C1950" s="413" t="str">
        <f>IFERROR(INDEX(Table14[],MATCH($B1950,Table14[SAPNo],0),3),"")</f>
        <v>Round 1613 CT421  0.018" (S)</v>
      </c>
      <c r="D1950" s="306"/>
      <c r="E1950" s="421">
        <v>33</v>
      </c>
      <c r="F1950" s="421"/>
      <c r="G1950" s="417" t="s">
        <v>1797</v>
      </c>
      <c r="H1950" s="598">
        <v>14178490</v>
      </c>
      <c r="I1950" s="322" t="s">
        <v>1788</v>
      </c>
      <c r="J1950" s="418"/>
      <c r="K1950" s="248"/>
      <c r="M1950" s="422"/>
      <c r="AF1950">
        <v>33</v>
      </c>
    </row>
    <row r="1951" spans="1:32" x14ac:dyDescent="0.25">
      <c r="A1951" s="308">
        <v>45440</v>
      </c>
      <c r="B1951" s="416">
        <v>647435</v>
      </c>
      <c r="C1951" s="413" t="str">
        <f>IFERROR(INDEX(Table14[],MATCH($B1951,Table14[SAPNo],0),3),"")</f>
        <v>Round 1608 CT200  0.018" (B)</v>
      </c>
      <c r="D1951" s="306"/>
      <c r="E1951" s="421">
        <v>23</v>
      </c>
      <c r="F1951" s="421"/>
      <c r="G1951" s="417" t="s">
        <v>1797</v>
      </c>
      <c r="H1951" s="598">
        <v>14178490</v>
      </c>
      <c r="I1951" s="322" t="s">
        <v>1788</v>
      </c>
      <c r="J1951" s="418"/>
      <c r="K1951" s="248"/>
      <c r="M1951" s="422"/>
      <c r="AF1951">
        <v>23</v>
      </c>
    </row>
    <row r="1952" spans="1:32" x14ac:dyDescent="0.25">
      <c r="A1952" s="308">
        <v>45440</v>
      </c>
      <c r="B1952" s="416">
        <v>871781</v>
      </c>
      <c r="C1952" s="413" t="str">
        <f>IFERROR(INDEX(Table14[],MATCH($B1952,Table14[SAPNo],0),3),"")</f>
        <v>Round 1313 CT200  0.018" (B)</v>
      </c>
      <c r="D1952" s="306"/>
      <c r="E1952" s="421">
        <v>6</v>
      </c>
      <c r="F1952" s="421"/>
      <c r="G1952" s="417" t="s">
        <v>1797</v>
      </c>
      <c r="H1952" s="598">
        <v>14178490</v>
      </c>
      <c r="I1952" s="322" t="s">
        <v>1788</v>
      </c>
      <c r="J1952" s="418"/>
      <c r="K1952" s="248"/>
      <c r="M1952" s="366"/>
      <c r="AF1952">
        <v>6</v>
      </c>
    </row>
    <row r="1953" spans="1:13" x14ac:dyDescent="0.25">
      <c r="A1953" s="320">
        <v>45440</v>
      </c>
      <c r="B1953" s="419">
        <v>971055</v>
      </c>
      <c r="C1953" s="413" t="str">
        <f>IFERROR(INDEX(Table14[],MATCH($B1953,Table14[SAPNo],0),3),"")</f>
        <v>MED Bullet 10.5 CT217 MBL 0.018" (B)</v>
      </c>
      <c r="D1953" s="306"/>
      <c r="E1953" s="421"/>
      <c r="F1953" s="421"/>
      <c r="G1953" s="420">
        <v>20241073</v>
      </c>
      <c r="H1953" s="599" t="s">
        <v>1798</v>
      </c>
      <c r="I1953" s="322" t="s">
        <v>1112</v>
      </c>
      <c r="J1953" s="421">
        <v>2</v>
      </c>
      <c r="K1953" s="422"/>
      <c r="M1953" s="366"/>
    </row>
    <row r="1954" spans="1:13" x14ac:dyDescent="0.25">
      <c r="A1954" s="320">
        <v>45440</v>
      </c>
      <c r="B1954" s="419">
        <v>1130198</v>
      </c>
      <c r="C1954" s="413" t="str">
        <f>IFERROR(INDEX(Table14[],MATCH($B1954,Table14[SAPNo],0),3),"")</f>
        <v>Round 1613 CT182  0.018" (S)</v>
      </c>
      <c r="D1954" s="306"/>
      <c r="E1954" s="421"/>
      <c r="F1954" s="421"/>
      <c r="G1954" s="420" t="s">
        <v>1799</v>
      </c>
      <c r="H1954" s="599">
        <v>13754562</v>
      </c>
      <c r="I1954" s="322" t="s">
        <v>1162</v>
      </c>
      <c r="J1954" s="421"/>
      <c r="K1954" s="422"/>
      <c r="M1954" s="422"/>
    </row>
    <row r="1955" spans="1:13" x14ac:dyDescent="0.25">
      <c r="A1955" s="320">
        <v>45440</v>
      </c>
      <c r="B1955" s="419">
        <v>1130198</v>
      </c>
      <c r="C1955" s="413" t="str">
        <f>IFERROR(INDEX(Table14[],MATCH($B1955,Table14[SAPNo],0),3),"")</f>
        <v>Round 1613 CT182  0.018" (S)</v>
      </c>
      <c r="D1955" s="306"/>
      <c r="E1955" s="421"/>
      <c r="F1955" s="421"/>
      <c r="G1955" s="420" t="s">
        <v>1800</v>
      </c>
      <c r="H1955" s="599">
        <v>13845746</v>
      </c>
      <c r="I1955" s="322" t="s">
        <v>1792</v>
      </c>
      <c r="J1955" s="421"/>
      <c r="K1955" s="422"/>
      <c r="M1955" s="422"/>
    </row>
    <row r="1956" spans="1:13" x14ac:dyDescent="0.25">
      <c r="A1956" s="320">
        <v>45440</v>
      </c>
      <c r="B1956" s="419">
        <v>1145493</v>
      </c>
      <c r="C1956" s="413" t="str">
        <f>IFERROR(INDEX(Table14[],MATCH($B1956,Table14[SAPNo],0),3),"")</f>
        <v>Round 1313 CT427  10C (S)</v>
      </c>
      <c r="D1956" s="306"/>
      <c r="E1956" s="421"/>
      <c r="F1956" s="421"/>
      <c r="G1956" s="420">
        <v>20241064</v>
      </c>
      <c r="H1956" s="599" t="s">
        <v>1801</v>
      </c>
      <c r="I1956" s="322" t="s">
        <v>1322</v>
      </c>
      <c r="J1956" s="421"/>
      <c r="K1956" s="422"/>
      <c r="M1956" s="422"/>
    </row>
    <row r="1957" spans="1:13" x14ac:dyDescent="0.25">
      <c r="A1957" s="308">
        <v>45440</v>
      </c>
      <c r="B1957" s="416">
        <v>1209332</v>
      </c>
      <c r="C1957" s="413" t="str">
        <f>IFERROR(INDEX(Table14[],MATCH($B1957,Table14[SAPNo],0),3),"")</f>
        <v>1313 CT147G U</v>
      </c>
      <c r="D1957" s="306"/>
      <c r="E1957" s="421"/>
      <c r="F1957" s="421"/>
      <c r="G1957" s="417">
        <v>20241064</v>
      </c>
      <c r="H1957" s="598" t="s">
        <v>1801</v>
      </c>
      <c r="I1957" s="322" t="s">
        <v>1322</v>
      </c>
      <c r="J1957" s="418"/>
      <c r="K1957" s="248"/>
      <c r="M1957" s="422"/>
    </row>
    <row r="1958" spans="1:13" x14ac:dyDescent="0.25">
      <c r="A1958" s="308">
        <v>45440</v>
      </c>
      <c r="B1958" s="416">
        <v>1100696</v>
      </c>
      <c r="C1958" s="413" t="str">
        <f>IFERROR(INDEX(Table14[],MATCH($B1958,Table14[SAPNo],0),3),"")</f>
        <v>Round 1313 CT418  10C (S)</v>
      </c>
      <c r="D1958" s="306"/>
      <c r="E1958" s="421"/>
      <c r="F1958" s="421"/>
      <c r="G1958" s="417">
        <v>20241051</v>
      </c>
      <c r="H1958" s="598">
        <v>14012908</v>
      </c>
      <c r="I1958" s="322" t="s">
        <v>1604</v>
      </c>
      <c r="J1958" s="418"/>
      <c r="K1958" s="248"/>
      <c r="M1958" s="366"/>
    </row>
    <row r="1959" spans="1:13" x14ac:dyDescent="0.25">
      <c r="A1959" s="308">
        <v>45440</v>
      </c>
      <c r="B1959" s="416">
        <v>1100696</v>
      </c>
      <c r="C1959" s="413" t="str">
        <f>IFERROR(INDEX(Table14[],MATCH($B1959,Table14[SAPNo],0),3),"")</f>
        <v>Round 1313 CT418  10C (S)</v>
      </c>
      <c r="D1959" s="306"/>
      <c r="E1959" s="421"/>
      <c r="F1959" s="421"/>
      <c r="G1959" s="417">
        <v>20241136</v>
      </c>
      <c r="H1959" s="598" t="s">
        <v>1560</v>
      </c>
      <c r="I1959" s="322" t="s">
        <v>1268</v>
      </c>
      <c r="J1959" s="418"/>
      <c r="K1959" s="248"/>
      <c r="M1959" s="366"/>
    </row>
    <row r="1960" spans="1:13" x14ac:dyDescent="0.25">
      <c r="A1960" s="308">
        <v>45440</v>
      </c>
      <c r="B1960" s="416">
        <v>1100696</v>
      </c>
      <c r="C1960" s="413" t="str">
        <f>IFERROR(INDEX(Table14[],MATCH($B1960,Table14[SAPNo],0),3),"")</f>
        <v>Round 1313 CT418  10C (S)</v>
      </c>
      <c r="D1960" s="306"/>
      <c r="E1960" s="421"/>
      <c r="F1960" s="421"/>
      <c r="G1960" s="417">
        <v>20241053</v>
      </c>
      <c r="H1960" s="598" t="s">
        <v>1656</v>
      </c>
      <c r="I1960" s="322" t="s">
        <v>1268</v>
      </c>
      <c r="J1960" s="418"/>
      <c r="K1960" s="248"/>
      <c r="M1960" s="366"/>
    </row>
    <row r="1961" spans="1:13" x14ac:dyDescent="0.25">
      <c r="A1961" s="308">
        <v>45440</v>
      </c>
      <c r="B1961" s="416">
        <v>1136984</v>
      </c>
      <c r="C1961" s="413" t="str">
        <f>IFERROR(INDEX(Table14[],MATCH($B1961,Table14[SAPNo],0),3),"")</f>
        <v>DBLMCHT 1313 CT182DM  10C (S)</v>
      </c>
      <c r="D1961" s="306"/>
      <c r="E1961" s="421"/>
      <c r="F1961" s="421"/>
      <c r="G1961" s="417">
        <v>20241053</v>
      </c>
      <c r="H1961" s="598" t="s">
        <v>1656</v>
      </c>
      <c r="I1961" s="322" t="s">
        <v>1268</v>
      </c>
      <c r="J1961" s="418"/>
      <c r="K1961" s="248"/>
      <c r="M1961" s="366"/>
    </row>
    <row r="1962" spans="1:13" x14ac:dyDescent="0.25">
      <c r="A1962" s="308">
        <v>45440</v>
      </c>
      <c r="B1962" s="416">
        <v>1145493</v>
      </c>
      <c r="C1962" s="413" t="str">
        <f>IFERROR(INDEX(Table14[],MATCH($B1962,Table14[SAPNo],0),3),"")</f>
        <v>Round 1313 CT427  10C (S)</v>
      </c>
      <c r="D1962" s="306"/>
      <c r="E1962" s="421"/>
      <c r="F1962" s="421"/>
      <c r="G1962" s="417">
        <v>20241149</v>
      </c>
      <c r="H1962" s="598" t="s">
        <v>1616</v>
      </c>
      <c r="I1962" s="322" t="s">
        <v>1115</v>
      </c>
      <c r="J1962" s="418"/>
      <c r="K1962" s="248"/>
      <c r="M1962" s="366"/>
    </row>
    <row r="1963" spans="1:13" x14ac:dyDescent="0.25">
      <c r="A1963" s="308">
        <v>45440</v>
      </c>
      <c r="B1963" s="416">
        <v>1209332</v>
      </c>
      <c r="C1963" s="413" t="str">
        <f>IFERROR(INDEX(Table14[],MATCH($B1963,Table14[SAPNo],0),3),"")</f>
        <v>1313 CT147G U</v>
      </c>
      <c r="D1963" s="306"/>
      <c r="E1963" s="421"/>
      <c r="F1963" s="421"/>
      <c r="G1963" s="417">
        <v>20241149</v>
      </c>
      <c r="H1963" s="598" t="s">
        <v>1616</v>
      </c>
      <c r="I1963" s="322" t="s">
        <v>1115</v>
      </c>
      <c r="J1963" s="418"/>
      <c r="K1963" s="248"/>
      <c r="M1963" s="366"/>
    </row>
    <row r="1964" spans="1:13" x14ac:dyDescent="0.25">
      <c r="A1964" s="308">
        <v>45440</v>
      </c>
      <c r="B1964" s="416">
        <v>625854</v>
      </c>
      <c r="C1964" s="413" t="str">
        <f>IFERROR(INDEX(Table14[],MATCH($B1964,Table14[SAPNo],0),3),"")</f>
        <v>Carbide IA 1318    (C)</v>
      </c>
      <c r="D1964" s="306"/>
      <c r="E1964" s="421"/>
      <c r="F1964" s="421"/>
      <c r="G1964" s="417">
        <v>20241149</v>
      </c>
      <c r="H1964" s="598" t="s">
        <v>1616</v>
      </c>
      <c r="I1964" s="322" t="s">
        <v>1115</v>
      </c>
      <c r="J1964" s="418"/>
      <c r="K1964" s="248"/>
      <c r="M1964" s="366"/>
    </row>
    <row r="1965" spans="1:13" x14ac:dyDescent="0.25">
      <c r="A1965" s="308">
        <v>45440</v>
      </c>
      <c r="B1965" s="416">
        <v>1145493</v>
      </c>
      <c r="C1965" s="413" t="str">
        <f>IFERROR(INDEX(Table14[],MATCH($B1965,Table14[SAPNo],0),3),"")</f>
        <v>Round 1313 CT427  10C (S)</v>
      </c>
      <c r="D1965" s="306"/>
      <c r="E1965" s="421"/>
      <c r="F1965" s="421"/>
      <c r="G1965" s="417">
        <v>20241067</v>
      </c>
      <c r="H1965" s="598" t="s">
        <v>1802</v>
      </c>
      <c r="I1965" s="322" t="s">
        <v>1266</v>
      </c>
      <c r="J1965" s="418"/>
      <c r="K1965" s="248"/>
      <c r="M1965" s="366"/>
    </row>
    <row r="1966" spans="1:13" x14ac:dyDescent="0.25">
      <c r="A1966" s="308">
        <v>45440</v>
      </c>
      <c r="B1966" s="416">
        <v>1209332</v>
      </c>
      <c r="C1966" s="413" t="str">
        <f>IFERROR(INDEX(Table14[],MATCH($B1966,Table14[SAPNo],0),3),"")</f>
        <v>1313 CT147G U</v>
      </c>
      <c r="D1966" s="306"/>
      <c r="E1966" s="421"/>
      <c r="F1966" s="421"/>
      <c r="G1966" s="417">
        <v>20241067</v>
      </c>
      <c r="H1966" s="598" t="s">
        <v>1802</v>
      </c>
      <c r="I1966" s="322" t="s">
        <v>1266</v>
      </c>
      <c r="J1966" s="418"/>
      <c r="K1966" s="248"/>
      <c r="M1966" s="366"/>
    </row>
    <row r="1967" spans="1:13" x14ac:dyDescent="0.25">
      <c r="A1967" s="320">
        <v>45440</v>
      </c>
      <c r="B1967" s="419">
        <v>907609</v>
      </c>
      <c r="C1967" s="413" t="str">
        <f>IFERROR(INDEX(Table14[],MATCH($B1967,Table14[SAPNo],0),3),"")</f>
        <v>Round 1313 CT125 GEDB 10C (S)</v>
      </c>
      <c r="D1967" s="306"/>
      <c r="E1967" s="421"/>
      <c r="F1967" s="421"/>
      <c r="G1967" s="420">
        <v>20241015</v>
      </c>
      <c r="H1967" s="599" t="s">
        <v>1803</v>
      </c>
      <c r="I1967" s="322" t="s">
        <v>1804</v>
      </c>
      <c r="J1967" s="421"/>
      <c r="K1967" s="422"/>
      <c r="M1967" s="366"/>
    </row>
    <row r="1968" spans="1:13" x14ac:dyDescent="0.25">
      <c r="A1968" s="308">
        <v>45440</v>
      </c>
      <c r="B1968" s="416">
        <v>703670</v>
      </c>
      <c r="C1968" s="413" t="str">
        <f>IFERROR(INDEX(Table14[],MATCH($B1968,Table14[SAPNo],0),3),"")</f>
        <v>Round 1313 CT200  10C (B)</v>
      </c>
      <c r="D1968" s="306"/>
      <c r="E1968" s="421"/>
      <c r="F1968" s="421"/>
      <c r="G1968" s="417">
        <v>20241015</v>
      </c>
      <c r="H1968" s="598" t="s">
        <v>1803</v>
      </c>
      <c r="I1968" s="322" t="s">
        <v>1804</v>
      </c>
      <c r="J1968" s="418"/>
      <c r="K1968" s="248"/>
      <c r="M1968" s="422"/>
    </row>
    <row r="1969" spans="1:32" x14ac:dyDescent="0.25">
      <c r="A1969" s="308">
        <v>45440</v>
      </c>
      <c r="B1969" s="416">
        <v>1145493</v>
      </c>
      <c r="C1969" s="413" t="str">
        <f>IFERROR(INDEX(Table14[],MATCH($B1969,Table14[SAPNo],0),3),"")</f>
        <v>Round 1313 CT427  10C (S)</v>
      </c>
      <c r="D1969" s="306"/>
      <c r="E1969" s="421"/>
      <c r="F1969" s="421"/>
      <c r="G1969" s="417">
        <v>20241015</v>
      </c>
      <c r="H1969" s="598" t="s">
        <v>1803</v>
      </c>
      <c r="I1969" s="322" t="s">
        <v>1804</v>
      </c>
      <c r="J1969" s="418"/>
      <c r="K1969" s="248"/>
      <c r="M1969" s="366"/>
    </row>
    <row r="1970" spans="1:32" x14ac:dyDescent="0.25">
      <c r="A1970" s="308">
        <v>45440</v>
      </c>
      <c r="B1970" s="416">
        <v>179733</v>
      </c>
      <c r="C1970" s="413" t="str">
        <f>IFERROR(INDEX(Table14[],MATCH($B1970,Table14[SAPNo],0),3),"")</f>
        <v>Short IA 13    (C)</v>
      </c>
      <c r="D1970" s="306"/>
      <c r="E1970" s="421"/>
      <c r="F1970" s="421"/>
      <c r="G1970" s="417">
        <v>20241024</v>
      </c>
      <c r="H1970" s="598" t="s">
        <v>1805</v>
      </c>
      <c r="I1970" s="322" t="s">
        <v>1806</v>
      </c>
      <c r="J1970" s="418"/>
      <c r="K1970" s="248"/>
      <c r="M1970" s="366"/>
    </row>
    <row r="1971" spans="1:32" x14ac:dyDescent="0.25">
      <c r="A1971" s="308">
        <v>45440</v>
      </c>
      <c r="B1971" s="416">
        <v>871781</v>
      </c>
      <c r="C1971" s="413" t="str">
        <f>IFERROR(INDEX(Table14[],MATCH($B1971,Table14[SAPNo],0),3),"")</f>
        <v>Round 1313 CT200  0.018" (B)</v>
      </c>
      <c r="D1971" s="306"/>
      <c r="E1971" s="421"/>
      <c r="F1971" s="421"/>
      <c r="G1971" s="417">
        <v>20241024</v>
      </c>
      <c r="H1971" s="598" t="s">
        <v>1805</v>
      </c>
      <c r="I1971" s="322" t="s">
        <v>1806</v>
      </c>
      <c r="J1971" s="418"/>
      <c r="K1971" s="248"/>
      <c r="M1971" s="366"/>
    </row>
    <row r="1972" spans="1:32" x14ac:dyDescent="0.25">
      <c r="A1972" s="308">
        <v>45440</v>
      </c>
      <c r="B1972" s="416">
        <v>1086351</v>
      </c>
      <c r="C1972" s="413" t="str">
        <f>IFERROR(INDEX(Table14[],MATCH($B1972,Table14[SAPNo],0),3),"")</f>
        <v>Round 1318 CT220 Short M2 Steel PDC  (B)</v>
      </c>
      <c r="D1972" s="306"/>
      <c r="E1972" s="421"/>
      <c r="F1972" s="421"/>
      <c r="G1972" s="417">
        <v>20241024</v>
      </c>
      <c r="H1972" s="598" t="s">
        <v>1805</v>
      </c>
      <c r="I1972" s="322" t="s">
        <v>1806</v>
      </c>
      <c r="J1972" s="418"/>
      <c r="K1972" s="248"/>
      <c r="M1972" s="366"/>
    </row>
    <row r="1973" spans="1:32" x14ac:dyDescent="0.25">
      <c r="A1973" s="308">
        <v>45440</v>
      </c>
      <c r="B1973" s="416">
        <v>1130198</v>
      </c>
      <c r="C1973" s="413" t="str">
        <f>IFERROR(INDEX(Table14[],MATCH($B1973,Table14[SAPNo],0),3),"")</f>
        <v>Round 1613 CT182  0.018" (S)</v>
      </c>
      <c r="D1973" s="306"/>
      <c r="E1973" s="421"/>
      <c r="F1973" s="421"/>
      <c r="G1973" s="417" t="s">
        <v>1807</v>
      </c>
      <c r="H1973" s="598">
        <v>13770618</v>
      </c>
      <c r="I1973" s="322" t="s">
        <v>1690</v>
      </c>
      <c r="J1973" s="418"/>
      <c r="K1973" s="248"/>
      <c r="M1973" s="422"/>
    </row>
    <row r="1974" spans="1:32" x14ac:dyDescent="0.25">
      <c r="A1974" s="308">
        <v>45440</v>
      </c>
      <c r="B1974" s="416">
        <v>1130198</v>
      </c>
      <c r="C1974" s="413" t="str">
        <f>IFERROR(INDEX(Table14[],MATCH($B1974,Table14[SAPNo],0),3),"")</f>
        <v>Round 1613 CT182  0.018" (S)</v>
      </c>
      <c r="D1974" s="306"/>
      <c r="E1974" s="421"/>
      <c r="F1974" s="421"/>
      <c r="G1974" s="417" t="s">
        <v>1808</v>
      </c>
      <c r="H1974" s="598">
        <v>13754562</v>
      </c>
      <c r="I1974" s="322" t="s">
        <v>1162</v>
      </c>
      <c r="J1974" s="418"/>
      <c r="K1974" s="248"/>
      <c r="M1974" s="422"/>
    </row>
    <row r="1975" spans="1:32" x14ac:dyDescent="0.25">
      <c r="A1975" s="308">
        <v>45440</v>
      </c>
      <c r="B1975" s="416">
        <v>1130198</v>
      </c>
      <c r="C1975" s="413" t="str">
        <f>IFERROR(INDEX(Table14[],MATCH($B1975,Table14[SAPNo],0),3),"")</f>
        <v>Round 1613 CT182  0.018" (S)</v>
      </c>
      <c r="D1975" s="306"/>
      <c r="E1975" s="421"/>
      <c r="F1975" s="421"/>
      <c r="G1975" s="417" t="s">
        <v>1809</v>
      </c>
      <c r="H1975" s="598">
        <v>13845746</v>
      </c>
      <c r="I1975" s="322" t="s">
        <v>1792</v>
      </c>
      <c r="J1975" s="418"/>
      <c r="K1975" s="248"/>
      <c r="M1975" s="422"/>
    </row>
    <row r="1976" spans="1:32" x14ac:dyDescent="0.25">
      <c r="A1976" s="308">
        <v>45444</v>
      </c>
      <c r="B1976" s="416">
        <v>1104083</v>
      </c>
      <c r="C1976" s="413" t="str">
        <f>IFERROR(INDEX(Table14[],MATCH($B1976,Table14[SAPNo],0),3),"")</f>
        <v>1313 CT144H  10C (S)</v>
      </c>
      <c r="D1976" s="306"/>
      <c r="E1976" s="421">
        <v>1</v>
      </c>
      <c r="F1976" s="421"/>
      <c r="G1976" s="417">
        <v>20241086</v>
      </c>
      <c r="H1976" s="598" t="s">
        <v>1810</v>
      </c>
      <c r="I1976" s="322" t="s">
        <v>1128</v>
      </c>
      <c r="J1976" s="418"/>
      <c r="K1976" s="248"/>
      <c r="M1976" s="366"/>
      <c r="AF1976">
        <v>1</v>
      </c>
    </row>
    <row r="1977" spans="1:32" x14ac:dyDescent="0.25">
      <c r="A1977" s="308">
        <v>45444</v>
      </c>
      <c r="B1977" s="416">
        <v>1101509</v>
      </c>
      <c r="C1977" s="413" t="str">
        <f>IFERROR(INDEX(Table14[],MATCH($B1977,Table14[SAPNo],0),3),"")</f>
        <v>Short IA 8    (C)</v>
      </c>
      <c r="D1977" s="306"/>
      <c r="E1977" s="421">
        <v>3</v>
      </c>
      <c r="F1977" s="421"/>
      <c r="G1977" s="417">
        <v>20241086</v>
      </c>
      <c r="H1977" s="598" t="s">
        <v>1810</v>
      </c>
      <c r="I1977" s="322" t="s">
        <v>1128</v>
      </c>
      <c r="J1977" s="418"/>
      <c r="K1977" s="248"/>
      <c r="M1977" s="366"/>
      <c r="AF1977">
        <v>3</v>
      </c>
    </row>
    <row r="1978" spans="1:32" x14ac:dyDescent="0.25">
      <c r="A1978" s="320">
        <v>45444</v>
      </c>
      <c r="B1978" s="419">
        <v>1136984</v>
      </c>
      <c r="C1978" s="413" t="str">
        <f>IFERROR(INDEX(Table14[],MATCH($B1978,Table14[SAPNo],0),3),"")</f>
        <v>DBLMCHT 1313 CT182DM  10C (S)</v>
      </c>
      <c r="D1978" s="306"/>
      <c r="E1978" s="421"/>
      <c r="F1978" s="421"/>
      <c r="G1978" s="420">
        <v>20241086</v>
      </c>
      <c r="H1978" s="599" t="s">
        <v>1810</v>
      </c>
      <c r="I1978" s="322" t="s">
        <v>1128</v>
      </c>
      <c r="J1978" s="421">
        <v>10</v>
      </c>
      <c r="K1978" s="422"/>
      <c r="M1978" s="366"/>
    </row>
    <row r="1979" spans="1:32" x14ac:dyDescent="0.25">
      <c r="A1979" s="308">
        <v>45444</v>
      </c>
      <c r="B1979" s="416">
        <v>1100696</v>
      </c>
      <c r="C1979" s="413" t="str">
        <f>IFERROR(INDEX(Table14[],MATCH($B1979,Table14[SAPNo],0),3),"")</f>
        <v>Round 1313 CT418  10C (S)</v>
      </c>
      <c r="D1979" s="306"/>
      <c r="E1979" s="421"/>
      <c r="F1979" s="421"/>
      <c r="G1979" s="417">
        <v>20241086</v>
      </c>
      <c r="H1979" s="598" t="s">
        <v>1810</v>
      </c>
      <c r="I1979" s="322" t="s">
        <v>1128</v>
      </c>
      <c r="J1979" s="418">
        <v>6</v>
      </c>
      <c r="K1979" s="248"/>
      <c r="M1979" s="422"/>
    </row>
    <row r="1980" spans="1:32" x14ac:dyDescent="0.25">
      <c r="A1980" s="308">
        <v>45444</v>
      </c>
      <c r="B1980" s="416">
        <v>1209332</v>
      </c>
      <c r="C1980" s="413" t="str">
        <f>IFERROR(INDEX(Table14[],MATCH($B1980,Table14[SAPNo],0),3),"")</f>
        <v>1313 CT147G U</v>
      </c>
      <c r="D1980" s="306"/>
      <c r="E1980" s="421"/>
      <c r="F1980" s="421"/>
      <c r="G1980" s="417">
        <v>20241085</v>
      </c>
      <c r="H1980" s="598" t="s">
        <v>1811</v>
      </c>
      <c r="I1980" s="322" t="s">
        <v>1322</v>
      </c>
      <c r="J1980" s="418">
        <v>1</v>
      </c>
      <c r="K1980" s="248"/>
      <c r="M1980" s="366"/>
    </row>
    <row r="1981" spans="1:32" x14ac:dyDescent="0.25">
      <c r="A1981" s="308">
        <v>45444</v>
      </c>
      <c r="B1981" s="416">
        <v>418525</v>
      </c>
      <c r="C1981" s="413" t="str">
        <f>IFERROR(INDEX(Table14[],MATCH($B1981,Table14[SAPNo],0),3),"")</f>
        <v>Drop In 1308 CT31   (B)</v>
      </c>
      <c r="D1981" s="306"/>
      <c r="E1981" s="421">
        <v>1</v>
      </c>
      <c r="F1981" s="421"/>
      <c r="G1981" s="417">
        <v>20241183</v>
      </c>
      <c r="H1981" s="598" t="s">
        <v>1812</v>
      </c>
      <c r="I1981" s="322" t="s">
        <v>1266</v>
      </c>
      <c r="J1981" s="418"/>
      <c r="K1981" s="248"/>
      <c r="M1981" s="366"/>
      <c r="AF1981">
        <v>1</v>
      </c>
    </row>
    <row r="1982" spans="1:32" x14ac:dyDescent="0.25">
      <c r="A1982" s="308">
        <v>45444</v>
      </c>
      <c r="B1982" s="416">
        <v>1136984</v>
      </c>
      <c r="C1982" s="413" t="str">
        <f>IFERROR(INDEX(Table14[],MATCH($B1982,Table14[SAPNo],0),3),"")</f>
        <v>DBLMCHT 1313 CT182DM  10C (S)</v>
      </c>
      <c r="D1982" s="306"/>
      <c r="E1982" s="421"/>
      <c r="F1982" s="421"/>
      <c r="G1982" s="417">
        <v>20241183</v>
      </c>
      <c r="H1982" s="598" t="s">
        <v>1812</v>
      </c>
      <c r="I1982" s="322" t="s">
        <v>1266</v>
      </c>
      <c r="J1982" s="418">
        <v>4</v>
      </c>
      <c r="K1982" s="248"/>
      <c r="M1982" s="366"/>
    </row>
    <row r="1983" spans="1:32" x14ac:dyDescent="0.25">
      <c r="A1983" s="308">
        <v>45444</v>
      </c>
      <c r="B1983" s="416">
        <v>1104083</v>
      </c>
      <c r="C1983" s="413" t="str">
        <f>IFERROR(INDEX(Table14[],MATCH($B1983,Table14[SAPNo],0),3),"")</f>
        <v>1313 CT144H  10C (S)</v>
      </c>
      <c r="D1983" s="306"/>
      <c r="E1983" s="421"/>
      <c r="F1983" s="421"/>
      <c r="G1983" s="417">
        <v>20241183</v>
      </c>
      <c r="H1983" s="598" t="s">
        <v>1812</v>
      </c>
      <c r="I1983" s="322" t="s">
        <v>1266</v>
      </c>
      <c r="J1983" s="418">
        <v>1</v>
      </c>
      <c r="K1983" s="248"/>
      <c r="M1983" s="366"/>
    </row>
    <row r="1984" spans="1:32" x14ac:dyDescent="0.25">
      <c r="A1984" s="308">
        <v>45444</v>
      </c>
      <c r="B1984" s="416">
        <v>703670</v>
      </c>
      <c r="C1984" s="413" t="str">
        <f>IFERROR(INDEX(Table14[],MATCH($B1984,Table14[SAPNo],0),3),"")</f>
        <v>Round 1313 CT200  10C (B)</v>
      </c>
      <c r="D1984" s="306"/>
      <c r="E1984" s="421"/>
      <c r="F1984" s="421"/>
      <c r="G1984" s="417">
        <v>20241087</v>
      </c>
      <c r="H1984" s="598" t="s">
        <v>1813</v>
      </c>
      <c r="I1984" s="322" t="s">
        <v>1115</v>
      </c>
      <c r="J1984" s="418">
        <v>1</v>
      </c>
      <c r="K1984" s="248"/>
      <c r="M1984" s="366"/>
    </row>
    <row r="1985" spans="1:32" x14ac:dyDescent="0.25">
      <c r="A1985" s="308">
        <v>45444</v>
      </c>
      <c r="B1985" s="416">
        <v>1271790</v>
      </c>
      <c r="C1985" s="413" t="str">
        <f>IFERROR(INDEX(Table14[],MATCH($B1985,Table14[SAPNo],0),3),"")</f>
        <v xml:space="preserve">1613 CT170 18-60 </v>
      </c>
      <c r="D1985" s="306"/>
      <c r="E1985" s="421">
        <v>53</v>
      </c>
      <c r="F1985" s="421"/>
      <c r="G1985" s="417" t="s">
        <v>1814</v>
      </c>
      <c r="H1985" s="598">
        <v>13867768</v>
      </c>
      <c r="I1985" s="322" t="s">
        <v>1255</v>
      </c>
      <c r="J1985" s="418"/>
      <c r="K1985" s="248"/>
      <c r="M1985" s="366"/>
      <c r="AF1985">
        <v>53</v>
      </c>
    </row>
    <row r="1986" spans="1:32" x14ac:dyDescent="0.25">
      <c r="A1986" s="308">
        <v>45444</v>
      </c>
      <c r="B1986" s="416">
        <v>1146737</v>
      </c>
      <c r="C1986" s="413" t="str">
        <f>IFERROR(INDEX(Table14[],MATCH($B1986,Table14[SAPNo],0),3),"")</f>
        <v>1613 CT418 18-60</v>
      </c>
      <c r="D1986" s="306"/>
      <c r="E1986" s="421">
        <v>39</v>
      </c>
      <c r="F1986" s="421"/>
      <c r="G1986" s="417" t="s">
        <v>1814</v>
      </c>
      <c r="H1986" s="598">
        <v>13867768</v>
      </c>
      <c r="I1986" s="322" t="s">
        <v>1255</v>
      </c>
      <c r="J1986" s="418"/>
      <c r="K1986" s="248"/>
      <c r="M1986" s="366"/>
      <c r="AF1986">
        <v>39</v>
      </c>
    </row>
    <row r="1987" spans="1:32" x14ac:dyDescent="0.25">
      <c r="A1987" s="308">
        <v>45444</v>
      </c>
      <c r="B1987" s="416">
        <v>647436</v>
      </c>
      <c r="C1987" s="413" t="str">
        <f>IFERROR(INDEX(Table14[],MATCH($B1987,Table14[SAPNo],0),3),"")</f>
        <v>Round 1613 CT200  0.018" (B)</v>
      </c>
      <c r="D1987" s="306"/>
      <c r="E1987" s="421">
        <v>64</v>
      </c>
      <c r="F1987" s="421"/>
      <c r="G1987" s="417" t="s">
        <v>1815</v>
      </c>
      <c r="H1987" s="598">
        <v>14145055</v>
      </c>
      <c r="I1987" s="322" t="s">
        <v>1451</v>
      </c>
      <c r="J1987" s="418"/>
      <c r="K1987" s="248"/>
      <c r="M1987" s="366"/>
      <c r="AF1987">
        <v>64</v>
      </c>
    </row>
    <row r="1988" spans="1:32" x14ac:dyDescent="0.25">
      <c r="A1988" s="308">
        <v>45444</v>
      </c>
      <c r="B1988" s="416">
        <v>647435</v>
      </c>
      <c r="C1988" s="413" t="str">
        <f>IFERROR(INDEX(Table14[],MATCH($B1988,Table14[SAPNo],0),3),"")</f>
        <v>Round 1608 CT200  0.018" (B)</v>
      </c>
      <c r="D1988" s="306"/>
      <c r="E1988" s="421">
        <v>16</v>
      </c>
      <c r="F1988" s="421"/>
      <c r="G1988" s="417" t="s">
        <v>1815</v>
      </c>
      <c r="H1988" s="598">
        <v>14145055</v>
      </c>
      <c r="I1988" s="322" t="s">
        <v>1451</v>
      </c>
      <c r="J1988" s="418"/>
      <c r="K1988" s="248"/>
      <c r="M1988" s="366"/>
      <c r="AF1988">
        <v>16</v>
      </c>
    </row>
    <row r="1989" spans="1:32" x14ac:dyDescent="0.25">
      <c r="A1989" s="308">
        <v>45444</v>
      </c>
      <c r="B1989" s="416">
        <v>418525</v>
      </c>
      <c r="C1989" s="413" t="str">
        <f>IFERROR(INDEX(Table14[],MATCH($B1989,Table14[SAPNo],0),3),"")</f>
        <v>Drop In 1308 CT31   (B)</v>
      </c>
      <c r="D1989" s="306"/>
      <c r="E1989" s="421">
        <v>8</v>
      </c>
      <c r="F1989" s="421"/>
      <c r="G1989" s="417" t="s">
        <v>1815</v>
      </c>
      <c r="H1989" s="598">
        <v>14145055</v>
      </c>
      <c r="I1989" s="322" t="s">
        <v>1451</v>
      </c>
      <c r="J1989" s="418"/>
      <c r="K1989" s="248"/>
      <c r="M1989" s="366"/>
      <c r="AF1989">
        <v>8</v>
      </c>
    </row>
    <row r="1990" spans="1:32" x14ac:dyDescent="0.25">
      <c r="A1990" s="308">
        <v>45444</v>
      </c>
      <c r="B1990" s="416">
        <v>1271790</v>
      </c>
      <c r="C1990" s="413" t="str">
        <f>IFERROR(INDEX(Table14[],MATCH($B1990,Table14[SAPNo],0),3),"")</f>
        <v xml:space="preserve">1613 CT170 18-60 </v>
      </c>
      <c r="D1990" s="306"/>
      <c r="E1990" s="421">
        <v>53</v>
      </c>
      <c r="F1990" s="421"/>
      <c r="G1990" s="417" t="s">
        <v>1815</v>
      </c>
      <c r="H1990" s="598">
        <v>14145055</v>
      </c>
      <c r="I1990" s="322" t="s">
        <v>1451</v>
      </c>
      <c r="J1990" s="418"/>
      <c r="K1990" s="248"/>
      <c r="M1990" s="366"/>
      <c r="AF1990">
        <v>53</v>
      </c>
    </row>
    <row r="1991" spans="1:32" x14ac:dyDescent="0.25">
      <c r="A1991" s="308">
        <v>45444</v>
      </c>
      <c r="B1991" s="416">
        <v>1146737</v>
      </c>
      <c r="C1991" s="413" t="str">
        <f>IFERROR(INDEX(Table14[],MATCH($B1991,Table14[SAPNo],0),3),"")</f>
        <v>1613 CT418 18-60</v>
      </c>
      <c r="D1991" s="306"/>
      <c r="E1991" s="421">
        <v>39</v>
      </c>
      <c r="F1991" s="421"/>
      <c r="G1991" s="417" t="s">
        <v>1815</v>
      </c>
      <c r="H1991" s="598">
        <v>14145055</v>
      </c>
      <c r="I1991" s="322" t="s">
        <v>1451</v>
      </c>
      <c r="J1991" s="418"/>
      <c r="K1991" s="248"/>
      <c r="M1991" s="366"/>
      <c r="AF1991">
        <v>39</v>
      </c>
    </row>
    <row r="1992" spans="1:32" x14ac:dyDescent="0.25">
      <c r="A1992" s="308">
        <v>45444</v>
      </c>
      <c r="B1992" s="416">
        <v>1199261</v>
      </c>
      <c r="C1992" s="413" t="str">
        <f>IFERROR(INDEX(Table14[],MATCH($B1992,Table14[SAPNo],0),3),"")</f>
        <v>1010 CT158 0.018"</v>
      </c>
      <c r="D1992" s="306"/>
      <c r="E1992" s="421">
        <v>26</v>
      </c>
      <c r="F1992" s="421"/>
      <c r="G1992" s="417" t="s">
        <v>1816</v>
      </c>
      <c r="H1992" s="598">
        <v>14160182</v>
      </c>
      <c r="I1992" s="322" t="s">
        <v>1594</v>
      </c>
      <c r="J1992" s="418"/>
      <c r="K1992" s="248"/>
      <c r="M1992" s="366"/>
      <c r="AF1992">
        <v>26</v>
      </c>
    </row>
    <row r="1993" spans="1:32" x14ac:dyDescent="0.25">
      <c r="A1993" s="308">
        <v>45444</v>
      </c>
      <c r="B1993" s="416">
        <v>882800</v>
      </c>
      <c r="C1993" s="413" t="str">
        <f>IFERROR(INDEX(Table14[],MATCH($B1993,Table14[SAPNo],0),3),"")</f>
        <v>Round 0808 CT80  0.018" (B)</v>
      </c>
      <c r="D1993" s="306"/>
      <c r="E1993" s="421">
        <v>10</v>
      </c>
      <c r="F1993" s="421"/>
      <c r="G1993" s="417" t="s">
        <v>1816</v>
      </c>
      <c r="H1993" s="598">
        <v>14160182</v>
      </c>
      <c r="I1993" s="322" t="s">
        <v>1594</v>
      </c>
      <c r="J1993" s="418"/>
      <c r="K1993" s="248"/>
      <c r="M1993" s="366"/>
      <c r="AF1993">
        <v>10</v>
      </c>
    </row>
    <row r="1994" spans="1:32" x14ac:dyDescent="0.25">
      <c r="A1994" s="308">
        <v>45444</v>
      </c>
      <c r="B1994" s="416">
        <v>1130193</v>
      </c>
      <c r="C1994" s="413" t="str">
        <f>IFERROR(INDEX(Table14[],MATCH($B1994,Table14[SAPNo],0),3),"")</f>
        <v xml:space="preserve"> 1005 CT182  0.018 (S)</v>
      </c>
      <c r="D1994" s="306"/>
      <c r="E1994" s="421">
        <v>8</v>
      </c>
      <c r="F1994" s="421"/>
      <c r="G1994" s="417" t="s">
        <v>1816</v>
      </c>
      <c r="H1994" s="598">
        <v>14160182</v>
      </c>
      <c r="I1994" s="322" t="s">
        <v>1594</v>
      </c>
      <c r="J1994" s="418"/>
      <c r="K1994" s="248"/>
      <c r="M1994" s="366"/>
      <c r="AF1994">
        <v>8</v>
      </c>
    </row>
    <row r="1995" spans="1:32" x14ac:dyDescent="0.25">
      <c r="A1995" s="308">
        <v>45444</v>
      </c>
      <c r="B1995" s="416">
        <v>1126402</v>
      </c>
      <c r="C1995" s="413" t="str">
        <f>IFERROR(INDEX(Table14[],MATCH($B1995,Table14[SAPNo],0),3),"")</f>
        <v>1613 CT421 16-60</v>
      </c>
      <c r="D1995" s="306"/>
      <c r="E1995" s="421">
        <v>21</v>
      </c>
      <c r="F1995" s="421"/>
      <c r="G1995" s="417" t="s">
        <v>1817</v>
      </c>
      <c r="H1995" s="598">
        <v>14162007</v>
      </c>
      <c r="I1995" s="322" t="s">
        <v>1796</v>
      </c>
      <c r="J1995" s="418"/>
      <c r="K1995" s="248"/>
      <c r="M1995" s="366"/>
      <c r="AF1995">
        <v>21</v>
      </c>
    </row>
    <row r="1996" spans="1:32" x14ac:dyDescent="0.25">
      <c r="A1996" s="308">
        <v>45444</v>
      </c>
      <c r="B1996" s="416">
        <v>1146737</v>
      </c>
      <c r="C1996" s="413" t="str">
        <f>IFERROR(INDEX(Table14[],MATCH($B1996,Table14[SAPNo],0),3),"")</f>
        <v>1613 CT418 18-60</v>
      </c>
      <c r="D1996" s="306"/>
      <c r="E1996" s="421">
        <v>8</v>
      </c>
      <c r="F1996" s="421"/>
      <c r="G1996" s="417" t="s">
        <v>1817</v>
      </c>
      <c r="H1996" s="598">
        <v>14162007</v>
      </c>
      <c r="I1996" s="322" t="s">
        <v>1796</v>
      </c>
      <c r="J1996" s="418"/>
      <c r="K1996" s="248"/>
      <c r="M1996" s="366"/>
      <c r="AF1996">
        <v>8</v>
      </c>
    </row>
    <row r="1997" spans="1:32" x14ac:dyDescent="0.25">
      <c r="A1997" s="308">
        <v>45444</v>
      </c>
      <c r="B1997" s="416">
        <v>1163820</v>
      </c>
      <c r="C1997" s="413" t="str">
        <f>IFERROR(INDEX(Table14[],MATCH($B1997,Table14[SAPNo],0),3),"")</f>
        <v>1613 CT156 0.018"</v>
      </c>
      <c r="D1997" s="306"/>
      <c r="E1997" s="421">
        <v>6</v>
      </c>
      <c r="F1997" s="421"/>
      <c r="G1997" s="417" t="s">
        <v>1817</v>
      </c>
      <c r="H1997" s="598">
        <v>14162007</v>
      </c>
      <c r="I1997" s="322" t="s">
        <v>1796</v>
      </c>
      <c r="J1997" s="418"/>
      <c r="K1997" s="248"/>
      <c r="M1997" s="366"/>
      <c r="AF1997">
        <v>6</v>
      </c>
    </row>
    <row r="1998" spans="1:32" x14ac:dyDescent="0.25">
      <c r="A1998" s="308">
        <v>45444</v>
      </c>
      <c r="B1998" s="416">
        <v>1261615</v>
      </c>
      <c r="C1998" s="413" t="str">
        <f>IFERROR(INDEX(Table14[],MATCH($B1998,Table14[SAPNo],0),3),"")</f>
        <v>1613 CT172R U</v>
      </c>
      <c r="D1998" s="306"/>
      <c r="E1998" s="421">
        <v>30</v>
      </c>
      <c r="F1998" s="421"/>
      <c r="G1998" s="417" t="s">
        <v>1817</v>
      </c>
      <c r="H1998" s="598">
        <v>14162007</v>
      </c>
      <c r="I1998" s="322" t="s">
        <v>1796</v>
      </c>
      <c r="J1998" s="418"/>
      <c r="K1998" s="248"/>
      <c r="M1998" s="366"/>
      <c r="AF1998">
        <v>30</v>
      </c>
    </row>
    <row r="1999" spans="1:32" x14ac:dyDescent="0.25">
      <c r="A1999" s="308">
        <v>45444</v>
      </c>
      <c r="B1999" s="416">
        <v>625854</v>
      </c>
      <c r="C1999" s="413" t="str">
        <f>IFERROR(INDEX(Table14[],MATCH($B1999,Table14[SAPNo],0),3),"")</f>
        <v>Carbide IA 1318    (C)</v>
      </c>
      <c r="D1999" s="306"/>
      <c r="E1999" s="421">
        <v>6</v>
      </c>
      <c r="F1999" s="421"/>
      <c r="G1999" s="417" t="s">
        <v>1817</v>
      </c>
      <c r="H1999" s="598">
        <v>14162007</v>
      </c>
      <c r="I1999" s="322" t="s">
        <v>1796</v>
      </c>
      <c r="J1999" s="418"/>
      <c r="K1999" s="248"/>
      <c r="M1999" s="366"/>
      <c r="AF1999">
        <v>6</v>
      </c>
    </row>
    <row r="2000" spans="1:32" x14ac:dyDescent="0.25">
      <c r="A2000" s="308">
        <v>45444</v>
      </c>
      <c r="B2000" s="416">
        <v>871781</v>
      </c>
      <c r="C2000" s="413" t="str">
        <f>IFERROR(INDEX(Table14[],MATCH($B2000,Table14[SAPNo],0),3),"")</f>
        <v>Round 1313 CT200  0.018" (B)</v>
      </c>
      <c r="D2000" s="306"/>
      <c r="E2000" s="421">
        <v>7</v>
      </c>
      <c r="F2000" s="421"/>
      <c r="G2000" s="417" t="s">
        <v>1817</v>
      </c>
      <c r="H2000" s="598">
        <v>14162007</v>
      </c>
      <c r="I2000" s="322" t="s">
        <v>1796</v>
      </c>
      <c r="J2000" s="418"/>
      <c r="K2000" s="248"/>
      <c r="M2000" s="366"/>
      <c r="AF2000">
        <v>7</v>
      </c>
    </row>
    <row r="2001" spans="1:32" x14ac:dyDescent="0.25">
      <c r="A2001" s="308">
        <v>45444</v>
      </c>
      <c r="B2001" s="416">
        <v>1208601</v>
      </c>
      <c r="C2001" s="413" t="str">
        <f>IFERROR(INDEX(Table14[],MATCH($B2001,Table14[SAPNo],0),3),"")</f>
        <v>1613 CT418 U-60</v>
      </c>
      <c r="D2001" s="306"/>
      <c r="E2001" s="421">
        <v>11</v>
      </c>
      <c r="F2001" s="421"/>
      <c r="G2001" s="417" t="s">
        <v>1817</v>
      </c>
      <c r="H2001" s="598">
        <v>14162007</v>
      </c>
      <c r="I2001" s="322" t="s">
        <v>1796</v>
      </c>
      <c r="J2001" s="418"/>
      <c r="K2001" s="248"/>
      <c r="M2001" s="366"/>
      <c r="AF2001">
        <v>11</v>
      </c>
    </row>
    <row r="2002" spans="1:32" x14ac:dyDescent="0.25">
      <c r="A2002" s="308">
        <v>45444</v>
      </c>
      <c r="B2002" s="416">
        <v>717748</v>
      </c>
      <c r="C2002" s="413" t="str">
        <f>IFERROR(INDEX(Table14[],MATCH($B2002,Table14[SAPNo],0),3),"")</f>
        <v>Round 1010 CT200  0.018" (B)</v>
      </c>
      <c r="D2002" s="306"/>
      <c r="E2002" s="421"/>
      <c r="F2002" s="421"/>
      <c r="G2002" s="417" t="s">
        <v>1818</v>
      </c>
      <c r="H2002" s="598" t="s">
        <v>1819</v>
      </c>
      <c r="I2002" s="322" t="s">
        <v>1069</v>
      </c>
      <c r="J2002" s="418">
        <v>4</v>
      </c>
      <c r="K2002" s="248"/>
      <c r="M2002" s="366"/>
    </row>
    <row r="2003" spans="1:32" x14ac:dyDescent="0.25">
      <c r="A2003" s="308">
        <v>45445</v>
      </c>
      <c r="B2003" s="416">
        <v>1271790</v>
      </c>
      <c r="C2003" s="413" t="str">
        <f>IFERROR(INDEX(Table14[],MATCH($B2003,Table14[SAPNo],0),3),"")</f>
        <v xml:space="preserve">1613 CT170 18-60 </v>
      </c>
      <c r="D2003" s="306"/>
      <c r="E2003" s="421">
        <v>47</v>
      </c>
      <c r="F2003" s="421"/>
      <c r="G2003" s="417" t="s">
        <v>1820</v>
      </c>
      <c r="H2003" s="598">
        <v>13845748</v>
      </c>
      <c r="I2003" s="322" t="s">
        <v>1792</v>
      </c>
      <c r="J2003" s="418"/>
      <c r="K2003" s="248"/>
      <c r="M2003" s="422"/>
      <c r="AF2003">
        <v>47</v>
      </c>
    </row>
    <row r="2004" spans="1:32" x14ac:dyDescent="0.25">
      <c r="A2004" s="308">
        <v>45445</v>
      </c>
      <c r="B2004" s="416">
        <v>1146737</v>
      </c>
      <c r="C2004" s="413" t="str">
        <f>IFERROR(INDEX(Table14[],MATCH($B2004,Table14[SAPNo],0),3),"")</f>
        <v>1613 CT418 18-60</v>
      </c>
      <c r="D2004" s="306"/>
      <c r="E2004" s="421">
        <v>33</v>
      </c>
      <c r="F2004" s="421"/>
      <c r="G2004" s="417" t="s">
        <v>1820</v>
      </c>
      <c r="H2004" s="598">
        <v>13845748</v>
      </c>
      <c r="I2004" s="322" t="s">
        <v>1792</v>
      </c>
      <c r="J2004" s="418"/>
      <c r="K2004" s="248"/>
      <c r="M2004" s="366"/>
      <c r="AF2004">
        <v>33</v>
      </c>
    </row>
    <row r="2005" spans="1:32" x14ac:dyDescent="0.25">
      <c r="A2005" s="308">
        <v>45445</v>
      </c>
      <c r="B2005" s="416">
        <v>882800</v>
      </c>
      <c r="C2005" s="413" t="str">
        <f>IFERROR(INDEX(Table14[],MATCH($B2005,Table14[SAPNo],0),3),"")</f>
        <v>Round 0808 CT80  0.018" (B)</v>
      </c>
      <c r="D2005" s="306"/>
      <c r="E2005" s="421">
        <v>10</v>
      </c>
      <c r="F2005" s="421"/>
      <c r="G2005" s="417" t="s">
        <v>1821</v>
      </c>
      <c r="H2005" s="598">
        <v>14160183</v>
      </c>
      <c r="I2005" s="322" t="s">
        <v>1594</v>
      </c>
      <c r="J2005" s="418"/>
      <c r="K2005" s="248"/>
      <c r="M2005" s="366"/>
      <c r="AF2005">
        <v>10</v>
      </c>
    </row>
    <row r="2006" spans="1:32" x14ac:dyDescent="0.25">
      <c r="A2006" s="308">
        <v>45445</v>
      </c>
      <c r="B2006" s="416">
        <v>1199261</v>
      </c>
      <c r="C2006" s="413" t="str">
        <f>IFERROR(INDEX(Table14[],MATCH($B2006,Table14[SAPNo],0),3),"")</f>
        <v>1010 CT158 0.018"</v>
      </c>
      <c r="D2006" s="306"/>
      <c r="E2006" s="421">
        <v>26</v>
      </c>
      <c r="F2006" s="421"/>
      <c r="G2006" s="417" t="s">
        <v>1821</v>
      </c>
      <c r="H2006" s="598">
        <v>14160183</v>
      </c>
      <c r="I2006" s="322" t="s">
        <v>1594</v>
      </c>
      <c r="J2006" s="418"/>
      <c r="K2006" s="248"/>
      <c r="M2006" s="366"/>
      <c r="AF2006">
        <v>26</v>
      </c>
    </row>
    <row r="2007" spans="1:32" x14ac:dyDescent="0.25">
      <c r="A2007" s="308">
        <v>45445</v>
      </c>
      <c r="B2007" s="416">
        <v>1130193</v>
      </c>
      <c r="C2007" s="413" t="str">
        <f>IFERROR(INDEX(Table14[],MATCH($B2007,Table14[SAPNo],0),3),"")</f>
        <v xml:space="preserve"> 1005 CT182  0.018 (S)</v>
      </c>
      <c r="D2007" s="306"/>
      <c r="E2007" s="421">
        <v>8</v>
      </c>
      <c r="F2007" s="421"/>
      <c r="G2007" s="417" t="s">
        <v>1821</v>
      </c>
      <c r="H2007" s="598">
        <v>14160183</v>
      </c>
      <c r="I2007" s="322" t="s">
        <v>1594</v>
      </c>
      <c r="J2007" s="418"/>
      <c r="K2007" s="248"/>
      <c r="M2007" s="366"/>
      <c r="AF2007">
        <v>8</v>
      </c>
    </row>
    <row r="2008" spans="1:32" x14ac:dyDescent="0.25">
      <c r="A2008" s="308">
        <v>45445</v>
      </c>
      <c r="B2008" s="416">
        <v>708306</v>
      </c>
      <c r="C2008" s="413" t="str">
        <f>IFERROR(INDEX(Table14[],MATCH($B2008,Table14[SAPNo],0),3),"")</f>
        <v>Round 1913 CT200  0.018" (B)</v>
      </c>
      <c r="D2008" s="306"/>
      <c r="E2008" s="421">
        <v>4</v>
      </c>
      <c r="F2008" s="421"/>
      <c r="G2008" s="417" t="s">
        <v>1822</v>
      </c>
      <c r="H2008" s="598">
        <v>14162014</v>
      </c>
      <c r="I2008" s="322" t="s">
        <v>1599</v>
      </c>
      <c r="J2008" s="418"/>
      <c r="K2008" s="248"/>
      <c r="M2008" s="366"/>
      <c r="AF2008">
        <v>4</v>
      </c>
    </row>
    <row r="2009" spans="1:32" x14ac:dyDescent="0.25">
      <c r="A2009" s="308">
        <v>45445</v>
      </c>
      <c r="B2009" s="416">
        <v>1100759</v>
      </c>
      <c r="C2009" s="413" t="str">
        <f>IFERROR(INDEX(Table14[],MATCH($B2009,Table14[SAPNo],0),3),"")</f>
        <v>1913 CT421 0.018"</v>
      </c>
      <c r="D2009" s="306"/>
      <c r="E2009" s="421">
        <v>2</v>
      </c>
      <c r="F2009" s="421"/>
      <c r="G2009" s="417" t="s">
        <v>1822</v>
      </c>
      <c r="H2009" s="598">
        <v>14162014</v>
      </c>
      <c r="I2009" s="322" t="s">
        <v>1599</v>
      </c>
      <c r="J2009" s="418"/>
      <c r="K2009" s="248"/>
      <c r="M2009" s="366"/>
      <c r="AF2009">
        <v>2</v>
      </c>
    </row>
    <row r="2010" spans="1:32" x14ac:dyDescent="0.25">
      <c r="A2010" s="308">
        <v>45445</v>
      </c>
      <c r="B2010" s="416">
        <v>418525</v>
      </c>
      <c r="C2010" s="413" t="str">
        <f>IFERROR(INDEX(Table14[],MATCH($B2010,Table14[SAPNo],0),3),"")</f>
        <v>Drop In 1308 CT31   (B)</v>
      </c>
      <c r="D2010" s="306"/>
      <c r="E2010" s="421">
        <v>7</v>
      </c>
      <c r="F2010" s="421"/>
      <c r="G2010" s="417" t="s">
        <v>1823</v>
      </c>
      <c r="H2010" s="598">
        <v>13999836</v>
      </c>
      <c r="I2010" s="322" t="s">
        <v>1824</v>
      </c>
      <c r="J2010" s="418"/>
      <c r="K2010" s="248"/>
      <c r="M2010" s="366"/>
      <c r="AF2010">
        <v>7</v>
      </c>
    </row>
    <row r="2011" spans="1:32" x14ac:dyDescent="0.25">
      <c r="A2011" s="308">
        <v>45445</v>
      </c>
      <c r="B2011" s="416">
        <v>179733</v>
      </c>
      <c r="C2011" s="413" t="str">
        <f>IFERROR(INDEX(Table14[],MATCH($B2011,Table14[SAPNo],0),3),"")</f>
        <v>Short IA 13    (C)</v>
      </c>
      <c r="D2011" s="306"/>
      <c r="E2011" s="421">
        <v>20</v>
      </c>
      <c r="F2011" s="421"/>
      <c r="G2011" s="417" t="s">
        <v>1823</v>
      </c>
      <c r="H2011" s="598">
        <v>13999836</v>
      </c>
      <c r="I2011" s="322" t="s">
        <v>1824</v>
      </c>
      <c r="J2011" s="418"/>
      <c r="K2011" s="248"/>
      <c r="M2011" s="366"/>
      <c r="AF2011">
        <v>20</v>
      </c>
    </row>
    <row r="2012" spans="1:32" x14ac:dyDescent="0.25">
      <c r="A2012" s="308">
        <v>45445</v>
      </c>
      <c r="B2012" s="416">
        <v>1219562</v>
      </c>
      <c r="C2012" s="413" t="str">
        <f>IFERROR(INDEX(Table14[],MATCH($B2012,Table14[SAPNo],0),3),"")</f>
        <v>1613 CT147R U</v>
      </c>
      <c r="D2012" s="306"/>
      <c r="E2012" s="421">
        <v>41</v>
      </c>
      <c r="F2012" s="421"/>
      <c r="G2012" s="417" t="s">
        <v>1823</v>
      </c>
      <c r="H2012" s="598">
        <v>13999836</v>
      </c>
      <c r="I2012" s="322" t="s">
        <v>1824</v>
      </c>
      <c r="J2012" s="418"/>
      <c r="K2012" s="248"/>
      <c r="M2012" s="366"/>
      <c r="AF2012">
        <v>41</v>
      </c>
    </row>
    <row r="2013" spans="1:32" x14ac:dyDescent="0.25">
      <c r="A2013" s="308">
        <v>45445</v>
      </c>
      <c r="B2013" s="416">
        <v>1146742</v>
      </c>
      <c r="C2013" s="413" t="str">
        <f>IFERROR(INDEX(Table14[],MATCH($B2013,Table14[SAPNo],0),3),"")</f>
        <v>1913 CT418 U-60</v>
      </c>
      <c r="D2013" s="306"/>
      <c r="E2013" s="421">
        <v>20</v>
      </c>
      <c r="F2013" s="421"/>
      <c r="G2013" s="417" t="s">
        <v>1823</v>
      </c>
      <c r="H2013" s="598">
        <v>13999836</v>
      </c>
      <c r="I2013" s="322" t="s">
        <v>1824</v>
      </c>
      <c r="J2013" s="418"/>
      <c r="K2013" s="248"/>
      <c r="M2013" s="366"/>
      <c r="AF2013">
        <v>20</v>
      </c>
    </row>
    <row r="2014" spans="1:32" x14ac:dyDescent="0.25">
      <c r="A2014" s="320">
        <v>45445</v>
      </c>
      <c r="B2014" s="419">
        <v>1100741</v>
      </c>
      <c r="C2014" s="413" t="str">
        <f>IFERROR(INDEX(Table14[],MATCH($B2014,Table14[SAPNo],0),3),"")</f>
        <v>Round 1613 CT418  0.018" (S)</v>
      </c>
      <c r="D2014" s="306"/>
      <c r="E2014" s="421">
        <v>48</v>
      </c>
      <c r="F2014" s="421"/>
      <c r="G2014" s="420" t="s">
        <v>1823</v>
      </c>
      <c r="H2014" s="599">
        <v>13999836</v>
      </c>
      <c r="I2014" s="322" t="s">
        <v>1824</v>
      </c>
      <c r="J2014" s="421"/>
      <c r="K2014" s="422"/>
      <c r="M2014" s="366"/>
      <c r="AF2014">
        <v>48</v>
      </c>
    </row>
    <row r="2015" spans="1:32" x14ac:dyDescent="0.25">
      <c r="A2015" s="308">
        <v>45446</v>
      </c>
      <c r="B2015" s="416">
        <v>1146742</v>
      </c>
      <c r="C2015" s="413" t="str">
        <f>IFERROR(INDEX(Table14[],MATCH($B2015,Table14[SAPNo],0),3),"")</f>
        <v>1913 CT418 U-60</v>
      </c>
      <c r="D2015" s="306"/>
      <c r="E2015" s="421">
        <v>1</v>
      </c>
      <c r="F2015" s="421"/>
      <c r="G2015" s="417" t="s">
        <v>1825</v>
      </c>
      <c r="H2015" s="598">
        <v>13999834</v>
      </c>
      <c r="I2015" s="322" t="s">
        <v>1826</v>
      </c>
      <c r="J2015" s="418"/>
      <c r="K2015" s="248"/>
      <c r="M2015" s="422"/>
      <c r="AF2015">
        <v>1</v>
      </c>
    </row>
    <row r="2016" spans="1:32" x14ac:dyDescent="0.25">
      <c r="A2016" s="308">
        <v>45446</v>
      </c>
      <c r="B2016" s="416">
        <v>1146737</v>
      </c>
      <c r="C2016" s="413" t="str">
        <f>IFERROR(INDEX(Table14[],MATCH($B2016,Table14[SAPNo],0),3),"")</f>
        <v>1613 CT418 18-60</v>
      </c>
      <c r="D2016" s="306"/>
      <c r="E2016" s="421">
        <v>5</v>
      </c>
      <c r="F2016" s="421"/>
      <c r="G2016" s="417" t="s">
        <v>1825</v>
      </c>
      <c r="H2016" s="598">
        <v>13999834</v>
      </c>
      <c r="I2016" s="322" t="s">
        <v>1826</v>
      </c>
      <c r="J2016" s="418"/>
      <c r="K2016" s="248"/>
      <c r="M2016" s="366"/>
      <c r="AF2016">
        <v>5</v>
      </c>
    </row>
    <row r="2017" spans="1:32" x14ac:dyDescent="0.25">
      <c r="A2017" s="308">
        <v>45446</v>
      </c>
      <c r="B2017" s="416">
        <v>1263823</v>
      </c>
      <c r="C2017" s="413" t="str">
        <f>IFERROR(INDEX(Table14[],MATCH($B2017,Table14[SAPNo],0),3),"")</f>
        <v>1613 CT170R U</v>
      </c>
      <c r="D2017" s="306"/>
      <c r="E2017" s="421">
        <v>9</v>
      </c>
      <c r="F2017" s="421"/>
      <c r="G2017" s="417" t="s">
        <v>1825</v>
      </c>
      <c r="H2017" s="598">
        <v>13999834</v>
      </c>
      <c r="I2017" s="322" t="s">
        <v>1826</v>
      </c>
      <c r="J2017" s="418"/>
      <c r="K2017" s="248"/>
      <c r="M2017" s="366"/>
      <c r="AF2017">
        <v>9</v>
      </c>
    </row>
    <row r="2018" spans="1:32" x14ac:dyDescent="0.25">
      <c r="A2018" s="308">
        <v>45446</v>
      </c>
      <c r="B2018" s="416">
        <v>1133896</v>
      </c>
      <c r="C2018" s="413" t="str">
        <f>IFERROR(INDEX(Table14[],MATCH($B2018,Table14[SAPNo],0),3),"")</f>
        <v>1613 CT418 U</v>
      </c>
      <c r="D2018" s="306"/>
      <c r="E2018" s="421"/>
      <c r="F2018" s="421"/>
      <c r="G2018" s="417" t="s">
        <v>1825</v>
      </c>
      <c r="H2018" s="598">
        <v>13999834</v>
      </c>
      <c r="I2018" s="322" t="s">
        <v>1826</v>
      </c>
      <c r="J2018" s="418">
        <v>5</v>
      </c>
      <c r="K2018" s="248"/>
      <c r="M2018" s="366"/>
    </row>
    <row r="2019" spans="1:32" x14ac:dyDescent="0.25">
      <c r="A2019" s="308">
        <v>45446</v>
      </c>
      <c r="B2019" s="416">
        <v>1039058</v>
      </c>
      <c r="C2019" s="413" t="str">
        <f>IFERROR(INDEX(Table14[],MATCH($B2019,Table14[SAPNo],0),3),"")</f>
        <v>Round 1608 CT138  0.018" (S)</v>
      </c>
      <c r="D2019" s="306"/>
      <c r="E2019" s="421">
        <v>15</v>
      </c>
      <c r="F2019" s="421"/>
      <c r="G2019" s="417" t="s">
        <v>1827</v>
      </c>
      <c r="H2019" s="598">
        <v>14160193</v>
      </c>
      <c r="I2019" s="322" t="s">
        <v>1828</v>
      </c>
      <c r="J2019" s="418"/>
      <c r="K2019" s="248"/>
      <c r="M2019" s="366"/>
      <c r="AF2019">
        <v>15</v>
      </c>
    </row>
    <row r="2020" spans="1:32" x14ac:dyDescent="0.25">
      <c r="A2020" s="308">
        <v>45446</v>
      </c>
      <c r="B2020" s="416">
        <v>1039034</v>
      </c>
      <c r="C2020" s="413" t="str">
        <f>IFERROR(INDEX(Table14[],MATCH($B2020,Table14[SAPNo],0),3),"")</f>
        <v>Round 1308 CT138  0.018" (S)</v>
      </c>
      <c r="D2020" s="306"/>
      <c r="E2020" s="421">
        <v>32</v>
      </c>
      <c r="F2020" s="421"/>
      <c r="G2020" s="417" t="s">
        <v>1827</v>
      </c>
      <c r="H2020" s="598">
        <v>14160193</v>
      </c>
      <c r="I2020" s="322" t="s">
        <v>1828</v>
      </c>
      <c r="J2020" s="418"/>
      <c r="K2020" s="248"/>
      <c r="M2020" s="366"/>
      <c r="AF2020">
        <v>32</v>
      </c>
    </row>
    <row r="2021" spans="1:32" x14ac:dyDescent="0.25">
      <c r="A2021" s="308">
        <v>45446</v>
      </c>
      <c r="B2021" s="416">
        <v>1134751</v>
      </c>
      <c r="C2021" s="413" t="str">
        <f>IFERROR(INDEX(Table14[],MATCH($B2021,Table14[SAPNo],0),3),"")</f>
        <v xml:space="preserve"> 1308 CT182  0.01 (S)</v>
      </c>
      <c r="D2021" s="306"/>
      <c r="E2021" s="421">
        <v>6</v>
      </c>
      <c r="F2021" s="421"/>
      <c r="G2021" s="417" t="s">
        <v>1827</v>
      </c>
      <c r="H2021" s="598">
        <v>14160193</v>
      </c>
      <c r="I2021" s="322" t="s">
        <v>1828</v>
      </c>
      <c r="J2021" s="418"/>
      <c r="K2021" s="248"/>
      <c r="M2021" s="366"/>
      <c r="AF2021">
        <v>6</v>
      </c>
    </row>
    <row r="2022" spans="1:32" x14ac:dyDescent="0.25">
      <c r="A2022" s="308">
        <v>45446</v>
      </c>
      <c r="B2022" s="416">
        <v>1039033</v>
      </c>
      <c r="C2022" s="413" t="str">
        <f>IFERROR(INDEX(Table14[],MATCH($B2022,Table14[SAPNo],0),3),"")</f>
        <v>Round 1308 CT138  10C (S)</v>
      </c>
      <c r="D2022" s="306"/>
      <c r="E2022" s="421">
        <v>8</v>
      </c>
      <c r="F2022" s="421"/>
      <c r="G2022" s="417" t="s">
        <v>1827</v>
      </c>
      <c r="H2022" s="598">
        <v>14160193</v>
      </c>
      <c r="I2022" s="322" t="s">
        <v>1828</v>
      </c>
      <c r="J2022" s="418"/>
      <c r="K2022" s="248"/>
      <c r="M2022" s="366"/>
      <c r="AF2022">
        <v>8</v>
      </c>
    </row>
    <row r="2023" spans="1:32" x14ac:dyDescent="0.25">
      <c r="A2023" s="308">
        <v>45446</v>
      </c>
      <c r="B2023" s="416">
        <v>1039033</v>
      </c>
      <c r="C2023" s="413" t="str">
        <f>IFERROR(INDEX(Table14[],MATCH($B2023,Table14[SAPNo],0),3),"")</f>
        <v>Round 1308 CT138  10C (S)</v>
      </c>
      <c r="D2023" s="306"/>
      <c r="E2023" s="421">
        <v>14</v>
      </c>
      <c r="F2023" s="421"/>
      <c r="G2023" s="417" t="s">
        <v>1827</v>
      </c>
      <c r="H2023" s="598">
        <v>14160193</v>
      </c>
      <c r="I2023" s="322" t="s">
        <v>1828</v>
      </c>
      <c r="J2023" s="418"/>
      <c r="K2023" s="248"/>
      <c r="M2023" s="422"/>
      <c r="AF2023">
        <v>14</v>
      </c>
    </row>
    <row r="2024" spans="1:32" x14ac:dyDescent="0.25">
      <c r="A2024" s="308">
        <v>45446</v>
      </c>
      <c r="B2024" s="416">
        <v>418525</v>
      </c>
      <c r="C2024" s="413" t="str">
        <f>IFERROR(INDEX(Table14[],MATCH($B2024,Table14[SAPNo],0),3),"")</f>
        <v>Drop In 1308 CT31   (B)</v>
      </c>
      <c r="D2024" s="306"/>
      <c r="E2024" s="421">
        <v>7</v>
      </c>
      <c r="F2024" s="421"/>
      <c r="G2024" s="417" t="s">
        <v>1827</v>
      </c>
      <c r="H2024" s="598">
        <v>14160193</v>
      </c>
      <c r="I2024" s="322" t="s">
        <v>1828</v>
      </c>
      <c r="J2024" s="418"/>
      <c r="K2024" s="248"/>
      <c r="M2024" s="366"/>
      <c r="AF2024">
        <v>7</v>
      </c>
    </row>
    <row r="2025" spans="1:32" x14ac:dyDescent="0.25">
      <c r="A2025" s="308">
        <v>45446</v>
      </c>
      <c r="B2025" s="416">
        <v>1146737</v>
      </c>
      <c r="C2025" s="413" t="str">
        <f>IFERROR(INDEX(Table14[],MATCH($B2025,Table14[SAPNo],0),3),"")</f>
        <v>1613 CT418 18-60</v>
      </c>
      <c r="D2025" s="306"/>
      <c r="E2025" s="421">
        <v>14</v>
      </c>
      <c r="F2025" s="421"/>
      <c r="G2025" s="417" t="s">
        <v>1829</v>
      </c>
      <c r="H2025" s="598">
        <v>14119202</v>
      </c>
      <c r="I2025" s="322" t="s">
        <v>1748</v>
      </c>
      <c r="J2025" s="418"/>
      <c r="K2025" s="248"/>
      <c r="M2025" s="366"/>
      <c r="AF2025">
        <v>14</v>
      </c>
    </row>
    <row r="2026" spans="1:32" x14ac:dyDescent="0.25">
      <c r="A2026" s="308">
        <v>45446</v>
      </c>
      <c r="B2026" s="416">
        <v>1100741</v>
      </c>
      <c r="C2026" s="413" t="str">
        <f>IFERROR(INDEX(Table14[],MATCH($B2026,Table14[SAPNo],0),3),"")</f>
        <v>Round 1613 CT418  0.018" (S)</v>
      </c>
      <c r="D2026" s="306"/>
      <c r="E2026" s="421">
        <v>1</v>
      </c>
      <c r="F2026" s="421"/>
      <c r="G2026" s="417" t="s">
        <v>1829</v>
      </c>
      <c r="H2026" s="598">
        <v>14119202</v>
      </c>
      <c r="I2026" s="322" t="s">
        <v>1748</v>
      </c>
      <c r="J2026" s="418"/>
      <c r="K2026" s="248"/>
      <c r="M2026" s="366"/>
      <c r="AF2026">
        <v>1</v>
      </c>
    </row>
    <row r="2027" spans="1:32" x14ac:dyDescent="0.25">
      <c r="A2027" s="308">
        <v>45446</v>
      </c>
      <c r="B2027" s="416">
        <v>1100739</v>
      </c>
      <c r="C2027" s="413" t="str">
        <f>IFERROR(INDEX(Table14[],MATCH($B2027,Table14[SAPNo],0),3),"")</f>
        <v>1608 CT418 0.018"</v>
      </c>
      <c r="D2027" s="306"/>
      <c r="E2027" s="421">
        <v>13</v>
      </c>
      <c r="F2027" s="421"/>
      <c r="G2027" s="417" t="s">
        <v>1829</v>
      </c>
      <c r="H2027" s="598">
        <v>14119202</v>
      </c>
      <c r="I2027" s="322" t="s">
        <v>1748</v>
      </c>
      <c r="J2027" s="418"/>
      <c r="K2027" s="248"/>
      <c r="M2027" s="366"/>
      <c r="AF2027">
        <v>13</v>
      </c>
    </row>
    <row r="2028" spans="1:32" x14ac:dyDescent="0.25">
      <c r="A2028" s="308">
        <v>45446</v>
      </c>
      <c r="B2028" s="416">
        <v>1271790</v>
      </c>
      <c r="C2028" s="413" t="str">
        <f>IFERROR(INDEX(Table14[],MATCH($B2028,Table14[SAPNo],0),3),"")</f>
        <v xml:space="preserve">1613 CT170 18-60 </v>
      </c>
      <c r="D2028" s="306"/>
      <c r="E2028" s="421">
        <v>41</v>
      </c>
      <c r="F2028" s="421"/>
      <c r="G2028" s="417" t="s">
        <v>1829</v>
      </c>
      <c r="H2028" s="598">
        <v>14119202</v>
      </c>
      <c r="I2028" s="322" t="s">
        <v>1748</v>
      </c>
      <c r="J2028" s="418"/>
      <c r="K2028" s="248"/>
      <c r="M2028" s="366"/>
      <c r="AF2028">
        <v>41</v>
      </c>
    </row>
    <row r="2029" spans="1:32" x14ac:dyDescent="0.25">
      <c r="A2029" s="308">
        <v>45446</v>
      </c>
      <c r="B2029" s="416">
        <v>717751</v>
      </c>
      <c r="C2029" s="413" t="str">
        <f>IFERROR(INDEX(Table14[],MATCH($B2029,Table14[SAPNo],0),3),"")</f>
        <v>Round 1308 CT200  0.018" (B)</v>
      </c>
      <c r="D2029" s="306"/>
      <c r="E2029" s="421">
        <v>39</v>
      </c>
      <c r="F2029" s="421"/>
      <c r="G2029" s="417" t="s">
        <v>1829</v>
      </c>
      <c r="H2029" s="598">
        <v>14119202</v>
      </c>
      <c r="I2029" s="322" t="s">
        <v>1748</v>
      </c>
      <c r="J2029" s="418"/>
      <c r="K2029" s="248"/>
      <c r="M2029" s="366"/>
      <c r="AF2029">
        <v>39</v>
      </c>
    </row>
    <row r="2030" spans="1:32" x14ac:dyDescent="0.25">
      <c r="A2030" s="308">
        <v>45446</v>
      </c>
      <c r="B2030" s="416">
        <v>410851</v>
      </c>
      <c r="C2030" s="413" t="str">
        <f>IFERROR(INDEX(Table14[],MATCH($B2030,Table14[SAPNo],0),3),"")</f>
        <v>PDC Dome 1308 CT31   (B)</v>
      </c>
      <c r="D2030" s="306"/>
      <c r="E2030" s="421">
        <v>42</v>
      </c>
      <c r="F2030" s="421"/>
      <c r="G2030" s="417" t="s">
        <v>1829</v>
      </c>
      <c r="H2030" s="598">
        <v>14119202</v>
      </c>
      <c r="I2030" s="322" t="s">
        <v>1748</v>
      </c>
      <c r="J2030" s="418"/>
      <c r="K2030" s="248"/>
      <c r="M2030" s="366"/>
      <c r="AF2030">
        <v>42</v>
      </c>
    </row>
    <row r="2031" spans="1:32" x14ac:dyDescent="0.25">
      <c r="A2031" s="308">
        <v>45446</v>
      </c>
      <c r="B2031" s="416">
        <v>418525</v>
      </c>
      <c r="C2031" s="413" t="str">
        <f>IFERROR(INDEX(Table14[],MATCH($B2031,Table14[SAPNo],0),3),"")</f>
        <v>Drop In 1308 CT31   (B)</v>
      </c>
      <c r="D2031" s="306"/>
      <c r="E2031" s="421">
        <v>14</v>
      </c>
      <c r="F2031" s="421"/>
      <c r="G2031" s="417" t="s">
        <v>1829</v>
      </c>
      <c r="H2031" s="598">
        <v>14119202</v>
      </c>
      <c r="I2031" s="322" t="s">
        <v>1748</v>
      </c>
      <c r="J2031" s="418"/>
      <c r="K2031" s="248"/>
      <c r="M2031" s="366"/>
      <c r="AF2031">
        <v>14</v>
      </c>
    </row>
    <row r="2032" spans="1:32" x14ac:dyDescent="0.25">
      <c r="A2032" s="308">
        <v>45446</v>
      </c>
      <c r="B2032" s="416">
        <v>179733</v>
      </c>
      <c r="C2032" s="413" t="str">
        <f>IFERROR(INDEX(Table14[],MATCH($B2032,Table14[SAPNo],0),3),"")</f>
        <v>Short IA 13    (C)</v>
      </c>
      <c r="D2032" s="306"/>
      <c r="E2032" s="421">
        <v>23</v>
      </c>
      <c r="F2032" s="421"/>
      <c r="G2032" s="417" t="s">
        <v>1829</v>
      </c>
      <c r="H2032" s="598">
        <v>14119202</v>
      </c>
      <c r="I2032" s="322" t="s">
        <v>1748</v>
      </c>
      <c r="J2032" s="418"/>
      <c r="K2032" s="248"/>
      <c r="M2032" s="366"/>
      <c r="AF2032">
        <v>23</v>
      </c>
    </row>
    <row r="2033" spans="1:32" x14ac:dyDescent="0.25">
      <c r="A2033" s="308">
        <v>45446</v>
      </c>
      <c r="B2033" s="416">
        <v>882800</v>
      </c>
      <c r="C2033" s="413" t="str">
        <f>IFERROR(INDEX(Table14[],MATCH($B2033,Table14[SAPNo],0),3),"")</f>
        <v>Round 0808 CT80  0.018" (B)</v>
      </c>
      <c r="D2033" s="306"/>
      <c r="E2033" s="421">
        <v>10</v>
      </c>
      <c r="F2033" s="421"/>
      <c r="G2033" s="417" t="s">
        <v>1830</v>
      </c>
      <c r="H2033" s="598">
        <v>14160179</v>
      </c>
      <c r="I2033" s="322" t="s">
        <v>1453</v>
      </c>
      <c r="J2033" s="418"/>
      <c r="K2033" s="248"/>
      <c r="M2033" s="366"/>
      <c r="AF2033">
        <v>10</v>
      </c>
    </row>
    <row r="2034" spans="1:32" x14ac:dyDescent="0.25">
      <c r="A2034" s="308">
        <v>45446</v>
      </c>
      <c r="B2034" s="416">
        <v>717748</v>
      </c>
      <c r="C2034" s="413" t="str">
        <f>IFERROR(INDEX(Table14[],MATCH($B2034,Table14[SAPNo],0),3),"")</f>
        <v>Round 1010 CT200  0.018" (B)</v>
      </c>
      <c r="D2034" s="306"/>
      <c r="E2034" s="421">
        <v>23</v>
      </c>
      <c r="F2034" s="421"/>
      <c r="G2034" s="417" t="s">
        <v>1830</v>
      </c>
      <c r="H2034" s="598">
        <v>14160179</v>
      </c>
      <c r="I2034" s="322" t="s">
        <v>1453</v>
      </c>
      <c r="J2034" s="418"/>
      <c r="K2034" s="248"/>
      <c r="M2034" s="366"/>
      <c r="AF2034">
        <v>23</v>
      </c>
    </row>
    <row r="2035" spans="1:32" x14ac:dyDescent="0.25">
      <c r="A2035" s="308">
        <v>45446</v>
      </c>
      <c r="B2035" s="416">
        <v>773384</v>
      </c>
      <c r="C2035" s="413" t="str">
        <f>IFERROR(INDEX(Table14[],MATCH($B2035,Table14[SAPNo],0),3),"")</f>
        <v>Round 1005 CT200  0.018" (B)</v>
      </c>
      <c r="D2035" s="306"/>
      <c r="E2035" s="421">
        <v>10</v>
      </c>
      <c r="F2035" s="421"/>
      <c r="G2035" s="417" t="s">
        <v>1830</v>
      </c>
      <c r="H2035" s="598">
        <v>14160179</v>
      </c>
      <c r="I2035" s="322" t="s">
        <v>1453</v>
      </c>
      <c r="J2035" s="418"/>
      <c r="K2035" s="248"/>
      <c r="M2035" s="366"/>
      <c r="AF2035">
        <v>10</v>
      </c>
    </row>
    <row r="2036" spans="1:32" x14ac:dyDescent="0.25">
      <c r="A2036" s="308">
        <v>45446</v>
      </c>
      <c r="B2036" s="416">
        <v>1146737</v>
      </c>
      <c r="C2036" s="413" t="str">
        <f>IFERROR(INDEX(Table14[],MATCH($B2036,Table14[SAPNo],0),3),"")</f>
        <v>1613 CT418 18-60</v>
      </c>
      <c r="D2036" s="306"/>
      <c r="E2036" s="421">
        <v>8</v>
      </c>
      <c r="F2036" s="421"/>
      <c r="G2036" s="417" t="s">
        <v>1831</v>
      </c>
      <c r="H2036" s="598">
        <v>14162008</v>
      </c>
      <c r="I2036" s="322" t="s">
        <v>1796</v>
      </c>
      <c r="J2036" s="418"/>
      <c r="K2036" s="248"/>
      <c r="M2036" s="366"/>
      <c r="AF2036">
        <v>8</v>
      </c>
    </row>
    <row r="2037" spans="1:32" x14ac:dyDescent="0.25">
      <c r="A2037" s="308">
        <v>45446</v>
      </c>
      <c r="B2037" s="416">
        <v>871781</v>
      </c>
      <c r="C2037" s="413" t="str">
        <f>IFERROR(INDEX(Table14[],MATCH($B2037,Table14[SAPNo],0),3),"")</f>
        <v>Round 1313 CT200  0.018" (B)</v>
      </c>
      <c r="D2037" s="306"/>
      <c r="E2037" s="421">
        <v>7</v>
      </c>
      <c r="F2037" s="421"/>
      <c r="G2037" s="417" t="s">
        <v>1831</v>
      </c>
      <c r="H2037" s="598">
        <v>14162008</v>
      </c>
      <c r="I2037" s="322" t="s">
        <v>1796</v>
      </c>
      <c r="J2037" s="418"/>
      <c r="K2037" s="248"/>
      <c r="M2037" s="366"/>
      <c r="AF2037">
        <v>7</v>
      </c>
    </row>
    <row r="2038" spans="1:32" x14ac:dyDescent="0.25">
      <c r="A2038" s="308">
        <v>45446</v>
      </c>
      <c r="B2038" s="416">
        <v>1163820</v>
      </c>
      <c r="C2038" s="413" t="str">
        <f>IFERROR(INDEX(Table14[],MATCH($B2038,Table14[SAPNo],0),3),"")</f>
        <v>1613 CT156 0.018"</v>
      </c>
      <c r="D2038" s="306"/>
      <c r="E2038" s="421">
        <v>6</v>
      </c>
      <c r="F2038" s="421"/>
      <c r="G2038" s="417" t="s">
        <v>1831</v>
      </c>
      <c r="H2038" s="598">
        <v>14162008</v>
      </c>
      <c r="I2038" s="322" t="s">
        <v>1796</v>
      </c>
      <c r="J2038" s="418"/>
      <c r="K2038" s="248"/>
      <c r="M2038" s="366"/>
      <c r="AF2038">
        <v>6</v>
      </c>
    </row>
    <row r="2039" spans="1:32" x14ac:dyDescent="0.25">
      <c r="A2039" s="308">
        <v>45446</v>
      </c>
      <c r="B2039" s="416">
        <v>1208601</v>
      </c>
      <c r="C2039" s="413" t="str">
        <f>IFERROR(INDEX(Table14[],MATCH($B2039,Table14[SAPNo],0),3),"")</f>
        <v>1613 CT418 U-60</v>
      </c>
      <c r="D2039" s="306"/>
      <c r="E2039" s="421">
        <v>11</v>
      </c>
      <c r="F2039" s="421"/>
      <c r="G2039" s="417" t="s">
        <v>1831</v>
      </c>
      <c r="H2039" s="598">
        <v>14162008</v>
      </c>
      <c r="I2039" s="322" t="s">
        <v>1796</v>
      </c>
      <c r="J2039" s="418"/>
      <c r="K2039" s="248"/>
      <c r="M2039" s="366"/>
      <c r="AF2039">
        <v>11</v>
      </c>
    </row>
    <row r="2040" spans="1:32" x14ac:dyDescent="0.25">
      <c r="A2040" s="308">
        <v>45446</v>
      </c>
      <c r="B2040" s="416">
        <v>1126402</v>
      </c>
      <c r="C2040" s="413" t="str">
        <f>IFERROR(INDEX(Table14[],MATCH($B2040,Table14[SAPNo],0),3),"")</f>
        <v>1613 CT421 16-60</v>
      </c>
      <c r="D2040" s="306"/>
      <c r="E2040" s="421">
        <v>21</v>
      </c>
      <c r="F2040" s="421"/>
      <c r="G2040" s="417" t="s">
        <v>1831</v>
      </c>
      <c r="H2040" s="598">
        <v>14162008</v>
      </c>
      <c r="I2040" s="322" t="s">
        <v>1796</v>
      </c>
      <c r="J2040" s="418"/>
      <c r="K2040" s="248"/>
      <c r="M2040" s="366"/>
      <c r="AF2040">
        <v>21</v>
      </c>
    </row>
    <row r="2041" spans="1:32" x14ac:dyDescent="0.25">
      <c r="A2041" s="308">
        <v>45446</v>
      </c>
      <c r="B2041" s="416">
        <v>625854</v>
      </c>
      <c r="C2041" s="413" t="str">
        <f>IFERROR(INDEX(Table14[],MATCH($B2041,Table14[SAPNo],0),3),"")</f>
        <v>Carbide IA 1318    (C)</v>
      </c>
      <c r="D2041" s="306"/>
      <c r="E2041" s="421">
        <v>6</v>
      </c>
      <c r="F2041" s="421"/>
      <c r="G2041" s="417" t="s">
        <v>1831</v>
      </c>
      <c r="H2041" s="598">
        <v>14162008</v>
      </c>
      <c r="I2041" s="322" t="s">
        <v>1796</v>
      </c>
      <c r="J2041" s="418"/>
      <c r="K2041" s="248"/>
      <c r="M2041" s="366"/>
      <c r="AF2041">
        <v>6</v>
      </c>
    </row>
    <row r="2042" spans="1:32" x14ac:dyDescent="0.25">
      <c r="A2042" s="308">
        <v>45446</v>
      </c>
      <c r="B2042" s="416">
        <v>1261615</v>
      </c>
      <c r="C2042" s="413" t="str">
        <f>IFERROR(INDEX(Table14[],MATCH($B2042,Table14[SAPNo],0),3),"")</f>
        <v>1613 CT172R U</v>
      </c>
      <c r="D2042" s="306"/>
      <c r="E2042" s="421">
        <v>30</v>
      </c>
      <c r="F2042" s="421"/>
      <c r="G2042" s="417" t="s">
        <v>1831</v>
      </c>
      <c r="H2042" s="598">
        <v>14162008</v>
      </c>
      <c r="I2042" s="322" t="s">
        <v>1796</v>
      </c>
      <c r="J2042" s="418"/>
      <c r="K2042" s="248"/>
      <c r="M2042" s="366"/>
      <c r="AF2042">
        <v>30</v>
      </c>
    </row>
    <row r="2043" spans="1:32" x14ac:dyDescent="0.25">
      <c r="A2043" s="308">
        <v>45446</v>
      </c>
      <c r="B2043" s="416">
        <v>1261321</v>
      </c>
      <c r="C2043" s="413" t="str">
        <f>IFERROR(INDEX(Table14[],MATCH($B2043,Table14[SAPNo],0),3),"")</f>
        <v>1613 CT155 U-60</v>
      </c>
      <c r="D2043" s="306"/>
      <c r="E2043" s="421">
        <v>4</v>
      </c>
      <c r="F2043" s="421"/>
      <c r="G2043" s="417" t="s">
        <v>1832</v>
      </c>
      <c r="H2043" s="598">
        <v>14144624</v>
      </c>
      <c r="I2043" s="322" t="s">
        <v>1440</v>
      </c>
      <c r="J2043" s="418"/>
      <c r="K2043" s="248"/>
      <c r="M2043" s="366"/>
      <c r="AF2043">
        <v>4</v>
      </c>
    </row>
    <row r="2044" spans="1:32" x14ac:dyDescent="0.25">
      <c r="A2044" s="308">
        <v>45446</v>
      </c>
      <c r="B2044" s="416">
        <v>1228502</v>
      </c>
      <c r="C2044" s="413" t="str">
        <f>IFERROR(INDEX(Table14[],MATCH($B2044,Table14[SAPNo],0),3),"")</f>
        <v>1618 CT182 U-60 Rotor</v>
      </c>
      <c r="D2044" s="306"/>
      <c r="E2044" s="421">
        <v>10</v>
      </c>
      <c r="F2044" s="421"/>
      <c r="G2044" s="417" t="s">
        <v>1832</v>
      </c>
      <c r="H2044" s="598">
        <v>14144624</v>
      </c>
      <c r="I2044" s="322" t="s">
        <v>1440</v>
      </c>
      <c r="J2044" s="418"/>
      <c r="K2044" s="248"/>
      <c r="M2044" s="366"/>
      <c r="AF2044">
        <v>10</v>
      </c>
    </row>
    <row r="2045" spans="1:32" x14ac:dyDescent="0.25">
      <c r="A2045" s="308">
        <v>45446</v>
      </c>
      <c r="B2045" s="416">
        <v>1228501</v>
      </c>
      <c r="C2045" s="413" t="str">
        <f>IFERROR(INDEX(Table14[],MATCH($B2045,Table14[SAPNo],0),3),"")</f>
        <v>1618 CT182 U-60 stator</v>
      </c>
      <c r="D2045" s="306"/>
      <c r="E2045" s="421">
        <v>10</v>
      </c>
      <c r="F2045" s="421"/>
      <c r="G2045" s="417" t="s">
        <v>1832</v>
      </c>
      <c r="H2045" s="598">
        <v>14144624</v>
      </c>
      <c r="I2045" s="322" t="s">
        <v>1440</v>
      </c>
      <c r="J2045" s="418"/>
      <c r="K2045" s="248"/>
      <c r="M2045" s="366"/>
      <c r="AF2045">
        <v>10</v>
      </c>
    </row>
    <row r="2046" spans="1:32" x14ac:dyDescent="0.25">
      <c r="A2046" s="308">
        <v>45446</v>
      </c>
      <c r="B2046" s="416">
        <v>1261320</v>
      </c>
      <c r="C2046" s="413" t="str">
        <f>IFERROR(INDEX(Table14[],MATCH($B2046,Table14[SAPNo],0),3),"")</f>
        <v>1313 CT155 U-60</v>
      </c>
      <c r="D2046" s="306"/>
      <c r="E2046" s="421">
        <v>6</v>
      </c>
      <c r="F2046" s="421"/>
      <c r="G2046" s="417" t="s">
        <v>1832</v>
      </c>
      <c r="H2046" s="598">
        <v>14144624</v>
      </c>
      <c r="I2046" s="322" t="s">
        <v>1440</v>
      </c>
      <c r="J2046" s="418"/>
      <c r="K2046" s="248"/>
      <c r="M2046" s="366"/>
      <c r="AF2046">
        <v>6</v>
      </c>
    </row>
    <row r="2047" spans="1:32" x14ac:dyDescent="0.25">
      <c r="A2047" s="308">
        <v>45446</v>
      </c>
      <c r="B2047" s="416">
        <v>1261319</v>
      </c>
      <c r="C2047" s="413" t="str">
        <f>IFERROR(INDEX(Table14[],MATCH($B2047,Table14[SAPNo],0),3),"")</f>
        <v>1308 CT155 U-60</v>
      </c>
      <c r="D2047" s="306"/>
      <c r="E2047" s="421">
        <v>24</v>
      </c>
      <c r="F2047" s="421"/>
      <c r="G2047" s="417" t="s">
        <v>1832</v>
      </c>
      <c r="H2047" s="598">
        <v>14144624</v>
      </c>
      <c r="I2047" s="322" t="s">
        <v>1440</v>
      </c>
      <c r="J2047" s="418"/>
      <c r="K2047" s="248"/>
      <c r="M2047" s="366"/>
      <c r="AF2047">
        <v>24</v>
      </c>
    </row>
    <row r="2048" spans="1:32" x14ac:dyDescent="0.25">
      <c r="A2048" s="308">
        <v>45446</v>
      </c>
      <c r="B2048" s="416">
        <v>871781</v>
      </c>
      <c r="C2048" s="413" t="str">
        <f>IFERROR(INDEX(Table14[],MATCH($B2048,Table14[SAPNo],0),3),"")</f>
        <v>Round 1313 CT200  0.018" (B)</v>
      </c>
      <c r="D2048" s="306"/>
      <c r="E2048" s="421">
        <v>6</v>
      </c>
      <c r="F2048" s="421"/>
      <c r="G2048" s="417" t="s">
        <v>1832</v>
      </c>
      <c r="H2048" s="598">
        <v>14144624</v>
      </c>
      <c r="I2048" s="322" t="s">
        <v>1440</v>
      </c>
      <c r="J2048" s="418"/>
      <c r="K2048" s="248"/>
      <c r="M2048" s="366"/>
      <c r="AF2048">
        <v>6</v>
      </c>
    </row>
    <row r="2049" spans="1:32" x14ac:dyDescent="0.25">
      <c r="A2049" s="308">
        <v>45446</v>
      </c>
      <c r="B2049" s="416">
        <v>1228503</v>
      </c>
      <c r="C2049" s="413" t="str">
        <f>IFERROR(INDEX(Table14[],MATCH($B2049,Table14[SAPNo],0),3),"")</f>
        <v>1618 CT182 U-60 Ring</v>
      </c>
      <c r="D2049" s="306"/>
      <c r="E2049" s="421">
        <v>10</v>
      </c>
      <c r="F2049" s="421"/>
      <c r="G2049" s="417" t="s">
        <v>1832</v>
      </c>
      <c r="H2049" s="598">
        <v>14144624</v>
      </c>
      <c r="I2049" s="322" t="s">
        <v>1440</v>
      </c>
      <c r="J2049" s="418"/>
      <c r="K2049" s="248"/>
      <c r="M2049" s="366"/>
      <c r="AF2049">
        <v>10</v>
      </c>
    </row>
    <row r="2050" spans="1:32" x14ac:dyDescent="0.25">
      <c r="A2050" s="308">
        <v>45446</v>
      </c>
      <c r="B2050" s="416">
        <v>1220554</v>
      </c>
      <c r="C2050" s="413" t="str">
        <f>IFERROR(INDEX(Table14[],MATCH($B2050,Table14[SAPNo],0),3),"")</f>
        <v xml:space="preserve">1618 CT182 U-60 Carbide </v>
      </c>
      <c r="D2050" s="306"/>
      <c r="E2050" s="421">
        <v>10</v>
      </c>
      <c r="F2050" s="421"/>
      <c r="G2050" s="417" t="s">
        <v>1832</v>
      </c>
      <c r="H2050" s="598">
        <v>14144624</v>
      </c>
      <c r="I2050" s="322" t="s">
        <v>1440</v>
      </c>
      <c r="J2050" s="418"/>
      <c r="K2050" s="248"/>
      <c r="M2050" s="366"/>
      <c r="AF2050">
        <v>10</v>
      </c>
    </row>
    <row r="2051" spans="1:32" x14ac:dyDescent="0.25">
      <c r="A2051" s="308">
        <v>45446</v>
      </c>
      <c r="B2051" s="416">
        <v>1228501</v>
      </c>
      <c r="C2051" s="413" t="str">
        <f>IFERROR(INDEX(Table14[],MATCH($B2051,Table14[SAPNo],0),3),"")</f>
        <v>1618 CT182 U-60 stator</v>
      </c>
      <c r="D2051" s="306"/>
      <c r="E2051" s="421">
        <v>10</v>
      </c>
      <c r="F2051" s="421"/>
      <c r="G2051" s="417" t="s">
        <v>1833</v>
      </c>
      <c r="H2051" s="598">
        <v>14144625</v>
      </c>
      <c r="I2051" s="322" t="s">
        <v>1440</v>
      </c>
      <c r="J2051" s="418"/>
      <c r="K2051" s="248"/>
      <c r="M2051" s="366"/>
      <c r="AF2051">
        <v>10</v>
      </c>
    </row>
    <row r="2052" spans="1:32" x14ac:dyDescent="0.25">
      <c r="A2052" s="308">
        <v>45446</v>
      </c>
      <c r="B2052" s="416">
        <v>1228502</v>
      </c>
      <c r="C2052" s="413" t="str">
        <f>IFERROR(INDEX(Table14[],MATCH($B2052,Table14[SAPNo],0),3),"")</f>
        <v>1618 CT182 U-60 Rotor</v>
      </c>
      <c r="D2052" s="306"/>
      <c r="E2052" s="421">
        <v>10</v>
      </c>
      <c r="F2052" s="421"/>
      <c r="G2052" s="417" t="s">
        <v>1833</v>
      </c>
      <c r="H2052" s="598">
        <v>14144625</v>
      </c>
      <c r="I2052" s="322" t="s">
        <v>1440</v>
      </c>
      <c r="J2052" s="418"/>
      <c r="K2052" s="248"/>
      <c r="M2052" s="366"/>
      <c r="AF2052">
        <v>10</v>
      </c>
    </row>
    <row r="2053" spans="1:32" x14ac:dyDescent="0.25">
      <c r="A2053" s="308">
        <v>45446</v>
      </c>
      <c r="B2053" s="416">
        <v>1261319</v>
      </c>
      <c r="C2053" s="413" t="str">
        <f>IFERROR(INDEX(Table14[],MATCH($B2053,Table14[SAPNo],0),3),"")</f>
        <v>1308 CT155 U-60</v>
      </c>
      <c r="D2053" s="306"/>
      <c r="E2053" s="421">
        <v>24</v>
      </c>
      <c r="F2053" s="421"/>
      <c r="G2053" s="417" t="s">
        <v>1833</v>
      </c>
      <c r="H2053" s="598">
        <v>14144625</v>
      </c>
      <c r="I2053" s="322" t="s">
        <v>1440</v>
      </c>
      <c r="J2053" s="418"/>
      <c r="K2053" s="248"/>
      <c r="M2053" s="366"/>
      <c r="AF2053">
        <v>24</v>
      </c>
    </row>
    <row r="2054" spans="1:32" x14ac:dyDescent="0.25">
      <c r="A2054" s="308">
        <v>45446</v>
      </c>
      <c r="B2054" s="416">
        <v>1261320</v>
      </c>
      <c r="C2054" s="413" t="str">
        <f>IFERROR(INDEX(Table14[],MATCH($B2054,Table14[SAPNo],0),3),"")</f>
        <v>1313 CT155 U-60</v>
      </c>
      <c r="D2054" s="306"/>
      <c r="E2054" s="421">
        <v>6</v>
      </c>
      <c r="F2054" s="421"/>
      <c r="G2054" s="417" t="s">
        <v>1833</v>
      </c>
      <c r="H2054" s="598">
        <v>14144625</v>
      </c>
      <c r="I2054" s="322" t="s">
        <v>1440</v>
      </c>
      <c r="J2054" s="418"/>
      <c r="K2054" s="248"/>
      <c r="M2054" s="366"/>
      <c r="AF2054">
        <v>6</v>
      </c>
    </row>
    <row r="2055" spans="1:32" x14ac:dyDescent="0.25">
      <c r="A2055" s="308">
        <v>45446</v>
      </c>
      <c r="B2055" s="416">
        <v>1261321</v>
      </c>
      <c r="C2055" s="413" t="str">
        <f>IFERROR(INDEX(Table14[],MATCH($B2055,Table14[SAPNo],0),3),"")</f>
        <v>1613 CT155 U-60</v>
      </c>
      <c r="D2055" s="306"/>
      <c r="E2055" s="421">
        <v>4</v>
      </c>
      <c r="F2055" s="421"/>
      <c r="G2055" s="417" t="s">
        <v>1833</v>
      </c>
      <c r="H2055" s="598">
        <v>14144625</v>
      </c>
      <c r="I2055" s="322" t="s">
        <v>1440</v>
      </c>
      <c r="J2055" s="418"/>
      <c r="K2055" s="248"/>
      <c r="M2055" s="366"/>
      <c r="AF2055">
        <v>4</v>
      </c>
    </row>
    <row r="2056" spans="1:32" x14ac:dyDescent="0.25">
      <c r="A2056" s="308">
        <v>45446</v>
      </c>
      <c r="B2056" s="416">
        <v>871781</v>
      </c>
      <c r="C2056" s="413" t="str">
        <f>IFERROR(INDEX(Table14[],MATCH($B2056,Table14[SAPNo],0),3),"")</f>
        <v>Round 1313 CT200  0.018" (B)</v>
      </c>
      <c r="D2056" s="306"/>
      <c r="E2056" s="421">
        <v>6</v>
      </c>
      <c r="F2056" s="421"/>
      <c r="G2056" s="417" t="s">
        <v>1833</v>
      </c>
      <c r="H2056" s="598">
        <v>14144625</v>
      </c>
      <c r="I2056" s="322" t="s">
        <v>1440</v>
      </c>
      <c r="J2056" s="418"/>
      <c r="K2056" s="248"/>
      <c r="M2056" s="366"/>
      <c r="AF2056">
        <v>6</v>
      </c>
    </row>
    <row r="2057" spans="1:32" x14ac:dyDescent="0.25">
      <c r="A2057" s="308">
        <v>45446</v>
      </c>
      <c r="B2057" s="416">
        <v>1228503</v>
      </c>
      <c r="C2057" s="413" t="str">
        <f>IFERROR(INDEX(Table14[],MATCH($B2057,Table14[SAPNo],0),3),"")</f>
        <v>1618 CT182 U-60 Ring</v>
      </c>
      <c r="D2057" s="306"/>
      <c r="E2057" s="421">
        <v>10</v>
      </c>
      <c r="F2057" s="421"/>
      <c r="G2057" s="417" t="s">
        <v>1833</v>
      </c>
      <c r="H2057" s="598">
        <v>14144625</v>
      </c>
      <c r="I2057" s="322" t="s">
        <v>1440</v>
      </c>
      <c r="J2057" s="418"/>
      <c r="K2057" s="248"/>
      <c r="M2057" s="366"/>
      <c r="AF2057">
        <v>10</v>
      </c>
    </row>
    <row r="2058" spans="1:32" x14ac:dyDescent="0.25">
      <c r="A2058" s="320">
        <v>45446</v>
      </c>
      <c r="B2058" s="419">
        <v>1220554</v>
      </c>
      <c r="C2058" s="413" t="str">
        <f>IFERROR(INDEX(Table14[],MATCH($B2058,Table14[SAPNo],0),3),"")</f>
        <v xml:space="preserve">1618 CT182 U-60 Carbide </v>
      </c>
      <c r="D2058" s="306"/>
      <c r="E2058" s="421">
        <v>10</v>
      </c>
      <c r="F2058" s="421"/>
      <c r="G2058" s="420" t="s">
        <v>1833</v>
      </c>
      <c r="H2058" s="599">
        <v>14144625</v>
      </c>
      <c r="I2058" s="322" t="s">
        <v>1440</v>
      </c>
      <c r="J2058" s="421"/>
      <c r="K2058" s="422"/>
      <c r="M2058" s="366"/>
      <c r="AF2058">
        <v>10</v>
      </c>
    </row>
    <row r="2059" spans="1:32" x14ac:dyDescent="0.25">
      <c r="A2059" s="320">
        <v>45447</v>
      </c>
      <c r="B2059" s="416">
        <v>1271790</v>
      </c>
      <c r="C2059" s="413" t="str">
        <f>IFERROR(INDEX(Table14[],MATCH($B2059,Table14[SAPNo],0),3),"")</f>
        <v xml:space="preserve">1613 CT170 18-60 </v>
      </c>
      <c r="D2059" s="306"/>
      <c r="E2059" s="421">
        <v>53</v>
      </c>
      <c r="F2059" s="421"/>
      <c r="G2059" s="417" t="s">
        <v>1834</v>
      </c>
      <c r="H2059" s="598">
        <v>13926375</v>
      </c>
      <c r="I2059" s="322" t="s">
        <v>1133</v>
      </c>
      <c r="J2059" s="418"/>
      <c r="K2059" s="248"/>
      <c r="M2059" s="422"/>
      <c r="AF2059">
        <v>53</v>
      </c>
    </row>
    <row r="2060" spans="1:32" x14ac:dyDescent="0.25">
      <c r="A2060" s="320">
        <v>45447</v>
      </c>
      <c r="B2060" s="419">
        <v>1146737</v>
      </c>
      <c r="C2060" s="413" t="str">
        <f>IFERROR(INDEX(Table14[],MATCH($B2060,Table14[SAPNo],0),3),"")</f>
        <v>1613 CT418 18-60</v>
      </c>
      <c r="D2060" s="306"/>
      <c r="E2060" s="421">
        <v>39</v>
      </c>
      <c r="F2060" s="421"/>
      <c r="G2060" s="417" t="s">
        <v>1834</v>
      </c>
      <c r="H2060" s="599">
        <v>13926375</v>
      </c>
      <c r="I2060" s="322" t="s">
        <v>1133</v>
      </c>
      <c r="J2060" s="421"/>
      <c r="K2060" s="422"/>
      <c r="M2060" s="422"/>
      <c r="AF2060">
        <v>39</v>
      </c>
    </row>
    <row r="2061" spans="1:32" x14ac:dyDescent="0.25">
      <c r="A2061" s="308">
        <v>45448</v>
      </c>
      <c r="B2061" s="416">
        <v>882800</v>
      </c>
      <c r="C2061" s="413" t="str">
        <f>IFERROR(INDEX(Table14[],MATCH($B2061,Table14[SAPNo],0),3),"")</f>
        <v>Round 0808 CT80  0.018" (B)</v>
      </c>
      <c r="D2061" s="306"/>
      <c r="E2061" s="421">
        <v>10</v>
      </c>
      <c r="F2061" s="421"/>
      <c r="G2061" s="417" t="s">
        <v>1835</v>
      </c>
      <c r="H2061" s="598">
        <v>14160180</v>
      </c>
      <c r="I2061" s="322" t="s">
        <v>1453</v>
      </c>
      <c r="J2061" s="418"/>
      <c r="K2061" s="248"/>
      <c r="M2061" s="422"/>
      <c r="AF2061">
        <v>10</v>
      </c>
    </row>
    <row r="2062" spans="1:32" x14ac:dyDescent="0.25">
      <c r="A2062" s="308">
        <v>45448</v>
      </c>
      <c r="B2062" s="416">
        <v>773384</v>
      </c>
      <c r="C2062" s="413" t="str">
        <f>IFERROR(INDEX(Table14[],MATCH($B2062,Table14[SAPNo],0),3),"")</f>
        <v>Round 1005 CT200  0.018" (B)</v>
      </c>
      <c r="D2062" s="306"/>
      <c r="E2062" s="421">
        <v>10</v>
      </c>
      <c r="F2062" s="421"/>
      <c r="G2062" s="417" t="s">
        <v>1835</v>
      </c>
      <c r="H2062" s="598">
        <v>14160180</v>
      </c>
      <c r="I2062" s="322" t="s">
        <v>1453</v>
      </c>
      <c r="J2062" s="418"/>
      <c r="K2062" s="248"/>
      <c r="M2062" s="366"/>
      <c r="AF2062">
        <v>10</v>
      </c>
    </row>
    <row r="2063" spans="1:32" x14ac:dyDescent="0.25">
      <c r="A2063" s="308">
        <v>45448</v>
      </c>
      <c r="B2063" s="416">
        <v>717748</v>
      </c>
      <c r="C2063" s="413" t="str">
        <f>IFERROR(INDEX(Table14[],MATCH($B2063,Table14[SAPNo],0),3),"")</f>
        <v>Round 1010 CT200  0.018" (B)</v>
      </c>
      <c r="D2063" s="306"/>
      <c r="E2063" s="421">
        <v>23</v>
      </c>
      <c r="F2063" s="421"/>
      <c r="G2063" s="417" t="s">
        <v>1835</v>
      </c>
      <c r="H2063" s="598">
        <v>14160180</v>
      </c>
      <c r="I2063" s="322" t="s">
        <v>1453</v>
      </c>
      <c r="J2063" s="418"/>
      <c r="K2063" s="248"/>
      <c r="M2063" s="366"/>
      <c r="AF2063">
        <v>23</v>
      </c>
    </row>
    <row r="2064" spans="1:32" x14ac:dyDescent="0.25">
      <c r="A2064" s="308">
        <v>45448</v>
      </c>
      <c r="B2064" s="416">
        <v>773384</v>
      </c>
      <c r="C2064" s="413" t="str">
        <f>IFERROR(INDEX(Table14[],MATCH($B2064,Table14[SAPNo],0),3),"")</f>
        <v>Round 1005 CT200  0.018" (B)</v>
      </c>
      <c r="D2064" s="306"/>
      <c r="E2064" s="421">
        <v>10</v>
      </c>
      <c r="F2064" s="421"/>
      <c r="G2064" s="417" t="s">
        <v>1836</v>
      </c>
      <c r="H2064" s="598">
        <v>14160181</v>
      </c>
      <c r="I2064" s="322" t="s">
        <v>1453</v>
      </c>
      <c r="J2064" s="418"/>
      <c r="K2064" s="248"/>
      <c r="M2064" s="366"/>
      <c r="AF2064">
        <v>10</v>
      </c>
    </row>
    <row r="2065" spans="1:32" x14ac:dyDescent="0.25">
      <c r="A2065" s="308">
        <v>45448</v>
      </c>
      <c r="B2065" s="416">
        <v>717748</v>
      </c>
      <c r="C2065" s="413" t="str">
        <f>IFERROR(INDEX(Table14[],MATCH($B2065,Table14[SAPNo],0),3),"")</f>
        <v>Round 1010 CT200  0.018" (B)</v>
      </c>
      <c r="D2065" s="306"/>
      <c r="E2065" s="421">
        <v>23</v>
      </c>
      <c r="F2065" s="421"/>
      <c r="G2065" s="417" t="s">
        <v>1836</v>
      </c>
      <c r="H2065" s="598">
        <v>14160181</v>
      </c>
      <c r="I2065" s="322" t="s">
        <v>1453</v>
      </c>
      <c r="J2065" s="418"/>
      <c r="K2065" s="248"/>
      <c r="M2065" s="366"/>
      <c r="AF2065">
        <v>23</v>
      </c>
    </row>
    <row r="2066" spans="1:32" x14ac:dyDescent="0.25">
      <c r="A2066" s="308">
        <v>45448</v>
      </c>
      <c r="B2066" s="416">
        <v>882800</v>
      </c>
      <c r="C2066" s="413" t="str">
        <f>IFERROR(INDEX(Table14[],MATCH($B2066,Table14[SAPNo],0),3),"")</f>
        <v>Round 0808 CT80  0.018" (B)</v>
      </c>
      <c r="D2066" s="306"/>
      <c r="E2066" s="421">
        <v>10</v>
      </c>
      <c r="F2066" s="421"/>
      <c r="G2066" s="417" t="s">
        <v>1836</v>
      </c>
      <c r="H2066" s="598">
        <v>14160181</v>
      </c>
      <c r="I2066" s="322" t="s">
        <v>1453</v>
      </c>
      <c r="J2066" s="418"/>
      <c r="K2066" s="248"/>
      <c r="M2066" s="366"/>
      <c r="AF2066">
        <v>10</v>
      </c>
    </row>
    <row r="2067" spans="1:32" x14ac:dyDescent="0.25">
      <c r="A2067" s="308">
        <v>45448</v>
      </c>
      <c r="B2067" s="416">
        <v>1261321</v>
      </c>
      <c r="C2067" s="413" t="str">
        <f>IFERROR(INDEX(Table14[],MATCH($B2067,Table14[SAPNo],0),3),"")</f>
        <v>1613 CT155 U-60</v>
      </c>
      <c r="D2067" s="306"/>
      <c r="E2067" s="421">
        <v>4</v>
      </c>
      <c r="F2067" s="421"/>
      <c r="G2067" s="417" t="s">
        <v>1837</v>
      </c>
      <c r="H2067" s="598">
        <v>14144626</v>
      </c>
      <c r="I2067" s="322" t="s">
        <v>1440</v>
      </c>
      <c r="J2067" s="418"/>
      <c r="K2067" s="248"/>
      <c r="M2067" s="366"/>
      <c r="AF2067">
        <v>4</v>
      </c>
    </row>
    <row r="2068" spans="1:32" x14ac:dyDescent="0.25">
      <c r="A2068" s="308">
        <v>45448</v>
      </c>
      <c r="B2068" s="416">
        <v>1228501</v>
      </c>
      <c r="C2068" s="413" t="str">
        <f>IFERROR(INDEX(Table14[],MATCH($B2068,Table14[SAPNo],0),3),"")</f>
        <v>1618 CT182 U-60 stator</v>
      </c>
      <c r="D2068" s="306"/>
      <c r="E2068" s="421">
        <v>10</v>
      </c>
      <c r="F2068" s="421"/>
      <c r="G2068" s="417" t="s">
        <v>1837</v>
      </c>
      <c r="H2068" s="598">
        <v>14144626</v>
      </c>
      <c r="I2068" s="322" t="s">
        <v>1440</v>
      </c>
      <c r="J2068" s="418"/>
      <c r="K2068" s="248"/>
      <c r="M2068" s="366"/>
      <c r="AF2068">
        <v>10</v>
      </c>
    </row>
    <row r="2069" spans="1:32" x14ac:dyDescent="0.25">
      <c r="A2069" s="308">
        <v>45448</v>
      </c>
      <c r="B2069" s="416">
        <v>1228502</v>
      </c>
      <c r="C2069" s="413" t="str">
        <f>IFERROR(INDEX(Table14[],MATCH($B2069,Table14[SAPNo],0),3),"")</f>
        <v>1618 CT182 U-60 Rotor</v>
      </c>
      <c r="D2069" s="306"/>
      <c r="E2069" s="421">
        <v>10</v>
      </c>
      <c r="F2069" s="421"/>
      <c r="G2069" s="417" t="s">
        <v>1837</v>
      </c>
      <c r="H2069" s="598">
        <v>14144626</v>
      </c>
      <c r="I2069" s="322" t="s">
        <v>1440</v>
      </c>
      <c r="J2069" s="418"/>
      <c r="K2069" s="248"/>
      <c r="M2069" s="366"/>
      <c r="AF2069">
        <v>10</v>
      </c>
    </row>
    <row r="2070" spans="1:32" x14ac:dyDescent="0.25">
      <c r="A2070" s="308">
        <v>45448</v>
      </c>
      <c r="B2070" s="416">
        <v>1228503</v>
      </c>
      <c r="C2070" s="413" t="str">
        <f>IFERROR(INDEX(Table14[],MATCH($B2070,Table14[SAPNo],0),3),"")</f>
        <v>1618 CT182 U-60 Ring</v>
      </c>
      <c r="D2070" s="306"/>
      <c r="E2070" s="421">
        <v>10</v>
      </c>
      <c r="F2070" s="421"/>
      <c r="G2070" s="417" t="s">
        <v>1837</v>
      </c>
      <c r="H2070" s="598">
        <v>14144626</v>
      </c>
      <c r="I2070" s="322" t="s">
        <v>1440</v>
      </c>
      <c r="J2070" s="418"/>
      <c r="K2070" s="248"/>
      <c r="M2070" s="366"/>
      <c r="AF2070">
        <v>10</v>
      </c>
    </row>
    <row r="2071" spans="1:32" x14ac:dyDescent="0.25">
      <c r="A2071" s="308">
        <v>45448</v>
      </c>
      <c r="B2071" s="416">
        <v>1220554</v>
      </c>
      <c r="C2071" s="413" t="str">
        <f>IFERROR(INDEX(Table14[],MATCH($B2071,Table14[SAPNo],0),3),"")</f>
        <v xml:space="preserve">1618 CT182 U-60 Carbide </v>
      </c>
      <c r="D2071" s="306"/>
      <c r="E2071" s="421">
        <v>10</v>
      </c>
      <c r="F2071" s="421"/>
      <c r="G2071" s="417" t="s">
        <v>1837</v>
      </c>
      <c r="H2071" s="598">
        <v>14144626</v>
      </c>
      <c r="I2071" s="322" t="s">
        <v>1440</v>
      </c>
      <c r="J2071" s="418"/>
      <c r="K2071" s="248"/>
      <c r="M2071" s="366"/>
      <c r="AF2071">
        <v>10</v>
      </c>
    </row>
    <row r="2072" spans="1:32" x14ac:dyDescent="0.25">
      <c r="A2072" s="308">
        <v>45448</v>
      </c>
      <c r="B2072" s="416">
        <v>1261319</v>
      </c>
      <c r="C2072" s="413" t="str">
        <f>IFERROR(INDEX(Table14[],MATCH($B2072,Table14[SAPNo],0),3),"")</f>
        <v>1308 CT155 U-60</v>
      </c>
      <c r="D2072" s="306"/>
      <c r="E2072" s="421">
        <v>24</v>
      </c>
      <c r="F2072" s="421"/>
      <c r="G2072" s="417" t="s">
        <v>1837</v>
      </c>
      <c r="H2072" s="598">
        <v>14144626</v>
      </c>
      <c r="I2072" s="322" t="s">
        <v>1440</v>
      </c>
      <c r="J2072" s="418"/>
      <c r="K2072" s="248"/>
      <c r="M2072" s="366"/>
      <c r="AF2072">
        <v>24</v>
      </c>
    </row>
    <row r="2073" spans="1:32" x14ac:dyDescent="0.25">
      <c r="A2073" s="308">
        <v>45448</v>
      </c>
      <c r="B2073" s="416">
        <v>1261320</v>
      </c>
      <c r="C2073" s="413" t="str">
        <f>IFERROR(INDEX(Table14[],MATCH($B2073,Table14[SAPNo],0),3),"")</f>
        <v>1313 CT155 U-60</v>
      </c>
      <c r="D2073" s="306"/>
      <c r="E2073" s="421">
        <v>6</v>
      </c>
      <c r="F2073" s="421"/>
      <c r="G2073" s="417" t="s">
        <v>1837</v>
      </c>
      <c r="H2073" s="598">
        <v>14144626</v>
      </c>
      <c r="I2073" s="322" t="s">
        <v>1440</v>
      </c>
      <c r="J2073" s="418"/>
      <c r="K2073" s="248"/>
      <c r="M2073" s="366"/>
      <c r="AF2073">
        <v>6</v>
      </c>
    </row>
    <row r="2074" spans="1:32" x14ac:dyDescent="0.25">
      <c r="A2074" s="308">
        <v>45448</v>
      </c>
      <c r="B2074" s="416">
        <v>871781</v>
      </c>
      <c r="C2074" s="413" t="str">
        <f>IFERROR(INDEX(Table14[],MATCH($B2074,Table14[SAPNo],0),3),"")</f>
        <v>Round 1313 CT200  0.018" (B)</v>
      </c>
      <c r="D2074" s="306"/>
      <c r="E2074" s="421">
        <v>6</v>
      </c>
      <c r="F2074" s="421"/>
      <c r="G2074" s="417" t="s">
        <v>1837</v>
      </c>
      <c r="H2074" s="598">
        <v>14144626</v>
      </c>
      <c r="I2074" s="322" t="s">
        <v>1440</v>
      </c>
      <c r="J2074" s="418"/>
      <c r="K2074" s="248"/>
      <c r="M2074" s="366"/>
      <c r="AF2074">
        <v>6</v>
      </c>
    </row>
    <row r="2075" spans="1:32" x14ac:dyDescent="0.25">
      <c r="A2075" s="308">
        <v>45448</v>
      </c>
      <c r="B2075" s="416">
        <v>1261321</v>
      </c>
      <c r="C2075" s="413" t="str">
        <f>IFERROR(INDEX(Table14[],MATCH($B2075,Table14[SAPNo],0),3),"")</f>
        <v>1613 CT155 U-60</v>
      </c>
      <c r="D2075" s="306"/>
      <c r="E2075" s="421">
        <v>4</v>
      </c>
      <c r="F2075" s="421"/>
      <c r="G2075" s="417" t="s">
        <v>1838</v>
      </c>
      <c r="H2075" s="598">
        <v>14167825</v>
      </c>
      <c r="I2075" s="322" t="s">
        <v>1440</v>
      </c>
      <c r="J2075" s="418"/>
      <c r="K2075" s="248"/>
      <c r="M2075" s="366"/>
      <c r="AF2075">
        <v>4</v>
      </c>
    </row>
    <row r="2076" spans="1:32" x14ac:dyDescent="0.25">
      <c r="A2076" s="308">
        <v>45448</v>
      </c>
      <c r="B2076" s="416">
        <v>1261319</v>
      </c>
      <c r="C2076" s="413" t="str">
        <f>IFERROR(INDEX(Table14[],MATCH($B2076,Table14[SAPNo],0),3),"")</f>
        <v>1308 CT155 U-60</v>
      </c>
      <c r="D2076" s="306"/>
      <c r="E2076" s="421">
        <v>24</v>
      </c>
      <c r="F2076" s="421"/>
      <c r="G2076" s="417" t="s">
        <v>1838</v>
      </c>
      <c r="H2076" s="598">
        <v>14167825</v>
      </c>
      <c r="I2076" s="322" t="s">
        <v>1440</v>
      </c>
      <c r="J2076" s="418"/>
      <c r="K2076" s="248"/>
      <c r="M2076" s="366"/>
      <c r="AF2076">
        <v>24</v>
      </c>
    </row>
    <row r="2077" spans="1:32" x14ac:dyDescent="0.25">
      <c r="A2077" s="308">
        <v>45448</v>
      </c>
      <c r="B2077" s="416">
        <v>1228503</v>
      </c>
      <c r="C2077" s="413" t="str">
        <f>IFERROR(INDEX(Table14[],MATCH($B2077,Table14[SAPNo],0),3),"")</f>
        <v>1618 CT182 U-60 Ring</v>
      </c>
      <c r="D2077" s="306"/>
      <c r="E2077" s="421">
        <v>10</v>
      </c>
      <c r="F2077" s="421"/>
      <c r="G2077" s="417" t="s">
        <v>1838</v>
      </c>
      <c r="H2077" s="598">
        <v>14167825</v>
      </c>
      <c r="I2077" s="322" t="s">
        <v>1440</v>
      </c>
      <c r="J2077" s="418"/>
      <c r="K2077" s="248"/>
      <c r="M2077" s="366"/>
      <c r="AF2077">
        <v>10</v>
      </c>
    </row>
    <row r="2078" spans="1:32" x14ac:dyDescent="0.25">
      <c r="A2078" s="308">
        <v>45448</v>
      </c>
      <c r="B2078" s="416">
        <v>1228502</v>
      </c>
      <c r="C2078" s="413" t="str">
        <f>IFERROR(INDEX(Table14[],MATCH($B2078,Table14[SAPNo],0),3),"")</f>
        <v>1618 CT182 U-60 Rotor</v>
      </c>
      <c r="D2078" s="306"/>
      <c r="E2078" s="421">
        <v>10</v>
      </c>
      <c r="F2078" s="421"/>
      <c r="G2078" s="417" t="s">
        <v>1838</v>
      </c>
      <c r="H2078" s="598">
        <v>14167825</v>
      </c>
      <c r="I2078" s="322" t="s">
        <v>1440</v>
      </c>
      <c r="J2078" s="418"/>
      <c r="K2078" s="248"/>
      <c r="M2078" s="366"/>
      <c r="AF2078">
        <v>10</v>
      </c>
    </row>
    <row r="2079" spans="1:32" x14ac:dyDescent="0.25">
      <c r="A2079" s="308">
        <v>45448</v>
      </c>
      <c r="B2079" s="416">
        <v>1228501</v>
      </c>
      <c r="C2079" s="413" t="str">
        <f>IFERROR(INDEX(Table14[],MATCH($B2079,Table14[SAPNo],0),3),"")</f>
        <v>1618 CT182 U-60 stator</v>
      </c>
      <c r="D2079" s="306"/>
      <c r="E2079" s="421">
        <v>10</v>
      </c>
      <c r="F2079" s="421"/>
      <c r="G2079" s="417" t="s">
        <v>1838</v>
      </c>
      <c r="H2079" s="598">
        <v>14167825</v>
      </c>
      <c r="I2079" s="322" t="s">
        <v>1440</v>
      </c>
      <c r="J2079" s="418"/>
      <c r="K2079" s="248"/>
      <c r="M2079" s="366"/>
      <c r="AF2079">
        <v>10</v>
      </c>
    </row>
    <row r="2080" spans="1:32" x14ac:dyDescent="0.25">
      <c r="A2080" s="308">
        <v>45448</v>
      </c>
      <c r="B2080" s="416">
        <v>1220554</v>
      </c>
      <c r="C2080" s="413" t="str">
        <f>IFERROR(INDEX(Table14[],MATCH($B2080,Table14[SAPNo],0),3),"")</f>
        <v xml:space="preserve">1618 CT182 U-60 Carbide </v>
      </c>
      <c r="D2080" s="306"/>
      <c r="E2080" s="421">
        <v>10</v>
      </c>
      <c r="F2080" s="421"/>
      <c r="G2080" s="417" t="s">
        <v>1838</v>
      </c>
      <c r="H2080" s="598">
        <v>14167825</v>
      </c>
      <c r="I2080" s="322" t="s">
        <v>1440</v>
      </c>
      <c r="J2080" s="418"/>
      <c r="K2080" s="248"/>
      <c r="M2080" s="366"/>
      <c r="AF2080">
        <v>10</v>
      </c>
    </row>
    <row r="2081" spans="1:32" x14ac:dyDescent="0.25">
      <c r="A2081" s="308">
        <v>45448</v>
      </c>
      <c r="B2081" s="416">
        <v>871781</v>
      </c>
      <c r="C2081" s="413" t="str">
        <f>IFERROR(INDEX(Table14[],MATCH($B2081,Table14[SAPNo],0),3),"")</f>
        <v>Round 1313 CT200  0.018" (B)</v>
      </c>
      <c r="D2081" s="306"/>
      <c r="E2081" s="421">
        <v>6</v>
      </c>
      <c r="F2081" s="421"/>
      <c r="G2081" s="417" t="s">
        <v>1838</v>
      </c>
      <c r="H2081" s="598">
        <v>14167825</v>
      </c>
      <c r="I2081" s="322" t="s">
        <v>1440</v>
      </c>
      <c r="J2081" s="418"/>
      <c r="K2081" s="248"/>
      <c r="M2081" s="366"/>
      <c r="AF2081">
        <v>6</v>
      </c>
    </row>
    <row r="2082" spans="1:32" x14ac:dyDescent="0.25">
      <c r="A2082" s="308">
        <v>45448</v>
      </c>
      <c r="B2082" s="416">
        <v>1261320</v>
      </c>
      <c r="C2082" s="413" t="str">
        <f>IFERROR(INDEX(Table14[],MATCH($B2082,Table14[SAPNo],0),3),"")</f>
        <v>1313 CT155 U-60</v>
      </c>
      <c r="D2082" s="306"/>
      <c r="E2082" s="421">
        <v>6</v>
      </c>
      <c r="F2082" s="421"/>
      <c r="G2082" s="417" t="s">
        <v>1838</v>
      </c>
      <c r="H2082" s="598">
        <v>14167825</v>
      </c>
      <c r="I2082" s="322" t="s">
        <v>1440</v>
      </c>
      <c r="J2082" s="418"/>
      <c r="K2082" s="248"/>
      <c r="M2082" s="366"/>
      <c r="AF2082">
        <v>6</v>
      </c>
    </row>
    <row r="2083" spans="1:32" x14ac:dyDescent="0.25">
      <c r="A2083" s="308">
        <v>45448</v>
      </c>
      <c r="B2083" s="416">
        <v>1078377</v>
      </c>
      <c r="C2083" s="413" t="str">
        <f>IFERROR(INDEX(Table14[],MATCH($B2083,Table14[SAPNo],0),3),"")</f>
        <v>13MM CT221 R1</v>
      </c>
      <c r="D2083" s="306"/>
      <c r="E2083" s="421">
        <v>15</v>
      </c>
      <c r="F2083" s="421"/>
      <c r="G2083" s="417" t="s">
        <v>1839</v>
      </c>
      <c r="H2083" s="598">
        <v>14178462</v>
      </c>
      <c r="I2083" s="322" t="s">
        <v>1516</v>
      </c>
      <c r="J2083" s="418"/>
      <c r="K2083" s="248"/>
      <c r="M2083" s="366"/>
      <c r="AF2083">
        <v>15</v>
      </c>
    </row>
    <row r="2084" spans="1:32" x14ac:dyDescent="0.25">
      <c r="A2084" s="308">
        <v>45448</v>
      </c>
      <c r="B2084" s="416">
        <v>1271790</v>
      </c>
      <c r="C2084" s="413" t="str">
        <f>IFERROR(INDEX(Table14[],MATCH($B2084,Table14[SAPNo],0),3),"")</f>
        <v xml:space="preserve">1613 CT170 18-60 </v>
      </c>
      <c r="D2084" s="306"/>
      <c r="E2084" s="421">
        <v>17</v>
      </c>
      <c r="F2084" s="421"/>
      <c r="G2084" s="417" t="s">
        <v>1839</v>
      </c>
      <c r="H2084" s="598">
        <v>14178462</v>
      </c>
      <c r="I2084" s="322" t="s">
        <v>1516</v>
      </c>
      <c r="J2084" s="418"/>
      <c r="K2084" s="248"/>
      <c r="M2084" s="366"/>
      <c r="AF2084">
        <v>17</v>
      </c>
    </row>
    <row r="2085" spans="1:32" x14ac:dyDescent="0.25">
      <c r="A2085" s="308">
        <v>45448</v>
      </c>
      <c r="B2085" s="416">
        <v>418525</v>
      </c>
      <c r="C2085" s="413" t="str">
        <f>IFERROR(INDEX(Table14[],MATCH($B2085,Table14[SAPNo],0),3),"")</f>
        <v>Drop In 1308 CT31   (B)</v>
      </c>
      <c r="D2085" s="306"/>
      <c r="E2085" s="421">
        <v>6</v>
      </c>
      <c r="F2085" s="421"/>
      <c r="G2085" s="417" t="s">
        <v>1839</v>
      </c>
      <c r="H2085" s="598">
        <v>14178462</v>
      </c>
      <c r="I2085" s="322" t="s">
        <v>1516</v>
      </c>
      <c r="J2085" s="418"/>
      <c r="K2085" s="248"/>
      <c r="M2085" s="366"/>
      <c r="AF2085">
        <v>6</v>
      </c>
    </row>
    <row r="2086" spans="1:32" x14ac:dyDescent="0.25">
      <c r="A2086" s="308">
        <v>45448</v>
      </c>
      <c r="B2086" s="416">
        <v>1208601</v>
      </c>
      <c r="C2086" s="413" t="str">
        <f>IFERROR(INDEX(Table14[],MATCH($B2086,Table14[SAPNo],0),3),"")</f>
        <v>1613 CT418 U-60</v>
      </c>
      <c r="D2086" s="306"/>
      <c r="E2086" s="421">
        <v>8</v>
      </c>
      <c r="F2086" s="421"/>
      <c r="G2086" s="417" t="s">
        <v>1839</v>
      </c>
      <c r="H2086" s="598">
        <v>14178462</v>
      </c>
      <c r="I2086" s="322" t="s">
        <v>1516</v>
      </c>
      <c r="J2086" s="418"/>
      <c r="K2086" s="248"/>
      <c r="M2086" s="366"/>
      <c r="AF2086">
        <v>8</v>
      </c>
    </row>
    <row r="2087" spans="1:32" x14ac:dyDescent="0.25">
      <c r="A2087" s="320">
        <v>45448</v>
      </c>
      <c r="B2087" s="419">
        <v>1146737</v>
      </c>
      <c r="C2087" s="413" t="str">
        <f>IFERROR(INDEX(Table14[],MATCH($B2087,Table14[SAPNo],0),3),"")</f>
        <v>1613 CT418 18-60</v>
      </c>
      <c r="D2087" s="306"/>
      <c r="E2087" s="421">
        <v>6</v>
      </c>
      <c r="F2087" s="421"/>
      <c r="G2087" s="420" t="s">
        <v>1839</v>
      </c>
      <c r="H2087" s="599">
        <v>14178462</v>
      </c>
      <c r="I2087" s="322" t="s">
        <v>1516</v>
      </c>
      <c r="J2087" s="421"/>
      <c r="K2087" s="422"/>
      <c r="M2087" s="473" t="s">
        <v>1840</v>
      </c>
      <c r="AF2087">
        <v>6</v>
      </c>
    </row>
    <row r="2088" spans="1:32" x14ac:dyDescent="0.25">
      <c r="A2088" s="308">
        <v>45449</v>
      </c>
      <c r="B2088" s="416">
        <v>871781</v>
      </c>
      <c r="C2088" s="413" t="str">
        <f>IFERROR(INDEX(Table14[],MATCH($B2088,Table14[SAPNo],0),3),"")</f>
        <v>Round 1313 CT200  0.018" (B)</v>
      </c>
      <c r="D2088" s="306"/>
      <c r="E2088" s="421">
        <v>5</v>
      </c>
      <c r="F2088" s="421"/>
      <c r="G2088" s="417" t="s">
        <v>1841</v>
      </c>
      <c r="H2088" s="598">
        <v>14178473</v>
      </c>
      <c r="I2088" s="322" t="s">
        <v>1463</v>
      </c>
      <c r="J2088" s="418"/>
      <c r="K2088" s="248"/>
      <c r="M2088" s="422"/>
      <c r="AF2088">
        <v>5</v>
      </c>
    </row>
    <row r="2089" spans="1:32" x14ac:dyDescent="0.25">
      <c r="A2089" s="308">
        <v>45449</v>
      </c>
      <c r="B2089" s="416">
        <v>1100751</v>
      </c>
      <c r="C2089" s="413" t="str">
        <f>IFERROR(INDEX(Table14[],MATCH($B2089,Table14[SAPNo],0),3),"")</f>
        <v>1313 CT421 0.018"</v>
      </c>
      <c r="D2089" s="306"/>
      <c r="E2089" s="421">
        <v>22</v>
      </c>
      <c r="F2089" s="421"/>
      <c r="G2089" s="417" t="s">
        <v>1841</v>
      </c>
      <c r="H2089" s="598">
        <v>14178473</v>
      </c>
      <c r="I2089" s="322" t="s">
        <v>1463</v>
      </c>
      <c r="J2089" s="418"/>
      <c r="K2089" s="248"/>
      <c r="M2089" s="366"/>
      <c r="AF2089">
        <v>22</v>
      </c>
    </row>
    <row r="2090" spans="1:32" x14ac:dyDescent="0.25">
      <c r="A2090" s="308">
        <v>45449</v>
      </c>
      <c r="B2090" s="416">
        <v>1146737</v>
      </c>
      <c r="C2090" s="413" t="str">
        <f>IFERROR(INDEX(Table14[],MATCH($B2090,Table14[SAPNo],0),3),"")</f>
        <v>1613 CT418 18-60</v>
      </c>
      <c r="D2090" s="306"/>
      <c r="E2090" s="421">
        <v>10</v>
      </c>
      <c r="F2090" s="421"/>
      <c r="G2090" s="417" t="s">
        <v>1841</v>
      </c>
      <c r="H2090" s="598">
        <v>14178473</v>
      </c>
      <c r="I2090" s="322" t="s">
        <v>1463</v>
      </c>
      <c r="J2090" s="418"/>
      <c r="K2090" s="248"/>
      <c r="M2090" s="366"/>
      <c r="AF2090">
        <v>10</v>
      </c>
    </row>
    <row r="2091" spans="1:32" x14ac:dyDescent="0.25">
      <c r="A2091" s="308">
        <v>45449</v>
      </c>
      <c r="B2091" s="416">
        <v>1271790</v>
      </c>
      <c r="C2091" s="413" t="str">
        <f>IFERROR(INDEX(Table14[],MATCH($B2091,Table14[SAPNo],0),3),"")</f>
        <v xml:space="preserve">1613 CT170 18-60 </v>
      </c>
      <c r="D2091" s="306"/>
      <c r="E2091" s="421">
        <v>30</v>
      </c>
      <c r="F2091" s="421"/>
      <c r="G2091" s="417" t="s">
        <v>1841</v>
      </c>
      <c r="H2091" s="598">
        <v>14178473</v>
      </c>
      <c r="I2091" s="322" t="s">
        <v>1463</v>
      </c>
      <c r="J2091" s="418"/>
      <c r="K2091" s="248"/>
      <c r="M2091" s="366"/>
      <c r="AF2091">
        <v>30</v>
      </c>
    </row>
    <row r="2092" spans="1:32" x14ac:dyDescent="0.25">
      <c r="A2092" s="308">
        <v>45449</v>
      </c>
      <c r="B2092" s="416">
        <v>1209410</v>
      </c>
      <c r="C2092" s="413" t="str">
        <f>IFERROR(INDEX(Table14[],MATCH($B2092,Table14[SAPNo],0),3),"")</f>
        <v>1613 CT430MV3 U TBO</v>
      </c>
      <c r="D2092" s="306"/>
      <c r="E2092" s="421">
        <v>10</v>
      </c>
      <c r="F2092" s="421"/>
      <c r="G2092" s="417" t="s">
        <v>1841</v>
      </c>
      <c r="H2092" s="598">
        <v>14178473</v>
      </c>
      <c r="I2092" s="322" t="s">
        <v>1463</v>
      </c>
      <c r="J2092" s="418"/>
      <c r="K2092" s="248"/>
      <c r="M2092" s="366"/>
      <c r="AF2092">
        <v>10</v>
      </c>
    </row>
    <row r="2093" spans="1:32" x14ac:dyDescent="0.25">
      <c r="A2093" s="308">
        <v>45449</v>
      </c>
      <c r="B2093" s="416">
        <v>871781</v>
      </c>
      <c r="C2093" s="413" t="str">
        <f>IFERROR(INDEX(Table14[],MATCH($B2093,Table14[SAPNo],0),3),"")</f>
        <v>Round 1313 CT200  0.018" (B)</v>
      </c>
      <c r="D2093" s="306"/>
      <c r="E2093" s="421">
        <v>6</v>
      </c>
      <c r="F2093" s="421"/>
      <c r="G2093" s="417" t="s">
        <v>1842</v>
      </c>
      <c r="H2093" s="598">
        <v>14198201</v>
      </c>
      <c r="I2093" s="322" t="s">
        <v>1788</v>
      </c>
      <c r="J2093" s="418"/>
      <c r="K2093" s="248"/>
      <c r="M2093" s="366"/>
      <c r="AF2093">
        <v>6</v>
      </c>
    </row>
    <row r="2094" spans="1:32" x14ac:dyDescent="0.25">
      <c r="A2094" s="308">
        <v>45449</v>
      </c>
      <c r="B2094" s="416">
        <v>647435</v>
      </c>
      <c r="C2094" s="413" t="str">
        <f>IFERROR(INDEX(Table14[],MATCH($B2094,Table14[SAPNo],0),3),"")</f>
        <v>Round 1608 CT200  0.018" (B)</v>
      </c>
      <c r="D2094" s="306"/>
      <c r="E2094" s="421">
        <v>23</v>
      </c>
      <c r="F2094" s="421"/>
      <c r="G2094" s="417" t="s">
        <v>1842</v>
      </c>
      <c r="H2094" s="598">
        <v>14198201</v>
      </c>
      <c r="I2094" s="322" t="s">
        <v>1788</v>
      </c>
      <c r="J2094" s="418"/>
      <c r="K2094" s="248"/>
      <c r="M2094" s="366"/>
      <c r="AF2094">
        <v>23</v>
      </c>
    </row>
    <row r="2095" spans="1:32" x14ac:dyDescent="0.25">
      <c r="A2095" s="308">
        <v>45449</v>
      </c>
      <c r="B2095" s="416">
        <v>1100755</v>
      </c>
      <c r="C2095" s="413" t="str">
        <f>IFERROR(INDEX(Table14[],MATCH($B2095,Table14[SAPNo],0),3),"")</f>
        <v>Round 1613 CT421  0.018" (S)</v>
      </c>
      <c r="D2095" s="306"/>
      <c r="E2095" s="421">
        <v>33</v>
      </c>
      <c r="F2095" s="421"/>
      <c r="G2095" s="417" t="s">
        <v>1842</v>
      </c>
      <c r="H2095" s="598">
        <v>14198201</v>
      </c>
      <c r="I2095" s="322" t="s">
        <v>1788</v>
      </c>
      <c r="J2095" s="418"/>
      <c r="K2095" s="248"/>
      <c r="M2095" s="366"/>
      <c r="AF2095">
        <v>33</v>
      </c>
    </row>
    <row r="2096" spans="1:32" x14ac:dyDescent="0.25">
      <c r="A2096" s="308">
        <v>45449</v>
      </c>
      <c r="B2096" s="416">
        <v>1228503</v>
      </c>
      <c r="C2096" s="413" t="str">
        <f>IFERROR(INDEX(Table14[],MATCH($B2096,Table14[SAPNo],0),3),"")</f>
        <v>1618 CT182 U-60 Ring</v>
      </c>
      <c r="D2096" s="306"/>
      <c r="E2096" s="421">
        <v>11</v>
      </c>
      <c r="F2096" s="421"/>
      <c r="G2096" s="417" t="s">
        <v>1843</v>
      </c>
      <c r="H2096" s="598">
        <v>14167826</v>
      </c>
      <c r="I2096" s="322" t="s">
        <v>1440</v>
      </c>
      <c r="J2096" s="418"/>
      <c r="K2096" s="248"/>
      <c r="M2096" s="366"/>
      <c r="AF2096">
        <v>11</v>
      </c>
    </row>
    <row r="2097" spans="1:32" x14ac:dyDescent="0.25">
      <c r="A2097" s="308">
        <v>45449</v>
      </c>
      <c r="B2097" s="416">
        <v>1228502</v>
      </c>
      <c r="C2097" s="413" t="str">
        <f>IFERROR(INDEX(Table14[],MATCH($B2097,Table14[SAPNo],0),3),"")</f>
        <v>1618 CT182 U-60 Rotor</v>
      </c>
      <c r="D2097" s="306"/>
      <c r="E2097" s="421">
        <v>10</v>
      </c>
      <c r="F2097" s="421"/>
      <c r="G2097" s="417" t="s">
        <v>1843</v>
      </c>
      <c r="H2097" s="598">
        <v>14167826</v>
      </c>
      <c r="I2097" s="322" t="s">
        <v>1440</v>
      </c>
      <c r="J2097" s="418"/>
      <c r="K2097" s="248"/>
      <c r="M2097" s="366"/>
      <c r="AF2097">
        <v>10</v>
      </c>
    </row>
    <row r="2098" spans="1:32" x14ac:dyDescent="0.25">
      <c r="A2098" s="308">
        <v>45449</v>
      </c>
      <c r="B2098" s="416">
        <v>1220554</v>
      </c>
      <c r="C2098" s="413" t="str">
        <f>IFERROR(INDEX(Table14[],MATCH($B2098,Table14[SAPNo],0),3),"")</f>
        <v xml:space="preserve">1618 CT182 U-60 Carbide </v>
      </c>
      <c r="D2098" s="306"/>
      <c r="E2098" s="421">
        <v>10</v>
      </c>
      <c r="F2098" s="421"/>
      <c r="G2098" s="417" t="s">
        <v>1843</v>
      </c>
      <c r="H2098" s="598">
        <v>14167826</v>
      </c>
      <c r="I2098" s="322" t="s">
        <v>1440</v>
      </c>
      <c r="J2098" s="418"/>
      <c r="K2098" s="248"/>
      <c r="M2098" s="366"/>
      <c r="AF2098">
        <v>10</v>
      </c>
    </row>
    <row r="2099" spans="1:32" x14ac:dyDescent="0.25">
      <c r="A2099" s="308">
        <v>45449</v>
      </c>
      <c r="B2099" s="416">
        <v>871781</v>
      </c>
      <c r="C2099" s="413" t="str">
        <f>IFERROR(INDEX(Table14[],MATCH($B2099,Table14[SAPNo],0),3),"")</f>
        <v>Round 1313 CT200  0.018" (B)</v>
      </c>
      <c r="D2099" s="306"/>
      <c r="E2099" s="421">
        <v>6</v>
      </c>
      <c r="F2099" s="421"/>
      <c r="G2099" s="417" t="s">
        <v>1843</v>
      </c>
      <c r="H2099" s="598">
        <v>14167826</v>
      </c>
      <c r="I2099" s="322" t="s">
        <v>1440</v>
      </c>
      <c r="J2099" s="418"/>
      <c r="K2099" s="248"/>
      <c r="M2099" s="366"/>
      <c r="AF2099">
        <v>6</v>
      </c>
    </row>
    <row r="2100" spans="1:32" x14ac:dyDescent="0.25">
      <c r="A2100" s="308">
        <v>45449</v>
      </c>
      <c r="B2100" s="416">
        <v>1261319</v>
      </c>
      <c r="C2100" s="413" t="str">
        <f>IFERROR(INDEX(Table14[],MATCH($B2100,Table14[SAPNo],0),3),"")</f>
        <v>1308 CT155 U-60</v>
      </c>
      <c r="D2100" s="306"/>
      <c r="E2100" s="421">
        <v>24</v>
      </c>
      <c r="F2100" s="421"/>
      <c r="G2100" s="417" t="s">
        <v>1843</v>
      </c>
      <c r="H2100" s="598">
        <v>14167826</v>
      </c>
      <c r="I2100" s="322" t="s">
        <v>1440</v>
      </c>
      <c r="J2100" s="418"/>
      <c r="K2100" s="248"/>
      <c r="M2100" s="366"/>
      <c r="AF2100">
        <v>24</v>
      </c>
    </row>
    <row r="2101" spans="1:32" x14ac:dyDescent="0.25">
      <c r="A2101" s="308">
        <v>45449</v>
      </c>
      <c r="B2101" s="416">
        <v>1261320</v>
      </c>
      <c r="C2101" s="413" t="str">
        <f>IFERROR(INDEX(Table14[],MATCH($B2101,Table14[SAPNo],0),3),"")</f>
        <v>1313 CT155 U-60</v>
      </c>
      <c r="D2101" s="306"/>
      <c r="E2101" s="421">
        <v>6</v>
      </c>
      <c r="F2101" s="421"/>
      <c r="G2101" s="417" t="s">
        <v>1843</v>
      </c>
      <c r="H2101" s="598">
        <v>14167826</v>
      </c>
      <c r="I2101" s="322" t="s">
        <v>1440</v>
      </c>
      <c r="J2101" s="418"/>
      <c r="K2101" s="248"/>
      <c r="M2101" s="366"/>
      <c r="AF2101">
        <v>6</v>
      </c>
    </row>
    <row r="2102" spans="1:32" x14ac:dyDescent="0.25">
      <c r="A2102" s="308">
        <v>45449</v>
      </c>
      <c r="B2102" s="416">
        <v>1261321</v>
      </c>
      <c r="C2102" s="413" t="str">
        <f>IFERROR(INDEX(Table14[],MATCH($B2102,Table14[SAPNo],0),3),"")</f>
        <v>1613 CT155 U-60</v>
      </c>
      <c r="D2102" s="306"/>
      <c r="E2102" s="421">
        <v>4</v>
      </c>
      <c r="F2102" s="421"/>
      <c r="G2102" s="417" t="s">
        <v>1843</v>
      </c>
      <c r="H2102" s="598">
        <v>14167826</v>
      </c>
      <c r="I2102" s="322" t="s">
        <v>1440</v>
      </c>
      <c r="J2102" s="418"/>
      <c r="K2102" s="248"/>
      <c r="M2102" s="366"/>
      <c r="AF2102">
        <v>4</v>
      </c>
    </row>
    <row r="2103" spans="1:32" x14ac:dyDescent="0.25">
      <c r="A2103" s="308">
        <v>45449</v>
      </c>
      <c r="B2103" s="416">
        <v>1228501</v>
      </c>
      <c r="C2103" s="413" t="str">
        <f>IFERROR(INDEX(Table14[],MATCH($B2103,Table14[SAPNo],0),3),"")</f>
        <v>1618 CT182 U-60 stator</v>
      </c>
      <c r="D2103" s="306"/>
      <c r="E2103" s="421">
        <v>10</v>
      </c>
      <c r="F2103" s="421"/>
      <c r="G2103" s="417" t="s">
        <v>1843</v>
      </c>
      <c r="H2103" s="598">
        <v>14167826</v>
      </c>
      <c r="I2103" s="322" t="s">
        <v>1440</v>
      </c>
      <c r="J2103" s="418"/>
      <c r="K2103" s="248"/>
      <c r="M2103" s="366"/>
      <c r="AF2103">
        <v>10</v>
      </c>
    </row>
    <row r="2104" spans="1:32" x14ac:dyDescent="0.25">
      <c r="A2104" s="308">
        <v>45449</v>
      </c>
      <c r="B2104" s="416">
        <v>1078377</v>
      </c>
      <c r="C2104" s="413" t="str">
        <f>IFERROR(INDEX(Table14[],MATCH($B2104,Table14[SAPNo],0),3),"")</f>
        <v>13MM CT221 R1</v>
      </c>
      <c r="D2104" s="306"/>
      <c r="E2104" s="421">
        <v>15</v>
      </c>
      <c r="F2104" s="421"/>
      <c r="G2104" s="417" t="s">
        <v>1844</v>
      </c>
      <c r="H2104" s="598">
        <v>14178464</v>
      </c>
      <c r="I2104" s="322" t="s">
        <v>1516</v>
      </c>
      <c r="J2104" s="418"/>
      <c r="K2104" s="248"/>
      <c r="M2104" s="366"/>
      <c r="AF2104">
        <v>15</v>
      </c>
    </row>
    <row r="2105" spans="1:32" x14ac:dyDescent="0.25">
      <c r="A2105" s="308">
        <v>45449</v>
      </c>
      <c r="B2105" s="416">
        <v>1208601</v>
      </c>
      <c r="C2105" s="413" t="str">
        <f>IFERROR(INDEX(Table14[],MATCH($B2105,Table14[SAPNo],0),3),"")</f>
        <v>1613 CT418 U-60</v>
      </c>
      <c r="D2105" s="306"/>
      <c r="E2105" s="421">
        <v>8</v>
      </c>
      <c r="F2105" s="421"/>
      <c r="G2105" s="417" t="s">
        <v>1844</v>
      </c>
      <c r="H2105" s="598">
        <v>14178464</v>
      </c>
      <c r="I2105" s="322" t="s">
        <v>1516</v>
      </c>
      <c r="J2105" s="418"/>
      <c r="K2105" s="248"/>
      <c r="M2105" s="366"/>
      <c r="AF2105">
        <v>8</v>
      </c>
    </row>
    <row r="2106" spans="1:32" x14ac:dyDescent="0.25">
      <c r="A2106" s="308">
        <v>45449</v>
      </c>
      <c r="B2106" s="416">
        <v>1146737</v>
      </c>
      <c r="C2106" s="413" t="str">
        <f>IFERROR(INDEX(Table14[],MATCH($B2106,Table14[SAPNo],0),3),"")</f>
        <v>1613 CT418 18-60</v>
      </c>
      <c r="D2106" s="306"/>
      <c r="E2106" s="421">
        <v>6</v>
      </c>
      <c r="F2106" s="421"/>
      <c r="G2106" s="417" t="s">
        <v>1844</v>
      </c>
      <c r="H2106" s="598">
        <v>14178464</v>
      </c>
      <c r="I2106" s="322" t="s">
        <v>1516</v>
      </c>
      <c r="J2106" s="418"/>
      <c r="K2106" s="248"/>
      <c r="M2106" s="366"/>
      <c r="AF2106">
        <v>6</v>
      </c>
    </row>
    <row r="2107" spans="1:32" x14ac:dyDescent="0.25">
      <c r="A2107" s="308">
        <v>45449</v>
      </c>
      <c r="B2107" s="416">
        <v>1271790</v>
      </c>
      <c r="C2107" s="413" t="str">
        <f>IFERROR(INDEX(Table14[],MATCH($B2107,Table14[SAPNo],0),3),"")</f>
        <v xml:space="preserve">1613 CT170 18-60 </v>
      </c>
      <c r="D2107" s="306"/>
      <c r="E2107" s="421">
        <v>17</v>
      </c>
      <c r="F2107" s="421"/>
      <c r="G2107" s="417" t="s">
        <v>1844</v>
      </c>
      <c r="H2107" s="598">
        <v>14178464</v>
      </c>
      <c r="I2107" s="322" t="s">
        <v>1516</v>
      </c>
      <c r="J2107" s="418"/>
      <c r="K2107" s="248"/>
      <c r="M2107" s="366"/>
      <c r="AF2107">
        <v>17</v>
      </c>
    </row>
    <row r="2108" spans="1:32" x14ac:dyDescent="0.25">
      <c r="A2108" s="308">
        <v>45449</v>
      </c>
      <c r="B2108" s="416">
        <v>418525</v>
      </c>
      <c r="C2108" s="413" t="str">
        <f>IFERROR(INDEX(Table14[],MATCH($B2108,Table14[SAPNo],0),3),"")</f>
        <v>Drop In 1308 CT31   (B)</v>
      </c>
      <c r="D2108" s="306"/>
      <c r="E2108" s="421">
        <v>6</v>
      </c>
      <c r="F2108" s="421"/>
      <c r="G2108" s="417" t="s">
        <v>1844</v>
      </c>
      <c r="H2108" s="598">
        <v>14178464</v>
      </c>
      <c r="I2108" s="322" t="s">
        <v>1516</v>
      </c>
      <c r="J2108" s="418"/>
      <c r="K2108" s="248"/>
      <c r="M2108" s="366"/>
      <c r="AF2108">
        <v>6</v>
      </c>
    </row>
    <row r="2109" spans="1:32" x14ac:dyDescent="0.25">
      <c r="A2109" s="308">
        <v>45449</v>
      </c>
      <c r="B2109" s="416">
        <v>1208601</v>
      </c>
      <c r="C2109" s="413" t="str">
        <f>IFERROR(INDEX(Table14[],MATCH($B2109,Table14[SAPNo],0),3),"")</f>
        <v>1613 CT418 U-60</v>
      </c>
      <c r="D2109" s="306"/>
      <c r="E2109" s="421">
        <v>8</v>
      </c>
      <c r="F2109" s="421"/>
      <c r="G2109" s="417" t="s">
        <v>1845</v>
      </c>
      <c r="H2109" s="598">
        <v>14178470</v>
      </c>
      <c r="I2109" s="322" t="s">
        <v>1516</v>
      </c>
      <c r="J2109" s="418"/>
      <c r="K2109" s="248"/>
      <c r="M2109" s="366"/>
      <c r="AF2109">
        <v>8</v>
      </c>
    </row>
    <row r="2110" spans="1:32" x14ac:dyDescent="0.25">
      <c r="A2110" s="308">
        <v>45449</v>
      </c>
      <c r="B2110" s="416">
        <v>1146737</v>
      </c>
      <c r="C2110" s="413" t="str">
        <f>IFERROR(INDEX(Table14[],MATCH($B2110,Table14[SAPNo],0),3),"")</f>
        <v>1613 CT418 18-60</v>
      </c>
      <c r="D2110" s="306"/>
      <c r="E2110" s="421">
        <v>6</v>
      </c>
      <c r="F2110" s="421"/>
      <c r="G2110" s="417" t="s">
        <v>1845</v>
      </c>
      <c r="H2110" s="598">
        <v>14178470</v>
      </c>
      <c r="I2110" s="322" t="s">
        <v>1516</v>
      </c>
      <c r="J2110" s="418"/>
      <c r="K2110" s="248"/>
      <c r="M2110" s="366"/>
      <c r="AF2110">
        <v>6</v>
      </c>
    </row>
    <row r="2111" spans="1:32" x14ac:dyDescent="0.25">
      <c r="A2111" s="308">
        <v>45449</v>
      </c>
      <c r="B2111" s="416">
        <v>1271790</v>
      </c>
      <c r="C2111" s="413" t="str">
        <f>IFERROR(INDEX(Table14[],MATCH($B2111,Table14[SAPNo],0),3),"")</f>
        <v xml:space="preserve">1613 CT170 18-60 </v>
      </c>
      <c r="D2111" s="306"/>
      <c r="E2111" s="421">
        <v>17</v>
      </c>
      <c r="F2111" s="421"/>
      <c r="G2111" s="417" t="s">
        <v>1845</v>
      </c>
      <c r="H2111" s="598">
        <v>14178470</v>
      </c>
      <c r="I2111" s="322" t="s">
        <v>1516</v>
      </c>
      <c r="J2111" s="418"/>
      <c r="K2111" s="248"/>
      <c r="M2111" s="366"/>
      <c r="AF2111">
        <v>17</v>
      </c>
    </row>
    <row r="2112" spans="1:32" x14ac:dyDescent="0.25">
      <c r="A2112" s="308">
        <v>45449</v>
      </c>
      <c r="B2112" s="416">
        <v>418525</v>
      </c>
      <c r="C2112" s="413" t="str">
        <f>IFERROR(INDEX(Table14[],MATCH($B2112,Table14[SAPNo],0),3),"")</f>
        <v>Drop In 1308 CT31   (B)</v>
      </c>
      <c r="D2112" s="306"/>
      <c r="E2112" s="421">
        <v>6</v>
      </c>
      <c r="F2112" s="421"/>
      <c r="G2112" s="417" t="s">
        <v>1845</v>
      </c>
      <c r="H2112" s="598">
        <v>14178470</v>
      </c>
      <c r="I2112" s="322" t="s">
        <v>1516</v>
      </c>
      <c r="J2112" s="418"/>
      <c r="K2112" s="248"/>
      <c r="M2112" s="366"/>
      <c r="AF2112">
        <v>6</v>
      </c>
    </row>
    <row r="2113" spans="1:32" x14ac:dyDescent="0.25">
      <c r="A2113" s="308">
        <v>45449</v>
      </c>
      <c r="B2113" s="416">
        <v>1078377</v>
      </c>
      <c r="C2113" s="413" t="str">
        <f>IFERROR(INDEX(Table14[],MATCH($B2113,Table14[SAPNo],0),3),"")</f>
        <v>13MM CT221 R1</v>
      </c>
      <c r="D2113" s="306"/>
      <c r="E2113" s="421">
        <v>15</v>
      </c>
      <c r="F2113" s="421"/>
      <c r="G2113" s="417" t="s">
        <v>1845</v>
      </c>
      <c r="H2113" s="598">
        <v>14178470</v>
      </c>
      <c r="I2113" s="322" t="s">
        <v>1516</v>
      </c>
      <c r="J2113" s="418"/>
      <c r="K2113" s="248"/>
      <c r="M2113" s="366"/>
      <c r="AF2113">
        <v>15</v>
      </c>
    </row>
    <row r="2114" spans="1:32" x14ac:dyDescent="0.25">
      <c r="A2114" s="308">
        <v>45450</v>
      </c>
      <c r="B2114" s="416">
        <v>1100696</v>
      </c>
      <c r="C2114" s="413" t="str">
        <f>IFERROR(INDEX(Table14[],MATCH($B2114,Table14[SAPNo],0),3),"")</f>
        <v>Round 1313 CT418  10C (S)</v>
      </c>
      <c r="D2114" s="306"/>
      <c r="E2114" s="421">
        <v>16</v>
      </c>
      <c r="F2114" s="421"/>
      <c r="G2114" s="417" t="s">
        <v>1846</v>
      </c>
      <c r="H2114" s="598">
        <v>14178454</v>
      </c>
      <c r="I2114" s="322" t="s">
        <v>1847</v>
      </c>
      <c r="J2114" s="418"/>
      <c r="K2114" s="248"/>
      <c r="M2114" s="366"/>
      <c r="AF2114">
        <v>16</v>
      </c>
    </row>
    <row r="2115" spans="1:32" x14ac:dyDescent="0.25">
      <c r="A2115" s="308">
        <v>45450</v>
      </c>
      <c r="B2115" s="416">
        <v>418525</v>
      </c>
      <c r="C2115" s="413" t="str">
        <f>IFERROR(INDEX(Table14[],MATCH($B2115,Table14[SAPNo],0),3),"")</f>
        <v>Drop In 1308 CT31   (B)</v>
      </c>
      <c r="D2115" s="306"/>
      <c r="E2115" s="421">
        <v>10</v>
      </c>
      <c r="F2115" s="421"/>
      <c r="G2115" s="417" t="s">
        <v>1846</v>
      </c>
      <c r="H2115" s="598">
        <v>14178454</v>
      </c>
      <c r="I2115" s="322" t="s">
        <v>1847</v>
      </c>
      <c r="J2115" s="418"/>
      <c r="K2115" s="248"/>
      <c r="M2115" s="366"/>
      <c r="AF2115">
        <v>10</v>
      </c>
    </row>
    <row r="2116" spans="1:32" x14ac:dyDescent="0.25">
      <c r="A2116" s="320">
        <v>45450</v>
      </c>
      <c r="B2116" s="419">
        <v>1219561</v>
      </c>
      <c r="C2116" s="413" t="str">
        <f>IFERROR(INDEX(Table14[],MATCH($B2116,Table14[SAPNo],0),3),"")</f>
        <v>1313 CT147R U</v>
      </c>
      <c r="D2116" s="306"/>
      <c r="E2116" s="421">
        <v>7</v>
      </c>
      <c r="F2116" s="421"/>
      <c r="G2116" s="420" t="s">
        <v>1846</v>
      </c>
      <c r="H2116" s="599">
        <v>14178454</v>
      </c>
      <c r="I2116" s="322" t="s">
        <v>1847</v>
      </c>
      <c r="J2116" s="421"/>
      <c r="K2116" s="422"/>
      <c r="M2116" s="366"/>
      <c r="AF2116">
        <v>7</v>
      </c>
    </row>
    <row r="2117" spans="1:32" x14ac:dyDescent="0.25">
      <c r="A2117" s="308">
        <v>45452</v>
      </c>
      <c r="B2117" s="416">
        <v>1145493</v>
      </c>
      <c r="C2117" s="413" t="str">
        <f>IFERROR(INDEX(Table14[],MATCH($B2117,Table14[SAPNo],0),3),"")</f>
        <v>Round 1313 CT427  10C (S)</v>
      </c>
      <c r="D2117" s="306"/>
      <c r="E2117" s="421"/>
      <c r="F2117" s="421"/>
      <c r="G2117" s="417">
        <v>20241068</v>
      </c>
      <c r="H2117" s="598" t="s">
        <v>1848</v>
      </c>
      <c r="I2117" s="322" t="s">
        <v>1849</v>
      </c>
      <c r="J2117" s="418">
        <v>9</v>
      </c>
      <c r="K2117" s="248"/>
      <c r="M2117" s="422"/>
    </row>
    <row r="2118" spans="1:32" x14ac:dyDescent="0.25">
      <c r="A2118" s="308">
        <v>45452</v>
      </c>
      <c r="B2118" s="416">
        <v>1145493</v>
      </c>
      <c r="C2118" s="413" t="str">
        <f>IFERROR(INDEX(Table14[],MATCH($B2118,Table14[SAPNo],0),3),"")</f>
        <v>Round 1313 CT427  10C (S)</v>
      </c>
      <c r="D2118" s="306"/>
      <c r="E2118" s="421"/>
      <c r="F2118" s="421"/>
      <c r="G2118" s="417">
        <v>20241072</v>
      </c>
      <c r="H2118" s="598" t="s">
        <v>1850</v>
      </c>
      <c r="I2118" s="322" t="s">
        <v>1282</v>
      </c>
      <c r="J2118" s="418">
        <v>7</v>
      </c>
      <c r="K2118" s="248"/>
      <c r="M2118" s="366"/>
    </row>
    <row r="2119" spans="1:32" x14ac:dyDescent="0.25">
      <c r="A2119" s="308">
        <v>45452</v>
      </c>
      <c r="B2119" s="416">
        <v>1271790</v>
      </c>
      <c r="C2119" s="413" t="str">
        <f>IFERROR(INDEX(Table14[],MATCH($B2119,Table14[SAPNo],0),3),"")</f>
        <v xml:space="preserve">1613 CT170 18-60 </v>
      </c>
      <c r="D2119" s="306"/>
      <c r="E2119" s="421">
        <v>53</v>
      </c>
      <c r="F2119" s="421"/>
      <c r="G2119" s="417" t="s">
        <v>1851</v>
      </c>
      <c r="H2119" s="598">
        <v>13925590</v>
      </c>
      <c r="I2119" s="322" t="s">
        <v>1255</v>
      </c>
      <c r="J2119" s="418"/>
      <c r="K2119" s="248"/>
      <c r="M2119" s="366"/>
      <c r="AF2119">
        <v>53</v>
      </c>
    </row>
    <row r="2120" spans="1:32" x14ac:dyDescent="0.25">
      <c r="A2120" s="308">
        <v>45452</v>
      </c>
      <c r="B2120" s="416">
        <v>1146737</v>
      </c>
      <c r="C2120" s="413" t="str">
        <f>IFERROR(INDEX(Table14[],MATCH($B2120,Table14[SAPNo],0),3),"")</f>
        <v>1613 CT418 18-60</v>
      </c>
      <c r="D2120" s="306"/>
      <c r="E2120" s="421">
        <v>39</v>
      </c>
      <c r="F2120" s="421"/>
      <c r="G2120" s="417" t="s">
        <v>1851</v>
      </c>
      <c r="H2120" s="598">
        <v>13925590</v>
      </c>
      <c r="I2120" s="322" t="s">
        <v>1255</v>
      </c>
      <c r="J2120" s="418"/>
      <c r="K2120" s="248"/>
      <c r="M2120" s="366"/>
      <c r="AF2120">
        <v>39</v>
      </c>
    </row>
    <row r="2121" spans="1:32" x14ac:dyDescent="0.25">
      <c r="A2121" s="308">
        <v>45452</v>
      </c>
      <c r="B2121" s="416">
        <v>418525</v>
      </c>
      <c r="C2121" s="413" t="str">
        <f>IFERROR(INDEX(Table14[],MATCH($B2121,Table14[SAPNo],0),3),"")</f>
        <v>Drop In 1308 CT31   (B)</v>
      </c>
      <c r="D2121" s="306"/>
      <c r="E2121" s="421">
        <v>6</v>
      </c>
      <c r="F2121" s="421"/>
      <c r="G2121" s="417" t="s">
        <v>1852</v>
      </c>
      <c r="H2121" s="598">
        <v>14178465</v>
      </c>
      <c r="I2121" s="322" t="s">
        <v>1516</v>
      </c>
      <c r="J2121" s="418"/>
      <c r="K2121" s="248"/>
      <c r="M2121" s="366"/>
      <c r="AF2121">
        <v>6</v>
      </c>
    </row>
    <row r="2122" spans="1:32" x14ac:dyDescent="0.25">
      <c r="A2122" s="308">
        <v>45452</v>
      </c>
      <c r="B2122" s="416">
        <v>1271790</v>
      </c>
      <c r="C2122" s="413" t="str">
        <f>IFERROR(INDEX(Table14[],MATCH($B2122,Table14[SAPNo],0),3),"")</f>
        <v xml:space="preserve">1613 CT170 18-60 </v>
      </c>
      <c r="D2122" s="306"/>
      <c r="E2122" s="421">
        <v>17</v>
      </c>
      <c r="F2122" s="421"/>
      <c r="G2122" s="417" t="s">
        <v>1852</v>
      </c>
      <c r="H2122" s="598">
        <v>14178465</v>
      </c>
      <c r="I2122" s="322" t="s">
        <v>1516</v>
      </c>
      <c r="J2122" s="418"/>
      <c r="K2122" s="248"/>
      <c r="M2122" s="366"/>
      <c r="AF2122">
        <v>17</v>
      </c>
    </row>
    <row r="2123" spans="1:32" x14ac:dyDescent="0.25">
      <c r="A2123" s="308">
        <v>45452</v>
      </c>
      <c r="B2123" s="416">
        <v>1208601</v>
      </c>
      <c r="C2123" s="413" t="str">
        <f>IFERROR(INDEX(Table14[],MATCH($B2123,Table14[SAPNo],0),3),"")</f>
        <v>1613 CT418 U-60</v>
      </c>
      <c r="D2123" s="306"/>
      <c r="E2123" s="421">
        <v>8</v>
      </c>
      <c r="F2123" s="421"/>
      <c r="G2123" s="417" t="s">
        <v>1852</v>
      </c>
      <c r="H2123" s="598">
        <v>14178465</v>
      </c>
      <c r="I2123" s="322" t="s">
        <v>1516</v>
      </c>
      <c r="J2123" s="418"/>
      <c r="K2123" s="248"/>
      <c r="M2123" s="366"/>
      <c r="AF2123">
        <v>8</v>
      </c>
    </row>
    <row r="2124" spans="1:32" x14ac:dyDescent="0.25">
      <c r="A2124" s="308">
        <v>45452</v>
      </c>
      <c r="B2124" s="416">
        <v>1146737</v>
      </c>
      <c r="C2124" s="413" t="str">
        <f>IFERROR(INDEX(Table14[],MATCH($B2124,Table14[SAPNo],0),3),"")</f>
        <v>1613 CT418 18-60</v>
      </c>
      <c r="D2124" s="306"/>
      <c r="E2124" s="421">
        <v>6</v>
      </c>
      <c r="F2124" s="421"/>
      <c r="G2124" s="417" t="s">
        <v>1852</v>
      </c>
      <c r="H2124" s="598">
        <v>14178465</v>
      </c>
      <c r="I2124" s="322" t="s">
        <v>1516</v>
      </c>
      <c r="J2124" s="418"/>
      <c r="K2124" s="248"/>
      <c r="M2124" s="366"/>
      <c r="AF2124">
        <v>6</v>
      </c>
    </row>
    <row r="2125" spans="1:32" x14ac:dyDescent="0.25">
      <c r="A2125" s="308">
        <v>45452</v>
      </c>
      <c r="B2125" s="416">
        <v>1078377</v>
      </c>
      <c r="C2125" s="413" t="str">
        <f>IFERROR(INDEX(Table14[],MATCH($B2125,Table14[SAPNo],0),3),"")</f>
        <v>13MM CT221 R1</v>
      </c>
      <c r="D2125" s="306"/>
      <c r="E2125" s="421">
        <v>15</v>
      </c>
      <c r="F2125" s="421"/>
      <c r="G2125" s="417" t="s">
        <v>1852</v>
      </c>
      <c r="H2125" s="598">
        <v>14178465</v>
      </c>
      <c r="I2125" s="322" t="s">
        <v>1516</v>
      </c>
      <c r="J2125" s="418"/>
      <c r="K2125" s="248"/>
      <c r="M2125" s="366"/>
      <c r="AF2125">
        <v>15</v>
      </c>
    </row>
    <row r="2126" spans="1:32" x14ac:dyDescent="0.25">
      <c r="A2126" s="308">
        <v>45452</v>
      </c>
      <c r="B2126" s="416">
        <v>418525</v>
      </c>
      <c r="C2126" s="413" t="str">
        <f>IFERROR(INDEX(Table14[],MATCH($B2126,Table14[SAPNo],0),3),"")</f>
        <v>Drop In 1308 CT31   (B)</v>
      </c>
      <c r="D2126" s="306"/>
      <c r="E2126" s="421">
        <v>10</v>
      </c>
      <c r="F2126" s="421"/>
      <c r="G2126" s="417" t="s">
        <v>1853</v>
      </c>
      <c r="H2126" s="598">
        <v>14190154</v>
      </c>
      <c r="I2126" s="322" t="s">
        <v>1854</v>
      </c>
      <c r="J2126" s="418"/>
      <c r="K2126" s="248"/>
      <c r="M2126" s="366"/>
      <c r="AF2126">
        <v>10</v>
      </c>
    </row>
    <row r="2127" spans="1:32" x14ac:dyDescent="0.25">
      <c r="A2127" s="308">
        <v>45452</v>
      </c>
      <c r="B2127" s="416">
        <v>1146346</v>
      </c>
      <c r="C2127" s="413" t="str">
        <f>IFERROR(INDEX(Table14[],MATCH($B2127,Table14[SAPNo],0),3),"")</f>
        <v>1313 CT418 18-60</v>
      </c>
      <c r="D2127" s="306"/>
      <c r="E2127" s="421">
        <v>6</v>
      </c>
      <c r="F2127" s="421"/>
      <c r="G2127" s="417" t="s">
        <v>1853</v>
      </c>
      <c r="H2127" s="598">
        <v>14190154</v>
      </c>
      <c r="I2127" s="322" t="s">
        <v>1854</v>
      </c>
      <c r="J2127" s="418"/>
      <c r="K2127" s="248"/>
      <c r="M2127" s="366"/>
      <c r="AF2127">
        <v>6</v>
      </c>
    </row>
    <row r="2128" spans="1:32" x14ac:dyDescent="0.25">
      <c r="A2128" s="308">
        <v>45452</v>
      </c>
      <c r="B2128" s="416">
        <v>1100696</v>
      </c>
      <c r="C2128" s="413" t="str">
        <f>IFERROR(INDEX(Table14[],MATCH($B2128,Table14[SAPNo],0),3),"")</f>
        <v>Round 1313 CT418  10C (S)</v>
      </c>
      <c r="D2128" s="306"/>
      <c r="E2128" s="421">
        <v>17</v>
      </c>
      <c r="F2128" s="421"/>
      <c r="G2128" s="417" t="s">
        <v>1853</v>
      </c>
      <c r="H2128" s="598">
        <v>14190154</v>
      </c>
      <c r="I2128" s="322" t="s">
        <v>1854</v>
      </c>
      <c r="J2128" s="418"/>
      <c r="K2128" s="248"/>
      <c r="M2128" s="366"/>
      <c r="AF2128">
        <v>17</v>
      </c>
    </row>
    <row r="2129" spans="1:32" x14ac:dyDescent="0.25">
      <c r="A2129" s="308">
        <v>45452</v>
      </c>
      <c r="B2129" s="416">
        <v>418525</v>
      </c>
      <c r="C2129" s="413" t="str">
        <f>IFERROR(INDEX(Table14[],MATCH($B2129,Table14[SAPNo],0),3),"")</f>
        <v>Drop In 1308 CT31   (B)</v>
      </c>
      <c r="D2129" s="306"/>
      <c r="E2129" s="421">
        <v>10</v>
      </c>
      <c r="F2129" s="421"/>
      <c r="G2129" s="417" t="s">
        <v>1855</v>
      </c>
      <c r="H2129" s="598">
        <v>14190155</v>
      </c>
      <c r="I2129" s="322" t="s">
        <v>1646</v>
      </c>
      <c r="J2129" s="418"/>
      <c r="K2129" s="248"/>
      <c r="M2129" s="366"/>
      <c r="AF2129">
        <v>10</v>
      </c>
    </row>
    <row r="2130" spans="1:32" x14ac:dyDescent="0.25">
      <c r="A2130" s="308">
        <v>45452</v>
      </c>
      <c r="B2130" s="416">
        <v>1146346</v>
      </c>
      <c r="C2130" s="413" t="str">
        <f>IFERROR(INDEX(Table14[],MATCH($B2130,Table14[SAPNo],0),3),"")</f>
        <v>1313 CT418 18-60</v>
      </c>
      <c r="D2130" s="306"/>
      <c r="E2130" s="421">
        <v>6</v>
      </c>
      <c r="F2130" s="421"/>
      <c r="G2130" s="417" t="s">
        <v>1855</v>
      </c>
      <c r="H2130" s="598">
        <v>14190155</v>
      </c>
      <c r="I2130" s="322" t="s">
        <v>1646</v>
      </c>
      <c r="J2130" s="418"/>
      <c r="K2130" s="248"/>
      <c r="M2130" s="366"/>
      <c r="AF2130">
        <v>6</v>
      </c>
    </row>
    <row r="2131" spans="1:32" x14ac:dyDescent="0.25">
      <c r="A2131" s="320">
        <v>45452</v>
      </c>
      <c r="B2131" s="419">
        <v>1100696</v>
      </c>
      <c r="C2131" s="413" t="str">
        <f>IFERROR(INDEX(Table14[],MATCH($B2131,Table14[SAPNo],0),3),"")</f>
        <v>Round 1313 CT418  10C (S)</v>
      </c>
      <c r="D2131" s="306"/>
      <c r="E2131" s="421">
        <v>17</v>
      </c>
      <c r="F2131" s="421"/>
      <c r="G2131" s="420" t="s">
        <v>1855</v>
      </c>
      <c r="H2131" s="599">
        <v>14190155</v>
      </c>
      <c r="I2131" s="322" t="s">
        <v>1646</v>
      </c>
      <c r="J2131" s="421"/>
      <c r="K2131" s="422"/>
      <c r="M2131" s="366"/>
      <c r="AF2131">
        <v>17</v>
      </c>
    </row>
    <row r="2132" spans="1:32" x14ac:dyDescent="0.25">
      <c r="A2132" s="308">
        <v>45453</v>
      </c>
      <c r="B2132" s="416">
        <v>1100696</v>
      </c>
      <c r="C2132" s="413" t="str">
        <f>IFERROR(INDEX(Table14[],MATCH($B2132,Table14[SAPNo],0),3),"")</f>
        <v>Round 1313 CT418  10C (S)</v>
      </c>
      <c r="D2132" s="306"/>
      <c r="E2132" s="421">
        <v>5</v>
      </c>
      <c r="F2132" s="421"/>
      <c r="G2132" s="417" t="s">
        <v>1856</v>
      </c>
      <c r="H2132" s="598">
        <v>14178458</v>
      </c>
      <c r="I2132" s="322" t="s">
        <v>1447</v>
      </c>
      <c r="J2132" s="418"/>
      <c r="K2132" s="248"/>
      <c r="M2132" s="422"/>
      <c r="AF2132">
        <v>5</v>
      </c>
    </row>
    <row r="2133" spans="1:32" x14ac:dyDescent="0.25">
      <c r="A2133" s="308">
        <v>45453</v>
      </c>
      <c r="B2133" s="416">
        <v>418525</v>
      </c>
      <c r="C2133" s="413" t="str">
        <f>IFERROR(INDEX(Table14[],MATCH($B2133,Table14[SAPNo],0),3),"")</f>
        <v>Drop In 1308 CT31   (B)</v>
      </c>
      <c r="D2133" s="306"/>
      <c r="E2133" s="421">
        <v>6</v>
      </c>
      <c r="F2133" s="421"/>
      <c r="G2133" s="417" t="s">
        <v>1856</v>
      </c>
      <c r="H2133" s="598">
        <v>14178458</v>
      </c>
      <c r="I2133" s="322" t="s">
        <v>1447</v>
      </c>
      <c r="J2133" s="418"/>
      <c r="K2133" s="248"/>
      <c r="M2133" s="366"/>
      <c r="AF2133">
        <v>6</v>
      </c>
    </row>
    <row r="2134" spans="1:32" x14ac:dyDescent="0.25">
      <c r="A2134" s="308">
        <v>45453</v>
      </c>
      <c r="B2134" s="416">
        <v>1136984</v>
      </c>
      <c r="C2134" s="413" t="str">
        <f>IFERROR(INDEX(Table14[],MATCH($B2134,Table14[SAPNo],0),3),"")</f>
        <v>DBLMCHT 1313 CT182DM  10C (S)</v>
      </c>
      <c r="D2134" s="306"/>
      <c r="E2134" s="421">
        <v>13</v>
      </c>
      <c r="F2134" s="421"/>
      <c r="G2134" s="417" t="s">
        <v>1856</v>
      </c>
      <c r="H2134" s="598">
        <v>14178458</v>
      </c>
      <c r="I2134" s="322" t="s">
        <v>1447</v>
      </c>
      <c r="J2134" s="418"/>
      <c r="K2134" s="248"/>
      <c r="M2134" s="366"/>
      <c r="AF2134">
        <v>13</v>
      </c>
    </row>
    <row r="2135" spans="1:32" x14ac:dyDescent="0.25">
      <c r="A2135" s="308">
        <v>45453</v>
      </c>
      <c r="B2135" s="416">
        <v>1146346</v>
      </c>
      <c r="C2135" s="413" t="str">
        <f>IFERROR(INDEX(Table14[],MATCH($B2135,Table14[SAPNo],0),3),"")</f>
        <v>1313 CT418 18-60</v>
      </c>
      <c r="D2135" s="306"/>
      <c r="E2135" s="421">
        <v>7</v>
      </c>
      <c r="F2135" s="421"/>
      <c r="G2135" s="417" t="s">
        <v>1856</v>
      </c>
      <c r="H2135" s="598">
        <v>14178458</v>
      </c>
      <c r="I2135" s="322" t="s">
        <v>1447</v>
      </c>
      <c r="J2135" s="418"/>
      <c r="K2135" s="248"/>
      <c r="M2135" s="366"/>
      <c r="AF2135">
        <v>7</v>
      </c>
    </row>
    <row r="2136" spans="1:32" x14ac:dyDescent="0.25">
      <c r="A2136" s="308">
        <v>45453</v>
      </c>
      <c r="B2136" s="416">
        <v>1104083</v>
      </c>
      <c r="C2136" s="413" t="str">
        <f>IFERROR(INDEX(Table14[],MATCH($B2136,Table14[SAPNo],0),3),"")</f>
        <v>1313 CT144H  10C (S)</v>
      </c>
      <c r="D2136" s="306"/>
      <c r="E2136" s="421">
        <v>1</v>
      </c>
      <c r="F2136" s="421"/>
      <c r="G2136" s="417" t="s">
        <v>1856</v>
      </c>
      <c r="H2136" s="598">
        <v>14178458</v>
      </c>
      <c r="I2136" s="322" t="s">
        <v>1447</v>
      </c>
      <c r="J2136" s="418"/>
      <c r="K2136" s="248"/>
      <c r="M2136" s="366"/>
      <c r="AF2136">
        <v>1</v>
      </c>
    </row>
    <row r="2137" spans="1:32" x14ac:dyDescent="0.25">
      <c r="A2137" s="308">
        <v>45453</v>
      </c>
      <c r="B2137" s="416">
        <v>1101509</v>
      </c>
      <c r="C2137" s="413" t="str">
        <f>IFERROR(INDEX(Table14[],MATCH($B2137,Table14[SAPNo],0),3),"")</f>
        <v>Short IA 8    (C)</v>
      </c>
      <c r="D2137" s="306"/>
      <c r="E2137" s="421">
        <v>5</v>
      </c>
      <c r="F2137" s="421"/>
      <c r="G2137" s="417" t="s">
        <v>1856</v>
      </c>
      <c r="H2137" s="598">
        <v>14178458</v>
      </c>
      <c r="I2137" s="322" t="s">
        <v>1447</v>
      </c>
      <c r="J2137" s="418"/>
      <c r="K2137" s="248"/>
      <c r="M2137" s="366"/>
      <c r="AF2137">
        <v>5</v>
      </c>
    </row>
    <row r="2138" spans="1:32" x14ac:dyDescent="0.25">
      <c r="A2138" s="308">
        <v>45453</v>
      </c>
      <c r="B2138" s="416">
        <v>418525</v>
      </c>
      <c r="C2138" s="413" t="str">
        <f>IFERROR(INDEX(Table14[],MATCH($B2138,Table14[SAPNo],0),3),"")</f>
        <v>Drop In 1308 CT31   (B)</v>
      </c>
      <c r="D2138" s="306"/>
      <c r="E2138" s="421">
        <v>6</v>
      </c>
      <c r="F2138" s="421"/>
      <c r="G2138" s="417" t="s">
        <v>1857</v>
      </c>
      <c r="H2138" s="598">
        <v>14178459</v>
      </c>
      <c r="I2138" s="322" t="s">
        <v>1447</v>
      </c>
      <c r="J2138" s="418"/>
      <c r="K2138" s="248"/>
      <c r="M2138" s="366"/>
      <c r="AF2138">
        <v>6</v>
      </c>
    </row>
    <row r="2139" spans="1:32" x14ac:dyDescent="0.25">
      <c r="A2139" s="308">
        <v>45453</v>
      </c>
      <c r="B2139" s="416">
        <v>1100696</v>
      </c>
      <c r="C2139" s="413" t="str">
        <f>IFERROR(INDEX(Table14[],MATCH($B2139,Table14[SAPNo],0),3),"")</f>
        <v>Round 1313 CT418  10C (S)</v>
      </c>
      <c r="D2139" s="306"/>
      <c r="E2139" s="421">
        <v>5</v>
      </c>
      <c r="F2139" s="421"/>
      <c r="G2139" s="417" t="s">
        <v>1857</v>
      </c>
      <c r="H2139" s="598">
        <v>14178459</v>
      </c>
      <c r="I2139" s="322" t="s">
        <v>1447</v>
      </c>
      <c r="J2139" s="418"/>
      <c r="K2139" s="248"/>
      <c r="M2139" s="366"/>
      <c r="AF2139">
        <v>5</v>
      </c>
    </row>
    <row r="2140" spans="1:32" x14ac:dyDescent="0.25">
      <c r="A2140" s="308">
        <v>45453</v>
      </c>
      <c r="B2140" s="416">
        <v>1104083</v>
      </c>
      <c r="C2140" s="413" t="str">
        <f>IFERROR(INDEX(Table14[],MATCH($B2140,Table14[SAPNo],0),3),"")</f>
        <v>1313 CT144H  10C (S)</v>
      </c>
      <c r="D2140" s="306"/>
      <c r="E2140" s="421">
        <v>1</v>
      </c>
      <c r="F2140" s="421"/>
      <c r="G2140" s="417" t="s">
        <v>1857</v>
      </c>
      <c r="H2140" s="598">
        <v>14178459</v>
      </c>
      <c r="I2140" s="322" t="s">
        <v>1447</v>
      </c>
      <c r="J2140" s="418"/>
      <c r="K2140" s="248"/>
      <c r="M2140" s="366"/>
      <c r="AF2140">
        <v>1</v>
      </c>
    </row>
    <row r="2141" spans="1:32" x14ac:dyDescent="0.25">
      <c r="A2141" s="308">
        <v>45453</v>
      </c>
      <c r="B2141" s="416">
        <v>1136984</v>
      </c>
      <c r="C2141" s="413" t="str">
        <f>IFERROR(INDEX(Table14[],MATCH($B2141,Table14[SAPNo],0),3),"")</f>
        <v>DBLMCHT 1313 CT182DM  10C (S)</v>
      </c>
      <c r="D2141" s="306"/>
      <c r="E2141" s="421">
        <v>13</v>
      </c>
      <c r="F2141" s="421"/>
      <c r="G2141" s="417" t="s">
        <v>1857</v>
      </c>
      <c r="H2141" s="598">
        <v>14178459</v>
      </c>
      <c r="I2141" s="322" t="s">
        <v>1447</v>
      </c>
      <c r="J2141" s="418"/>
      <c r="K2141" s="248"/>
      <c r="M2141" s="366"/>
      <c r="AF2141">
        <v>13</v>
      </c>
    </row>
    <row r="2142" spans="1:32" x14ac:dyDescent="0.25">
      <c r="A2142" s="308">
        <v>45453</v>
      </c>
      <c r="B2142" s="416">
        <v>1146346</v>
      </c>
      <c r="C2142" s="413" t="str">
        <f>IFERROR(INDEX(Table14[],MATCH($B2142,Table14[SAPNo],0),3),"")</f>
        <v>1313 CT418 18-60</v>
      </c>
      <c r="D2142" s="306"/>
      <c r="E2142" s="421">
        <v>7</v>
      </c>
      <c r="F2142" s="421"/>
      <c r="G2142" s="417" t="s">
        <v>1857</v>
      </c>
      <c r="H2142" s="598">
        <v>14178459</v>
      </c>
      <c r="I2142" s="322" t="s">
        <v>1447</v>
      </c>
      <c r="J2142" s="418"/>
      <c r="K2142" s="248"/>
      <c r="M2142" s="366"/>
      <c r="AF2142">
        <v>7</v>
      </c>
    </row>
    <row r="2143" spans="1:32" x14ac:dyDescent="0.25">
      <c r="A2143" s="308">
        <v>45453</v>
      </c>
      <c r="B2143" s="416">
        <v>1101509</v>
      </c>
      <c r="C2143" s="413" t="str">
        <f>IFERROR(INDEX(Table14[],MATCH($B2143,Table14[SAPNo],0),3),"")</f>
        <v>Short IA 8    (C)</v>
      </c>
      <c r="D2143" s="306"/>
      <c r="E2143" s="421">
        <v>5</v>
      </c>
      <c r="F2143" s="421"/>
      <c r="G2143" s="417" t="s">
        <v>1857</v>
      </c>
      <c r="H2143" s="598">
        <v>14178459</v>
      </c>
      <c r="I2143" s="322" t="s">
        <v>1447</v>
      </c>
      <c r="J2143" s="418"/>
      <c r="K2143" s="248"/>
      <c r="M2143" s="366"/>
      <c r="AF2143">
        <v>5</v>
      </c>
    </row>
    <row r="2144" spans="1:32" x14ac:dyDescent="0.25">
      <c r="A2144" s="308">
        <v>45453</v>
      </c>
      <c r="B2144" s="416">
        <v>1228503</v>
      </c>
      <c r="C2144" s="413" t="str">
        <f>IFERROR(INDEX(Table14[],MATCH($B2144,Table14[SAPNo],0),3),"")</f>
        <v>1618 CT182 U-60 Ring</v>
      </c>
      <c r="D2144" s="306"/>
      <c r="E2144" s="421">
        <v>10</v>
      </c>
      <c r="F2144" s="421"/>
      <c r="G2144" s="417" t="s">
        <v>1858</v>
      </c>
      <c r="H2144" s="598">
        <v>14167828</v>
      </c>
      <c r="I2144" s="322" t="s">
        <v>1440</v>
      </c>
      <c r="J2144" s="418"/>
      <c r="K2144" s="248"/>
      <c r="M2144" s="366"/>
      <c r="AF2144">
        <v>10</v>
      </c>
    </row>
    <row r="2145" spans="1:32" x14ac:dyDescent="0.25">
      <c r="A2145" s="308">
        <v>45453</v>
      </c>
      <c r="B2145" s="416">
        <v>871781</v>
      </c>
      <c r="C2145" s="413" t="str">
        <f>IFERROR(INDEX(Table14[],MATCH($B2145,Table14[SAPNo],0),3),"")</f>
        <v>Round 1313 CT200  0.018" (B)</v>
      </c>
      <c r="D2145" s="306"/>
      <c r="E2145" s="421">
        <v>6</v>
      </c>
      <c r="F2145" s="421"/>
      <c r="G2145" s="417" t="s">
        <v>1858</v>
      </c>
      <c r="H2145" s="598">
        <v>14167828</v>
      </c>
      <c r="I2145" s="322" t="s">
        <v>1440</v>
      </c>
      <c r="J2145" s="418"/>
      <c r="K2145" s="248"/>
      <c r="M2145" s="366"/>
      <c r="AF2145">
        <v>6</v>
      </c>
    </row>
    <row r="2146" spans="1:32" x14ac:dyDescent="0.25">
      <c r="A2146" s="308">
        <v>45453</v>
      </c>
      <c r="B2146" s="416">
        <v>1228502</v>
      </c>
      <c r="C2146" s="413" t="str">
        <f>IFERROR(INDEX(Table14[],MATCH($B2146,Table14[SAPNo],0),3),"")</f>
        <v>1618 CT182 U-60 Rotor</v>
      </c>
      <c r="D2146" s="306"/>
      <c r="E2146" s="421">
        <v>10</v>
      </c>
      <c r="F2146" s="421"/>
      <c r="G2146" s="417" t="s">
        <v>1858</v>
      </c>
      <c r="H2146" s="598">
        <v>14167828</v>
      </c>
      <c r="I2146" s="322" t="s">
        <v>1440</v>
      </c>
      <c r="J2146" s="418"/>
      <c r="K2146" s="248"/>
      <c r="M2146" s="366"/>
      <c r="AF2146">
        <v>10</v>
      </c>
    </row>
    <row r="2147" spans="1:32" x14ac:dyDescent="0.25">
      <c r="A2147" s="308">
        <v>45453</v>
      </c>
      <c r="B2147" s="416">
        <v>1261319</v>
      </c>
      <c r="C2147" s="413" t="str">
        <f>IFERROR(INDEX(Table14[],MATCH($B2147,Table14[SAPNo],0),3),"")</f>
        <v>1308 CT155 U-60</v>
      </c>
      <c r="D2147" s="306"/>
      <c r="E2147" s="421">
        <v>24</v>
      </c>
      <c r="F2147" s="421"/>
      <c r="G2147" s="417" t="s">
        <v>1858</v>
      </c>
      <c r="H2147" s="598">
        <v>14167828</v>
      </c>
      <c r="I2147" s="322" t="s">
        <v>1440</v>
      </c>
      <c r="J2147" s="418"/>
      <c r="K2147" s="248"/>
      <c r="M2147" s="366"/>
      <c r="AF2147">
        <v>24</v>
      </c>
    </row>
    <row r="2148" spans="1:32" x14ac:dyDescent="0.25">
      <c r="A2148" s="308">
        <v>45453</v>
      </c>
      <c r="B2148" s="416">
        <v>1261320</v>
      </c>
      <c r="C2148" s="413" t="str">
        <f>IFERROR(INDEX(Table14[],MATCH($B2148,Table14[SAPNo],0),3),"")</f>
        <v>1313 CT155 U-60</v>
      </c>
      <c r="D2148" s="306"/>
      <c r="E2148" s="421">
        <v>6</v>
      </c>
      <c r="F2148" s="421"/>
      <c r="G2148" s="417" t="s">
        <v>1858</v>
      </c>
      <c r="H2148" s="598">
        <v>14167828</v>
      </c>
      <c r="I2148" s="322" t="s">
        <v>1440</v>
      </c>
      <c r="J2148" s="418"/>
      <c r="K2148" s="248"/>
      <c r="M2148" s="366"/>
      <c r="AF2148">
        <v>6</v>
      </c>
    </row>
    <row r="2149" spans="1:32" x14ac:dyDescent="0.25">
      <c r="A2149" s="308">
        <v>45453</v>
      </c>
      <c r="B2149" s="416">
        <v>1261321</v>
      </c>
      <c r="C2149" s="413" t="str">
        <f>IFERROR(INDEX(Table14[],MATCH($B2149,Table14[SAPNo],0),3),"")</f>
        <v>1613 CT155 U-60</v>
      </c>
      <c r="D2149" s="306"/>
      <c r="E2149" s="421">
        <v>4</v>
      </c>
      <c r="F2149" s="421"/>
      <c r="G2149" s="417" t="s">
        <v>1858</v>
      </c>
      <c r="H2149" s="598">
        <v>14167828</v>
      </c>
      <c r="I2149" s="322" t="s">
        <v>1440</v>
      </c>
      <c r="J2149" s="418"/>
      <c r="K2149" s="248"/>
      <c r="M2149" s="366"/>
      <c r="AF2149">
        <v>4</v>
      </c>
    </row>
    <row r="2150" spans="1:32" x14ac:dyDescent="0.25">
      <c r="A2150" s="308">
        <v>45453</v>
      </c>
      <c r="B2150" s="416">
        <v>1228501</v>
      </c>
      <c r="C2150" s="413" t="str">
        <f>IFERROR(INDEX(Table14[],MATCH($B2150,Table14[SAPNo],0),3),"")</f>
        <v>1618 CT182 U-60 stator</v>
      </c>
      <c r="D2150" s="306"/>
      <c r="E2150" s="421">
        <v>10</v>
      </c>
      <c r="F2150" s="421"/>
      <c r="G2150" s="417" t="s">
        <v>1858</v>
      </c>
      <c r="H2150" s="598">
        <v>14167828</v>
      </c>
      <c r="I2150" s="322" t="s">
        <v>1440</v>
      </c>
      <c r="J2150" s="418"/>
      <c r="K2150" s="248"/>
      <c r="M2150" s="366"/>
      <c r="AF2150">
        <v>10</v>
      </c>
    </row>
    <row r="2151" spans="1:32" x14ac:dyDescent="0.25">
      <c r="A2151" s="308">
        <v>45453</v>
      </c>
      <c r="B2151" s="416">
        <v>1220554</v>
      </c>
      <c r="C2151" s="413" t="str">
        <f>IFERROR(INDEX(Table14[],MATCH($B2151,Table14[SAPNo],0),3),"")</f>
        <v xml:space="preserve">1618 CT182 U-60 Carbide </v>
      </c>
      <c r="D2151" s="306"/>
      <c r="E2151" s="421">
        <v>10</v>
      </c>
      <c r="F2151" s="421"/>
      <c r="G2151" s="417" t="s">
        <v>1858</v>
      </c>
      <c r="H2151" s="598">
        <v>14167828</v>
      </c>
      <c r="I2151" s="322" t="s">
        <v>1440</v>
      </c>
      <c r="J2151" s="418"/>
      <c r="K2151" s="248"/>
      <c r="M2151" s="366"/>
      <c r="AF2151">
        <v>10</v>
      </c>
    </row>
    <row r="2152" spans="1:32" x14ac:dyDescent="0.25">
      <c r="A2152" s="308">
        <v>45453</v>
      </c>
      <c r="B2152" s="416">
        <v>1078377</v>
      </c>
      <c r="C2152" s="413" t="str">
        <f>IFERROR(INDEX(Table14[],MATCH($B2152,Table14[SAPNo],0),3),"")</f>
        <v>13MM CT221 R1</v>
      </c>
      <c r="D2152" s="306"/>
      <c r="E2152" s="421">
        <v>15</v>
      </c>
      <c r="F2152" s="421"/>
      <c r="G2152" s="417" t="s">
        <v>1859</v>
      </c>
      <c r="H2152" s="598">
        <v>14178471</v>
      </c>
      <c r="I2152" s="322" t="s">
        <v>1516</v>
      </c>
      <c r="J2152" s="418"/>
      <c r="K2152" s="248"/>
      <c r="M2152" s="366"/>
      <c r="AF2152">
        <v>15</v>
      </c>
    </row>
    <row r="2153" spans="1:32" x14ac:dyDescent="0.25">
      <c r="A2153" s="308">
        <v>45453</v>
      </c>
      <c r="B2153" s="416">
        <v>1208601</v>
      </c>
      <c r="C2153" s="413" t="str">
        <f>IFERROR(INDEX(Table14[],MATCH($B2153,Table14[SAPNo],0),3),"")</f>
        <v>1613 CT418 U-60</v>
      </c>
      <c r="D2153" s="306"/>
      <c r="E2153" s="421">
        <v>8</v>
      </c>
      <c r="F2153" s="421"/>
      <c r="G2153" s="417" t="s">
        <v>1859</v>
      </c>
      <c r="H2153" s="598">
        <v>14178471</v>
      </c>
      <c r="I2153" s="322" t="s">
        <v>1516</v>
      </c>
      <c r="J2153" s="418"/>
      <c r="K2153" s="248"/>
      <c r="M2153" s="366"/>
      <c r="AF2153">
        <v>8</v>
      </c>
    </row>
    <row r="2154" spans="1:32" x14ac:dyDescent="0.25">
      <c r="A2154" s="308">
        <v>45453</v>
      </c>
      <c r="B2154" s="416">
        <v>1271790</v>
      </c>
      <c r="C2154" s="413" t="str">
        <f>IFERROR(INDEX(Table14[],MATCH($B2154,Table14[SAPNo],0),3),"")</f>
        <v xml:space="preserve">1613 CT170 18-60 </v>
      </c>
      <c r="D2154" s="306"/>
      <c r="E2154" s="421">
        <v>17</v>
      </c>
      <c r="F2154" s="421"/>
      <c r="G2154" s="417" t="s">
        <v>1859</v>
      </c>
      <c r="H2154" s="598">
        <v>14178471</v>
      </c>
      <c r="I2154" s="322" t="s">
        <v>1516</v>
      </c>
      <c r="J2154" s="418"/>
      <c r="K2154" s="248"/>
      <c r="M2154" s="366"/>
      <c r="AF2154">
        <v>17</v>
      </c>
    </row>
    <row r="2155" spans="1:32" x14ac:dyDescent="0.25">
      <c r="A2155" s="308">
        <v>45453</v>
      </c>
      <c r="B2155" s="416">
        <v>418525</v>
      </c>
      <c r="C2155" s="413" t="str">
        <f>IFERROR(INDEX(Table14[],MATCH($B2155,Table14[SAPNo],0),3),"")</f>
        <v>Drop In 1308 CT31   (B)</v>
      </c>
      <c r="D2155" s="306"/>
      <c r="E2155" s="421">
        <v>6</v>
      </c>
      <c r="F2155" s="421"/>
      <c r="G2155" s="417" t="s">
        <v>1859</v>
      </c>
      <c r="H2155" s="598">
        <v>14178471</v>
      </c>
      <c r="I2155" s="322" t="s">
        <v>1516</v>
      </c>
      <c r="J2155" s="418"/>
      <c r="K2155" s="248"/>
      <c r="M2155" s="366"/>
      <c r="AF2155">
        <v>6</v>
      </c>
    </row>
    <row r="2156" spans="1:32" x14ac:dyDescent="0.25">
      <c r="A2156" s="320">
        <v>45453</v>
      </c>
      <c r="B2156" s="419">
        <v>1146737</v>
      </c>
      <c r="C2156" s="413" t="str">
        <f>IFERROR(INDEX(Table14[],MATCH($B2156,Table14[SAPNo],0),3),"")</f>
        <v>1613 CT418 18-60</v>
      </c>
      <c r="D2156" s="306"/>
      <c r="E2156" s="421">
        <v>6</v>
      </c>
      <c r="F2156" s="421"/>
      <c r="G2156" s="420" t="s">
        <v>1859</v>
      </c>
      <c r="H2156" s="599">
        <v>14178471</v>
      </c>
      <c r="I2156" s="322" t="s">
        <v>1516</v>
      </c>
      <c r="J2156" s="421"/>
      <c r="K2156" s="422"/>
      <c r="M2156" s="366"/>
      <c r="AF2156">
        <v>6</v>
      </c>
    </row>
    <row r="2157" spans="1:32" x14ac:dyDescent="0.25">
      <c r="A2157" s="308">
        <v>45454</v>
      </c>
      <c r="B2157" s="416">
        <v>1271790</v>
      </c>
      <c r="C2157" s="413" t="str">
        <f>IFERROR(INDEX(Table14[],MATCH($B2157,Table14[SAPNo],0),3),"")</f>
        <v xml:space="preserve">1613 CT170 18-60 </v>
      </c>
      <c r="D2157" s="306"/>
      <c r="E2157" s="421">
        <v>53</v>
      </c>
      <c r="F2157" s="421"/>
      <c r="G2157" s="417" t="s">
        <v>1860</v>
      </c>
      <c r="H2157" s="598">
        <v>14056711</v>
      </c>
      <c r="I2157" s="322" t="s">
        <v>1255</v>
      </c>
      <c r="J2157" s="418"/>
      <c r="K2157" s="248"/>
      <c r="M2157" s="422"/>
      <c r="AF2157">
        <v>53</v>
      </c>
    </row>
    <row r="2158" spans="1:32" x14ac:dyDescent="0.25">
      <c r="A2158" s="308">
        <v>45454</v>
      </c>
      <c r="B2158" s="416">
        <v>1146737</v>
      </c>
      <c r="C2158" s="413" t="str">
        <f>IFERROR(INDEX(Table14[],MATCH($B2158,Table14[SAPNo],0),3),"")</f>
        <v>1613 CT418 18-60</v>
      </c>
      <c r="D2158" s="306"/>
      <c r="E2158" s="421">
        <v>39</v>
      </c>
      <c r="F2158" s="421"/>
      <c r="G2158" s="417" t="s">
        <v>1860</v>
      </c>
      <c r="H2158" s="598">
        <v>14056711</v>
      </c>
      <c r="I2158" s="322" t="s">
        <v>1255</v>
      </c>
      <c r="J2158" s="418"/>
      <c r="K2158" s="248"/>
      <c r="M2158" s="366"/>
      <c r="AF2158">
        <v>39</v>
      </c>
    </row>
    <row r="2159" spans="1:32" x14ac:dyDescent="0.25">
      <c r="A2159" s="308">
        <v>45454</v>
      </c>
      <c r="B2159" s="416">
        <v>1146737</v>
      </c>
      <c r="C2159" s="413" t="str">
        <f>IFERROR(INDEX(Table14[],MATCH($B2159,Table14[SAPNo],0),3),"")</f>
        <v>1613 CT418 18-60</v>
      </c>
      <c r="D2159" s="306"/>
      <c r="E2159" s="421">
        <v>33</v>
      </c>
      <c r="F2159" s="421"/>
      <c r="G2159" s="417" t="s">
        <v>1861</v>
      </c>
      <c r="H2159" s="598">
        <v>13845747</v>
      </c>
      <c r="I2159" s="322" t="s">
        <v>1792</v>
      </c>
      <c r="J2159" s="418"/>
      <c r="K2159" s="248"/>
      <c r="M2159" s="366"/>
      <c r="AF2159">
        <v>33</v>
      </c>
    </row>
    <row r="2160" spans="1:32" x14ac:dyDescent="0.25">
      <c r="A2160" s="308">
        <v>45454</v>
      </c>
      <c r="B2160" s="416">
        <v>1271790</v>
      </c>
      <c r="C2160" s="413" t="str">
        <f>IFERROR(INDEX(Table14[],MATCH($B2160,Table14[SAPNo],0),3),"")</f>
        <v xml:space="preserve">1613 CT170 18-60 </v>
      </c>
      <c r="D2160" s="306"/>
      <c r="E2160" s="421">
        <v>47</v>
      </c>
      <c r="F2160" s="421"/>
      <c r="G2160" s="417" t="s">
        <v>1861</v>
      </c>
      <c r="H2160" s="598">
        <v>13845747</v>
      </c>
      <c r="I2160" s="322" t="s">
        <v>1792</v>
      </c>
      <c r="J2160" s="418"/>
      <c r="K2160" s="248"/>
      <c r="M2160" s="366"/>
      <c r="AF2160">
        <v>47</v>
      </c>
    </row>
    <row r="2161" spans="1:32" x14ac:dyDescent="0.25">
      <c r="A2161" s="308">
        <v>45454</v>
      </c>
      <c r="B2161" s="416">
        <v>418525</v>
      </c>
      <c r="C2161" s="413" t="str">
        <f>IFERROR(INDEX(Table14[],MATCH($B2161,Table14[SAPNo],0),3),"")</f>
        <v>Drop In 1308 CT31   (B)</v>
      </c>
      <c r="D2161" s="306"/>
      <c r="E2161" s="421">
        <v>6</v>
      </c>
      <c r="F2161" s="421"/>
      <c r="G2161" s="417" t="s">
        <v>1862</v>
      </c>
      <c r="H2161" s="598">
        <v>14190172</v>
      </c>
      <c r="I2161" s="322" t="s">
        <v>1516</v>
      </c>
      <c r="J2161" s="418"/>
      <c r="K2161" s="248"/>
      <c r="M2161" s="366"/>
      <c r="AF2161">
        <v>6</v>
      </c>
    </row>
    <row r="2162" spans="1:32" x14ac:dyDescent="0.25">
      <c r="A2162" s="308">
        <v>45454</v>
      </c>
      <c r="B2162" s="416">
        <v>1271790</v>
      </c>
      <c r="C2162" s="413" t="str">
        <f>IFERROR(INDEX(Table14[],MATCH($B2162,Table14[SAPNo],0),3),"")</f>
        <v xml:space="preserve">1613 CT170 18-60 </v>
      </c>
      <c r="D2162" s="306"/>
      <c r="E2162" s="421">
        <v>17</v>
      </c>
      <c r="F2162" s="421"/>
      <c r="G2162" s="417" t="s">
        <v>1862</v>
      </c>
      <c r="H2162" s="598">
        <v>14190172</v>
      </c>
      <c r="I2162" s="322" t="s">
        <v>1516</v>
      </c>
      <c r="J2162" s="418"/>
      <c r="K2162" s="248"/>
      <c r="M2162" s="366"/>
      <c r="AF2162">
        <v>17</v>
      </c>
    </row>
    <row r="2163" spans="1:32" x14ac:dyDescent="0.25">
      <c r="A2163" s="308">
        <v>45454</v>
      </c>
      <c r="B2163" s="416">
        <v>1078377</v>
      </c>
      <c r="C2163" s="413" t="str">
        <f>IFERROR(INDEX(Table14[],MATCH($B2163,Table14[SAPNo],0),3),"")</f>
        <v>13MM CT221 R1</v>
      </c>
      <c r="D2163" s="306"/>
      <c r="E2163" s="421">
        <v>15</v>
      </c>
      <c r="F2163" s="421"/>
      <c r="G2163" s="417" t="s">
        <v>1862</v>
      </c>
      <c r="H2163" s="598">
        <v>14190172</v>
      </c>
      <c r="I2163" s="322" t="s">
        <v>1516</v>
      </c>
      <c r="J2163" s="418"/>
      <c r="K2163" s="248"/>
      <c r="M2163" s="366"/>
      <c r="AF2163">
        <v>15</v>
      </c>
    </row>
    <row r="2164" spans="1:32" x14ac:dyDescent="0.25">
      <c r="A2164" s="308">
        <v>45454</v>
      </c>
      <c r="B2164" s="416">
        <v>1208601</v>
      </c>
      <c r="C2164" s="413" t="str">
        <f>IFERROR(INDEX(Table14[],MATCH($B2164,Table14[SAPNo],0),3),"")</f>
        <v>1613 CT418 U-60</v>
      </c>
      <c r="D2164" s="306"/>
      <c r="E2164" s="421">
        <v>8</v>
      </c>
      <c r="F2164" s="421"/>
      <c r="G2164" s="417" t="s">
        <v>1862</v>
      </c>
      <c r="H2164" s="598">
        <v>14190172</v>
      </c>
      <c r="I2164" s="322" t="s">
        <v>1516</v>
      </c>
      <c r="J2164" s="418"/>
      <c r="K2164" s="248"/>
      <c r="M2164" s="366"/>
      <c r="AF2164">
        <v>8</v>
      </c>
    </row>
    <row r="2165" spans="1:32" x14ac:dyDescent="0.25">
      <c r="A2165" s="308">
        <v>45454</v>
      </c>
      <c r="B2165" s="416">
        <v>1146737</v>
      </c>
      <c r="C2165" s="413" t="str">
        <f>IFERROR(INDEX(Table14[],MATCH($B2165,Table14[SAPNo],0),3),"")</f>
        <v>1613 CT418 18-60</v>
      </c>
      <c r="D2165" s="306"/>
      <c r="E2165" s="421">
        <v>6</v>
      </c>
      <c r="F2165" s="421"/>
      <c r="G2165" s="417" t="s">
        <v>1862</v>
      </c>
      <c r="H2165" s="598">
        <v>14190172</v>
      </c>
      <c r="I2165" s="322" t="s">
        <v>1516</v>
      </c>
      <c r="J2165" s="418"/>
      <c r="K2165" s="248"/>
      <c r="M2165" s="366"/>
      <c r="AF2165">
        <v>6</v>
      </c>
    </row>
    <row r="2166" spans="1:32" x14ac:dyDescent="0.25">
      <c r="A2166" s="308">
        <v>45454</v>
      </c>
      <c r="B2166" s="416">
        <v>1228501</v>
      </c>
      <c r="C2166" s="413" t="str">
        <f>IFERROR(INDEX(Table14[],MATCH($B2166,Table14[SAPNo],0),3),"")</f>
        <v>1618 CT182 U-60 stator</v>
      </c>
      <c r="D2166" s="306"/>
      <c r="E2166" s="421">
        <v>10</v>
      </c>
      <c r="F2166" s="421"/>
      <c r="G2166" s="417" t="s">
        <v>1863</v>
      </c>
      <c r="H2166" s="598">
        <v>14160187</v>
      </c>
      <c r="I2166" s="322" t="s">
        <v>1440</v>
      </c>
      <c r="J2166" s="418"/>
      <c r="K2166" s="248"/>
      <c r="M2166" s="366"/>
      <c r="AF2166">
        <v>10</v>
      </c>
    </row>
    <row r="2167" spans="1:32" x14ac:dyDescent="0.25">
      <c r="A2167" s="308">
        <v>45454</v>
      </c>
      <c r="B2167" s="416">
        <v>1228503</v>
      </c>
      <c r="C2167" s="413" t="str">
        <f>IFERROR(INDEX(Table14[],MATCH($B2167,Table14[SAPNo],0),3),"")</f>
        <v>1618 CT182 U-60 Ring</v>
      </c>
      <c r="D2167" s="306"/>
      <c r="E2167" s="421">
        <v>10</v>
      </c>
      <c r="F2167" s="421"/>
      <c r="G2167" s="417" t="s">
        <v>1863</v>
      </c>
      <c r="H2167" s="598">
        <v>14160187</v>
      </c>
      <c r="I2167" s="322" t="s">
        <v>1440</v>
      </c>
      <c r="J2167" s="418"/>
      <c r="K2167" s="248"/>
      <c r="M2167" s="366"/>
      <c r="AF2167">
        <v>10</v>
      </c>
    </row>
    <row r="2168" spans="1:32" x14ac:dyDescent="0.25">
      <c r="A2168" s="308">
        <v>45454</v>
      </c>
      <c r="B2168" s="416">
        <v>1228502</v>
      </c>
      <c r="C2168" s="413" t="str">
        <f>IFERROR(INDEX(Table14[],MATCH($B2168,Table14[SAPNo],0),3),"")</f>
        <v>1618 CT182 U-60 Rotor</v>
      </c>
      <c r="D2168" s="306"/>
      <c r="E2168" s="421">
        <v>10</v>
      </c>
      <c r="F2168" s="421"/>
      <c r="G2168" s="417" t="s">
        <v>1863</v>
      </c>
      <c r="H2168" s="598">
        <v>14160187</v>
      </c>
      <c r="I2168" s="322" t="s">
        <v>1440</v>
      </c>
      <c r="J2168" s="418"/>
      <c r="K2168" s="248"/>
      <c r="M2168" s="366"/>
      <c r="AF2168">
        <v>10</v>
      </c>
    </row>
    <row r="2169" spans="1:32" x14ac:dyDescent="0.25">
      <c r="A2169" s="308">
        <v>45454</v>
      </c>
      <c r="B2169" s="416">
        <v>1261321</v>
      </c>
      <c r="C2169" s="413" t="str">
        <f>IFERROR(INDEX(Table14[],MATCH($B2169,Table14[SAPNo],0),3),"")</f>
        <v>1613 CT155 U-60</v>
      </c>
      <c r="D2169" s="306"/>
      <c r="E2169" s="421">
        <v>4</v>
      </c>
      <c r="F2169" s="421"/>
      <c r="G2169" s="417" t="s">
        <v>1863</v>
      </c>
      <c r="H2169" s="598">
        <v>14160187</v>
      </c>
      <c r="I2169" s="322" t="s">
        <v>1440</v>
      </c>
      <c r="J2169" s="418"/>
      <c r="K2169" s="248"/>
      <c r="M2169" s="366"/>
      <c r="AF2169">
        <v>4</v>
      </c>
    </row>
    <row r="2170" spans="1:32" x14ac:dyDescent="0.25">
      <c r="A2170" s="308">
        <v>45454</v>
      </c>
      <c r="B2170" s="416">
        <v>1261319</v>
      </c>
      <c r="C2170" s="413" t="str">
        <f>IFERROR(INDEX(Table14[],MATCH($B2170,Table14[SAPNo],0),3),"")</f>
        <v>1308 CT155 U-60</v>
      </c>
      <c r="D2170" s="306"/>
      <c r="E2170" s="421">
        <v>24</v>
      </c>
      <c r="F2170" s="421"/>
      <c r="G2170" s="417" t="s">
        <v>1863</v>
      </c>
      <c r="H2170" s="598">
        <v>14160187</v>
      </c>
      <c r="I2170" s="322" t="s">
        <v>1440</v>
      </c>
      <c r="J2170" s="418"/>
      <c r="K2170" s="248"/>
      <c r="M2170" s="366"/>
      <c r="AF2170">
        <v>24</v>
      </c>
    </row>
    <row r="2171" spans="1:32" x14ac:dyDescent="0.25">
      <c r="A2171" s="308">
        <v>45454</v>
      </c>
      <c r="B2171" s="416">
        <v>871781</v>
      </c>
      <c r="C2171" s="413" t="str">
        <f>IFERROR(INDEX(Table14[],MATCH($B2171,Table14[SAPNo],0),3),"")</f>
        <v>Round 1313 CT200  0.018" (B)</v>
      </c>
      <c r="D2171" s="306"/>
      <c r="E2171" s="421">
        <v>6</v>
      </c>
      <c r="F2171" s="421"/>
      <c r="G2171" s="417" t="s">
        <v>1863</v>
      </c>
      <c r="H2171" s="598">
        <v>14160187</v>
      </c>
      <c r="I2171" s="322" t="s">
        <v>1440</v>
      </c>
      <c r="J2171" s="418"/>
      <c r="K2171" s="248"/>
      <c r="M2171" s="366"/>
      <c r="AF2171">
        <v>6</v>
      </c>
    </row>
    <row r="2172" spans="1:32" x14ac:dyDescent="0.25">
      <c r="A2172" s="308">
        <v>45454</v>
      </c>
      <c r="B2172" s="416">
        <v>1261320</v>
      </c>
      <c r="C2172" s="413" t="str">
        <f>IFERROR(INDEX(Table14[],MATCH($B2172,Table14[SAPNo],0),3),"")</f>
        <v>1313 CT155 U-60</v>
      </c>
      <c r="D2172" s="306"/>
      <c r="E2172" s="421">
        <v>6</v>
      </c>
      <c r="F2172" s="421"/>
      <c r="G2172" s="417" t="s">
        <v>1863</v>
      </c>
      <c r="H2172" s="598">
        <v>14160187</v>
      </c>
      <c r="I2172" s="322" t="s">
        <v>1440</v>
      </c>
      <c r="J2172" s="418"/>
      <c r="K2172" s="248"/>
      <c r="M2172" s="366"/>
      <c r="AF2172">
        <v>6</v>
      </c>
    </row>
    <row r="2173" spans="1:32" x14ac:dyDescent="0.25">
      <c r="A2173" s="308">
        <v>45454</v>
      </c>
      <c r="B2173" s="416">
        <v>1220554</v>
      </c>
      <c r="C2173" s="413" t="str">
        <f>IFERROR(INDEX(Table14[],MATCH($B2173,Table14[SAPNo],0),3),"")</f>
        <v xml:space="preserve">1618 CT182 U-60 Carbide </v>
      </c>
      <c r="D2173" s="306"/>
      <c r="E2173" s="421">
        <v>10</v>
      </c>
      <c r="F2173" s="421"/>
      <c r="G2173" s="417" t="s">
        <v>1863</v>
      </c>
      <c r="H2173" s="598">
        <v>14160187</v>
      </c>
      <c r="I2173" s="322" t="s">
        <v>1440</v>
      </c>
      <c r="J2173" s="418"/>
      <c r="K2173" s="248"/>
      <c r="M2173" s="366"/>
      <c r="AF2173">
        <v>10</v>
      </c>
    </row>
    <row r="2174" spans="1:32" x14ac:dyDescent="0.25">
      <c r="A2174" s="308">
        <v>45454</v>
      </c>
      <c r="B2174" s="416">
        <v>1228501</v>
      </c>
      <c r="C2174" s="413" t="str">
        <f>IFERROR(INDEX(Table14[],MATCH($B2174,Table14[SAPNo],0),3),"")</f>
        <v>1618 CT182 U-60 stator</v>
      </c>
      <c r="D2174" s="306"/>
      <c r="E2174" s="421">
        <v>10</v>
      </c>
      <c r="F2174" s="421"/>
      <c r="G2174" s="417" t="s">
        <v>1864</v>
      </c>
      <c r="H2174" s="598">
        <v>14160188</v>
      </c>
      <c r="I2174" s="322" t="s">
        <v>1440</v>
      </c>
      <c r="J2174" s="418"/>
      <c r="K2174" s="248"/>
      <c r="M2174" s="366"/>
      <c r="AF2174">
        <v>10</v>
      </c>
    </row>
    <row r="2175" spans="1:32" x14ac:dyDescent="0.25">
      <c r="A2175" s="308">
        <v>45454</v>
      </c>
      <c r="B2175" s="416">
        <v>1228502</v>
      </c>
      <c r="C2175" s="413" t="str">
        <f>IFERROR(INDEX(Table14[],MATCH($B2175,Table14[SAPNo],0),3),"")</f>
        <v>1618 CT182 U-60 Rotor</v>
      </c>
      <c r="D2175" s="306"/>
      <c r="E2175" s="421">
        <v>10</v>
      </c>
      <c r="F2175" s="421"/>
      <c r="G2175" s="417" t="s">
        <v>1864</v>
      </c>
      <c r="H2175" s="598">
        <v>14160188</v>
      </c>
      <c r="I2175" s="322" t="s">
        <v>1440</v>
      </c>
      <c r="J2175" s="418"/>
      <c r="K2175" s="248"/>
      <c r="M2175" s="366"/>
      <c r="AF2175">
        <v>10</v>
      </c>
    </row>
    <row r="2176" spans="1:32" x14ac:dyDescent="0.25">
      <c r="A2176" s="308">
        <v>45454</v>
      </c>
      <c r="B2176" s="416">
        <v>1261319</v>
      </c>
      <c r="C2176" s="413" t="str">
        <f>IFERROR(INDEX(Table14[],MATCH($B2176,Table14[SAPNo],0),3),"")</f>
        <v>1308 CT155 U-60</v>
      </c>
      <c r="D2176" s="306"/>
      <c r="E2176" s="421">
        <v>24</v>
      </c>
      <c r="F2176" s="421"/>
      <c r="G2176" s="417" t="s">
        <v>1864</v>
      </c>
      <c r="H2176" s="598">
        <v>14160188</v>
      </c>
      <c r="I2176" s="322" t="s">
        <v>1440</v>
      </c>
      <c r="J2176" s="418"/>
      <c r="K2176" s="248"/>
      <c r="M2176" s="366"/>
      <c r="AF2176">
        <v>24</v>
      </c>
    </row>
    <row r="2177" spans="1:32" x14ac:dyDescent="0.25">
      <c r="A2177" s="308">
        <v>45454</v>
      </c>
      <c r="B2177" s="416">
        <v>871781</v>
      </c>
      <c r="C2177" s="413" t="str">
        <f>IFERROR(INDEX(Table14[],MATCH($B2177,Table14[SAPNo],0),3),"")</f>
        <v>Round 1313 CT200  0.018" (B)</v>
      </c>
      <c r="D2177" s="306"/>
      <c r="E2177" s="421">
        <v>6</v>
      </c>
      <c r="F2177" s="421"/>
      <c r="G2177" s="417" t="s">
        <v>1864</v>
      </c>
      <c r="H2177" s="598">
        <v>14160188</v>
      </c>
      <c r="I2177" s="322" t="s">
        <v>1440</v>
      </c>
      <c r="J2177" s="418"/>
      <c r="K2177" s="248"/>
      <c r="M2177" s="366"/>
      <c r="AF2177">
        <v>6</v>
      </c>
    </row>
    <row r="2178" spans="1:32" x14ac:dyDescent="0.25">
      <c r="A2178" s="308">
        <v>45454</v>
      </c>
      <c r="B2178" s="416">
        <v>1261320</v>
      </c>
      <c r="C2178" s="413" t="str">
        <f>IFERROR(INDEX(Table14[],MATCH($B2178,Table14[SAPNo],0),3),"")</f>
        <v>1313 CT155 U-60</v>
      </c>
      <c r="D2178" s="306"/>
      <c r="E2178" s="421">
        <v>6</v>
      </c>
      <c r="F2178" s="421"/>
      <c r="G2178" s="417" t="s">
        <v>1864</v>
      </c>
      <c r="H2178" s="598">
        <v>14160188</v>
      </c>
      <c r="I2178" s="322" t="s">
        <v>1440</v>
      </c>
      <c r="J2178" s="418"/>
      <c r="K2178" s="248"/>
      <c r="M2178" s="366"/>
      <c r="AF2178">
        <v>6</v>
      </c>
    </row>
    <row r="2179" spans="1:32" x14ac:dyDescent="0.25">
      <c r="A2179" s="308">
        <v>45454</v>
      </c>
      <c r="B2179" s="416">
        <v>1261321</v>
      </c>
      <c r="C2179" s="413" t="str">
        <f>IFERROR(INDEX(Table14[],MATCH($B2179,Table14[SAPNo],0),3),"")</f>
        <v>1613 CT155 U-60</v>
      </c>
      <c r="D2179" s="306"/>
      <c r="E2179" s="421">
        <v>4</v>
      </c>
      <c r="F2179" s="421"/>
      <c r="G2179" s="417" t="s">
        <v>1864</v>
      </c>
      <c r="H2179" s="598">
        <v>14160188</v>
      </c>
      <c r="I2179" s="322" t="s">
        <v>1440</v>
      </c>
      <c r="J2179" s="418"/>
      <c r="K2179" s="248"/>
      <c r="M2179" s="366"/>
      <c r="AF2179">
        <v>4</v>
      </c>
    </row>
    <row r="2180" spans="1:32" x14ac:dyDescent="0.25">
      <c r="A2180" s="308">
        <v>45454</v>
      </c>
      <c r="B2180" s="416">
        <v>1228503</v>
      </c>
      <c r="C2180" s="413" t="str">
        <f>IFERROR(INDEX(Table14[],MATCH($B2180,Table14[SAPNo],0),3),"")</f>
        <v>1618 CT182 U-60 Ring</v>
      </c>
      <c r="D2180" s="306"/>
      <c r="E2180" s="421">
        <v>10</v>
      </c>
      <c r="F2180" s="421"/>
      <c r="G2180" s="417" t="s">
        <v>1864</v>
      </c>
      <c r="H2180" s="598">
        <v>14160188</v>
      </c>
      <c r="I2180" s="322" t="s">
        <v>1440</v>
      </c>
      <c r="J2180" s="418"/>
      <c r="K2180" s="248"/>
      <c r="M2180" s="366"/>
      <c r="AF2180">
        <v>10</v>
      </c>
    </row>
    <row r="2181" spans="1:32" x14ac:dyDescent="0.25">
      <c r="A2181" s="320">
        <v>45454</v>
      </c>
      <c r="B2181" s="419">
        <v>1220554</v>
      </c>
      <c r="C2181" s="413" t="str">
        <f>IFERROR(INDEX(Table14[],MATCH($B2181,Table14[SAPNo],0),3),"")</f>
        <v xml:space="preserve">1618 CT182 U-60 Carbide </v>
      </c>
      <c r="D2181" s="306"/>
      <c r="E2181" s="421">
        <v>10</v>
      </c>
      <c r="F2181" s="421"/>
      <c r="G2181" s="420" t="s">
        <v>1864</v>
      </c>
      <c r="H2181" s="599">
        <v>14160188</v>
      </c>
      <c r="I2181" s="322" t="s">
        <v>1440</v>
      </c>
      <c r="J2181" s="421"/>
      <c r="K2181" s="422"/>
      <c r="M2181" s="366"/>
      <c r="AF2181">
        <v>10</v>
      </c>
    </row>
    <row r="2182" spans="1:32" x14ac:dyDescent="0.25">
      <c r="A2182" s="308">
        <v>45455</v>
      </c>
      <c r="B2182" s="416">
        <v>871781</v>
      </c>
      <c r="C2182" s="413" t="str">
        <f>IFERROR(INDEX(Table14[],MATCH($B2182,Table14[SAPNo],0),3),"")</f>
        <v>Round 1313 CT200  0.018" (B)</v>
      </c>
      <c r="D2182" s="306"/>
      <c r="E2182" s="421">
        <v>6</v>
      </c>
      <c r="F2182" s="421"/>
      <c r="G2182" s="417" t="s">
        <v>1865</v>
      </c>
      <c r="H2182" s="598">
        <v>14198200</v>
      </c>
      <c r="I2182" s="322" t="s">
        <v>1866</v>
      </c>
      <c r="J2182" s="418"/>
      <c r="K2182" s="248"/>
      <c r="M2182" s="422"/>
      <c r="AF2182">
        <v>6</v>
      </c>
    </row>
    <row r="2183" spans="1:32" x14ac:dyDescent="0.25">
      <c r="A2183" s="308">
        <v>45455</v>
      </c>
      <c r="B2183" s="416">
        <v>647435</v>
      </c>
      <c r="C2183" s="413" t="str">
        <f>IFERROR(INDEX(Table14[],MATCH($B2183,Table14[SAPNo],0),3),"")</f>
        <v>Round 1608 CT200  0.018" (B)</v>
      </c>
      <c r="D2183" s="306"/>
      <c r="E2183" s="421">
        <v>23</v>
      </c>
      <c r="F2183" s="421"/>
      <c r="G2183" s="417" t="s">
        <v>1865</v>
      </c>
      <c r="H2183" s="598">
        <v>14198200</v>
      </c>
      <c r="I2183" s="322" t="s">
        <v>1866</v>
      </c>
      <c r="J2183" s="418"/>
      <c r="K2183" s="248"/>
      <c r="M2183" s="366"/>
      <c r="AF2183">
        <v>23</v>
      </c>
    </row>
    <row r="2184" spans="1:32" x14ac:dyDescent="0.25">
      <c r="A2184" s="308">
        <v>45455</v>
      </c>
      <c r="B2184" s="416">
        <v>1100755</v>
      </c>
      <c r="C2184" s="413" t="str">
        <f>IFERROR(INDEX(Table14[],MATCH($B2184,Table14[SAPNo],0),3),"")</f>
        <v>Round 1613 CT421  0.018" (S)</v>
      </c>
      <c r="D2184" s="306"/>
      <c r="E2184" s="421">
        <v>33</v>
      </c>
      <c r="F2184" s="421"/>
      <c r="G2184" s="417" t="s">
        <v>1865</v>
      </c>
      <c r="H2184" s="598">
        <v>14198200</v>
      </c>
      <c r="I2184" s="322" t="s">
        <v>1866</v>
      </c>
      <c r="J2184" s="418"/>
      <c r="K2184" s="248"/>
      <c r="M2184" s="366"/>
      <c r="AF2184">
        <v>33</v>
      </c>
    </row>
    <row r="2185" spans="1:32" x14ac:dyDescent="0.25">
      <c r="A2185" s="308">
        <v>45455</v>
      </c>
      <c r="B2185" s="416">
        <v>1261319</v>
      </c>
      <c r="C2185" s="413" t="str">
        <f>IFERROR(INDEX(Table14[],MATCH($B2185,Table14[SAPNo],0),3),"")</f>
        <v>1308 CT155 U-60</v>
      </c>
      <c r="D2185" s="306"/>
      <c r="E2185" s="421">
        <v>24</v>
      </c>
      <c r="F2185" s="421"/>
      <c r="G2185" s="417" t="s">
        <v>1867</v>
      </c>
      <c r="H2185" s="598">
        <v>14160189</v>
      </c>
      <c r="I2185" s="322" t="s">
        <v>1440</v>
      </c>
      <c r="J2185" s="418"/>
      <c r="K2185" s="248"/>
      <c r="M2185" s="366"/>
      <c r="AF2185">
        <v>24</v>
      </c>
    </row>
    <row r="2186" spans="1:32" x14ac:dyDescent="0.25">
      <c r="A2186" s="308">
        <v>45455</v>
      </c>
      <c r="B2186" s="416">
        <v>1228501</v>
      </c>
      <c r="C2186" s="413" t="str">
        <f>IFERROR(INDEX(Table14[],MATCH($B2186,Table14[SAPNo],0),3),"")</f>
        <v>1618 CT182 U-60 stator</v>
      </c>
      <c r="D2186" s="306"/>
      <c r="E2186" s="421">
        <v>10</v>
      </c>
      <c r="F2186" s="421"/>
      <c r="G2186" s="417" t="s">
        <v>1867</v>
      </c>
      <c r="H2186" s="598">
        <v>14160189</v>
      </c>
      <c r="I2186" s="322" t="s">
        <v>1440</v>
      </c>
      <c r="J2186" s="418"/>
      <c r="K2186" s="248"/>
      <c r="M2186" s="366"/>
      <c r="AF2186">
        <v>10</v>
      </c>
    </row>
    <row r="2187" spans="1:32" x14ac:dyDescent="0.25">
      <c r="A2187" s="308">
        <v>45455</v>
      </c>
      <c r="B2187" s="416">
        <v>871781</v>
      </c>
      <c r="C2187" s="413" t="str">
        <f>IFERROR(INDEX(Table14[],MATCH($B2187,Table14[SAPNo],0),3),"")</f>
        <v>Round 1313 CT200  0.018" (B)</v>
      </c>
      <c r="D2187" s="306"/>
      <c r="E2187" s="421">
        <v>6</v>
      </c>
      <c r="F2187" s="421"/>
      <c r="G2187" s="417" t="s">
        <v>1867</v>
      </c>
      <c r="H2187" s="598">
        <v>14160189</v>
      </c>
      <c r="I2187" s="322" t="s">
        <v>1440</v>
      </c>
      <c r="J2187" s="418"/>
      <c r="K2187" s="248"/>
      <c r="M2187" s="366"/>
      <c r="AF2187">
        <v>6</v>
      </c>
    </row>
    <row r="2188" spans="1:32" x14ac:dyDescent="0.25">
      <c r="A2188" s="308">
        <v>45455</v>
      </c>
      <c r="B2188" s="416">
        <v>1228502</v>
      </c>
      <c r="C2188" s="413" t="str">
        <f>IFERROR(INDEX(Table14[],MATCH($B2188,Table14[SAPNo],0),3),"")</f>
        <v>1618 CT182 U-60 Rotor</v>
      </c>
      <c r="D2188" s="306"/>
      <c r="E2188" s="421">
        <v>10</v>
      </c>
      <c r="F2188" s="421"/>
      <c r="G2188" s="417" t="s">
        <v>1867</v>
      </c>
      <c r="H2188" s="598">
        <v>14160189</v>
      </c>
      <c r="I2188" s="322" t="s">
        <v>1440</v>
      </c>
      <c r="J2188" s="418"/>
      <c r="K2188" s="248"/>
      <c r="M2188" s="366"/>
      <c r="AF2188">
        <v>10</v>
      </c>
    </row>
    <row r="2189" spans="1:32" x14ac:dyDescent="0.25">
      <c r="A2189" s="308">
        <v>45455</v>
      </c>
      <c r="B2189" s="416">
        <v>1261321</v>
      </c>
      <c r="C2189" s="413" t="str">
        <f>IFERROR(INDEX(Table14[],MATCH($B2189,Table14[SAPNo],0),3),"")</f>
        <v>1613 CT155 U-60</v>
      </c>
      <c r="D2189" s="306"/>
      <c r="E2189" s="421">
        <v>4</v>
      </c>
      <c r="F2189" s="421"/>
      <c r="G2189" s="417" t="s">
        <v>1867</v>
      </c>
      <c r="H2189" s="598">
        <v>14160189</v>
      </c>
      <c r="I2189" s="322" t="s">
        <v>1440</v>
      </c>
      <c r="J2189" s="418"/>
      <c r="K2189" s="248"/>
      <c r="M2189" s="366"/>
      <c r="AF2189">
        <v>4</v>
      </c>
    </row>
    <row r="2190" spans="1:32" x14ac:dyDescent="0.25">
      <c r="A2190" s="308">
        <v>45455</v>
      </c>
      <c r="B2190" s="416">
        <v>1228503</v>
      </c>
      <c r="C2190" s="413" t="str">
        <f>IFERROR(INDEX(Table14[],MATCH($B2190,Table14[SAPNo],0),3),"")</f>
        <v>1618 CT182 U-60 Ring</v>
      </c>
      <c r="D2190" s="306"/>
      <c r="E2190" s="421">
        <v>10</v>
      </c>
      <c r="F2190" s="421"/>
      <c r="G2190" s="417" t="s">
        <v>1867</v>
      </c>
      <c r="H2190" s="598">
        <v>14160189</v>
      </c>
      <c r="I2190" s="322" t="s">
        <v>1440</v>
      </c>
      <c r="J2190" s="418"/>
      <c r="K2190" s="248"/>
      <c r="M2190" s="366"/>
      <c r="AF2190">
        <v>10</v>
      </c>
    </row>
    <row r="2191" spans="1:32" x14ac:dyDescent="0.25">
      <c r="A2191" s="308">
        <v>45455</v>
      </c>
      <c r="B2191" s="416">
        <v>1261320</v>
      </c>
      <c r="C2191" s="413" t="str">
        <f>IFERROR(INDEX(Table14[],MATCH($B2191,Table14[SAPNo],0),3),"")</f>
        <v>1313 CT155 U-60</v>
      </c>
      <c r="D2191" s="306"/>
      <c r="E2191" s="421">
        <v>6</v>
      </c>
      <c r="F2191" s="421"/>
      <c r="G2191" s="417" t="s">
        <v>1867</v>
      </c>
      <c r="H2191" s="598">
        <v>14160189</v>
      </c>
      <c r="I2191" s="322" t="s">
        <v>1440</v>
      </c>
      <c r="J2191" s="418"/>
      <c r="K2191" s="248"/>
      <c r="M2191" s="366"/>
      <c r="AF2191">
        <v>6</v>
      </c>
    </row>
    <row r="2192" spans="1:32" x14ac:dyDescent="0.25">
      <c r="A2192" s="308">
        <v>45455</v>
      </c>
      <c r="B2192" s="416">
        <v>1220554</v>
      </c>
      <c r="C2192" s="413" t="str">
        <f>IFERROR(INDEX(Table14[],MATCH($B2192,Table14[SAPNo],0),3),"")</f>
        <v xml:space="preserve">1618 CT182 U-60 Carbide </v>
      </c>
      <c r="D2192" s="306"/>
      <c r="E2192" s="421">
        <v>10</v>
      </c>
      <c r="F2192" s="421"/>
      <c r="G2192" s="417" t="s">
        <v>1867</v>
      </c>
      <c r="H2192" s="598">
        <v>14160189</v>
      </c>
      <c r="I2192" s="322" t="s">
        <v>1440</v>
      </c>
      <c r="J2192" s="418"/>
      <c r="K2192" s="248"/>
      <c r="M2192" s="366"/>
      <c r="AF2192">
        <v>10</v>
      </c>
    </row>
    <row r="2193" spans="1:32" x14ac:dyDescent="0.25">
      <c r="A2193" s="308">
        <v>45455</v>
      </c>
      <c r="B2193" s="416">
        <v>1228501</v>
      </c>
      <c r="C2193" s="413" t="str">
        <f>IFERROR(INDEX(Table14[],MATCH($B2193,Table14[SAPNo],0),3),"")</f>
        <v>1618 CT182 U-60 stator</v>
      </c>
      <c r="D2193" s="306"/>
      <c r="E2193" s="421">
        <v>10</v>
      </c>
      <c r="F2193" s="421"/>
      <c r="G2193" s="417" t="s">
        <v>1868</v>
      </c>
      <c r="H2193" s="598">
        <v>14160184</v>
      </c>
      <c r="I2193" s="322" t="s">
        <v>1440</v>
      </c>
      <c r="J2193" s="418"/>
      <c r="K2193" s="248"/>
      <c r="M2193" s="366"/>
      <c r="AF2193">
        <v>10</v>
      </c>
    </row>
    <row r="2194" spans="1:32" x14ac:dyDescent="0.25">
      <c r="A2194" s="308">
        <v>45455</v>
      </c>
      <c r="B2194" s="416">
        <v>1228502</v>
      </c>
      <c r="C2194" s="413" t="str">
        <f>IFERROR(INDEX(Table14[],MATCH($B2194,Table14[SAPNo],0),3),"")</f>
        <v>1618 CT182 U-60 Rotor</v>
      </c>
      <c r="D2194" s="306"/>
      <c r="E2194" s="421">
        <v>10</v>
      </c>
      <c r="F2194" s="421"/>
      <c r="G2194" s="417" t="s">
        <v>1868</v>
      </c>
      <c r="H2194" s="598">
        <v>14160184</v>
      </c>
      <c r="I2194" s="322" t="s">
        <v>1440</v>
      </c>
      <c r="J2194" s="418"/>
      <c r="K2194" s="248"/>
      <c r="M2194" s="366"/>
      <c r="AF2194">
        <v>10</v>
      </c>
    </row>
    <row r="2195" spans="1:32" x14ac:dyDescent="0.25">
      <c r="A2195" s="308">
        <v>45455</v>
      </c>
      <c r="B2195" s="416">
        <v>1228503</v>
      </c>
      <c r="C2195" s="413" t="str">
        <f>IFERROR(INDEX(Table14[],MATCH($B2195,Table14[SAPNo],0),3),"")</f>
        <v>1618 CT182 U-60 Ring</v>
      </c>
      <c r="D2195" s="306"/>
      <c r="E2195" s="421">
        <v>10</v>
      </c>
      <c r="F2195" s="421"/>
      <c r="G2195" s="417" t="s">
        <v>1868</v>
      </c>
      <c r="H2195" s="598">
        <v>14160184</v>
      </c>
      <c r="I2195" s="322" t="s">
        <v>1440</v>
      </c>
      <c r="J2195" s="418"/>
      <c r="K2195" s="248"/>
      <c r="M2195" s="366"/>
      <c r="AF2195">
        <v>10</v>
      </c>
    </row>
    <row r="2196" spans="1:32" x14ac:dyDescent="0.25">
      <c r="A2196" s="308">
        <v>45455</v>
      </c>
      <c r="B2196" s="416">
        <v>1261319</v>
      </c>
      <c r="C2196" s="413" t="str">
        <f>IFERROR(INDEX(Table14[],MATCH($B2196,Table14[SAPNo],0),3),"")</f>
        <v>1308 CT155 U-60</v>
      </c>
      <c r="D2196" s="306"/>
      <c r="E2196" s="421">
        <v>24</v>
      </c>
      <c r="F2196" s="421"/>
      <c r="G2196" s="417" t="s">
        <v>1868</v>
      </c>
      <c r="H2196" s="598">
        <v>14160184</v>
      </c>
      <c r="I2196" s="322" t="s">
        <v>1440</v>
      </c>
      <c r="J2196" s="418"/>
      <c r="K2196" s="248"/>
      <c r="M2196" s="366"/>
      <c r="AF2196">
        <v>24</v>
      </c>
    </row>
    <row r="2197" spans="1:32" x14ac:dyDescent="0.25">
      <c r="A2197" s="308">
        <v>45455</v>
      </c>
      <c r="B2197" s="416">
        <v>1261320</v>
      </c>
      <c r="C2197" s="413" t="str">
        <f>IFERROR(INDEX(Table14[],MATCH($B2197,Table14[SAPNo],0),3),"")</f>
        <v>1313 CT155 U-60</v>
      </c>
      <c r="D2197" s="306"/>
      <c r="E2197" s="421">
        <v>6</v>
      </c>
      <c r="F2197" s="421"/>
      <c r="G2197" s="417" t="s">
        <v>1868</v>
      </c>
      <c r="H2197" s="598">
        <v>14160184</v>
      </c>
      <c r="I2197" s="322" t="s">
        <v>1440</v>
      </c>
      <c r="J2197" s="418"/>
      <c r="K2197" s="248"/>
      <c r="M2197" s="366"/>
      <c r="AF2197">
        <v>6</v>
      </c>
    </row>
    <row r="2198" spans="1:32" x14ac:dyDescent="0.25">
      <c r="A2198" s="308">
        <v>45455</v>
      </c>
      <c r="B2198" s="416">
        <v>1261321</v>
      </c>
      <c r="C2198" s="413" t="str">
        <f>IFERROR(INDEX(Table14[],MATCH($B2198,Table14[SAPNo],0),3),"")</f>
        <v>1613 CT155 U-60</v>
      </c>
      <c r="D2198" s="306"/>
      <c r="E2198" s="421">
        <v>4</v>
      </c>
      <c r="F2198" s="421"/>
      <c r="G2198" s="417" t="s">
        <v>1868</v>
      </c>
      <c r="H2198" s="598">
        <v>14160184</v>
      </c>
      <c r="I2198" s="322" t="s">
        <v>1440</v>
      </c>
      <c r="J2198" s="418"/>
      <c r="K2198" s="248"/>
      <c r="M2198" s="366"/>
      <c r="AF2198">
        <v>4</v>
      </c>
    </row>
    <row r="2199" spans="1:32" x14ac:dyDescent="0.25">
      <c r="A2199" s="308">
        <v>45455</v>
      </c>
      <c r="B2199" s="416">
        <v>871781</v>
      </c>
      <c r="C2199" s="413" t="str">
        <f>IFERROR(INDEX(Table14[],MATCH($B2199,Table14[SAPNo],0),3),"")</f>
        <v>Round 1313 CT200  0.018" (B)</v>
      </c>
      <c r="D2199" s="306"/>
      <c r="E2199" s="421">
        <v>6</v>
      </c>
      <c r="F2199" s="421"/>
      <c r="G2199" s="417" t="s">
        <v>1868</v>
      </c>
      <c r="H2199" s="598">
        <v>14160184</v>
      </c>
      <c r="I2199" s="322" t="s">
        <v>1440</v>
      </c>
      <c r="J2199" s="418"/>
      <c r="K2199" s="248"/>
      <c r="M2199" s="366"/>
      <c r="AF2199">
        <v>6</v>
      </c>
    </row>
    <row r="2200" spans="1:32" x14ac:dyDescent="0.25">
      <c r="A2200" s="308">
        <v>45455</v>
      </c>
      <c r="B2200" s="416">
        <v>1220554</v>
      </c>
      <c r="C2200" s="413" t="str">
        <f>IFERROR(INDEX(Table14[],MATCH($B2200,Table14[SAPNo],0),3),"")</f>
        <v xml:space="preserve">1618 CT182 U-60 Carbide </v>
      </c>
      <c r="D2200" s="306"/>
      <c r="E2200" s="421">
        <v>10</v>
      </c>
      <c r="F2200" s="421"/>
      <c r="G2200" s="417" t="s">
        <v>1868</v>
      </c>
      <c r="H2200" s="598">
        <v>14160184</v>
      </c>
      <c r="I2200" s="322" t="s">
        <v>1440</v>
      </c>
      <c r="J2200" s="418"/>
      <c r="K2200" s="248"/>
      <c r="M2200" s="366"/>
      <c r="AF2200">
        <v>10</v>
      </c>
    </row>
    <row r="2201" spans="1:32" x14ac:dyDescent="0.25">
      <c r="A2201" s="308">
        <v>45455</v>
      </c>
      <c r="B2201" s="416">
        <v>1228503</v>
      </c>
      <c r="C2201" s="413" t="str">
        <f>IFERROR(INDEX(Table14[],MATCH($B2201,Table14[SAPNo],0),3),"")</f>
        <v>1618 CT182 U-60 Ring</v>
      </c>
      <c r="D2201" s="306"/>
      <c r="E2201" s="421">
        <v>10</v>
      </c>
      <c r="F2201" s="421"/>
      <c r="G2201" s="417" t="s">
        <v>1869</v>
      </c>
      <c r="H2201" s="598">
        <v>14160185</v>
      </c>
      <c r="I2201" s="322" t="s">
        <v>1440</v>
      </c>
      <c r="J2201" s="418"/>
      <c r="K2201" s="248"/>
      <c r="M2201" s="366"/>
      <c r="AF2201">
        <v>10</v>
      </c>
    </row>
    <row r="2202" spans="1:32" x14ac:dyDescent="0.25">
      <c r="A2202" s="308">
        <v>45455</v>
      </c>
      <c r="B2202" s="416">
        <v>871781</v>
      </c>
      <c r="C2202" s="413" t="str">
        <f>IFERROR(INDEX(Table14[],MATCH($B2202,Table14[SAPNo],0),3),"")</f>
        <v>Round 1313 CT200  0.018" (B)</v>
      </c>
      <c r="D2202" s="306"/>
      <c r="E2202" s="421">
        <v>6</v>
      </c>
      <c r="F2202" s="421"/>
      <c r="G2202" s="417" t="s">
        <v>1869</v>
      </c>
      <c r="H2202" s="598">
        <v>14160185</v>
      </c>
      <c r="I2202" s="322" t="s">
        <v>1440</v>
      </c>
      <c r="J2202" s="418"/>
      <c r="K2202" s="248"/>
      <c r="M2202" s="366"/>
      <c r="AF2202">
        <v>6</v>
      </c>
    </row>
    <row r="2203" spans="1:32" x14ac:dyDescent="0.25">
      <c r="A2203" s="308">
        <v>45455</v>
      </c>
      <c r="B2203" s="416">
        <v>1228502</v>
      </c>
      <c r="C2203" s="413" t="str">
        <f>IFERROR(INDEX(Table14[],MATCH($B2203,Table14[SAPNo],0),3),"")</f>
        <v>1618 CT182 U-60 Rotor</v>
      </c>
      <c r="D2203" s="306"/>
      <c r="E2203" s="421">
        <v>10</v>
      </c>
      <c r="F2203" s="421"/>
      <c r="G2203" s="417" t="s">
        <v>1869</v>
      </c>
      <c r="H2203" s="598">
        <v>14160185</v>
      </c>
      <c r="I2203" s="322" t="s">
        <v>1440</v>
      </c>
      <c r="J2203" s="418"/>
      <c r="K2203" s="248"/>
      <c r="M2203" s="366"/>
      <c r="AF2203">
        <v>10</v>
      </c>
    </row>
    <row r="2204" spans="1:32" x14ac:dyDescent="0.25">
      <c r="A2204" s="308">
        <v>45455</v>
      </c>
      <c r="B2204" s="416">
        <v>1261320</v>
      </c>
      <c r="C2204" s="413" t="str">
        <f>IFERROR(INDEX(Table14[],MATCH($B2204,Table14[SAPNo],0),3),"")</f>
        <v>1313 CT155 U-60</v>
      </c>
      <c r="D2204" s="306"/>
      <c r="E2204" s="421">
        <v>6</v>
      </c>
      <c r="F2204" s="421"/>
      <c r="G2204" s="417" t="s">
        <v>1869</v>
      </c>
      <c r="H2204" s="598">
        <v>14160185</v>
      </c>
      <c r="I2204" s="322" t="s">
        <v>1440</v>
      </c>
      <c r="J2204" s="418"/>
      <c r="K2204" s="248"/>
      <c r="M2204" s="366"/>
      <c r="AF2204">
        <v>6</v>
      </c>
    </row>
    <row r="2205" spans="1:32" x14ac:dyDescent="0.25">
      <c r="A2205" s="308">
        <v>45455</v>
      </c>
      <c r="B2205" s="416">
        <v>1228501</v>
      </c>
      <c r="C2205" s="413" t="str">
        <f>IFERROR(INDEX(Table14[],MATCH($B2205,Table14[SAPNo],0),3),"")</f>
        <v>1618 CT182 U-60 stator</v>
      </c>
      <c r="D2205" s="306"/>
      <c r="E2205" s="421">
        <v>10</v>
      </c>
      <c r="F2205" s="421"/>
      <c r="G2205" s="417" t="s">
        <v>1869</v>
      </c>
      <c r="H2205" s="598">
        <v>14160185</v>
      </c>
      <c r="I2205" s="322" t="s">
        <v>1440</v>
      </c>
      <c r="J2205" s="418"/>
      <c r="K2205" s="248"/>
      <c r="M2205" s="366"/>
      <c r="AF2205">
        <v>10</v>
      </c>
    </row>
    <row r="2206" spans="1:32" x14ac:dyDescent="0.25">
      <c r="A2206" s="308">
        <v>45455</v>
      </c>
      <c r="B2206" s="416">
        <v>1261321</v>
      </c>
      <c r="C2206" s="413" t="str">
        <f>IFERROR(INDEX(Table14[],MATCH($B2206,Table14[SAPNo],0),3),"")</f>
        <v>1613 CT155 U-60</v>
      </c>
      <c r="D2206" s="306"/>
      <c r="E2206" s="421">
        <v>4</v>
      </c>
      <c r="F2206" s="421"/>
      <c r="G2206" s="417" t="s">
        <v>1869</v>
      </c>
      <c r="H2206" s="598">
        <v>14160185</v>
      </c>
      <c r="I2206" s="322" t="s">
        <v>1440</v>
      </c>
      <c r="J2206" s="418"/>
      <c r="K2206" s="248"/>
      <c r="M2206" s="366"/>
      <c r="AF2206">
        <v>4</v>
      </c>
    </row>
    <row r="2207" spans="1:32" x14ac:dyDescent="0.25">
      <c r="A2207" s="308">
        <v>45455</v>
      </c>
      <c r="B2207" s="416">
        <v>1261319</v>
      </c>
      <c r="C2207" s="413" t="str">
        <f>IFERROR(INDEX(Table14[],MATCH($B2207,Table14[SAPNo],0),3),"")</f>
        <v>1308 CT155 U-60</v>
      </c>
      <c r="D2207" s="306"/>
      <c r="E2207" s="421">
        <v>24</v>
      </c>
      <c r="F2207" s="421"/>
      <c r="G2207" s="417" t="s">
        <v>1869</v>
      </c>
      <c r="H2207" s="598">
        <v>14160185</v>
      </c>
      <c r="I2207" s="322" t="s">
        <v>1440</v>
      </c>
      <c r="J2207" s="418"/>
      <c r="K2207" s="248"/>
      <c r="M2207" s="366"/>
      <c r="AF2207">
        <v>24</v>
      </c>
    </row>
    <row r="2208" spans="1:32" x14ac:dyDescent="0.25">
      <c r="A2208" s="320">
        <v>45455</v>
      </c>
      <c r="B2208" s="419">
        <v>1220554</v>
      </c>
      <c r="C2208" s="413" t="str">
        <f>IFERROR(INDEX(Table14[],MATCH($B2208,Table14[SAPNo],0),3),"")</f>
        <v xml:space="preserve">1618 CT182 U-60 Carbide </v>
      </c>
      <c r="D2208" s="306"/>
      <c r="E2208" s="421">
        <v>10</v>
      </c>
      <c r="F2208" s="421"/>
      <c r="G2208" s="420" t="s">
        <v>1869</v>
      </c>
      <c r="H2208" s="599">
        <v>14160185</v>
      </c>
      <c r="I2208" s="322" t="s">
        <v>1440</v>
      </c>
      <c r="J2208" s="421"/>
      <c r="K2208" s="422"/>
      <c r="M2208" s="366"/>
      <c r="AF2208">
        <v>10</v>
      </c>
    </row>
    <row r="2209" spans="1:32" x14ac:dyDescent="0.25">
      <c r="A2209" s="308">
        <v>45459</v>
      </c>
      <c r="B2209" s="416">
        <v>418525</v>
      </c>
      <c r="C2209" s="413" t="str">
        <f>IFERROR(INDEX(Table14[],MATCH($B2209,Table14[SAPNo],0),3),"")</f>
        <v>Drop In 1308 CT31   (B)</v>
      </c>
      <c r="D2209" s="306"/>
      <c r="E2209" s="421">
        <v>8</v>
      </c>
      <c r="F2209" s="421"/>
      <c r="G2209" s="417">
        <v>20241093</v>
      </c>
      <c r="H2209" s="598" t="s">
        <v>1870</v>
      </c>
      <c r="I2209" s="322" t="s">
        <v>1871</v>
      </c>
      <c r="J2209" s="418"/>
      <c r="K2209" s="248"/>
      <c r="M2209" s="422"/>
      <c r="AF2209">
        <v>8</v>
      </c>
    </row>
    <row r="2210" spans="1:32" x14ac:dyDescent="0.25">
      <c r="A2210" s="308">
        <v>45459</v>
      </c>
      <c r="B2210" s="416">
        <v>1209332</v>
      </c>
      <c r="C2210" s="413" t="str">
        <f>IFERROR(INDEX(Table14[],MATCH($B2210,Table14[SAPNo],0),3),"")</f>
        <v>1313 CT147G U</v>
      </c>
      <c r="D2210" s="306"/>
      <c r="E2210" s="421"/>
      <c r="F2210" s="421"/>
      <c r="G2210" s="417">
        <v>20241094</v>
      </c>
      <c r="H2210" s="598" t="s">
        <v>1872</v>
      </c>
      <c r="I2210" s="322" t="s">
        <v>1873</v>
      </c>
      <c r="J2210" s="418">
        <v>4</v>
      </c>
      <c r="K2210" s="248"/>
      <c r="M2210" s="366"/>
    </row>
    <row r="2211" spans="1:32" x14ac:dyDescent="0.25">
      <c r="A2211" s="308">
        <v>45459</v>
      </c>
      <c r="B2211" s="416">
        <v>1145493</v>
      </c>
      <c r="C2211" s="413" t="str">
        <f>IFERROR(INDEX(Table14[],MATCH($B2211,Table14[SAPNo],0),3),"")</f>
        <v>Round 1313 CT427  10C (S)</v>
      </c>
      <c r="D2211" s="306"/>
      <c r="E2211" s="421"/>
      <c r="F2211" s="421"/>
      <c r="G2211" s="417">
        <v>20241094</v>
      </c>
      <c r="H2211" s="598" t="s">
        <v>1872</v>
      </c>
      <c r="I2211" s="322" t="s">
        <v>1873</v>
      </c>
      <c r="J2211" s="418">
        <v>2</v>
      </c>
      <c r="K2211" s="248"/>
      <c r="M2211" s="366"/>
    </row>
    <row r="2212" spans="1:32" x14ac:dyDescent="0.25">
      <c r="A2212" s="308">
        <v>45459</v>
      </c>
      <c r="B2212" s="416">
        <v>418525</v>
      </c>
      <c r="C2212" s="413" t="str">
        <f>IFERROR(INDEX(Table14[],MATCH($B2212,Table14[SAPNo],0),3),"")</f>
        <v>Drop In 1308 CT31   (B)</v>
      </c>
      <c r="D2212" s="306"/>
      <c r="E2212" s="421">
        <v>1</v>
      </c>
      <c r="F2212" s="421"/>
      <c r="G2212" s="417">
        <v>20241094</v>
      </c>
      <c r="H2212" s="598" t="s">
        <v>1872</v>
      </c>
      <c r="I2212" s="322" t="s">
        <v>1873</v>
      </c>
      <c r="J2212" s="418"/>
      <c r="K2212" s="248"/>
      <c r="M2212" s="366"/>
      <c r="AF2212">
        <v>1</v>
      </c>
    </row>
    <row r="2213" spans="1:32" x14ac:dyDescent="0.25">
      <c r="A2213" s="308">
        <v>45456</v>
      </c>
      <c r="B2213" s="416">
        <v>1145493</v>
      </c>
      <c r="C2213" s="413" t="str">
        <f>IFERROR(INDEX(Table14[],MATCH($B2213,Table14[SAPNo],0),3),"")</f>
        <v>Round 1313 CT427  10C (S)</v>
      </c>
      <c r="D2213" s="306"/>
      <c r="E2213" s="421">
        <v>13</v>
      </c>
      <c r="F2213" s="421"/>
      <c r="G2213" s="417" t="s">
        <v>1874</v>
      </c>
      <c r="H2213" s="598">
        <v>14198197</v>
      </c>
      <c r="I2213" s="322" t="s">
        <v>1582</v>
      </c>
      <c r="J2213" s="418"/>
      <c r="K2213" s="248"/>
      <c r="M2213" s="366"/>
      <c r="AF2213">
        <v>13</v>
      </c>
    </row>
    <row r="2214" spans="1:32" x14ac:dyDescent="0.25">
      <c r="A2214" s="308">
        <v>45456</v>
      </c>
      <c r="B2214" s="416">
        <v>418525</v>
      </c>
      <c r="C2214" s="413" t="str">
        <f>IFERROR(INDEX(Table14[],MATCH($B2214,Table14[SAPNo],0),3),"")</f>
        <v>Drop In 1308 CT31   (B)</v>
      </c>
      <c r="D2214" s="306"/>
      <c r="E2214" s="421">
        <v>10</v>
      </c>
      <c r="F2214" s="421"/>
      <c r="G2214" s="417" t="s">
        <v>1874</v>
      </c>
      <c r="H2214" s="598">
        <v>14198197</v>
      </c>
      <c r="I2214" s="322" t="s">
        <v>1582</v>
      </c>
      <c r="J2214" s="418"/>
      <c r="K2214" s="248"/>
      <c r="M2214" s="366"/>
      <c r="AF2214">
        <v>10</v>
      </c>
    </row>
    <row r="2215" spans="1:32" x14ac:dyDescent="0.25">
      <c r="A2215" s="308">
        <v>45456</v>
      </c>
      <c r="B2215" s="416">
        <v>1209332</v>
      </c>
      <c r="C2215" s="413" t="str">
        <f>IFERROR(INDEX(Table14[],MATCH($B2215,Table14[SAPNo],0),3),"")</f>
        <v>1313 CT147G U</v>
      </c>
      <c r="D2215" s="306"/>
      <c r="E2215" s="421">
        <v>7</v>
      </c>
      <c r="F2215" s="421"/>
      <c r="G2215" s="417" t="s">
        <v>1874</v>
      </c>
      <c r="H2215" s="598">
        <v>14198197</v>
      </c>
      <c r="I2215" s="322" t="s">
        <v>1582</v>
      </c>
      <c r="J2215" s="418"/>
      <c r="K2215" s="248"/>
      <c r="M2215" s="366"/>
      <c r="AF2215">
        <v>7</v>
      </c>
    </row>
    <row r="2216" spans="1:32" x14ac:dyDescent="0.25">
      <c r="A2216" s="308">
        <v>45456</v>
      </c>
      <c r="B2216" s="416">
        <v>1145493</v>
      </c>
      <c r="C2216" s="413" t="str">
        <f>IFERROR(INDEX(Table14[],MATCH($B2216,Table14[SAPNo],0),3),"")</f>
        <v>Round 1313 CT427  10C (S)</v>
      </c>
      <c r="D2216" s="306"/>
      <c r="E2216" s="421"/>
      <c r="F2216" s="421"/>
      <c r="G2216" s="417" t="s">
        <v>1875</v>
      </c>
      <c r="H2216" s="598">
        <v>14198197</v>
      </c>
      <c r="I2216" s="322" t="s">
        <v>1582</v>
      </c>
      <c r="J2216" s="418"/>
      <c r="K2216" s="248"/>
      <c r="M2216" s="366"/>
    </row>
    <row r="2217" spans="1:32" x14ac:dyDescent="0.25">
      <c r="A2217" s="308">
        <v>45456</v>
      </c>
      <c r="B2217" s="416">
        <v>1261320</v>
      </c>
      <c r="C2217" s="413" t="str">
        <f>IFERROR(INDEX(Table14[],MATCH($B2217,Table14[SAPNo],0),3),"")</f>
        <v>1313 CT155 U-60</v>
      </c>
      <c r="D2217" s="306"/>
      <c r="E2217" s="421">
        <v>6</v>
      </c>
      <c r="F2217" s="421"/>
      <c r="G2217" s="417" t="s">
        <v>1876</v>
      </c>
      <c r="H2217" s="598">
        <v>14160190</v>
      </c>
      <c r="I2217" s="322" t="s">
        <v>1440</v>
      </c>
      <c r="J2217" s="418"/>
      <c r="K2217" s="248"/>
      <c r="M2217" s="366"/>
      <c r="AF2217">
        <v>6</v>
      </c>
    </row>
    <row r="2218" spans="1:32" x14ac:dyDescent="0.25">
      <c r="A2218" s="308">
        <v>45456</v>
      </c>
      <c r="B2218" s="416">
        <v>1228501</v>
      </c>
      <c r="C2218" s="413" t="str">
        <f>IFERROR(INDEX(Table14[],MATCH($B2218,Table14[SAPNo],0),3),"")</f>
        <v>1618 CT182 U-60 stator</v>
      </c>
      <c r="D2218" s="306"/>
      <c r="E2218" s="421">
        <v>10</v>
      </c>
      <c r="F2218" s="421"/>
      <c r="G2218" s="417" t="s">
        <v>1876</v>
      </c>
      <c r="H2218" s="598">
        <v>14160190</v>
      </c>
      <c r="I2218" s="322" t="s">
        <v>1440</v>
      </c>
      <c r="J2218" s="418"/>
      <c r="K2218" s="248"/>
      <c r="M2218" s="366"/>
      <c r="AF2218">
        <v>10</v>
      </c>
    </row>
    <row r="2219" spans="1:32" x14ac:dyDescent="0.25">
      <c r="A2219" s="308">
        <v>45456</v>
      </c>
      <c r="B2219" s="416">
        <v>1228502</v>
      </c>
      <c r="C2219" s="413" t="str">
        <f>IFERROR(INDEX(Table14[],MATCH($B2219,Table14[SAPNo],0),3),"")</f>
        <v>1618 CT182 U-60 Rotor</v>
      </c>
      <c r="D2219" s="306"/>
      <c r="E2219" s="421">
        <v>10</v>
      </c>
      <c r="F2219" s="421"/>
      <c r="G2219" s="417" t="s">
        <v>1876</v>
      </c>
      <c r="H2219" s="598">
        <v>14160190</v>
      </c>
      <c r="I2219" s="322" t="s">
        <v>1440</v>
      </c>
      <c r="J2219" s="418"/>
      <c r="K2219" s="248"/>
      <c r="M2219" s="366"/>
      <c r="AF2219">
        <v>10</v>
      </c>
    </row>
    <row r="2220" spans="1:32" x14ac:dyDescent="0.25">
      <c r="A2220" s="308">
        <v>45456</v>
      </c>
      <c r="B2220" s="416">
        <v>1261319</v>
      </c>
      <c r="C2220" s="413" t="str">
        <f>IFERROR(INDEX(Table14[],MATCH($B2220,Table14[SAPNo],0),3),"")</f>
        <v>1308 CT155 U-60</v>
      </c>
      <c r="D2220" s="306"/>
      <c r="E2220" s="421">
        <v>24</v>
      </c>
      <c r="F2220" s="421"/>
      <c r="G2220" s="417" t="s">
        <v>1876</v>
      </c>
      <c r="H2220" s="598">
        <v>14160190</v>
      </c>
      <c r="I2220" s="322" t="s">
        <v>1440</v>
      </c>
      <c r="J2220" s="418"/>
      <c r="K2220" s="248"/>
      <c r="M2220" s="366"/>
      <c r="AF2220">
        <v>24</v>
      </c>
    </row>
    <row r="2221" spans="1:32" x14ac:dyDescent="0.25">
      <c r="A2221" s="308">
        <v>45456</v>
      </c>
      <c r="B2221" s="416">
        <v>1261321</v>
      </c>
      <c r="C2221" s="413" t="str">
        <f>IFERROR(INDEX(Table14[],MATCH($B2221,Table14[SAPNo],0),3),"")</f>
        <v>1613 CT155 U-60</v>
      </c>
      <c r="D2221" s="306"/>
      <c r="E2221" s="421">
        <v>4</v>
      </c>
      <c r="F2221" s="421"/>
      <c r="G2221" s="417" t="s">
        <v>1876</v>
      </c>
      <c r="H2221" s="598">
        <v>14160190</v>
      </c>
      <c r="I2221" s="322" t="s">
        <v>1440</v>
      </c>
      <c r="J2221" s="418"/>
      <c r="K2221" s="248"/>
      <c r="M2221" s="366"/>
      <c r="AF2221">
        <v>4</v>
      </c>
    </row>
    <row r="2222" spans="1:32" x14ac:dyDescent="0.25">
      <c r="A2222" s="308">
        <v>45456</v>
      </c>
      <c r="B2222" s="416">
        <v>871781</v>
      </c>
      <c r="C2222" s="413" t="str">
        <f>IFERROR(INDEX(Table14[],MATCH($B2222,Table14[SAPNo],0),3),"")</f>
        <v>Round 1313 CT200  0.018" (B)</v>
      </c>
      <c r="D2222" s="306"/>
      <c r="E2222" s="421">
        <v>6</v>
      </c>
      <c r="F2222" s="421"/>
      <c r="G2222" s="417" t="s">
        <v>1876</v>
      </c>
      <c r="H2222" s="598">
        <v>14160190</v>
      </c>
      <c r="I2222" s="322" t="s">
        <v>1440</v>
      </c>
      <c r="J2222" s="418"/>
      <c r="K2222" s="248"/>
      <c r="M2222" s="366"/>
      <c r="AF2222">
        <v>6</v>
      </c>
    </row>
    <row r="2223" spans="1:32" x14ac:dyDescent="0.25">
      <c r="A2223" s="308">
        <v>45456</v>
      </c>
      <c r="B2223" s="416">
        <v>1228503</v>
      </c>
      <c r="C2223" s="413" t="str">
        <f>IFERROR(INDEX(Table14[],MATCH($B2223,Table14[SAPNo],0),3),"")</f>
        <v>1618 CT182 U-60 Ring</v>
      </c>
      <c r="D2223" s="306"/>
      <c r="E2223" s="421">
        <v>10</v>
      </c>
      <c r="F2223" s="421"/>
      <c r="G2223" s="417" t="s">
        <v>1876</v>
      </c>
      <c r="H2223" s="598">
        <v>14160190</v>
      </c>
      <c r="I2223" s="322" t="s">
        <v>1440</v>
      </c>
      <c r="J2223" s="418"/>
      <c r="K2223" s="248"/>
      <c r="M2223" s="366"/>
      <c r="AF2223">
        <v>10</v>
      </c>
    </row>
    <row r="2224" spans="1:32" x14ac:dyDescent="0.25">
      <c r="A2224" s="308">
        <v>45456</v>
      </c>
      <c r="B2224" s="416">
        <v>1130198</v>
      </c>
      <c r="C2224" s="413" t="str">
        <f>IFERROR(INDEX(Table14[],MATCH($B2224,Table14[SAPNo],0),3),"")</f>
        <v>Round 1613 CT182  0.018" (S)</v>
      </c>
      <c r="D2224" s="306"/>
      <c r="E2224" s="421">
        <v>33</v>
      </c>
      <c r="F2224" s="421"/>
      <c r="G2224" s="417" t="s">
        <v>1877</v>
      </c>
      <c r="H2224" s="598">
        <v>14167829</v>
      </c>
      <c r="I2224" s="322" t="s">
        <v>1878</v>
      </c>
      <c r="J2224" s="418"/>
      <c r="K2224" s="248"/>
      <c r="M2224" s="366"/>
      <c r="AF2224">
        <v>33</v>
      </c>
    </row>
    <row r="2225" spans="1:32" x14ac:dyDescent="0.25">
      <c r="A2225" s="308">
        <v>45456</v>
      </c>
      <c r="B2225" s="416">
        <v>871781</v>
      </c>
      <c r="C2225" s="413" t="str">
        <f>IFERROR(INDEX(Table14[],MATCH($B2225,Table14[SAPNo],0),3),"")</f>
        <v>Round 1313 CT200  0.018" (B)</v>
      </c>
      <c r="D2225" s="306"/>
      <c r="E2225" s="421">
        <v>6</v>
      </c>
      <c r="F2225" s="421"/>
      <c r="G2225" s="417" t="s">
        <v>1877</v>
      </c>
      <c r="H2225" s="598">
        <v>14167829</v>
      </c>
      <c r="I2225" s="322" t="s">
        <v>1878</v>
      </c>
      <c r="J2225" s="418"/>
      <c r="K2225" s="248"/>
      <c r="M2225" s="366"/>
      <c r="AF2225">
        <v>6</v>
      </c>
    </row>
    <row r="2226" spans="1:32" x14ac:dyDescent="0.25">
      <c r="A2226" s="308">
        <v>45456</v>
      </c>
      <c r="B2226" s="416">
        <v>647435</v>
      </c>
      <c r="C2226" s="413" t="str">
        <f>IFERROR(INDEX(Table14[],MATCH($B2226,Table14[SAPNo],0),3),"")</f>
        <v>Round 1608 CT200  0.018" (B)</v>
      </c>
      <c r="D2226" s="306"/>
      <c r="E2226" s="421">
        <v>23</v>
      </c>
      <c r="F2226" s="421"/>
      <c r="G2226" s="417" t="s">
        <v>1877</v>
      </c>
      <c r="H2226" s="598">
        <v>14167829</v>
      </c>
      <c r="I2226" s="322" t="s">
        <v>1878</v>
      </c>
      <c r="J2226" s="418"/>
      <c r="K2226" s="248"/>
      <c r="M2226" s="366"/>
      <c r="AF2226">
        <v>23</v>
      </c>
    </row>
    <row r="2227" spans="1:32" x14ac:dyDescent="0.25">
      <c r="A2227" s="320">
        <v>45456</v>
      </c>
      <c r="B2227" s="419">
        <v>1146737</v>
      </c>
      <c r="C2227" s="413" t="str">
        <f>IFERROR(INDEX(Table14[],MATCH($B2227,Table14[SAPNo],0),3),"")</f>
        <v>1613 CT418 18-60</v>
      </c>
      <c r="D2227" s="306"/>
      <c r="E2227" s="421">
        <v>11</v>
      </c>
      <c r="F2227" s="421"/>
      <c r="G2227" s="515" t="s">
        <v>1879</v>
      </c>
      <c r="H2227" s="599"/>
      <c r="I2227" s="322" t="s">
        <v>29</v>
      </c>
      <c r="J2227" s="421"/>
      <c r="K2227" s="422"/>
      <c r="M2227" s="366"/>
      <c r="AF2227">
        <v>11</v>
      </c>
    </row>
    <row r="2228" spans="1:32" x14ac:dyDescent="0.25">
      <c r="A2228" s="308">
        <v>45463</v>
      </c>
      <c r="B2228" s="416">
        <v>418525</v>
      </c>
      <c r="C2228" s="413" t="str">
        <f>IFERROR(INDEX(Table14[],MATCH($B2228,Table14[SAPNo],0),3),"")</f>
        <v>Drop In 1308 CT31   (B)</v>
      </c>
      <c r="D2228" s="306"/>
      <c r="E2228" s="421">
        <v>6</v>
      </c>
      <c r="F2228" s="421"/>
      <c r="G2228" s="417" t="s">
        <v>1880</v>
      </c>
      <c r="H2228" s="598">
        <v>14190169</v>
      </c>
      <c r="I2228" s="322" t="s">
        <v>1881</v>
      </c>
      <c r="J2228" s="418"/>
      <c r="K2228" s="248"/>
      <c r="M2228" s="422"/>
      <c r="AF2228">
        <v>6</v>
      </c>
    </row>
    <row r="2229" spans="1:32" x14ac:dyDescent="0.25">
      <c r="A2229" s="308">
        <v>45463</v>
      </c>
      <c r="B2229" s="416">
        <v>1271790</v>
      </c>
      <c r="C2229" s="413" t="str">
        <f>IFERROR(INDEX(Table14[],MATCH($B2229,Table14[SAPNo],0),3),"")</f>
        <v xml:space="preserve">1613 CT170 18-60 </v>
      </c>
      <c r="D2229" s="306"/>
      <c r="E2229" s="421">
        <v>17</v>
      </c>
      <c r="F2229" s="421"/>
      <c r="G2229" s="417" t="s">
        <v>1880</v>
      </c>
      <c r="H2229" s="598">
        <v>14190169</v>
      </c>
      <c r="I2229" s="322" t="s">
        <v>1881</v>
      </c>
      <c r="J2229" s="418"/>
      <c r="K2229" s="248"/>
      <c r="M2229" s="366"/>
      <c r="AF2229">
        <v>17</v>
      </c>
    </row>
    <row r="2230" spans="1:32" x14ac:dyDescent="0.25">
      <c r="A2230" s="308">
        <v>45463</v>
      </c>
      <c r="B2230" s="416">
        <v>1146737</v>
      </c>
      <c r="C2230" s="413" t="str">
        <f>IFERROR(INDEX(Table14[],MATCH($B2230,Table14[SAPNo],0),3),"")</f>
        <v>1613 CT418 18-60</v>
      </c>
      <c r="D2230" s="306"/>
      <c r="E2230" s="421">
        <v>6</v>
      </c>
      <c r="F2230" s="421"/>
      <c r="G2230" s="417" t="s">
        <v>1880</v>
      </c>
      <c r="H2230" s="598">
        <v>14190169</v>
      </c>
      <c r="I2230" s="322" t="s">
        <v>1881</v>
      </c>
      <c r="J2230" s="418"/>
      <c r="K2230" s="248"/>
      <c r="M2230" s="366"/>
      <c r="AF2230">
        <v>6</v>
      </c>
    </row>
    <row r="2231" spans="1:32" x14ac:dyDescent="0.25">
      <c r="A2231" s="308">
        <v>45463</v>
      </c>
      <c r="B2231" s="416">
        <v>1078377</v>
      </c>
      <c r="C2231" s="413" t="str">
        <f>IFERROR(INDEX(Table14[],MATCH($B2231,Table14[SAPNo],0),3),"")</f>
        <v>13MM CT221 R1</v>
      </c>
      <c r="D2231" s="306"/>
      <c r="E2231" s="421">
        <v>15</v>
      </c>
      <c r="F2231" s="421"/>
      <c r="G2231" s="417" t="s">
        <v>1880</v>
      </c>
      <c r="H2231" s="598">
        <v>14190169</v>
      </c>
      <c r="I2231" s="322" t="s">
        <v>1881</v>
      </c>
      <c r="J2231" s="418"/>
      <c r="K2231" s="248"/>
      <c r="M2231" s="366"/>
      <c r="AF2231">
        <v>15</v>
      </c>
    </row>
    <row r="2232" spans="1:32" x14ac:dyDescent="0.25">
      <c r="A2232" s="308">
        <v>45463</v>
      </c>
      <c r="B2232" s="416">
        <v>1208601</v>
      </c>
      <c r="C2232" s="413" t="str">
        <f>IFERROR(INDEX(Table14[],MATCH($B2232,Table14[SAPNo],0),3),"")</f>
        <v>1613 CT418 U-60</v>
      </c>
      <c r="D2232" s="306"/>
      <c r="E2232" s="421">
        <v>8</v>
      </c>
      <c r="F2232" s="421"/>
      <c r="G2232" s="417" t="s">
        <v>1880</v>
      </c>
      <c r="H2232" s="598">
        <v>14190169</v>
      </c>
      <c r="I2232" s="322" t="s">
        <v>1881</v>
      </c>
      <c r="J2232" s="418"/>
      <c r="K2232" s="248"/>
      <c r="M2232" s="366"/>
      <c r="AF2232">
        <v>8</v>
      </c>
    </row>
    <row r="2233" spans="1:32" x14ac:dyDescent="0.25">
      <c r="A2233" s="308">
        <v>45463</v>
      </c>
      <c r="B2233" s="416">
        <v>1208601</v>
      </c>
      <c r="C2233" s="413" t="str">
        <f>IFERROR(INDEX(Table14[],MATCH($B2233,Table14[SAPNo],0),3),"")</f>
        <v>1613 CT418 U-60</v>
      </c>
      <c r="D2233" s="306"/>
      <c r="E2233" s="421">
        <v>8</v>
      </c>
      <c r="F2233" s="421"/>
      <c r="G2233" s="417" t="s">
        <v>1882</v>
      </c>
      <c r="H2233" s="598">
        <v>14190170</v>
      </c>
      <c r="I2233" s="322" t="s">
        <v>1881</v>
      </c>
      <c r="J2233" s="418"/>
      <c r="K2233" s="248"/>
      <c r="M2233" s="366"/>
      <c r="AF2233">
        <v>8</v>
      </c>
    </row>
    <row r="2234" spans="1:32" x14ac:dyDescent="0.25">
      <c r="A2234" s="308">
        <v>45463</v>
      </c>
      <c r="B2234" s="416">
        <v>418525</v>
      </c>
      <c r="C2234" s="413" t="str">
        <f>IFERROR(INDEX(Table14[],MATCH($B2234,Table14[SAPNo],0),3),"")</f>
        <v>Drop In 1308 CT31   (B)</v>
      </c>
      <c r="D2234" s="306"/>
      <c r="E2234" s="421">
        <v>6</v>
      </c>
      <c r="F2234" s="421"/>
      <c r="G2234" s="417" t="s">
        <v>1882</v>
      </c>
      <c r="H2234" s="598">
        <v>14190170</v>
      </c>
      <c r="I2234" s="322" t="s">
        <v>1881</v>
      </c>
      <c r="J2234" s="418"/>
      <c r="K2234" s="248"/>
      <c r="M2234" s="366"/>
      <c r="AF2234">
        <v>6</v>
      </c>
    </row>
    <row r="2235" spans="1:32" x14ac:dyDescent="0.25">
      <c r="A2235" s="308">
        <v>45463</v>
      </c>
      <c r="B2235" s="416">
        <v>1271790</v>
      </c>
      <c r="C2235" s="413" t="str">
        <f>IFERROR(INDEX(Table14[],MATCH($B2235,Table14[SAPNo],0),3),"")</f>
        <v xml:space="preserve">1613 CT170 18-60 </v>
      </c>
      <c r="D2235" s="306"/>
      <c r="E2235" s="421">
        <v>17</v>
      </c>
      <c r="F2235" s="421"/>
      <c r="G2235" s="417" t="s">
        <v>1882</v>
      </c>
      <c r="H2235" s="598">
        <v>14190170</v>
      </c>
      <c r="I2235" s="322" t="s">
        <v>1881</v>
      </c>
      <c r="J2235" s="418"/>
      <c r="K2235" s="248"/>
      <c r="M2235" s="366"/>
      <c r="AF2235">
        <v>17</v>
      </c>
    </row>
    <row r="2236" spans="1:32" x14ac:dyDescent="0.25">
      <c r="A2236" s="308">
        <v>45463</v>
      </c>
      <c r="B2236" s="416">
        <v>1078377</v>
      </c>
      <c r="C2236" s="413" t="str">
        <f>IFERROR(INDEX(Table14[],MATCH($B2236,Table14[SAPNo],0),3),"")</f>
        <v>13MM CT221 R1</v>
      </c>
      <c r="D2236" s="306"/>
      <c r="E2236" s="421">
        <v>15</v>
      </c>
      <c r="F2236" s="421"/>
      <c r="G2236" s="417" t="s">
        <v>1882</v>
      </c>
      <c r="H2236" s="598">
        <v>14190170</v>
      </c>
      <c r="I2236" s="322" t="s">
        <v>1881</v>
      </c>
      <c r="J2236" s="418"/>
      <c r="K2236" s="248"/>
      <c r="M2236" s="366"/>
      <c r="AF2236">
        <v>15</v>
      </c>
    </row>
    <row r="2237" spans="1:32" x14ac:dyDescent="0.25">
      <c r="A2237" s="308">
        <v>45463</v>
      </c>
      <c r="B2237" s="416">
        <v>1146737</v>
      </c>
      <c r="C2237" s="413" t="str">
        <f>IFERROR(INDEX(Table14[],MATCH($B2237,Table14[SAPNo],0),3),"")</f>
        <v>1613 CT418 18-60</v>
      </c>
      <c r="D2237" s="306"/>
      <c r="E2237" s="421">
        <v>6</v>
      </c>
      <c r="F2237" s="421"/>
      <c r="G2237" s="417" t="s">
        <v>1882</v>
      </c>
      <c r="H2237" s="598">
        <v>14190170</v>
      </c>
      <c r="I2237" s="322" t="s">
        <v>1881</v>
      </c>
      <c r="J2237" s="418"/>
      <c r="K2237" s="248"/>
      <c r="M2237" s="366"/>
      <c r="AF2237">
        <v>6</v>
      </c>
    </row>
    <row r="2238" spans="1:32" x14ac:dyDescent="0.25">
      <c r="A2238" s="308">
        <v>45463</v>
      </c>
      <c r="B2238" s="416">
        <v>1126402</v>
      </c>
      <c r="C2238" s="413" t="str">
        <f>IFERROR(INDEX(Table14[],MATCH($B2238,Table14[SAPNo],0),3),"")</f>
        <v>1613 CT421 16-60</v>
      </c>
      <c r="D2238" s="306"/>
      <c r="E2238" s="421">
        <v>7</v>
      </c>
      <c r="F2238" s="421"/>
      <c r="G2238" s="417" t="s">
        <v>1883</v>
      </c>
      <c r="H2238" s="598">
        <v>14155383</v>
      </c>
      <c r="I2238" s="322" t="s">
        <v>1884</v>
      </c>
      <c r="J2238" s="418"/>
      <c r="K2238" s="248"/>
      <c r="M2238" s="366"/>
      <c r="AF2238">
        <v>7</v>
      </c>
    </row>
    <row r="2239" spans="1:32" x14ac:dyDescent="0.25">
      <c r="A2239" s="308">
        <v>45463</v>
      </c>
      <c r="B2239" s="416">
        <v>1201518</v>
      </c>
      <c r="C2239" s="413" t="str">
        <f>IFERROR(INDEX(Table14[],MATCH($B2239,Table14[SAPNo],0),3),"")</f>
        <v>12MM WC­MAT404 NA</v>
      </c>
      <c r="D2239" s="306"/>
      <c r="E2239" s="421">
        <v>3</v>
      </c>
      <c r="F2239" s="421"/>
      <c r="G2239" s="417" t="s">
        <v>1883</v>
      </c>
      <c r="H2239" s="598">
        <v>14155383</v>
      </c>
      <c r="I2239" s="322" t="s">
        <v>1884</v>
      </c>
      <c r="J2239" s="418"/>
      <c r="K2239" s="248"/>
      <c r="M2239" s="366"/>
      <c r="AF2239">
        <v>3</v>
      </c>
    </row>
    <row r="2240" spans="1:32" x14ac:dyDescent="0.25">
      <c r="A2240" s="308">
        <v>45463</v>
      </c>
      <c r="B2240" s="416">
        <v>1228502</v>
      </c>
      <c r="C2240" s="413" t="str">
        <f>IFERROR(INDEX(Table14[],MATCH($B2240,Table14[SAPNo],0),3),"")</f>
        <v>1618 CT182 U-60 Rotor</v>
      </c>
      <c r="D2240" s="306"/>
      <c r="E2240" s="421">
        <v>14</v>
      </c>
      <c r="F2240" s="421"/>
      <c r="G2240" s="417" t="s">
        <v>1883</v>
      </c>
      <c r="H2240" s="598">
        <v>14155383</v>
      </c>
      <c r="I2240" s="322" t="s">
        <v>1884</v>
      </c>
      <c r="J2240" s="418"/>
      <c r="K2240" s="248"/>
      <c r="M2240" s="366"/>
      <c r="AF2240">
        <v>14</v>
      </c>
    </row>
    <row r="2241" spans="1:32" x14ac:dyDescent="0.25">
      <c r="A2241" s="308">
        <v>45463</v>
      </c>
      <c r="B2241" s="416">
        <v>871781</v>
      </c>
      <c r="C2241" s="413" t="str">
        <f>IFERROR(INDEX(Table14[],MATCH($B2241,Table14[SAPNo],0),3),"")</f>
        <v>Round 1313 CT200  0.018" (B)</v>
      </c>
      <c r="D2241" s="306"/>
      <c r="E2241" s="421">
        <v>6</v>
      </c>
      <c r="F2241" s="421"/>
      <c r="G2241" s="417" t="s">
        <v>1883</v>
      </c>
      <c r="H2241" s="598">
        <v>14155383</v>
      </c>
      <c r="I2241" s="322" t="s">
        <v>1884</v>
      </c>
      <c r="J2241" s="418"/>
      <c r="K2241" s="248"/>
      <c r="M2241" s="366"/>
      <c r="AF2241">
        <v>6</v>
      </c>
    </row>
    <row r="2242" spans="1:32" x14ac:dyDescent="0.25">
      <c r="A2242" s="308">
        <v>45463</v>
      </c>
      <c r="B2242" s="416">
        <v>1228503</v>
      </c>
      <c r="C2242" s="413" t="str">
        <f>IFERROR(INDEX(Table14[],MATCH($B2242,Table14[SAPNo],0),3),"")</f>
        <v>1618 CT182 U-60 Ring</v>
      </c>
      <c r="D2242" s="306"/>
      <c r="E2242" s="421">
        <v>14</v>
      </c>
      <c r="F2242" s="421"/>
      <c r="G2242" s="417" t="s">
        <v>1883</v>
      </c>
      <c r="H2242" s="598">
        <v>14155383</v>
      </c>
      <c r="I2242" s="322" t="s">
        <v>1884</v>
      </c>
      <c r="J2242" s="418"/>
      <c r="K2242" s="248"/>
      <c r="M2242" s="366"/>
      <c r="AF2242">
        <v>14</v>
      </c>
    </row>
    <row r="2243" spans="1:32" x14ac:dyDescent="0.25">
      <c r="A2243" s="308">
        <v>45463</v>
      </c>
      <c r="B2243" s="416">
        <v>1255773</v>
      </c>
      <c r="C2243" s="413" t="str">
        <f>IFERROR(INDEX(Table14[],MATCH($B2243,Table14[SAPNo],0),3),"")</f>
        <v>1613 CT154 U­60</v>
      </c>
      <c r="D2243" s="306"/>
      <c r="E2243" s="421">
        <v>20</v>
      </c>
      <c r="F2243" s="421"/>
      <c r="G2243" s="417" t="s">
        <v>1883</v>
      </c>
      <c r="H2243" s="598">
        <v>14155383</v>
      </c>
      <c r="I2243" s="322" t="s">
        <v>1884</v>
      </c>
      <c r="J2243" s="418"/>
      <c r="K2243" s="248"/>
      <c r="M2243" s="366"/>
      <c r="AF2243">
        <v>20</v>
      </c>
    </row>
    <row r="2244" spans="1:32" x14ac:dyDescent="0.25">
      <c r="A2244" s="308">
        <v>45463</v>
      </c>
      <c r="B2244" s="416">
        <v>1261319</v>
      </c>
      <c r="C2244" s="413" t="str">
        <f>IFERROR(INDEX(Table14[],MATCH($B2244,Table14[SAPNo],0),3),"")</f>
        <v>1308 CT155 U-60</v>
      </c>
      <c r="D2244" s="306"/>
      <c r="E2244" s="421">
        <v>22</v>
      </c>
      <c r="F2244" s="421"/>
      <c r="G2244" s="417" t="s">
        <v>1883</v>
      </c>
      <c r="H2244" s="598">
        <v>14155383</v>
      </c>
      <c r="I2244" s="322" t="s">
        <v>1884</v>
      </c>
      <c r="J2244" s="418"/>
      <c r="K2244" s="248"/>
      <c r="M2244" s="366"/>
      <c r="AF2244">
        <v>22</v>
      </c>
    </row>
    <row r="2245" spans="1:32" x14ac:dyDescent="0.25">
      <c r="A2245" s="308">
        <v>45463</v>
      </c>
      <c r="B2245" s="416">
        <v>1228501</v>
      </c>
      <c r="C2245" s="413" t="str">
        <f>IFERROR(INDEX(Table14[],MATCH($B2245,Table14[SAPNo],0),3),"")</f>
        <v>1618 CT182 U-60 stator</v>
      </c>
      <c r="D2245" s="306"/>
      <c r="E2245" s="421">
        <v>14</v>
      </c>
      <c r="F2245" s="421"/>
      <c r="G2245" s="417" t="s">
        <v>1883</v>
      </c>
      <c r="H2245" s="598">
        <v>14155383</v>
      </c>
      <c r="I2245" s="322" t="s">
        <v>1884</v>
      </c>
      <c r="J2245" s="418"/>
      <c r="K2245" s="248"/>
      <c r="M2245" s="366"/>
      <c r="AF2245">
        <v>14</v>
      </c>
    </row>
    <row r="2246" spans="1:32" x14ac:dyDescent="0.25">
      <c r="A2246" s="320">
        <v>45463</v>
      </c>
      <c r="B2246" s="419">
        <v>1220554</v>
      </c>
      <c r="C2246" s="413" t="str">
        <f>IFERROR(INDEX(Table14[],MATCH($B2246,Table14[SAPNo],0),3),"")</f>
        <v xml:space="preserve">1618 CT182 U-60 Carbide </v>
      </c>
      <c r="D2246" s="306"/>
      <c r="E2246" s="421">
        <v>14</v>
      </c>
      <c r="F2246" s="421"/>
      <c r="G2246" s="420" t="s">
        <v>1883</v>
      </c>
      <c r="H2246" s="599">
        <v>14155383</v>
      </c>
      <c r="I2246" s="322" t="s">
        <v>1884</v>
      </c>
      <c r="J2246" s="421"/>
      <c r="K2246" s="422"/>
      <c r="M2246" s="366"/>
      <c r="AF2246">
        <v>14</v>
      </c>
    </row>
    <row r="2247" spans="1:32" x14ac:dyDescent="0.25">
      <c r="A2247" s="308">
        <v>45466</v>
      </c>
      <c r="B2247" s="416">
        <v>418525</v>
      </c>
      <c r="C2247" s="413" t="str">
        <f>IFERROR(INDEX(Table14[],MATCH($B2247,Table14[SAPNo],0),3),"")</f>
        <v>Drop In 1308 CT31   (B)</v>
      </c>
      <c r="D2247" s="306"/>
      <c r="E2247" s="421">
        <v>6</v>
      </c>
      <c r="F2247" s="421"/>
      <c r="G2247" s="417" t="s">
        <v>1885</v>
      </c>
      <c r="H2247" s="598">
        <v>14198198</v>
      </c>
      <c r="I2247" s="322" t="s">
        <v>1447</v>
      </c>
      <c r="J2247" s="418"/>
      <c r="K2247" s="248"/>
      <c r="M2247" s="422"/>
      <c r="AF2247">
        <v>6</v>
      </c>
    </row>
    <row r="2248" spans="1:32" x14ac:dyDescent="0.25">
      <c r="A2248" s="308">
        <v>45466</v>
      </c>
      <c r="B2248" s="416">
        <v>1146346</v>
      </c>
      <c r="C2248" s="413" t="str">
        <f>IFERROR(INDEX(Table14[],MATCH($B2248,Table14[SAPNo],0),3),"")</f>
        <v>1313 CT418 18-60</v>
      </c>
      <c r="D2248" s="306"/>
      <c r="E2248" s="421">
        <v>7</v>
      </c>
      <c r="F2248" s="421"/>
      <c r="G2248" s="417" t="s">
        <v>1885</v>
      </c>
      <c r="H2248" s="598">
        <v>14198198</v>
      </c>
      <c r="I2248" s="322" t="s">
        <v>1447</v>
      </c>
      <c r="J2248" s="418"/>
      <c r="K2248" s="248"/>
      <c r="M2248" s="366"/>
      <c r="AF2248">
        <v>7</v>
      </c>
    </row>
    <row r="2249" spans="1:32" x14ac:dyDescent="0.25">
      <c r="A2249" s="308">
        <v>45466</v>
      </c>
      <c r="B2249" s="416">
        <v>1136984</v>
      </c>
      <c r="C2249" s="413" t="str">
        <f>IFERROR(INDEX(Table14[],MATCH($B2249,Table14[SAPNo],0),3),"")</f>
        <v>DBLMCHT 1313 CT182DM  10C (S)</v>
      </c>
      <c r="D2249" s="306"/>
      <c r="E2249" s="421">
        <v>13</v>
      </c>
      <c r="F2249" s="421"/>
      <c r="G2249" s="417" t="s">
        <v>1885</v>
      </c>
      <c r="H2249" s="598">
        <v>14198198</v>
      </c>
      <c r="I2249" s="322" t="s">
        <v>1447</v>
      </c>
      <c r="J2249" s="418"/>
      <c r="K2249" s="248"/>
      <c r="M2249" s="366"/>
      <c r="AF2249">
        <v>13</v>
      </c>
    </row>
    <row r="2250" spans="1:32" x14ac:dyDescent="0.25">
      <c r="A2250" s="308">
        <v>45466</v>
      </c>
      <c r="B2250" s="416">
        <v>1104083</v>
      </c>
      <c r="C2250" s="413" t="str">
        <f>IFERROR(INDEX(Table14[],MATCH($B2250,Table14[SAPNo],0),3),"")</f>
        <v>1313 CT144H  10C (S)</v>
      </c>
      <c r="D2250" s="306"/>
      <c r="E2250" s="421">
        <v>1</v>
      </c>
      <c r="F2250" s="421"/>
      <c r="G2250" s="417" t="s">
        <v>1885</v>
      </c>
      <c r="H2250" s="598">
        <v>14198198</v>
      </c>
      <c r="I2250" s="322" t="s">
        <v>1447</v>
      </c>
      <c r="J2250" s="418"/>
      <c r="K2250" s="248"/>
      <c r="M2250" s="366"/>
      <c r="AF2250">
        <v>1</v>
      </c>
    </row>
    <row r="2251" spans="1:32" x14ac:dyDescent="0.25">
      <c r="A2251" s="308">
        <v>45466</v>
      </c>
      <c r="B2251" s="416">
        <v>1101509</v>
      </c>
      <c r="C2251" s="413" t="str">
        <f>IFERROR(INDEX(Table14[],MATCH($B2251,Table14[SAPNo],0),3),"")</f>
        <v>Short IA 8    (C)</v>
      </c>
      <c r="D2251" s="306"/>
      <c r="E2251" s="421">
        <v>5</v>
      </c>
      <c r="F2251" s="421"/>
      <c r="G2251" s="417" t="s">
        <v>1885</v>
      </c>
      <c r="H2251" s="598">
        <v>14198198</v>
      </c>
      <c r="I2251" s="322" t="s">
        <v>1447</v>
      </c>
      <c r="J2251" s="418"/>
      <c r="K2251" s="248"/>
      <c r="M2251" s="366"/>
      <c r="AF2251">
        <v>5</v>
      </c>
    </row>
    <row r="2252" spans="1:32" x14ac:dyDescent="0.25">
      <c r="A2252" s="308">
        <v>45466</v>
      </c>
      <c r="B2252" s="416">
        <v>1100696</v>
      </c>
      <c r="C2252" s="413" t="str">
        <f>IFERROR(INDEX(Table14[],MATCH($B2252,Table14[SAPNo],0),3),"")</f>
        <v>Round 1313 CT418  10C (S)</v>
      </c>
      <c r="D2252" s="306"/>
      <c r="E2252" s="421">
        <v>5</v>
      </c>
      <c r="F2252" s="421"/>
      <c r="G2252" s="417" t="s">
        <v>1885</v>
      </c>
      <c r="H2252" s="598">
        <v>14198198</v>
      </c>
      <c r="I2252" s="322" t="s">
        <v>1447</v>
      </c>
      <c r="J2252" s="418"/>
      <c r="K2252" s="248"/>
      <c r="M2252" s="366"/>
      <c r="AF2252">
        <v>5</v>
      </c>
    </row>
    <row r="2253" spans="1:32" x14ac:dyDescent="0.25">
      <c r="A2253" s="308">
        <v>45466</v>
      </c>
      <c r="B2253" s="416">
        <v>418525</v>
      </c>
      <c r="C2253" s="413" t="str">
        <f>IFERROR(INDEX(Table14[],MATCH($B2253,Table14[SAPNo],0),3),"")</f>
        <v>Drop In 1308 CT31   (B)</v>
      </c>
      <c r="D2253" s="306"/>
      <c r="E2253" s="421">
        <v>6</v>
      </c>
      <c r="F2253" s="421"/>
      <c r="G2253" s="417" t="s">
        <v>1886</v>
      </c>
      <c r="H2253" s="598">
        <v>14198199</v>
      </c>
      <c r="I2253" s="322" t="s">
        <v>1447</v>
      </c>
      <c r="J2253" s="418"/>
      <c r="K2253" s="248"/>
      <c r="M2253" s="366"/>
      <c r="AF2253">
        <v>6</v>
      </c>
    </row>
    <row r="2254" spans="1:32" x14ac:dyDescent="0.25">
      <c r="A2254" s="308">
        <v>45466</v>
      </c>
      <c r="B2254" s="416">
        <v>1146346</v>
      </c>
      <c r="C2254" s="413" t="str">
        <f>IFERROR(INDEX(Table14[],MATCH($B2254,Table14[SAPNo],0),3),"")</f>
        <v>1313 CT418 18-60</v>
      </c>
      <c r="D2254" s="306"/>
      <c r="E2254" s="421">
        <v>7</v>
      </c>
      <c r="F2254" s="421"/>
      <c r="G2254" s="417" t="s">
        <v>1886</v>
      </c>
      <c r="H2254" s="598">
        <v>14198199</v>
      </c>
      <c r="I2254" s="322" t="s">
        <v>1447</v>
      </c>
      <c r="J2254" s="418"/>
      <c r="K2254" s="248"/>
      <c r="M2254" s="366"/>
      <c r="AF2254">
        <v>7</v>
      </c>
    </row>
    <row r="2255" spans="1:32" x14ac:dyDescent="0.25">
      <c r="A2255" s="308">
        <v>45466</v>
      </c>
      <c r="B2255" s="416">
        <v>1136984</v>
      </c>
      <c r="C2255" s="413" t="str">
        <f>IFERROR(INDEX(Table14[],MATCH($B2255,Table14[SAPNo],0),3),"")</f>
        <v>DBLMCHT 1313 CT182DM  10C (S)</v>
      </c>
      <c r="D2255" s="306"/>
      <c r="E2255" s="421">
        <v>13</v>
      </c>
      <c r="F2255" s="421"/>
      <c r="G2255" s="417" t="s">
        <v>1886</v>
      </c>
      <c r="H2255" s="598">
        <v>14198199</v>
      </c>
      <c r="I2255" s="322" t="s">
        <v>1447</v>
      </c>
      <c r="J2255" s="418"/>
      <c r="K2255" s="248"/>
      <c r="M2255" s="366"/>
      <c r="AF2255">
        <v>13</v>
      </c>
    </row>
    <row r="2256" spans="1:32" x14ac:dyDescent="0.25">
      <c r="A2256" s="308">
        <v>45466</v>
      </c>
      <c r="B2256" s="416">
        <v>1104083</v>
      </c>
      <c r="C2256" s="413" t="str">
        <f>IFERROR(INDEX(Table14[],MATCH($B2256,Table14[SAPNo],0),3),"")</f>
        <v>1313 CT144H  10C (S)</v>
      </c>
      <c r="D2256" s="306"/>
      <c r="E2256" s="421">
        <v>1</v>
      </c>
      <c r="F2256" s="421"/>
      <c r="G2256" s="417" t="s">
        <v>1886</v>
      </c>
      <c r="H2256" s="598">
        <v>14198199</v>
      </c>
      <c r="I2256" s="322" t="s">
        <v>1447</v>
      </c>
      <c r="J2256" s="418"/>
      <c r="K2256" s="248"/>
      <c r="M2256" s="366"/>
      <c r="AF2256">
        <v>1</v>
      </c>
    </row>
    <row r="2257" spans="1:32" x14ac:dyDescent="0.25">
      <c r="A2257" s="308">
        <v>45466</v>
      </c>
      <c r="B2257" s="416">
        <v>1101509</v>
      </c>
      <c r="C2257" s="413" t="str">
        <f>IFERROR(INDEX(Table14[],MATCH($B2257,Table14[SAPNo],0),3),"")</f>
        <v>Short IA 8    (C)</v>
      </c>
      <c r="D2257" s="306"/>
      <c r="E2257" s="421">
        <v>5</v>
      </c>
      <c r="F2257" s="421"/>
      <c r="G2257" s="417" t="s">
        <v>1886</v>
      </c>
      <c r="H2257" s="598">
        <v>14198199</v>
      </c>
      <c r="I2257" s="322" t="s">
        <v>1447</v>
      </c>
      <c r="J2257" s="418"/>
      <c r="K2257" s="248"/>
      <c r="M2257" s="366"/>
      <c r="AF2257">
        <v>5</v>
      </c>
    </row>
    <row r="2258" spans="1:32" x14ac:dyDescent="0.25">
      <c r="A2258" s="320">
        <v>45466</v>
      </c>
      <c r="B2258" s="419">
        <v>1100696</v>
      </c>
      <c r="C2258" s="413" t="str">
        <f>IFERROR(INDEX(Table14[],MATCH($B2258,Table14[SAPNo],0),3),"")</f>
        <v>Round 1313 CT418  10C (S)</v>
      </c>
      <c r="D2258" s="306"/>
      <c r="E2258" s="421">
        <v>5</v>
      </c>
      <c r="F2258" s="421"/>
      <c r="G2258" s="420" t="s">
        <v>1886</v>
      </c>
      <c r="H2258" s="599">
        <v>14198199</v>
      </c>
      <c r="I2258" s="322" t="s">
        <v>1447</v>
      </c>
      <c r="J2258" s="421"/>
      <c r="K2258" s="422"/>
      <c r="M2258" s="366"/>
      <c r="AF2258">
        <v>5</v>
      </c>
    </row>
    <row r="2259" spans="1:32" x14ac:dyDescent="0.25">
      <c r="A2259" s="308">
        <v>45466</v>
      </c>
      <c r="B2259" s="416">
        <v>971055</v>
      </c>
      <c r="C2259" s="413" t="str">
        <f>IFERROR(INDEX(Table14[],MATCH($B2259,Table14[SAPNo],0),3),"")</f>
        <v>MED Bullet 10.5 CT217 MBL 0.018" (B)</v>
      </c>
      <c r="D2259" s="306"/>
      <c r="E2259" s="421"/>
      <c r="F2259" s="421"/>
      <c r="G2259" s="417">
        <v>20241090</v>
      </c>
      <c r="H2259" s="598" t="s">
        <v>1887</v>
      </c>
      <c r="I2259" s="322" t="s">
        <v>1112</v>
      </c>
      <c r="J2259" s="418">
        <v>7</v>
      </c>
      <c r="K2259" s="248"/>
      <c r="M2259" s="422"/>
    </row>
    <row r="2260" spans="1:32" x14ac:dyDescent="0.25">
      <c r="A2260" s="320">
        <v>45466</v>
      </c>
      <c r="B2260" s="419">
        <v>717748</v>
      </c>
      <c r="C2260" s="413" t="str">
        <f>IFERROR(INDEX(Table14[],MATCH($B2260,Table14[SAPNo],0),3),"")</f>
        <v>Round 1010 CT200  0.018" (B)</v>
      </c>
      <c r="D2260" s="306"/>
      <c r="E2260" s="421"/>
      <c r="F2260" s="421"/>
      <c r="G2260" s="420">
        <v>20241091</v>
      </c>
      <c r="H2260" s="599" t="s">
        <v>1888</v>
      </c>
      <c r="I2260" s="322" t="s">
        <v>1268</v>
      </c>
      <c r="J2260" s="421">
        <v>8</v>
      </c>
      <c r="K2260" s="422"/>
      <c r="M2260" s="366"/>
    </row>
    <row r="2261" spans="1:32" x14ac:dyDescent="0.25">
      <c r="A2261" s="320">
        <v>45467</v>
      </c>
      <c r="B2261" s="416">
        <v>1261319</v>
      </c>
      <c r="C2261" s="413" t="str">
        <f>IFERROR(INDEX(Table14[],MATCH($B2261,Table14[SAPNo],0),3),"")</f>
        <v>1308 CT155 U-60</v>
      </c>
      <c r="D2261" s="306"/>
      <c r="E2261" s="421">
        <v>24</v>
      </c>
      <c r="F2261" s="421"/>
      <c r="G2261" s="420" t="s">
        <v>1889</v>
      </c>
      <c r="H2261" s="598">
        <v>14160186</v>
      </c>
      <c r="I2261" s="322" t="s">
        <v>1440</v>
      </c>
      <c r="J2261" s="418"/>
      <c r="K2261" s="248"/>
      <c r="M2261" s="422"/>
      <c r="AF2261">
        <v>24</v>
      </c>
    </row>
    <row r="2262" spans="1:32" x14ac:dyDescent="0.25">
      <c r="A2262" s="320">
        <v>45467</v>
      </c>
      <c r="B2262" s="416">
        <v>1228502</v>
      </c>
      <c r="C2262" s="413" t="str">
        <f>IFERROR(INDEX(Table14[],MATCH($B2262,Table14[SAPNo],0),3),"")</f>
        <v>1618 CT182 U-60 Rotor</v>
      </c>
      <c r="D2262" s="306"/>
      <c r="E2262" s="421">
        <v>10</v>
      </c>
      <c r="F2262" s="421"/>
      <c r="G2262" s="417" t="s">
        <v>1889</v>
      </c>
      <c r="H2262" s="598">
        <v>14160186</v>
      </c>
      <c r="I2262" s="322" t="s">
        <v>1440</v>
      </c>
      <c r="J2262" s="418"/>
      <c r="K2262" s="248"/>
      <c r="M2262" s="422"/>
      <c r="AF2262">
        <v>10</v>
      </c>
    </row>
    <row r="2263" spans="1:32" x14ac:dyDescent="0.25">
      <c r="A2263" s="320">
        <v>45467</v>
      </c>
      <c r="B2263" s="416">
        <v>1228503</v>
      </c>
      <c r="C2263" s="413" t="str">
        <f>IFERROR(INDEX(Table14[],MATCH($B2263,Table14[SAPNo],0),3),"")</f>
        <v>1618 CT182 U-60 Ring</v>
      </c>
      <c r="D2263" s="306"/>
      <c r="E2263" s="421">
        <v>10</v>
      </c>
      <c r="F2263" s="421"/>
      <c r="G2263" s="417" t="s">
        <v>1889</v>
      </c>
      <c r="H2263" s="598">
        <v>14160186</v>
      </c>
      <c r="I2263" s="322" t="s">
        <v>1440</v>
      </c>
      <c r="J2263" s="418"/>
      <c r="K2263" s="248"/>
      <c r="M2263" s="366"/>
      <c r="AF2263">
        <v>10</v>
      </c>
    </row>
    <row r="2264" spans="1:32" x14ac:dyDescent="0.25">
      <c r="A2264" s="320">
        <v>45467</v>
      </c>
      <c r="B2264" s="416">
        <v>1228501</v>
      </c>
      <c r="C2264" s="413" t="str">
        <f>IFERROR(INDEX(Table14[],MATCH($B2264,Table14[SAPNo],0),3),"")</f>
        <v>1618 CT182 U-60 stator</v>
      </c>
      <c r="D2264" s="306"/>
      <c r="E2264" s="421">
        <v>10</v>
      </c>
      <c r="F2264" s="421"/>
      <c r="G2264" s="417" t="s">
        <v>1889</v>
      </c>
      <c r="H2264" s="598">
        <v>14160186</v>
      </c>
      <c r="I2264" s="322" t="s">
        <v>1440</v>
      </c>
      <c r="J2264" s="418"/>
      <c r="K2264" s="248"/>
      <c r="M2264" s="366"/>
      <c r="AF2264">
        <v>10</v>
      </c>
    </row>
    <row r="2265" spans="1:32" x14ac:dyDescent="0.25">
      <c r="A2265" s="320">
        <v>45467</v>
      </c>
      <c r="B2265" s="416">
        <v>1220554</v>
      </c>
      <c r="C2265" s="413" t="str">
        <f>IFERROR(INDEX(Table14[],MATCH($B2265,Table14[SAPNo],0),3),"")</f>
        <v xml:space="preserve">1618 CT182 U-60 Carbide </v>
      </c>
      <c r="D2265" s="306"/>
      <c r="E2265" s="421">
        <v>10</v>
      </c>
      <c r="F2265" s="421"/>
      <c r="G2265" s="417" t="s">
        <v>1889</v>
      </c>
      <c r="H2265" s="598">
        <v>14160186</v>
      </c>
      <c r="I2265" s="322" t="s">
        <v>1440</v>
      </c>
      <c r="J2265" s="418"/>
      <c r="K2265" s="248"/>
      <c r="M2265" s="366"/>
      <c r="AF2265">
        <v>10</v>
      </c>
    </row>
    <row r="2266" spans="1:32" x14ac:dyDescent="0.25">
      <c r="A2266" s="320">
        <v>45467</v>
      </c>
      <c r="B2266" s="416">
        <v>871781</v>
      </c>
      <c r="C2266" s="413" t="str">
        <f>IFERROR(INDEX(Table14[],MATCH($B2266,Table14[SAPNo],0),3),"")</f>
        <v>Round 1313 CT200  0.018" (B)</v>
      </c>
      <c r="D2266" s="306"/>
      <c r="E2266" s="421">
        <v>6</v>
      </c>
      <c r="F2266" s="421"/>
      <c r="G2266" s="417" t="s">
        <v>1889</v>
      </c>
      <c r="H2266" s="598">
        <v>14160186</v>
      </c>
      <c r="I2266" s="322" t="s">
        <v>1440</v>
      </c>
      <c r="J2266" s="418"/>
      <c r="K2266" s="248"/>
      <c r="M2266" s="366"/>
      <c r="AF2266">
        <v>6</v>
      </c>
    </row>
    <row r="2267" spans="1:32" x14ac:dyDescent="0.25">
      <c r="A2267" s="320">
        <v>45467</v>
      </c>
      <c r="B2267" s="419">
        <v>1261320</v>
      </c>
      <c r="C2267" s="413" t="str">
        <f>IFERROR(INDEX(Table14[],MATCH($B2267,Table14[SAPNo],0),3),"")</f>
        <v>1313 CT155 U-60</v>
      </c>
      <c r="D2267" s="306"/>
      <c r="E2267" s="421">
        <v>6</v>
      </c>
      <c r="F2267" s="421"/>
      <c r="G2267" s="420" t="s">
        <v>1889</v>
      </c>
      <c r="H2267" s="599">
        <v>14160186</v>
      </c>
      <c r="I2267" s="322" t="s">
        <v>1440</v>
      </c>
      <c r="J2267" s="421"/>
      <c r="K2267" s="422"/>
      <c r="M2267" s="366"/>
      <c r="AF2267">
        <v>6</v>
      </c>
    </row>
    <row r="2268" spans="1:32" x14ac:dyDescent="0.25">
      <c r="A2268" s="320">
        <v>45467</v>
      </c>
      <c r="B2268" s="419">
        <v>1261321</v>
      </c>
      <c r="C2268" s="413" t="str">
        <f>IFERROR(INDEX(Table14[],MATCH($B2268,Table14[SAPNo],0),3),"")</f>
        <v>1613 CT155 U-60</v>
      </c>
      <c r="D2268" s="306"/>
      <c r="E2268" s="421">
        <v>4</v>
      </c>
      <c r="F2268" s="421"/>
      <c r="G2268" s="420" t="s">
        <v>1889</v>
      </c>
      <c r="H2268" s="599">
        <v>14160186</v>
      </c>
      <c r="I2268" s="322" t="s">
        <v>1440</v>
      </c>
      <c r="J2268" s="421"/>
      <c r="K2268" s="422"/>
      <c r="M2268" s="422"/>
      <c r="AF2268">
        <v>4</v>
      </c>
    </row>
    <row r="2269" spans="1:32" x14ac:dyDescent="0.25">
      <c r="A2269" s="320">
        <v>45467</v>
      </c>
      <c r="B2269" s="419">
        <v>717748</v>
      </c>
      <c r="C2269" s="413" t="str">
        <f>IFERROR(INDEX(Table14[],MATCH($B2269,Table14[SAPNo],0),3),"")</f>
        <v>Round 1010 CT200  0.018" (B)</v>
      </c>
      <c r="D2269" s="306"/>
      <c r="E2269" s="421"/>
      <c r="F2269" s="421"/>
      <c r="G2269" s="420">
        <v>20241089</v>
      </c>
      <c r="H2269" s="599" t="s">
        <v>1890</v>
      </c>
      <c r="I2269" s="322" t="s">
        <v>1069</v>
      </c>
      <c r="J2269" s="421">
        <v>9</v>
      </c>
      <c r="K2269" s="422"/>
      <c r="M2269" s="422"/>
    </row>
    <row r="2270" spans="1:32" x14ac:dyDescent="0.25">
      <c r="A2270" s="308">
        <v>45469</v>
      </c>
      <c r="B2270" s="416">
        <v>418525</v>
      </c>
      <c r="C2270" s="413" t="str">
        <f>IFERROR(INDEX(Table14[],MATCH($B2270,Table14[SAPNo],0),3),"")</f>
        <v>Drop In 1308 CT31   (B)</v>
      </c>
      <c r="D2270" s="306"/>
      <c r="E2270" s="421">
        <v>3</v>
      </c>
      <c r="F2270" s="421"/>
      <c r="G2270" s="417" t="s">
        <v>1891</v>
      </c>
      <c r="H2270" s="598">
        <v>14127568</v>
      </c>
      <c r="I2270" s="322" t="s">
        <v>1501</v>
      </c>
      <c r="J2270" s="418"/>
      <c r="K2270" s="248"/>
      <c r="M2270" s="422"/>
      <c r="AF2270">
        <v>3</v>
      </c>
    </row>
    <row r="2271" spans="1:32" x14ac:dyDescent="0.25">
      <c r="A2271" s="308">
        <v>45469</v>
      </c>
      <c r="B2271" s="416">
        <v>871781</v>
      </c>
      <c r="C2271" s="413" t="str">
        <f>IFERROR(INDEX(Table14[],MATCH($B2271,Table14[SAPNo],0),3),"")</f>
        <v>Round 1313 CT200  0.018" (B)</v>
      </c>
      <c r="D2271" s="306"/>
      <c r="E2271" s="421">
        <v>4</v>
      </c>
      <c r="F2271" s="421"/>
      <c r="G2271" s="417" t="s">
        <v>1891</v>
      </c>
      <c r="H2271" s="598">
        <v>14127568</v>
      </c>
      <c r="I2271" s="322" t="s">
        <v>1501</v>
      </c>
      <c r="J2271" s="418"/>
      <c r="K2271" s="248"/>
      <c r="M2271" s="366"/>
      <c r="AF2271">
        <v>4</v>
      </c>
    </row>
    <row r="2272" spans="1:32" x14ac:dyDescent="0.25">
      <c r="A2272" s="308">
        <v>45469</v>
      </c>
      <c r="B2272" s="416">
        <v>708306</v>
      </c>
      <c r="C2272" s="413" t="str">
        <f>IFERROR(INDEX(Table14[],MATCH($B2272,Table14[SAPNo],0),3),"")</f>
        <v>Round 1913 CT200  0.018" (B)</v>
      </c>
      <c r="D2272" s="306"/>
      <c r="E2272" s="421">
        <v>35</v>
      </c>
      <c r="F2272" s="421"/>
      <c r="G2272" s="417" t="s">
        <v>1891</v>
      </c>
      <c r="H2272" s="598">
        <v>14127568</v>
      </c>
      <c r="I2272" s="322" t="s">
        <v>1501</v>
      </c>
      <c r="J2272" s="418"/>
      <c r="K2272" s="248"/>
      <c r="M2272" s="366"/>
      <c r="AF2272">
        <v>35</v>
      </c>
    </row>
    <row r="2273" spans="1:32" x14ac:dyDescent="0.25">
      <c r="A2273" s="308">
        <v>45469</v>
      </c>
      <c r="B2273" s="416">
        <v>1100759</v>
      </c>
      <c r="C2273" s="413" t="str">
        <f>IFERROR(INDEX(Table14[],MATCH($B2273,Table14[SAPNo],0),3),"")</f>
        <v>1913 CT421 0.018"</v>
      </c>
      <c r="D2273" s="306"/>
      <c r="E2273" s="421">
        <v>52</v>
      </c>
      <c r="F2273" s="421"/>
      <c r="G2273" s="417" t="s">
        <v>1891</v>
      </c>
      <c r="H2273" s="598">
        <v>14127568</v>
      </c>
      <c r="I2273" s="322" t="s">
        <v>1501</v>
      </c>
      <c r="J2273" s="418"/>
      <c r="K2273" s="248"/>
      <c r="M2273" s="366"/>
      <c r="AF2273">
        <v>52</v>
      </c>
    </row>
    <row r="2274" spans="1:32" x14ac:dyDescent="0.25">
      <c r="A2274" s="308">
        <v>45469</v>
      </c>
      <c r="B2274" s="416">
        <v>708306</v>
      </c>
      <c r="C2274" s="413" t="str">
        <f>IFERROR(INDEX(Table14[],MATCH($B2274,Table14[SAPNo],0),3),"")</f>
        <v>Round 1913 CT200  0.018" (B)</v>
      </c>
      <c r="D2274" s="306"/>
      <c r="E2274" s="421">
        <v>35</v>
      </c>
      <c r="F2274" s="421"/>
      <c r="G2274" s="417" t="s">
        <v>1892</v>
      </c>
      <c r="H2274" s="598">
        <v>14127569</v>
      </c>
      <c r="I2274" s="322" t="s">
        <v>1501</v>
      </c>
      <c r="J2274" s="418"/>
      <c r="K2274" s="248"/>
      <c r="M2274" s="366"/>
      <c r="AF2274">
        <v>35</v>
      </c>
    </row>
    <row r="2275" spans="1:32" x14ac:dyDescent="0.25">
      <c r="A2275" s="308">
        <v>45469</v>
      </c>
      <c r="B2275" s="416">
        <v>1100759</v>
      </c>
      <c r="C2275" s="413" t="str">
        <f>IFERROR(INDEX(Table14[],MATCH($B2275,Table14[SAPNo],0),3),"")</f>
        <v>1913 CT421 0.018"</v>
      </c>
      <c r="D2275" s="306"/>
      <c r="E2275" s="421">
        <v>52</v>
      </c>
      <c r="F2275" s="421"/>
      <c r="G2275" s="417" t="s">
        <v>1892</v>
      </c>
      <c r="H2275" s="598">
        <v>14127569</v>
      </c>
      <c r="I2275" s="322" t="s">
        <v>1501</v>
      </c>
      <c r="J2275" s="418"/>
      <c r="K2275" s="248"/>
      <c r="M2275" s="366"/>
      <c r="AF2275">
        <v>52</v>
      </c>
    </row>
    <row r="2276" spans="1:32" x14ac:dyDescent="0.25">
      <c r="A2276" s="308">
        <v>45469</v>
      </c>
      <c r="B2276" s="416">
        <v>418525</v>
      </c>
      <c r="C2276" s="413" t="str">
        <f>IFERROR(INDEX(Table14[],MATCH($B2276,Table14[SAPNo],0),3),"")</f>
        <v>Drop In 1308 CT31   (B)</v>
      </c>
      <c r="D2276" s="306"/>
      <c r="E2276" s="421">
        <v>3</v>
      </c>
      <c r="F2276" s="421"/>
      <c r="G2276" s="417" t="s">
        <v>1892</v>
      </c>
      <c r="H2276" s="598">
        <v>14127569</v>
      </c>
      <c r="I2276" s="322" t="s">
        <v>1501</v>
      </c>
      <c r="J2276" s="418"/>
      <c r="K2276" s="248"/>
      <c r="M2276" s="366"/>
      <c r="AF2276">
        <v>3</v>
      </c>
    </row>
    <row r="2277" spans="1:32" x14ac:dyDescent="0.25">
      <c r="A2277" s="308">
        <v>45469</v>
      </c>
      <c r="B2277" s="416">
        <v>871781</v>
      </c>
      <c r="C2277" s="413" t="str">
        <f>IFERROR(INDEX(Table14[],MATCH($B2277,Table14[SAPNo],0),3),"")</f>
        <v>Round 1313 CT200  0.018" (B)</v>
      </c>
      <c r="D2277" s="306"/>
      <c r="E2277" s="421">
        <v>4</v>
      </c>
      <c r="F2277" s="421"/>
      <c r="G2277" s="417" t="s">
        <v>1892</v>
      </c>
      <c r="H2277" s="598">
        <v>14127569</v>
      </c>
      <c r="I2277" s="322" t="s">
        <v>1501</v>
      </c>
      <c r="J2277" s="418"/>
      <c r="K2277" s="248"/>
      <c r="M2277" s="366"/>
      <c r="AF2277">
        <v>4</v>
      </c>
    </row>
    <row r="2278" spans="1:32" x14ac:dyDescent="0.25">
      <c r="A2278" s="308">
        <v>45469</v>
      </c>
      <c r="B2278" s="416">
        <v>647436</v>
      </c>
      <c r="C2278" s="413" t="str">
        <f>IFERROR(INDEX(Table14[],MATCH($B2278,Table14[SAPNo],0),3),"")</f>
        <v>Round 1613 CT200  0.018" (B)</v>
      </c>
      <c r="D2278" s="306"/>
      <c r="E2278" s="421">
        <v>64</v>
      </c>
      <c r="F2278" s="421"/>
      <c r="G2278" s="417" t="s">
        <v>1893</v>
      </c>
      <c r="H2278" s="598">
        <v>14136245</v>
      </c>
      <c r="I2278" s="322" t="s">
        <v>1894</v>
      </c>
      <c r="J2278" s="418"/>
      <c r="K2278" s="248"/>
      <c r="M2278" s="366"/>
      <c r="AF2278">
        <v>64</v>
      </c>
    </row>
    <row r="2279" spans="1:32" x14ac:dyDescent="0.25">
      <c r="A2279" s="308">
        <v>45469</v>
      </c>
      <c r="B2279" s="416">
        <v>647435</v>
      </c>
      <c r="C2279" s="413" t="str">
        <f>IFERROR(INDEX(Table14[],MATCH($B2279,Table14[SAPNo],0),3),"")</f>
        <v>Round 1608 CT200  0.018" (B)</v>
      </c>
      <c r="D2279" s="306"/>
      <c r="E2279" s="421">
        <v>16</v>
      </c>
      <c r="F2279" s="421"/>
      <c r="G2279" s="417" t="s">
        <v>1893</v>
      </c>
      <c r="H2279" s="598">
        <v>14136245</v>
      </c>
      <c r="I2279" s="322" t="s">
        <v>1894</v>
      </c>
      <c r="J2279" s="418"/>
      <c r="K2279" s="248"/>
      <c r="M2279" s="366"/>
      <c r="AF2279">
        <v>16</v>
      </c>
    </row>
    <row r="2280" spans="1:32" x14ac:dyDescent="0.25">
      <c r="A2280" s="308">
        <v>45469</v>
      </c>
      <c r="B2280" s="416">
        <v>418525</v>
      </c>
      <c r="C2280" s="413" t="str">
        <f>IFERROR(INDEX(Table14[],MATCH($B2280,Table14[SAPNo],0),3),"")</f>
        <v>Drop In 1308 CT31   (B)</v>
      </c>
      <c r="D2280" s="306"/>
      <c r="E2280" s="421">
        <v>8</v>
      </c>
      <c r="F2280" s="421"/>
      <c r="G2280" s="417" t="s">
        <v>1893</v>
      </c>
      <c r="H2280" s="598">
        <v>14136245</v>
      </c>
      <c r="I2280" s="322" t="s">
        <v>1894</v>
      </c>
      <c r="J2280" s="418"/>
      <c r="K2280" s="248"/>
      <c r="M2280" s="366"/>
      <c r="AF2280">
        <v>8</v>
      </c>
    </row>
    <row r="2281" spans="1:32" x14ac:dyDescent="0.25">
      <c r="A2281" s="308">
        <v>45469</v>
      </c>
      <c r="B2281" s="416">
        <v>1146737</v>
      </c>
      <c r="C2281" s="413" t="str">
        <f>IFERROR(INDEX(Table14[],MATCH($B2281,Table14[SAPNo],0),3),"")</f>
        <v>1613 CT418 18-60</v>
      </c>
      <c r="D2281" s="306"/>
      <c r="E2281" s="421">
        <v>40</v>
      </c>
      <c r="F2281" s="421"/>
      <c r="G2281" s="417" t="s">
        <v>1893</v>
      </c>
      <c r="H2281" s="598">
        <v>14136245</v>
      </c>
      <c r="I2281" s="322" t="s">
        <v>1894</v>
      </c>
      <c r="J2281" s="418"/>
      <c r="K2281" s="248"/>
      <c r="M2281" s="366"/>
      <c r="AF2281">
        <v>40</v>
      </c>
    </row>
    <row r="2282" spans="1:32" x14ac:dyDescent="0.25">
      <c r="A2282" s="308">
        <v>45469</v>
      </c>
      <c r="B2282" s="416">
        <v>1271790</v>
      </c>
      <c r="C2282" s="413" t="str">
        <f>IFERROR(INDEX(Table14[],MATCH($B2282,Table14[SAPNo],0),3),"")</f>
        <v xml:space="preserve">1613 CT170 18-60 </v>
      </c>
      <c r="D2282" s="306"/>
      <c r="E2282" s="421">
        <v>53</v>
      </c>
      <c r="F2282" s="421"/>
      <c r="G2282" s="417" t="s">
        <v>1893</v>
      </c>
      <c r="H2282" s="598">
        <v>14136245</v>
      </c>
      <c r="I2282" s="322" t="s">
        <v>1894</v>
      </c>
      <c r="J2282" s="418"/>
      <c r="K2282" s="248"/>
      <c r="M2282" s="366"/>
      <c r="AF2282">
        <v>53</v>
      </c>
    </row>
    <row r="2283" spans="1:32" x14ac:dyDescent="0.25">
      <c r="A2283" s="308">
        <v>45470</v>
      </c>
      <c r="B2283" s="416">
        <v>1146737</v>
      </c>
      <c r="C2283" s="413" t="str">
        <f>IFERROR(INDEX(Table14[],MATCH($B2283,Table14[SAPNo],0),3),"")</f>
        <v>1613 CT418 18-60</v>
      </c>
      <c r="D2283" s="306"/>
      <c r="E2283" s="421">
        <v>6</v>
      </c>
      <c r="F2283" s="421"/>
      <c r="G2283" s="417" t="s">
        <v>1895</v>
      </c>
      <c r="H2283" s="598">
        <v>14199935</v>
      </c>
      <c r="I2283" s="322" t="s">
        <v>1896</v>
      </c>
      <c r="J2283" s="418"/>
      <c r="K2283" s="248"/>
      <c r="M2283" s="366"/>
      <c r="AF2283">
        <v>6</v>
      </c>
    </row>
    <row r="2284" spans="1:32" x14ac:dyDescent="0.25">
      <c r="A2284" s="308">
        <v>45470</v>
      </c>
      <c r="B2284" s="416">
        <v>1208601</v>
      </c>
      <c r="C2284" s="413" t="str">
        <f>IFERROR(INDEX(Table14[],MATCH($B2284,Table14[SAPNo],0),3),"")</f>
        <v>1613 CT418 U-60</v>
      </c>
      <c r="D2284" s="306"/>
      <c r="E2284" s="421">
        <v>8</v>
      </c>
      <c r="F2284" s="421"/>
      <c r="G2284" s="417" t="s">
        <v>1895</v>
      </c>
      <c r="H2284" s="598">
        <v>14199935</v>
      </c>
      <c r="I2284" s="322" t="s">
        <v>1896</v>
      </c>
      <c r="J2284" s="418"/>
      <c r="K2284" s="248"/>
      <c r="M2284" s="366"/>
      <c r="AF2284">
        <v>8</v>
      </c>
    </row>
    <row r="2285" spans="1:32" x14ac:dyDescent="0.25">
      <c r="A2285" s="308">
        <v>45470</v>
      </c>
      <c r="B2285" s="416">
        <v>1078377</v>
      </c>
      <c r="C2285" s="413" t="str">
        <f>IFERROR(INDEX(Table14[],MATCH($B2285,Table14[SAPNo],0),3),"")</f>
        <v>13MM CT221 R1</v>
      </c>
      <c r="D2285" s="306"/>
      <c r="E2285" s="421">
        <v>15</v>
      </c>
      <c r="F2285" s="421"/>
      <c r="G2285" s="417" t="s">
        <v>1895</v>
      </c>
      <c r="H2285" s="598">
        <v>14199935</v>
      </c>
      <c r="I2285" s="322" t="s">
        <v>1896</v>
      </c>
      <c r="J2285" s="418"/>
      <c r="K2285" s="248"/>
      <c r="M2285" s="366"/>
      <c r="AF2285">
        <v>15</v>
      </c>
    </row>
    <row r="2286" spans="1:32" x14ac:dyDescent="0.25">
      <c r="A2286" s="308">
        <v>45470</v>
      </c>
      <c r="B2286" s="416">
        <v>1271790</v>
      </c>
      <c r="C2286" s="413" t="str">
        <f>IFERROR(INDEX(Table14[],MATCH($B2286,Table14[SAPNo],0),3),"")</f>
        <v xml:space="preserve">1613 CT170 18-60 </v>
      </c>
      <c r="D2286" s="306"/>
      <c r="E2286" s="421">
        <v>17</v>
      </c>
      <c r="F2286" s="421"/>
      <c r="G2286" s="417" t="s">
        <v>1895</v>
      </c>
      <c r="H2286" s="598">
        <v>14199935</v>
      </c>
      <c r="I2286" s="322" t="s">
        <v>1896</v>
      </c>
      <c r="J2286" s="418"/>
      <c r="K2286" s="248"/>
      <c r="M2286" s="366"/>
      <c r="AF2286">
        <v>17</v>
      </c>
    </row>
    <row r="2287" spans="1:32" x14ac:dyDescent="0.25">
      <c r="A2287" s="308">
        <v>45470</v>
      </c>
      <c r="B2287" s="416">
        <v>418525</v>
      </c>
      <c r="C2287" s="413" t="str">
        <f>IFERROR(INDEX(Table14[],MATCH($B2287,Table14[SAPNo],0),3),"")</f>
        <v>Drop In 1308 CT31   (B)</v>
      </c>
      <c r="D2287" s="306"/>
      <c r="E2287" s="421">
        <v>6</v>
      </c>
      <c r="F2287" s="421"/>
      <c r="G2287" s="417" t="s">
        <v>1895</v>
      </c>
      <c r="H2287" s="598">
        <v>14199935</v>
      </c>
      <c r="I2287" s="322" t="s">
        <v>1896</v>
      </c>
      <c r="J2287" s="418"/>
      <c r="K2287" s="248"/>
      <c r="M2287" s="366"/>
      <c r="AF2287">
        <v>6</v>
      </c>
    </row>
    <row r="2288" spans="1:32" x14ac:dyDescent="0.25">
      <c r="A2288" s="308">
        <v>45470</v>
      </c>
      <c r="B2288" s="416">
        <v>1208601</v>
      </c>
      <c r="C2288" s="413" t="str">
        <f>IFERROR(INDEX(Table14[],MATCH($B2288,Table14[SAPNo],0),3),"")</f>
        <v>1613 CT418 U-60</v>
      </c>
      <c r="D2288" s="306"/>
      <c r="E2288" s="421">
        <v>8</v>
      </c>
      <c r="F2288" s="421"/>
      <c r="G2288" s="417" t="s">
        <v>1897</v>
      </c>
      <c r="H2288" s="598">
        <v>14199936</v>
      </c>
      <c r="I2288" s="322" t="s">
        <v>1896</v>
      </c>
      <c r="J2288" s="418"/>
      <c r="K2288" s="248"/>
      <c r="M2288" s="366"/>
      <c r="AF2288">
        <v>8</v>
      </c>
    </row>
    <row r="2289" spans="1:32" x14ac:dyDescent="0.25">
      <c r="A2289" s="308">
        <v>45470</v>
      </c>
      <c r="B2289" s="416">
        <v>1146737</v>
      </c>
      <c r="C2289" s="413" t="str">
        <f>IFERROR(INDEX(Table14[],MATCH($B2289,Table14[SAPNo],0),3),"")</f>
        <v>1613 CT418 18-60</v>
      </c>
      <c r="D2289" s="306"/>
      <c r="E2289" s="421">
        <v>6</v>
      </c>
      <c r="F2289" s="421"/>
      <c r="G2289" s="417" t="s">
        <v>1897</v>
      </c>
      <c r="H2289" s="598">
        <v>14199936</v>
      </c>
      <c r="I2289" s="322" t="s">
        <v>1896</v>
      </c>
      <c r="J2289" s="418"/>
      <c r="K2289" s="248"/>
      <c r="M2289" s="366"/>
      <c r="AF2289">
        <v>6</v>
      </c>
    </row>
    <row r="2290" spans="1:32" x14ac:dyDescent="0.25">
      <c r="A2290" s="308">
        <v>45470</v>
      </c>
      <c r="B2290" s="416">
        <v>418525</v>
      </c>
      <c r="C2290" s="413" t="str">
        <f>IFERROR(INDEX(Table14[],MATCH($B2290,Table14[SAPNo],0),3),"")</f>
        <v>Drop In 1308 CT31   (B)</v>
      </c>
      <c r="D2290" s="306"/>
      <c r="E2290" s="421">
        <v>6</v>
      </c>
      <c r="F2290" s="421"/>
      <c r="G2290" s="417" t="s">
        <v>1897</v>
      </c>
      <c r="H2290" s="598">
        <v>14199936</v>
      </c>
      <c r="I2290" s="322" t="s">
        <v>1896</v>
      </c>
      <c r="J2290" s="418"/>
      <c r="K2290" s="248"/>
      <c r="M2290" s="366"/>
      <c r="AF2290">
        <v>6</v>
      </c>
    </row>
    <row r="2291" spans="1:32" x14ac:dyDescent="0.25">
      <c r="A2291" s="308">
        <v>45470</v>
      </c>
      <c r="B2291" s="416">
        <v>1078377</v>
      </c>
      <c r="C2291" s="413" t="str">
        <f>IFERROR(INDEX(Table14[],MATCH($B2291,Table14[SAPNo],0),3),"")</f>
        <v>13MM CT221 R1</v>
      </c>
      <c r="D2291" s="306"/>
      <c r="E2291" s="421">
        <v>15</v>
      </c>
      <c r="F2291" s="421"/>
      <c r="G2291" s="417" t="s">
        <v>1897</v>
      </c>
      <c r="H2291" s="598">
        <v>14199936</v>
      </c>
      <c r="I2291" s="322" t="s">
        <v>1896</v>
      </c>
      <c r="J2291" s="418"/>
      <c r="K2291" s="248"/>
      <c r="M2291" s="366"/>
      <c r="AF2291">
        <v>15</v>
      </c>
    </row>
    <row r="2292" spans="1:32" x14ac:dyDescent="0.25">
      <c r="A2292" s="308">
        <v>45470</v>
      </c>
      <c r="B2292" s="416">
        <v>1271790</v>
      </c>
      <c r="C2292" s="413" t="str">
        <f>IFERROR(INDEX(Table14[],MATCH($B2292,Table14[SAPNo],0),3),"")</f>
        <v xml:space="preserve">1613 CT170 18-60 </v>
      </c>
      <c r="D2292" s="306"/>
      <c r="E2292" s="421">
        <v>17</v>
      </c>
      <c r="F2292" s="421"/>
      <c r="G2292" s="417" t="s">
        <v>1897</v>
      </c>
      <c r="H2292" s="598">
        <v>14199936</v>
      </c>
      <c r="I2292" s="322" t="s">
        <v>1896</v>
      </c>
      <c r="J2292" s="418"/>
      <c r="K2292" s="248"/>
      <c r="M2292" s="366"/>
      <c r="AF2292">
        <v>17</v>
      </c>
    </row>
    <row r="2293" spans="1:32" x14ac:dyDescent="0.25">
      <c r="A2293" s="320">
        <v>45470</v>
      </c>
      <c r="B2293" s="419">
        <v>717748</v>
      </c>
      <c r="C2293" s="413" t="str">
        <f>IFERROR(INDEX(Table14[],MATCH($B2293,Table14[SAPNo],0),3),"")</f>
        <v>Round 1010 CT200  0.018" (B)</v>
      </c>
      <c r="D2293" s="306"/>
      <c r="E2293" s="421"/>
      <c r="F2293" s="421"/>
      <c r="G2293" s="420" t="s">
        <v>1898</v>
      </c>
      <c r="H2293" s="599" t="s">
        <v>1899</v>
      </c>
      <c r="I2293" s="322" t="s">
        <v>1069</v>
      </c>
      <c r="J2293" s="421">
        <v>3</v>
      </c>
      <c r="K2293" s="422"/>
      <c r="M2293" s="366"/>
    </row>
    <row r="2294" spans="1:32" x14ac:dyDescent="0.25">
      <c r="A2294" s="564">
        <v>45470</v>
      </c>
      <c r="B2294" s="565">
        <v>1130198</v>
      </c>
      <c r="C2294" s="634" t="str">
        <f>IFERROR(INDEX(Table14[],MATCH($B2294,Table14[SAPNo],0),3),"")</f>
        <v>Round 1613 CT182  0.018" (S)</v>
      </c>
      <c r="D2294" s="306"/>
      <c r="E2294" s="576"/>
      <c r="F2294" s="576"/>
      <c r="G2294" s="498" t="s">
        <v>1900</v>
      </c>
      <c r="H2294" s="598">
        <v>14056711</v>
      </c>
      <c r="I2294" s="322" t="s">
        <v>1255</v>
      </c>
      <c r="J2294" s="418"/>
      <c r="K2294" s="248" t="s">
        <v>1901</v>
      </c>
      <c r="M2294" s="422"/>
    </row>
    <row r="2295" spans="1:32" x14ac:dyDescent="0.25">
      <c r="A2295" s="564">
        <v>45470</v>
      </c>
      <c r="B2295" s="565">
        <v>1130198</v>
      </c>
      <c r="C2295" s="634" t="str">
        <f>IFERROR(INDEX(Table14[],MATCH($B2295,Table14[SAPNo],0),3),"")</f>
        <v>Round 1613 CT182  0.018" (S)</v>
      </c>
      <c r="D2295" s="306"/>
      <c r="E2295" s="576"/>
      <c r="F2295" s="576"/>
      <c r="G2295" s="498" t="s">
        <v>1902</v>
      </c>
      <c r="H2295" s="598">
        <v>13925590</v>
      </c>
      <c r="I2295" s="322" t="s">
        <v>1255</v>
      </c>
      <c r="J2295" s="418"/>
      <c r="K2295" s="248" t="s">
        <v>1901</v>
      </c>
      <c r="M2295" s="366"/>
    </row>
    <row r="2296" spans="1:32" x14ac:dyDescent="0.25">
      <c r="A2296" s="564">
        <v>45470</v>
      </c>
      <c r="B2296" s="565">
        <v>1130198</v>
      </c>
      <c r="C2296" s="634" t="str">
        <f>IFERROR(INDEX(Table14[],MATCH($B2296,Table14[SAPNo],0),3),"")</f>
        <v>Round 1613 CT182  0.018" (S)</v>
      </c>
      <c r="D2296" s="306"/>
      <c r="E2296" s="576"/>
      <c r="F2296" s="576"/>
      <c r="G2296" s="498" t="s">
        <v>1903</v>
      </c>
      <c r="H2296" s="598">
        <v>13926375</v>
      </c>
      <c r="I2296" s="322" t="s">
        <v>1255</v>
      </c>
      <c r="J2296" s="418"/>
      <c r="K2296" s="248" t="s">
        <v>1901</v>
      </c>
      <c r="M2296" s="366"/>
    </row>
    <row r="2297" spans="1:32" x14ac:dyDescent="0.25">
      <c r="A2297" s="564">
        <v>45470</v>
      </c>
      <c r="B2297" s="565">
        <v>1130198</v>
      </c>
      <c r="C2297" s="634" t="str">
        <f>IFERROR(INDEX(Table14[],MATCH($B2297,Table14[SAPNo],0),3),"")</f>
        <v>Round 1613 CT182  0.018" (S)</v>
      </c>
      <c r="D2297" s="306"/>
      <c r="E2297" s="576"/>
      <c r="F2297" s="576"/>
      <c r="G2297" s="498" t="s">
        <v>1904</v>
      </c>
      <c r="H2297" s="598">
        <v>13867768</v>
      </c>
      <c r="I2297" s="322" t="s">
        <v>1255</v>
      </c>
      <c r="J2297" s="418"/>
      <c r="K2297" s="248" t="s">
        <v>1901</v>
      </c>
      <c r="M2297" s="366"/>
    </row>
    <row r="2298" spans="1:32" x14ac:dyDescent="0.25">
      <c r="A2298" s="564">
        <v>45470</v>
      </c>
      <c r="B2298" s="565">
        <v>1130198</v>
      </c>
      <c r="C2298" s="634" t="str">
        <f>IFERROR(INDEX(Table14[],MATCH($B2298,Table14[SAPNo],0),3),"")</f>
        <v>Round 1613 CT182  0.018" (S)</v>
      </c>
      <c r="D2298" s="306"/>
      <c r="E2298" s="576"/>
      <c r="F2298" s="576"/>
      <c r="G2298" s="498" t="s">
        <v>1905</v>
      </c>
      <c r="H2298" s="598">
        <v>13845748</v>
      </c>
      <c r="I2298" s="322" t="s">
        <v>1792</v>
      </c>
      <c r="J2298" s="418"/>
      <c r="K2298" s="248" t="s">
        <v>1901</v>
      </c>
      <c r="M2298" s="366"/>
    </row>
    <row r="2299" spans="1:32" x14ac:dyDescent="0.25">
      <c r="A2299" s="564">
        <v>45470</v>
      </c>
      <c r="B2299" s="565">
        <v>1130198</v>
      </c>
      <c r="C2299" s="634" t="str">
        <f>IFERROR(INDEX(Table14[],MATCH($B2299,Table14[SAPNo],0),3),"")</f>
        <v>Round 1613 CT182  0.018" (S)</v>
      </c>
      <c r="D2299" s="306"/>
      <c r="E2299" s="576"/>
      <c r="F2299" s="576"/>
      <c r="G2299" s="498" t="s">
        <v>1906</v>
      </c>
      <c r="H2299" s="598">
        <v>13845747</v>
      </c>
      <c r="I2299" s="322" t="s">
        <v>1792</v>
      </c>
      <c r="J2299" s="418"/>
      <c r="K2299" s="248" t="s">
        <v>1901</v>
      </c>
      <c r="M2299" s="366"/>
    </row>
    <row r="2300" spans="1:32" x14ac:dyDescent="0.25">
      <c r="A2300" s="564">
        <v>45470</v>
      </c>
      <c r="B2300" s="565">
        <v>1130198</v>
      </c>
      <c r="C2300" s="634" t="str">
        <f>IFERROR(INDEX(Table14[],MATCH($B2300,Table14[SAPNo],0),3),"")</f>
        <v>Round 1613 CT182  0.018" (S)</v>
      </c>
      <c r="D2300" s="306"/>
      <c r="E2300" s="576"/>
      <c r="F2300" s="576"/>
      <c r="G2300" s="498" t="s">
        <v>1907</v>
      </c>
      <c r="H2300" s="598">
        <v>13845747</v>
      </c>
      <c r="I2300" s="322" t="s">
        <v>1792</v>
      </c>
      <c r="J2300" s="418"/>
      <c r="K2300" s="248" t="s">
        <v>1901</v>
      </c>
      <c r="M2300" s="366"/>
    </row>
    <row r="2301" spans="1:32" x14ac:dyDescent="0.25">
      <c r="A2301" s="566">
        <v>45470</v>
      </c>
      <c r="B2301" s="567">
        <v>1130198</v>
      </c>
      <c r="C2301" s="634" t="str">
        <f>IFERROR(INDEX(Table14[],MATCH($B2301,Table14[SAPNo],0),3),"")</f>
        <v>Round 1613 CT182  0.018" (S)</v>
      </c>
      <c r="D2301" s="306"/>
      <c r="E2301" s="576"/>
      <c r="F2301" s="576"/>
      <c r="G2301" s="498" t="s">
        <v>1908</v>
      </c>
      <c r="H2301" s="599">
        <v>13845748</v>
      </c>
      <c r="I2301" s="322" t="s">
        <v>1792</v>
      </c>
      <c r="J2301" s="421"/>
      <c r="K2301" s="422" t="s">
        <v>1901</v>
      </c>
      <c r="M2301" s="473" t="s">
        <v>1909</v>
      </c>
    </row>
    <row r="2302" spans="1:32" x14ac:dyDescent="0.25">
      <c r="A2302" s="308">
        <v>45474</v>
      </c>
      <c r="B2302" s="416">
        <v>708306</v>
      </c>
      <c r="C2302" s="413" t="str">
        <f>IFERROR(INDEX(Table14[],MATCH($B2302,Table14[SAPNo],0),3),"")</f>
        <v>Round 1913 CT200  0.018" (B)</v>
      </c>
      <c r="D2302" s="306"/>
      <c r="E2302" s="421">
        <v>6</v>
      </c>
      <c r="F2302" s="421"/>
      <c r="G2302" s="417" t="s">
        <v>1910</v>
      </c>
      <c r="H2302" s="598">
        <v>14127569</v>
      </c>
      <c r="I2302" s="322" t="s">
        <v>1501</v>
      </c>
      <c r="J2302" s="418"/>
      <c r="K2302" s="248"/>
      <c r="M2302" s="422"/>
      <c r="AF2302">
        <v>6</v>
      </c>
    </row>
    <row r="2303" spans="1:32" x14ac:dyDescent="0.25">
      <c r="A2303" s="308">
        <v>45474</v>
      </c>
      <c r="B2303" s="416">
        <v>647436</v>
      </c>
      <c r="C2303" s="413" t="str">
        <f>IFERROR(INDEX(Table14[],MATCH($B2303,Table14[SAPNo],0),3),"")</f>
        <v>Round 1613 CT200  0.018" (B)</v>
      </c>
      <c r="D2303" s="306"/>
      <c r="E2303" s="421">
        <v>64</v>
      </c>
      <c r="F2303" s="421"/>
      <c r="G2303" s="417" t="s">
        <v>1911</v>
      </c>
      <c r="H2303" s="598">
        <v>14144648</v>
      </c>
      <c r="I2303" s="322" t="s">
        <v>1451</v>
      </c>
      <c r="J2303" s="418"/>
      <c r="K2303" s="248"/>
      <c r="M2303" s="366"/>
      <c r="AF2303">
        <v>64</v>
      </c>
    </row>
    <row r="2304" spans="1:32" x14ac:dyDescent="0.25">
      <c r="A2304" s="308">
        <v>45474</v>
      </c>
      <c r="B2304" s="416">
        <v>1146737</v>
      </c>
      <c r="C2304" s="413" t="str">
        <f>IFERROR(INDEX(Table14[],MATCH($B2304,Table14[SAPNo],0),3),"")</f>
        <v>1613 CT418 18-60</v>
      </c>
      <c r="D2304" s="306"/>
      <c r="E2304" s="421">
        <v>39</v>
      </c>
      <c r="F2304" s="421"/>
      <c r="G2304" s="417" t="s">
        <v>1911</v>
      </c>
      <c r="H2304" s="598">
        <v>14144648</v>
      </c>
      <c r="I2304" s="322" t="s">
        <v>1451</v>
      </c>
      <c r="J2304" s="418"/>
      <c r="K2304" s="248"/>
      <c r="M2304" s="366"/>
      <c r="AF2304">
        <v>39</v>
      </c>
    </row>
    <row r="2305" spans="1:32" x14ac:dyDescent="0.25">
      <c r="A2305" s="308">
        <v>45474</v>
      </c>
      <c r="B2305" s="416">
        <v>647435</v>
      </c>
      <c r="C2305" s="413" t="str">
        <f>IFERROR(INDEX(Table14[],MATCH($B2305,Table14[SAPNo],0),3),"")</f>
        <v>Round 1608 CT200  0.018" (B)</v>
      </c>
      <c r="D2305" s="306"/>
      <c r="E2305" s="421">
        <v>16</v>
      </c>
      <c r="F2305" s="421"/>
      <c r="G2305" s="417" t="s">
        <v>1911</v>
      </c>
      <c r="H2305" s="598">
        <v>14144648</v>
      </c>
      <c r="I2305" s="322" t="s">
        <v>1451</v>
      </c>
      <c r="J2305" s="418"/>
      <c r="K2305" s="248"/>
      <c r="M2305" s="366"/>
      <c r="AF2305">
        <v>16</v>
      </c>
    </row>
    <row r="2306" spans="1:32" x14ac:dyDescent="0.25">
      <c r="A2306" s="308">
        <v>45474</v>
      </c>
      <c r="B2306" s="416">
        <v>1271790</v>
      </c>
      <c r="C2306" s="413" t="str">
        <f>IFERROR(INDEX(Table14[],MATCH($B2306,Table14[SAPNo],0),3),"")</f>
        <v xml:space="preserve">1613 CT170 18-60 </v>
      </c>
      <c r="D2306" s="306"/>
      <c r="E2306" s="421">
        <v>53</v>
      </c>
      <c r="F2306" s="421"/>
      <c r="G2306" s="417" t="s">
        <v>1911</v>
      </c>
      <c r="H2306" s="598">
        <v>14144648</v>
      </c>
      <c r="I2306" s="322" t="s">
        <v>1451</v>
      </c>
      <c r="J2306" s="418"/>
      <c r="K2306" s="248"/>
      <c r="M2306" s="366"/>
      <c r="AF2306">
        <v>53</v>
      </c>
    </row>
    <row r="2307" spans="1:32" x14ac:dyDescent="0.25">
      <c r="A2307" s="308">
        <v>45474</v>
      </c>
      <c r="B2307" s="416">
        <v>418525</v>
      </c>
      <c r="C2307" s="413" t="str">
        <f>IFERROR(INDEX(Table14[],MATCH($B2307,Table14[SAPNo],0),3),"")</f>
        <v>Drop In 1308 CT31   (B)</v>
      </c>
      <c r="D2307" s="306"/>
      <c r="E2307" s="421">
        <v>8</v>
      </c>
      <c r="F2307" s="421"/>
      <c r="G2307" s="417" t="s">
        <v>1911</v>
      </c>
      <c r="H2307" s="598">
        <v>14144648</v>
      </c>
      <c r="I2307" s="322" t="s">
        <v>1451</v>
      </c>
      <c r="J2307" s="418"/>
      <c r="K2307" s="248"/>
      <c r="M2307" s="366"/>
      <c r="AF2307">
        <v>8</v>
      </c>
    </row>
    <row r="2308" spans="1:32" x14ac:dyDescent="0.25">
      <c r="A2308" s="308">
        <v>45474</v>
      </c>
      <c r="B2308" s="416">
        <v>1271790</v>
      </c>
      <c r="C2308" s="413" t="str">
        <f>IFERROR(INDEX(Table14[],MATCH($B2308,Table14[SAPNo],0),3),"")</f>
        <v xml:space="preserve">1613 CT170 18-60 </v>
      </c>
      <c r="D2308" s="306"/>
      <c r="E2308" s="421">
        <v>53</v>
      </c>
      <c r="F2308" s="421"/>
      <c r="G2308" s="417" t="s">
        <v>1912</v>
      </c>
      <c r="H2308" s="598">
        <v>14145049</v>
      </c>
      <c r="I2308" s="322" t="s">
        <v>1451</v>
      </c>
      <c r="J2308" s="418"/>
      <c r="K2308" s="248"/>
      <c r="M2308" s="366"/>
      <c r="AF2308">
        <v>53</v>
      </c>
    </row>
    <row r="2309" spans="1:32" x14ac:dyDescent="0.25">
      <c r="A2309" s="308">
        <v>45474</v>
      </c>
      <c r="B2309" s="416">
        <v>647436</v>
      </c>
      <c r="C2309" s="413" t="str">
        <f>IFERROR(INDEX(Table14[],MATCH($B2309,Table14[SAPNo],0),3),"")</f>
        <v>Round 1613 CT200  0.018" (B)</v>
      </c>
      <c r="D2309" s="306"/>
      <c r="E2309" s="421">
        <v>64</v>
      </c>
      <c r="F2309" s="421"/>
      <c r="G2309" s="417" t="s">
        <v>1912</v>
      </c>
      <c r="H2309" s="598">
        <v>14145049</v>
      </c>
      <c r="I2309" s="322" t="s">
        <v>1451</v>
      </c>
      <c r="J2309" s="418"/>
      <c r="K2309" s="248"/>
      <c r="M2309" s="366"/>
      <c r="AF2309">
        <v>64</v>
      </c>
    </row>
    <row r="2310" spans="1:32" x14ac:dyDescent="0.25">
      <c r="A2310" s="308">
        <v>45474</v>
      </c>
      <c r="B2310" s="416">
        <v>647435</v>
      </c>
      <c r="C2310" s="413" t="str">
        <f>IFERROR(INDEX(Table14[],MATCH($B2310,Table14[SAPNo],0),3),"")</f>
        <v>Round 1608 CT200  0.018" (B)</v>
      </c>
      <c r="D2310" s="306"/>
      <c r="E2310" s="421">
        <v>16</v>
      </c>
      <c r="F2310" s="421"/>
      <c r="G2310" s="417" t="s">
        <v>1912</v>
      </c>
      <c r="H2310" s="598">
        <v>14145049</v>
      </c>
      <c r="I2310" s="322" t="s">
        <v>1451</v>
      </c>
      <c r="J2310" s="418"/>
      <c r="K2310" s="248"/>
      <c r="M2310" s="366"/>
      <c r="AF2310">
        <v>16</v>
      </c>
    </row>
    <row r="2311" spans="1:32" x14ac:dyDescent="0.25">
      <c r="A2311" s="308">
        <v>45474</v>
      </c>
      <c r="B2311" s="416">
        <v>1146737</v>
      </c>
      <c r="C2311" s="413" t="str">
        <f>IFERROR(INDEX(Table14[],MATCH($B2311,Table14[SAPNo],0),3),"")</f>
        <v>1613 CT418 18-60</v>
      </c>
      <c r="D2311" s="306"/>
      <c r="E2311" s="421">
        <v>39</v>
      </c>
      <c r="F2311" s="421"/>
      <c r="G2311" s="417" t="s">
        <v>1912</v>
      </c>
      <c r="H2311" s="598">
        <v>14145049</v>
      </c>
      <c r="I2311" s="322" t="s">
        <v>1451</v>
      </c>
      <c r="J2311" s="418"/>
      <c r="K2311" s="248"/>
      <c r="M2311" s="366"/>
      <c r="AF2311">
        <v>39</v>
      </c>
    </row>
    <row r="2312" spans="1:32" x14ac:dyDescent="0.25">
      <c r="A2312" s="308">
        <v>45474</v>
      </c>
      <c r="B2312" s="416">
        <v>418525</v>
      </c>
      <c r="C2312" s="413" t="str">
        <f>IFERROR(INDEX(Table14[],MATCH($B2312,Table14[SAPNo],0),3),"")</f>
        <v>Drop In 1308 CT31   (B)</v>
      </c>
      <c r="D2312" s="306"/>
      <c r="E2312" s="421">
        <v>8</v>
      </c>
      <c r="F2312" s="421"/>
      <c r="G2312" s="417" t="s">
        <v>1912</v>
      </c>
      <c r="H2312" s="598">
        <v>14145049</v>
      </c>
      <c r="I2312" s="322" t="s">
        <v>1451</v>
      </c>
      <c r="J2312" s="418"/>
      <c r="K2312" s="248"/>
      <c r="M2312" s="366"/>
      <c r="AF2312">
        <v>8</v>
      </c>
    </row>
    <row r="2313" spans="1:32" x14ac:dyDescent="0.25">
      <c r="A2313" s="308">
        <v>45474</v>
      </c>
      <c r="B2313" s="416">
        <v>1271790</v>
      </c>
      <c r="C2313" s="413" t="str">
        <f>IFERROR(INDEX(Table14[],MATCH($B2313,Table14[SAPNo],0),3),"")</f>
        <v xml:space="preserve">1613 CT170 18-60 </v>
      </c>
      <c r="D2313" s="306"/>
      <c r="E2313" s="421">
        <v>17</v>
      </c>
      <c r="F2313" s="421"/>
      <c r="G2313" s="417" t="s">
        <v>1913</v>
      </c>
      <c r="H2313" s="598">
        <v>14199937</v>
      </c>
      <c r="I2313" s="322" t="s">
        <v>1881</v>
      </c>
      <c r="J2313" s="418"/>
      <c r="K2313" s="248"/>
      <c r="M2313" s="366"/>
      <c r="AF2313">
        <v>17</v>
      </c>
    </row>
    <row r="2314" spans="1:32" x14ac:dyDescent="0.25">
      <c r="A2314" s="308">
        <v>45474</v>
      </c>
      <c r="B2314" s="416">
        <v>1078377</v>
      </c>
      <c r="C2314" s="413" t="str">
        <f>IFERROR(INDEX(Table14[],MATCH($B2314,Table14[SAPNo],0),3),"")</f>
        <v>13MM CT221 R1</v>
      </c>
      <c r="D2314" s="306"/>
      <c r="E2314" s="421">
        <v>15</v>
      </c>
      <c r="F2314" s="421"/>
      <c r="G2314" s="417" t="s">
        <v>1913</v>
      </c>
      <c r="H2314" s="598">
        <v>14199937</v>
      </c>
      <c r="I2314" s="322" t="s">
        <v>1881</v>
      </c>
      <c r="J2314" s="418"/>
      <c r="K2314" s="248"/>
      <c r="M2314" s="366"/>
      <c r="AF2314">
        <v>15</v>
      </c>
    </row>
    <row r="2315" spans="1:32" x14ac:dyDescent="0.25">
      <c r="A2315" s="308">
        <v>45474</v>
      </c>
      <c r="B2315" s="416">
        <v>1208601</v>
      </c>
      <c r="C2315" s="413" t="str">
        <f>IFERROR(INDEX(Table14[],MATCH($B2315,Table14[SAPNo],0),3),"")</f>
        <v>1613 CT418 U-60</v>
      </c>
      <c r="D2315" s="306"/>
      <c r="E2315" s="421">
        <v>8</v>
      </c>
      <c r="F2315" s="421"/>
      <c r="G2315" s="417" t="s">
        <v>1913</v>
      </c>
      <c r="H2315" s="598">
        <v>14199937</v>
      </c>
      <c r="I2315" s="322" t="s">
        <v>1881</v>
      </c>
      <c r="J2315" s="418"/>
      <c r="K2315" s="248"/>
      <c r="M2315" s="366"/>
      <c r="AF2315">
        <v>8</v>
      </c>
    </row>
    <row r="2316" spans="1:32" x14ac:dyDescent="0.25">
      <c r="A2316" s="308">
        <v>45474</v>
      </c>
      <c r="B2316" s="416">
        <v>1146737</v>
      </c>
      <c r="C2316" s="413" t="str">
        <f>IFERROR(INDEX(Table14[],MATCH($B2316,Table14[SAPNo],0),3),"")</f>
        <v>1613 CT418 18-60</v>
      </c>
      <c r="D2316" s="306"/>
      <c r="E2316" s="421">
        <v>6</v>
      </c>
      <c r="F2316" s="421"/>
      <c r="G2316" s="417" t="s">
        <v>1913</v>
      </c>
      <c r="H2316" s="598">
        <v>14199937</v>
      </c>
      <c r="I2316" s="322" t="s">
        <v>1881</v>
      </c>
      <c r="J2316" s="418"/>
      <c r="K2316" s="248"/>
      <c r="M2316" s="366"/>
      <c r="AF2316">
        <v>6</v>
      </c>
    </row>
    <row r="2317" spans="1:32" x14ac:dyDescent="0.25">
      <c r="A2317" s="308">
        <v>45474</v>
      </c>
      <c r="B2317" s="416">
        <v>418525</v>
      </c>
      <c r="C2317" s="413" t="str">
        <f>IFERROR(INDEX(Table14[],MATCH($B2317,Table14[SAPNo],0),3),"")</f>
        <v>Drop In 1308 CT31   (B)</v>
      </c>
      <c r="D2317" s="306"/>
      <c r="E2317" s="421">
        <v>6</v>
      </c>
      <c r="F2317" s="421"/>
      <c r="G2317" s="417" t="s">
        <v>1913</v>
      </c>
      <c r="H2317" s="598">
        <v>14199937</v>
      </c>
      <c r="I2317" s="322" t="s">
        <v>1881</v>
      </c>
      <c r="J2317" s="418"/>
      <c r="K2317" s="248"/>
      <c r="M2317" s="366"/>
      <c r="AF2317">
        <v>6</v>
      </c>
    </row>
    <row r="2318" spans="1:32" x14ac:dyDescent="0.25">
      <c r="A2318" s="308">
        <v>45474</v>
      </c>
      <c r="B2318" s="416">
        <v>1078377</v>
      </c>
      <c r="C2318" s="413" t="str">
        <f>IFERROR(INDEX(Table14[],MATCH($B2318,Table14[SAPNo],0),3),"")</f>
        <v>13MM CT221 R1</v>
      </c>
      <c r="D2318" s="306"/>
      <c r="E2318" s="421">
        <v>15</v>
      </c>
      <c r="F2318" s="421"/>
      <c r="G2318" s="417" t="s">
        <v>1914</v>
      </c>
      <c r="H2318" s="598">
        <v>14199938</v>
      </c>
      <c r="I2318" s="322" t="s">
        <v>1881</v>
      </c>
      <c r="J2318" s="418"/>
      <c r="K2318" s="248"/>
      <c r="M2318" s="366"/>
      <c r="AF2318">
        <v>15</v>
      </c>
    </row>
    <row r="2319" spans="1:32" x14ac:dyDescent="0.25">
      <c r="A2319" s="308">
        <v>45474</v>
      </c>
      <c r="B2319" s="416">
        <v>1146737</v>
      </c>
      <c r="C2319" s="413" t="str">
        <f>IFERROR(INDEX(Table14[],MATCH($B2319,Table14[SAPNo],0),3),"")</f>
        <v>1613 CT418 18-60</v>
      </c>
      <c r="D2319" s="306"/>
      <c r="E2319" s="421">
        <v>6</v>
      </c>
      <c r="F2319" s="421"/>
      <c r="G2319" s="417" t="s">
        <v>1914</v>
      </c>
      <c r="H2319" s="598">
        <v>14199938</v>
      </c>
      <c r="I2319" s="322" t="s">
        <v>1881</v>
      </c>
      <c r="J2319" s="418"/>
      <c r="K2319" s="248"/>
      <c r="M2319" s="366"/>
      <c r="AF2319">
        <v>6</v>
      </c>
    </row>
    <row r="2320" spans="1:32" x14ac:dyDescent="0.25">
      <c r="A2320" s="308">
        <v>45474</v>
      </c>
      <c r="B2320" s="416">
        <v>1208601</v>
      </c>
      <c r="C2320" s="413" t="str">
        <f>IFERROR(INDEX(Table14[],MATCH($B2320,Table14[SAPNo],0),3),"")</f>
        <v>1613 CT418 U-60</v>
      </c>
      <c r="D2320" s="306"/>
      <c r="E2320" s="421">
        <v>8</v>
      </c>
      <c r="F2320" s="421"/>
      <c r="G2320" s="417" t="s">
        <v>1914</v>
      </c>
      <c r="H2320" s="598">
        <v>14199938</v>
      </c>
      <c r="I2320" s="322" t="s">
        <v>1881</v>
      </c>
      <c r="J2320" s="418"/>
      <c r="K2320" s="248"/>
      <c r="M2320" s="366"/>
      <c r="AF2320">
        <v>8</v>
      </c>
    </row>
    <row r="2321" spans="1:32" x14ac:dyDescent="0.25">
      <c r="A2321" s="308">
        <v>45474</v>
      </c>
      <c r="B2321" s="416">
        <v>1271790</v>
      </c>
      <c r="C2321" s="413" t="str">
        <f>IFERROR(INDEX(Table14[],MATCH($B2321,Table14[SAPNo],0),3),"")</f>
        <v xml:space="preserve">1613 CT170 18-60 </v>
      </c>
      <c r="D2321" s="306"/>
      <c r="E2321" s="421">
        <v>17</v>
      </c>
      <c r="F2321" s="421"/>
      <c r="G2321" s="417" t="s">
        <v>1914</v>
      </c>
      <c r="H2321" s="598">
        <v>14199938</v>
      </c>
      <c r="I2321" s="322" t="s">
        <v>1881</v>
      </c>
      <c r="J2321" s="418"/>
      <c r="K2321" s="248"/>
      <c r="M2321" s="366"/>
      <c r="AF2321">
        <v>17</v>
      </c>
    </row>
    <row r="2322" spans="1:32" x14ac:dyDescent="0.25">
      <c r="A2322" s="308">
        <v>45474</v>
      </c>
      <c r="B2322" s="416">
        <v>418525</v>
      </c>
      <c r="C2322" s="413" t="str">
        <f>IFERROR(INDEX(Table14[],MATCH($B2322,Table14[SAPNo],0),3),"")</f>
        <v>Drop In 1308 CT31   (B)</v>
      </c>
      <c r="D2322" s="306"/>
      <c r="E2322" s="421">
        <v>6</v>
      </c>
      <c r="F2322" s="421"/>
      <c r="G2322" s="417" t="s">
        <v>1914</v>
      </c>
      <c r="H2322" s="598">
        <v>14199938</v>
      </c>
      <c r="I2322" s="322" t="s">
        <v>1881</v>
      </c>
      <c r="J2322" s="418"/>
      <c r="K2322" s="248"/>
      <c r="M2322" s="366"/>
      <c r="AF2322">
        <v>6</v>
      </c>
    </row>
    <row r="2323" spans="1:32" x14ac:dyDescent="0.25">
      <c r="A2323" s="308">
        <v>45474</v>
      </c>
      <c r="B2323" s="416">
        <v>418525</v>
      </c>
      <c r="C2323" s="413" t="str">
        <f>IFERROR(INDEX(Table14[],MATCH($B2323,Table14[SAPNo],0),3),"")</f>
        <v>Drop In 1308 CT31   (B)</v>
      </c>
      <c r="D2323" s="306"/>
      <c r="E2323" s="421">
        <v>8</v>
      </c>
      <c r="F2323" s="421"/>
      <c r="G2323" s="417" t="s">
        <v>1915</v>
      </c>
      <c r="H2323" s="598">
        <v>14167838</v>
      </c>
      <c r="I2323" s="322" t="s">
        <v>1562</v>
      </c>
      <c r="J2323" s="418"/>
      <c r="K2323" s="248"/>
      <c r="M2323" s="366"/>
      <c r="AF2323">
        <v>8</v>
      </c>
    </row>
    <row r="2324" spans="1:32" x14ac:dyDescent="0.25">
      <c r="A2324" s="308">
        <v>45474</v>
      </c>
      <c r="B2324" s="416">
        <v>1130198</v>
      </c>
      <c r="C2324" s="413" t="str">
        <f>IFERROR(INDEX(Table14[],MATCH($B2324,Table14[SAPNo],0),3),"")</f>
        <v>Round 1613 CT182  0.018" (S)</v>
      </c>
      <c r="D2324" s="306"/>
      <c r="E2324" s="421">
        <v>147</v>
      </c>
      <c r="F2324" s="421"/>
      <c r="G2324" s="417" t="s">
        <v>1915</v>
      </c>
      <c r="H2324" s="598">
        <v>14167838</v>
      </c>
      <c r="I2324" s="322" t="s">
        <v>1562</v>
      </c>
      <c r="J2324" s="418"/>
      <c r="K2324" s="248"/>
      <c r="M2324" s="366"/>
      <c r="AF2324">
        <v>147</v>
      </c>
    </row>
    <row r="2325" spans="1:32" x14ac:dyDescent="0.25">
      <c r="A2325" s="308">
        <v>45474</v>
      </c>
      <c r="B2325" s="416">
        <v>1146737</v>
      </c>
      <c r="C2325" s="413" t="str">
        <f>IFERROR(INDEX(Table14[],MATCH($B2325,Table14[SAPNo],0),3),"")</f>
        <v>1613 CT418 18-60</v>
      </c>
      <c r="D2325" s="306"/>
      <c r="E2325" s="421">
        <v>39</v>
      </c>
      <c r="F2325" s="421"/>
      <c r="G2325" s="417" t="s">
        <v>1916</v>
      </c>
      <c r="H2325" s="598">
        <v>14136246</v>
      </c>
      <c r="I2325" s="322" t="s">
        <v>1894</v>
      </c>
      <c r="J2325" s="418"/>
      <c r="K2325" s="248"/>
      <c r="M2325" s="366"/>
      <c r="AF2325">
        <v>39</v>
      </c>
    </row>
    <row r="2326" spans="1:32" x14ac:dyDescent="0.25">
      <c r="A2326" s="308">
        <v>45474</v>
      </c>
      <c r="B2326" s="416">
        <v>418525</v>
      </c>
      <c r="C2326" s="413" t="str">
        <f>IFERROR(INDEX(Table14[],MATCH($B2326,Table14[SAPNo],0),3),"")</f>
        <v>Drop In 1308 CT31   (B)</v>
      </c>
      <c r="D2326" s="306"/>
      <c r="E2326" s="421">
        <v>8</v>
      </c>
      <c r="F2326" s="421"/>
      <c r="G2326" s="417" t="s">
        <v>1916</v>
      </c>
      <c r="H2326" s="598">
        <v>14136246</v>
      </c>
      <c r="I2326" s="322" t="s">
        <v>1894</v>
      </c>
      <c r="J2326" s="418"/>
      <c r="K2326" s="248"/>
      <c r="M2326" s="366"/>
      <c r="AF2326">
        <v>8</v>
      </c>
    </row>
    <row r="2327" spans="1:32" x14ac:dyDescent="0.25">
      <c r="A2327" s="308">
        <v>45474</v>
      </c>
      <c r="B2327" s="416">
        <v>647435</v>
      </c>
      <c r="C2327" s="413" t="str">
        <f>IFERROR(INDEX(Table14[],MATCH($B2327,Table14[SAPNo],0),3),"")</f>
        <v>Round 1608 CT200  0.018" (B)</v>
      </c>
      <c r="D2327" s="306"/>
      <c r="E2327" s="421">
        <v>16</v>
      </c>
      <c r="F2327" s="421"/>
      <c r="G2327" s="417" t="s">
        <v>1916</v>
      </c>
      <c r="H2327" s="598">
        <v>14136246</v>
      </c>
      <c r="I2327" s="322" t="s">
        <v>1894</v>
      </c>
      <c r="J2327" s="418"/>
      <c r="K2327" s="248"/>
      <c r="M2327" s="366"/>
      <c r="AF2327">
        <v>16</v>
      </c>
    </row>
    <row r="2328" spans="1:32" x14ac:dyDescent="0.25">
      <c r="A2328" s="308">
        <v>45474</v>
      </c>
      <c r="B2328" s="416">
        <v>647436</v>
      </c>
      <c r="C2328" s="413" t="str">
        <f>IFERROR(INDEX(Table14[],MATCH($B2328,Table14[SAPNo],0),3),"")</f>
        <v>Round 1613 CT200  0.018" (B)</v>
      </c>
      <c r="D2328" s="306"/>
      <c r="E2328" s="421">
        <v>64</v>
      </c>
      <c r="F2328" s="421"/>
      <c r="G2328" s="417" t="s">
        <v>1916</v>
      </c>
      <c r="H2328" s="598">
        <v>14136246</v>
      </c>
      <c r="I2328" s="322" t="s">
        <v>1894</v>
      </c>
      <c r="J2328" s="418"/>
      <c r="K2328" s="248"/>
      <c r="M2328" s="366"/>
      <c r="AF2328">
        <v>64</v>
      </c>
    </row>
    <row r="2329" spans="1:32" x14ac:dyDescent="0.25">
      <c r="A2329" s="308">
        <v>45474</v>
      </c>
      <c r="B2329" s="416">
        <v>1271790</v>
      </c>
      <c r="C2329" s="413" t="str">
        <f>IFERROR(INDEX(Table14[],MATCH($B2329,Table14[SAPNo],0),3),"")</f>
        <v xml:space="preserve">1613 CT170 18-60 </v>
      </c>
      <c r="D2329" s="306"/>
      <c r="E2329" s="421">
        <v>53</v>
      </c>
      <c r="F2329" s="421"/>
      <c r="G2329" s="417" t="s">
        <v>1916</v>
      </c>
      <c r="H2329" s="598">
        <v>14136246</v>
      </c>
      <c r="I2329" s="322" t="s">
        <v>1894</v>
      </c>
      <c r="J2329" s="418"/>
      <c r="K2329" s="248"/>
      <c r="M2329" s="366"/>
      <c r="AF2329">
        <v>53</v>
      </c>
    </row>
    <row r="2330" spans="1:32" x14ac:dyDescent="0.25">
      <c r="A2330" s="308">
        <v>45474</v>
      </c>
      <c r="B2330" s="416">
        <v>1145493</v>
      </c>
      <c r="C2330" s="413" t="str">
        <f>IFERROR(INDEX(Table14[],MATCH($B2330,Table14[SAPNo],0),3),"")</f>
        <v>Round 1313 CT427  10C (S)</v>
      </c>
      <c r="D2330" s="306"/>
      <c r="E2330" s="421"/>
      <c r="F2330" s="421"/>
      <c r="G2330" s="417">
        <v>20241101</v>
      </c>
      <c r="H2330" s="598" t="s">
        <v>1917</v>
      </c>
      <c r="I2330" s="322" t="s">
        <v>1297</v>
      </c>
      <c r="J2330" s="518">
        <v>1</v>
      </c>
      <c r="K2330" s="248"/>
      <c r="M2330" s="366"/>
    </row>
    <row r="2331" spans="1:32" x14ac:dyDescent="0.25">
      <c r="A2331" s="308">
        <v>45474</v>
      </c>
      <c r="B2331" s="416">
        <v>907609</v>
      </c>
      <c r="C2331" s="413" t="str">
        <f>IFERROR(INDEX(Table14[],MATCH($B2331,Table14[SAPNo],0),3),"")</f>
        <v>Round 1313 CT125 GEDB 10C (S)</v>
      </c>
      <c r="D2331" s="306"/>
      <c r="E2331" s="421"/>
      <c r="F2331" s="421"/>
      <c r="G2331" s="417">
        <v>20241102</v>
      </c>
      <c r="H2331" s="598" t="s">
        <v>1918</v>
      </c>
      <c r="I2331" s="322" t="s">
        <v>1919</v>
      </c>
      <c r="J2331" s="20">
        <v>1</v>
      </c>
      <c r="K2331" s="248"/>
      <c r="M2331" s="366"/>
    </row>
    <row r="2332" spans="1:32" x14ac:dyDescent="0.25">
      <c r="A2332" s="308">
        <v>45474</v>
      </c>
      <c r="B2332" s="416">
        <v>703670</v>
      </c>
      <c r="C2332" s="413" t="str">
        <f>IFERROR(INDEX(Table14[],MATCH($B2332,Table14[SAPNo],0),3),"")</f>
        <v>Round 1313 CT200  10C (B)</v>
      </c>
      <c r="D2332" s="306"/>
      <c r="E2332" s="421"/>
      <c r="F2332" s="421"/>
      <c r="G2332" s="417">
        <v>20241102</v>
      </c>
      <c r="H2332" s="598" t="s">
        <v>1918</v>
      </c>
      <c r="I2332" s="322" t="s">
        <v>1919</v>
      </c>
      <c r="J2332" s="20">
        <v>1</v>
      </c>
      <c r="K2332" s="248"/>
      <c r="M2332" s="366"/>
    </row>
    <row r="2333" spans="1:32" x14ac:dyDescent="0.25">
      <c r="A2333" s="308">
        <v>45474</v>
      </c>
      <c r="B2333" s="416">
        <v>1209332</v>
      </c>
      <c r="C2333" s="413" t="str">
        <f>IFERROR(INDEX(Table14[],MATCH($B2333,Table14[SAPNo],0),3),"")</f>
        <v>1313 CT147G U</v>
      </c>
      <c r="D2333" s="306"/>
      <c r="E2333" s="421"/>
      <c r="F2333" s="421"/>
      <c r="G2333" s="417">
        <v>20241103</v>
      </c>
      <c r="H2333" s="598">
        <v>14198197</v>
      </c>
      <c r="I2333" s="322" t="s">
        <v>1322</v>
      </c>
      <c r="J2333" s="20">
        <v>2</v>
      </c>
      <c r="K2333" s="248"/>
      <c r="M2333" s="366"/>
    </row>
    <row r="2334" spans="1:32" x14ac:dyDescent="0.25">
      <c r="A2334" s="308">
        <v>45474</v>
      </c>
      <c r="B2334" s="416">
        <v>1145493</v>
      </c>
      <c r="C2334" s="413" t="str">
        <f>IFERROR(INDEX(Table14[],MATCH($B2334,Table14[SAPNo],0),3),"")</f>
        <v>Round 1313 CT427  10C (S)</v>
      </c>
      <c r="D2334" s="306"/>
      <c r="E2334" s="421"/>
      <c r="F2334" s="421"/>
      <c r="G2334" s="417">
        <v>20241103</v>
      </c>
      <c r="H2334" s="599">
        <v>14198197</v>
      </c>
      <c r="I2334" s="322" t="s">
        <v>1322</v>
      </c>
      <c r="J2334" s="519">
        <v>1</v>
      </c>
      <c r="K2334" s="248"/>
      <c r="M2334" s="366"/>
    </row>
    <row r="2335" spans="1:32" x14ac:dyDescent="0.25">
      <c r="A2335" s="520">
        <v>45474</v>
      </c>
      <c r="B2335" s="305">
        <v>717748</v>
      </c>
      <c r="C2335" s="412" t="str">
        <f>IFERROR(INDEX(Table14[],MATCH($B2335,Table14[SAPNo],0),3),"")</f>
        <v>Round 1010 CT200  0.018" (B)</v>
      </c>
      <c r="D2335" s="306"/>
      <c r="E2335" s="305"/>
      <c r="F2335" s="305"/>
      <c r="G2335" s="306" t="s">
        <v>1920</v>
      </c>
      <c r="H2335" s="306" t="s">
        <v>1921</v>
      </c>
      <c r="I2335" s="306" t="s">
        <v>1069</v>
      </c>
      <c r="J2335" s="20">
        <v>9</v>
      </c>
      <c r="K2335" s="422"/>
      <c r="M2335" s="366"/>
    </row>
    <row r="2336" spans="1:32" x14ac:dyDescent="0.25">
      <c r="A2336" s="308">
        <v>45475</v>
      </c>
      <c r="B2336" s="416">
        <v>871781</v>
      </c>
      <c r="C2336" s="413" t="str">
        <f>IFERROR(INDEX(Table14[],MATCH($B2336,Table14[SAPNo],0),3),"")</f>
        <v>Round 1313 CT200  0.018" (B)</v>
      </c>
      <c r="D2336" s="306"/>
      <c r="E2336" s="421">
        <v>8</v>
      </c>
      <c r="F2336" s="421"/>
      <c r="G2336" s="417" t="s">
        <v>1922</v>
      </c>
      <c r="H2336" s="598">
        <v>14167834</v>
      </c>
      <c r="I2336" s="322" t="s">
        <v>1567</v>
      </c>
      <c r="J2336" s="418"/>
      <c r="K2336" s="248"/>
      <c r="M2336" s="422"/>
      <c r="AF2336">
        <v>8</v>
      </c>
    </row>
    <row r="2337" spans="1:32" x14ac:dyDescent="0.25">
      <c r="A2337" s="308">
        <v>45475</v>
      </c>
      <c r="B2337" s="416">
        <v>1146737</v>
      </c>
      <c r="C2337" s="413" t="str">
        <f>IFERROR(INDEX(Table14[],MATCH($B2337,Table14[SAPNo],0),3),"")</f>
        <v>1613 CT418 18-60</v>
      </c>
      <c r="D2337" s="306"/>
      <c r="E2337" s="421">
        <v>9</v>
      </c>
      <c r="F2337" s="421"/>
      <c r="G2337" s="417" t="s">
        <v>1922</v>
      </c>
      <c r="H2337" s="598">
        <v>14167834</v>
      </c>
      <c r="I2337" s="322" t="s">
        <v>1567</v>
      </c>
      <c r="J2337" s="418"/>
      <c r="K2337" s="248"/>
      <c r="M2337" s="366"/>
      <c r="AF2337">
        <v>9</v>
      </c>
    </row>
    <row r="2338" spans="1:32" x14ac:dyDescent="0.25">
      <c r="A2338" s="308">
        <v>45475</v>
      </c>
      <c r="B2338" s="416">
        <v>1130197</v>
      </c>
      <c r="C2338" s="413" t="str">
        <f>IFERROR(INDEX(Table14[],MATCH($B2338,Table14[SAPNo],0),3),"")</f>
        <v>Round 1608 CT182  0.018" (S)</v>
      </c>
      <c r="D2338" s="306"/>
      <c r="E2338" s="421">
        <v>8</v>
      </c>
      <c r="F2338" s="421"/>
      <c r="G2338" s="417" t="s">
        <v>1922</v>
      </c>
      <c r="H2338" s="598">
        <v>14167834</v>
      </c>
      <c r="I2338" s="322" t="s">
        <v>1567</v>
      </c>
      <c r="J2338" s="418"/>
      <c r="K2338" s="248"/>
      <c r="M2338" s="366"/>
      <c r="AF2338">
        <v>8</v>
      </c>
    </row>
    <row r="2339" spans="1:32" x14ac:dyDescent="0.25">
      <c r="A2339" s="308">
        <v>45475</v>
      </c>
      <c r="B2339" s="416">
        <v>1100759</v>
      </c>
      <c r="C2339" s="413" t="str">
        <f>IFERROR(INDEX(Table14[],MATCH($B2339,Table14[SAPNo],0),3),"")</f>
        <v>1913 CT421 0.018"</v>
      </c>
      <c r="D2339" s="306"/>
      <c r="E2339" s="421">
        <v>24</v>
      </c>
      <c r="F2339" s="421"/>
      <c r="G2339" s="417" t="s">
        <v>1922</v>
      </c>
      <c r="H2339" s="598">
        <v>14167834</v>
      </c>
      <c r="I2339" s="322" t="s">
        <v>1567</v>
      </c>
      <c r="J2339" s="418"/>
      <c r="K2339" s="248"/>
      <c r="M2339" s="366"/>
      <c r="AF2339">
        <v>24</v>
      </c>
    </row>
    <row r="2340" spans="1:32" x14ac:dyDescent="0.25">
      <c r="A2340" s="320">
        <v>45475</v>
      </c>
      <c r="B2340" s="419">
        <v>1100755</v>
      </c>
      <c r="C2340" s="413" t="str">
        <f>IFERROR(INDEX(Table14[],MATCH($B2340,Table14[SAPNo],0),3),"")</f>
        <v>Round 1613 CT421  0.018" (S)</v>
      </c>
      <c r="D2340" s="306"/>
      <c r="E2340" s="421">
        <v>69</v>
      </c>
      <c r="F2340" s="421"/>
      <c r="G2340" s="420" t="s">
        <v>1922</v>
      </c>
      <c r="H2340" s="599">
        <v>14167834</v>
      </c>
      <c r="I2340" s="322" t="s">
        <v>1567</v>
      </c>
      <c r="J2340" s="421"/>
      <c r="K2340" s="422"/>
      <c r="M2340" s="366"/>
      <c r="AF2340">
        <v>69</v>
      </c>
    </row>
    <row r="2341" spans="1:32" x14ac:dyDescent="0.25">
      <c r="A2341" s="308">
        <v>45480</v>
      </c>
      <c r="B2341" s="416">
        <v>871781</v>
      </c>
      <c r="C2341" s="413" t="str">
        <f>IFERROR(INDEX(Table14[],MATCH($B2341,Table14[SAPNo],0),3),"")</f>
        <v>Round 1313 CT200  0.018" (B)</v>
      </c>
      <c r="D2341" s="306"/>
      <c r="E2341" s="421">
        <v>4</v>
      </c>
      <c r="F2341" s="421"/>
      <c r="G2341" s="417" t="s">
        <v>1923</v>
      </c>
      <c r="H2341" s="598">
        <v>14144635</v>
      </c>
      <c r="I2341" s="322" t="s">
        <v>1501</v>
      </c>
      <c r="J2341" s="418"/>
      <c r="K2341" s="248"/>
      <c r="M2341" s="422"/>
      <c r="AF2341">
        <v>4</v>
      </c>
    </row>
    <row r="2342" spans="1:32" x14ac:dyDescent="0.25">
      <c r="A2342" s="308">
        <v>45480</v>
      </c>
      <c r="B2342" s="416">
        <v>708306</v>
      </c>
      <c r="C2342" s="413" t="str">
        <f>IFERROR(INDEX(Table14[],MATCH($B2342,Table14[SAPNo],0),3),"")</f>
        <v>Round 1913 CT200  0.018" (B)</v>
      </c>
      <c r="D2342" s="306"/>
      <c r="E2342" s="421">
        <v>35</v>
      </c>
      <c r="F2342" s="421"/>
      <c r="G2342" s="417" t="s">
        <v>1923</v>
      </c>
      <c r="H2342" s="598">
        <v>14144635</v>
      </c>
      <c r="I2342" s="322" t="s">
        <v>1501</v>
      </c>
      <c r="J2342" s="418"/>
      <c r="K2342" s="248"/>
      <c r="M2342" s="366"/>
      <c r="AF2342">
        <v>35</v>
      </c>
    </row>
    <row r="2343" spans="1:32" x14ac:dyDescent="0.25">
      <c r="A2343" s="308">
        <v>45480</v>
      </c>
      <c r="B2343" s="416">
        <v>1100759</v>
      </c>
      <c r="C2343" s="413" t="str">
        <f>IFERROR(INDEX(Table14[],MATCH($B2343,Table14[SAPNo],0),3),"")</f>
        <v>1913 CT421 0.018"</v>
      </c>
      <c r="D2343" s="306"/>
      <c r="E2343" s="421">
        <v>52</v>
      </c>
      <c r="F2343" s="421"/>
      <c r="G2343" s="417" t="s">
        <v>1923</v>
      </c>
      <c r="H2343" s="598">
        <v>14144635</v>
      </c>
      <c r="I2343" s="322" t="s">
        <v>1501</v>
      </c>
      <c r="J2343" s="418"/>
      <c r="K2343" s="248"/>
      <c r="M2343" s="366"/>
      <c r="AF2343">
        <v>52</v>
      </c>
    </row>
    <row r="2344" spans="1:32" x14ac:dyDescent="0.25">
      <c r="A2344" s="308">
        <v>45480</v>
      </c>
      <c r="B2344" s="416">
        <v>418525</v>
      </c>
      <c r="C2344" s="413" t="str">
        <f>IFERROR(INDEX(Table14[],MATCH($B2344,Table14[SAPNo],0),3),"")</f>
        <v>Drop In 1308 CT31   (B)</v>
      </c>
      <c r="D2344" s="306"/>
      <c r="E2344" s="421">
        <v>3</v>
      </c>
      <c r="F2344" s="421"/>
      <c r="G2344" s="417" t="s">
        <v>1923</v>
      </c>
      <c r="H2344" s="598">
        <v>14144635</v>
      </c>
      <c r="I2344" s="322" t="s">
        <v>1501</v>
      </c>
      <c r="J2344" s="418"/>
      <c r="K2344" s="248"/>
      <c r="M2344" s="366"/>
      <c r="AF2344">
        <v>3</v>
      </c>
    </row>
    <row r="2345" spans="1:32" x14ac:dyDescent="0.25">
      <c r="A2345" s="308">
        <v>45481</v>
      </c>
      <c r="B2345" s="416">
        <v>1271790</v>
      </c>
      <c r="C2345" s="413" t="str">
        <f>IFERROR(INDEX(Table14[],MATCH($B2345,Table14[SAPNo],0),3),"")</f>
        <v xml:space="preserve">1613 CT170 18-60 </v>
      </c>
      <c r="D2345" s="306"/>
      <c r="E2345" s="421">
        <v>41</v>
      </c>
      <c r="F2345" s="421"/>
      <c r="G2345" s="417" t="s">
        <v>1924</v>
      </c>
      <c r="H2345" s="598">
        <v>14119203</v>
      </c>
      <c r="I2345" s="322" t="s">
        <v>1748</v>
      </c>
      <c r="J2345" s="418"/>
      <c r="K2345" s="248"/>
      <c r="M2345" s="366"/>
      <c r="AF2345">
        <v>41</v>
      </c>
    </row>
    <row r="2346" spans="1:32" x14ac:dyDescent="0.25">
      <c r="A2346" s="308">
        <v>45481</v>
      </c>
      <c r="B2346" s="416">
        <v>717751</v>
      </c>
      <c r="C2346" s="413" t="str">
        <f>IFERROR(INDEX(Table14[],MATCH($B2346,Table14[SAPNo],0),3),"")</f>
        <v>Round 1308 CT200  0.018" (B)</v>
      </c>
      <c r="D2346" s="306"/>
      <c r="E2346" s="421">
        <v>39</v>
      </c>
      <c r="F2346" s="421"/>
      <c r="G2346" s="417" t="s">
        <v>1924</v>
      </c>
      <c r="H2346" s="598">
        <v>14119203</v>
      </c>
      <c r="I2346" s="322" t="s">
        <v>1748</v>
      </c>
      <c r="J2346" s="418"/>
      <c r="K2346" s="248"/>
      <c r="M2346" s="366"/>
      <c r="AF2346">
        <v>39</v>
      </c>
    </row>
    <row r="2347" spans="1:32" x14ac:dyDescent="0.25">
      <c r="A2347" s="308">
        <v>45481</v>
      </c>
      <c r="B2347" s="416">
        <v>418525</v>
      </c>
      <c r="C2347" s="413" t="str">
        <f>IFERROR(INDEX(Table14[],MATCH($B2347,Table14[SAPNo],0),3),"")</f>
        <v>Drop In 1308 CT31   (B)</v>
      </c>
      <c r="D2347" s="306"/>
      <c r="E2347" s="421">
        <v>14</v>
      </c>
      <c r="F2347" s="421"/>
      <c r="G2347" s="417" t="s">
        <v>1924</v>
      </c>
      <c r="H2347" s="598">
        <v>14119203</v>
      </c>
      <c r="I2347" s="322" t="s">
        <v>1748</v>
      </c>
      <c r="J2347" s="418"/>
      <c r="K2347" s="248"/>
      <c r="M2347" s="366"/>
      <c r="AF2347">
        <v>14</v>
      </c>
    </row>
    <row r="2348" spans="1:32" x14ac:dyDescent="0.25">
      <c r="A2348" s="308">
        <v>45481</v>
      </c>
      <c r="B2348" s="416">
        <v>410851</v>
      </c>
      <c r="C2348" s="413" t="str">
        <f>IFERROR(INDEX(Table14[],MATCH($B2348,Table14[SAPNo],0),3),"")</f>
        <v>PDC Dome 1308 CT31   (B)</v>
      </c>
      <c r="D2348" s="306"/>
      <c r="E2348" s="421">
        <v>42</v>
      </c>
      <c r="F2348" s="421"/>
      <c r="G2348" s="417" t="s">
        <v>1924</v>
      </c>
      <c r="H2348" s="598">
        <v>14119203</v>
      </c>
      <c r="I2348" s="322" t="s">
        <v>1748</v>
      </c>
      <c r="J2348" s="418"/>
      <c r="K2348" s="248"/>
      <c r="M2348" s="366"/>
      <c r="AF2348">
        <v>42</v>
      </c>
    </row>
    <row r="2349" spans="1:32" x14ac:dyDescent="0.25">
      <c r="A2349" s="308">
        <v>45481</v>
      </c>
      <c r="B2349" s="416">
        <v>179733</v>
      </c>
      <c r="C2349" s="413" t="str">
        <f>IFERROR(INDEX(Table14[],MATCH($B2349,Table14[SAPNo],0),3),"")</f>
        <v>Short IA 13    (C)</v>
      </c>
      <c r="D2349" s="306"/>
      <c r="E2349" s="421">
        <v>23</v>
      </c>
      <c r="F2349" s="421"/>
      <c r="G2349" s="417" t="s">
        <v>1924</v>
      </c>
      <c r="H2349" s="598">
        <v>14119203</v>
      </c>
      <c r="I2349" s="322" t="s">
        <v>1748</v>
      </c>
      <c r="J2349" s="418"/>
      <c r="K2349" s="248"/>
      <c r="M2349" s="366"/>
      <c r="AF2349">
        <v>23</v>
      </c>
    </row>
    <row r="2350" spans="1:32" x14ac:dyDescent="0.25">
      <c r="A2350" s="308">
        <v>45481</v>
      </c>
      <c r="B2350" s="416">
        <v>1130197</v>
      </c>
      <c r="C2350" s="413" t="str">
        <f>IFERROR(INDEX(Table14[],MATCH($B2350,Table14[SAPNo],0),3),"")</f>
        <v>Round 1608 CT182  0.018" (S)</v>
      </c>
      <c r="D2350" s="306"/>
      <c r="E2350" s="421">
        <v>13</v>
      </c>
      <c r="F2350" s="421"/>
      <c r="G2350" s="417" t="s">
        <v>1924</v>
      </c>
      <c r="H2350" s="598">
        <v>14119203</v>
      </c>
      <c r="I2350" s="322" t="s">
        <v>1748</v>
      </c>
      <c r="J2350" s="418"/>
      <c r="K2350" s="248"/>
      <c r="M2350" s="366"/>
      <c r="AF2350">
        <v>13</v>
      </c>
    </row>
    <row r="2351" spans="1:32" x14ac:dyDescent="0.25">
      <c r="A2351" s="308">
        <v>45481</v>
      </c>
      <c r="B2351" s="416">
        <v>1146737</v>
      </c>
      <c r="C2351" s="413" t="str">
        <f>IFERROR(INDEX(Table14[],MATCH($B2351,Table14[SAPNo],0),3),"")</f>
        <v>1613 CT418 18-60</v>
      </c>
      <c r="D2351" s="306"/>
      <c r="E2351" s="421">
        <v>14</v>
      </c>
      <c r="F2351" s="421"/>
      <c r="G2351" s="417" t="s">
        <v>1924</v>
      </c>
      <c r="H2351" s="598">
        <v>14119203</v>
      </c>
      <c r="I2351" s="322" t="s">
        <v>1748</v>
      </c>
      <c r="J2351" s="418"/>
      <c r="K2351" s="248"/>
      <c r="M2351" s="366"/>
      <c r="AF2351">
        <v>14</v>
      </c>
    </row>
    <row r="2352" spans="1:32" x14ac:dyDescent="0.25">
      <c r="A2352" s="308">
        <v>45481</v>
      </c>
      <c r="B2352" s="416">
        <v>1100741</v>
      </c>
      <c r="C2352" s="413" t="str">
        <f>IFERROR(INDEX(Table14[],MATCH($B2352,Table14[SAPNo],0),3),"")</f>
        <v>Round 1613 CT418  0.018" (S)</v>
      </c>
      <c r="D2352" s="306"/>
      <c r="E2352" s="421">
        <v>1</v>
      </c>
      <c r="F2352" s="421"/>
      <c r="G2352" s="417" t="s">
        <v>1924</v>
      </c>
      <c r="H2352" s="598">
        <v>14119203</v>
      </c>
      <c r="I2352" s="322" t="s">
        <v>1748</v>
      </c>
      <c r="J2352" s="418"/>
      <c r="K2352" s="248"/>
      <c r="M2352" s="366"/>
      <c r="AF2352">
        <v>1</v>
      </c>
    </row>
    <row r="2353" spans="1:32" x14ac:dyDescent="0.25">
      <c r="A2353" s="308">
        <v>45481</v>
      </c>
      <c r="B2353" s="416">
        <v>1209332</v>
      </c>
      <c r="C2353" s="413" t="str">
        <f>IFERROR(INDEX(Table14[],MATCH($B2353,Table14[SAPNo],0),3),"")</f>
        <v>1313 CT147G U</v>
      </c>
      <c r="D2353" s="306"/>
      <c r="E2353" s="421">
        <v>7</v>
      </c>
      <c r="F2353" s="421"/>
      <c r="G2353" s="417" t="s">
        <v>1925</v>
      </c>
      <c r="H2353" s="598">
        <v>14198195</v>
      </c>
      <c r="I2353" s="322" t="s">
        <v>1926</v>
      </c>
      <c r="J2353" s="418"/>
      <c r="K2353" s="248"/>
      <c r="M2353" s="366"/>
      <c r="AF2353">
        <v>7</v>
      </c>
    </row>
    <row r="2354" spans="1:32" x14ac:dyDescent="0.25">
      <c r="A2354" s="308">
        <v>45481</v>
      </c>
      <c r="B2354" s="416">
        <v>418525</v>
      </c>
      <c r="C2354" s="413" t="str">
        <f>IFERROR(INDEX(Table14[],MATCH($B2354,Table14[SAPNo],0),3),"")</f>
        <v>Drop In 1308 CT31   (B)</v>
      </c>
      <c r="D2354" s="306"/>
      <c r="E2354" s="421">
        <v>10</v>
      </c>
      <c r="F2354" s="421"/>
      <c r="G2354" s="417" t="s">
        <v>1925</v>
      </c>
      <c r="H2354" s="598">
        <v>14198195</v>
      </c>
      <c r="I2354" s="322" t="s">
        <v>1926</v>
      </c>
      <c r="J2354" s="418"/>
      <c r="K2354" s="248"/>
      <c r="M2354" s="366"/>
      <c r="AF2354">
        <v>10</v>
      </c>
    </row>
    <row r="2355" spans="1:32" x14ac:dyDescent="0.25">
      <c r="A2355" s="308">
        <v>45481</v>
      </c>
      <c r="B2355" s="416">
        <v>1145493</v>
      </c>
      <c r="C2355" s="413" t="str">
        <f>IFERROR(INDEX(Table14[],MATCH($B2355,Table14[SAPNo],0),3),"")</f>
        <v>Round 1313 CT427  10C (S)</v>
      </c>
      <c r="D2355" s="306"/>
      <c r="E2355" s="421">
        <v>0</v>
      </c>
      <c r="F2355" s="421"/>
      <c r="G2355" s="417" t="s">
        <v>1927</v>
      </c>
      <c r="H2355" s="598">
        <v>14198195</v>
      </c>
      <c r="I2355" s="322" t="s">
        <v>1926</v>
      </c>
      <c r="J2355" s="418"/>
      <c r="K2355" s="248" t="s">
        <v>1928</v>
      </c>
      <c r="M2355" s="366"/>
      <c r="AF2355">
        <v>0</v>
      </c>
    </row>
    <row r="2356" spans="1:32" x14ac:dyDescent="0.25">
      <c r="A2356" s="308">
        <v>45477</v>
      </c>
      <c r="B2356" s="416">
        <v>1130197</v>
      </c>
      <c r="C2356" s="413" t="str">
        <f>IFERROR(INDEX(Table14[],MATCH($B2356,Table14[SAPNo],0),3),"")</f>
        <v>Round 1608 CT182  0.018" (S)</v>
      </c>
      <c r="D2356" s="306"/>
      <c r="E2356" s="421">
        <v>8</v>
      </c>
      <c r="F2356" s="421"/>
      <c r="G2356" s="417" t="s">
        <v>1929</v>
      </c>
      <c r="H2356" s="598">
        <v>14167833</v>
      </c>
      <c r="I2356" s="322" t="s">
        <v>1567</v>
      </c>
      <c r="J2356" s="418"/>
      <c r="K2356" s="248"/>
      <c r="M2356" s="366"/>
      <c r="AF2356">
        <v>8</v>
      </c>
    </row>
    <row r="2357" spans="1:32" x14ac:dyDescent="0.25">
      <c r="A2357" s="308">
        <v>45477</v>
      </c>
      <c r="B2357" s="416">
        <v>871781</v>
      </c>
      <c r="C2357" s="413" t="str">
        <f>IFERROR(INDEX(Table14[],MATCH($B2357,Table14[SAPNo],0),3),"")</f>
        <v>Round 1313 CT200  0.018" (B)</v>
      </c>
      <c r="D2357" s="306"/>
      <c r="E2357" s="421">
        <v>8</v>
      </c>
      <c r="F2357" s="421"/>
      <c r="G2357" s="417" t="s">
        <v>1929</v>
      </c>
      <c r="H2357" s="598">
        <v>14167833</v>
      </c>
      <c r="I2357" s="322" t="s">
        <v>1567</v>
      </c>
      <c r="J2357" s="418"/>
      <c r="K2357" s="248"/>
      <c r="M2357" s="366"/>
      <c r="AF2357">
        <v>8</v>
      </c>
    </row>
    <row r="2358" spans="1:32" x14ac:dyDescent="0.25">
      <c r="A2358" s="308">
        <v>45477</v>
      </c>
      <c r="B2358" s="416">
        <v>1100759</v>
      </c>
      <c r="C2358" s="413" t="str">
        <f>IFERROR(INDEX(Table14[],MATCH($B2358,Table14[SAPNo],0),3),"")</f>
        <v>1913 CT421 0.018"</v>
      </c>
      <c r="D2358" s="306"/>
      <c r="E2358" s="421">
        <v>24</v>
      </c>
      <c r="F2358" s="421"/>
      <c r="G2358" s="417" t="s">
        <v>1929</v>
      </c>
      <c r="H2358" s="598">
        <v>14167833</v>
      </c>
      <c r="I2358" s="322" t="s">
        <v>1567</v>
      </c>
      <c r="J2358" s="418"/>
      <c r="K2358" s="248"/>
      <c r="M2358" s="366"/>
      <c r="AF2358">
        <v>24</v>
      </c>
    </row>
    <row r="2359" spans="1:32" x14ac:dyDescent="0.25">
      <c r="A2359" s="308">
        <v>45477</v>
      </c>
      <c r="B2359" s="416">
        <v>1100755</v>
      </c>
      <c r="C2359" s="413" t="str">
        <f>IFERROR(INDEX(Table14[],MATCH($B2359,Table14[SAPNo],0),3),"")</f>
        <v>Round 1613 CT421  0.018" (S)</v>
      </c>
      <c r="D2359" s="306"/>
      <c r="E2359" s="421">
        <v>69</v>
      </c>
      <c r="F2359" s="421"/>
      <c r="G2359" s="417" t="s">
        <v>1929</v>
      </c>
      <c r="H2359" s="598">
        <v>14167833</v>
      </c>
      <c r="I2359" s="322" t="s">
        <v>1567</v>
      </c>
      <c r="J2359" s="418"/>
      <c r="K2359" s="248"/>
      <c r="M2359" s="366"/>
      <c r="AF2359">
        <v>69</v>
      </c>
    </row>
    <row r="2360" spans="1:32" x14ac:dyDescent="0.25">
      <c r="A2360" s="308">
        <v>45477</v>
      </c>
      <c r="B2360" s="416">
        <v>1146737</v>
      </c>
      <c r="C2360" s="413" t="str">
        <f>IFERROR(INDEX(Table14[],MATCH($B2360,Table14[SAPNo],0),3),"")</f>
        <v>1613 CT418 18-60</v>
      </c>
      <c r="D2360" s="306"/>
      <c r="E2360" s="421">
        <v>9</v>
      </c>
      <c r="F2360" s="421"/>
      <c r="G2360" s="417" t="s">
        <v>1929</v>
      </c>
      <c r="H2360" s="598">
        <v>14167833</v>
      </c>
      <c r="I2360" s="322" t="s">
        <v>1567</v>
      </c>
      <c r="J2360" s="418"/>
      <c r="K2360" s="248"/>
      <c r="M2360" s="366"/>
      <c r="AF2360">
        <v>9</v>
      </c>
    </row>
    <row r="2361" spans="1:32" x14ac:dyDescent="0.25">
      <c r="A2361" s="308">
        <v>45481</v>
      </c>
      <c r="B2361" s="416">
        <v>1100759</v>
      </c>
      <c r="C2361" s="413" t="str">
        <f>IFERROR(INDEX(Table14[],MATCH($B2361,Table14[SAPNo],0),3),"")</f>
        <v>1913 CT421 0.018"</v>
      </c>
      <c r="D2361" s="306"/>
      <c r="E2361" s="421">
        <v>1</v>
      </c>
      <c r="F2361" s="421"/>
      <c r="G2361" s="417" t="s">
        <v>1930</v>
      </c>
      <c r="H2361" s="598">
        <v>14167833</v>
      </c>
      <c r="I2361" s="322" t="s">
        <v>1567</v>
      </c>
      <c r="J2361" s="418"/>
      <c r="K2361" s="248"/>
      <c r="M2361" s="366"/>
      <c r="AF2361">
        <v>1</v>
      </c>
    </row>
    <row r="2362" spans="1:32" x14ac:dyDescent="0.25">
      <c r="A2362" s="308">
        <v>45481</v>
      </c>
      <c r="B2362" s="416">
        <v>418525</v>
      </c>
      <c r="C2362" s="413" t="str">
        <f>IFERROR(INDEX(Table14[],MATCH($B2362,Table14[SAPNo],0),3),"")</f>
        <v>Drop In 1308 CT31   (B)</v>
      </c>
      <c r="D2362" s="306"/>
      <c r="E2362" s="421">
        <v>4</v>
      </c>
      <c r="F2362" s="421"/>
      <c r="G2362" s="417">
        <v>20241107</v>
      </c>
      <c r="H2362" s="598" t="s">
        <v>1931</v>
      </c>
      <c r="I2362" s="322" t="s">
        <v>1932</v>
      </c>
      <c r="J2362" s="418"/>
      <c r="K2362" s="248"/>
      <c r="M2362" s="366"/>
      <c r="AF2362">
        <v>4</v>
      </c>
    </row>
    <row r="2363" spans="1:32" x14ac:dyDescent="0.25">
      <c r="A2363" s="308">
        <v>45477</v>
      </c>
      <c r="B2363" s="416">
        <v>1145493</v>
      </c>
      <c r="C2363" s="413" t="str">
        <f>IFERROR(INDEX(Table14[],MATCH($B2363,Table14[SAPNo],0),3),"")</f>
        <v>Round 1313 CT427  10C (S)</v>
      </c>
      <c r="D2363" s="306"/>
      <c r="E2363" s="421"/>
      <c r="F2363" s="421"/>
      <c r="G2363" s="417">
        <v>20241099</v>
      </c>
      <c r="H2363" s="598" t="s">
        <v>1933</v>
      </c>
      <c r="I2363" s="322" t="s">
        <v>1781</v>
      </c>
      <c r="J2363" s="418">
        <v>1</v>
      </c>
      <c r="K2363" s="248"/>
      <c r="M2363" s="366"/>
    </row>
    <row r="2364" spans="1:32" x14ac:dyDescent="0.25">
      <c r="A2364" s="308">
        <v>45477</v>
      </c>
      <c r="B2364" s="416">
        <v>1145493</v>
      </c>
      <c r="C2364" s="413" t="str">
        <f>IFERROR(INDEX(Table14[],MATCH($B2364,Table14[SAPNo],0),3),"")</f>
        <v>Round 1313 CT427  10C (S)</v>
      </c>
      <c r="D2364" s="306"/>
      <c r="E2364" s="421"/>
      <c r="F2364" s="421"/>
      <c r="G2364" s="417">
        <v>20241100</v>
      </c>
      <c r="H2364" s="598" t="s">
        <v>1934</v>
      </c>
      <c r="I2364" s="322" t="s">
        <v>1935</v>
      </c>
      <c r="J2364" s="418">
        <v>6</v>
      </c>
      <c r="K2364" s="248"/>
      <c r="M2364" s="366"/>
    </row>
    <row r="2365" spans="1:32" x14ac:dyDescent="0.25">
      <c r="A2365" s="308">
        <v>45480</v>
      </c>
      <c r="B2365" s="416">
        <v>1145493</v>
      </c>
      <c r="C2365" s="413" t="str">
        <f>IFERROR(INDEX(Table14[],MATCH($B2365,Table14[SAPNo],0),3),"")</f>
        <v>Round 1313 CT427  10C (S)</v>
      </c>
      <c r="D2365" s="306"/>
      <c r="E2365" s="421"/>
      <c r="F2365" s="421"/>
      <c r="G2365" s="417" t="s">
        <v>1936</v>
      </c>
      <c r="H2365" s="598" t="s">
        <v>1934</v>
      </c>
      <c r="I2365" s="322" t="s">
        <v>1935</v>
      </c>
      <c r="J2365" s="418">
        <v>2</v>
      </c>
      <c r="K2365" s="248"/>
      <c r="M2365" s="366"/>
    </row>
    <row r="2366" spans="1:32" x14ac:dyDescent="0.25">
      <c r="A2366" s="308">
        <v>45477</v>
      </c>
      <c r="B2366" s="416">
        <v>1145493</v>
      </c>
      <c r="C2366" s="413" t="str">
        <f>IFERROR(INDEX(Table14[],MATCH($B2366,Table14[SAPNo],0),3),"")</f>
        <v>Round 1313 CT427  10C (S)</v>
      </c>
      <c r="D2366" s="306"/>
      <c r="E2366" s="421"/>
      <c r="F2366" s="421"/>
      <c r="G2366" s="417">
        <v>20241104</v>
      </c>
      <c r="H2366" s="598">
        <v>14178454</v>
      </c>
      <c r="I2366" s="322" t="s">
        <v>1937</v>
      </c>
      <c r="J2366" s="418">
        <v>3</v>
      </c>
      <c r="K2366" s="248"/>
      <c r="M2366" s="366"/>
    </row>
    <row r="2367" spans="1:32" x14ac:dyDescent="0.25">
      <c r="A2367" s="308">
        <v>45480</v>
      </c>
      <c r="B2367" s="416">
        <v>1100696</v>
      </c>
      <c r="C2367" s="413" t="str">
        <f>IFERROR(INDEX(Table14[],MATCH($B2367,Table14[SAPNo],0),3),"")</f>
        <v>Round 1313 CT418  10C (S)</v>
      </c>
      <c r="D2367" s="306"/>
      <c r="E2367" s="421"/>
      <c r="F2367" s="421"/>
      <c r="G2367" s="417">
        <v>20241105</v>
      </c>
      <c r="H2367" s="598" t="s">
        <v>1938</v>
      </c>
      <c r="I2367" s="322" t="s">
        <v>1128</v>
      </c>
      <c r="J2367" s="418">
        <v>1</v>
      </c>
      <c r="K2367" s="248"/>
      <c r="M2367" s="366"/>
    </row>
    <row r="2368" spans="1:32" x14ac:dyDescent="0.25">
      <c r="A2368" s="308">
        <v>45481</v>
      </c>
      <c r="B2368" s="416">
        <v>717749</v>
      </c>
      <c r="C2368" s="413" t="str">
        <f>IFERROR(INDEX(Table14[],MATCH($B2368,Table14[SAPNo],0),3),"")</f>
        <v>Round 1308 CT200  10C (B)</v>
      </c>
      <c r="D2368" s="306"/>
      <c r="E2368" s="421"/>
      <c r="F2368" s="421"/>
      <c r="G2368" s="417">
        <v>20241107</v>
      </c>
      <c r="H2368" s="598" t="s">
        <v>1931</v>
      </c>
      <c r="I2368" s="322" t="s">
        <v>1932</v>
      </c>
      <c r="J2368" s="418">
        <v>2</v>
      </c>
      <c r="K2368" s="248"/>
      <c r="M2368" s="366"/>
    </row>
    <row r="2369" spans="1:32" x14ac:dyDescent="0.25">
      <c r="A2369" s="308">
        <v>45481</v>
      </c>
      <c r="B2369" s="416">
        <v>703670</v>
      </c>
      <c r="C2369" s="413" t="str">
        <f>IFERROR(INDEX(Table14[],MATCH($B2369,Table14[SAPNo],0),3),"")</f>
        <v>Round 1313 CT200  10C (B)</v>
      </c>
      <c r="D2369" s="306"/>
      <c r="E2369" s="421"/>
      <c r="F2369" s="421"/>
      <c r="G2369" s="417">
        <v>20241107</v>
      </c>
      <c r="H2369" s="598" t="s">
        <v>1931</v>
      </c>
      <c r="I2369" s="322" t="s">
        <v>1932</v>
      </c>
      <c r="J2369" s="418">
        <v>2</v>
      </c>
      <c r="K2369" s="248"/>
      <c r="M2369" s="366"/>
    </row>
    <row r="2370" spans="1:32" x14ac:dyDescent="0.25">
      <c r="A2370" s="320">
        <v>45481</v>
      </c>
      <c r="B2370" s="419">
        <v>1014885</v>
      </c>
      <c r="C2370" s="413" t="str">
        <f>IFERROR(INDEX(Table14[],MATCH($B2370,Table14[SAPNo],0),3),"")</f>
        <v>Round 1308 CT133  0.018" (S)</v>
      </c>
      <c r="D2370" s="306"/>
      <c r="E2370" s="421"/>
      <c r="F2370" s="421"/>
      <c r="G2370" s="420">
        <v>20241107</v>
      </c>
      <c r="H2370" s="599" t="s">
        <v>1931</v>
      </c>
      <c r="I2370" s="322" t="s">
        <v>1932</v>
      </c>
      <c r="J2370" s="421">
        <v>14</v>
      </c>
      <c r="K2370" s="422"/>
      <c r="M2370" s="366"/>
    </row>
    <row r="2371" spans="1:32" x14ac:dyDescent="0.25">
      <c r="A2371" s="308">
        <v>45481</v>
      </c>
      <c r="B2371" s="416">
        <v>1145493</v>
      </c>
      <c r="C2371" s="413" t="str">
        <f>IFERROR(INDEX(Table14[],MATCH($B2371,Table14[SAPNo],0),3),"")</f>
        <v>Round 1313 CT427  10C (S)</v>
      </c>
      <c r="D2371" s="306"/>
      <c r="E2371" s="421"/>
      <c r="F2371" s="421"/>
      <c r="G2371" s="417" t="s">
        <v>1939</v>
      </c>
      <c r="H2371" s="598">
        <v>14190156</v>
      </c>
      <c r="I2371" s="322" t="s">
        <v>1926</v>
      </c>
      <c r="J2371" s="418"/>
      <c r="K2371" s="248" t="s">
        <v>1940</v>
      </c>
      <c r="M2371" s="422"/>
    </row>
    <row r="2372" spans="1:32" x14ac:dyDescent="0.25">
      <c r="A2372" s="308">
        <v>45481</v>
      </c>
      <c r="B2372" s="416">
        <v>418525</v>
      </c>
      <c r="C2372" s="413" t="str">
        <f>IFERROR(INDEX(Table14[],MATCH($B2372,Table14[SAPNo],0),3),"")</f>
        <v>Drop In 1308 CT31   (B)</v>
      </c>
      <c r="D2372" s="306"/>
      <c r="E2372" s="421">
        <v>10</v>
      </c>
      <c r="F2372" s="421"/>
      <c r="G2372" s="417" t="s">
        <v>1941</v>
      </c>
      <c r="H2372" s="598">
        <v>14190156</v>
      </c>
      <c r="I2372" s="322" t="s">
        <v>1926</v>
      </c>
      <c r="J2372" s="418"/>
      <c r="K2372" s="248"/>
      <c r="M2372" s="366"/>
      <c r="AF2372">
        <v>10</v>
      </c>
    </row>
    <row r="2373" spans="1:32" x14ac:dyDescent="0.25">
      <c r="A2373" s="308">
        <v>45481</v>
      </c>
      <c r="B2373" s="416">
        <v>1209332</v>
      </c>
      <c r="C2373" s="413" t="str">
        <f>IFERROR(INDEX(Table14[],MATCH($B2373,Table14[SAPNo],0),3),"")</f>
        <v>1313 CT147G U</v>
      </c>
      <c r="D2373" s="306"/>
      <c r="E2373" s="421">
        <v>7</v>
      </c>
      <c r="F2373" s="421"/>
      <c r="G2373" s="417" t="s">
        <v>1941</v>
      </c>
      <c r="H2373" s="598">
        <v>14190156</v>
      </c>
      <c r="I2373" s="322" t="s">
        <v>1926</v>
      </c>
      <c r="J2373" s="418"/>
      <c r="K2373" s="248"/>
      <c r="M2373" s="366"/>
      <c r="AF2373">
        <v>7</v>
      </c>
    </row>
    <row r="2374" spans="1:32" x14ac:dyDescent="0.25">
      <c r="A2374" s="320">
        <v>45481</v>
      </c>
      <c r="B2374" s="419">
        <v>1100696</v>
      </c>
      <c r="C2374" s="413" t="str">
        <f>IFERROR(INDEX(Table14[],MATCH($B2374,Table14[SAPNo],0),3),"")</f>
        <v>Round 1313 CT418  10C (S)</v>
      </c>
      <c r="D2374" s="306"/>
      <c r="E2374" s="421">
        <v>2</v>
      </c>
      <c r="F2374" s="421"/>
      <c r="G2374" s="420" t="s">
        <v>1941</v>
      </c>
      <c r="H2374" s="599">
        <v>14190156</v>
      </c>
      <c r="I2374" s="322" t="s">
        <v>1926</v>
      </c>
      <c r="J2374" s="421"/>
      <c r="K2374" s="422"/>
      <c r="M2374" s="366"/>
      <c r="AF2374">
        <v>2</v>
      </c>
    </row>
    <row r="2375" spans="1:32" x14ac:dyDescent="0.25">
      <c r="A2375" s="308">
        <v>45482</v>
      </c>
      <c r="B2375" s="416">
        <v>1130217</v>
      </c>
      <c r="C2375" s="413" t="str">
        <f>IFERROR(INDEX(Table14[],MATCH($B2375,Table14[SAPNo],0),3),"")</f>
        <v>Round 1010 CT182   10C (S)</v>
      </c>
      <c r="D2375" s="306"/>
      <c r="E2375" s="421">
        <v>19</v>
      </c>
      <c r="F2375" s="421"/>
      <c r="G2375" s="417" t="s">
        <v>1942</v>
      </c>
      <c r="H2375" s="598">
        <v>14144618</v>
      </c>
      <c r="I2375" s="322" t="s">
        <v>1943</v>
      </c>
      <c r="J2375" s="418"/>
      <c r="K2375" s="248"/>
      <c r="M2375" s="422"/>
      <c r="AF2375">
        <v>19</v>
      </c>
    </row>
    <row r="2376" spans="1:32" x14ac:dyDescent="0.25">
      <c r="A2376" s="308">
        <v>45482</v>
      </c>
      <c r="B2376" s="416">
        <v>1130217</v>
      </c>
      <c r="C2376" s="413" t="str">
        <f>IFERROR(INDEX(Table14[],MATCH($B2376,Table14[SAPNo],0),3),"")</f>
        <v>Round 1010 CT182   10C (S)</v>
      </c>
      <c r="D2376" s="306"/>
      <c r="E2376" s="421">
        <v>19</v>
      </c>
      <c r="F2376" s="421"/>
      <c r="G2376" s="417" t="s">
        <v>1944</v>
      </c>
      <c r="H2376" s="598">
        <v>14144619</v>
      </c>
      <c r="I2376" s="322" t="s">
        <v>1943</v>
      </c>
      <c r="J2376" s="418"/>
      <c r="K2376" s="248"/>
      <c r="M2376" s="366"/>
      <c r="AF2376">
        <v>19</v>
      </c>
    </row>
    <row r="2377" spans="1:32" x14ac:dyDescent="0.25">
      <c r="A2377" s="308">
        <v>45482</v>
      </c>
      <c r="B2377" s="416">
        <v>1209410</v>
      </c>
      <c r="C2377" s="413" t="str">
        <f>IFERROR(INDEX(Table14[],MATCH($B2377,Table14[SAPNo],0),3),"")</f>
        <v>1613 CT430MV3 U TBO</v>
      </c>
      <c r="D2377" s="306"/>
      <c r="E2377" s="421">
        <v>5</v>
      </c>
      <c r="F2377" s="421"/>
      <c r="G2377" s="417" t="s">
        <v>1945</v>
      </c>
      <c r="H2377" s="598">
        <v>14210785</v>
      </c>
      <c r="I2377" s="322" t="s">
        <v>1737</v>
      </c>
      <c r="J2377" s="418"/>
      <c r="K2377" s="248"/>
      <c r="M2377" s="366"/>
      <c r="AF2377">
        <v>5</v>
      </c>
    </row>
    <row r="2378" spans="1:32" x14ac:dyDescent="0.25">
      <c r="A2378" s="308">
        <v>45482</v>
      </c>
      <c r="B2378" s="416">
        <v>871781</v>
      </c>
      <c r="C2378" s="413" t="str">
        <f>IFERROR(INDEX(Table14[],MATCH($B2378,Table14[SAPNo],0),3),"")</f>
        <v>Round 1313 CT200  0.018" (B)</v>
      </c>
      <c r="D2378" s="306"/>
      <c r="E2378" s="421">
        <v>5</v>
      </c>
      <c r="F2378" s="421"/>
      <c r="G2378" s="417" t="s">
        <v>1945</v>
      </c>
      <c r="H2378" s="598">
        <v>14210785</v>
      </c>
      <c r="I2378" s="322" t="s">
        <v>1737</v>
      </c>
      <c r="J2378" s="418"/>
      <c r="K2378" s="248"/>
      <c r="M2378" s="366"/>
      <c r="AF2378">
        <v>5</v>
      </c>
    </row>
    <row r="2379" spans="1:32" x14ac:dyDescent="0.25">
      <c r="A2379" s="308">
        <v>45482</v>
      </c>
      <c r="B2379" s="416">
        <v>1100751</v>
      </c>
      <c r="C2379" s="413" t="str">
        <f>IFERROR(INDEX(Table14[],MATCH($B2379,Table14[SAPNo],0),3),"")</f>
        <v>1313 CT421 0.018"</v>
      </c>
      <c r="D2379" s="306"/>
      <c r="E2379" s="421">
        <v>22</v>
      </c>
      <c r="F2379" s="421"/>
      <c r="G2379" s="417" t="s">
        <v>1945</v>
      </c>
      <c r="H2379" s="598">
        <v>14210785</v>
      </c>
      <c r="I2379" s="322" t="s">
        <v>1737</v>
      </c>
      <c r="J2379" s="418"/>
      <c r="K2379" s="248"/>
      <c r="M2379" s="366"/>
      <c r="AF2379">
        <v>22</v>
      </c>
    </row>
    <row r="2380" spans="1:32" x14ac:dyDescent="0.25">
      <c r="A2380" s="308">
        <v>45482</v>
      </c>
      <c r="B2380" s="416">
        <v>1282370</v>
      </c>
      <c r="C2380" s="413" t="str">
        <f>IFERROR(INDEX(Table14[],MATCH($B2380,Table14[SAPNo],0),3),"")</f>
        <v>1613 CT436Mv3 U-60</v>
      </c>
      <c r="D2380" s="306"/>
      <c r="E2380" s="421">
        <v>5</v>
      </c>
      <c r="F2380" s="421"/>
      <c r="G2380" s="417" t="s">
        <v>1945</v>
      </c>
      <c r="H2380" s="598">
        <v>14210785</v>
      </c>
      <c r="I2380" s="322" t="s">
        <v>1737</v>
      </c>
      <c r="J2380" s="418"/>
      <c r="K2380" s="248"/>
      <c r="M2380" s="366"/>
      <c r="AF2380">
        <v>5</v>
      </c>
    </row>
    <row r="2381" spans="1:32" x14ac:dyDescent="0.25">
      <c r="A2381" s="308">
        <v>45482</v>
      </c>
      <c r="B2381" s="416">
        <v>1271790</v>
      </c>
      <c r="C2381" s="413" t="str">
        <f>IFERROR(INDEX(Table14[],MATCH($B2381,Table14[SAPNo],0),3),"")</f>
        <v xml:space="preserve">1613 CT170 18-60 </v>
      </c>
      <c r="D2381" s="306"/>
      <c r="E2381" s="421">
        <v>30</v>
      </c>
      <c r="F2381" s="421"/>
      <c r="G2381" s="417" t="s">
        <v>1945</v>
      </c>
      <c r="H2381" s="598">
        <v>14210785</v>
      </c>
      <c r="I2381" s="322" t="s">
        <v>1737</v>
      </c>
      <c r="J2381" s="418"/>
      <c r="K2381" s="248"/>
      <c r="M2381" s="366"/>
      <c r="AF2381">
        <v>30</v>
      </c>
    </row>
    <row r="2382" spans="1:32" x14ac:dyDescent="0.25">
      <c r="A2382" s="308">
        <v>45482</v>
      </c>
      <c r="B2382" s="416">
        <v>1146737</v>
      </c>
      <c r="C2382" s="413" t="str">
        <f>IFERROR(INDEX(Table14[],MATCH($B2382,Table14[SAPNo],0),3),"")</f>
        <v>1613 CT418 18-60</v>
      </c>
      <c r="D2382" s="306"/>
      <c r="E2382" s="421">
        <v>10</v>
      </c>
      <c r="F2382" s="421"/>
      <c r="G2382" s="417" t="s">
        <v>1945</v>
      </c>
      <c r="H2382" s="598">
        <v>14210785</v>
      </c>
      <c r="I2382" s="322" t="s">
        <v>1737</v>
      </c>
      <c r="J2382" s="418"/>
      <c r="K2382" s="248"/>
      <c r="M2382" s="366"/>
      <c r="AF2382">
        <v>10</v>
      </c>
    </row>
    <row r="2383" spans="1:32" x14ac:dyDescent="0.25">
      <c r="A2383" s="308">
        <v>45482</v>
      </c>
      <c r="B2383" s="416">
        <v>1100751</v>
      </c>
      <c r="C2383" s="413" t="str">
        <f>IFERROR(INDEX(Table14[],MATCH($B2383,Table14[SAPNo],0),3),"")</f>
        <v>1313 CT421 0.018"</v>
      </c>
      <c r="D2383" s="306"/>
      <c r="E2383" s="421">
        <v>22</v>
      </c>
      <c r="F2383" s="421"/>
      <c r="G2383" s="417" t="s">
        <v>1946</v>
      </c>
      <c r="H2383" s="598">
        <v>14210786</v>
      </c>
      <c r="I2383" s="322" t="s">
        <v>1463</v>
      </c>
      <c r="J2383" s="418"/>
      <c r="K2383" s="248"/>
      <c r="M2383" s="366"/>
      <c r="AF2383">
        <v>22</v>
      </c>
    </row>
    <row r="2384" spans="1:32" x14ac:dyDescent="0.25">
      <c r="A2384" s="308">
        <v>45482</v>
      </c>
      <c r="B2384" s="416">
        <v>1271790</v>
      </c>
      <c r="C2384" s="413" t="str">
        <f>IFERROR(INDEX(Table14[],MATCH($B2384,Table14[SAPNo],0),3),"")</f>
        <v xml:space="preserve">1613 CT170 18-60 </v>
      </c>
      <c r="D2384" s="306"/>
      <c r="E2384" s="421">
        <v>30</v>
      </c>
      <c r="F2384" s="421"/>
      <c r="G2384" s="417" t="s">
        <v>1946</v>
      </c>
      <c r="H2384" s="598">
        <v>14210786</v>
      </c>
      <c r="I2384" s="322" t="s">
        <v>1463</v>
      </c>
      <c r="J2384" s="418"/>
      <c r="K2384" s="248"/>
      <c r="M2384" s="366"/>
      <c r="AF2384">
        <v>30</v>
      </c>
    </row>
    <row r="2385" spans="1:32" x14ac:dyDescent="0.25">
      <c r="A2385" s="308">
        <v>45482</v>
      </c>
      <c r="B2385" s="416">
        <v>1209410</v>
      </c>
      <c r="C2385" s="413" t="str">
        <f>IFERROR(INDEX(Table14[],MATCH($B2385,Table14[SAPNo],0),3),"")</f>
        <v>1613 CT430MV3 U TBO</v>
      </c>
      <c r="D2385" s="306"/>
      <c r="E2385" s="421">
        <v>10</v>
      </c>
      <c r="F2385" s="421"/>
      <c r="G2385" s="417" t="s">
        <v>1946</v>
      </c>
      <c r="H2385" s="598">
        <v>14210786</v>
      </c>
      <c r="I2385" s="322" t="s">
        <v>1463</v>
      </c>
      <c r="J2385" s="418"/>
      <c r="K2385" s="248"/>
      <c r="M2385" s="366"/>
      <c r="AF2385">
        <v>10</v>
      </c>
    </row>
    <row r="2386" spans="1:32" x14ac:dyDescent="0.25">
      <c r="A2386" s="308">
        <v>45482</v>
      </c>
      <c r="B2386" s="416">
        <v>871781</v>
      </c>
      <c r="C2386" s="413" t="str">
        <f>IFERROR(INDEX(Table14[],MATCH($B2386,Table14[SAPNo],0),3),"")</f>
        <v>Round 1313 CT200  0.018" (B)</v>
      </c>
      <c r="D2386" s="306"/>
      <c r="E2386" s="421">
        <v>5</v>
      </c>
      <c r="F2386" s="421"/>
      <c r="G2386" s="417" t="s">
        <v>1946</v>
      </c>
      <c r="H2386" s="598">
        <v>14210786</v>
      </c>
      <c r="I2386" s="322" t="s">
        <v>1463</v>
      </c>
      <c r="J2386" s="418"/>
      <c r="K2386" s="248"/>
      <c r="M2386" s="366"/>
      <c r="AF2386">
        <v>5</v>
      </c>
    </row>
    <row r="2387" spans="1:32" x14ac:dyDescent="0.25">
      <c r="A2387" s="308">
        <v>45482</v>
      </c>
      <c r="B2387" s="416">
        <v>1146737</v>
      </c>
      <c r="C2387" s="413" t="str">
        <f>IFERROR(INDEX(Table14[],MATCH($B2387,Table14[SAPNo],0),3),"")</f>
        <v>1613 CT418 18-60</v>
      </c>
      <c r="D2387" s="306"/>
      <c r="E2387" s="421">
        <v>10</v>
      </c>
      <c r="F2387" s="421"/>
      <c r="G2387" s="417" t="s">
        <v>1946</v>
      </c>
      <c r="H2387" s="598">
        <v>14210786</v>
      </c>
      <c r="I2387" s="322" t="s">
        <v>1463</v>
      </c>
      <c r="J2387" s="418"/>
      <c r="K2387" s="248"/>
      <c r="M2387" s="366"/>
      <c r="AF2387">
        <v>10</v>
      </c>
    </row>
    <row r="2388" spans="1:32" x14ac:dyDescent="0.25">
      <c r="A2388" s="308">
        <v>45482</v>
      </c>
      <c r="B2388" s="416">
        <v>1078377</v>
      </c>
      <c r="C2388" s="413" t="str">
        <f>IFERROR(INDEX(Table14[],MATCH($B2388,Table14[SAPNo],0),3),"")</f>
        <v>13MM CT221 R1</v>
      </c>
      <c r="D2388" s="306"/>
      <c r="E2388" s="421">
        <v>15</v>
      </c>
      <c r="F2388" s="421"/>
      <c r="G2388" s="417" t="s">
        <v>1947</v>
      </c>
      <c r="H2388" s="598">
        <v>14204330</v>
      </c>
      <c r="I2388" s="322" t="s">
        <v>1497</v>
      </c>
      <c r="J2388" s="418"/>
      <c r="K2388" s="248"/>
      <c r="M2388" s="366"/>
      <c r="AF2388">
        <v>15</v>
      </c>
    </row>
    <row r="2389" spans="1:32" x14ac:dyDescent="0.25">
      <c r="A2389" s="308">
        <v>45482</v>
      </c>
      <c r="B2389" s="416">
        <v>1208601</v>
      </c>
      <c r="C2389" s="413" t="str">
        <f>IFERROR(INDEX(Table14[],MATCH($B2389,Table14[SAPNo],0),3),"")</f>
        <v>1613 CT418 U-60</v>
      </c>
      <c r="D2389" s="306"/>
      <c r="E2389" s="421">
        <v>8</v>
      </c>
      <c r="F2389" s="421"/>
      <c r="G2389" s="417" t="s">
        <v>1947</v>
      </c>
      <c r="H2389" s="598">
        <v>14204330</v>
      </c>
      <c r="I2389" s="322" t="s">
        <v>1497</v>
      </c>
      <c r="J2389" s="418"/>
      <c r="K2389" s="248"/>
      <c r="M2389" s="366"/>
      <c r="AF2389">
        <v>8</v>
      </c>
    </row>
    <row r="2390" spans="1:32" x14ac:dyDescent="0.25">
      <c r="A2390" s="308">
        <v>45482</v>
      </c>
      <c r="B2390" s="416">
        <v>1271790</v>
      </c>
      <c r="C2390" s="413" t="str">
        <f>IFERROR(INDEX(Table14[],MATCH($B2390,Table14[SAPNo],0),3),"")</f>
        <v xml:space="preserve">1613 CT170 18-60 </v>
      </c>
      <c r="D2390" s="306"/>
      <c r="E2390" s="421">
        <v>17</v>
      </c>
      <c r="F2390" s="421"/>
      <c r="G2390" s="417" t="s">
        <v>1947</v>
      </c>
      <c r="H2390" s="598">
        <v>14204330</v>
      </c>
      <c r="I2390" s="322" t="s">
        <v>1497</v>
      </c>
      <c r="J2390" s="418"/>
      <c r="K2390" s="248"/>
      <c r="M2390" s="366"/>
      <c r="AF2390">
        <v>17</v>
      </c>
    </row>
    <row r="2391" spans="1:32" x14ac:dyDescent="0.25">
      <c r="A2391" s="308">
        <v>45482</v>
      </c>
      <c r="B2391" s="416">
        <v>418525</v>
      </c>
      <c r="C2391" s="413" t="str">
        <f>IFERROR(INDEX(Table14[],MATCH($B2391,Table14[SAPNo],0),3),"")</f>
        <v>Drop In 1308 CT31   (B)</v>
      </c>
      <c r="D2391" s="306"/>
      <c r="E2391" s="421">
        <v>6</v>
      </c>
      <c r="F2391" s="421"/>
      <c r="G2391" s="417" t="s">
        <v>1947</v>
      </c>
      <c r="H2391" s="598">
        <v>14204330</v>
      </c>
      <c r="I2391" s="322" t="s">
        <v>1497</v>
      </c>
      <c r="J2391" s="418"/>
      <c r="K2391" s="248"/>
      <c r="M2391" s="366"/>
      <c r="AF2391">
        <v>6</v>
      </c>
    </row>
    <row r="2392" spans="1:32" x14ac:dyDescent="0.25">
      <c r="A2392" s="320">
        <v>45482</v>
      </c>
      <c r="B2392" s="419">
        <v>1146737</v>
      </c>
      <c r="C2392" s="413" t="str">
        <f>IFERROR(INDEX(Table14[],MATCH($B2392,Table14[SAPNo],0),3),"")</f>
        <v>1613 CT418 18-60</v>
      </c>
      <c r="D2392" s="306"/>
      <c r="E2392" s="421">
        <v>6</v>
      </c>
      <c r="F2392" s="421"/>
      <c r="G2392" s="420" t="s">
        <v>1947</v>
      </c>
      <c r="H2392" s="599">
        <v>14204330</v>
      </c>
      <c r="I2392" s="322" t="s">
        <v>1497</v>
      </c>
      <c r="J2392" s="421"/>
      <c r="K2392" s="422"/>
      <c r="M2392" s="366"/>
      <c r="AF2392">
        <v>6</v>
      </c>
    </row>
    <row r="2393" spans="1:32" x14ac:dyDescent="0.25">
      <c r="A2393" s="308">
        <v>45483</v>
      </c>
      <c r="B2393" s="416">
        <v>1271790</v>
      </c>
      <c r="C2393" s="413" t="str">
        <f>IFERROR(INDEX(Table14[],MATCH($B2393,Table14[SAPNo],0),3),"")</f>
        <v xml:space="preserve">1613 CT170 18-60 </v>
      </c>
      <c r="D2393" s="306"/>
      <c r="E2393" s="421">
        <v>30</v>
      </c>
      <c r="F2393" s="421"/>
      <c r="G2393" s="417" t="s">
        <v>1948</v>
      </c>
      <c r="H2393" s="598">
        <v>14210789</v>
      </c>
      <c r="I2393" s="322" t="s">
        <v>1463</v>
      </c>
      <c r="J2393" s="418"/>
      <c r="K2393" s="248"/>
      <c r="M2393" s="422"/>
      <c r="AF2393">
        <v>30</v>
      </c>
    </row>
    <row r="2394" spans="1:32" x14ac:dyDescent="0.25">
      <c r="A2394" s="308">
        <v>45483</v>
      </c>
      <c r="B2394" s="416">
        <v>1100751</v>
      </c>
      <c r="C2394" s="413" t="str">
        <f>IFERROR(INDEX(Table14[],MATCH($B2394,Table14[SAPNo],0),3),"")</f>
        <v>1313 CT421 0.018"</v>
      </c>
      <c r="D2394" s="306"/>
      <c r="E2394" s="421">
        <v>22</v>
      </c>
      <c r="F2394" s="421"/>
      <c r="G2394" s="417" t="s">
        <v>1948</v>
      </c>
      <c r="H2394" s="598">
        <v>14210789</v>
      </c>
      <c r="I2394" s="322" t="s">
        <v>1463</v>
      </c>
      <c r="J2394" s="418"/>
      <c r="K2394" s="248"/>
      <c r="M2394" s="366"/>
      <c r="AF2394">
        <v>22</v>
      </c>
    </row>
    <row r="2395" spans="1:32" x14ac:dyDescent="0.25">
      <c r="A2395" s="308">
        <v>45483</v>
      </c>
      <c r="B2395" s="416">
        <v>1209410</v>
      </c>
      <c r="C2395" s="413" t="str">
        <f>IFERROR(INDEX(Table14[],MATCH($B2395,Table14[SAPNo],0),3),"")</f>
        <v>1613 CT430MV3 U TBO</v>
      </c>
      <c r="D2395" s="306"/>
      <c r="E2395" s="421">
        <v>10</v>
      </c>
      <c r="F2395" s="421"/>
      <c r="G2395" s="417" t="s">
        <v>1948</v>
      </c>
      <c r="H2395" s="598">
        <v>14210789</v>
      </c>
      <c r="I2395" s="322" t="s">
        <v>1463</v>
      </c>
      <c r="J2395" s="418"/>
      <c r="K2395" s="248"/>
      <c r="M2395" s="366"/>
      <c r="AF2395">
        <v>10</v>
      </c>
    </row>
    <row r="2396" spans="1:32" x14ac:dyDescent="0.25">
      <c r="A2396" s="308">
        <v>45483</v>
      </c>
      <c r="B2396" s="416">
        <v>1146737</v>
      </c>
      <c r="C2396" s="413" t="str">
        <f>IFERROR(INDEX(Table14[],MATCH($B2396,Table14[SAPNo],0),3),"")</f>
        <v>1613 CT418 18-60</v>
      </c>
      <c r="D2396" s="306"/>
      <c r="E2396" s="421">
        <v>10</v>
      </c>
      <c r="F2396" s="421"/>
      <c r="G2396" s="417" t="s">
        <v>1948</v>
      </c>
      <c r="H2396" s="598">
        <v>14210789</v>
      </c>
      <c r="I2396" s="322" t="s">
        <v>1463</v>
      </c>
      <c r="J2396" s="418"/>
      <c r="K2396" s="248"/>
      <c r="M2396" s="366"/>
      <c r="AF2396">
        <v>10</v>
      </c>
    </row>
    <row r="2397" spans="1:32" x14ac:dyDescent="0.25">
      <c r="A2397" s="308">
        <v>45483</v>
      </c>
      <c r="B2397" s="416">
        <v>871781</v>
      </c>
      <c r="C2397" s="413" t="str">
        <f>IFERROR(INDEX(Table14[],MATCH($B2397,Table14[SAPNo],0),3),"")</f>
        <v>Round 1313 CT200  0.018" (B)</v>
      </c>
      <c r="D2397" s="306"/>
      <c r="E2397" s="421">
        <v>5</v>
      </c>
      <c r="F2397" s="421"/>
      <c r="G2397" s="417" t="s">
        <v>1948</v>
      </c>
      <c r="H2397" s="598">
        <v>14210789</v>
      </c>
      <c r="I2397" s="322" t="s">
        <v>1463</v>
      </c>
      <c r="J2397" s="418"/>
      <c r="K2397" s="248"/>
      <c r="M2397" s="366"/>
      <c r="AF2397">
        <v>5</v>
      </c>
    </row>
    <row r="2398" spans="1:32" x14ac:dyDescent="0.25">
      <c r="A2398" s="308">
        <v>45483</v>
      </c>
      <c r="B2398" s="416">
        <v>1100751</v>
      </c>
      <c r="C2398" s="413" t="str">
        <f>IFERROR(INDEX(Table14[],MATCH($B2398,Table14[SAPNo],0),3),"")</f>
        <v>1313 CT421 0.018"</v>
      </c>
      <c r="D2398" s="306"/>
      <c r="E2398" s="421">
        <v>22</v>
      </c>
      <c r="F2398" s="421"/>
      <c r="G2398" s="417" t="s">
        <v>1949</v>
      </c>
      <c r="H2398" s="598">
        <v>14204326</v>
      </c>
      <c r="I2398" s="322" t="s">
        <v>1950</v>
      </c>
      <c r="J2398" s="418"/>
      <c r="K2398" s="248"/>
      <c r="M2398" s="366"/>
      <c r="AF2398">
        <v>22</v>
      </c>
    </row>
    <row r="2399" spans="1:32" x14ac:dyDescent="0.25">
      <c r="A2399" s="308">
        <v>45483</v>
      </c>
      <c r="B2399" s="416">
        <v>1146737</v>
      </c>
      <c r="C2399" s="413" t="str">
        <f>IFERROR(INDEX(Table14[],MATCH($B2399,Table14[SAPNo],0),3),"")</f>
        <v>1613 CT418 18-60</v>
      </c>
      <c r="D2399" s="306"/>
      <c r="E2399" s="421">
        <v>10</v>
      </c>
      <c r="F2399" s="421"/>
      <c r="G2399" s="417" t="s">
        <v>1949</v>
      </c>
      <c r="H2399" s="598">
        <v>14204326</v>
      </c>
      <c r="I2399" s="322" t="s">
        <v>1950</v>
      </c>
      <c r="J2399" s="418"/>
      <c r="K2399" s="248"/>
      <c r="M2399" s="366"/>
      <c r="AF2399">
        <v>10</v>
      </c>
    </row>
    <row r="2400" spans="1:32" x14ac:dyDescent="0.25">
      <c r="A2400" s="308">
        <v>45483</v>
      </c>
      <c r="B2400" s="416">
        <v>871781</v>
      </c>
      <c r="C2400" s="413" t="str">
        <f>IFERROR(INDEX(Table14[],MATCH($B2400,Table14[SAPNo],0),3),"")</f>
        <v>Round 1313 CT200  0.018" (B)</v>
      </c>
      <c r="D2400" s="306"/>
      <c r="E2400" s="421">
        <v>5</v>
      </c>
      <c r="F2400" s="421"/>
      <c r="G2400" s="417" t="s">
        <v>1949</v>
      </c>
      <c r="H2400" s="598">
        <v>14204326</v>
      </c>
      <c r="I2400" s="322" t="s">
        <v>1950</v>
      </c>
      <c r="J2400" s="418"/>
      <c r="K2400" s="248"/>
      <c r="M2400" s="366"/>
      <c r="AF2400">
        <v>5</v>
      </c>
    </row>
    <row r="2401" spans="1:32" x14ac:dyDescent="0.25">
      <c r="A2401" s="308">
        <v>45483</v>
      </c>
      <c r="B2401" s="416">
        <v>1209410</v>
      </c>
      <c r="C2401" s="413" t="str">
        <f>IFERROR(INDEX(Table14[],MATCH($B2401,Table14[SAPNo],0),3),"")</f>
        <v>1613 CT430MV3 U TBO</v>
      </c>
      <c r="D2401" s="306"/>
      <c r="E2401" s="421">
        <v>10</v>
      </c>
      <c r="F2401" s="421"/>
      <c r="G2401" s="417" t="s">
        <v>1949</v>
      </c>
      <c r="H2401" s="598">
        <v>14204326</v>
      </c>
      <c r="I2401" s="322" t="s">
        <v>1950</v>
      </c>
      <c r="J2401" s="418"/>
      <c r="K2401" s="248"/>
      <c r="M2401" s="366"/>
      <c r="AF2401">
        <v>10</v>
      </c>
    </row>
    <row r="2402" spans="1:32" x14ac:dyDescent="0.25">
      <c r="A2402" s="308">
        <v>45483</v>
      </c>
      <c r="B2402" s="416">
        <v>1271790</v>
      </c>
      <c r="C2402" s="413" t="str">
        <f>IFERROR(INDEX(Table14[],MATCH($B2402,Table14[SAPNo],0),3),"")</f>
        <v xml:space="preserve">1613 CT170 18-60 </v>
      </c>
      <c r="D2402" s="306"/>
      <c r="E2402" s="421">
        <v>30</v>
      </c>
      <c r="F2402" s="421"/>
      <c r="G2402" s="417" t="s">
        <v>1949</v>
      </c>
      <c r="H2402" s="598">
        <v>14204326</v>
      </c>
      <c r="I2402" s="322" t="s">
        <v>1950</v>
      </c>
      <c r="J2402" s="418"/>
      <c r="K2402" s="248"/>
      <c r="M2402" s="366"/>
      <c r="AF2402">
        <v>30</v>
      </c>
    </row>
    <row r="2403" spans="1:32" x14ac:dyDescent="0.25">
      <c r="A2403" s="308">
        <v>45483</v>
      </c>
      <c r="B2403" s="416">
        <v>1228503</v>
      </c>
      <c r="C2403" s="413" t="str">
        <f>IFERROR(INDEX(Table14[],MATCH($B2403,Table14[SAPNo],0),3),"")</f>
        <v>1618 CT182 U-60 Ring</v>
      </c>
      <c r="D2403" s="306"/>
      <c r="E2403" s="421">
        <v>10</v>
      </c>
      <c r="F2403" s="421"/>
      <c r="G2403" s="417" t="s">
        <v>1951</v>
      </c>
      <c r="H2403" s="598">
        <v>14167827</v>
      </c>
      <c r="I2403" s="322" t="s">
        <v>1440</v>
      </c>
      <c r="J2403" s="418"/>
      <c r="K2403" s="248"/>
      <c r="M2403" s="366"/>
      <c r="AF2403">
        <v>10</v>
      </c>
    </row>
    <row r="2404" spans="1:32" x14ac:dyDescent="0.25">
      <c r="A2404" s="308">
        <v>45483</v>
      </c>
      <c r="B2404" s="416">
        <v>1228501</v>
      </c>
      <c r="C2404" s="413" t="str">
        <f>IFERROR(INDEX(Table14[],MATCH($B2404,Table14[SAPNo],0),3),"")</f>
        <v>1618 CT182 U-60 stator</v>
      </c>
      <c r="D2404" s="306"/>
      <c r="E2404" s="421">
        <v>10</v>
      </c>
      <c r="F2404" s="421"/>
      <c r="G2404" s="417" t="s">
        <v>1951</v>
      </c>
      <c r="H2404" s="598">
        <v>14167827</v>
      </c>
      <c r="I2404" s="322" t="s">
        <v>1440</v>
      </c>
      <c r="J2404" s="418"/>
      <c r="K2404" s="248"/>
      <c r="M2404" s="366"/>
      <c r="AF2404">
        <v>10</v>
      </c>
    </row>
    <row r="2405" spans="1:32" x14ac:dyDescent="0.25">
      <c r="A2405" s="308">
        <v>45483</v>
      </c>
      <c r="B2405" s="419">
        <v>1220554</v>
      </c>
      <c r="C2405" s="413" t="str">
        <f>IFERROR(INDEX(Table14[],MATCH($B2405,Table14[SAPNo],0),3),"")</f>
        <v xml:space="preserve">1618 CT182 U-60 Carbide </v>
      </c>
      <c r="D2405" s="306"/>
      <c r="E2405" s="421">
        <v>10</v>
      </c>
      <c r="F2405" s="421"/>
      <c r="G2405" s="417" t="s">
        <v>1951</v>
      </c>
      <c r="H2405" s="598">
        <v>14167827</v>
      </c>
      <c r="I2405" s="322" t="s">
        <v>1440</v>
      </c>
      <c r="J2405" s="418"/>
      <c r="K2405" s="248"/>
      <c r="M2405" s="422"/>
      <c r="AF2405">
        <v>10</v>
      </c>
    </row>
    <row r="2406" spans="1:32" x14ac:dyDescent="0.25">
      <c r="A2406" s="308">
        <v>45483</v>
      </c>
      <c r="B2406" s="416">
        <v>1261320</v>
      </c>
      <c r="C2406" s="413" t="str">
        <f>IFERROR(INDEX(Table14[],MATCH($B2406,Table14[SAPNo],0),3),"")</f>
        <v>1313 CT155 U-60</v>
      </c>
      <c r="D2406" s="306"/>
      <c r="E2406" s="421">
        <v>6</v>
      </c>
      <c r="F2406" s="421"/>
      <c r="G2406" s="417" t="s">
        <v>1951</v>
      </c>
      <c r="H2406" s="598">
        <v>14167827</v>
      </c>
      <c r="I2406" s="322" t="s">
        <v>1440</v>
      </c>
      <c r="J2406" s="418"/>
      <c r="K2406" s="248"/>
      <c r="M2406" s="366"/>
      <c r="AF2406">
        <v>6</v>
      </c>
    </row>
    <row r="2407" spans="1:32" x14ac:dyDescent="0.25">
      <c r="A2407" s="308">
        <v>45483</v>
      </c>
      <c r="B2407" s="416">
        <v>1228502</v>
      </c>
      <c r="C2407" s="413" t="str">
        <f>IFERROR(INDEX(Table14[],MATCH($B2407,Table14[SAPNo],0),3),"")</f>
        <v>1618 CT182 U-60 Rotor</v>
      </c>
      <c r="D2407" s="306"/>
      <c r="E2407" s="421">
        <v>10</v>
      </c>
      <c r="F2407" s="421"/>
      <c r="G2407" s="417" t="s">
        <v>1951</v>
      </c>
      <c r="H2407" s="598">
        <v>14167827</v>
      </c>
      <c r="I2407" s="322" t="s">
        <v>1440</v>
      </c>
      <c r="J2407" s="418"/>
      <c r="K2407" s="248"/>
      <c r="M2407" s="366"/>
      <c r="AF2407">
        <v>10</v>
      </c>
    </row>
    <row r="2408" spans="1:32" x14ac:dyDescent="0.25">
      <c r="A2408" s="308">
        <v>45483</v>
      </c>
      <c r="B2408" s="416">
        <v>871781</v>
      </c>
      <c r="C2408" s="413" t="str">
        <f>IFERROR(INDEX(Table14[],MATCH($B2408,Table14[SAPNo],0),3),"")</f>
        <v>Round 1313 CT200  0.018" (B)</v>
      </c>
      <c r="D2408" s="306"/>
      <c r="E2408" s="421">
        <v>6</v>
      </c>
      <c r="F2408" s="421"/>
      <c r="G2408" s="417" t="s">
        <v>1951</v>
      </c>
      <c r="H2408" s="598">
        <v>14167827</v>
      </c>
      <c r="I2408" s="322" t="s">
        <v>1440</v>
      </c>
      <c r="J2408" s="418"/>
      <c r="K2408" s="248"/>
      <c r="M2408" s="366"/>
      <c r="AF2408">
        <v>6</v>
      </c>
    </row>
    <row r="2409" spans="1:32" x14ac:dyDescent="0.25">
      <c r="A2409" s="308">
        <v>45483</v>
      </c>
      <c r="B2409" s="416">
        <v>1261319</v>
      </c>
      <c r="C2409" s="413" t="str">
        <f>IFERROR(INDEX(Table14[],MATCH($B2409,Table14[SAPNo],0),3),"")</f>
        <v>1308 CT155 U-60</v>
      </c>
      <c r="D2409" s="306"/>
      <c r="E2409" s="421">
        <v>24</v>
      </c>
      <c r="F2409" s="421"/>
      <c r="G2409" s="417" t="s">
        <v>1951</v>
      </c>
      <c r="H2409" s="598">
        <v>14167827</v>
      </c>
      <c r="I2409" s="322" t="s">
        <v>1440</v>
      </c>
      <c r="J2409" s="418"/>
      <c r="K2409" s="248"/>
      <c r="M2409" s="366"/>
      <c r="AF2409">
        <v>24</v>
      </c>
    </row>
    <row r="2410" spans="1:32" x14ac:dyDescent="0.25">
      <c r="A2410" s="308">
        <v>45483</v>
      </c>
      <c r="B2410" s="416">
        <v>1261321</v>
      </c>
      <c r="C2410" s="413" t="str">
        <f>IFERROR(INDEX(Table14[],MATCH($B2410,Table14[SAPNo],0),3),"")</f>
        <v>1613 CT155 U-60</v>
      </c>
      <c r="D2410" s="306"/>
      <c r="E2410" s="421">
        <v>4</v>
      </c>
      <c r="F2410" s="421"/>
      <c r="G2410" s="417" t="s">
        <v>1951</v>
      </c>
      <c r="H2410" s="598">
        <v>14167827</v>
      </c>
      <c r="I2410" s="322" t="s">
        <v>1440</v>
      </c>
      <c r="J2410" s="418"/>
      <c r="K2410" s="248"/>
      <c r="M2410" s="366"/>
      <c r="AF2410">
        <v>4</v>
      </c>
    </row>
    <row r="2411" spans="1:32" x14ac:dyDescent="0.25">
      <c r="A2411" s="308">
        <v>45483</v>
      </c>
      <c r="B2411" s="416">
        <v>729688</v>
      </c>
      <c r="C2411" s="413" t="str">
        <f>IFERROR(INDEX(Table14[],MATCH($B2411,Table14[SAPNo],0),3),"")</f>
        <v>Round 1308 CT82  0.018" (S)</v>
      </c>
      <c r="D2411" s="306"/>
      <c r="E2411" s="421"/>
      <c r="F2411" s="421"/>
      <c r="G2411" s="417" t="s">
        <v>1952</v>
      </c>
      <c r="H2411" s="598" t="s">
        <v>1931</v>
      </c>
      <c r="I2411" s="322" t="s">
        <v>1932</v>
      </c>
      <c r="J2411" s="418">
        <v>1</v>
      </c>
      <c r="K2411" s="248"/>
      <c r="M2411" s="366"/>
    </row>
    <row r="2412" spans="1:32" x14ac:dyDescent="0.25">
      <c r="A2412" s="308">
        <v>45483</v>
      </c>
      <c r="B2412" s="416">
        <v>1014885</v>
      </c>
      <c r="C2412" s="413" t="str">
        <f>IFERROR(INDEX(Table14[],MATCH($B2412,Table14[SAPNo],0),3),"")</f>
        <v>Round 1308 CT133  0.018" (S)</v>
      </c>
      <c r="D2412" s="306"/>
      <c r="E2412" s="421"/>
      <c r="F2412" s="421"/>
      <c r="G2412" s="417" t="s">
        <v>1953</v>
      </c>
      <c r="H2412" s="598" t="s">
        <v>1931</v>
      </c>
      <c r="I2412" s="322" t="s">
        <v>1932</v>
      </c>
      <c r="J2412" s="418">
        <v>2</v>
      </c>
      <c r="K2412" s="248"/>
      <c r="M2412" s="366"/>
    </row>
    <row r="2413" spans="1:32" x14ac:dyDescent="0.25">
      <c r="A2413" s="308">
        <v>45483</v>
      </c>
      <c r="B2413" s="416">
        <v>717748</v>
      </c>
      <c r="C2413" s="413" t="str">
        <f>IFERROR(INDEX(Table14[],MATCH($B2413,Table14[SAPNo],0),3),"")</f>
        <v>Round 1010 CT200  0.018" (B)</v>
      </c>
      <c r="D2413" s="306"/>
      <c r="E2413" s="421"/>
      <c r="F2413" s="421"/>
      <c r="G2413" s="417">
        <v>20241108</v>
      </c>
      <c r="H2413" s="598" t="s">
        <v>1954</v>
      </c>
      <c r="I2413" s="322" t="s">
        <v>1069</v>
      </c>
      <c r="J2413" s="418">
        <v>2</v>
      </c>
      <c r="K2413" s="248"/>
      <c r="M2413" s="366"/>
    </row>
    <row r="2414" spans="1:32" x14ac:dyDescent="0.25">
      <c r="A2414" s="308">
        <v>45483</v>
      </c>
      <c r="B2414" s="416">
        <v>971055</v>
      </c>
      <c r="C2414" s="413" t="str">
        <f>IFERROR(INDEX(Table14[],MATCH($B2414,Table14[SAPNo],0),3),"")</f>
        <v>MED Bullet 10.5 CT217 MBL 0.018" (B)</v>
      </c>
      <c r="D2414" s="306"/>
      <c r="E2414" s="421"/>
      <c r="F2414" s="421"/>
      <c r="G2414" s="417">
        <v>20241109</v>
      </c>
      <c r="H2414" s="598" t="s">
        <v>1955</v>
      </c>
      <c r="I2414" s="322" t="s">
        <v>1112</v>
      </c>
      <c r="J2414" s="418">
        <v>3</v>
      </c>
      <c r="K2414" s="248"/>
      <c r="M2414" s="366"/>
    </row>
    <row r="2415" spans="1:32" x14ac:dyDescent="0.25">
      <c r="A2415" s="308">
        <v>45483</v>
      </c>
      <c r="B2415" s="416">
        <v>717748</v>
      </c>
      <c r="C2415" s="413" t="str">
        <f>IFERROR(INDEX(Table14[],MATCH($B2415,Table14[SAPNo],0),3),"")</f>
        <v>Round 1010 CT200  0.018" (B)</v>
      </c>
      <c r="D2415" s="306"/>
      <c r="E2415" s="421"/>
      <c r="F2415" s="421"/>
      <c r="G2415" s="417">
        <v>20241110</v>
      </c>
      <c r="H2415" s="598" t="s">
        <v>1956</v>
      </c>
      <c r="I2415" s="322" t="s">
        <v>1268</v>
      </c>
      <c r="J2415" s="418">
        <v>4</v>
      </c>
      <c r="K2415" s="248"/>
      <c r="M2415" s="366"/>
    </row>
    <row r="2416" spans="1:32" x14ac:dyDescent="0.25">
      <c r="A2416" s="308">
        <v>45484</v>
      </c>
      <c r="B2416" s="416">
        <v>1134751</v>
      </c>
      <c r="C2416" s="413" t="str">
        <f>IFERROR(INDEX(Table14[],MATCH($B2416,Table14[SAPNo],0),3),"")</f>
        <v xml:space="preserve"> 1308 CT182  0.01 (S)</v>
      </c>
      <c r="D2416" s="306"/>
      <c r="E2416" s="421">
        <v>32</v>
      </c>
      <c r="F2416" s="421"/>
      <c r="G2416" s="417" t="s">
        <v>1957</v>
      </c>
      <c r="H2416" s="598">
        <v>12378316</v>
      </c>
      <c r="I2416" s="322" t="s">
        <v>1958</v>
      </c>
      <c r="J2416" s="418"/>
      <c r="K2416" s="248"/>
      <c r="M2416" s="366"/>
      <c r="AF2416">
        <v>32</v>
      </c>
    </row>
    <row r="2417" spans="1:32" x14ac:dyDescent="0.25">
      <c r="A2417" s="308">
        <v>45484</v>
      </c>
      <c r="B2417" s="416">
        <v>418525</v>
      </c>
      <c r="C2417" s="413" t="str">
        <f>IFERROR(INDEX(Table14[],MATCH($B2417,Table14[SAPNo],0),3),"")</f>
        <v>Drop In 1308 CT31   (B)</v>
      </c>
      <c r="D2417" s="306"/>
      <c r="E2417" s="421">
        <v>5</v>
      </c>
      <c r="F2417" s="421"/>
      <c r="G2417" s="417" t="s">
        <v>1957</v>
      </c>
      <c r="H2417" s="598">
        <v>12378316</v>
      </c>
      <c r="I2417" s="322" t="s">
        <v>1958</v>
      </c>
      <c r="J2417" s="418"/>
      <c r="K2417" s="248"/>
      <c r="M2417" s="366"/>
      <c r="AF2417">
        <v>5</v>
      </c>
    </row>
    <row r="2418" spans="1:32" x14ac:dyDescent="0.25">
      <c r="A2418" s="308">
        <v>45484</v>
      </c>
      <c r="B2418" s="416">
        <v>177778</v>
      </c>
      <c r="C2418" s="413" t="str">
        <f>IFERROR(INDEX(Table14[],MATCH($B2418,Table14[SAPNo],0),3),"")</f>
        <v>Drop In 1303 CT200   (B)</v>
      </c>
      <c r="D2418" s="306"/>
      <c r="E2418" s="421">
        <v>3</v>
      </c>
      <c r="F2418" s="421"/>
      <c r="G2418" s="417" t="s">
        <v>1957</v>
      </c>
      <c r="H2418" s="598">
        <v>12378316</v>
      </c>
      <c r="I2418" s="322" t="s">
        <v>1958</v>
      </c>
      <c r="J2418" s="418"/>
      <c r="K2418" s="248"/>
      <c r="M2418" s="366"/>
      <c r="AF2418">
        <v>3</v>
      </c>
    </row>
    <row r="2419" spans="1:32" x14ac:dyDescent="0.25">
      <c r="A2419" s="308">
        <v>45484</v>
      </c>
      <c r="B2419" s="416">
        <v>1130217</v>
      </c>
      <c r="C2419" s="413" t="str">
        <f>IFERROR(INDEX(Table14[],MATCH($B2419,Table14[SAPNo],0),3),"")</f>
        <v>Round 1010 CT182   10C (S)</v>
      </c>
      <c r="D2419" s="306"/>
      <c r="E2419" s="421">
        <v>19</v>
      </c>
      <c r="F2419" s="421"/>
      <c r="G2419" s="417" t="s">
        <v>1959</v>
      </c>
      <c r="H2419" s="598">
        <v>14144617</v>
      </c>
      <c r="I2419" s="322" t="s">
        <v>1943</v>
      </c>
      <c r="J2419" s="418"/>
      <c r="K2419" s="248"/>
      <c r="M2419" s="366"/>
      <c r="AF2419">
        <v>19</v>
      </c>
    </row>
    <row r="2420" spans="1:32" x14ac:dyDescent="0.25">
      <c r="A2420" s="308">
        <v>45484</v>
      </c>
      <c r="B2420" s="416">
        <v>1130197</v>
      </c>
      <c r="C2420" s="413" t="str">
        <f>IFERROR(INDEX(Table14[],MATCH($B2420,Table14[SAPNo],0),3),"")</f>
        <v>Round 1608 CT182  0.018" (S)</v>
      </c>
      <c r="D2420" s="306"/>
      <c r="E2420" s="421">
        <v>8</v>
      </c>
      <c r="F2420" s="421"/>
      <c r="G2420" s="417" t="s">
        <v>1960</v>
      </c>
      <c r="H2420" s="598">
        <v>14144642</v>
      </c>
      <c r="I2420" s="322" t="s">
        <v>1696</v>
      </c>
      <c r="J2420" s="418"/>
      <c r="K2420" s="248"/>
      <c r="M2420" s="366"/>
      <c r="AF2420">
        <v>8</v>
      </c>
    </row>
    <row r="2421" spans="1:32" x14ac:dyDescent="0.25">
      <c r="A2421" s="308">
        <v>45484</v>
      </c>
      <c r="B2421" s="416">
        <v>1100741</v>
      </c>
      <c r="C2421" s="413" t="str">
        <f>IFERROR(INDEX(Table14[],MATCH($B2421,Table14[SAPNo],0),3),"")</f>
        <v>Round 1613 CT418  0.018" (S)</v>
      </c>
      <c r="D2421" s="306"/>
      <c r="E2421" s="421">
        <v>9</v>
      </c>
      <c r="F2421" s="421"/>
      <c r="G2421" s="417" t="s">
        <v>1960</v>
      </c>
      <c r="H2421" s="598">
        <v>14144642</v>
      </c>
      <c r="I2421" s="322" t="s">
        <v>1696</v>
      </c>
      <c r="J2421" s="418"/>
      <c r="K2421" s="248"/>
      <c r="M2421" s="366"/>
      <c r="AF2421">
        <v>9</v>
      </c>
    </row>
    <row r="2422" spans="1:32" x14ac:dyDescent="0.25">
      <c r="A2422" s="308">
        <v>45484</v>
      </c>
      <c r="B2422" s="416">
        <v>1100759</v>
      </c>
      <c r="C2422" s="413" t="str">
        <f>IFERROR(INDEX(Table14[],MATCH($B2422,Table14[SAPNo],0),3),"")</f>
        <v>1913 CT421 0.018"</v>
      </c>
      <c r="D2422" s="306"/>
      <c r="E2422" s="421">
        <v>24</v>
      </c>
      <c r="F2422" s="421"/>
      <c r="G2422" s="417" t="s">
        <v>1960</v>
      </c>
      <c r="H2422" s="598">
        <v>14144642</v>
      </c>
      <c r="I2422" s="322" t="s">
        <v>1696</v>
      </c>
      <c r="J2422" s="418"/>
      <c r="K2422" s="248"/>
      <c r="M2422" s="366"/>
      <c r="AF2422">
        <v>24</v>
      </c>
    </row>
    <row r="2423" spans="1:32" x14ac:dyDescent="0.25">
      <c r="A2423" s="308">
        <v>45484</v>
      </c>
      <c r="B2423" s="416">
        <v>1100755</v>
      </c>
      <c r="C2423" s="413" t="str">
        <f>IFERROR(INDEX(Table14[],MATCH($B2423,Table14[SAPNo],0),3),"")</f>
        <v>Round 1613 CT421  0.018" (S)</v>
      </c>
      <c r="D2423" s="306"/>
      <c r="E2423" s="421">
        <v>69</v>
      </c>
      <c r="F2423" s="421"/>
      <c r="G2423" s="417" t="s">
        <v>1960</v>
      </c>
      <c r="H2423" s="598">
        <v>14144642</v>
      </c>
      <c r="I2423" s="322" t="s">
        <v>1696</v>
      </c>
      <c r="J2423" s="418"/>
      <c r="K2423" s="248"/>
      <c r="M2423" s="366"/>
      <c r="AF2423">
        <v>69</v>
      </c>
    </row>
    <row r="2424" spans="1:32" x14ac:dyDescent="0.25">
      <c r="A2424" s="308">
        <v>45484</v>
      </c>
      <c r="B2424" s="416">
        <v>871781</v>
      </c>
      <c r="C2424" s="413" t="str">
        <f>IFERROR(INDEX(Table14[],MATCH($B2424,Table14[SAPNo],0),3),"")</f>
        <v>Round 1313 CT200  0.018" (B)</v>
      </c>
      <c r="D2424" s="306"/>
      <c r="E2424" s="421">
        <v>8</v>
      </c>
      <c r="F2424" s="421"/>
      <c r="G2424" s="417" t="s">
        <v>1960</v>
      </c>
      <c r="H2424" s="598">
        <v>14144642</v>
      </c>
      <c r="I2424" s="322" t="s">
        <v>1696</v>
      </c>
      <c r="J2424" s="418"/>
      <c r="K2424" s="248"/>
      <c r="M2424" s="366"/>
      <c r="AF2424">
        <v>8</v>
      </c>
    </row>
    <row r="2425" spans="1:32" x14ac:dyDescent="0.25">
      <c r="A2425" s="308">
        <v>45484</v>
      </c>
      <c r="B2425" s="642">
        <v>1219562</v>
      </c>
      <c r="C2425" s="643" t="str">
        <f>IFERROR(INDEX(Table14[],MATCH($B2425,Table14[SAPNo],0),3),"")</f>
        <v>1613 CT147R U</v>
      </c>
      <c r="D2425" s="732"/>
      <c r="E2425" s="644">
        <v>41</v>
      </c>
      <c r="F2425" s="421"/>
      <c r="G2425" s="417" t="s">
        <v>1961</v>
      </c>
      <c r="H2425" s="598">
        <v>13999837</v>
      </c>
      <c r="I2425" s="322" t="s">
        <v>1824</v>
      </c>
      <c r="J2425" s="418"/>
      <c r="K2425" s="248"/>
      <c r="M2425" s="366"/>
      <c r="AF2425">
        <v>41</v>
      </c>
    </row>
    <row r="2426" spans="1:32" x14ac:dyDescent="0.25">
      <c r="A2426" s="308">
        <v>45484</v>
      </c>
      <c r="B2426" s="642">
        <v>1100741</v>
      </c>
      <c r="C2426" s="643" t="str">
        <f>IFERROR(INDEX(Table14[],MATCH($B2426,Table14[SAPNo],0),3),"")</f>
        <v>Round 1613 CT418  0.018" (S)</v>
      </c>
      <c r="D2426" s="732"/>
      <c r="E2426" s="644">
        <v>44</v>
      </c>
      <c r="F2426" s="421"/>
      <c r="G2426" s="417" t="s">
        <v>1961</v>
      </c>
      <c r="H2426" s="598">
        <v>13999837</v>
      </c>
      <c r="I2426" s="322" t="s">
        <v>1824</v>
      </c>
      <c r="J2426" s="418"/>
      <c r="K2426" s="248"/>
      <c r="M2426" s="366"/>
      <c r="AF2426">
        <v>44</v>
      </c>
    </row>
    <row r="2427" spans="1:32" x14ac:dyDescent="0.25">
      <c r="A2427" s="308">
        <v>45484</v>
      </c>
      <c r="B2427" s="642">
        <v>1100741</v>
      </c>
      <c r="C2427" s="643" t="s">
        <v>1962</v>
      </c>
      <c r="D2427" s="732"/>
      <c r="E2427" s="644">
        <v>4</v>
      </c>
      <c r="F2427" s="421"/>
      <c r="G2427" s="417" t="s">
        <v>1961</v>
      </c>
      <c r="H2427" s="598">
        <v>13999837</v>
      </c>
      <c r="I2427" s="322" t="s">
        <v>1824</v>
      </c>
      <c r="J2427" s="418"/>
      <c r="K2427" s="248"/>
      <c r="M2427" s="422"/>
      <c r="AF2427">
        <v>4</v>
      </c>
    </row>
    <row r="2428" spans="1:32" x14ac:dyDescent="0.25">
      <c r="A2428" s="308">
        <v>45484</v>
      </c>
      <c r="B2428" s="642">
        <v>1146742</v>
      </c>
      <c r="C2428" s="643" t="str">
        <f>IFERROR(INDEX(Table14[],MATCH($B2428,Table14[SAPNo],0),3),"")</f>
        <v>1913 CT418 U-60</v>
      </c>
      <c r="D2428" s="732"/>
      <c r="E2428" s="644">
        <v>20</v>
      </c>
      <c r="F2428" s="421"/>
      <c r="G2428" s="417" t="s">
        <v>1961</v>
      </c>
      <c r="H2428" s="598">
        <v>13999837</v>
      </c>
      <c r="I2428" s="322" t="s">
        <v>1824</v>
      </c>
      <c r="J2428" s="418"/>
      <c r="K2428" s="248"/>
      <c r="M2428" s="366"/>
      <c r="AF2428">
        <v>20</v>
      </c>
    </row>
    <row r="2429" spans="1:32" x14ac:dyDescent="0.25">
      <c r="A2429" s="308">
        <v>45484</v>
      </c>
      <c r="B2429" s="642">
        <v>418525</v>
      </c>
      <c r="C2429" s="643" t="str">
        <f>IFERROR(INDEX(Table14[],MATCH($B2429,Table14[SAPNo],0),3),"")</f>
        <v>Drop In 1308 CT31   (B)</v>
      </c>
      <c r="D2429" s="732"/>
      <c r="E2429" s="644">
        <v>7</v>
      </c>
      <c r="F2429" s="421"/>
      <c r="G2429" s="417" t="s">
        <v>1961</v>
      </c>
      <c r="H2429" s="598">
        <v>13999837</v>
      </c>
      <c r="I2429" s="322" t="s">
        <v>1824</v>
      </c>
      <c r="J2429" s="418"/>
      <c r="K2429" s="248"/>
      <c r="M2429" s="366"/>
      <c r="AF2429">
        <v>7</v>
      </c>
    </row>
    <row r="2430" spans="1:32" x14ac:dyDescent="0.25">
      <c r="A2430" s="308">
        <v>45484</v>
      </c>
      <c r="B2430" s="642">
        <v>179733</v>
      </c>
      <c r="C2430" s="643" t="str">
        <f>IFERROR(INDEX(Table14[],MATCH($B2430,Table14[SAPNo],0),3),"")</f>
        <v>Short IA 13    (C)</v>
      </c>
      <c r="D2430" s="732"/>
      <c r="E2430" s="644">
        <v>20</v>
      </c>
      <c r="F2430" s="421"/>
      <c r="G2430" s="417" t="s">
        <v>1961</v>
      </c>
      <c r="H2430" s="598">
        <v>13999837</v>
      </c>
      <c r="I2430" s="322" t="s">
        <v>1824</v>
      </c>
      <c r="J2430" s="418"/>
      <c r="K2430" s="248"/>
      <c r="M2430" s="366"/>
      <c r="AF2430">
        <v>20</v>
      </c>
    </row>
    <row r="2431" spans="1:32" x14ac:dyDescent="0.25">
      <c r="A2431" s="308">
        <v>45484</v>
      </c>
      <c r="B2431" s="416">
        <v>1261321</v>
      </c>
      <c r="C2431" s="413" t="str">
        <f>IFERROR(INDEX(Table14[],MATCH($B2431,Table14[SAPNo],0),3),"")</f>
        <v>1613 CT155 U-60</v>
      </c>
      <c r="D2431" s="306"/>
      <c r="E2431" s="421">
        <v>4</v>
      </c>
      <c r="F2431" s="421"/>
      <c r="G2431" s="417" t="s">
        <v>1963</v>
      </c>
      <c r="H2431" s="598">
        <v>14178452</v>
      </c>
      <c r="I2431" s="322" t="s">
        <v>1440</v>
      </c>
      <c r="J2431" s="418"/>
      <c r="K2431" s="248"/>
      <c r="M2431" s="366"/>
      <c r="AF2431">
        <v>4</v>
      </c>
    </row>
    <row r="2432" spans="1:32" x14ac:dyDescent="0.25">
      <c r="A2432" s="308">
        <v>45484</v>
      </c>
      <c r="B2432" s="416">
        <v>1228502</v>
      </c>
      <c r="C2432" s="413" t="str">
        <f>IFERROR(INDEX(Table14[],MATCH($B2432,Table14[SAPNo],0),3),"")</f>
        <v>1618 CT182 U-60 Rotor</v>
      </c>
      <c r="D2432" s="306"/>
      <c r="E2432" s="421">
        <v>10</v>
      </c>
      <c r="F2432" s="421"/>
      <c r="G2432" s="417" t="s">
        <v>1963</v>
      </c>
      <c r="H2432" s="598">
        <v>14178452</v>
      </c>
      <c r="I2432" s="322" t="s">
        <v>1440</v>
      </c>
      <c r="J2432" s="418"/>
      <c r="K2432" s="248"/>
      <c r="M2432" s="366"/>
      <c r="AF2432">
        <v>10</v>
      </c>
    </row>
    <row r="2433" spans="1:32" x14ac:dyDescent="0.25">
      <c r="A2433" s="308">
        <v>45484</v>
      </c>
      <c r="B2433" s="416">
        <v>1261319</v>
      </c>
      <c r="C2433" s="413" t="str">
        <f>IFERROR(INDEX(Table14[],MATCH($B2433,Table14[SAPNo],0),3),"")</f>
        <v>1308 CT155 U-60</v>
      </c>
      <c r="D2433" s="306"/>
      <c r="E2433" s="421">
        <v>24</v>
      </c>
      <c r="F2433" s="421"/>
      <c r="G2433" s="417" t="s">
        <v>1963</v>
      </c>
      <c r="H2433" s="598">
        <v>14178452</v>
      </c>
      <c r="I2433" s="322" t="s">
        <v>1440</v>
      </c>
      <c r="J2433" s="418"/>
      <c r="K2433" s="248"/>
      <c r="M2433" s="366"/>
      <c r="AF2433">
        <v>24</v>
      </c>
    </row>
    <row r="2434" spans="1:32" x14ac:dyDescent="0.25">
      <c r="A2434" s="308">
        <v>45484</v>
      </c>
      <c r="B2434" s="416">
        <v>1228501</v>
      </c>
      <c r="C2434" s="413" t="str">
        <f>IFERROR(INDEX(Table14[],MATCH($B2434,Table14[SAPNo],0),3),"")</f>
        <v>1618 CT182 U-60 stator</v>
      </c>
      <c r="D2434" s="306"/>
      <c r="E2434" s="421">
        <v>10</v>
      </c>
      <c r="F2434" s="421"/>
      <c r="G2434" s="417" t="s">
        <v>1963</v>
      </c>
      <c r="H2434" s="598">
        <v>14178452</v>
      </c>
      <c r="I2434" s="322" t="s">
        <v>1440</v>
      </c>
      <c r="J2434" s="418"/>
      <c r="K2434" s="248"/>
      <c r="M2434" s="366"/>
      <c r="AF2434">
        <v>10</v>
      </c>
    </row>
    <row r="2435" spans="1:32" x14ac:dyDescent="0.25">
      <c r="A2435" s="308">
        <v>45484</v>
      </c>
      <c r="B2435" s="416">
        <v>1228503</v>
      </c>
      <c r="C2435" s="413" t="str">
        <f>IFERROR(INDEX(Table14[],MATCH($B2435,Table14[SAPNo],0),3),"")</f>
        <v>1618 CT182 U-60 Ring</v>
      </c>
      <c r="D2435" s="306"/>
      <c r="E2435" s="421">
        <v>10</v>
      </c>
      <c r="F2435" s="421"/>
      <c r="G2435" s="417" t="s">
        <v>1963</v>
      </c>
      <c r="H2435" s="598">
        <v>14178452</v>
      </c>
      <c r="I2435" s="322" t="s">
        <v>1440</v>
      </c>
      <c r="J2435" s="418"/>
      <c r="K2435" s="248"/>
      <c r="M2435" s="366"/>
      <c r="AF2435">
        <v>10</v>
      </c>
    </row>
    <row r="2436" spans="1:32" x14ac:dyDescent="0.25">
      <c r="A2436" s="308">
        <v>45484</v>
      </c>
      <c r="B2436" s="419">
        <v>1220554</v>
      </c>
      <c r="C2436" s="413" t="str">
        <f>IFERROR(INDEX(Table14[],MATCH($B2436,Table14[SAPNo],0),3),"")</f>
        <v xml:space="preserve">1618 CT182 U-60 Carbide </v>
      </c>
      <c r="D2436" s="306"/>
      <c r="E2436" s="421">
        <v>10</v>
      </c>
      <c r="F2436" s="421"/>
      <c r="G2436" s="417" t="s">
        <v>1963</v>
      </c>
      <c r="H2436" s="598">
        <v>14178452</v>
      </c>
      <c r="I2436" s="322" t="s">
        <v>1440</v>
      </c>
      <c r="J2436" s="418"/>
      <c r="K2436" s="248"/>
      <c r="M2436" s="422"/>
      <c r="AF2436">
        <v>10</v>
      </c>
    </row>
    <row r="2437" spans="1:32" x14ac:dyDescent="0.25">
      <c r="A2437" s="308">
        <v>45484</v>
      </c>
      <c r="B2437" s="416">
        <v>871781</v>
      </c>
      <c r="C2437" s="413" t="str">
        <f>IFERROR(INDEX(Table14[],MATCH($B2437,Table14[SAPNo],0),3),"")</f>
        <v>Round 1313 CT200  0.018" (B)</v>
      </c>
      <c r="D2437" s="306"/>
      <c r="E2437" s="421">
        <v>6</v>
      </c>
      <c r="F2437" s="421"/>
      <c r="G2437" s="417" t="s">
        <v>1963</v>
      </c>
      <c r="H2437" s="598">
        <v>14178452</v>
      </c>
      <c r="I2437" s="322" t="s">
        <v>1440</v>
      </c>
      <c r="J2437" s="418"/>
      <c r="K2437" s="248"/>
      <c r="M2437" s="366"/>
      <c r="AF2437">
        <v>6</v>
      </c>
    </row>
    <row r="2438" spans="1:32" x14ac:dyDescent="0.25">
      <c r="A2438" s="320">
        <v>45484</v>
      </c>
      <c r="B2438" s="419">
        <v>1261320</v>
      </c>
      <c r="C2438" s="413" t="str">
        <f>IFERROR(INDEX(Table14[],MATCH($B2438,Table14[SAPNo],0),3),"")</f>
        <v>1313 CT155 U-60</v>
      </c>
      <c r="D2438" s="306"/>
      <c r="E2438" s="421">
        <v>6</v>
      </c>
      <c r="F2438" s="421"/>
      <c r="G2438" s="420" t="s">
        <v>1963</v>
      </c>
      <c r="H2438" s="599">
        <v>14178452</v>
      </c>
      <c r="I2438" s="322" t="s">
        <v>1440</v>
      </c>
      <c r="J2438" s="421"/>
      <c r="K2438" s="422"/>
      <c r="M2438" s="366"/>
      <c r="AF2438">
        <v>6</v>
      </c>
    </row>
    <row r="2439" spans="1:32" x14ac:dyDescent="0.25">
      <c r="A2439" s="308">
        <v>45487</v>
      </c>
      <c r="B2439" s="416">
        <v>871781</v>
      </c>
      <c r="C2439" s="413" t="str">
        <f>IFERROR(INDEX(Table14[],MATCH($B2439,Table14[SAPNo],0),3),"")</f>
        <v>Round 1313 CT200  0.018" (B)</v>
      </c>
      <c r="D2439" s="306"/>
      <c r="E2439" s="421">
        <v>8</v>
      </c>
      <c r="F2439" s="421"/>
      <c r="G2439" s="417" t="s">
        <v>1964</v>
      </c>
      <c r="H2439" s="598">
        <v>14144643</v>
      </c>
      <c r="I2439" s="322" t="s">
        <v>1696</v>
      </c>
      <c r="J2439" s="418"/>
      <c r="K2439" s="248"/>
      <c r="M2439" s="422"/>
      <c r="AF2439">
        <v>8</v>
      </c>
    </row>
    <row r="2440" spans="1:32" x14ac:dyDescent="0.25">
      <c r="A2440" s="308">
        <v>45487</v>
      </c>
      <c r="B2440" s="416">
        <v>1130197</v>
      </c>
      <c r="C2440" s="413" t="str">
        <f>IFERROR(INDEX(Table14[],MATCH($B2440,Table14[SAPNo],0),3),"")</f>
        <v>Round 1608 CT182  0.018" (S)</v>
      </c>
      <c r="D2440" s="306"/>
      <c r="E2440" s="421">
        <v>8</v>
      </c>
      <c r="F2440" s="421"/>
      <c r="G2440" s="417" t="s">
        <v>1964</v>
      </c>
      <c r="H2440" s="598">
        <v>14144643</v>
      </c>
      <c r="I2440" s="322" t="s">
        <v>1696</v>
      </c>
      <c r="J2440" s="418"/>
      <c r="K2440" s="248"/>
      <c r="M2440" s="366"/>
      <c r="AF2440">
        <v>8</v>
      </c>
    </row>
    <row r="2441" spans="1:32" x14ac:dyDescent="0.25">
      <c r="A2441" s="308">
        <v>45487</v>
      </c>
      <c r="B2441" s="416">
        <v>1100759</v>
      </c>
      <c r="C2441" s="413" t="str">
        <f>IFERROR(INDEX(Table14[],MATCH($B2441,Table14[SAPNo],0),3),"")</f>
        <v>1913 CT421 0.018"</v>
      </c>
      <c r="D2441" s="306"/>
      <c r="E2441" s="421">
        <v>24</v>
      </c>
      <c r="F2441" s="421"/>
      <c r="G2441" s="417" t="s">
        <v>1964</v>
      </c>
      <c r="H2441" s="598">
        <v>14144643</v>
      </c>
      <c r="I2441" s="322" t="s">
        <v>1696</v>
      </c>
      <c r="J2441" s="418"/>
      <c r="K2441" s="248"/>
      <c r="M2441" s="366"/>
      <c r="AF2441">
        <v>24</v>
      </c>
    </row>
    <row r="2442" spans="1:32" x14ac:dyDescent="0.25">
      <c r="A2442" s="308">
        <v>45487</v>
      </c>
      <c r="B2442" s="416">
        <v>1100755</v>
      </c>
      <c r="C2442" s="413" t="str">
        <f>IFERROR(INDEX(Table14[],MATCH($B2442,Table14[SAPNo],0),3),"")</f>
        <v>Round 1613 CT421  0.018" (S)</v>
      </c>
      <c r="D2442" s="306"/>
      <c r="E2442" s="421">
        <v>69</v>
      </c>
      <c r="F2442" s="421"/>
      <c r="G2442" s="417" t="s">
        <v>1964</v>
      </c>
      <c r="H2442" s="598">
        <v>14144643</v>
      </c>
      <c r="I2442" s="322" t="s">
        <v>1696</v>
      </c>
      <c r="J2442" s="418"/>
      <c r="K2442" s="248"/>
      <c r="M2442" s="366"/>
      <c r="AF2442">
        <v>69</v>
      </c>
    </row>
    <row r="2443" spans="1:32" x14ac:dyDescent="0.25">
      <c r="A2443" s="320">
        <v>45487</v>
      </c>
      <c r="B2443" s="419">
        <v>1100741</v>
      </c>
      <c r="C2443" s="413" t="str">
        <f>IFERROR(INDEX(Table14[],MATCH($B2443,Table14[SAPNo],0),3),"")</f>
        <v>Round 1613 CT418  0.018" (S)</v>
      </c>
      <c r="D2443" s="306"/>
      <c r="E2443" s="421">
        <v>9</v>
      </c>
      <c r="F2443" s="421"/>
      <c r="G2443" s="420" t="s">
        <v>1964</v>
      </c>
      <c r="H2443" s="599">
        <v>14144643</v>
      </c>
      <c r="I2443" s="322" t="s">
        <v>1696</v>
      </c>
      <c r="J2443" s="421"/>
      <c r="K2443" s="422"/>
      <c r="M2443" s="366"/>
      <c r="AF2443">
        <v>9</v>
      </c>
    </row>
    <row r="2444" spans="1:32" x14ac:dyDescent="0.25">
      <c r="A2444" s="320">
        <v>45487</v>
      </c>
      <c r="B2444" s="419">
        <v>717748</v>
      </c>
      <c r="C2444" s="413" t="str">
        <f>IFERROR(INDEX(Table14[],MATCH($B2444,Table14[SAPNo],0),3),"")</f>
        <v>Round 1010 CT200  0.018" (B)</v>
      </c>
      <c r="D2444" s="306"/>
      <c r="E2444" s="421"/>
      <c r="F2444" s="421"/>
      <c r="G2444" s="420">
        <v>20241106</v>
      </c>
      <c r="H2444" s="599" t="s">
        <v>1965</v>
      </c>
      <c r="I2444" s="322" t="s">
        <v>1268</v>
      </c>
      <c r="J2444" s="421">
        <v>10</v>
      </c>
      <c r="K2444" s="422"/>
      <c r="M2444" s="473" t="s">
        <v>1966</v>
      </c>
    </row>
    <row r="2445" spans="1:32" x14ac:dyDescent="0.25">
      <c r="A2445" s="308">
        <v>45489</v>
      </c>
      <c r="B2445" s="416">
        <v>717748</v>
      </c>
      <c r="C2445" s="413" t="str">
        <f>IFERROR(INDEX(Table14[],MATCH($B2445,Table14[SAPNo],0),3),"")</f>
        <v>Round 1010 CT200  0.018" (B)</v>
      </c>
      <c r="D2445" s="306"/>
      <c r="E2445" s="421"/>
      <c r="F2445" s="421"/>
      <c r="G2445" s="417">
        <v>20241114</v>
      </c>
      <c r="H2445" s="598" t="s">
        <v>1967</v>
      </c>
      <c r="I2445" s="322" t="s">
        <v>1268</v>
      </c>
      <c r="J2445" s="418">
        <v>6</v>
      </c>
      <c r="K2445" s="248"/>
      <c r="M2445" s="366"/>
    </row>
    <row r="2446" spans="1:32" x14ac:dyDescent="0.25">
      <c r="A2446" s="308">
        <v>45489</v>
      </c>
      <c r="B2446" s="416">
        <v>717748</v>
      </c>
      <c r="C2446" s="413" t="str">
        <f>IFERROR(INDEX(Table14[],MATCH($B2446,Table14[SAPNo],0),3),"")</f>
        <v>Round 1010 CT200  0.018" (B)</v>
      </c>
      <c r="D2446" s="306"/>
      <c r="E2446" s="421"/>
      <c r="F2446" s="421"/>
      <c r="G2446" s="417">
        <v>20241115</v>
      </c>
      <c r="H2446" s="598" t="s">
        <v>1968</v>
      </c>
      <c r="I2446" s="322" t="s">
        <v>1268</v>
      </c>
      <c r="J2446" s="418">
        <v>4</v>
      </c>
      <c r="K2446" s="248"/>
      <c r="M2446" s="366"/>
    </row>
    <row r="2447" spans="1:32" x14ac:dyDescent="0.25">
      <c r="A2447" s="308">
        <v>45489</v>
      </c>
      <c r="B2447" s="416">
        <v>1145493</v>
      </c>
      <c r="C2447" s="413" t="str">
        <f>IFERROR(INDEX(Table14[],MATCH($B2447,Table14[SAPNo],0),3),"")</f>
        <v>Round 1313 CT427  10C (S)</v>
      </c>
      <c r="D2447" s="306"/>
      <c r="E2447" s="421"/>
      <c r="F2447" s="421"/>
      <c r="G2447" s="417">
        <v>20241117</v>
      </c>
      <c r="H2447" s="598" t="s">
        <v>1969</v>
      </c>
      <c r="I2447" s="322" t="s">
        <v>1322</v>
      </c>
      <c r="J2447" s="418">
        <v>3</v>
      </c>
      <c r="K2447" s="248"/>
      <c r="M2447" s="366"/>
    </row>
    <row r="2448" spans="1:32" x14ac:dyDescent="0.25">
      <c r="A2448" s="308">
        <v>45490</v>
      </c>
      <c r="B2448" s="416">
        <v>1136984</v>
      </c>
      <c r="C2448" s="413" t="str">
        <f>IFERROR(INDEX(Table14[],MATCH($B2448,Table14[SAPNo],0),3),"")</f>
        <v>DBLMCHT 1313 CT182DM  10C (S)</v>
      </c>
      <c r="D2448" s="306"/>
      <c r="E2448" s="421">
        <v>1</v>
      </c>
      <c r="F2448" s="421"/>
      <c r="G2448" s="417" t="s">
        <v>1970</v>
      </c>
      <c r="H2448" s="598" t="s">
        <v>1971</v>
      </c>
      <c r="I2448" s="322" t="s">
        <v>1128</v>
      </c>
      <c r="J2448" s="418"/>
      <c r="K2448" s="248"/>
      <c r="M2448" s="366"/>
      <c r="AF2448">
        <v>1</v>
      </c>
    </row>
    <row r="2449" spans="1:32" x14ac:dyDescent="0.25">
      <c r="A2449" s="308">
        <v>45489</v>
      </c>
      <c r="B2449" s="416">
        <v>1136984</v>
      </c>
      <c r="C2449" s="413" t="str">
        <f>IFERROR(INDEX(Table14[],MATCH($B2449,Table14[SAPNo],0),3),"")</f>
        <v>DBLMCHT 1313 CT182DM  10C (S)</v>
      </c>
      <c r="D2449" s="306"/>
      <c r="E2449" s="421">
        <v>3</v>
      </c>
      <c r="F2449" s="421"/>
      <c r="G2449" s="417">
        <v>20241116</v>
      </c>
      <c r="H2449" s="598" t="s">
        <v>1971</v>
      </c>
      <c r="I2449" s="322" t="s">
        <v>1128</v>
      </c>
      <c r="J2449" s="418"/>
      <c r="K2449" s="248"/>
      <c r="M2449" s="366"/>
      <c r="AF2449">
        <v>3</v>
      </c>
    </row>
    <row r="2450" spans="1:32" x14ac:dyDescent="0.25">
      <c r="A2450" s="320">
        <v>45490</v>
      </c>
      <c r="B2450" s="419">
        <v>717748</v>
      </c>
      <c r="C2450" s="413" t="str">
        <f>IFERROR(INDEX(Table14[],MATCH($B2450,Table14[SAPNo],0),3),"")</f>
        <v>Round 1010 CT200  0.018" (B)</v>
      </c>
      <c r="D2450" s="306"/>
      <c r="E2450" s="421">
        <v>1</v>
      </c>
      <c r="F2450" s="421"/>
      <c r="G2450" s="420" t="s">
        <v>1972</v>
      </c>
      <c r="H2450" s="599" t="s">
        <v>1973</v>
      </c>
      <c r="I2450" s="322" t="s">
        <v>1069</v>
      </c>
      <c r="J2450" s="421"/>
      <c r="K2450" s="422"/>
      <c r="M2450" s="366"/>
      <c r="AF2450">
        <v>1</v>
      </c>
    </row>
    <row r="2451" spans="1:32" x14ac:dyDescent="0.25">
      <c r="A2451" s="308">
        <v>45494</v>
      </c>
      <c r="B2451" s="416">
        <v>647436</v>
      </c>
      <c r="C2451" s="413" t="str">
        <f>IFERROR(INDEX(Table14[],MATCH($B2451,Table14[SAPNo],0),3),"")</f>
        <v>Round 1613 CT200  0.018" (B)</v>
      </c>
      <c r="D2451" s="306"/>
      <c r="E2451" s="421">
        <v>64</v>
      </c>
      <c r="F2451" s="421"/>
      <c r="G2451" s="417" t="s">
        <v>1974</v>
      </c>
      <c r="H2451" s="598">
        <v>14145050</v>
      </c>
      <c r="I2451" s="322" t="s">
        <v>1255</v>
      </c>
      <c r="J2451" s="418"/>
      <c r="K2451" s="248"/>
      <c r="M2451" s="422"/>
      <c r="AF2451">
        <v>64</v>
      </c>
    </row>
    <row r="2452" spans="1:32" x14ac:dyDescent="0.25">
      <c r="A2452" s="308">
        <v>45494</v>
      </c>
      <c r="B2452" s="416">
        <v>647435</v>
      </c>
      <c r="C2452" s="413" t="str">
        <f>IFERROR(INDEX(Table14[],MATCH($B2452,Table14[SAPNo],0),3),"")</f>
        <v>Round 1608 CT200  0.018" (B)</v>
      </c>
      <c r="D2452" s="306"/>
      <c r="E2452" s="421">
        <v>16</v>
      </c>
      <c r="F2452" s="421"/>
      <c r="G2452" s="417" t="s">
        <v>1974</v>
      </c>
      <c r="H2452" s="598">
        <v>14145050</v>
      </c>
      <c r="I2452" s="322" t="s">
        <v>1255</v>
      </c>
      <c r="J2452" s="418"/>
      <c r="K2452" s="248"/>
      <c r="M2452" s="366"/>
      <c r="AF2452">
        <v>16</v>
      </c>
    </row>
    <row r="2453" spans="1:32" x14ac:dyDescent="0.25">
      <c r="A2453" s="308">
        <v>45494</v>
      </c>
      <c r="B2453" s="416">
        <v>418525</v>
      </c>
      <c r="C2453" s="413" t="str">
        <f>IFERROR(INDEX(Table14[],MATCH($B2453,Table14[SAPNo],0),3),"")</f>
        <v>Drop In 1308 CT31   (B)</v>
      </c>
      <c r="D2453" s="306"/>
      <c r="E2453" s="421">
        <v>8</v>
      </c>
      <c r="F2453" s="421"/>
      <c r="G2453" s="417" t="s">
        <v>1974</v>
      </c>
      <c r="H2453" s="598">
        <v>14145050</v>
      </c>
      <c r="I2453" s="322" t="s">
        <v>1255</v>
      </c>
      <c r="J2453" s="418"/>
      <c r="K2453" s="248"/>
      <c r="M2453" s="366"/>
      <c r="AF2453">
        <v>8</v>
      </c>
    </row>
    <row r="2454" spans="1:32" x14ac:dyDescent="0.25">
      <c r="A2454" s="308">
        <v>45494</v>
      </c>
      <c r="B2454" s="416">
        <v>1271790</v>
      </c>
      <c r="C2454" s="413" t="str">
        <f>IFERROR(INDEX(Table14[],MATCH($B2454,Table14[SAPNo],0),3),"")</f>
        <v xml:space="preserve">1613 CT170 18-60 </v>
      </c>
      <c r="D2454" s="306"/>
      <c r="E2454" s="421">
        <v>53</v>
      </c>
      <c r="F2454" s="421"/>
      <c r="G2454" s="417" t="s">
        <v>1974</v>
      </c>
      <c r="H2454" s="598">
        <v>14145050</v>
      </c>
      <c r="I2454" s="322" t="s">
        <v>1255</v>
      </c>
      <c r="J2454" s="418"/>
      <c r="K2454" s="248"/>
      <c r="M2454" s="366"/>
      <c r="AF2454">
        <v>53</v>
      </c>
    </row>
    <row r="2455" spans="1:32" x14ac:dyDescent="0.25">
      <c r="A2455" s="308">
        <v>45494</v>
      </c>
      <c r="B2455" s="416">
        <v>1146737</v>
      </c>
      <c r="C2455" s="413" t="str">
        <f>IFERROR(INDEX(Table14[],MATCH($B2455,Table14[SAPNo],0),3),"")</f>
        <v>1613 CT418 18-60</v>
      </c>
      <c r="D2455" s="306"/>
      <c r="E2455" s="421">
        <v>39</v>
      </c>
      <c r="F2455" s="421"/>
      <c r="G2455" s="417" t="s">
        <v>1974</v>
      </c>
      <c r="H2455" s="598">
        <v>14145050</v>
      </c>
      <c r="I2455" s="322" t="s">
        <v>1255</v>
      </c>
      <c r="J2455" s="418"/>
      <c r="K2455" s="248"/>
      <c r="M2455" s="366"/>
      <c r="AF2455">
        <v>39</v>
      </c>
    </row>
    <row r="2456" spans="1:32" x14ac:dyDescent="0.25">
      <c r="A2456" s="308">
        <v>45494</v>
      </c>
      <c r="B2456" s="416">
        <v>871781</v>
      </c>
      <c r="C2456" s="413" t="str">
        <f>IFERROR(INDEX(Table14[],MATCH($B2456,Table14[SAPNo],0),3),"")</f>
        <v>Round 1313 CT200  0.018" (B)</v>
      </c>
      <c r="D2456" s="306"/>
      <c r="E2456" s="421">
        <v>8</v>
      </c>
      <c r="F2456" s="421"/>
      <c r="G2456" s="417" t="s">
        <v>1975</v>
      </c>
      <c r="H2456" s="598">
        <v>14119213</v>
      </c>
      <c r="I2456" s="322" t="s">
        <v>1976</v>
      </c>
      <c r="J2456" s="418"/>
      <c r="K2456" s="248"/>
      <c r="M2456" s="366"/>
      <c r="AF2456">
        <v>8</v>
      </c>
    </row>
    <row r="2457" spans="1:32" x14ac:dyDescent="0.25">
      <c r="A2457" s="308">
        <v>45494</v>
      </c>
      <c r="B2457" s="416">
        <v>708306</v>
      </c>
      <c r="C2457" s="413" t="str">
        <f>IFERROR(INDEX(Table14[],MATCH($B2457,Table14[SAPNo],0),3),"")</f>
        <v>Round 1913 CT200  0.018" (B)</v>
      </c>
      <c r="D2457" s="306"/>
      <c r="E2457" s="421">
        <v>34</v>
      </c>
      <c r="F2457" s="421"/>
      <c r="G2457" s="417" t="s">
        <v>1975</v>
      </c>
      <c r="H2457" s="598">
        <v>14119213</v>
      </c>
      <c r="I2457" s="322" t="s">
        <v>1976</v>
      </c>
      <c r="J2457" s="418"/>
      <c r="K2457" s="248"/>
      <c r="M2457" s="366"/>
      <c r="AF2457">
        <v>34</v>
      </c>
    </row>
    <row r="2458" spans="1:32" x14ac:dyDescent="0.25">
      <c r="A2458" s="308">
        <v>45494</v>
      </c>
      <c r="B2458" s="416">
        <v>1250971</v>
      </c>
      <c r="C2458" s="413" t="str">
        <f>IFERROR(INDEX(Table14[],MATCH($B2458,Table14[SAPNo],0),3),"")</f>
        <v>1913 CT164R U</v>
      </c>
      <c r="D2458" s="306"/>
      <c r="E2458" s="421">
        <v>30</v>
      </c>
      <c r="F2458" s="421"/>
      <c r="G2458" s="417" t="s">
        <v>1975</v>
      </c>
      <c r="H2458" s="598">
        <v>14119213</v>
      </c>
      <c r="I2458" s="322" t="s">
        <v>1976</v>
      </c>
      <c r="J2458" s="418"/>
      <c r="K2458" s="248"/>
      <c r="M2458" s="366"/>
      <c r="AF2458">
        <v>30</v>
      </c>
    </row>
    <row r="2459" spans="1:32" x14ac:dyDescent="0.25">
      <c r="A2459" s="308">
        <v>45494</v>
      </c>
      <c r="B2459" s="416">
        <v>1146737</v>
      </c>
      <c r="C2459" s="413" t="str">
        <f>IFERROR(INDEX(Table14[],MATCH($B2459,Table14[SAPNo],0),3),"")</f>
        <v>1613 CT418 18-60</v>
      </c>
      <c r="D2459" s="306"/>
      <c r="E2459" s="421">
        <v>9</v>
      </c>
      <c r="F2459" s="421"/>
      <c r="G2459" s="417" t="s">
        <v>1975</v>
      </c>
      <c r="H2459" s="598">
        <v>14119213</v>
      </c>
      <c r="I2459" s="322" t="s">
        <v>1976</v>
      </c>
      <c r="J2459" s="418"/>
      <c r="K2459" s="248"/>
      <c r="M2459" s="366"/>
      <c r="AF2459">
        <v>9</v>
      </c>
    </row>
    <row r="2460" spans="1:32" x14ac:dyDescent="0.25">
      <c r="A2460" s="320">
        <v>45494</v>
      </c>
      <c r="B2460" s="419">
        <v>1100759</v>
      </c>
      <c r="C2460" s="413" t="str">
        <f>IFERROR(INDEX(Table14[],MATCH($B2460,Table14[SAPNo],0),3),"")</f>
        <v>1913 CT421 0.018"</v>
      </c>
      <c r="D2460" s="306"/>
      <c r="E2460" s="421">
        <v>18</v>
      </c>
      <c r="F2460" s="421"/>
      <c r="G2460" s="420" t="s">
        <v>1975</v>
      </c>
      <c r="H2460" s="599">
        <v>14119213</v>
      </c>
      <c r="I2460" s="322" t="s">
        <v>1976</v>
      </c>
      <c r="J2460" s="421"/>
      <c r="K2460" s="422"/>
      <c r="M2460" s="366"/>
      <c r="AF2460">
        <v>18</v>
      </c>
    </row>
    <row r="2461" spans="1:32" x14ac:dyDescent="0.25">
      <c r="A2461" s="308">
        <v>45495</v>
      </c>
      <c r="B2461" s="416">
        <v>1146737</v>
      </c>
      <c r="C2461" s="413" t="str">
        <f>IFERROR(INDEX(Table14[],MATCH($B2461,Table14[SAPNo],0),3),"")</f>
        <v>1613 CT418 18-60</v>
      </c>
      <c r="D2461" s="306"/>
      <c r="E2461" s="421">
        <v>6</v>
      </c>
      <c r="F2461" s="421"/>
      <c r="G2461" s="417" t="s">
        <v>1977</v>
      </c>
      <c r="H2461" s="598">
        <v>14204331</v>
      </c>
      <c r="I2461" s="322" t="s">
        <v>1978</v>
      </c>
      <c r="J2461" s="418"/>
      <c r="K2461" s="248"/>
      <c r="M2461" s="422"/>
      <c r="AF2461">
        <v>6</v>
      </c>
    </row>
    <row r="2462" spans="1:32" x14ac:dyDescent="0.25">
      <c r="A2462" s="308">
        <v>45495</v>
      </c>
      <c r="B2462" s="416">
        <v>1208601</v>
      </c>
      <c r="C2462" s="413" t="str">
        <f>IFERROR(INDEX(Table14[],MATCH($B2462,Table14[SAPNo],0),3),"")</f>
        <v>1613 CT418 U-60</v>
      </c>
      <c r="D2462" s="306"/>
      <c r="E2462" s="421">
        <v>8</v>
      </c>
      <c r="F2462" s="421"/>
      <c r="G2462" s="417" t="s">
        <v>1977</v>
      </c>
      <c r="H2462" s="598">
        <v>14204331</v>
      </c>
      <c r="I2462" s="322" t="s">
        <v>1978</v>
      </c>
      <c r="J2462" s="418"/>
      <c r="K2462" s="248"/>
      <c r="M2462" s="366"/>
      <c r="AF2462">
        <v>8</v>
      </c>
    </row>
    <row r="2463" spans="1:32" x14ac:dyDescent="0.25">
      <c r="A2463" s="308">
        <v>45495</v>
      </c>
      <c r="B2463" s="416">
        <v>1078377</v>
      </c>
      <c r="C2463" s="413" t="str">
        <f>IFERROR(INDEX(Table14[],MATCH($B2463,Table14[SAPNo],0),3),"")</f>
        <v>13MM CT221 R1</v>
      </c>
      <c r="D2463" s="306"/>
      <c r="E2463" s="421">
        <v>15</v>
      </c>
      <c r="F2463" s="421"/>
      <c r="G2463" s="417" t="s">
        <v>1977</v>
      </c>
      <c r="H2463" s="598">
        <v>14204331</v>
      </c>
      <c r="I2463" s="322" t="s">
        <v>1978</v>
      </c>
      <c r="J2463" s="418"/>
      <c r="K2463" s="248"/>
      <c r="M2463" s="366"/>
      <c r="AF2463">
        <v>15</v>
      </c>
    </row>
    <row r="2464" spans="1:32" x14ac:dyDescent="0.25">
      <c r="A2464" s="308">
        <v>45495</v>
      </c>
      <c r="B2464" s="416">
        <v>1271790</v>
      </c>
      <c r="C2464" s="413" t="str">
        <f>IFERROR(INDEX(Table14[],MATCH($B2464,Table14[SAPNo],0),3),"")</f>
        <v xml:space="preserve">1613 CT170 18-60 </v>
      </c>
      <c r="D2464" s="306"/>
      <c r="E2464" s="421">
        <v>17</v>
      </c>
      <c r="F2464" s="421"/>
      <c r="G2464" s="417" t="s">
        <v>1977</v>
      </c>
      <c r="H2464" s="598">
        <v>14204331</v>
      </c>
      <c r="I2464" s="322" t="s">
        <v>1978</v>
      </c>
      <c r="J2464" s="418"/>
      <c r="K2464" s="248"/>
      <c r="M2464" s="366"/>
      <c r="AF2464">
        <v>17</v>
      </c>
    </row>
    <row r="2465" spans="1:32" x14ac:dyDescent="0.25">
      <c r="A2465" s="308">
        <v>45495</v>
      </c>
      <c r="B2465" s="416">
        <v>418525</v>
      </c>
      <c r="C2465" s="413" t="str">
        <f>IFERROR(INDEX(Table14[],MATCH($B2465,Table14[SAPNo],0),3),"")</f>
        <v>Drop In 1308 CT31   (B)</v>
      </c>
      <c r="D2465" s="306"/>
      <c r="E2465" s="421">
        <v>6</v>
      </c>
      <c r="F2465" s="421"/>
      <c r="G2465" s="417" t="s">
        <v>1977</v>
      </c>
      <c r="H2465" s="598">
        <v>14204331</v>
      </c>
      <c r="I2465" s="322" t="s">
        <v>1978</v>
      </c>
      <c r="J2465" s="418"/>
      <c r="K2465" s="248"/>
      <c r="M2465" s="366"/>
      <c r="AF2465">
        <v>6</v>
      </c>
    </row>
    <row r="2466" spans="1:32" x14ac:dyDescent="0.25">
      <c r="A2466" s="308">
        <v>45495</v>
      </c>
      <c r="B2466" s="416">
        <v>1244957</v>
      </c>
      <c r="C2466" s="413" t="str">
        <f>IFERROR(INDEX(Table14[],MATCH($B2466,Table14[SAPNo],0),3),"")</f>
        <v>1613 CT418 DER</v>
      </c>
      <c r="D2466" s="306"/>
      <c r="E2466" s="421">
        <v>6</v>
      </c>
      <c r="F2466" s="421"/>
      <c r="G2466" s="417" t="s">
        <v>1979</v>
      </c>
      <c r="H2466" s="598">
        <v>14109694</v>
      </c>
      <c r="I2466" s="322" t="s">
        <v>1980</v>
      </c>
      <c r="J2466" s="418"/>
      <c r="K2466" s="248"/>
      <c r="M2466" s="366"/>
      <c r="AF2466">
        <v>6</v>
      </c>
    </row>
    <row r="2467" spans="1:32" x14ac:dyDescent="0.25">
      <c r="A2467" s="308">
        <v>45495</v>
      </c>
      <c r="B2467" s="416">
        <v>1146737</v>
      </c>
      <c r="C2467" s="413" t="str">
        <f>IFERROR(INDEX(Table14[],MATCH($B2467,Table14[SAPNo],0),3),"")</f>
        <v>1613 CT418 18-60</v>
      </c>
      <c r="D2467" s="306"/>
      <c r="E2467" s="421">
        <v>9</v>
      </c>
      <c r="F2467" s="421"/>
      <c r="G2467" s="417" t="s">
        <v>1979</v>
      </c>
      <c r="H2467" s="598">
        <v>14109694</v>
      </c>
      <c r="I2467" s="322" t="s">
        <v>1980</v>
      </c>
      <c r="J2467" s="418"/>
      <c r="K2467" s="248"/>
      <c r="M2467" s="366"/>
      <c r="AF2467">
        <v>9</v>
      </c>
    </row>
    <row r="2468" spans="1:32" x14ac:dyDescent="0.25">
      <c r="A2468" s="308">
        <v>45495</v>
      </c>
      <c r="B2468" s="416">
        <v>871781</v>
      </c>
      <c r="C2468" s="413" t="str">
        <f>IFERROR(INDEX(Table14[],MATCH($B2468,Table14[SAPNo],0),3),"")</f>
        <v>Round 1313 CT200  0.018" (B)</v>
      </c>
      <c r="D2468" s="306"/>
      <c r="E2468" s="421">
        <v>6</v>
      </c>
      <c r="F2468" s="421"/>
      <c r="G2468" s="417" t="s">
        <v>1979</v>
      </c>
      <c r="H2468" s="598">
        <v>14109694</v>
      </c>
      <c r="I2468" s="322" t="s">
        <v>1980</v>
      </c>
      <c r="J2468" s="418"/>
      <c r="K2468" s="248"/>
      <c r="M2468" s="366"/>
      <c r="AF2468">
        <v>6</v>
      </c>
    </row>
    <row r="2469" spans="1:32" x14ac:dyDescent="0.25">
      <c r="A2469" s="308">
        <v>45495</v>
      </c>
      <c r="B2469" s="416">
        <v>1271790</v>
      </c>
      <c r="C2469" s="413" t="str">
        <f>IFERROR(INDEX(Table14[],MATCH($B2469,Table14[SAPNo],0),3),"")</f>
        <v xml:space="preserve">1613 CT170 18-60 </v>
      </c>
      <c r="D2469" s="306"/>
      <c r="E2469" s="421">
        <v>12</v>
      </c>
      <c r="F2469" s="421"/>
      <c r="G2469" s="417" t="s">
        <v>1979</v>
      </c>
      <c r="H2469" s="598">
        <v>14109694</v>
      </c>
      <c r="I2469" s="322" t="s">
        <v>1980</v>
      </c>
      <c r="J2469" s="418"/>
      <c r="K2469" s="248"/>
      <c r="M2469" s="366"/>
      <c r="AF2469">
        <v>12</v>
      </c>
    </row>
    <row r="2470" spans="1:32" x14ac:dyDescent="0.25">
      <c r="A2470" s="308">
        <v>45495</v>
      </c>
      <c r="B2470" s="416">
        <v>410851</v>
      </c>
      <c r="C2470" s="413" t="str">
        <f>IFERROR(INDEX(Table14[],MATCH($B2470,Table14[SAPNo],0),3),"")</f>
        <v>PDC Dome 1308 CT31   (B)</v>
      </c>
      <c r="D2470" s="306"/>
      <c r="E2470" s="421">
        <v>12</v>
      </c>
      <c r="F2470" s="421"/>
      <c r="G2470" s="417" t="s">
        <v>1979</v>
      </c>
      <c r="H2470" s="598">
        <v>14109694</v>
      </c>
      <c r="I2470" s="322" t="s">
        <v>1980</v>
      </c>
      <c r="J2470" s="418"/>
      <c r="K2470" s="248"/>
      <c r="M2470" s="366"/>
      <c r="AF2470">
        <v>12</v>
      </c>
    </row>
    <row r="2471" spans="1:32" x14ac:dyDescent="0.25">
      <c r="A2471" s="308">
        <v>45495</v>
      </c>
      <c r="B2471" s="416">
        <v>653400</v>
      </c>
      <c r="C2471" s="413" t="str">
        <f>IFERROR(INDEX(Table14[],MATCH($B2471,Table14[SAPNo],0),3),"")</f>
        <v>13MM WC­MAT404 NA</v>
      </c>
      <c r="D2471" s="306"/>
      <c r="E2471" s="421">
        <v>12</v>
      </c>
      <c r="F2471" s="421"/>
      <c r="G2471" s="417" t="s">
        <v>1979</v>
      </c>
      <c r="H2471" s="598">
        <v>14109694</v>
      </c>
      <c r="I2471" s="322" t="s">
        <v>1980</v>
      </c>
      <c r="J2471" s="418"/>
      <c r="K2471" s="248"/>
      <c r="M2471" s="366"/>
      <c r="AF2471">
        <v>12</v>
      </c>
    </row>
    <row r="2472" spans="1:32" x14ac:dyDescent="0.25">
      <c r="A2472" s="308">
        <v>45495</v>
      </c>
      <c r="B2472" s="416">
        <v>1261615</v>
      </c>
      <c r="C2472" s="413" t="str">
        <f>IFERROR(INDEX(Table14[],MATCH($B2472,Table14[SAPNo],0),3),"")</f>
        <v>1613 CT172R U</v>
      </c>
      <c r="D2472" s="306"/>
      <c r="E2472" s="421">
        <v>24</v>
      </c>
      <c r="F2472" s="421"/>
      <c r="G2472" s="417" t="s">
        <v>1979</v>
      </c>
      <c r="H2472" s="598">
        <v>14109694</v>
      </c>
      <c r="I2472" s="322" t="s">
        <v>1980</v>
      </c>
      <c r="J2472" s="418"/>
      <c r="K2472" s="248"/>
      <c r="M2472" s="366"/>
      <c r="AF2472">
        <v>24</v>
      </c>
    </row>
    <row r="2473" spans="1:32" x14ac:dyDescent="0.25">
      <c r="A2473" s="308">
        <v>45496</v>
      </c>
      <c r="B2473" s="416">
        <v>871781</v>
      </c>
      <c r="C2473" s="413" t="str">
        <f>IFERROR(INDEX(Table14[],MATCH($B2473,Table14[SAPNo],0),3),"")</f>
        <v>Round 1313 CT200  0.018" (B)</v>
      </c>
      <c r="D2473" s="306"/>
      <c r="E2473" s="421">
        <v>8</v>
      </c>
      <c r="F2473" s="421"/>
      <c r="G2473" s="417" t="s">
        <v>1981</v>
      </c>
      <c r="H2473" s="598">
        <v>14210782</v>
      </c>
      <c r="I2473" s="322" t="s">
        <v>1982</v>
      </c>
      <c r="J2473" s="418"/>
      <c r="K2473" s="248"/>
      <c r="M2473" s="366"/>
      <c r="AF2473">
        <v>8</v>
      </c>
    </row>
    <row r="2474" spans="1:32" x14ac:dyDescent="0.25">
      <c r="A2474" s="308">
        <v>45496</v>
      </c>
      <c r="B2474" s="416">
        <v>708306</v>
      </c>
      <c r="C2474" s="413" t="str">
        <f>IFERROR(INDEX(Table14[],MATCH($B2474,Table14[SAPNo],0),3),"")</f>
        <v>Round 1913 CT200  0.018" (B)</v>
      </c>
      <c r="D2474" s="306"/>
      <c r="E2474" s="421">
        <v>34</v>
      </c>
      <c r="F2474" s="421"/>
      <c r="G2474" s="417" t="s">
        <v>1981</v>
      </c>
      <c r="H2474" s="598">
        <v>14210782</v>
      </c>
      <c r="I2474" s="322" t="s">
        <v>1982</v>
      </c>
      <c r="J2474" s="418"/>
      <c r="K2474" s="248"/>
      <c r="M2474" s="366"/>
      <c r="AF2474">
        <v>34</v>
      </c>
    </row>
    <row r="2475" spans="1:32" x14ac:dyDescent="0.25">
      <c r="A2475" s="308">
        <v>45496</v>
      </c>
      <c r="B2475" s="416">
        <v>1100755</v>
      </c>
      <c r="C2475" s="413" t="str">
        <f>IFERROR(INDEX(Table14[],MATCH($B2475,Table14[SAPNo],0),3),"")</f>
        <v>Round 1613 CT421  0.018" (S)</v>
      </c>
      <c r="D2475" s="306"/>
      <c r="E2475" s="421">
        <v>9</v>
      </c>
      <c r="F2475" s="421"/>
      <c r="G2475" s="417" t="s">
        <v>1981</v>
      </c>
      <c r="H2475" s="598">
        <v>14210782</v>
      </c>
      <c r="I2475" s="322" t="s">
        <v>1982</v>
      </c>
      <c r="J2475" s="418"/>
      <c r="K2475" s="248"/>
      <c r="M2475" s="366"/>
      <c r="AF2475">
        <v>9</v>
      </c>
    </row>
    <row r="2476" spans="1:32" x14ac:dyDescent="0.25">
      <c r="A2476" s="308">
        <v>45496</v>
      </c>
      <c r="B2476" s="416">
        <v>1100759</v>
      </c>
      <c r="C2476" s="413" t="str">
        <f>IFERROR(INDEX(Table14[],MATCH($B2476,Table14[SAPNo],0),3),"")</f>
        <v>1913 CT421 0.018"</v>
      </c>
      <c r="D2476" s="306"/>
      <c r="E2476" s="421">
        <v>48</v>
      </c>
      <c r="F2476" s="421"/>
      <c r="G2476" s="417" t="s">
        <v>1981</v>
      </c>
      <c r="H2476" s="598">
        <v>14210782</v>
      </c>
      <c r="I2476" s="322" t="s">
        <v>1982</v>
      </c>
      <c r="J2476" s="418"/>
      <c r="K2476" s="248"/>
      <c r="M2476" s="366"/>
      <c r="AF2476">
        <v>48</v>
      </c>
    </row>
    <row r="2477" spans="1:32" x14ac:dyDescent="0.25">
      <c r="A2477" s="308">
        <v>45496</v>
      </c>
      <c r="B2477" s="416">
        <v>1250971</v>
      </c>
      <c r="C2477" s="413" t="str">
        <f>IFERROR(INDEX(Table14[],MATCH($B2477,Table14[SAPNo],0),3),"")</f>
        <v>1913 CT164R U</v>
      </c>
      <c r="D2477" s="306"/>
      <c r="E2477" s="421">
        <v>30</v>
      </c>
      <c r="F2477" s="421"/>
      <c r="G2477" s="417" t="s">
        <v>1983</v>
      </c>
      <c r="H2477" s="598">
        <v>14127570</v>
      </c>
      <c r="I2477" s="322" t="s">
        <v>1976</v>
      </c>
      <c r="J2477" s="418"/>
      <c r="K2477" s="248"/>
      <c r="M2477" s="366"/>
      <c r="AF2477">
        <v>30</v>
      </c>
    </row>
    <row r="2478" spans="1:32" x14ac:dyDescent="0.25">
      <c r="A2478" s="308">
        <v>45496</v>
      </c>
      <c r="B2478" s="416">
        <v>871781</v>
      </c>
      <c r="C2478" s="413" t="str">
        <f>IFERROR(INDEX(Table14[],MATCH($B2478,Table14[SAPNo],0),3),"")</f>
        <v>Round 1313 CT200  0.018" (B)</v>
      </c>
      <c r="D2478" s="306"/>
      <c r="E2478" s="421">
        <v>8</v>
      </c>
      <c r="F2478" s="421"/>
      <c r="G2478" s="417" t="s">
        <v>1983</v>
      </c>
      <c r="H2478" s="598">
        <v>14127570</v>
      </c>
      <c r="I2478" s="322" t="s">
        <v>1976</v>
      </c>
      <c r="J2478" s="418"/>
      <c r="K2478" s="248"/>
      <c r="M2478" s="366"/>
      <c r="AF2478">
        <v>8</v>
      </c>
    </row>
    <row r="2479" spans="1:32" x14ac:dyDescent="0.25">
      <c r="A2479" s="308">
        <v>45496</v>
      </c>
      <c r="B2479" s="416">
        <v>708306</v>
      </c>
      <c r="C2479" s="413" t="str">
        <f>IFERROR(INDEX(Table14[],MATCH($B2479,Table14[SAPNo],0),3),"")</f>
        <v>Round 1913 CT200  0.018" (B)</v>
      </c>
      <c r="D2479" s="306"/>
      <c r="E2479" s="421">
        <v>34</v>
      </c>
      <c r="F2479" s="421"/>
      <c r="G2479" s="417" t="s">
        <v>1983</v>
      </c>
      <c r="H2479" s="598">
        <v>14127570</v>
      </c>
      <c r="I2479" s="322" t="s">
        <v>1976</v>
      </c>
      <c r="J2479" s="418"/>
      <c r="K2479" s="248"/>
      <c r="M2479" s="366"/>
      <c r="AF2479">
        <v>34</v>
      </c>
    </row>
    <row r="2480" spans="1:32" x14ac:dyDescent="0.25">
      <c r="A2480" s="308">
        <v>45496</v>
      </c>
      <c r="B2480" s="416">
        <v>1100759</v>
      </c>
      <c r="C2480" s="413" t="str">
        <f>IFERROR(INDEX(Table14[],MATCH($B2480,Table14[SAPNo],0),3),"")</f>
        <v>1913 CT421 0.018"</v>
      </c>
      <c r="D2480" s="306"/>
      <c r="E2480" s="421">
        <v>18</v>
      </c>
      <c r="F2480" s="421"/>
      <c r="G2480" s="417" t="s">
        <v>1983</v>
      </c>
      <c r="H2480" s="598">
        <v>14127570</v>
      </c>
      <c r="I2480" s="322" t="s">
        <v>1976</v>
      </c>
      <c r="J2480" s="418"/>
      <c r="K2480" s="248"/>
      <c r="M2480" s="366"/>
      <c r="AF2480">
        <v>18</v>
      </c>
    </row>
    <row r="2481" spans="1:32" x14ac:dyDescent="0.25">
      <c r="A2481" s="320">
        <v>45496</v>
      </c>
      <c r="B2481" s="419">
        <v>1146737</v>
      </c>
      <c r="C2481" s="413" t="str">
        <f>IFERROR(INDEX(Table14[],MATCH($B2481,Table14[SAPNo],0),3),"")</f>
        <v>1613 CT418 18-60</v>
      </c>
      <c r="D2481" s="306"/>
      <c r="E2481" s="421">
        <v>9</v>
      </c>
      <c r="F2481" s="421"/>
      <c r="G2481" s="420" t="s">
        <v>1983</v>
      </c>
      <c r="H2481" s="599">
        <v>14127570</v>
      </c>
      <c r="I2481" s="322" t="s">
        <v>1976</v>
      </c>
      <c r="J2481" s="421"/>
      <c r="K2481" s="422"/>
      <c r="M2481" s="366"/>
      <c r="AF2481">
        <v>9</v>
      </c>
    </row>
    <row r="2482" spans="1:32" x14ac:dyDescent="0.25">
      <c r="A2482" s="308">
        <v>45497</v>
      </c>
      <c r="B2482" s="416">
        <v>179733</v>
      </c>
      <c r="C2482" s="413" t="str">
        <f>IFERROR(INDEX(Table14[],MATCH($B2482,Table14[SAPNo],0),3),"")</f>
        <v>Short IA 13    (C)</v>
      </c>
      <c r="D2482" s="306"/>
      <c r="E2482" s="421">
        <v>23</v>
      </c>
      <c r="F2482" s="421"/>
      <c r="G2482" s="417" t="s">
        <v>1984</v>
      </c>
      <c r="H2482" s="598">
        <v>14119204</v>
      </c>
      <c r="I2482" s="322" t="s">
        <v>1985</v>
      </c>
      <c r="J2482" s="418"/>
      <c r="K2482" s="248"/>
      <c r="M2482" s="422"/>
      <c r="AF2482">
        <v>23</v>
      </c>
    </row>
    <row r="2483" spans="1:32" x14ac:dyDescent="0.25">
      <c r="A2483" s="308">
        <v>45497</v>
      </c>
      <c r="B2483" s="416">
        <v>717751</v>
      </c>
      <c r="C2483" s="413" t="str">
        <f>IFERROR(INDEX(Table14[],MATCH($B2483,Table14[SAPNo],0),3),"")</f>
        <v>Round 1308 CT200  0.018" (B)</v>
      </c>
      <c r="D2483" s="306"/>
      <c r="E2483" s="421">
        <v>39</v>
      </c>
      <c r="F2483" s="421"/>
      <c r="G2483" s="417" t="s">
        <v>1984</v>
      </c>
      <c r="H2483" s="598">
        <v>14119204</v>
      </c>
      <c r="I2483" s="322" t="s">
        <v>1985</v>
      </c>
      <c r="J2483" s="418"/>
      <c r="K2483" s="248"/>
      <c r="M2483" s="366"/>
      <c r="AF2483">
        <v>39</v>
      </c>
    </row>
    <row r="2484" spans="1:32" x14ac:dyDescent="0.25">
      <c r="A2484" s="308">
        <v>45497</v>
      </c>
      <c r="B2484" s="416">
        <v>1100741</v>
      </c>
      <c r="C2484" s="413" t="str">
        <f>IFERROR(INDEX(Table14[],MATCH($B2484,Table14[SAPNo],0),3),"")</f>
        <v>Round 1613 CT418  0.018" (S)</v>
      </c>
      <c r="D2484" s="306"/>
      <c r="E2484" s="421">
        <v>1</v>
      </c>
      <c r="F2484" s="421"/>
      <c r="G2484" s="417" t="s">
        <v>1984</v>
      </c>
      <c r="H2484" s="598">
        <v>14119204</v>
      </c>
      <c r="I2484" s="322" t="s">
        <v>1985</v>
      </c>
      <c r="J2484" s="418"/>
      <c r="K2484" s="248"/>
      <c r="M2484" s="366"/>
      <c r="AF2484">
        <v>1</v>
      </c>
    </row>
    <row r="2485" spans="1:32" x14ac:dyDescent="0.25">
      <c r="A2485" s="308">
        <v>45497</v>
      </c>
      <c r="B2485" s="416">
        <v>418525</v>
      </c>
      <c r="C2485" s="413" t="str">
        <f>IFERROR(INDEX(Table14[],MATCH($B2485,Table14[SAPNo],0),3),"")</f>
        <v>Drop In 1308 CT31   (B)</v>
      </c>
      <c r="D2485" s="306"/>
      <c r="E2485" s="421">
        <v>14</v>
      </c>
      <c r="F2485" s="421"/>
      <c r="G2485" s="417" t="s">
        <v>1984</v>
      </c>
      <c r="H2485" s="598">
        <v>14119204</v>
      </c>
      <c r="I2485" s="322" t="s">
        <v>1985</v>
      </c>
      <c r="J2485" s="418"/>
      <c r="K2485" s="248"/>
      <c r="M2485" s="366"/>
      <c r="AF2485">
        <v>14</v>
      </c>
    </row>
    <row r="2486" spans="1:32" x14ac:dyDescent="0.25">
      <c r="A2486" s="308">
        <v>45497</v>
      </c>
      <c r="B2486" s="416">
        <v>410851</v>
      </c>
      <c r="C2486" s="413" t="str">
        <f>IFERROR(INDEX(Table14[],MATCH($B2486,Table14[SAPNo],0),3),"")</f>
        <v>PDC Dome 1308 CT31   (B)</v>
      </c>
      <c r="D2486" s="306"/>
      <c r="E2486" s="421">
        <v>42</v>
      </c>
      <c r="F2486" s="421"/>
      <c r="G2486" s="417" t="s">
        <v>1984</v>
      </c>
      <c r="H2486" s="598">
        <v>14119204</v>
      </c>
      <c r="I2486" s="322" t="s">
        <v>1985</v>
      </c>
      <c r="J2486" s="418"/>
      <c r="K2486" s="248"/>
      <c r="M2486" s="366"/>
      <c r="AF2486">
        <v>42</v>
      </c>
    </row>
    <row r="2487" spans="1:32" x14ac:dyDescent="0.25">
      <c r="A2487" s="308">
        <v>45497</v>
      </c>
      <c r="B2487" s="416">
        <v>1146737</v>
      </c>
      <c r="C2487" s="413" t="str">
        <f>IFERROR(INDEX(Table14[],MATCH($B2487,Table14[SAPNo],0),3),"")</f>
        <v>1613 CT418 18-60</v>
      </c>
      <c r="D2487" s="306"/>
      <c r="E2487" s="421">
        <v>14</v>
      </c>
      <c r="F2487" s="421"/>
      <c r="G2487" s="417" t="s">
        <v>1984</v>
      </c>
      <c r="H2487" s="598">
        <v>14119204</v>
      </c>
      <c r="I2487" s="322" t="s">
        <v>1985</v>
      </c>
      <c r="J2487" s="418"/>
      <c r="K2487" s="248"/>
      <c r="M2487" s="366"/>
      <c r="AF2487">
        <v>14</v>
      </c>
    </row>
    <row r="2488" spans="1:32" x14ac:dyDescent="0.25">
      <c r="A2488" s="308">
        <v>45497</v>
      </c>
      <c r="B2488" s="416">
        <v>1130197</v>
      </c>
      <c r="C2488" s="413" t="str">
        <f>IFERROR(INDEX(Table14[],MATCH($B2488,Table14[SAPNo],0),3),"")</f>
        <v>Round 1608 CT182  0.018" (S)</v>
      </c>
      <c r="D2488" s="306"/>
      <c r="E2488" s="421">
        <v>13</v>
      </c>
      <c r="F2488" s="421"/>
      <c r="G2488" s="417" t="s">
        <v>1984</v>
      </c>
      <c r="H2488" s="598">
        <v>14119204</v>
      </c>
      <c r="I2488" s="322" t="s">
        <v>1985</v>
      </c>
      <c r="J2488" s="418"/>
      <c r="K2488" s="248"/>
      <c r="M2488" s="366"/>
      <c r="AF2488">
        <v>13</v>
      </c>
    </row>
    <row r="2489" spans="1:32" x14ac:dyDescent="0.25">
      <c r="A2489" s="308">
        <v>45497</v>
      </c>
      <c r="B2489" s="416">
        <v>1271790</v>
      </c>
      <c r="C2489" s="413" t="str">
        <f>IFERROR(INDEX(Table14[],MATCH($B2489,Table14[SAPNo],0),3),"")</f>
        <v xml:space="preserve">1613 CT170 18-60 </v>
      </c>
      <c r="D2489" s="306"/>
      <c r="E2489" s="421">
        <v>41</v>
      </c>
      <c r="F2489" s="421"/>
      <c r="G2489" s="417" t="s">
        <v>1984</v>
      </c>
      <c r="H2489" s="598">
        <v>14119204</v>
      </c>
      <c r="I2489" s="322" t="s">
        <v>1985</v>
      </c>
      <c r="J2489" s="418"/>
      <c r="K2489" s="248"/>
      <c r="M2489" s="366"/>
      <c r="AF2489">
        <v>41</v>
      </c>
    </row>
    <row r="2490" spans="1:32" x14ac:dyDescent="0.25">
      <c r="A2490" s="308">
        <v>45497</v>
      </c>
      <c r="B2490" s="416">
        <v>1146737</v>
      </c>
      <c r="C2490" s="413" t="str">
        <f>IFERROR(INDEX(Table14[],MATCH($B2490,Table14[SAPNo],0),3),"")</f>
        <v>1613 CT418 18-60</v>
      </c>
      <c r="D2490" s="306"/>
      <c r="E2490" s="421">
        <v>6</v>
      </c>
      <c r="F2490" s="421"/>
      <c r="G2490" s="417" t="s">
        <v>1986</v>
      </c>
      <c r="H2490" s="598">
        <v>14204327</v>
      </c>
      <c r="I2490" s="322" t="s">
        <v>1978</v>
      </c>
      <c r="J2490" s="418"/>
      <c r="K2490" s="248"/>
      <c r="M2490" s="366"/>
      <c r="AF2490">
        <v>6</v>
      </c>
    </row>
    <row r="2491" spans="1:32" x14ac:dyDescent="0.25">
      <c r="A2491" s="308">
        <v>45497</v>
      </c>
      <c r="B2491" s="416">
        <v>1208601</v>
      </c>
      <c r="C2491" s="413" t="str">
        <f>IFERROR(INDEX(Table14[],MATCH($B2491,Table14[SAPNo],0),3),"")</f>
        <v>1613 CT418 U-60</v>
      </c>
      <c r="D2491" s="306"/>
      <c r="E2491" s="421">
        <v>8</v>
      </c>
      <c r="F2491" s="421"/>
      <c r="G2491" s="417" t="s">
        <v>1986</v>
      </c>
      <c r="H2491" s="598">
        <v>14204327</v>
      </c>
      <c r="I2491" s="322" t="s">
        <v>1978</v>
      </c>
      <c r="J2491" s="418"/>
      <c r="K2491" s="248"/>
      <c r="M2491" s="366"/>
      <c r="AF2491">
        <v>8</v>
      </c>
    </row>
    <row r="2492" spans="1:32" x14ac:dyDescent="0.25">
      <c r="A2492" s="308">
        <v>45497</v>
      </c>
      <c r="B2492" s="416">
        <v>1078377</v>
      </c>
      <c r="C2492" s="413" t="str">
        <f>IFERROR(INDEX(Table14[],MATCH($B2492,Table14[SAPNo],0),3),"")</f>
        <v>13MM CT221 R1</v>
      </c>
      <c r="D2492" s="306"/>
      <c r="E2492" s="421">
        <v>15</v>
      </c>
      <c r="F2492" s="421"/>
      <c r="G2492" s="417" t="s">
        <v>1986</v>
      </c>
      <c r="H2492" s="598">
        <v>14204327</v>
      </c>
      <c r="I2492" s="322" t="s">
        <v>1978</v>
      </c>
      <c r="J2492" s="418"/>
      <c r="K2492" s="248"/>
      <c r="M2492" s="366"/>
      <c r="AF2492">
        <v>15</v>
      </c>
    </row>
    <row r="2493" spans="1:32" x14ac:dyDescent="0.25">
      <c r="A2493" s="308">
        <v>45497</v>
      </c>
      <c r="B2493" s="416">
        <v>418525</v>
      </c>
      <c r="C2493" s="413" t="str">
        <f>IFERROR(INDEX(Table14[],MATCH($B2493,Table14[SAPNo],0),3),"")</f>
        <v>Drop In 1308 CT31   (B)</v>
      </c>
      <c r="D2493" s="306"/>
      <c r="E2493" s="421">
        <v>6</v>
      </c>
      <c r="F2493" s="421"/>
      <c r="G2493" s="417" t="s">
        <v>1986</v>
      </c>
      <c r="H2493" s="598">
        <v>14204327</v>
      </c>
      <c r="I2493" s="322" t="s">
        <v>1978</v>
      </c>
      <c r="J2493" s="418"/>
      <c r="K2493" s="248"/>
      <c r="M2493" s="366"/>
      <c r="AF2493">
        <v>6</v>
      </c>
    </row>
    <row r="2494" spans="1:32" x14ac:dyDescent="0.25">
      <c r="A2494" s="308">
        <v>45497</v>
      </c>
      <c r="B2494" s="416">
        <v>1271790</v>
      </c>
      <c r="C2494" s="413" t="str">
        <f>IFERROR(INDEX(Table14[],MATCH($B2494,Table14[SAPNo],0),3),"")</f>
        <v xml:space="preserve">1613 CT170 18-60 </v>
      </c>
      <c r="D2494" s="306"/>
      <c r="E2494" s="421">
        <v>17</v>
      </c>
      <c r="F2494" s="421"/>
      <c r="G2494" s="417" t="s">
        <v>1986</v>
      </c>
      <c r="H2494" s="598">
        <v>14204327</v>
      </c>
      <c r="I2494" s="322" t="s">
        <v>1978</v>
      </c>
      <c r="J2494" s="418"/>
      <c r="K2494" s="248"/>
      <c r="M2494" s="366"/>
      <c r="AF2494">
        <v>17</v>
      </c>
    </row>
    <row r="2495" spans="1:32" x14ac:dyDescent="0.25">
      <c r="A2495" s="308">
        <v>45498</v>
      </c>
      <c r="B2495" s="416">
        <v>1146737</v>
      </c>
      <c r="C2495" s="413" t="str">
        <f>IFERROR(INDEX(Table14[],MATCH($B2495,Table14[SAPNo],0),3),"")</f>
        <v>1613 CT418 18-60</v>
      </c>
      <c r="D2495" s="306"/>
      <c r="E2495" s="421">
        <v>6</v>
      </c>
      <c r="F2495" s="421"/>
      <c r="G2495" s="417" t="s">
        <v>1987</v>
      </c>
      <c r="H2495" s="598">
        <v>14204329</v>
      </c>
      <c r="I2495" s="322" t="s">
        <v>1978</v>
      </c>
      <c r="J2495" s="418"/>
      <c r="K2495" s="248"/>
      <c r="M2495" s="366"/>
      <c r="AF2495">
        <v>6</v>
      </c>
    </row>
    <row r="2496" spans="1:32" x14ac:dyDescent="0.25">
      <c r="A2496" s="308">
        <v>45498</v>
      </c>
      <c r="B2496" s="416">
        <v>1271790</v>
      </c>
      <c r="C2496" s="413" t="str">
        <f>IFERROR(INDEX(Table14[],MATCH($B2496,Table14[SAPNo],0),3),"")</f>
        <v xml:space="preserve">1613 CT170 18-60 </v>
      </c>
      <c r="D2496" s="306"/>
      <c r="E2496" s="421">
        <v>17</v>
      </c>
      <c r="F2496" s="421"/>
      <c r="G2496" s="417" t="s">
        <v>1987</v>
      </c>
      <c r="H2496" s="598">
        <v>14204329</v>
      </c>
      <c r="I2496" s="322" t="s">
        <v>1978</v>
      </c>
      <c r="J2496" s="418"/>
      <c r="K2496" s="248"/>
      <c r="M2496" s="366"/>
      <c r="AF2496">
        <v>17</v>
      </c>
    </row>
    <row r="2497" spans="1:32" x14ac:dyDescent="0.25">
      <c r="A2497" s="308">
        <v>45498</v>
      </c>
      <c r="B2497" s="416">
        <v>1208601</v>
      </c>
      <c r="C2497" s="413" t="str">
        <f>IFERROR(INDEX(Table14[],MATCH($B2497,Table14[SAPNo],0),3),"")</f>
        <v>1613 CT418 U-60</v>
      </c>
      <c r="D2497" s="306"/>
      <c r="E2497" s="421">
        <v>8</v>
      </c>
      <c r="F2497" s="421"/>
      <c r="G2497" s="417" t="s">
        <v>1987</v>
      </c>
      <c r="H2497" s="598">
        <v>14204329</v>
      </c>
      <c r="I2497" s="322" t="s">
        <v>1978</v>
      </c>
      <c r="J2497" s="418"/>
      <c r="K2497" s="248"/>
      <c r="M2497" s="366"/>
      <c r="AF2497">
        <v>8</v>
      </c>
    </row>
    <row r="2498" spans="1:32" x14ac:dyDescent="0.25">
      <c r="A2498" s="308">
        <v>45498</v>
      </c>
      <c r="B2498" s="416">
        <v>418525</v>
      </c>
      <c r="C2498" s="413" t="str">
        <f>IFERROR(INDEX(Table14[],MATCH($B2498,Table14[SAPNo],0),3),"")</f>
        <v>Drop In 1308 CT31   (B)</v>
      </c>
      <c r="D2498" s="306"/>
      <c r="E2498" s="421">
        <v>6</v>
      </c>
      <c r="F2498" s="421"/>
      <c r="G2498" s="417" t="s">
        <v>1987</v>
      </c>
      <c r="H2498" s="598">
        <v>14204329</v>
      </c>
      <c r="I2498" s="322" t="s">
        <v>1978</v>
      </c>
      <c r="J2498" s="418"/>
      <c r="K2498" s="248"/>
      <c r="M2498" s="366"/>
      <c r="AF2498">
        <v>6</v>
      </c>
    </row>
    <row r="2499" spans="1:32" x14ac:dyDescent="0.25">
      <c r="A2499" s="308">
        <v>45498</v>
      </c>
      <c r="B2499" s="416">
        <v>1078377</v>
      </c>
      <c r="C2499" s="413" t="str">
        <f>IFERROR(INDEX(Table14[],MATCH($B2499,Table14[SAPNo],0),3),"")</f>
        <v>13MM CT221 R1</v>
      </c>
      <c r="D2499" s="306"/>
      <c r="E2499" s="421">
        <v>15</v>
      </c>
      <c r="F2499" s="421"/>
      <c r="G2499" s="417" t="s">
        <v>1987</v>
      </c>
      <c r="H2499" s="598">
        <v>14204329</v>
      </c>
      <c r="I2499" s="322" t="s">
        <v>1978</v>
      </c>
      <c r="J2499" s="418"/>
      <c r="K2499" s="248"/>
      <c r="M2499" s="366"/>
      <c r="AF2499">
        <v>15</v>
      </c>
    </row>
    <row r="2500" spans="1:32" x14ac:dyDescent="0.25">
      <c r="A2500" s="308">
        <v>45498</v>
      </c>
      <c r="B2500" s="416">
        <v>1130198</v>
      </c>
      <c r="C2500" s="413" t="str">
        <f>IFERROR(INDEX(Table14[],MATCH($B2500,Table14[SAPNo],0),3),"")</f>
        <v>Round 1613 CT182  0.018" (S)</v>
      </c>
      <c r="D2500" s="306"/>
      <c r="E2500" s="421">
        <v>147</v>
      </c>
      <c r="F2500" s="421"/>
      <c r="G2500" s="417" t="s">
        <v>1988</v>
      </c>
      <c r="H2500" s="598">
        <v>14167839</v>
      </c>
      <c r="I2500" s="322" t="s">
        <v>1989</v>
      </c>
      <c r="J2500" s="418"/>
      <c r="K2500" s="248"/>
      <c r="M2500" s="366"/>
      <c r="AF2500">
        <v>147</v>
      </c>
    </row>
    <row r="2501" spans="1:32" x14ac:dyDescent="0.25">
      <c r="A2501" s="308">
        <v>45498</v>
      </c>
      <c r="B2501" s="416">
        <v>418525</v>
      </c>
      <c r="C2501" s="413" t="str">
        <f>IFERROR(INDEX(Table14[],MATCH($B2501,Table14[SAPNo],0),3),"")</f>
        <v>Drop In 1308 CT31   (B)</v>
      </c>
      <c r="D2501" s="306"/>
      <c r="E2501" s="421">
        <v>8</v>
      </c>
      <c r="F2501" s="421"/>
      <c r="G2501" s="417" t="s">
        <v>1988</v>
      </c>
      <c r="H2501" s="598">
        <v>14167839</v>
      </c>
      <c r="I2501" s="322" t="s">
        <v>1989</v>
      </c>
      <c r="J2501" s="418"/>
      <c r="K2501" s="248"/>
      <c r="M2501" s="366"/>
      <c r="AF2501">
        <v>8</v>
      </c>
    </row>
    <row r="2502" spans="1:32" x14ac:dyDescent="0.25">
      <c r="A2502" s="308">
        <v>45498</v>
      </c>
      <c r="B2502" s="416">
        <v>1100755</v>
      </c>
      <c r="C2502" s="413" t="str">
        <f>IFERROR(INDEX(Table14[],MATCH($B2502,Table14[SAPNo],0),3),"")</f>
        <v>Round 1613 CT421  0.018" (S)</v>
      </c>
      <c r="D2502" s="306"/>
      <c r="E2502" s="421">
        <v>21</v>
      </c>
      <c r="F2502" s="421"/>
      <c r="G2502" s="417" t="s">
        <v>1990</v>
      </c>
      <c r="H2502" s="598">
        <v>14178478</v>
      </c>
      <c r="I2502" s="322" t="s">
        <v>1991</v>
      </c>
      <c r="J2502" s="418"/>
      <c r="K2502" s="248"/>
      <c r="M2502" s="366"/>
      <c r="AF2502">
        <v>21</v>
      </c>
    </row>
    <row r="2503" spans="1:32" x14ac:dyDescent="0.25">
      <c r="A2503" s="308">
        <v>45498</v>
      </c>
      <c r="B2503" s="416">
        <v>1146737</v>
      </c>
      <c r="C2503" s="413" t="str">
        <f>IFERROR(INDEX(Table14[],MATCH($B2503,Table14[SAPNo],0),3),"")</f>
        <v>1613 CT418 18-60</v>
      </c>
      <c r="D2503" s="306"/>
      <c r="E2503" s="421">
        <v>8</v>
      </c>
      <c r="F2503" s="421"/>
      <c r="G2503" s="417" t="s">
        <v>1990</v>
      </c>
      <c r="H2503" s="598">
        <v>14178478</v>
      </c>
      <c r="I2503" s="322" t="s">
        <v>1991</v>
      </c>
      <c r="J2503" s="418"/>
      <c r="K2503" s="248"/>
      <c r="M2503" s="366"/>
      <c r="AF2503">
        <v>8</v>
      </c>
    </row>
    <row r="2504" spans="1:32" x14ac:dyDescent="0.25">
      <c r="A2504" s="308">
        <v>45498</v>
      </c>
      <c r="B2504" s="416">
        <v>1163820</v>
      </c>
      <c r="C2504" s="413" t="str">
        <f>IFERROR(INDEX(Table14[],MATCH($B2504,Table14[SAPNo],0),3),"")</f>
        <v>1613 CT156 0.018"</v>
      </c>
      <c r="D2504" s="306"/>
      <c r="E2504" s="421">
        <v>6</v>
      </c>
      <c r="F2504" s="421"/>
      <c r="G2504" s="417" t="s">
        <v>1990</v>
      </c>
      <c r="H2504" s="598">
        <v>14178478</v>
      </c>
      <c r="I2504" s="322" t="s">
        <v>1991</v>
      </c>
      <c r="J2504" s="418"/>
      <c r="K2504" s="248"/>
      <c r="M2504" s="366"/>
      <c r="AF2504">
        <v>6</v>
      </c>
    </row>
    <row r="2505" spans="1:32" x14ac:dyDescent="0.25">
      <c r="A2505" s="308">
        <v>45498</v>
      </c>
      <c r="B2505" s="416">
        <v>1208601</v>
      </c>
      <c r="C2505" s="413" t="str">
        <f>IFERROR(INDEX(Table14[],MATCH($B2505,Table14[SAPNo],0),3),"")</f>
        <v>1613 CT418 U-60</v>
      </c>
      <c r="D2505" s="306"/>
      <c r="E2505" s="421">
        <v>11</v>
      </c>
      <c r="F2505" s="421"/>
      <c r="G2505" s="417" t="s">
        <v>1990</v>
      </c>
      <c r="H2505" s="598">
        <v>14178478</v>
      </c>
      <c r="I2505" s="322" t="s">
        <v>1991</v>
      </c>
      <c r="J2505" s="418"/>
      <c r="K2505" s="248"/>
      <c r="M2505" s="366"/>
      <c r="AF2505">
        <v>11</v>
      </c>
    </row>
    <row r="2506" spans="1:32" x14ac:dyDescent="0.25">
      <c r="A2506" s="308">
        <v>45498</v>
      </c>
      <c r="B2506" s="416">
        <v>871781</v>
      </c>
      <c r="C2506" s="413" t="str">
        <f>IFERROR(INDEX(Table14[],MATCH($B2506,Table14[SAPNo],0),3),"")</f>
        <v>Round 1313 CT200  0.018" (B)</v>
      </c>
      <c r="D2506" s="306"/>
      <c r="E2506" s="421">
        <v>7</v>
      </c>
      <c r="F2506" s="421"/>
      <c r="G2506" s="417" t="s">
        <v>1990</v>
      </c>
      <c r="H2506" s="598">
        <v>14178478</v>
      </c>
      <c r="I2506" s="322" t="s">
        <v>1991</v>
      </c>
      <c r="J2506" s="418"/>
      <c r="K2506" s="248"/>
      <c r="M2506" s="366"/>
      <c r="AF2506">
        <v>7</v>
      </c>
    </row>
    <row r="2507" spans="1:32" x14ac:dyDescent="0.25">
      <c r="A2507" s="308">
        <v>45498</v>
      </c>
      <c r="B2507" s="416">
        <v>1261615</v>
      </c>
      <c r="C2507" s="413" t="str">
        <f>IFERROR(INDEX(Table14[],MATCH($B2507,Table14[SAPNo],0),3),"")</f>
        <v>1613 CT172R U</v>
      </c>
      <c r="D2507" s="306"/>
      <c r="E2507" s="421">
        <v>30</v>
      </c>
      <c r="F2507" s="421"/>
      <c r="G2507" s="417" t="s">
        <v>1990</v>
      </c>
      <c r="H2507" s="598">
        <v>14178478</v>
      </c>
      <c r="I2507" s="322" t="s">
        <v>1991</v>
      </c>
      <c r="J2507" s="418"/>
      <c r="K2507" s="248"/>
      <c r="M2507" s="366"/>
      <c r="AF2507">
        <v>30</v>
      </c>
    </row>
    <row r="2508" spans="1:32" x14ac:dyDescent="0.25">
      <c r="A2508" s="308">
        <v>45498</v>
      </c>
      <c r="B2508" s="416">
        <v>625854</v>
      </c>
      <c r="C2508" s="413" t="str">
        <f>IFERROR(INDEX(Table14[],MATCH($B2508,Table14[SAPNo],0),3),"")</f>
        <v>Carbide IA 1318    (C)</v>
      </c>
      <c r="D2508" s="306"/>
      <c r="E2508" s="421">
        <v>6</v>
      </c>
      <c r="F2508" s="421"/>
      <c r="G2508" s="417" t="s">
        <v>1990</v>
      </c>
      <c r="H2508" s="598">
        <v>14178478</v>
      </c>
      <c r="I2508" s="322" t="s">
        <v>1991</v>
      </c>
      <c r="J2508" s="418"/>
      <c r="K2508" s="248"/>
      <c r="M2508" s="366"/>
      <c r="AF2508">
        <v>6</v>
      </c>
    </row>
    <row r="2509" spans="1:32" x14ac:dyDescent="0.25">
      <c r="A2509" s="308">
        <v>45498</v>
      </c>
      <c r="B2509" s="416">
        <v>1146737</v>
      </c>
      <c r="C2509" s="413" t="str">
        <f>IFERROR(INDEX(Table14[],MATCH($B2509,Table14[SAPNo],0),3),"")</f>
        <v>1613 CT418 18-60</v>
      </c>
      <c r="D2509" s="306"/>
      <c r="E2509" s="421">
        <v>6</v>
      </c>
      <c r="F2509" s="421"/>
      <c r="G2509" s="417" t="s">
        <v>1992</v>
      </c>
      <c r="H2509" s="598">
        <v>14211930</v>
      </c>
      <c r="I2509" s="322" t="s">
        <v>1993</v>
      </c>
      <c r="J2509" s="418"/>
      <c r="K2509" s="248"/>
      <c r="M2509" s="366"/>
      <c r="AF2509">
        <v>6</v>
      </c>
    </row>
    <row r="2510" spans="1:32" x14ac:dyDescent="0.25">
      <c r="A2510" s="308">
        <v>45498</v>
      </c>
      <c r="B2510" s="416">
        <v>1271790</v>
      </c>
      <c r="C2510" s="413" t="str">
        <f>IFERROR(INDEX(Table14[],MATCH($B2510,Table14[SAPNo],0),3),"")</f>
        <v xml:space="preserve">1613 CT170 18-60 </v>
      </c>
      <c r="D2510" s="306"/>
      <c r="E2510" s="421">
        <v>17</v>
      </c>
      <c r="F2510" s="421"/>
      <c r="G2510" s="417" t="s">
        <v>1992</v>
      </c>
      <c r="H2510" s="598">
        <v>14211930</v>
      </c>
      <c r="I2510" s="322" t="s">
        <v>1993</v>
      </c>
      <c r="J2510" s="418"/>
      <c r="K2510" s="248"/>
      <c r="M2510" s="366"/>
      <c r="AF2510">
        <v>17</v>
      </c>
    </row>
    <row r="2511" spans="1:32" x14ac:dyDescent="0.25">
      <c r="A2511" s="308">
        <v>45498</v>
      </c>
      <c r="B2511" s="416">
        <v>418525</v>
      </c>
      <c r="C2511" s="413" t="str">
        <f>IFERROR(INDEX(Table14[],MATCH($B2511,Table14[SAPNo],0),3),"")</f>
        <v>Drop In 1308 CT31   (B)</v>
      </c>
      <c r="D2511" s="306"/>
      <c r="E2511" s="421">
        <v>6</v>
      </c>
      <c r="F2511" s="421"/>
      <c r="G2511" s="417" t="s">
        <v>1992</v>
      </c>
      <c r="H2511" s="598">
        <v>14211930</v>
      </c>
      <c r="I2511" s="322" t="s">
        <v>1993</v>
      </c>
      <c r="J2511" s="418"/>
      <c r="K2511" s="248"/>
      <c r="M2511" s="366"/>
      <c r="AF2511">
        <v>6</v>
      </c>
    </row>
    <row r="2512" spans="1:32" x14ac:dyDescent="0.25">
      <c r="A2512" s="308">
        <v>45498</v>
      </c>
      <c r="B2512" s="416">
        <v>1078377</v>
      </c>
      <c r="C2512" s="413" t="str">
        <f>IFERROR(INDEX(Table14[],MATCH($B2512,Table14[SAPNo],0),3),"")</f>
        <v>13MM CT221 R1</v>
      </c>
      <c r="D2512" s="306"/>
      <c r="E2512" s="421">
        <v>15</v>
      </c>
      <c r="F2512" s="421"/>
      <c r="G2512" s="417" t="s">
        <v>1992</v>
      </c>
      <c r="H2512" s="598">
        <v>14211930</v>
      </c>
      <c r="I2512" s="322" t="s">
        <v>1993</v>
      </c>
      <c r="J2512" s="418"/>
      <c r="K2512" s="248"/>
      <c r="M2512" s="366"/>
      <c r="AF2512">
        <v>15</v>
      </c>
    </row>
    <row r="2513" spans="1:32" x14ac:dyDescent="0.25">
      <c r="A2513" s="320">
        <v>45498</v>
      </c>
      <c r="B2513" s="419">
        <v>1208601</v>
      </c>
      <c r="C2513" s="413" t="str">
        <f>IFERROR(INDEX(Table14[],MATCH($B2513,Table14[SAPNo],0),3),"")</f>
        <v>1613 CT418 U-60</v>
      </c>
      <c r="D2513" s="306"/>
      <c r="E2513" s="421">
        <v>8</v>
      </c>
      <c r="F2513" s="421"/>
      <c r="G2513" s="420" t="s">
        <v>1992</v>
      </c>
      <c r="H2513" s="599">
        <v>14211930</v>
      </c>
      <c r="I2513" s="322" t="s">
        <v>1993</v>
      </c>
      <c r="J2513" s="421"/>
      <c r="K2513" s="422"/>
      <c r="M2513" s="473" t="s">
        <v>1994</v>
      </c>
      <c r="AF2513">
        <v>8</v>
      </c>
    </row>
    <row r="2514" spans="1:32" x14ac:dyDescent="0.25">
      <c r="A2514" s="308">
        <v>45500</v>
      </c>
      <c r="B2514" s="416">
        <v>882800</v>
      </c>
      <c r="C2514" s="413" t="s">
        <v>1389</v>
      </c>
      <c r="D2514" s="306"/>
      <c r="E2514" s="421">
        <v>10</v>
      </c>
      <c r="F2514" s="421"/>
      <c r="G2514" s="417" t="s">
        <v>1995</v>
      </c>
      <c r="H2514" s="598">
        <v>14211852</v>
      </c>
      <c r="I2514" s="322" t="s">
        <v>1199</v>
      </c>
      <c r="J2514" s="418"/>
      <c r="K2514" s="248"/>
      <c r="M2514" s="422"/>
      <c r="AF2514">
        <v>10</v>
      </c>
    </row>
    <row r="2515" spans="1:32" x14ac:dyDescent="0.25">
      <c r="A2515" s="308">
        <v>45500</v>
      </c>
      <c r="B2515" s="416">
        <v>1130194</v>
      </c>
      <c r="C2515" s="413" t="s">
        <v>1386</v>
      </c>
      <c r="D2515" s="306"/>
      <c r="E2515" s="421">
        <v>26</v>
      </c>
      <c r="F2515" s="421"/>
      <c r="G2515" s="417" t="s">
        <v>1995</v>
      </c>
      <c r="H2515" s="598">
        <v>14211852</v>
      </c>
      <c r="I2515" s="322" t="s">
        <v>1199</v>
      </c>
      <c r="J2515" s="418"/>
      <c r="K2515" s="248"/>
      <c r="M2515" s="366"/>
      <c r="AF2515">
        <v>26</v>
      </c>
    </row>
    <row r="2516" spans="1:32" x14ac:dyDescent="0.25">
      <c r="A2516" s="308">
        <v>45500</v>
      </c>
      <c r="B2516" s="416">
        <v>1130193</v>
      </c>
      <c r="C2516" s="413" t="s">
        <v>1388</v>
      </c>
      <c r="D2516" s="306"/>
      <c r="E2516" s="421">
        <v>8</v>
      </c>
      <c r="F2516" s="421"/>
      <c r="G2516" s="417" t="s">
        <v>1995</v>
      </c>
      <c r="H2516" s="598">
        <v>14211852</v>
      </c>
      <c r="I2516" s="322" t="s">
        <v>1199</v>
      </c>
      <c r="J2516" s="418"/>
      <c r="K2516" s="248"/>
      <c r="M2516" s="366"/>
      <c r="AF2516">
        <v>8</v>
      </c>
    </row>
    <row r="2517" spans="1:32" x14ac:dyDescent="0.25">
      <c r="A2517" s="308">
        <v>45500</v>
      </c>
      <c r="B2517" s="416">
        <v>882800</v>
      </c>
      <c r="C2517" s="413" t="s">
        <v>1389</v>
      </c>
      <c r="D2517" s="306"/>
      <c r="E2517" s="421">
        <v>10</v>
      </c>
      <c r="F2517" s="421"/>
      <c r="G2517" s="417" t="s">
        <v>1996</v>
      </c>
      <c r="H2517" s="598">
        <v>14211853</v>
      </c>
      <c r="I2517" s="322" t="s">
        <v>1199</v>
      </c>
      <c r="J2517" s="418"/>
      <c r="K2517" s="248"/>
      <c r="M2517" s="366"/>
      <c r="AF2517">
        <v>10</v>
      </c>
    </row>
    <row r="2518" spans="1:32" x14ac:dyDescent="0.25">
      <c r="A2518" s="308">
        <v>45500</v>
      </c>
      <c r="B2518" s="416">
        <v>1130194</v>
      </c>
      <c r="C2518" s="413" t="s">
        <v>1386</v>
      </c>
      <c r="D2518" s="306"/>
      <c r="E2518" s="421">
        <v>26</v>
      </c>
      <c r="F2518" s="421"/>
      <c r="G2518" s="417" t="s">
        <v>1996</v>
      </c>
      <c r="H2518" s="598">
        <v>14211853</v>
      </c>
      <c r="I2518" s="322" t="s">
        <v>1199</v>
      </c>
      <c r="J2518" s="418"/>
      <c r="K2518" s="248"/>
      <c r="M2518" s="366"/>
      <c r="AF2518">
        <v>26</v>
      </c>
    </row>
    <row r="2519" spans="1:32" x14ac:dyDescent="0.25">
      <c r="A2519" s="308">
        <v>45500</v>
      </c>
      <c r="B2519" s="416">
        <v>1130193</v>
      </c>
      <c r="C2519" s="413" t="s">
        <v>1388</v>
      </c>
      <c r="D2519" s="306"/>
      <c r="E2519" s="421">
        <v>8</v>
      </c>
      <c r="F2519" s="421"/>
      <c r="G2519" s="417" t="s">
        <v>1996</v>
      </c>
      <c r="H2519" s="598">
        <v>14211853</v>
      </c>
      <c r="I2519" s="322" t="s">
        <v>1199</v>
      </c>
      <c r="J2519" s="418"/>
      <c r="K2519" s="248"/>
      <c r="M2519" s="366"/>
      <c r="AF2519">
        <v>8</v>
      </c>
    </row>
    <row r="2520" spans="1:32" x14ac:dyDescent="0.25">
      <c r="A2520" s="308">
        <v>45500</v>
      </c>
      <c r="B2520" s="416">
        <v>882800</v>
      </c>
      <c r="C2520" s="413" t="s">
        <v>1389</v>
      </c>
      <c r="D2520" s="306"/>
      <c r="E2520" s="421">
        <v>10</v>
      </c>
      <c r="F2520" s="421"/>
      <c r="G2520" s="417" t="s">
        <v>1997</v>
      </c>
      <c r="H2520" s="598">
        <v>14211851</v>
      </c>
      <c r="I2520" s="322" t="s">
        <v>1137</v>
      </c>
      <c r="J2520" s="418"/>
      <c r="K2520" s="248"/>
      <c r="M2520" s="366"/>
      <c r="AF2520">
        <v>10</v>
      </c>
    </row>
    <row r="2521" spans="1:32" x14ac:dyDescent="0.25">
      <c r="A2521" s="308">
        <v>45500</v>
      </c>
      <c r="B2521" s="416">
        <v>773384</v>
      </c>
      <c r="C2521" s="413" t="s">
        <v>1998</v>
      </c>
      <c r="D2521" s="306"/>
      <c r="E2521" s="421">
        <v>10</v>
      </c>
      <c r="F2521" s="421"/>
      <c r="G2521" s="417" t="s">
        <v>1997</v>
      </c>
      <c r="H2521" s="598">
        <v>14211851</v>
      </c>
      <c r="I2521" s="322" t="s">
        <v>1137</v>
      </c>
      <c r="J2521" s="418"/>
      <c r="K2521" s="248"/>
      <c r="M2521" s="366"/>
      <c r="AF2521">
        <v>10</v>
      </c>
    </row>
    <row r="2522" spans="1:32" x14ac:dyDescent="0.25">
      <c r="A2522" s="308">
        <v>45500</v>
      </c>
      <c r="B2522" s="416">
        <v>717748</v>
      </c>
      <c r="C2522" s="413" t="s">
        <v>1999</v>
      </c>
      <c r="D2522" s="306"/>
      <c r="E2522" s="421">
        <v>23</v>
      </c>
      <c r="F2522" s="421"/>
      <c r="G2522" s="417" t="s">
        <v>1997</v>
      </c>
      <c r="H2522" s="598">
        <v>14211851</v>
      </c>
      <c r="I2522" s="322" t="s">
        <v>1137</v>
      </c>
      <c r="J2522" s="418"/>
      <c r="K2522" s="248"/>
      <c r="M2522" s="366"/>
      <c r="AF2522">
        <v>23</v>
      </c>
    </row>
    <row r="2523" spans="1:32" x14ac:dyDescent="0.25">
      <c r="A2523" s="308">
        <v>45500</v>
      </c>
      <c r="B2523" s="416">
        <v>971055</v>
      </c>
      <c r="C2523" s="413" t="s">
        <v>2000</v>
      </c>
      <c r="D2523" s="306"/>
      <c r="E2523" s="421"/>
      <c r="F2523" s="421"/>
      <c r="G2523" s="417">
        <v>20241082</v>
      </c>
      <c r="H2523" s="598" t="s">
        <v>2001</v>
      </c>
      <c r="I2523" s="322" t="s">
        <v>1112</v>
      </c>
      <c r="J2523" s="418"/>
      <c r="K2523" s="248"/>
      <c r="M2523" s="366"/>
    </row>
    <row r="2524" spans="1:32" x14ac:dyDescent="0.25">
      <c r="A2524" s="320">
        <v>45500</v>
      </c>
      <c r="B2524" s="419">
        <v>1145493</v>
      </c>
      <c r="C2524" s="413" t="s">
        <v>4178</v>
      </c>
      <c r="D2524" s="306"/>
      <c r="E2524" s="421"/>
      <c r="F2524" s="421"/>
      <c r="G2524" s="420">
        <v>20241092</v>
      </c>
      <c r="H2524" s="599" t="s">
        <v>2002</v>
      </c>
      <c r="I2524" s="322" t="s">
        <v>1768</v>
      </c>
      <c r="J2524" s="421"/>
      <c r="K2524" s="422"/>
      <c r="M2524" s="366"/>
    </row>
    <row r="2525" spans="1:32" x14ac:dyDescent="0.25">
      <c r="A2525" s="308">
        <v>45506</v>
      </c>
      <c r="B2525" s="416">
        <v>1219561</v>
      </c>
      <c r="C2525" s="413" t="str">
        <f>IFERROR(INDEX(Table14[],MATCH($B2525,Table14[SAPNo],0),3),"")</f>
        <v>1313 CT147R U</v>
      </c>
      <c r="D2525" s="306"/>
      <c r="E2525" s="421">
        <v>2</v>
      </c>
      <c r="F2525" s="421"/>
      <c r="G2525" s="417" t="s">
        <v>2003</v>
      </c>
      <c r="H2525" s="598" t="s">
        <v>2004</v>
      </c>
      <c r="I2525" s="322" t="s">
        <v>1937</v>
      </c>
      <c r="J2525" s="418"/>
      <c r="K2525" s="248"/>
      <c r="M2525" s="422"/>
      <c r="AF2525">
        <v>2</v>
      </c>
    </row>
    <row r="2526" spans="1:32" x14ac:dyDescent="0.25">
      <c r="A2526" s="308">
        <v>45505</v>
      </c>
      <c r="B2526" s="416">
        <v>1136984</v>
      </c>
      <c r="C2526" s="413" t="str">
        <f>IFERROR(INDEX(Table14[],MATCH($B2526,Table14[SAPNo],0),3),"")</f>
        <v>DBLMCHT 1313 CT182DM  10C (S)</v>
      </c>
      <c r="D2526" s="306"/>
      <c r="E2526" s="421">
        <v>13</v>
      </c>
      <c r="F2526" s="421"/>
      <c r="G2526" s="417" t="s">
        <v>2005</v>
      </c>
      <c r="H2526" s="598">
        <v>13838422</v>
      </c>
      <c r="I2526" s="322" t="s">
        <v>1074</v>
      </c>
      <c r="J2526" s="418"/>
      <c r="K2526" s="248"/>
      <c r="M2526" s="366"/>
      <c r="AF2526">
        <v>13</v>
      </c>
    </row>
    <row r="2527" spans="1:32" x14ac:dyDescent="0.25">
      <c r="A2527" s="308">
        <v>45505</v>
      </c>
      <c r="B2527" s="416">
        <v>1146346</v>
      </c>
      <c r="C2527" s="413" t="str">
        <f>IFERROR(INDEX(Table14[],MATCH($B2527,Table14[SAPNo],0),3),"")</f>
        <v>1313 CT418 18-60</v>
      </c>
      <c r="D2527" s="306"/>
      <c r="E2527" s="421">
        <v>7</v>
      </c>
      <c r="F2527" s="421"/>
      <c r="G2527" s="417" t="s">
        <v>2005</v>
      </c>
      <c r="H2527" s="598">
        <v>13838422</v>
      </c>
      <c r="I2527" s="322" t="s">
        <v>1074</v>
      </c>
      <c r="J2527" s="418"/>
      <c r="K2527" s="248"/>
      <c r="M2527" s="366"/>
      <c r="AF2527">
        <v>7</v>
      </c>
    </row>
    <row r="2528" spans="1:32" x14ac:dyDescent="0.25">
      <c r="A2528" s="308">
        <v>45505</v>
      </c>
      <c r="B2528" s="416">
        <v>1100696</v>
      </c>
      <c r="C2528" s="413" t="str">
        <f>IFERROR(INDEX(Table14[],MATCH($B2528,Table14[SAPNo],0),3),"")</f>
        <v>Round 1313 CT418  10C (S)</v>
      </c>
      <c r="D2528" s="306"/>
      <c r="E2528" s="421">
        <v>5</v>
      </c>
      <c r="F2528" s="421"/>
      <c r="G2528" s="417" t="s">
        <v>2005</v>
      </c>
      <c r="H2528" s="598">
        <v>13838422</v>
      </c>
      <c r="I2528" s="322" t="s">
        <v>1074</v>
      </c>
      <c r="J2528" s="418"/>
      <c r="K2528" s="248"/>
      <c r="M2528" s="366"/>
      <c r="AF2528">
        <v>5</v>
      </c>
    </row>
    <row r="2529" spans="1:32" x14ac:dyDescent="0.25">
      <c r="A2529" s="308">
        <v>45505</v>
      </c>
      <c r="B2529" s="416">
        <v>1101509</v>
      </c>
      <c r="C2529" s="413" t="str">
        <f>IFERROR(INDEX(Table14[],MATCH($B2529,Table14[SAPNo],0),3),"")</f>
        <v>Short IA 8    (C)</v>
      </c>
      <c r="D2529" s="306"/>
      <c r="E2529" s="421">
        <v>5</v>
      </c>
      <c r="F2529" s="421"/>
      <c r="G2529" s="417" t="s">
        <v>2005</v>
      </c>
      <c r="H2529" s="598">
        <v>13838422</v>
      </c>
      <c r="I2529" s="322" t="s">
        <v>1074</v>
      </c>
      <c r="J2529" s="418"/>
      <c r="K2529" s="248"/>
      <c r="M2529" s="366"/>
      <c r="AF2529">
        <v>5</v>
      </c>
    </row>
    <row r="2530" spans="1:32" x14ac:dyDescent="0.25">
      <c r="A2530" s="308">
        <v>45505</v>
      </c>
      <c r="B2530" s="416">
        <v>647436</v>
      </c>
      <c r="C2530" s="413" t="str">
        <f>IFERROR(INDEX(Table14[],MATCH($B2530,Table14[SAPNo],0),3),"")</f>
        <v>Round 1613 CT200  0.018" (B)</v>
      </c>
      <c r="D2530" s="306"/>
      <c r="E2530" s="421">
        <v>32</v>
      </c>
      <c r="F2530" s="421"/>
      <c r="G2530" s="417" t="s">
        <v>2006</v>
      </c>
      <c r="H2530" s="598">
        <v>14178484</v>
      </c>
      <c r="I2530" s="322" t="s">
        <v>1237</v>
      </c>
      <c r="J2530" s="418"/>
      <c r="K2530" s="248"/>
      <c r="M2530" s="366"/>
      <c r="AF2530">
        <v>32</v>
      </c>
    </row>
    <row r="2531" spans="1:32" x14ac:dyDescent="0.25">
      <c r="A2531" s="308">
        <v>45505</v>
      </c>
      <c r="B2531" s="416">
        <v>1130198</v>
      </c>
      <c r="C2531" s="413" t="str">
        <f>IFERROR(INDEX(Table14[],MATCH($B2531,Table14[SAPNo],0),3),"")</f>
        <v>Round 1613 CT182  0.018" (S)</v>
      </c>
      <c r="D2531" s="306"/>
      <c r="E2531" s="421">
        <v>105</v>
      </c>
      <c r="F2531" s="421"/>
      <c r="G2531" s="417" t="s">
        <v>2006</v>
      </c>
      <c r="H2531" s="598">
        <v>14178484</v>
      </c>
      <c r="I2531" s="322" t="s">
        <v>1237</v>
      </c>
      <c r="J2531" s="418"/>
      <c r="K2531" s="248"/>
      <c r="M2531" s="366"/>
      <c r="AF2531">
        <v>105</v>
      </c>
    </row>
    <row r="2532" spans="1:32" x14ac:dyDescent="0.25">
      <c r="A2532" s="308">
        <v>45505</v>
      </c>
      <c r="B2532" s="416">
        <v>418525</v>
      </c>
      <c r="C2532" s="413" t="str">
        <f>IFERROR(INDEX(Table14[],MATCH($B2532,Table14[SAPNo],0),3),"")</f>
        <v>Drop In 1308 CT31   (B)</v>
      </c>
      <c r="D2532" s="306"/>
      <c r="E2532" s="421">
        <v>8</v>
      </c>
      <c r="F2532" s="421"/>
      <c r="G2532" s="417" t="s">
        <v>2006</v>
      </c>
      <c r="H2532" s="598">
        <v>14178484</v>
      </c>
      <c r="I2532" s="322" t="s">
        <v>1237</v>
      </c>
      <c r="J2532" s="418"/>
      <c r="K2532" s="248"/>
      <c r="M2532" s="366"/>
      <c r="AF2532">
        <v>8</v>
      </c>
    </row>
    <row r="2533" spans="1:32" x14ac:dyDescent="0.25">
      <c r="A2533" s="308">
        <v>45505</v>
      </c>
      <c r="B2533" s="416">
        <v>647436</v>
      </c>
      <c r="C2533" s="413" t="str">
        <f>IFERROR(INDEX(Table14[],MATCH($B2533,Table14[SAPNo],0),3),"")</f>
        <v>Round 1613 CT200  0.018" (B)</v>
      </c>
      <c r="D2533" s="306"/>
      <c r="E2533" s="421">
        <v>32</v>
      </c>
      <c r="F2533" s="421"/>
      <c r="G2533" s="417" t="s">
        <v>2007</v>
      </c>
      <c r="H2533" s="598">
        <v>14178485</v>
      </c>
      <c r="I2533" s="322" t="s">
        <v>1237</v>
      </c>
      <c r="J2533" s="418"/>
      <c r="K2533" s="248"/>
      <c r="M2533" s="366"/>
      <c r="AF2533">
        <v>32</v>
      </c>
    </row>
    <row r="2534" spans="1:32" x14ac:dyDescent="0.25">
      <c r="A2534" s="308">
        <v>45505</v>
      </c>
      <c r="B2534" s="416">
        <v>1130198</v>
      </c>
      <c r="C2534" s="413" t="str">
        <f>IFERROR(INDEX(Table14[],MATCH($B2534,Table14[SAPNo],0),3),"")</f>
        <v>Round 1613 CT182  0.018" (S)</v>
      </c>
      <c r="D2534" s="306"/>
      <c r="E2534" s="421">
        <v>105</v>
      </c>
      <c r="F2534" s="421"/>
      <c r="G2534" s="417" t="s">
        <v>2007</v>
      </c>
      <c r="H2534" s="598">
        <v>14178485</v>
      </c>
      <c r="I2534" s="322" t="s">
        <v>1237</v>
      </c>
      <c r="J2534" s="418"/>
      <c r="K2534" s="248"/>
      <c r="M2534" s="366"/>
      <c r="AF2534">
        <v>105</v>
      </c>
    </row>
    <row r="2535" spans="1:32" x14ac:dyDescent="0.25">
      <c r="A2535" s="308">
        <v>45505</v>
      </c>
      <c r="B2535" s="416">
        <v>418525</v>
      </c>
      <c r="C2535" s="413" t="str">
        <f>IFERROR(INDEX(Table14[],MATCH($B2535,Table14[SAPNo],0),3),"")</f>
        <v>Drop In 1308 CT31   (B)</v>
      </c>
      <c r="D2535" s="306"/>
      <c r="E2535" s="421">
        <v>8</v>
      </c>
      <c r="F2535" s="421"/>
      <c r="G2535" s="417" t="s">
        <v>2007</v>
      </c>
      <c r="H2535" s="598">
        <v>14178485</v>
      </c>
      <c r="I2535" s="322" t="s">
        <v>1237</v>
      </c>
      <c r="J2535" s="418"/>
      <c r="K2535" s="248"/>
      <c r="M2535" s="366"/>
      <c r="AF2535">
        <v>8</v>
      </c>
    </row>
    <row r="2536" spans="1:32" x14ac:dyDescent="0.25">
      <c r="A2536" s="308">
        <v>45505</v>
      </c>
      <c r="B2536" s="416">
        <v>1100755</v>
      </c>
      <c r="C2536" s="413" t="str">
        <f>IFERROR(INDEX(Table14[],MATCH($B2536,Table14[SAPNo],0),3),"")</f>
        <v>Round 1613 CT421  0.018" (S)</v>
      </c>
      <c r="D2536" s="306"/>
      <c r="E2536" s="421">
        <v>33</v>
      </c>
      <c r="F2536" s="421"/>
      <c r="G2536" s="417" t="s">
        <v>2008</v>
      </c>
      <c r="H2536" s="598">
        <v>14214974</v>
      </c>
      <c r="I2536" s="322" t="s">
        <v>2009</v>
      </c>
      <c r="J2536" s="418"/>
      <c r="K2536" s="248"/>
      <c r="M2536" s="366"/>
      <c r="AF2536">
        <v>33</v>
      </c>
    </row>
    <row r="2537" spans="1:32" x14ac:dyDescent="0.25">
      <c r="A2537" s="308">
        <v>45505</v>
      </c>
      <c r="B2537" s="416">
        <v>871781</v>
      </c>
      <c r="C2537" s="413" t="str">
        <f>IFERROR(INDEX(Table14[],MATCH($B2537,Table14[SAPNo],0),3),"")</f>
        <v>Round 1313 CT200  0.018" (B)</v>
      </c>
      <c r="D2537" s="306"/>
      <c r="E2537" s="421">
        <v>6</v>
      </c>
      <c r="F2537" s="421"/>
      <c r="G2537" s="417" t="s">
        <v>2008</v>
      </c>
      <c r="H2537" s="598">
        <v>14214974</v>
      </c>
      <c r="I2537" s="322" t="s">
        <v>2009</v>
      </c>
      <c r="J2537" s="418"/>
      <c r="K2537" s="248"/>
      <c r="M2537" s="366"/>
      <c r="AF2537">
        <v>6</v>
      </c>
    </row>
    <row r="2538" spans="1:32" x14ac:dyDescent="0.25">
      <c r="A2538" s="308">
        <v>45505</v>
      </c>
      <c r="B2538" s="416">
        <v>647435</v>
      </c>
      <c r="C2538" s="413" t="str">
        <f>IFERROR(INDEX(Table14[],MATCH($B2538,Table14[SAPNo],0),3),"")</f>
        <v>Round 1608 CT200  0.018" (B)</v>
      </c>
      <c r="D2538" s="306"/>
      <c r="E2538" s="421">
        <v>23</v>
      </c>
      <c r="F2538" s="421"/>
      <c r="G2538" s="417" t="s">
        <v>2008</v>
      </c>
      <c r="H2538" s="598">
        <v>14214974</v>
      </c>
      <c r="I2538" s="322" t="s">
        <v>2009</v>
      </c>
      <c r="J2538" s="418"/>
      <c r="K2538" s="248"/>
      <c r="M2538" s="366"/>
      <c r="AF2538">
        <v>23</v>
      </c>
    </row>
    <row r="2539" spans="1:32" x14ac:dyDescent="0.25">
      <c r="A2539" s="308">
        <v>45505</v>
      </c>
      <c r="B2539" s="416">
        <v>1208601</v>
      </c>
      <c r="C2539" s="413" t="str">
        <f>IFERROR(INDEX(Table14[],MATCH($B2539,Table14[SAPNo],0),3),"")</f>
        <v>1613 CT418 U-60</v>
      </c>
      <c r="D2539" s="306"/>
      <c r="E2539" s="421">
        <v>8</v>
      </c>
      <c r="F2539" s="421"/>
      <c r="G2539" s="417" t="s">
        <v>2010</v>
      </c>
      <c r="H2539" s="598">
        <v>14211929</v>
      </c>
      <c r="I2539" s="322" t="s">
        <v>2011</v>
      </c>
      <c r="J2539" s="418"/>
      <c r="K2539" s="248"/>
      <c r="M2539" s="366"/>
      <c r="AF2539">
        <v>8</v>
      </c>
    </row>
    <row r="2540" spans="1:32" x14ac:dyDescent="0.25">
      <c r="A2540" s="308">
        <v>45505</v>
      </c>
      <c r="B2540" s="416">
        <v>1146737</v>
      </c>
      <c r="C2540" s="413" t="str">
        <f>IFERROR(INDEX(Table14[],MATCH($B2540,Table14[SAPNo],0),3),"")</f>
        <v>1613 CT418 18-60</v>
      </c>
      <c r="D2540" s="306"/>
      <c r="E2540" s="421">
        <v>6</v>
      </c>
      <c r="F2540" s="421"/>
      <c r="G2540" s="417" t="s">
        <v>2010</v>
      </c>
      <c r="H2540" s="598">
        <v>14211929</v>
      </c>
      <c r="I2540" s="322" t="s">
        <v>2011</v>
      </c>
      <c r="J2540" s="418"/>
      <c r="K2540" s="248"/>
      <c r="M2540" s="366"/>
      <c r="AF2540">
        <v>6</v>
      </c>
    </row>
    <row r="2541" spans="1:32" x14ac:dyDescent="0.25">
      <c r="A2541" s="308">
        <v>45505</v>
      </c>
      <c r="B2541" s="416">
        <v>1078377</v>
      </c>
      <c r="C2541" s="413" t="str">
        <f>IFERROR(INDEX(Table14[],MATCH($B2541,Table14[SAPNo],0),3),"")</f>
        <v>13MM CT221 R1</v>
      </c>
      <c r="D2541" s="306"/>
      <c r="E2541" s="421">
        <v>15</v>
      </c>
      <c r="F2541" s="421"/>
      <c r="G2541" s="417" t="s">
        <v>2010</v>
      </c>
      <c r="H2541" s="598">
        <v>14211929</v>
      </c>
      <c r="I2541" s="322" t="s">
        <v>2011</v>
      </c>
      <c r="J2541" s="418"/>
      <c r="K2541" s="248"/>
      <c r="M2541" s="366"/>
      <c r="AF2541">
        <v>15</v>
      </c>
    </row>
    <row r="2542" spans="1:32" x14ac:dyDescent="0.25">
      <c r="A2542" s="308">
        <v>45505</v>
      </c>
      <c r="B2542" s="416">
        <v>418525</v>
      </c>
      <c r="C2542" s="413" t="str">
        <f>IFERROR(INDEX(Table14[],MATCH($B2542,Table14[SAPNo],0),3),"")</f>
        <v>Drop In 1308 CT31   (B)</v>
      </c>
      <c r="D2542" s="306"/>
      <c r="E2542" s="421">
        <v>6</v>
      </c>
      <c r="F2542" s="421"/>
      <c r="G2542" s="417" t="s">
        <v>2010</v>
      </c>
      <c r="H2542" s="598">
        <v>14211929</v>
      </c>
      <c r="I2542" s="322" t="s">
        <v>2011</v>
      </c>
      <c r="J2542" s="418"/>
      <c r="K2542" s="248"/>
      <c r="M2542" s="366"/>
      <c r="AF2542">
        <v>6</v>
      </c>
    </row>
    <row r="2543" spans="1:32" x14ac:dyDescent="0.25">
      <c r="A2543" s="308">
        <v>45505</v>
      </c>
      <c r="B2543" s="416">
        <v>1271790</v>
      </c>
      <c r="C2543" s="413" t="str">
        <f>IFERROR(INDEX(Table14[],MATCH($B2543,Table14[SAPNo],0),3),"")</f>
        <v xml:space="preserve">1613 CT170 18-60 </v>
      </c>
      <c r="D2543" s="306"/>
      <c r="E2543" s="421">
        <v>17</v>
      </c>
      <c r="F2543" s="421"/>
      <c r="G2543" s="417" t="s">
        <v>2010</v>
      </c>
      <c r="H2543" s="598">
        <v>14211929</v>
      </c>
      <c r="I2543" s="322" t="s">
        <v>2011</v>
      </c>
      <c r="J2543" s="418"/>
      <c r="K2543" s="248"/>
      <c r="M2543" s="366"/>
      <c r="AF2543">
        <v>17</v>
      </c>
    </row>
    <row r="2544" spans="1:32" x14ac:dyDescent="0.25">
      <c r="A2544" s="308">
        <v>45505</v>
      </c>
      <c r="B2544" s="416">
        <v>1146737</v>
      </c>
      <c r="C2544" s="413" t="str">
        <f>IFERROR(INDEX(Table14[],MATCH($B2544,Table14[SAPNo],0),3),"")</f>
        <v>1613 CT418 18-60</v>
      </c>
      <c r="D2544" s="306"/>
      <c r="E2544" s="421">
        <v>6</v>
      </c>
      <c r="F2544" s="421"/>
      <c r="G2544" s="417" t="s">
        <v>2012</v>
      </c>
      <c r="H2544" s="598">
        <v>14211931</v>
      </c>
      <c r="I2544" s="322" t="s">
        <v>2011</v>
      </c>
      <c r="J2544" s="418"/>
      <c r="K2544" s="248"/>
      <c r="M2544" s="366"/>
      <c r="AF2544">
        <v>6</v>
      </c>
    </row>
    <row r="2545" spans="1:32" x14ac:dyDescent="0.25">
      <c r="A2545" s="308">
        <v>45505</v>
      </c>
      <c r="B2545" s="416">
        <v>418525</v>
      </c>
      <c r="C2545" s="413" t="str">
        <f>IFERROR(INDEX(Table14[],MATCH($B2545,Table14[SAPNo],0),3),"")</f>
        <v>Drop In 1308 CT31   (B)</v>
      </c>
      <c r="D2545" s="306"/>
      <c r="E2545" s="421">
        <v>6</v>
      </c>
      <c r="F2545" s="421"/>
      <c r="G2545" s="417" t="s">
        <v>2012</v>
      </c>
      <c r="H2545" s="598">
        <v>14211931</v>
      </c>
      <c r="I2545" s="322" t="s">
        <v>2011</v>
      </c>
      <c r="J2545" s="418"/>
      <c r="K2545" s="248"/>
      <c r="M2545" s="366"/>
      <c r="AF2545">
        <v>6</v>
      </c>
    </row>
    <row r="2546" spans="1:32" x14ac:dyDescent="0.25">
      <c r="A2546" s="308">
        <v>45505</v>
      </c>
      <c r="B2546" s="416">
        <v>1078377</v>
      </c>
      <c r="C2546" s="413" t="str">
        <f>IFERROR(INDEX(Table14[],MATCH($B2546,Table14[SAPNo],0),3),"")</f>
        <v>13MM CT221 R1</v>
      </c>
      <c r="D2546" s="306"/>
      <c r="E2546" s="421">
        <v>15</v>
      </c>
      <c r="F2546" s="421"/>
      <c r="G2546" s="417" t="s">
        <v>2012</v>
      </c>
      <c r="H2546" s="598">
        <v>14211931</v>
      </c>
      <c r="I2546" s="322" t="s">
        <v>2011</v>
      </c>
      <c r="J2546" s="418"/>
      <c r="K2546" s="248"/>
      <c r="M2546" s="366"/>
      <c r="AF2546">
        <v>15</v>
      </c>
    </row>
    <row r="2547" spans="1:32" x14ac:dyDescent="0.25">
      <c r="A2547" s="308">
        <v>45505</v>
      </c>
      <c r="B2547" s="416">
        <v>1271790</v>
      </c>
      <c r="C2547" s="413" t="str">
        <f>IFERROR(INDEX(Table14[],MATCH($B2547,Table14[SAPNo],0),3),"")</f>
        <v xml:space="preserve">1613 CT170 18-60 </v>
      </c>
      <c r="D2547" s="306"/>
      <c r="E2547" s="421">
        <v>17</v>
      </c>
      <c r="F2547" s="421"/>
      <c r="G2547" s="417" t="s">
        <v>2012</v>
      </c>
      <c r="H2547" s="598">
        <v>14211931</v>
      </c>
      <c r="I2547" s="322" t="s">
        <v>2011</v>
      </c>
      <c r="J2547" s="418"/>
      <c r="K2547" s="248"/>
      <c r="M2547" s="366"/>
      <c r="AF2547">
        <v>17</v>
      </c>
    </row>
    <row r="2548" spans="1:32" x14ac:dyDescent="0.25">
      <c r="A2548" s="308">
        <v>45505</v>
      </c>
      <c r="B2548" s="416">
        <v>1208601</v>
      </c>
      <c r="C2548" s="413" t="str">
        <f>IFERROR(INDEX(Table14[],MATCH($B2548,Table14[SAPNo],0),3),"")</f>
        <v>1613 CT418 U-60</v>
      </c>
      <c r="D2548" s="306"/>
      <c r="E2548" s="421">
        <v>8</v>
      </c>
      <c r="F2548" s="421"/>
      <c r="G2548" s="417" t="s">
        <v>2012</v>
      </c>
      <c r="H2548" s="598">
        <v>14211931</v>
      </c>
      <c r="I2548" s="322" t="s">
        <v>2011</v>
      </c>
      <c r="J2548" s="418"/>
      <c r="K2548" s="248"/>
      <c r="M2548" s="366"/>
      <c r="AF2548">
        <v>8</v>
      </c>
    </row>
    <row r="2549" spans="1:32" x14ac:dyDescent="0.25">
      <c r="A2549" s="308">
        <v>45505</v>
      </c>
      <c r="B2549" s="416">
        <v>1208601</v>
      </c>
      <c r="C2549" s="413" t="str">
        <f>IFERROR(INDEX(Table14[],MATCH($B2549,Table14[SAPNo],0),3),"")</f>
        <v>1613 CT418 U-60</v>
      </c>
      <c r="D2549" s="306"/>
      <c r="E2549" s="421">
        <v>8</v>
      </c>
      <c r="F2549" s="421"/>
      <c r="G2549" s="417" t="s">
        <v>2013</v>
      </c>
      <c r="H2549" s="598">
        <v>14211932</v>
      </c>
      <c r="I2549" s="322" t="s">
        <v>2011</v>
      </c>
      <c r="J2549" s="418"/>
      <c r="K2549" s="248"/>
      <c r="M2549" s="366"/>
      <c r="AF2549">
        <v>8</v>
      </c>
    </row>
    <row r="2550" spans="1:32" x14ac:dyDescent="0.25">
      <c r="A2550" s="308">
        <v>45505</v>
      </c>
      <c r="B2550" s="416">
        <v>1271790</v>
      </c>
      <c r="C2550" s="413" t="str">
        <f>IFERROR(INDEX(Table14[],MATCH($B2550,Table14[SAPNo],0),3),"")</f>
        <v xml:space="preserve">1613 CT170 18-60 </v>
      </c>
      <c r="D2550" s="306"/>
      <c r="E2550" s="421">
        <v>17</v>
      </c>
      <c r="F2550" s="421"/>
      <c r="G2550" s="417" t="s">
        <v>2013</v>
      </c>
      <c r="H2550" s="598">
        <v>14211932</v>
      </c>
      <c r="I2550" s="322" t="s">
        <v>2011</v>
      </c>
      <c r="J2550" s="418"/>
      <c r="K2550" s="248"/>
      <c r="M2550" s="366"/>
      <c r="AF2550">
        <v>17</v>
      </c>
    </row>
    <row r="2551" spans="1:32" x14ac:dyDescent="0.25">
      <c r="A2551" s="308">
        <v>45505</v>
      </c>
      <c r="B2551" s="416">
        <v>1146737</v>
      </c>
      <c r="C2551" s="413" t="str">
        <f>IFERROR(INDEX(Table14[],MATCH($B2551,Table14[SAPNo],0),3),"")</f>
        <v>1613 CT418 18-60</v>
      </c>
      <c r="D2551" s="306"/>
      <c r="E2551" s="421">
        <v>6</v>
      </c>
      <c r="F2551" s="421"/>
      <c r="G2551" s="417" t="s">
        <v>2013</v>
      </c>
      <c r="H2551" s="598">
        <v>14211932</v>
      </c>
      <c r="I2551" s="322" t="s">
        <v>2011</v>
      </c>
      <c r="J2551" s="418"/>
      <c r="K2551" s="248"/>
      <c r="M2551" s="366"/>
      <c r="AF2551">
        <v>6</v>
      </c>
    </row>
    <row r="2552" spans="1:32" x14ac:dyDescent="0.25">
      <c r="A2552" s="308">
        <v>45505</v>
      </c>
      <c r="B2552" s="416">
        <v>418525</v>
      </c>
      <c r="C2552" s="413" t="str">
        <f>IFERROR(INDEX(Table14[],MATCH($B2552,Table14[SAPNo],0),3),"")</f>
        <v>Drop In 1308 CT31   (B)</v>
      </c>
      <c r="D2552" s="306"/>
      <c r="E2552" s="421">
        <v>6</v>
      </c>
      <c r="F2552" s="421"/>
      <c r="G2552" s="417" t="s">
        <v>2013</v>
      </c>
      <c r="H2552" s="598">
        <v>14211932</v>
      </c>
      <c r="I2552" s="322" t="s">
        <v>2011</v>
      </c>
      <c r="J2552" s="418"/>
      <c r="K2552" s="248"/>
      <c r="M2552" s="366"/>
      <c r="AF2552">
        <v>6</v>
      </c>
    </row>
    <row r="2553" spans="1:32" x14ac:dyDescent="0.25">
      <c r="A2553" s="308">
        <v>45505</v>
      </c>
      <c r="B2553" s="416">
        <v>1078377</v>
      </c>
      <c r="C2553" s="413" t="str">
        <f>IFERROR(INDEX(Table14[],MATCH($B2553,Table14[SAPNo],0),3),"")</f>
        <v>13MM CT221 R1</v>
      </c>
      <c r="D2553" s="306"/>
      <c r="E2553" s="421">
        <v>15</v>
      </c>
      <c r="F2553" s="421"/>
      <c r="G2553" s="417" t="s">
        <v>2013</v>
      </c>
      <c r="H2553" s="598">
        <v>14211932</v>
      </c>
      <c r="I2553" s="322" t="s">
        <v>2011</v>
      </c>
      <c r="J2553" s="418"/>
      <c r="K2553" s="248"/>
      <c r="M2553" s="366"/>
      <c r="AF2553">
        <v>15</v>
      </c>
    </row>
    <row r="2554" spans="1:32" x14ac:dyDescent="0.25">
      <c r="A2554" s="308">
        <v>45505</v>
      </c>
      <c r="B2554" s="416">
        <v>1146737</v>
      </c>
      <c r="C2554" s="413" t="str">
        <f>IFERROR(INDEX(Table14[],MATCH($B2554,Table14[SAPNo],0),3),"")</f>
        <v>1613 CT418 18-60</v>
      </c>
      <c r="D2554" s="306"/>
      <c r="E2554" s="421">
        <v>6</v>
      </c>
      <c r="F2554" s="421"/>
      <c r="G2554" s="417" t="s">
        <v>2014</v>
      </c>
      <c r="H2554" s="598">
        <v>14211933</v>
      </c>
      <c r="I2554" s="322" t="s">
        <v>2011</v>
      </c>
      <c r="J2554" s="418"/>
      <c r="K2554" s="248"/>
      <c r="M2554" s="366"/>
      <c r="AF2554">
        <v>6</v>
      </c>
    </row>
    <row r="2555" spans="1:32" x14ac:dyDescent="0.25">
      <c r="A2555" s="308">
        <v>45505</v>
      </c>
      <c r="B2555" s="416">
        <v>1078377</v>
      </c>
      <c r="C2555" s="413" t="str">
        <f>IFERROR(INDEX(Table14[],MATCH($B2555,Table14[SAPNo],0),3),"")</f>
        <v>13MM CT221 R1</v>
      </c>
      <c r="D2555" s="306"/>
      <c r="E2555" s="421">
        <v>15</v>
      </c>
      <c r="F2555" s="421"/>
      <c r="G2555" s="417" t="s">
        <v>2014</v>
      </c>
      <c r="H2555" s="598">
        <v>14211933</v>
      </c>
      <c r="I2555" s="322" t="s">
        <v>2011</v>
      </c>
      <c r="J2555" s="418"/>
      <c r="K2555" s="248"/>
      <c r="M2555" s="366"/>
      <c r="AF2555">
        <v>15</v>
      </c>
    </row>
    <row r="2556" spans="1:32" x14ac:dyDescent="0.25">
      <c r="A2556" s="308">
        <v>45505</v>
      </c>
      <c r="B2556" s="416">
        <v>418525</v>
      </c>
      <c r="C2556" s="413" t="str">
        <f>IFERROR(INDEX(Table14[],MATCH($B2556,Table14[SAPNo],0),3),"")</f>
        <v>Drop In 1308 CT31   (B)</v>
      </c>
      <c r="D2556" s="306"/>
      <c r="E2556" s="421">
        <v>6</v>
      </c>
      <c r="F2556" s="421"/>
      <c r="G2556" s="417" t="s">
        <v>2014</v>
      </c>
      <c r="H2556" s="598">
        <v>14211933</v>
      </c>
      <c r="I2556" s="322" t="s">
        <v>2011</v>
      </c>
      <c r="J2556" s="418"/>
      <c r="K2556" s="248"/>
      <c r="M2556" s="366"/>
      <c r="AF2556">
        <v>6</v>
      </c>
    </row>
    <row r="2557" spans="1:32" x14ac:dyDescent="0.25">
      <c r="A2557" s="308">
        <v>45505</v>
      </c>
      <c r="B2557" s="416">
        <v>1271790</v>
      </c>
      <c r="C2557" s="413" t="str">
        <f>IFERROR(INDEX(Table14[],MATCH($B2557,Table14[SAPNo],0),3),"")</f>
        <v xml:space="preserve">1613 CT170 18-60 </v>
      </c>
      <c r="D2557" s="306"/>
      <c r="E2557" s="421">
        <v>17</v>
      </c>
      <c r="F2557" s="421"/>
      <c r="G2557" s="417" t="s">
        <v>2014</v>
      </c>
      <c r="H2557" s="598">
        <v>14211933</v>
      </c>
      <c r="I2557" s="322" t="s">
        <v>2011</v>
      </c>
      <c r="J2557" s="418"/>
      <c r="K2557" s="248"/>
      <c r="M2557" s="366"/>
      <c r="AF2557">
        <v>17</v>
      </c>
    </row>
    <row r="2558" spans="1:32" x14ac:dyDescent="0.25">
      <c r="A2558" s="308">
        <v>45505</v>
      </c>
      <c r="B2558" s="416">
        <v>1208601</v>
      </c>
      <c r="C2558" s="413" t="str">
        <f>IFERROR(INDEX(Table14[],MATCH($B2558,Table14[SAPNo],0),3),"")</f>
        <v>1613 CT418 U-60</v>
      </c>
      <c r="D2558" s="306"/>
      <c r="E2558" s="421">
        <v>8</v>
      </c>
      <c r="F2558" s="421"/>
      <c r="G2558" s="417" t="s">
        <v>2014</v>
      </c>
      <c r="H2558" s="598">
        <v>14211933</v>
      </c>
      <c r="I2558" s="322" t="s">
        <v>2011</v>
      </c>
      <c r="J2558" s="418"/>
      <c r="K2558" s="248"/>
      <c r="M2558" s="366"/>
      <c r="AF2558">
        <v>8</v>
      </c>
    </row>
    <row r="2559" spans="1:32" x14ac:dyDescent="0.25">
      <c r="A2559" s="308">
        <v>45505</v>
      </c>
      <c r="B2559" s="416">
        <v>1100755</v>
      </c>
      <c r="C2559" s="413" t="str">
        <f>IFERROR(INDEX(Table14[],MATCH($B2559,Table14[SAPNo],0),3),"")</f>
        <v>Round 1613 CT421  0.018" (S)</v>
      </c>
      <c r="D2559" s="306"/>
      <c r="E2559" s="421">
        <v>21</v>
      </c>
      <c r="F2559" s="421"/>
      <c r="G2559" s="417" t="s">
        <v>2015</v>
      </c>
      <c r="H2559" s="598">
        <v>14178479</v>
      </c>
      <c r="I2559" s="322" t="s">
        <v>2016</v>
      </c>
      <c r="J2559" s="418"/>
      <c r="K2559" s="248"/>
      <c r="M2559" s="366"/>
      <c r="AF2559">
        <v>21</v>
      </c>
    </row>
    <row r="2560" spans="1:32" x14ac:dyDescent="0.25">
      <c r="A2560" s="308">
        <v>45505</v>
      </c>
      <c r="B2560" s="416">
        <v>1146737</v>
      </c>
      <c r="C2560" s="413" t="str">
        <f>IFERROR(INDEX(Table14[],MATCH($B2560,Table14[SAPNo],0),3),"")</f>
        <v>1613 CT418 18-60</v>
      </c>
      <c r="D2560" s="306"/>
      <c r="E2560" s="421">
        <v>8</v>
      </c>
      <c r="F2560" s="421"/>
      <c r="G2560" s="417" t="s">
        <v>2015</v>
      </c>
      <c r="H2560" s="598">
        <v>14178479</v>
      </c>
      <c r="I2560" s="322" t="s">
        <v>2016</v>
      </c>
      <c r="J2560" s="418"/>
      <c r="K2560" s="248"/>
      <c r="M2560" s="366"/>
      <c r="AF2560">
        <v>8</v>
      </c>
    </row>
    <row r="2561" spans="1:32" x14ac:dyDescent="0.25">
      <c r="A2561" s="308">
        <v>45505</v>
      </c>
      <c r="B2561" s="416">
        <v>1163820</v>
      </c>
      <c r="C2561" s="413" t="str">
        <f>IFERROR(INDEX(Table14[],MATCH($B2561,Table14[SAPNo],0),3),"")</f>
        <v>1613 CT156 0.018"</v>
      </c>
      <c r="D2561" s="306"/>
      <c r="E2561" s="421">
        <v>6</v>
      </c>
      <c r="F2561" s="421"/>
      <c r="G2561" s="417" t="s">
        <v>2015</v>
      </c>
      <c r="H2561" s="598">
        <v>14178479</v>
      </c>
      <c r="I2561" s="322" t="s">
        <v>2016</v>
      </c>
      <c r="J2561" s="418"/>
      <c r="K2561" s="248"/>
      <c r="M2561" s="366"/>
      <c r="AF2561">
        <v>6</v>
      </c>
    </row>
    <row r="2562" spans="1:32" x14ac:dyDescent="0.25">
      <c r="A2562" s="308">
        <v>45505</v>
      </c>
      <c r="B2562" s="416">
        <v>1208601</v>
      </c>
      <c r="C2562" s="413" t="str">
        <f>IFERROR(INDEX(Table14[],MATCH($B2562,Table14[SAPNo],0),3),"")</f>
        <v>1613 CT418 U-60</v>
      </c>
      <c r="D2562" s="306"/>
      <c r="E2562" s="421">
        <v>11</v>
      </c>
      <c r="F2562" s="421"/>
      <c r="G2562" s="417" t="s">
        <v>2015</v>
      </c>
      <c r="H2562" s="598">
        <v>14178479</v>
      </c>
      <c r="I2562" s="322" t="s">
        <v>2016</v>
      </c>
      <c r="J2562" s="418"/>
      <c r="K2562" s="248"/>
      <c r="M2562" s="366"/>
      <c r="AF2562">
        <v>11</v>
      </c>
    </row>
    <row r="2563" spans="1:32" x14ac:dyDescent="0.25">
      <c r="A2563" s="308">
        <v>45505</v>
      </c>
      <c r="B2563" s="416">
        <v>1261615</v>
      </c>
      <c r="C2563" s="413" t="str">
        <f>IFERROR(INDEX(Table14[],MATCH($B2563,Table14[SAPNo],0),3),"")</f>
        <v>1613 CT172R U</v>
      </c>
      <c r="D2563" s="306"/>
      <c r="E2563" s="421">
        <v>30</v>
      </c>
      <c r="F2563" s="421"/>
      <c r="G2563" s="417" t="s">
        <v>2015</v>
      </c>
      <c r="H2563" s="598">
        <v>14178479</v>
      </c>
      <c r="I2563" s="322" t="s">
        <v>2016</v>
      </c>
      <c r="J2563" s="418"/>
      <c r="K2563" s="248"/>
      <c r="M2563" s="366"/>
      <c r="AF2563">
        <v>30</v>
      </c>
    </row>
    <row r="2564" spans="1:32" x14ac:dyDescent="0.25">
      <c r="A2564" s="308">
        <v>45505</v>
      </c>
      <c r="B2564" s="416">
        <v>625854</v>
      </c>
      <c r="C2564" s="413" t="str">
        <f>IFERROR(INDEX(Table14[],MATCH($B2564,Table14[SAPNo],0),3),"")</f>
        <v>Carbide IA 1318    (C)</v>
      </c>
      <c r="D2564" s="306"/>
      <c r="E2564" s="421">
        <v>6</v>
      </c>
      <c r="F2564" s="421"/>
      <c r="G2564" s="417" t="s">
        <v>2015</v>
      </c>
      <c r="H2564" s="598">
        <v>14178479</v>
      </c>
      <c r="I2564" s="322" t="s">
        <v>2016</v>
      </c>
      <c r="J2564" s="418"/>
      <c r="K2564" s="248"/>
      <c r="M2564" s="366"/>
      <c r="AF2564">
        <v>6</v>
      </c>
    </row>
    <row r="2565" spans="1:32" x14ac:dyDescent="0.25">
      <c r="A2565" s="308">
        <v>45505</v>
      </c>
      <c r="B2565" s="416">
        <v>871781</v>
      </c>
      <c r="C2565" s="413" t="str">
        <f>IFERROR(INDEX(Table14[],MATCH($B2565,Table14[SAPNo],0),3),"")</f>
        <v>Round 1313 CT200  0.018" (B)</v>
      </c>
      <c r="D2565" s="306"/>
      <c r="E2565" s="421">
        <v>7</v>
      </c>
      <c r="F2565" s="421"/>
      <c r="G2565" s="417" t="s">
        <v>2015</v>
      </c>
      <c r="H2565" s="598">
        <v>14178479</v>
      </c>
      <c r="I2565" s="322" t="s">
        <v>2016</v>
      </c>
      <c r="J2565" s="418"/>
      <c r="K2565" s="248"/>
      <c r="M2565" s="366"/>
      <c r="AF2565">
        <v>7</v>
      </c>
    </row>
    <row r="2566" spans="1:32" x14ac:dyDescent="0.25">
      <c r="A2566" s="308">
        <v>45505</v>
      </c>
      <c r="B2566" s="416">
        <v>871781</v>
      </c>
      <c r="C2566" s="413" t="str">
        <f>IFERROR(INDEX(Table14[],MATCH($B2566,Table14[SAPNo],0),3),"")</f>
        <v>Round 1313 CT200  0.018" (B)</v>
      </c>
      <c r="D2566" s="306"/>
      <c r="E2566" s="421">
        <v>7</v>
      </c>
      <c r="F2566" s="421"/>
      <c r="G2566" s="417" t="s">
        <v>2017</v>
      </c>
      <c r="H2566" s="598">
        <v>14155384</v>
      </c>
      <c r="I2566" s="322" t="s">
        <v>2018</v>
      </c>
      <c r="J2566" s="418"/>
      <c r="K2566" s="248"/>
      <c r="M2566" s="366"/>
      <c r="AF2566">
        <v>7</v>
      </c>
    </row>
    <row r="2567" spans="1:32" x14ac:dyDescent="0.25">
      <c r="A2567" s="308">
        <v>45505</v>
      </c>
      <c r="B2567" s="416">
        <v>1228502</v>
      </c>
      <c r="C2567" s="413" t="str">
        <f>IFERROR(INDEX(Table14[],MATCH($B2567,Table14[SAPNo],0),3),"")</f>
        <v>1618 CT182 U-60 Rotor</v>
      </c>
      <c r="D2567" s="306"/>
      <c r="E2567" s="421">
        <v>17</v>
      </c>
      <c r="F2567" s="421"/>
      <c r="G2567" s="417" t="s">
        <v>2017</v>
      </c>
      <c r="H2567" s="598">
        <v>14155384</v>
      </c>
      <c r="I2567" s="322" t="s">
        <v>2018</v>
      </c>
      <c r="J2567" s="418"/>
      <c r="K2567" s="248"/>
      <c r="M2567" s="366"/>
      <c r="AF2567">
        <v>17</v>
      </c>
    </row>
    <row r="2568" spans="1:32" x14ac:dyDescent="0.25">
      <c r="A2568" s="308">
        <v>45505</v>
      </c>
      <c r="B2568" s="416">
        <v>1126402</v>
      </c>
      <c r="C2568" s="413" t="str">
        <f>IFERROR(INDEX(Table14[],MATCH($B2568,Table14[SAPNo],0),3),"")</f>
        <v>1613 CT421 16-60</v>
      </c>
      <c r="D2568" s="306"/>
      <c r="E2568" s="421">
        <v>6</v>
      </c>
      <c r="F2568" s="421"/>
      <c r="G2568" s="417" t="s">
        <v>2017</v>
      </c>
      <c r="H2568" s="598">
        <v>14155384</v>
      </c>
      <c r="I2568" s="322" t="s">
        <v>2018</v>
      </c>
      <c r="J2568" s="418"/>
      <c r="K2568" s="248"/>
      <c r="M2568" s="366"/>
      <c r="AF2568">
        <v>6</v>
      </c>
    </row>
    <row r="2569" spans="1:32" x14ac:dyDescent="0.25">
      <c r="A2569" s="308">
        <v>45505</v>
      </c>
      <c r="B2569" s="416">
        <v>1228503</v>
      </c>
      <c r="C2569" s="413" t="str">
        <f>IFERROR(INDEX(Table14[],MATCH($B2569,Table14[SAPNo],0),3),"")</f>
        <v>1618 CT182 U-60 Ring</v>
      </c>
      <c r="D2569" s="306"/>
      <c r="E2569" s="421">
        <v>17</v>
      </c>
      <c r="F2569" s="421"/>
      <c r="G2569" s="417" t="s">
        <v>2017</v>
      </c>
      <c r="H2569" s="598">
        <v>14155384</v>
      </c>
      <c r="I2569" s="322" t="s">
        <v>2018</v>
      </c>
      <c r="J2569" s="418"/>
      <c r="K2569" s="248"/>
      <c r="M2569" s="366"/>
      <c r="AF2569">
        <v>17</v>
      </c>
    </row>
    <row r="2570" spans="1:32" x14ac:dyDescent="0.25">
      <c r="A2570" s="308">
        <v>45505</v>
      </c>
      <c r="B2570" s="416">
        <v>1255773</v>
      </c>
      <c r="C2570" s="413" t="str">
        <f>IFERROR(INDEX(Table14[],MATCH($B2570,Table14[SAPNo],0),3),"")</f>
        <v>1613 CT154 U­60</v>
      </c>
      <c r="D2570" s="306"/>
      <c r="E2570" s="421">
        <v>18</v>
      </c>
      <c r="F2570" s="421"/>
      <c r="G2570" s="417" t="s">
        <v>2017</v>
      </c>
      <c r="H2570" s="598">
        <v>14155384</v>
      </c>
      <c r="I2570" s="322" t="s">
        <v>2018</v>
      </c>
      <c r="J2570" s="418"/>
      <c r="K2570" s="248"/>
      <c r="M2570" s="366"/>
      <c r="AF2570">
        <v>18</v>
      </c>
    </row>
    <row r="2571" spans="1:32" x14ac:dyDescent="0.25">
      <c r="A2571" s="308">
        <v>45505</v>
      </c>
      <c r="B2571" s="416">
        <v>1261319</v>
      </c>
      <c r="C2571" s="413" t="str">
        <f>IFERROR(INDEX(Table14[],MATCH($B2571,Table14[SAPNo],0),3),"")</f>
        <v>1308 CT155 U-60</v>
      </c>
      <c r="D2571" s="306"/>
      <c r="E2571" s="421">
        <v>21</v>
      </c>
      <c r="F2571" s="421"/>
      <c r="G2571" s="417" t="s">
        <v>2017</v>
      </c>
      <c r="H2571" s="598">
        <v>14155384</v>
      </c>
      <c r="I2571" s="322" t="s">
        <v>2018</v>
      </c>
      <c r="J2571" s="418"/>
      <c r="K2571" s="248"/>
      <c r="M2571" s="366"/>
      <c r="AF2571">
        <v>21</v>
      </c>
    </row>
    <row r="2572" spans="1:32" x14ac:dyDescent="0.25">
      <c r="A2572" s="308">
        <v>45505</v>
      </c>
      <c r="B2572" s="416">
        <v>625854</v>
      </c>
      <c r="C2572" s="413" t="str">
        <f>IFERROR(INDEX(Table14[],MATCH($B2572,Table14[SAPNo],0),3),"")</f>
        <v>Carbide IA 1318    (C)</v>
      </c>
      <c r="D2572" s="306"/>
      <c r="E2572" s="421">
        <v>6</v>
      </c>
      <c r="F2572" s="421"/>
      <c r="G2572" s="417" t="s">
        <v>2017</v>
      </c>
      <c r="H2572" s="598">
        <v>14155384</v>
      </c>
      <c r="I2572" s="322" t="s">
        <v>2018</v>
      </c>
      <c r="J2572" s="418"/>
      <c r="K2572" s="248"/>
      <c r="M2572" s="366"/>
      <c r="AF2572">
        <v>6</v>
      </c>
    </row>
    <row r="2573" spans="1:32" x14ac:dyDescent="0.25">
      <c r="A2573" s="308">
        <v>45505</v>
      </c>
      <c r="B2573" s="416">
        <v>1228501</v>
      </c>
      <c r="C2573" s="413" t="str">
        <f>IFERROR(INDEX(Table14[],MATCH($B2573,Table14[SAPNo],0),3),"")</f>
        <v>1618 CT182 U-60 stator</v>
      </c>
      <c r="D2573" s="306"/>
      <c r="E2573" s="421">
        <v>17</v>
      </c>
      <c r="F2573" s="421"/>
      <c r="G2573" s="417" t="s">
        <v>2017</v>
      </c>
      <c r="H2573" s="598">
        <v>14155384</v>
      </c>
      <c r="I2573" s="322" t="s">
        <v>2018</v>
      </c>
      <c r="J2573" s="418"/>
      <c r="K2573" s="248"/>
      <c r="M2573" s="366"/>
      <c r="AF2573">
        <v>17</v>
      </c>
    </row>
    <row r="2574" spans="1:32" x14ac:dyDescent="0.25">
      <c r="A2574" s="320">
        <v>45505</v>
      </c>
      <c r="B2574" s="419">
        <v>1220554</v>
      </c>
      <c r="C2574" s="413" t="str">
        <f>IFERROR(INDEX(Table14[],MATCH($B2574,Table14[SAPNo],0),3),"")</f>
        <v xml:space="preserve">1618 CT182 U-60 Carbide </v>
      </c>
      <c r="D2574" s="306"/>
      <c r="E2574" s="421">
        <v>17</v>
      </c>
      <c r="F2574" s="421"/>
      <c r="G2574" s="420" t="s">
        <v>2017</v>
      </c>
      <c r="H2574" s="599">
        <v>14155384</v>
      </c>
      <c r="I2574" s="322" t="s">
        <v>2018</v>
      </c>
      <c r="J2574" s="421"/>
      <c r="K2574" s="422"/>
      <c r="M2574" s="366"/>
      <c r="AF2574">
        <v>17</v>
      </c>
    </row>
    <row r="2575" spans="1:32" x14ac:dyDescent="0.25">
      <c r="A2575" s="308">
        <v>45505</v>
      </c>
      <c r="B2575" s="416">
        <v>717748</v>
      </c>
      <c r="C2575" s="413" t="str">
        <f>IFERROR(INDEX(Table14[],MATCH($B2575,Table14[SAPNo],0),3),"")</f>
        <v>Round 1010 CT200  0.018" (B)</v>
      </c>
      <c r="D2575" s="306"/>
      <c r="E2575" s="421"/>
      <c r="F2575" s="421"/>
      <c r="G2575" s="417">
        <v>20241120</v>
      </c>
      <c r="H2575" s="598" t="s">
        <v>2019</v>
      </c>
      <c r="I2575" s="322" t="s">
        <v>1268</v>
      </c>
      <c r="J2575" s="418">
        <v>6</v>
      </c>
      <c r="K2575" s="248"/>
      <c r="M2575" s="422"/>
    </row>
    <row r="2576" spans="1:32" x14ac:dyDescent="0.25">
      <c r="A2576" s="308">
        <v>45505</v>
      </c>
      <c r="B2576" s="416">
        <v>1209332</v>
      </c>
      <c r="C2576" s="413" t="str">
        <f>IFERROR(INDEX(Table14[],MATCH($B2576,Table14[SAPNo],0),3),"")</f>
        <v>1313 CT147G U</v>
      </c>
      <c r="D2576" s="306"/>
      <c r="E2576" s="421"/>
      <c r="F2576" s="421"/>
      <c r="G2576" s="417">
        <v>20241122</v>
      </c>
      <c r="H2576" s="598" t="s">
        <v>2004</v>
      </c>
      <c r="I2576" s="322" t="s">
        <v>1937</v>
      </c>
      <c r="J2576" s="418">
        <v>2</v>
      </c>
      <c r="K2576" s="248"/>
      <c r="M2576" s="366"/>
    </row>
    <row r="2577" spans="1:32" x14ac:dyDescent="0.25">
      <c r="A2577" s="308">
        <v>45505</v>
      </c>
      <c r="B2577" s="416">
        <v>1145493</v>
      </c>
      <c r="C2577" s="413" t="str">
        <f>IFERROR(INDEX(Table14[],MATCH($B2577,Table14[SAPNo],0),3),"")</f>
        <v>Round 1313 CT427  10C (S)</v>
      </c>
      <c r="D2577" s="306"/>
      <c r="E2577" s="421"/>
      <c r="F2577" s="421"/>
      <c r="G2577" s="417">
        <v>20241122</v>
      </c>
      <c r="H2577" s="598" t="s">
        <v>2004</v>
      </c>
      <c r="I2577" s="322" t="s">
        <v>1937</v>
      </c>
      <c r="J2577" s="418">
        <v>5</v>
      </c>
      <c r="K2577" s="248"/>
      <c r="M2577" s="366"/>
    </row>
    <row r="2578" spans="1:32" x14ac:dyDescent="0.25">
      <c r="A2578" s="308">
        <v>45506</v>
      </c>
      <c r="B2578" s="416">
        <v>1100696</v>
      </c>
      <c r="C2578" s="413" t="str">
        <f>IFERROR(INDEX(Table14[],MATCH($B2578,Table14[SAPNo],0),3),"")</f>
        <v>Round 1313 CT418  10C (S)</v>
      </c>
      <c r="D2578" s="306"/>
      <c r="E2578" s="421"/>
      <c r="F2578" s="421"/>
      <c r="G2578" s="417" t="s">
        <v>2003</v>
      </c>
      <c r="H2578" s="598" t="s">
        <v>2004</v>
      </c>
      <c r="I2578" s="322" t="s">
        <v>1937</v>
      </c>
      <c r="J2578" s="418">
        <v>5</v>
      </c>
      <c r="K2578" s="248"/>
      <c r="M2578" s="366"/>
    </row>
    <row r="2579" spans="1:32" x14ac:dyDescent="0.25">
      <c r="A2579" s="308">
        <v>45506</v>
      </c>
      <c r="B2579" s="416">
        <v>1209332</v>
      </c>
      <c r="C2579" s="413" t="str">
        <f>IFERROR(INDEX(Table14[],MATCH($B2579,Table14[SAPNo],0),3),"")</f>
        <v>1313 CT147G U</v>
      </c>
      <c r="D2579" s="306"/>
      <c r="E2579" s="421"/>
      <c r="F2579" s="421"/>
      <c r="G2579" s="417">
        <v>20241123</v>
      </c>
      <c r="H2579" s="598">
        <v>14190156</v>
      </c>
      <c r="I2579" s="322" t="s">
        <v>1322</v>
      </c>
      <c r="J2579" s="418">
        <v>2</v>
      </c>
      <c r="K2579" s="248"/>
      <c r="M2579" s="366"/>
    </row>
    <row r="2580" spans="1:32" x14ac:dyDescent="0.25">
      <c r="A2580" s="308">
        <v>45506</v>
      </c>
      <c r="B2580" s="416">
        <v>1100696</v>
      </c>
      <c r="C2580" s="413" t="str">
        <f>IFERROR(INDEX(Table14[],MATCH($B2580,Table14[SAPNo],0),3),"")</f>
        <v>Round 1313 CT418  10C (S)</v>
      </c>
      <c r="D2580" s="306"/>
      <c r="E2580" s="421"/>
      <c r="F2580" s="421"/>
      <c r="G2580" s="417">
        <v>20241123</v>
      </c>
      <c r="H2580" s="598">
        <v>14190156</v>
      </c>
      <c r="I2580" s="322" t="s">
        <v>1322</v>
      </c>
      <c r="J2580" s="418">
        <v>1</v>
      </c>
      <c r="K2580" s="248"/>
      <c r="M2580" s="366"/>
    </row>
    <row r="2581" spans="1:32" x14ac:dyDescent="0.25">
      <c r="A2581" s="320">
        <v>45506</v>
      </c>
      <c r="B2581" s="419">
        <v>1100696</v>
      </c>
      <c r="C2581" s="413" t="str">
        <f>IFERROR(INDEX(Table14[],MATCH($B2581,Table14[SAPNo],0),3),"")</f>
        <v>Round 1313 CT418  10C (S)</v>
      </c>
      <c r="D2581" s="306"/>
      <c r="E2581" s="421"/>
      <c r="F2581" s="421"/>
      <c r="G2581" s="420">
        <v>20241124</v>
      </c>
      <c r="H2581" s="599" t="s">
        <v>2020</v>
      </c>
      <c r="I2581" s="322" t="s">
        <v>1297</v>
      </c>
      <c r="J2581" s="421">
        <v>3</v>
      </c>
      <c r="K2581" s="422"/>
      <c r="M2581" s="366"/>
    </row>
    <row r="2582" spans="1:32" x14ac:dyDescent="0.25">
      <c r="A2582" s="308">
        <v>45508</v>
      </c>
      <c r="B2582" s="416">
        <v>871781</v>
      </c>
      <c r="C2582" s="413" t="str">
        <f>IFERROR(INDEX(Table14[],MATCH($B2582,Table14[SAPNo],0),3),"")</f>
        <v>Round 1313 CT200  0.018" (B)</v>
      </c>
      <c r="D2582" s="306"/>
      <c r="E2582" s="421">
        <v>6</v>
      </c>
      <c r="F2582" s="421"/>
      <c r="G2582" s="417" t="s">
        <v>2021</v>
      </c>
      <c r="H2582" s="598">
        <v>14214975</v>
      </c>
      <c r="I2582" s="322" t="s">
        <v>2009</v>
      </c>
      <c r="J2582" s="418"/>
      <c r="K2582" s="248"/>
      <c r="M2582" s="422"/>
      <c r="AF2582">
        <v>6</v>
      </c>
    </row>
    <row r="2583" spans="1:32" x14ac:dyDescent="0.25">
      <c r="A2583" s="308">
        <v>45508</v>
      </c>
      <c r="B2583" s="416">
        <v>647435</v>
      </c>
      <c r="C2583" s="413" t="str">
        <f>IFERROR(INDEX(Table14[],MATCH($B2583,Table14[SAPNo],0),3),"")</f>
        <v>Round 1608 CT200  0.018" (B)</v>
      </c>
      <c r="D2583" s="306"/>
      <c r="E2583" s="421">
        <v>23</v>
      </c>
      <c r="F2583" s="421"/>
      <c r="G2583" s="417" t="s">
        <v>2021</v>
      </c>
      <c r="H2583" s="598">
        <v>14214975</v>
      </c>
      <c r="I2583" s="322" t="s">
        <v>2009</v>
      </c>
      <c r="J2583" s="418"/>
      <c r="K2583" s="248"/>
      <c r="M2583" s="366"/>
      <c r="AF2583">
        <v>23</v>
      </c>
    </row>
    <row r="2584" spans="1:32" x14ac:dyDescent="0.25">
      <c r="A2584" s="308">
        <v>45508</v>
      </c>
      <c r="B2584" s="416">
        <v>1100755</v>
      </c>
      <c r="C2584" s="413" t="str">
        <f>IFERROR(INDEX(Table14[],MATCH($B2584,Table14[SAPNo],0),3),"")</f>
        <v>Round 1613 CT421  0.018" (S)</v>
      </c>
      <c r="D2584" s="306"/>
      <c r="E2584" s="421">
        <v>33</v>
      </c>
      <c r="F2584" s="421"/>
      <c r="G2584" s="417" t="s">
        <v>2021</v>
      </c>
      <c r="H2584" s="598">
        <v>14214975</v>
      </c>
      <c r="I2584" s="322" t="s">
        <v>2009</v>
      </c>
      <c r="J2584" s="418"/>
      <c r="K2584" s="248"/>
      <c r="M2584" s="366"/>
      <c r="AF2584">
        <v>33</v>
      </c>
    </row>
    <row r="2585" spans="1:32" x14ac:dyDescent="0.25">
      <c r="A2585" s="308">
        <v>45508</v>
      </c>
      <c r="B2585" s="416">
        <v>871781</v>
      </c>
      <c r="C2585" s="413" t="str">
        <f>IFERROR(INDEX(Table14[],MATCH($B2585,Table14[SAPNo],0),3),"")</f>
        <v>Round 1313 CT200  0.018" (B)</v>
      </c>
      <c r="D2585" s="306"/>
      <c r="E2585" s="421">
        <v>8</v>
      </c>
      <c r="F2585" s="421"/>
      <c r="G2585" s="417" t="s">
        <v>2022</v>
      </c>
      <c r="H2585" s="598">
        <v>14210778</v>
      </c>
      <c r="I2585" s="322" t="s">
        <v>2023</v>
      </c>
      <c r="J2585" s="418"/>
      <c r="K2585" s="248"/>
      <c r="M2585" s="366"/>
      <c r="AF2585">
        <v>8</v>
      </c>
    </row>
    <row r="2586" spans="1:32" x14ac:dyDescent="0.25">
      <c r="A2586" s="308">
        <v>45508</v>
      </c>
      <c r="B2586" s="416">
        <v>708306</v>
      </c>
      <c r="C2586" s="413" t="str">
        <f>IFERROR(INDEX(Table14[],MATCH($B2586,Table14[SAPNo],0),3),"")</f>
        <v>Round 1913 CT200  0.018" (B)</v>
      </c>
      <c r="D2586" s="306"/>
      <c r="E2586" s="421">
        <v>34</v>
      </c>
      <c r="F2586" s="421"/>
      <c r="G2586" s="417" t="s">
        <v>2022</v>
      </c>
      <c r="H2586" s="598">
        <v>14210778</v>
      </c>
      <c r="I2586" s="322" t="s">
        <v>2023</v>
      </c>
      <c r="J2586" s="418"/>
      <c r="K2586" s="248"/>
      <c r="M2586" s="366"/>
      <c r="AF2586">
        <v>34</v>
      </c>
    </row>
    <row r="2587" spans="1:32" x14ac:dyDescent="0.25">
      <c r="A2587" s="308">
        <v>45508</v>
      </c>
      <c r="B2587" s="416">
        <v>1100759</v>
      </c>
      <c r="C2587" s="413" t="str">
        <f>IFERROR(INDEX(Table14[],MATCH($B2587,Table14[SAPNo],0),3),"")</f>
        <v>1913 CT421 0.018"</v>
      </c>
      <c r="D2587" s="306"/>
      <c r="E2587" s="421">
        <v>48</v>
      </c>
      <c r="F2587" s="421"/>
      <c r="G2587" s="417" t="s">
        <v>2022</v>
      </c>
      <c r="H2587" s="598">
        <v>14210778</v>
      </c>
      <c r="I2587" s="322" t="s">
        <v>2023</v>
      </c>
      <c r="J2587" s="418"/>
      <c r="K2587" s="248"/>
      <c r="M2587" s="366"/>
      <c r="AF2587">
        <v>48</v>
      </c>
    </row>
    <row r="2588" spans="1:32" x14ac:dyDescent="0.25">
      <c r="A2588" s="308">
        <v>45508</v>
      </c>
      <c r="B2588" s="416">
        <v>1100755</v>
      </c>
      <c r="C2588" s="413" t="str">
        <f>IFERROR(INDEX(Table14[],MATCH($B2588,Table14[SAPNo],0),3),"")</f>
        <v>Round 1613 CT421  0.018" (S)</v>
      </c>
      <c r="D2588" s="306"/>
      <c r="E2588" s="421">
        <v>9</v>
      </c>
      <c r="F2588" s="421"/>
      <c r="G2588" s="417" t="s">
        <v>2022</v>
      </c>
      <c r="H2588" s="598">
        <v>14210778</v>
      </c>
      <c r="I2588" s="322" t="s">
        <v>2023</v>
      </c>
      <c r="J2588" s="418"/>
      <c r="K2588" s="248"/>
      <c r="M2588" s="366"/>
      <c r="AF2588">
        <v>9</v>
      </c>
    </row>
    <row r="2589" spans="1:32" x14ac:dyDescent="0.25">
      <c r="A2589" s="308">
        <v>45509</v>
      </c>
      <c r="B2589" s="416">
        <v>871781</v>
      </c>
      <c r="C2589" s="413" t="str">
        <f>IFERROR(INDEX(Table14[],MATCH($B2589,Table14[SAPNo],0),3),"")</f>
        <v>Round 1313 CT200  0.018" (B)</v>
      </c>
      <c r="D2589" s="306"/>
      <c r="E2589" s="421">
        <v>8</v>
      </c>
      <c r="F2589" s="421"/>
      <c r="G2589" s="417" t="s">
        <v>2024</v>
      </c>
      <c r="H2589" s="598">
        <v>14210779</v>
      </c>
      <c r="I2589" s="322" t="s">
        <v>2023</v>
      </c>
      <c r="J2589" s="418"/>
      <c r="K2589" s="248"/>
      <c r="M2589" s="366"/>
      <c r="AF2589">
        <v>8</v>
      </c>
    </row>
    <row r="2590" spans="1:32" x14ac:dyDescent="0.25">
      <c r="A2590" s="308">
        <v>45509</v>
      </c>
      <c r="B2590" s="416">
        <v>708306</v>
      </c>
      <c r="C2590" s="413" t="str">
        <f>IFERROR(INDEX(Table14[],MATCH($B2590,Table14[SAPNo],0),3),"")</f>
        <v>Round 1913 CT200  0.018" (B)</v>
      </c>
      <c r="D2590" s="306"/>
      <c r="E2590" s="421">
        <v>34</v>
      </c>
      <c r="F2590" s="421"/>
      <c r="G2590" s="417" t="s">
        <v>2024</v>
      </c>
      <c r="H2590" s="598">
        <v>14210779</v>
      </c>
      <c r="I2590" s="322" t="s">
        <v>2023</v>
      </c>
      <c r="J2590" s="418"/>
      <c r="K2590" s="248"/>
      <c r="M2590" s="366"/>
      <c r="AF2590">
        <v>34</v>
      </c>
    </row>
    <row r="2591" spans="1:32" x14ac:dyDescent="0.25">
      <c r="A2591" s="308">
        <v>45509</v>
      </c>
      <c r="B2591" s="416">
        <v>1100759</v>
      </c>
      <c r="C2591" s="413" t="str">
        <f>IFERROR(INDEX(Table14[],MATCH($B2591,Table14[SAPNo],0),3),"")</f>
        <v>1913 CT421 0.018"</v>
      </c>
      <c r="D2591" s="306"/>
      <c r="E2591" s="421">
        <v>48</v>
      </c>
      <c r="F2591" s="421"/>
      <c r="G2591" s="417" t="s">
        <v>2024</v>
      </c>
      <c r="H2591" s="598">
        <v>14210779</v>
      </c>
      <c r="I2591" s="322" t="s">
        <v>2023</v>
      </c>
      <c r="J2591" s="418"/>
      <c r="K2591" s="248"/>
      <c r="M2591" s="366"/>
      <c r="AF2591">
        <v>48</v>
      </c>
    </row>
    <row r="2592" spans="1:32" x14ac:dyDescent="0.25">
      <c r="A2592" s="320">
        <v>45509</v>
      </c>
      <c r="B2592" s="419">
        <v>1100755</v>
      </c>
      <c r="C2592" s="413" t="str">
        <f>IFERROR(INDEX(Table14[],MATCH($B2592,Table14[SAPNo],0),3),"")</f>
        <v>Round 1613 CT421  0.018" (S)</v>
      </c>
      <c r="D2592" s="306"/>
      <c r="E2592" s="421">
        <v>9</v>
      </c>
      <c r="F2592" s="421"/>
      <c r="G2592" s="420" t="s">
        <v>2024</v>
      </c>
      <c r="H2592" s="599">
        <v>14210779</v>
      </c>
      <c r="I2592" s="322" t="s">
        <v>2023</v>
      </c>
      <c r="J2592" s="421"/>
      <c r="K2592" s="422"/>
      <c r="M2592" s="366"/>
      <c r="AF2592">
        <v>9</v>
      </c>
    </row>
    <row r="2593" spans="1:32" x14ac:dyDescent="0.25">
      <c r="A2593" s="308">
        <v>45510</v>
      </c>
      <c r="B2593" s="416">
        <v>1261615</v>
      </c>
      <c r="C2593" s="413" t="str">
        <f>IFERROR(INDEX(Table14[],MATCH($B2593,Table14[SAPNo],0),3),"")</f>
        <v>1613 CT172R U</v>
      </c>
      <c r="D2593" s="306"/>
      <c r="E2593" s="421">
        <v>30</v>
      </c>
      <c r="F2593" s="421"/>
      <c r="G2593" s="417" t="s">
        <v>2025</v>
      </c>
      <c r="H2593" s="598">
        <v>14199927</v>
      </c>
      <c r="I2593" s="322" t="s">
        <v>1991</v>
      </c>
      <c r="J2593" s="418"/>
      <c r="K2593" s="248"/>
      <c r="M2593" s="422"/>
      <c r="AF2593">
        <v>30</v>
      </c>
    </row>
    <row r="2594" spans="1:32" x14ac:dyDescent="0.25">
      <c r="A2594" s="308">
        <v>45510</v>
      </c>
      <c r="B2594" s="416">
        <v>871781</v>
      </c>
      <c r="C2594" s="413" t="str">
        <f>IFERROR(INDEX(Table14[],MATCH($B2594,Table14[SAPNo],0),3),"")</f>
        <v>Round 1313 CT200  0.018" (B)</v>
      </c>
      <c r="D2594" s="306"/>
      <c r="E2594" s="421">
        <v>7</v>
      </c>
      <c r="F2594" s="421"/>
      <c r="G2594" s="417" t="s">
        <v>2025</v>
      </c>
      <c r="H2594" s="598">
        <v>14199927</v>
      </c>
      <c r="I2594" s="322" t="s">
        <v>1991</v>
      </c>
      <c r="J2594" s="418"/>
      <c r="K2594" s="248"/>
      <c r="M2594" s="366"/>
      <c r="AF2594">
        <v>7</v>
      </c>
    </row>
    <row r="2595" spans="1:32" x14ac:dyDescent="0.25">
      <c r="A2595" s="308">
        <v>45510</v>
      </c>
      <c r="B2595" s="416">
        <v>1163820</v>
      </c>
      <c r="C2595" s="413" t="str">
        <f>IFERROR(INDEX(Table14[],MATCH($B2595,Table14[SAPNo],0),3),"")</f>
        <v>1613 CT156 0.018"</v>
      </c>
      <c r="D2595" s="306"/>
      <c r="E2595" s="421">
        <v>6</v>
      </c>
      <c r="F2595" s="421"/>
      <c r="G2595" s="417" t="s">
        <v>2025</v>
      </c>
      <c r="H2595" s="598">
        <v>14199927</v>
      </c>
      <c r="I2595" s="322" t="s">
        <v>1991</v>
      </c>
      <c r="J2595" s="418"/>
      <c r="K2595" s="248"/>
      <c r="M2595" s="366"/>
      <c r="AF2595">
        <v>6</v>
      </c>
    </row>
    <row r="2596" spans="1:32" x14ac:dyDescent="0.25">
      <c r="A2596" s="308">
        <v>45510</v>
      </c>
      <c r="B2596" s="416">
        <v>1146737</v>
      </c>
      <c r="C2596" s="413" t="str">
        <f>IFERROR(INDEX(Table14[],MATCH($B2596,Table14[SAPNo],0),3),"")</f>
        <v>1613 CT418 18-60</v>
      </c>
      <c r="D2596" s="306"/>
      <c r="E2596" s="421">
        <v>8</v>
      </c>
      <c r="F2596" s="421"/>
      <c r="G2596" s="417" t="s">
        <v>2025</v>
      </c>
      <c r="H2596" s="598">
        <v>14199927</v>
      </c>
      <c r="I2596" s="322" t="s">
        <v>1991</v>
      </c>
      <c r="J2596" s="418"/>
      <c r="K2596" s="248"/>
      <c r="M2596" s="366"/>
      <c r="AF2596">
        <v>8</v>
      </c>
    </row>
    <row r="2597" spans="1:32" x14ac:dyDescent="0.25">
      <c r="A2597" s="308">
        <v>45510</v>
      </c>
      <c r="B2597" s="416">
        <v>625854</v>
      </c>
      <c r="C2597" s="413" t="str">
        <f>IFERROR(INDEX(Table14[],MATCH($B2597,Table14[SAPNo],0),3),"")</f>
        <v>Carbide IA 1318    (C)</v>
      </c>
      <c r="D2597" s="306"/>
      <c r="E2597" s="421">
        <v>6</v>
      </c>
      <c r="F2597" s="421"/>
      <c r="G2597" s="417" t="s">
        <v>2025</v>
      </c>
      <c r="H2597" s="598">
        <v>14199927</v>
      </c>
      <c r="I2597" s="322" t="s">
        <v>1991</v>
      </c>
      <c r="J2597" s="418"/>
      <c r="K2597" s="248"/>
      <c r="M2597" s="366"/>
      <c r="AF2597">
        <v>6</v>
      </c>
    </row>
    <row r="2598" spans="1:32" x14ac:dyDescent="0.25">
      <c r="A2598" s="308">
        <v>45510</v>
      </c>
      <c r="B2598" s="416">
        <v>1100755</v>
      </c>
      <c r="C2598" s="413" t="str">
        <f>IFERROR(INDEX(Table14[],MATCH($B2598,Table14[SAPNo],0),3),"")</f>
        <v>Round 1613 CT421  0.018" (S)</v>
      </c>
      <c r="D2598" s="306"/>
      <c r="E2598" s="421">
        <v>21</v>
      </c>
      <c r="F2598" s="421"/>
      <c r="G2598" s="417" t="s">
        <v>2025</v>
      </c>
      <c r="H2598" s="598">
        <v>14199927</v>
      </c>
      <c r="I2598" s="322" t="s">
        <v>1991</v>
      </c>
      <c r="J2598" s="418"/>
      <c r="K2598" s="248"/>
      <c r="M2598" s="366"/>
      <c r="AF2598">
        <v>21</v>
      </c>
    </row>
    <row r="2599" spans="1:32" x14ac:dyDescent="0.25">
      <c r="A2599" s="308">
        <v>45510</v>
      </c>
      <c r="B2599" s="416">
        <v>1208601</v>
      </c>
      <c r="C2599" s="413" t="str">
        <f>IFERROR(INDEX(Table14[],MATCH($B2599,Table14[SAPNo],0),3),"")</f>
        <v>1613 CT418 U-60</v>
      </c>
      <c r="D2599" s="306"/>
      <c r="E2599" s="421">
        <v>11</v>
      </c>
      <c r="F2599" s="421"/>
      <c r="G2599" s="417" t="s">
        <v>2025</v>
      </c>
      <c r="H2599" s="598">
        <v>14199927</v>
      </c>
      <c r="I2599" s="322" t="s">
        <v>1991</v>
      </c>
      <c r="J2599" s="418"/>
      <c r="K2599" s="248"/>
      <c r="M2599" s="366"/>
      <c r="AF2599">
        <v>11</v>
      </c>
    </row>
    <row r="2600" spans="1:32" x14ac:dyDescent="0.25">
      <c r="A2600" s="308">
        <v>45511</v>
      </c>
      <c r="B2600" s="416">
        <v>1134751</v>
      </c>
      <c r="C2600" s="413" t="str">
        <f>IFERROR(INDEX(Table14[],MATCH($B2600,Table14[SAPNo],0),3),"")</f>
        <v xml:space="preserve"> 1308 CT182  0.01 (S)</v>
      </c>
      <c r="D2600" s="306"/>
      <c r="E2600" s="421">
        <v>2</v>
      </c>
      <c r="F2600" s="421"/>
      <c r="G2600" s="417" t="s">
        <v>2026</v>
      </c>
      <c r="H2600" s="598">
        <v>12002425</v>
      </c>
      <c r="I2600" s="322" t="s">
        <v>2027</v>
      </c>
      <c r="J2600" s="418"/>
      <c r="K2600" s="248"/>
      <c r="M2600" s="366"/>
      <c r="AF2600">
        <v>2</v>
      </c>
    </row>
    <row r="2601" spans="1:32" x14ac:dyDescent="0.25">
      <c r="A2601" s="308">
        <v>45511</v>
      </c>
      <c r="B2601" s="416">
        <v>418525</v>
      </c>
      <c r="C2601" s="413" t="str">
        <f>IFERROR(INDEX(Table14[],MATCH($B2601,Table14[SAPNo],0),3),"")</f>
        <v>Drop In 1308 CT31   (B)</v>
      </c>
      <c r="D2601" s="306"/>
      <c r="E2601" s="421">
        <v>5</v>
      </c>
      <c r="F2601" s="421"/>
      <c r="G2601" s="417" t="s">
        <v>2026</v>
      </c>
      <c r="H2601" s="598">
        <v>12002425</v>
      </c>
      <c r="I2601" s="322" t="s">
        <v>2027</v>
      </c>
      <c r="J2601" s="418"/>
      <c r="K2601" s="248"/>
      <c r="M2601" s="366"/>
      <c r="AF2601">
        <v>5</v>
      </c>
    </row>
    <row r="2602" spans="1:32" x14ac:dyDescent="0.25">
      <c r="A2602" s="308">
        <v>45511</v>
      </c>
      <c r="B2602" s="416">
        <v>729688</v>
      </c>
      <c r="C2602" s="413" t="str">
        <f>IFERROR(INDEX(Table14[],MATCH($B2602,Table14[SAPNo],0),3),"")</f>
        <v>Round 1308 CT82  0.018" (S)</v>
      </c>
      <c r="D2602" s="306"/>
      <c r="E2602" s="421"/>
      <c r="F2602" s="421"/>
      <c r="G2602" s="417" t="s">
        <v>2028</v>
      </c>
      <c r="H2602" s="598">
        <v>12002425</v>
      </c>
      <c r="I2602" s="322" t="s">
        <v>2027</v>
      </c>
      <c r="J2602" s="418"/>
      <c r="K2602" s="248" t="s">
        <v>2029</v>
      </c>
      <c r="M2602" s="366"/>
    </row>
    <row r="2603" spans="1:32" x14ac:dyDescent="0.25">
      <c r="A2603" s="308">
        <v>45511</v>
      </c>
      <c r="B2603" s="416">
        <v>1134751</v>
      </c>
      <c r="C2603" s="413" t="str">
        <f>IFERROR(INDEX(Table14[],MATCH($B2603,Table14[SAPNo],0),3),"")</f>
        <v xml:space="preserve"> 1308 CT182  0.01 (S)</v>
      </c>
      <c r="D2603" s="306"/>
      <c r="E2603" s="421">
        <v>0</v>
      </c>
      <c r="F2603" s="421"/>
      <c r="G2603" s="417" t="s">
        <v>2028</v>
      </c>
      <c r="H2603" s="598">
        <v>12002425</v>
      </c>
      <c r="I2603" s="322" t="s">
        <v>2027</v>
      </c>
      <c r="J2603" s="418"/>
      <c r="K2603" s="248" t="s">
        <v>2030</v>
      </c>
      <c r="M2603" s="366"/>
      <c r="AF2603">
        <v>0</v>
      </c>
    </row>
    <row r="2604" spans="1:32" x14ac:dyDescent="0.25">
      <c r="A2604" s="308">
        <v>45511</v>
      </c>
      <c r="B2604" s="416">
        <v>1261320</v>
      </c>
      <c r="C2604" s="413" t="str">
        <f>IFERROR(INDEX(Table14[],MATCH($B2604,Table14[SAPNo],0),3),"")</f>
        <v>1313 CT155 U-60</v>
      </c>
      <c r="D2604" s="306"/>
      <c r="E2604" s="421">
        <v>9</v>
      </c>
      <c r="F2604" s="421"/>
      <c r="G2604" s="417" t="s">
        <v>2031</v>
      </c>
      <c r="H2604" s="598">
        <v>14157616</v>
      </c>
      <c r="I2604" s="322" t="s">
        <v>2032</v>
      </c>
      <c r="J2604" s="418"/>
      <c r="K2604" s="248"/>
      <c r="M2604" s="366"/>
      <c r="AF2604">
        <v>9</v>
      </c>
    </row>
    <row r="2605" spans="1:32" x14ac:dyDescent="0.25">
      <c r="A2605" s="308">
        <v>45511</v>
      </c>
      <c r="B2605" s="416">
        <v>1039036</v>
      </c>
      <c r="C2605" s="413" t="str">
        <f>IFERROR(INDEX(Table14[],MATCH($B2605,Table14[SAPNo],0),3),"")</f>
        <v>Round 1313 CT138  0.018" (S)</v>
      </c>
      <c r="D2605" s="306"/>
      <c r="E2605" s="421">
        <v>6</v>
      </c>
      <c r="F2605" s="421"/>
      <c r="G2605" s="417" t="s">
        <v>2031</v>
      </c>
      <c r="H2605" s="598">
        <v>14157616</v>
      </c>
      <c r="I2605" s="322" t="s">
        <v>2032</v>
      </c>
      <c r="J2605" s="418"/>
      <c r="K2605" s="248"/>
      <c r="M2605" s="366"/>
      <c r="AF2605">
        <v>6</v>
      </c>
    </row>
    <row r="2606" spans="1:32" x14ac:dyDescent="0.25">
      <c r="A2606" s="308">
        <v>45511</v>
      </c>
      <c r="B2606" s="416">
        <v>1039034</v>
      </c>
      <c r="C2606" s="413" t="str">
        <f>IFERROR(INDEX(Table14[],MATCH($B2606,Table14[SAPNo],0),3),"")</f>
        <v>Round 1308 CT138  0.018" (S)</v>
      </c>
      <c r="D2606" s="306"/>
      <c r="E2606" s="421">
        <v>13</v>
      </c>
      <c r="F2606" s="421"/>
      <c r="G2606" s="417" t="s">
        <v>2031</v>
      </c>
      <c r="H2606" s="598">
        <v>14157616</v>
      </c>
      <c r="I2606" s="322" t="s">
        <v>2032</v>
      </c>
      <c r="J2606" s="418"/>
      <c r="K2606" s="248"/>
      <c r="M2606" s="366"/>
      <c r="AF2606">
        <v>13</v>
      </c>
    </row>
    <row r="2607" spans="1:32" x14ac:dyDescent="0.25">
      <c r="A2607" s="308">
        <v>45511</v>
      </c>
      <c r="B2607" s="416">
        <v>1039034</v>
      </c>
      <c r="C2607" s="413" t="str">
        <f>IFERROR(INDEX(Table14[],MATCH($B2607,Table14[SAPNo],0),3),"")</f>
        <v>Round 1308 CT138  0.018" (S)</v>
      </c>
      <c r="D2607" s="306"/>
      <c r="E2607" s="421">
        <v>3</v>
      </c>
      <c r="F2607" s="421"/>
      <c r="G2607" s="417" t="s">
        <v>2031</v>
      </c>
      <c r="H2607" s="598">
        <v>14157616</v>
      </c>
      <c r="I2607" s="322" t="s">
        <v>2032</v>
      </c>
      <c r="J2607" s="418"/>
      <c r="K2607" s="248"/>
      <c r="M2607" s="422"/>
      <c r="AF2607">
        <v>3</v>
      </c>
    </row>
    <row r="2608" spans="1:32" x14ac:dyDescent="0.25">
      <c r="A2608" s="308">
        <v>45511</v>
      </c>
      <c r="B2608" s="416">
        <v>1261319</v>
      </c>
      <c r="C2608" s="413" t="str">
        <f>IFERROR(INDEX(Table14[],MATCH($B2608,Table14[SAPNo],0),3),"")</f>
        <v>1308 CT155 U-60</v>
      </c>
      <c r="D2608" s="306"/>
      <c r="E2608" s="421">
        <v>10</v>
      </c>
      <c r="F2608" s="421"/>
      <c r="G2608" s="417" t="s">
        <v>2031</v>
      </c>
      <c r="H2608" s="598">
        <v>14157616</v>
      </c>
      <c r="I2608" s="322" t="s">
        <v>2032</v>
      </c>
      <c r="J2608" s="418"/>
      <c r="K2608" s="248"/>
      <c r="M2608" s="366"/>
      <c r="AF2608">
        <v>10</v>
      </c>
    </row>
    <row r="2609" spans="1:32" x14ac:dyDescent="0.25">
      <c r="A2609" s="308">
        <v>45511</v>
      </c>
      <c r="B2609" s="416">
        <v>410851</v>
      </c>
      <c r="C2609" s="413" t="str">
        <f>IFERROR(INDEX(Table14[],MATCH($B2609,Table14[SAPNo],0),3),"")</f>
        <v>PDC Dome 1308 CT31   (B)</v>
      </c>
      <c r="D2609" s="306"/>
      <c r="E2609" s="421">
        <v>6</v>
      </c>
      <c r="F2609" s="421"/>
      <c r="G2609" s="417" t="s">
        <v>2031</v>
      </c>
      <c r="H2609" s="598">
        <v>14157616</v>
      </c>
      <c r="I2609" s="322" t="s">
        <v>2032</v>
      </c>
      <c r="J2609" s="418"/>
      <c r="K2609" s="248"/>
      <c r="M2609" s="366"/>
      <c r="AF2609">
        <v>6</v>
      </c>
    </row>
    <row r="2610" spans="1:32" x14ac:dyDescent="0.25">
      <c r="A2610" s="308">
        <v>45511</v>
      </c>
      <c r="B2610" s="416">
        <v>418525</v>
      </c>
      <c r="C2610" s="413" t="str">
        <f>IFERROR(INDEX(Table14[],MATCH($B2610,Table14[SAPNo],0),3),"")</f>
        <v>Drop In 1308 CT31   (B)</v>
      </c>
      <c r="D2610" s="306"/>
      <c r="E2610" s="421">
        <v>12</v>
      </c>
      <c r="F2610" s="421"/>
      <c r="G2610" s="417" t="s">
        <v>2031</v>
      </c>
      <c r="H2610" s="598">
        <v>14157616</v>
      </c>
      <c r="I2610" s="322" t="s">
        <v>2032</v>
      </c>
      <c r="J2610" s="418"/>
      <c r="K2610" s="248"/>
      <c r="M2610" s="366"/>
      <c r="AF2610">
        <v>12</v>
      </c>
    </row>
    <row r="2611" spans="1:32" x14ac:dyDescent="0.25">
      <c r="A2611" s="308">
        <v>45511</v>
      </c>
      <c r="B2611" s="416">
        <v>708306</v>
      </c>
      <c r="C2611" s="413" t="str">
        <f>IFERROR(INDEX(Table14[],MATCH($B2611,Table14[SAPNo],0),3),"")</f>
        <v>Round 1913 CT200  0.018" (B)</v>
      </c>
      <c r="D2611" s="306"/>
      <c r="E2611" s="421">
        <v>34</v>
      </c>
      <c r="F2611" s="421"/>
      <c r="G2611" s="417" t="s">
        <v>2033</v>
      </c>
      <c r="H2611" s="598">
        <v>14210780</v>
      </c>
      <c r="I2611" s="322" t="s">
        <v>2023</v>
      </c>
      <c r="J2611" s="418"/>
      <c r="K2611" s="248"/>
      <c r="M2611" s="366"/>
      <c r="AF2611">
        <v>34</v>
      </c>
    </row>
    <row r="2612" spans="1:32" x14ac:dyDescent="0.25">
      <c r="A2612" s="308">
        <v>45511</v>
      </c>
      <c r="B2612" s="416">
        <v>1100759</v>
      </c>
      <c r="C2612" s="413" t="str">
        <f>IFERROR(INDEX(Table14[],MATCH($B2612,Table14[SAPNo],0),3),"")</f>
        <v>1913 CT421 0.018"</v>
      </c>
      <c r="D2612" s="306"/>
      <c r="E2612" s="421">
        <v>48</v>
      </c>
      <c r="F2612" s="421"/>
      <c r="G2612" s="417" t="s">
        <v>2033</v>
      </c>
      <c r="H2612" s="598">
        <v>14210780</v>
      </c>
      <c r="I2612" s="322" t="s">
        <v>2023</v>
      </c>
      <c r="J2612" s="418"/>
      <c r="K2612" s="248"/>
      <c r="M2612" s="366"/>
      <c r="AF2612">
        <v>48</v>
      </c>
    </row>
    <row r="2613" spans="1:32" x14ac:dyDescent="0.25">
      <c r="A2613" s="308">
        <v>45511</v>
      </c>
      <c r="B2613" s="416">
        <v>1100755</v>
      </c>
      <c r="C2613" s="413" t="str">
        <f>IFERROR(INDEX(Table14[],MATCH($B2613,Table14[SAPNo],0),3),"")</f>
        <v>Round 1613 CT421  0.018" (S)</v>
      </c>
      <c r="D2613" s="306"/>
      <c r="E2613" s="421">
        <v>9</v>
      </c>
      <c r="F2613" s="421"/>
      <c r="G2613" s="417" t="s">
        <v>2033</v>
      </c>
      <c r="H2613" s="598">
        <v>14210780</v>
      </c>
      <c r="I2613" s="322" t="s">
        <v>2023</v>
      </c>
      <c r="J2613" s="418"/>
      <c r="K2613" s="248"/>
      <c r="M2613" s="366"/>
      <c r="AF2613">
        <v>9</v>
      </c>
    </row>
    <row r="2614" spans="1:32" x14ac:dyDescent="0.25">
      <c r="A2614" s="320">
        <v>45511</v>
      </c>
      <c r="B2614" s="419">
        <v>871781</v>
      </c>
      <c r="C2614" s="413" t="str">
        <f>IFERROR(INDEX(Table14[],MATCH($B2614,Table14[SAPNo],0),3),"")</f>
        <v>Round 1313 CT200  0.018" (B)</v>
      </c>
      <c r="D2614" s="306"/>
      <c r="E2614" s="421">
        <v>8</v>
      </c>
      <c r="F2614" s="421"/>
      <c r="G2614" s="420" t="s">
        <v>2033</v>
      </c>
      <c r="H2614" s="599">
        <v>14210780</v>
      </c>
      <c r="I2614" s="322" t="s">
        <v>2023</v>
      </c>
      <c r="J2614" s="421"/>
      <c r="K2614" s="422"/>
      <c r="M2614" s="366"/>
      <c r="AF2614">
        <v>8</v>
      </c>
    </row>
    <row r="2615" spans="1:32" x14ac:dyDescent="0.25">
      <c r="A2615" s="308">
        <v>45512</v>
      </c>
      <c r="B2615" s="416">
        <v>1136984</v>
      </c>
      <c r="C2615" s="413" t="str">
        <f>IFERROR(INDEX(Table14[],MATCH($B2615,Table14[SAPNo],0),3),"")</f>
        <v>DBLMCHT 1313 CT182DM  10C (S)</v>
      </c>
      <c r="D2615" s="306"/>
      <c r="E2615" s="421">
        <v>13</v>
      </c>
      <c r="F2615" s="421"/>
      <c r="G2615" s="417" t="s">
        <v>2034</v>
      </c>
      <c r="H2615" s="598">
        <v>13838424</v>
      </c>
      <c r="I2615" s="322" t="s">
        <v>1074</v>
      </c>
      <c r="J2615" s="418"/>
      <c r="K2615" s="248"/>
      <c r="M2615" s="422"/>
      <c r="AF2615">
        <v>13</v>
      </c>
    </row>
    <row r="2616" spans="1:32" x14ac:dyDescent="0.25">
      <c r="A2616" s="308">
        <v>45512</v>
      </c>
      <c r="B2616" s="416">
        <v>1146346</v>
      </c>
      <c r="C2616" s="413" t="str">
        <f>IFERROR(INDEX(Table14[],MATCH($B2616,Table14[SAPNo],0),3),"")</f>
        <v>1313 CT418 18-60</v>
      </c>
      <c r="D2616" s="306"/>
      <c r="E2616" s="421">
        <v>7</v>
      </c>
      <c r="F2616" s="421"/>
      <c r="G2616" s="417" t="s">
        <v>2034</v>
      </c>
      <c r="H2616" s="598">
        <v>13838424</v>
      </c>
      <c r="I2616" s="322" t="s">
        <v>1074</v>
      </c>
      <c r="J2616" s="418"/>
      <c r="K2616" s="248"/>
      <c r="M2616" s="366"/>
      <c r="AF2616">
        <v>7</v>
      </c>
    </row>
    <row r="2617" spans="1:32" x14ac:dyDescent="0.25">
      <c r="A2617" s="308">
        <v>45512</v>
      </c>
      <c r="B2617" s="416">
        <v>1100696</v>
      </c>
      <c r="C2617" s="413" t="str">
        <f>IFERROR(INDEX(Table14[],MATCH($B2617,Table14[SAPNo],0),3),"")</f>
        <v>Round 1313 CT418  10C (S)</v>
      </c>
      <c r="D2617" s="306"/>
      <c r="E2617" s="421">
        <v>5</v>
      </c>
      <c r="F2617" s="421"/>
      <c r="G2617" s="417" t="s">
        <v>2034</v>
      </c>
      <c r="H2617" s="598">
        <v>13838424</v>
      </c>
      <c r="I2617" s="322" t="s">
        <v>1074</v>
      </c>
      <c r="J2617" s="418"/>
      <c r="K2617" s="248"/>
      <c r="M2617" s="366"/>
      <c r="AF2617">
        <v>5</v>
      </c>
    </row>
    <row r="2618" spans="1:32" x14ac:dyDescent="0.25">
      <c r="A2618" s="308">
        <v>45512</v>
      </c>
      <c r="B2618" s="416">
        <v>1101509</v>
      </c>
      <c r="C2618" s="413" t="str">
        <f>IFERROR(INDEX(Table14[],MATCH($B2618,Table14[SAPNo],0),3),"")</f>
        <v>Short IA 8    (C)</v>
      </c>
      <c r="D2618" s="306"/>
      <c r="E2618" s="421">
        <v>5</v>
      </c>
      <c r="F2618" s="421"/>
      <c r="G2618" s="417" t="s">
        <v>2034</v>
      </c>
      <c r="H2618" s="598">
        <v>13838424</v>
      </c>
      <c r="I2618" s="322" t="s">
        <v>1074</v>
      </c>
      <c r="J2618" s="418"/>
      <c r="K2618" s="248"/>
      <c r="M2618" s="366"/>
      <c r="AF2618">
        <v>5</v>
      </c>
    </row>
    <row r="2619" spans="1:32" x14ac:dyDescent="0.25">
      <c r="A2619" s="308">
        <v>45512</v>
      </c>
      <c r="B2619" s="416">
        <v>708306</v>
      </c>
      <c r="C2619" s="413" t="str">
        <f>IFERROR(INDEX(Table14[],MATCH($B2619,Table14[SAPNo],0),3),"")</f>
        <v>Round 1913 CT200  0.018" (B)</v>
      </c>
      <c r="D2619" s="306"/>
      <c r="E2619" s="421">
        <v>6</v>
      </c>
      <c r="F2619" s="421"/>
      <c r="G2619" s="417" t="s">
        <v>2035</v>
      </c>
      <c r="H2619" s="598">
        <v>14210779</v>
      </c>
      <c r="I2619" s="322" t="s">
        <v>2023</v>
      </c>
      <c r="J2619" s="418"/>
      <c r="K2619" s="248"/>
      <c r="M2619" s="366"/>
      <c r="AF2619">
        <v>6</v>
      </c>
    </row>
    <row r="2620" spans="1:32" x14ac:dyDescent="0.25">
      <c r="A2620" s="308">
        <v>45512</v>
      </c>
      <c r="B2620" s="416">
        <v>1100755</v>
      </c>
      <c r="C2620" s="413" t="str">
        <f>IFERROR(INDEX(Table14[],MATCH($B2620,Table14[SAPNo],0),3),"")</f>
        <v>Round 1613 CT421  0.018" (S)</v>
      </c>
      <c r="D2620" s="306"/>
      <c r="E2620" s="421">
        <v>21</v>
      </c>
      <c r="F2620" s="421"/>
      <c r="G2620" s="417" t="s">
        <v>2036</v>
      </c>
      <c r="H2620" s="598">
        <v>14199928</v>
      </c>
      <c r="I2620" s="322" t="s">
        <v>1991</v>
      </c>
      <c r="J2620" s="418"/>
      <c r="K2620" s="248"/>
      <c r="M2620" s="366"/>
      <c r="AF2620">
        <v>21</v>
      </c>
    </row>
    <row r="2621" spans="1:32" x14ac:dyDescent="0.25">
      <c r="A2621" s="308">
        <v>45512</v>
      </c>
      <c r="B2621" s="416">
        <v>1146737</v>
      </c>
      <c r="C2621" s="413" t="str">
        <f>IFERROR(INDEX(Table14[],MATCH($B2621,Table14[SAPNo],0),3),"")</f>
        <v>1613 CT418 18-60</v>
      </c>
      <c r="D2621" s="306"/>
      <c r="E2621" s="421">
        <v>8</v>
      </c>
      <c r="F2621" s="421"/>
      <c r="G2621" s="417" t="s">
        <v>2036</v>
      </c>
      <c r="H2621" s="598">
        <v>14199928</v>
      </c>
      <c r="I2621" s="322" t="s">
        <v>1991</v>
      </c>
      <c r="J2621" s="418"/>
      <c r="K2621" s="248"/>
      <c r="M2621" s="366"/>
      <c r="AF2621">
        <v>8</v>
      </c>
    </row>
    <row r="2622" spans="1:32" x14ac:dyDescent="0.25">
      <c r="A2622" s="308">
        <v>45512</v>
      </c>
      <c r="B2622" s="416">
        <v>1208601</v>
      </c>
      <c r="C2622" s="413" t="str">
        <f>IFERROR(INDEX(Table14[],MATCH($B2622,Table14[SAPNo],0),3),"")</f>
        <v>1613 CT418 U-60</v>
      </c>
      <c r="D2622" s="306"/>
      <c r="E2622" s="421">
        <v>11</v>
      </c>
      <c r="F2622" s="421"/>
      <c r="G2622" s="417" t="s">
        <v>2036</v>
      </c>
      <c r="H2622" s="598">
        <v>14199928</v>
      </c>
      <c r="I2622" s="322" t="s">
        <v>1991</v>
      </c>
      <c r="J2622" s="418"/>
      <c r="K2622" s="248"/>
      <c r="M2622" s="366"/>
      <c r="AF2622">
        <v>11</v>
      </c>
    </row>
    <row r="2623" spans="1:32" x14ac:dyDescent="0.25">
      <c r="A2623" s="308">
        <v>45512</v>
      </c>
      <c r="B2623" s="416">
        <v>871781</v>
      </c>
      <c r="C2623" s="413" t="str">
        <f>IFERROR(INDEX(Table14[],MATCH($B2623,Table14[SAPNo],0),3),"")</f>
        <v>Round 1313 CT200  0.018" (B)</v>
      </c>
      <c r="D2623" s="306"/>
      <c r="E2623" s="421">
        <v>7</v>
      </c>
      <c r="F2623" s="421"/>
      <c r="G2623" s="417" t="s">
        <v>2036</v>
      </c>
      <c r="H2623" s="598">
        <v>14199928</v>
      </c>
      <c r="I2623" s="322" t="s">
        <v>1991</v>
      </c>
      <c r="J2623" s="418"/>
      <c r="K2623" s="248"/>
      <c r="M2623" s="366"/>
      <c r="AF2623">
        <v>7</v>
      </c>
    </row>
    <row r="2624" spans="1:32" x14ac:dyDescent="0.25">
      <c r="A2624" s="308">
        <v>45512</v>
      </c>
      <c r="B2624" s="416">
        <v>1261615</v>
      </c>
      <c r="C2624" s="413" t="str">
        <f>IFERROR(INDEX(Table14[],MATCH($B2624,Table14[SAPNo],0),3),"")</f>
        <v>1613 CT172R U</v>
      </c>
      <c r="D2624" s="306"/>
      <c r="E2624" s="421">
        <v>30</v>
      </c>
      <c r="F2624" s="421"/>
      <c r="G2624" s="417" t="s">
        <v>2036</v>
      </c>
      <c r="H2624" s="598">
        <v>14199928</v>
      </c>
      <c r="I2624" s="322" t="s">
        <v>1991</v>
      </c>
      <c r="J2624" s="418"/>
      <c r="K2624" s="248"/>
      <c r="M2624" s="366"/>
      <c r="AF2624">
        <v>30</v>
      </c>
    </row>
    <row r="2625" spans="1:32" x14ac:dyDescent="0.25">
      <c r="A2625" s="308">
        <v>45512</v>
      </c>
      <c r="B2625" s="416">
        <v>625854</v>
      </c>
      <c r="C2625" s="413" t="str">
        <f>IFERROR(INDEX(Table14[],MATCH($B2625,Table14[SAPNo],0),3),"")</f>
        <v>Carbide IA 1318    (C)</v>
      </c>
      <c r="D2625" s="306"/>
      <c r="E2625" s="421">
        <v>6</v>
      </c>
      <c r="F2625" s="421"/>
      <c r="G2625" s="417" t="s">
        <v>2036</v>
      </c>
      <c r="H2625" s="598">
        <v>14199928</v>
      </c>
      <c r="I2625" s="322" t="s">
        <v>1991</v>
      </c>
      <c r="J2625" s="418"/>
      <c r="K2625" s="248"/>
      <c r="M2625" s="366"/>
      <c r="AF2625">
        <v>6</v>
      </c>
    </row>
    <row r="2626" spans="1:32" x14ac:dyDescent="0.25">
      <c r="A2626" s="308">
        <v>45512</v>
      </c>
      <c r="B2626" s="416">
        <v>1163820</v>
      </c>
      <c r="C2626" s="413" t="str">
        <f>IFERROR(INDEX(Table14[],MATCH($B2626,Table14[SAPNo],0),3),"")</f>
        <v>1613 CT156 0.018"</v>
      </c>
      <c r="D2626" s="306"/>
      <c r="E2626" s="421">
        <v>6</v>
      </c>
      <c r="F2626" s="421"/>
      <c r="G2626" s="417" t="s">
        <v>2036</v>
      </c>
      <c r="H2626" s="598">
        <v>14199928</v>
      </c>
      <c r="I2626" s="322" t="s">
        <v>1991</v>
      </c>
      <c r="J2626" s="418"/>
      <c r="K2626" s="248"/>
      <c r="M2626" s="366"/>
      <c r="AF2626">
        <v>6</v>
      </c>
    </row>
    <row r="2627" spans="1:32" x14ac:dyDescent="0.25">
      <c r="A2627" s="308">
        <v>45512</v>
      </c>
      <c r="B2627" s="416">
        <v>717748</v>
      </c>
      <c r="C2627" s="413" t="str">
        <f>IFERROR(INDEX(Table14[],MATCH($B2627,Table14[SAPNo],0),3),"")</f>
        <v>Round 1010 CT200  0.018" (B)</v>
      </c>
      <c r="D2627" s="306"/>
      <c r="E2627" s="421">
        <v>19</v>
      </c>
      <c r="F2627" s="421"/>
      <c r="G2627" s="417" t="s">
        <v>2037</v>
      </c>
      <c r="H2627" s="598">
        <v>14211928</v>
      </c>
      <c r="I2627" s="322" t="s">
        <v>1063</v>
      </c>
      <c r="J2627" s="418"/>
      <c r="K2627" s="248"/>
      <c r="M2627" s="366"/>
      <c r="AF2627">
        <v>19</v>
      </c>
    </row>
    <row r="2628" spans="1:32" x14ac:dyDescent="0.25">
      <c r="A2628" s="308">
        <v>45515</v>
      </c>
      <c r="B2628" s="416">
        <v>1100759</v>
      </c>
      <c r="C2628" s="413" t="str">
        <f>IFERROR(INDEX(Table14[],MATCH($B2628,Table14[SAPNo],0),3),"")</f>
        <v>1913 CT421 0.018"</v>
      </c>
      <c r="D2628" s="306"/>
      <c r="E2628" s="421">
        <v>48</v>
      </c>
      <c r="F2628" s="421"/>
      <c r="G2628" s="417" t="s">
        <v>2038</v>
      </c>
      <c r="H2628" s="598">
        <v>14210781</v>
      </c>
      <c r="I2628" s="322" t="s">
        <v>2023</v>
      </c>
      <c r="J2628" s="418"/>
      <c r="K2628" s="248"/>
      <c r="M2628" s="366"/>
      <c r="AF2628">
        <v>48</v>
      </c>
    </row>
    <row r="2629" spans="1:32" x14ac:dyDescent="0.25">
      <c r="A2629" s="308">
        <v>45515</v>
      </c>
      <c r="B2629" s="416">
        <v>708306</v>
      </c>
      <c r="C2629" s="413" t="str">
        <f>IFERROR(INDEX(Table14[],MATCH($B2629,Table14[SAPNo],0),3),"")</f>
        <v>Round 1913 CT200  0.018" (B)</v>
      </c>
      <c r="D2629" s="306"/>
      <c r="E2629" s="421">
        <v>34</v>
      </c>
      <c r="F2629" s="421"/>
      <c r="G2629" s="417" t="s">
        <v>2038</v>
      </c>
      <c r="H2629" s="598">
        <v>14210781</v>
      </c>
      <c r="I2629" s="322" t="s">
        <v>2023</v>
      </c>
      <c r="J2629" s="418"/>
      <c r="K2629" s="248"/>
      <c r="M2629" s="366"/>
      <c r="AF2629">
        <v>34</v>
      </c>
    </row>
    <row r="2630" spans="1:32" x14ac:dyDescent="0.25">
      <c r="A2630" s="308">
        <v>45515</v>
      </c>
      <c r="B2630" s="416">
        <v>1100755</v>
      </c>
      <c r="C2630" s="413" t="str">
        <f>IFERROR(INDEX(Table14[],MATCH($B2630,Table14[SAPNo],0),3),"")</f>
        <v>Round 1613 CT421  0.018" (S)</v>
      </c>
      <c r="D2630" s="306"/>
      <c r="E2630" s="421">
        <v>9</v>
      </c>
      <c r="F2630" s="421"/>
      <c r="G2630" s="417" t="s">
        <v>2038</v>
      </c>
      <c r="H2630" s="598">
        <v>14210781</v>
      </c>
      <c r="I2630" s="322" t="s">
        <v>2023</v>
      </c>
      <c r="J2630" s="418"/>
      <c r="K2630" s="248"/>
      <c r="M2630" s="366"/>
      <c r="AF2630">
        <v>9</v>
      </c>
    </row>
    <row r="2631" spans="1:32" x14ac:dyDescent="0.25">
      <c r="A2631" s="308">
        <v>45515</v>
      </c>
      <c r="B2631" s="416">
        <v>871781</v>
      </c>
      <c r="C2631" s="413" t="str">
        <f>IFERROR(INDEX(Table14[],MATCH($B2631,Table14[SAPNo],0),3),"")</f>
        <v>Round 1313 CT200  0.018" (B)</v>
      </c>
      <c r="D2631" s="306"/>
      <c r="E2631" s="421">
        <v>8</v>
      </c>
      <c r="F2631" s="421"/>
      <c r="G2631" s="417" t="s">
        <v>2038</v>
      </c>
      <c r="H2631" s="598">
        <v>14210781</v>
      </c>
      <c r="I2631" s="322" t="s">
        <v>2023</v>
      </c>
      <c r="J2631" s="418"/>
      <c r="K2631" s="248"/>
      <c r="M2631" s="366"/>
      <c r="AF2631">
        <v>8</v>
      </c>
    </row>
    <row r="2632" spans="1:32" x14ac:dyDescent="0.25">
      <c r="A2632" s="308">
        <v>45515</v>
      </c>
      <c r="B2632" s="416">
        <v>708306</v>
      </c>
      <c r="C2632" s="413" t="str">
        <f>IFERROR(INDEX(Table14[],MATCH($B2632,Table14[SAPNo],0),3),"")</f>
        <v>Round 1913 CT200  0.018" (B)</v>
      </c>
      <c r="D2632" s="306"/>
      <c r="E2632" s="421">
        <v>34</v>
      </c>
      <c r="F2632" s="421"/>
      <c r="G2632" s="417" t="s">
        <v>2039</v>
      </c>
      <c r="H2632" s="598">
        <v>14210783</v>
      </c>
      <c r="I2632" s="322" t="s">
        <v>2023</v>
      </c>
      <c r="J2632" s="418"/>
      <c r="K2632" s="248"/>
      <c r="M2632" s="366"/>
      <c r="AF2632">
        <v>34</v>
      </c>
    </row>
    <row r="2633" spans="1:32" x14ac:dyDescent="0.25">
      <c r="A2633" s="308">
        <v>45515</v>
      </c>
      <c r="B2633" s="416">
        <v>1199266</v>
      </c>
      <c r="C2633" s="413" t="str">
        <f>IFERROR(INDEX(Table14[],MATCH($B2633,Table14[SAPNo],0),3),"")</f>
        <v>1913 CT158  18C</v>
      </c>
      <c r="D2633" s="306"/>
      <c r="E2633" s="421">
        <v>48</v>
      </c>
      <c r="F2633" s="421"/>
      <c r="G2633" s="417" t="s">
        <v>2039</v>
      </c>
      <c r="H2633" s="598">
        <v>14210783</v>
      </c>
      <c r="I2633" s="322" t="s">
        <v>2023</v>
      </c>
      <c r="J2633" s="418"/>
      <c r="K2633" s="248"/>
      <c r="M2633" s="366"/>
      <c r="AF2633">
        <v>48</v>
      </c>
    </row>
    <row r="2634" spans="1:32" x14ac:dyDescent="0.25">
      <c r="A2634" s="308">
        <v>45515</v>
      </c>
      <c r="B2634" s="416">
        <v>871781</v>
      </c>
      <c r="C2634" s="413" t="str">
        <f>IFERROR(INDEX(Table14[],MATCH($B2634,Table14[SAPNo],0),3),"")</f>
        <v>Round 1313 CT200  0.018" (B)</v>
      </c>
      <c r="D2634" s="306"/>
      <c r="E2634" s="421">
        <v>8</v>
      </c>
      <c r="F2634" s="421"/>
      <c r="G2634" s="417" t="s">
        <v>2039</v>
      </c>
      <c r="H2634" s="598">
        <v>14210783</v>
      </c>
      <c r="I2634" s="322" t="s">
        <v>2023</v>
      </c>
      <c r="J2634" s="418"/>
      <c r="K2634" s="248"/>
      <c r="M2634" s="366"/>
      <c r="AF2634">
        <v>8</v>
      </c>
    </row>
    <row r="2635" spans="1:32" x14ac:dyDescent="0.25">
      <c r="A2635" s="308">
        <v>45515</v>
      </c>
      <c r="B2635" s="416">
        <v>1100755</v>
      </c>
      <c r="C2635" s="413" t="str">
        <f>IFERROR(INDEX(Table14[],MATCH($B2635,Table14[SAPNo],0),3),"")</f>
        <v>Round 1613 CT421  0.018" (S)</v>
      </c>
      <c r="D2635" s="306"/>
      <c r="E2635" s="421">
        <v>9</v>
      </c>
      <c r="F2635" s="421"/>
      <c r="G2635" s="417" t="s">
        <v>2039</v>
      </c>
      <c r="H2635" s="598">
        <v>14210783</v>
      </c>
      <c r="I2635" s="322" t="s">
        <v>2023</v>
      </c>
      <c r="J2635" s="418"/>
      <c r="K2635" s="248"/>
      <c r="M2635" s="366"/>
      <c r="AF2635">
        <v>9</v>
      </c>
    </row>
    <row r="2636" spans="1:32" x14ac:dyDescent="0.25">
      <c r="A2636" s="308">
        <v>45515</v>
      </c>
      <c r="B2636" s="416">
        <v>708306</v>
      </c>
      <c r="C2636" s="413" t="str">
        <f>IFERROR(INDEX(Table14[],MATCH($B2636,Table14[SAPNo],0),3),"")</f>
        <v>Round 1913 CT200  0.018" (B)</v>
      </c>
      <c r="D2636" s="306"/>
      <c r="E2636" s="421">
        <v>34</v>
      </c>
      <c r="F2636" s="421"/>
      <c r="G2636" s="417" t="s">
        <v>2040</v>
      </c>
      <c r="H2636" s="598">
        <v>14210784</v>
      </c>
      <c r="I2636" s="322" t="s">
        <v>2023</v>
      </c>
      <c r="J2636" s="418"/>
      <c r="K2636" s="248"/>
      <c r="M2636" s="366"/>
      <c r="AF2636">
        <v>34</v>
      </c>
    </row>
    <row r="2637" spans="1:32" x14ac:dyDescent="0.25">
      <c r="A2637" s="308">
        <v>45515</v>
      </c>
      <c r="B2637" s="416">
        <v>1100755</v>
      </c>
      <c r="C2637" s="413" t="str">
        <f>IFERROR(INDEX(Table14[],MATCH($B2637,Table14[SAPNo],0),3),"")</f>
        <v>Round 1613 CT421  0.018" (S)</v>
      </c>
      <c r="D2637" s="306"/>
      <c r="E2637" s="421">
        <v>9</v>
      </c>
      <c r="F2637" s="421"/>
      <c r="G2637" s="417" t="s">
        <v>2040</v>
      </c>
      <c r="H2637" s="598">
        <v>14210784</v>
      </c>
      <c r="I2637" s="322" t="s">
        <v>2023</v>
      </c>
      <c r="J2637" s="418"/>
      <c r="K2637" s="248"/>
      <c r="M2637" s="366"/>
      <c r="AF2637">
        <v>9</v>
      </c>
    </row>
    <row r="2638" spans="1:32" x14ac:dyDescent="0.25">
      <c r="A2638" s="308">
        <v>45515</v>
      </c>
      <c r="B2638" s="416">
        <v>1100759</v>
      </c>
      <c r="C2638" s="413" t="str">
        <f>IFERROR(INDEX(Table14[],MATCH($B2638,Table14[SAPNo],0),3),"")</f>
        <v>1913 CT421 0.018"</v>
      </c>
      <c r="D2638" s="306"/>
      <c r="E2638" s="421">
        <v>48</v>
      </c>
      <c r="F2638" s="421"/>
      <c r="G2638" s="417" t="s">
        <v>2040</v>
      </c>
      <c r="H2638" s="598">
        <v>14210784</v>
      </c>
      <c r="I2638" s="322" t="s">
        <v>2023</v>
      </c>
      <c r="J2638" s="418"/>
      <c r="K2638" s="248"/>
      <c r="M2638" s="366"/>
      <c r="AF2638">
        <v>48</v>
      </c>
    </row>
    <row r="2639" spans="1:32" x14ac:dyDescent="0.25">
      <c r="A2639" s="308">
        <v>45515</v>
      </c>
      <c r="B2639" s="416">
        <v>871781</v>
      </c>
      <c r="C2639" s="413" t="str">
        <f>IFERROR(INDEX(Table14[],MATCH($B2639,Table14[SAPNo],0),3),"")</f>
        <v>Round 1313 CT200  0.018" (B)</v>
      </c>
      <c r="D2639" s="306"/>
      <c r="E2639" s="421">
        <v>8</v>
      </c>
      <c r="F2639" s="421"/>
      <c r="G2639" s="417" t="s">
        <v>2040</v>
      </c>
      <c r="H2639" s="598">
        <v>14210784</v>
      </c>
      <c r="I2639" s="322" t="s">
        <v>2023</v>
      </c>
      <c r="J2639" s="418"/>
      <c r="K2639" s="248"/>
      <c r="M2639" s="366"/>
      <c r="AF2639">
        <v>8</v>
      </c>
    </row>
    <row r="2640" spans="1:32" x14ac:dyDescent="0.25">
      <c r="A2640" s="320">
        <v>45515</v>
      </c>
      <c r="B2640" s="419">
        <v>717748</v>
      </c>
      <c r="C2640" s="413" t="str">
        <f>IFERROR(INDEX(Table14[],MATCH($B2640,Table14[SAPNo],0),3),"")</f>
        <v>Round 1010 CT200  0.018" (B)</v>
      </c>
      <c r="D2640" s="306"/>
      <c r="E2640" s="421">
        <v>19</v>
      </c>
      <c r="F2640" s="421"/>
      <c r="G2640" s="420" t="s">
        <v>2041</v>
      </c>
      <c r="H2640" s="599">
        <v>14211927</v>
      </c>
      <c r="I2640" s="322" t="s">
        <v>1063</v>
      </c>
      <c r="J2640" s="421"/>
      <c r="K2640" s="422"/>
      <c r="M2640" s="366"/>
      <c r="AF2640">
        <v>19</v>
      </c>
    </row>
    <row r="2641" spans="1:32" x14ac:dyDescent="0.25">
      <c r="A2641" s="308">
        <v>45516</v>
      </c>
      <c r="B2641" s="416">
        <v>871781</v>
      </c>
      <c r="C2641" s="413" t="str">
        <f>IFERROR(INDEX(Table14[],MATCH($B2641,Table14[SAPNo],0),3),"")</f>
        <v>Round 1313 CT200  0.018" (B)</v>
      </c>
      <c r="D2641" s="306"/>
      <c r="E2641" s="421">
        <v>6</v>
      </c>
      <c r="F2641" s="421"/>
      <c r="G2641" s="417" t="s">
        <v>2042</v>
      </c>
      <c r="H2641" s="598">
        <v>14211916</v>
      </c>
      <c r="I2641" s="322" t="s">
        <v>2043</v>
      </c>
      <c r="J2641" s="418"/>
      <c r="K2641" s="248"/>
      <c r="M2641" s="422"/>
      <c r="AF2641">
        <v>6</v>
      </c>
    </row>
    <row r="2642" spans="1:32" x14ac:dyDescent="0.25">
      <c r="A2642" s="308">
        <v>45516</v>
      </c>
      <c r="B2642" s="416">
        <v>647435</v>
      </c>
      <c r="C2642" s="413" t="str">
        <f>IFERROR(INDEX(Table14[],MATCH($B2642,Table14[SAPNo],0),3),"")</f>
        <v>Round 1608 CT200  0.018" (B)</v>
      </c>
      <c r="D2642" s="306"/>
      <c r="E2642" s="421">
        <v>23</v>
      </c>
      <c r="F2642" s="421"/>
      <c r="G2642" s="417" t="s">
        <v>2042</v>
      </c>
      <c r="H2642" s="598">
        <v>14211916</v>
      </c>
      <c r="I2642" s="322" t="s">
        <v>2043</v>
      </c>
      <c r="J2642" s="418"/>
      <c r="K2642" s="248"/>
      <c r="M2642" s="366"/>
      <c r="AF2642">
        <v>23</v>
      </c>
    </row>
    <row r="2643" spans="1:32" x14ac:dyDescent="0.25">
      <c r="A2643" s="308">
        <v>45516</v>
      </c>
      <c r="B2643" s="416">
        <v>1100755</v>
      </c>
      <c r="C2643" s="413" t="str">
        <f>IFERROR(INDEX(Table14[],MATCH($B2643,Table14[SAPNo],0),3),"")</f>
        <v>Round 1613 CT421  0.018" (S)</v>
      </c>
      <c r="D2643" s="306"/>
      <c r="E2643" s="421">
        <v>33</v>
      </c>
      <c r="F2643" s="421"/>
      <c r="G2643" s="417" t="s">
        <v>2042</v>
      </c>
      <c r="H2643" s="598">
        <v>14211916</v>
      </c>
      <c r="I2643" s="322" t="s">
        <v>2043</v>
      </c>
      <c r="J2643" s="418"/>
      <c r="K2643" s="248"/>
      <c r="M2643" s="366"/>
      <c r="AF2643">
        <v>33</v>
      </c>
    </row>
    <row r="2644" spans="1:32" x14ac:dyDescent="0.25">
      <c r="A2644" s="308">
        <v>45516</v>
      </c>
      <c r="B2644" s="416">
        <v>871781</v>
      </c>
      <c r="C2644" s="413" t="str">
        <f>IFERROR(INDEX(Table14[],MATCH($B2644,Table14[SAPNo],0),3),"")</f>
        <v>Round 1313 CT200  0.018" (B)</v>
      </c>
      <c r="D2644" s="306"/>
      <c r="E2644" s="421">
        <v>6</v>
      </c>
      <c r="F2644" s="421"/>
      <c r="G2644" s="417" t="s">
        <v>2044</v>
      </c>
      <c r="H2644" s="598">
        <v>14211917</v>
      </c>
      <c r="I2644" s="322" t="s">
        <v>2043</v>
      </c>
      <c r="J2644" s="418"/>
      <c r="K2644" s="248"/>
      <c r="M2644" s="366"/>
      <c r="AF2644">
        <v>6</v>
      </c>
    </row>
    <row r="2645" spans="1:32" x14ac:dyDescent="0.25">
      <c r="A2645" s="308">
        <v>45516</v>
      </c>
      <c r="B2645" s="416">
        <v>647435</v>
      </c>
      <c r="C2645" s="413" t="str">
        <f>IFERROR(INDEX(Table14[],MATCH($B2645,Table14[SAPNo],0),3),"")</f>
        <v>Round 1608 CT200  0.018" (B)</v>
      </c>
      <c r="D2645" s="306"/>
      <c r="E2645" s="421">
        <v>23</v>
      </c>
      <c r="F2645" s="421"/>
      <c r="G2645" s="417" t="s">
        <v>2044</v>
      </c>
      <c r="H2645" s="598">
        <v>14211917</v>
      </c>
      <c r="I2645" s="322" t="s">
        <v>2043</v>
      </c>
      <c r="J2645" s="418"/>
      <c r="K2645" s="248"/>
      <c r="M2645" s="366"/>
      <c r="AF2645">
        <v>23</v>
      </c>
    </row>
    <row r="2646" spans="1:32" x14ac:dyDescent="0.25">
      <c r="A2646" s="308">
        <v>45516</v>
      </c>
      <c r="B2646" s="416">
        <v>1100755</v>
      </c>
      <c r="C2646" s="413" t="str">
        <f>IFERROR(INDEX(Table14[],MATCH($B2646,Table14[SAPNo],0),3),"")</f>
        <v>Round 1613 CT421  0.018" (S)</v>
      </c>
      <c r="D2646" s="306"/>
      <c r="E2646" s="421">
        <v>33</v>
      </c>
      <c r="F2646" s="421"/>
      <c r="G2646" s="417" t="s">
        <v>2044</v>
      </c>
      <c r="H2646" s="598">
        <v>14211917</v>
      </c>
      <c r="I2646" s="322" t="s">
        <v>2043</v>
      </c>
      <c r="J2646" s="418"/>
      <c r="K2646" s="248"/>
      <c r="M2646" s="366"/>
      <c r="AF2646">
        <v>33</v>
      </c>
    </row>
    <row r="2647" spans="1:32" x14ac:dyDescent="0.25">
      <c r="A2647" s="308">
        <v>45517</v>
      </c>
      <c r="B2647" s="416">
        <v>1145493</v>
      </c>
      <c r="C2647" s="413" t="str">
        <f>IFERROR(INDEX(Table14[],MATCH($B2647,Table14[SAPNo],0),3),"")</f>
        <v>Round 1313 CT427  10C (S)</v>
      </c>
      <c r="D2647" s="306"/>
      <c r="E2647" s="421"/>
      <c r="F2647" s="421"/>
      <c r="G2647" s="417">
        <v>20241128</v>
      </c>
      <c r="H2647" s="598" t="s">
        <v>2045</v>
      </c>
      <c r="I2647" s="322" t="s">
        <v>1322</v>
      </c>
      <c r="J2647" s="418">
        <v>1</v>
      </c>
      <c r="K2647" s="248"/>
      <c r="M2647" s="366"/>
    </row>
    <row r="2648" spans="1:32" x14ac:dyDescent="0.25">
      <c r="A2648" s="308">
        <v>45517</v>
      </c>
      <c r="B2648" s="416">
        <v>1145493</v>
      </c>
      <c r="C2648" s="413" t="str">
        <f>IFERROR(INDEX(Table14[],MATCH($B2648,Table14[SAPNo],0),3),"")</f>
        <v>Round 1313 CT427  10C (S)</v>
      </c>
      <c r="D2648" s="306"/>
      <c r="E2648" s="421"/>
      <c r="F2648" s="421"/>
      <c r="G2648" s="417">
        <v>20241126</v>
      </c>
      <c r="H2648" s="598" t="s">
        <v>2046</v>
      </c>
      <c r="I2648" s="322" t="s">
        <v>1307</v>
      </c>
      <c r="J2648" s="418">
        <v>9</v>
      </c>
      <c r="K2648" s="248"/>
      <c r="M2648" s="366"/>
    </row>
    <row r="2649" spans="1:32" x14ac:dyDescent="0.25">
      <c r="A2649" s="308">
        <v>45517</v>
      </c>
      <c r="B2649" s="416">
        <v>703670</v>
      </c>
      <c r="C2649" s="413" t="str">
        <f>IFERROR(INDEX(Table14[],MATCH($B2649,Table14[SAPNo],0),3),"")</f>
        <v>Round 1313 CT200  10C (B)</v>
      </c>
      <c r="D2649" s="306"/>
      <c r="E2649" s="421">
        <v>1</v>
      </c>
      <c r="F2649" s="421"/>
      <c r="G2649" s="417">
        <v>20241126</v>
      </c>
      <c r="H2649" s="598" t="s">
        <v>2046</v>
      </c>
      <c r="I2649" s="322" t="s">
        <v>1307</v>
      </c>
      <c r="J2649" s="418"/>
      <c r="K2649" s="248"/>
      <c r="M2649" s="366"/>
      <c r="AF2649">
        <v>1</v>
      </c>
    </row>
    <row r="2650" spans="1:32" x14ac:dyDescent="0.25">
      <c r="A2650" s="308">
        <v>45517</v>
      </c>
      <c r="B2650" s="416">
        <v>871781</v>
      </c>
      <c r="C2650" s="413" t="str">
        <f>IFERROR(INDEX(Table14[],MATCH($B2650,Table14[SAPNo],0),3),"")</f>
        <v>Round 1313 CT200  0.018" (B)</v>
      </c>
      <c r="D2650" s="306"/>
      <c r="E2650" s="421">
        <v>6</v>
      </c>
      <c r="F2650" s="421"/>
      <c r="G2650" s="417" t="s">
        <v>2047</v>
      </c>
      <c r="H2650" s="598">
        <v>14211918</v>
      </c>
      <c r="I2650" s="322" t="s">
        <v>2043</v>
      </c>
      <c r="J2650" s="418"/>
      <c r="K2650" s="248"/>
      <c r="M2650" s="366"/>
      <c r="AF2650">
        <v>6</v>
      </c>
    </row>
    <row r="2651" spans="1:32" x14ac:dyDescent="0.25">
      <c r="A2651" s="308">
        <v>45517</v>
      </c>
      <c r="B2651" s="416">
        <v>647435</v>
      </c>
      <c r="C2651" s="413" t="str">
        <f>IFERROR(INDEX(Table14[],MATCH($B2651,Table14[SAPNo],0),3),"")</f>
        <v>Round 1608 CT200  0.018" (B)</v>
      </c>
      <c r="D2651" s="306"/>
      <c r="E2651" s="421">
        <v>23</v>
      </c>
      <c r="F2651" s="421"/>
      <c r="G2651" s="417" t="s">
        <v>2047</v>
      </c>
      <c r="H2651" s="598">
        <v>14211918</v>
      </c>
      <c r="I2651" s="322" t="s">
        <v>2043</v>
      </c>
      <c r="J2651" s="418"/>
      <c r="K2651" s="248"/>
      <c r="M2651" s="366"/>
      <c r="AF2651">
        <v>23</v>
      </c>
    </row>
    <row r="2652" spans="1:32" x14ac:dyDescent="0.25">
      <c r="A2652" s="308">
        <v>45517</v>
      </c>
      <c r="B2652" s="416">
        <v>1100755</v>
      </c>
      <c r="C2652" s="413" t="str">
        <f>IFERROR(INDEX(Table14[],MATCH($B2652,Table14[SAPNo],0),3),"")</f>
        <v>Round 1613 CT421  0.018" (S)</v>
      </c>
      <c r="D2652" s="306"/>
      <c r="E2652" s="421">
        <v>33</v>
      </c>
      <c r="F2652" s="421"/>
      <c r="G2652" s="417" t="s">
        <v>2047</v>
      </c>
      <c r="H2652" s="598">
        <v>14211918</v>
      </c>
      <c r="I2652" s="322" t="s">
        <v>2043</v>
      </c>
      <c r="J2652" s="418"/>
      <c r="K2652" s="248"/>
      <c r="M2652" s="366"/>
      <c r="AF2652">
        <v>33</v>
      </c>
    </row>
    <row r="2653" spans="1:32" x14ac:dyDescent="0.25">
      <c r="A2653" s="308">
        <v>45517</v>
      </c>
      <c r="B2653" s="416">
        <v>871781</v>
      </c>
      <c r="C2653" s="413" t="str">
        <f>IFERROR(INDEX(Table14[],MATCH($B2653,Table14[SAPNo],0),3),"")</f>
        <v>Round 1313 CT200  0.018" (B)</v>
      </c>
      <c r="D2653" s="306"/>
      <c r="E2653" s="421">
        <v>6</v>
      </c>
      <c r="F2653" s="421"/>
      <c r="G2653" s="417" t="s">
        <v>2048</v>
      </c>
      <c r="H2653" s="598">
        <v>14214980</v>
      </c>
      <c r="I2653" s="322" t="s">
        <v>2049</v>
      </c>
      <c r="J2653" s="418"/>
      <c r="K2653" s="248"/>
      <c r="M2653" s="366"/>
      <c r="AF2653">
        <v>6</v>
      </c>
    </row>
    <row r="2654" spans="1:32" x14ac:dyDescent="0.25">
      <c r="A2654" s="308">
        <v>45517</v>
      </c>
      <c r="B2654" s="416">
        <v>647435</v>
      </c>
      <c r="C2654" s="413" t="str">
        <f>IFERROR(INDEX(Table14[],MATCH($B2654,Table14[SAPNo],0),3),"")</f>
        <v>Round 1608 CT200  0.018" (B)</v>
      </c>
      <c r="D2654" s="306"/>
      <c r="E2654" s="421">
        <v>23</v>
      </c>
      <c r="F2654" s="421"/>
      <c r="G2654" s="417" t="s">
        <v>2048</v>
      </c>
      <c r="H2654" s="598">
        <v>14214980</v>
      </c>
      <c r="I2654" s="322" t="s">
        <v>2049</v>
      </c>
      <c r="J2654" s="418"/>
      <c r="K2654" s="248"/>
      <c r="M2654" s="366"/>
      <c r="AF2654">
        <v>23</v>
      </c>
    </row>
    <row r="2655" spans="1:32" x14ac:dyDescent="0.25">
      <c r="A2655" s="308">
        <v>45517</v>
      </c>
      <c r="B2655" s="416">
        <v>1199265</v>
      </c>
      <c r="C2655" s="413" t="str">
        <f>IFERROR(INDEX(Table14[],MATCH($B2655,Table14[SAPNo],0),3),"")</f>
        <v>1613 CT158 18C</v>
      </c>
      <c r="D2655" s="306"/>
      <c r="E2655" s="421">
        <v>33</v>
      </c>
      <c r="F2655" s="421"/>
      <c r="G2655" s="417" t="s">
        <v>2048</v>
      </c>
      <c r="H2655" s="598">
        <v>14214980</v>
      </c>
      <c r="I2655" s="322" t="s">
        <v>2049</v>
      </c>
      <c r="J2655" s="418"/>
      <c r="K2655" s="248"/>
      <c r="M2655" s="366"/>
      <c r="AF2655">
        <v>33</v>
      </c>
    </row>
    <row r="2656" spans="1:32" x14ac:dyDescent="0.25">
      <c r="A2656" s="320">
        <v>45517</v>
      </c>
      <c r="B2656" s="419">
        <v>1261615</v>
      </c>
      <c r="C2656" s="413" t="str">
        <f>IFERROR(INDEX(Table14[],MATCH($B2656,Table14[SAPNo],0),3),"")</f>
        <v>1613 CT172R U</v>
      </c>
      <c r="D2656" s="306"/>
      <c r="E2656" s="421">
        <v>11</v>
      </c>
      <c r="F2656" s="421"/>
      <c r="G2656" s="420" t="s">
        <v>2050</v>
      </c>
      <c r="H2656" s="599">
        <v>14199927</v>
      </c>
      <c r="I2656" s="322" t="s">
        <v>1991</v>
      </c>
      <c r="J2656" s="421"/>
      <c r="K2656" s="422"/>
      <c r="M2656" s="366"/>
      <c r="AF2656">
        <v>11</v>
      </c>
    </row>
    <row r="2657" spans="1:32" x14ac:dyDescent="0.25">
      <c r="A2657" s="308">
        <v>45518</v>
      </c>
      <c r="B2657" s="416">
        <v>418525</v>
      </c>
      <c r="C2657" s="413" t="str">
        <f>IFERROR(INDEX(Table14[],MATCH($B2657,Table14[SAPNo],0),3),"")</f>
        <v>Drop In 1308 CT31   (B)</v>
      </c>
      <c r="D2657" s="306"/>
      <c r="E2657" s="421">
        <v>8</v>
      </c>
      <c r="F2657" s="421"/>
      <c r="G2657" s="417" t="s">
        <v>2051</v>
      </c>
      <c r="H2657" s="598">
        <v>14210790</v>
      </c>
      <c r="I2657" s="322" t="s">
        <v>2052</v>
      </c>
      <c r="J2657" s="418"/>
      <c r="K2657" s="248"/>
      <c r="M2657" s="422"/>
      <c r="AF2657">
        <v>8</v>
      </c>
    </row>
    <row r="2658" spans="1:32" x14ac:dyDescent="0.25">
      <c r="A2658" s="308">
        <v>45518</v>
      </c>
      <c r="B2658" s="416">
        <v>1100755</v>
      </c>
      <c r="C2658" s="413" t="str">
        <f>IFERROR(INDEX(Table14[],MATCH($B2658,Table14[SAPNo],0),3),"")</f>
        <v>Round 1613 CT421  0.018" (S)</v>
      </c>
      <c r="D2658" s="306"/>
      <c r="E2658" s="421">
        <v>147</v>
      </c>
      <c r="F2658" s="421"/>
      <c r="G2658" s="417" t="s">
        <v>2051</v>
      </c>
      <c r="H2658" s="598">
        <v>14210790</v>
      </c>
      <c r="I2658" s="322" t="s">
        <v>2052</v>
      </c>
      <c r="J2658" s="418"/>
      <c r="K2658" s="248"/>
      <c r="M2658" s="366"/>
      <c r="AF2658">
        <v>147</v>
      </c>
    </row>
    <row r="2659" spans="1:32" x14ac:dyDescent="0.25">
      <c r="A2659" s="308">
        <v>45518</v>
      </c>
      <c r="B2659" s="416">
        <v>418525</v>
      </c>
      <c r="C2659" s="413" t="str">
        <f>IFERROR(INDEX(Table14[],MATCH($B2659,Table14[SAPNo],0),3),"")</f>
        <v>Drop In 1308 CT31   (B)</v>
      </c>
      <c r="D2659" s="306"/>
      <c r="E2659" s="421">
        <v>10</v>
      </c>
      <c r="F2659" s="421"/>
      <c r="G2659" s="417" t="s">
        <v>2053</v>
      </c>
      <c r="H2659" s="598">
        <v>14198196</v>
      </c>
      <c r="I2659" s="322" t="s">
        <v>2054</v>
      </c>
      <c r="J2659" s="418"/>
      <c r="K2659" s="248"/>
      <c r="M2659" s="366"/>
      <c r="AF2659">
        <v>10</v>
      </c>
    </row>
    <row r="2660" spans="1:32" x14ac:dyDescent="0.25">
      <c r="A2660" s="308">
        <v>45518</v>
      </c>
      <c r="B2660" s="416">
        <v>1209332</v>
      </c>
      <c r="C2660" s="413" t="str">
        <f>IFERROR(INDEX(Table14[],MATCH($B2660,Table14[SAPNo],0),3),"")</f>
        <v>1313 CT147G U</v>
      </c>
      <c r="D2660" s="306"/>
      <c r="E2660" s="421">
        <v>7</v>
      </c>
      <c r="F2660" s="421"/>
      <c r="G2660" s="417" t="s">
        <v>2053</v>
      </c>
      <c r="H2660" s="598">
        <v>14198196</v>
      </c>
      <c r="I2660" s="322" t="s">
        <v>2054</v>
      </c>
      <c r="J2660" s="418"/>
      <c r="K2660" s="248"/>
      <c r="M2660" s="366"/>
      <c r="AF2660">
        <v>7</v>
      </c>
    </row>
    <row r="2661" spans="1:32" x14ac:dyDescent="0.25">
      <c r="A2661" s="308">
        <v>45518</v>
      </c>
      <c r="B2661" s="416">
        <v>853550</v>
      </c>
      <c r="C2661" s="413" t="str">
        <f>IFERROR(INDEX(Table14[],MATCH($B2661,Table14[SAPNo],0),3),"")</f>
        <v>Round 1313 CT125 GEDB 0.018" (S)</v>
      </c>
      <c r="D2661" s="306"/>
      <c r="E2661" s="421">
        <v>16</v>
      </c>
      <c r="F2661" s="421"/>
      <c r="G2661" s="417" t="s">
        <v>2055</v>
      </c>
      <c r="H2661" s="598">
        <v>14198196</v>
      </c>
      <c r="I2661" s="322" t="s">
        <v>2054</v>
      </c>
      <c r="J2661" s="418"/>
      <c r="K2661" s="248"/>
      <c r="M2661" s="366"/>
      <c r="AF2661">
        <v>16</v>
      </c>
    </row>
    <row r="2662" spans="1:32" x14ac:dyDescent="0.25">
      <c r="A2662" s="308">
        <v>45519</v>
      </c>
      <c r="B2662" s="416">
        <v>418525</v>
      </c>
      <c r="C2662" s="413" t="str">
        <f>IFERROR(INDEX(Table14[],MATCH($B2662,Table14[SAPNo],0),3),"")</f>
        <v>Drop In 1308 CT31   (B)</v>
      </c>
      <c r="D2662" s="306"/>
      <c r="E2662" s="421">
        <v>8</v>
      </c>
      <c r="F2662" s="421"/>
      <c r="G2662" s="417" t="s">
        <v>2056</v>
      </c>
      <c r="H2662" s="598">
        <v>14210791</v>
      </c>
      <c r="I2662" s="322" t="s">
        <v>2057</v>
      </c>
      <c r="J2662" s="418"/>
      <c r="K2662" s="248"/>
      <c r="M2662" s="366"/>
      <c r="AF2662">
        <v>8</v>
      </c>
    </row>
    <row r="2663" spans="1:32" x14ac:dyDescent="0.25">
      <c r="A2663" s="308">
        <v>45519</v>
      </c>
      <c r="B2663" s="416">
        <v>1126402</v>
      </c>
      <c r="C2663" s="413" t="str">
        <f>IFERROR(INDEX(Table14[],MATCH($B2663,Table14[SAPNo],0),3),"")</f>
        <v>1613 CT421 16-60</v>
      </c>
      <c r="D2663" s="306"/>
      <c r="E2663" s="421">
        <v>92</v>
      </c>
      <c r="F2663" s="421"/>
      <c r="G2663" s="417" t="s">
        <v>2056</v>
      </c>
      <c r="H2663" s="598">
        <v>14210791</v>
      </c>
      <c r="I2663" s="322" t="s">
        <v>2057</v>
      </c>
      <c r="J2663" s="418"/>
      <c r="K2663" s="248"/>
      <c r="M2663" s="366"/>
      <c r="AF2663">
        <v>92</v>
      </c>
    </row>
    <row r="2664" spans="1:32" x14ac:dyDescent="0.25">
      <c r="A2664" s="308">
        <v>45519</v>
      </c>
      <c r="B2664" s="416">
        <v>1100755</v>
      </c>
      <c r="C2664" s="413" t="str">
        <f>IFERROR(INDEX(Table14[],MATCH($B2664,Table14[SAPNo],0),3),"")</f>
        <v>Round 1613 CT421  0.018" (S)</v>
      </c>
      <c r="D2664" s="306"/>
      <c r="E2664" s="421">
        <v>55</v>
      </c>
      <c r="F2664" s="421"/>
      <c r="G2664" s="417" t="s">
        <v>2056</v>
      </c>
      <c r="H2664" s="598">
        <v>14210791</v>
      </c>
      <c r="I2664" s="322" t="s">
        <v>2057</v>
      </c>
      <c r="J2664" s="418"/>
      <c r="K2664" s="248"/>
      <c r="M2664" s="366"/>
      <c r="AF2664">
        <v>55</v>
      </c>
    </row>
    <row r="2665" spans="1:32" x14ac:dyDescent="0.25">
      <c r="A2665" s="308">
        <v>45519</v>
      </c>
      <c r="B2665" s="416">
        <v>418525</v>
      </c>
      <c r="C2665" s="413" t="str">
        <f>IFERROR(INDEX(Table14[],MATCH($B2665,Table14[SAPNo],0),3),"")</f>
        <v>Drop In 1308 CT31   (B)</v>
      </c>
      <c r="D2665" s="306"/>
      <c r="E2665" s="421">
        <v>6</v>
      </c>
      <c r="F2665" s="421"/>
      <c r="G2665" s="417" t="s">
        <v>2058</v>
      </c>
      <c r="H2665" s="598">
        <v>14204332</v>
      </c>
      <c r="I2665" s="322" t="s">
        <v>1338</v>
      </c>
      <c r="J2665" s="418"/>
      <c r="K2665" s="248"/>
      <c r="M2665" s="366"/>
      <c r="AF2665">
        <v>6</v>
      </c>
    </row>
    <row r="2666" spans="1:32" x14ac:dyDescent="0.25">
      <c r="A2666" s="308">
        <v>45519</v>
      </c>
      <c r="B2666" s="416">
        <v>1271790</v>
      </c>
      <c r="C2666" s="413" t="str">
        <f>IFERROR(INDEX(Table14[],MATCH($B2666,Table14[SAPNo],0),3),"")</f>
        <v xml:space="preserve">1613 CT170 18-60 </v>
      </c>
      <c r="D2666" s="306"/>
      <c r="E2666" s="421">
        <v>17</v>
      </c>
      <c r="F2666" s="421"/>
      <c r="G2666" s="417" t="s">
        <v>2058</v>
      </c>
      <c r="H2666" s="598">
        <v>14204332</v>
      </c>
      <c r="I2666" s="322" t="s">
        <v>1338</v>
      </c>
      <c r="J2666" s="418"/>
      <c r="K2666" s="248"/>
      <c r="M2666" s="366"/>
      <c r="AF2666">
        <v>17</v>
      </c>
    </row>
    <row r="2667" spans="1:32" x14ac:dyDescent="0.25">
      <c r="A2667" s="308">
        <v>45519</v>
      </c>
      <c r="B2667" s="416">
        <v>1208601</v>
      </c>
      <c r="C2667" s="413" t="str">
        <f>IFERROR(INDEX(Table14[],MATCH($B2667,Table14[SAPNo],0),3),"")</f>
        <v>1613 CT418 U-60</v>
      </c>
      <c r="D2667" s="306"/>
      <c r="E2667" s="421">
        <v>8</v>
      </c>
      <c r="F2667" s="421"/>
      <c r="G2667" s="417" t="s">
        <v>2058</v>
      </c>
      <c r="H2667" s="598">
        <v>14204332</v>
      </c>
      <c r="I2667" s="322" t="s">
        <v>1338</v>
      </c>
      <c r="J2667" s="418"/>
      <c r="K2667" s="248"/>
      <c r="M2667" s="366"/>
      <c r="AF2667">
        <v>8</v>
      </c>
    </row>
    <row r="2668" spans="1:32" x14ac:dyDescent="0.25">
      <c r="A2668" s="308">
        <v>45519</v>
      </c>
      <c r="B2668" s="416">
        <v>1146737</v>
      </c>
      <c r="C2668" s="413" t="str">
        <f>IFERROR(INDEX(Table14[],MATCH($B2668,Table14[SAPNo],0),3),"")</f>
        <v>1613 CT418 18-60</v>
      </c>
      <c r="D2668" s="306"/>
      <c r="E2668" s="421">
        <v>6</v>
      </c>
      <c r="F2668" s="421"/>
      <c r="G2668" s="417" t="s">
        <v>2058</v>
      </c>
      <c r="H2668" s="598">
        <v>14204332</v>
      </c>
      <c r="I2668" s="322" t="s">
        <v>1338</v>
      </c>
      <c r="J2668" s="418"/>
      <c r="K2668" s="248"/>
      <c r="M2668" s="366"/>
      <c r="AF2668">
        <v>6</v>
      </c>
    </row>
    <row r="2669" spans="1:32" x14ac:dyDescent="0.25">
      <c r="A2669" s="320">
        <v>45519</v>
      </c>
      <c r="B2669" s="419">
        <v>1078377</v>
      </c>
      <c r="C2669" s="413" t="str">
        <f>IFERROR(INDEX(Table14[],MATCH($B2669,Table14[SAPNo],0),3),"")</f>
        <v>13MM CT221 R1</v>
      </c>
      <c r="D2669" s="306"/>
      <c r="E2669" s="421">
        <v>15</v>
      </c>
      <c r="F2669" s="421"/>
      <c r="G2669" s="420" t="s">
        <v>2058</v>
      </c>
      <c r="H2669" s="599">
        <v>14204332</v>
      </c>
      <c r="I2669" s="322" t="s">
        <v>1338</v>
      </c>
      <c r="J2669" s="421"/>
      <c r="K2669" s="422"/>
      <c r="M2669" s="473" t="s">
        <v>2059</v>
      </c>
      <c r="AF2669">
        <v>15</v>
      </c>
    </row>
    <row r="2670" spans="1:32" x14ac:dyDescent="0.25">
      <c r="A2670" s="308">
        <v>45522</v>
      </c>
      <c r="B2670" s="416">
        <v>647435</v>
      </c>
      <c r="C2670" s="413" t="str">
        <f>IFERROR(INDEX(Table14[],MATCH($B2670,Table14[SAPNo],0),3),"")</f>
        <v>Round 1608 CT200  0.018" (B)</v>
      </c>
      <c r="D2670" s="306"/>
      <c r="E2670" s="421">
        <v>23</v>
      </c>
      <c r="F2670" s="421"/>
      <c r="G2670" s="417" t="s">
        <v>2060</v>
      </c>
      <c r="H2670" s="598">
        <v>14214976</v>
      </c>
      <c r="I2670" s="322" t="s">
        <v>2049</v>
      </c>
      <c r="J2670" s="418"/>
      <c r="K2670" s="248"/>
      <c r="M2670" s="422"/>
      <c r="AF2670">
        <v>23</v>
      </c>
    </row>
    <row r="2671" spans="1:32" x14ac:dyDescent="0.25">
      <c r="A2671" s="308">
        <v>45522</v>
      </c>
      <c r="B2671" s="416">
        <v>1100755</v>
      </c>
      <c r="C2671" s="413" t="str">
        <f>IFERROR(INDEX(Table14[],MATCH($B2671,Table14[SAPNo],0),3),"")</f>
        <v>Round 1613 CT421  0.018" (S)</v>
      </c>
      <c r="D2671" s="306"/>
      <c r="E2671" s="421">
        <v>33</v>
      </c>
      <c r="F2671" s="421"/>
      <c r="G2671" s="417" t="s">
        <v>2060</v>
      </c>
      <c r="H2671" s="598">
        <v>14214976</v>
      </c>
      <c r="I2671" s="322" t="s">
        <v>2049</v>
      </c>
      <c r="J2671" s="418"/>
      <c r="K2671" s="248"/>
      <c r="M2671" s="366"/>
      <c r="AF2671">
        <v>33</v>
      </c>
    </row>
    <row r="2672" spans="1:32" x14ac:dyDescent="0.25">
      <c r="A2672" s="308">
        <v>45522</v>
      </c>
      <c r="B2672" s="416">
        <v>871781</v>
      </c>
      <c r="C2672" s="413" t="str">
        <f>IFERROR(INDEX(Table14[],MATCH($B2672,Table14[SAPNo],0),3),"")</f>
        <v>Round 1313 CT200  0.018" (B)</v>
      </c>
      <c r="D2672" s="306"/>
      <c r="E2672" s="421">
        <v>6</v>
      </c>
      <c r="F2672" s="421"/>
      <c r="G2672" s="417" t="s">
        <v>2060</v>
      </c>
      <c r="H2672" s="598">
        <v>14214976</v>
      </c>
      <c r="I2672" s="322" t="s">
        <v>2049</v>
      </c>
      <c r="J2672" s="418"/>
      <c r="K2672" s="248"/>
      <c r="M2672" s="366"/>
      <c r="AF2672">
        <v>6</v>
      </c>
    </row>
    <row r="2673" spans="1:32" x14ac:dyDescent="0.25">
      <c r="A2673" s="308">
        <v>45522</v>
      </c>
      <c r="B2673" s="416">
        <v>1100755</v>
      </c>
      <c r="C2673" s="413" t="str">
        <f>IFERROR(INDEX(Table14[],MATCH($B2673,Table14[SAPNo],0),3),"")</f>
        <v>Round 1613 CT421  0.018" (S)</v>
      </c>
      <c r="D2673" s="306"/>
      <c r="E2673" s="421">
        <v>33</v>
      </c>
      <c r="F2673" s="421"/>
      <c r="G2673" s="417" t="s">
        <v>2061</v>
      </c>
      <c r="H2673" s="598">
        <v>14214982</v>
      </c>
      <c r="I2673" s="322" t="s">
        <v>2062</v>
      </c>
      <c r="J2673" s="418"/>
      <c r="K2673" s="248"/>
      <c r="M2673" s="366"/>
      <c r="AF2673">
        <v>33</v>
      </c>
    </row>
    <row r="2674" spans="1:32" x14ac:dyDescent="0.25">
      <c r="A2674" s="308">
        <v>45522</v>
      </c>
      <c r="B2674" s="416">
        <v>647435</v>
      </c>
      <c r="C2674" s="413" t="str">
        <f>IFERROR(INDEX(Table14[],MATCH($B2674,Table14[SAPNo],0),3),"")</f>
        <v>Round 1608 CT200  0.018" (B)</v>
      </c>
      <c r="D2674" s="306"/>
      <c r="E2674" s="421">
        <v>23</v>
      </c>
      <c r="F2674" s="421"/>
      <c r="G2674" s="417" t="s">
        <v>2061</v>
      </c>
      <c r="H2674" s="598">
        <v>14214982</v>
      </c>
      <c r="I2674" s="322" t="s">
        <v>2062</v>
      </c>
      <c r="J2674" s="418"/>
      <c r="K2674" s="248"/>
      <c r="M2674" s="366"/>
      <c r="AF2674">
        <v>23</v>
      </c>
    </row>
    <row r="2675" spans="1:32" x14ac:dyDescent="0.25">
      <c r="A2675" s="308">
        <v>45522</v>
      </c>
      <c r="B2675" s="416">
        <v>871781</v>
      </c>
      <c r="C2675" s="413" t="str">
        <f>IFERROR(INDEX(Table14[],MATCH($B2675,Table14[SAPNo],0),3),"")</f>
        <v>Round 1313 CT200  0.018" (B)</v>
      </c>
      <c r="D2675" s="306"/>
      <c r="E2675" s="421">
        <v>6</v>
      </c>
      <c r="F2675" s="421"/>
      <c r="G2675" s="417" t="s">
        <v>2061</v>
      </c>
      <c r="H2675" s="598">
        <v>14214982</v>
      </c>
      <c r="I2675" s="322" t="s">
        <v>2062</v>
      </c>
      <c r="J2675" s="418"/>
      <c r="K2675" s="248"/>
      <c r="M2675" s="366"/>
      <c r="AF2675">
        <v>6</v>
      </c>
    </row>
    <row r="2676" spans="1:32" x14ac:dyDescent="0.25">
      <c r="A2676" s="308">
        <v>45522</v>
      </c>
      <c r="B2676" s="416">
        <v>1261320</v>
      </c>
      <c r="C2676" s="413" t="str">
        <f>IFERROR(INDEX(Table14[],MATCH($B2676,Table14[SAPNo],0),3),"")</f>
        <v>1313 CT155 U-60</v>
      </c>
      <c r="D2676" s="306"/>
      <c r="E2676" s="421">
        <v>6</v>
      </c>
      <c r="F2676" s="421"/>
      <c r="G2676" s="417" t="s">
        <v>2063</v>
      </c>
      <c r="H2676" s="598">
        <v>14178453</v>
      </c>
      <c r="I2676" s="322" t="s">
        <v>1175</v>
      </c>
      <c r="J2676" s="418"/>
      <c r="K2676" s="248"/>
      <c r="M2676" s="366"/>
      <c r="AF2676">
        <v>6</v>
      </c>
    </row>
    <row r="2677" spans="1:32" x14ac:dyDescent="0.25">
      <c r="A2677" s="308">
        <v>45522</v>
      </c>
      <c r="B2677" s="416">
        <v>1228502</v>
      </c>
      <c r="C2677" s="413" t="str">
        <f>IFERROR(INDEX(Table14[],MATCH($B2677,Table14[SAPNo],0),3),"")</f>
        <v>1618 CT182 U-60 Rotor</v>
      </c>
      <c r="D2677" s="306"/>
      <c r="E2677" s="421">
        <v>10</v>
      </c>
      <c r="F2677" s="421"/>
      <c r="G2677" s="417" t="s">
        <v>2063</v>
      </c>
      <c r="H2677" s="598">
        <v>14178453</v>
      </c>
      <c r="I2677" s="322" t="s">
        <v>1175</v>
      </c>
      <c r="J2677" s="418"/>
      <c r="K2677" s="248"/>
      <c r="M2677" s="366"/>
      <c r="AF2677">
        <v>10</v>
      </c>
    </row>
    <row r="2678" spans="1:32" x14ac:dyDescent="0.25">
      <c r="A2678" s="308">
        <v>45522</v>
      </c>
      <c r="B2678" s="416">
        <v>1228501</v>
      </c>
      <c r="C2678" s="413" t="str">
        <f>IFERROR(INDEX(Table14[],MATCH($B2678,Table14[SAPNo],0),3),"")</f>
        <v>1618 CT182 U-60 stator</v>
      </c>
      <c r="D2678" s="306"/>
      <c r="E2678" s="421">
        <v>10</v>
      </c>
      <c r="F2678" s="421"/>
      <c r="G2678" s="417" t="s">
        <v>2063</v>
      </c>
      <c r="H2678" s="598">
        <v>14178453</v>
      </c>
      <c r="I2678" s="322" t="s">
        <v>1175</v>
      </c>
      <c r="J2678" s="418"/>
      <c r="K2678" s="248"/>
      <c r="M2678" s="366"/>
      <c r="AF2678">
        <v>10</v>
      </c>
    </row>
    <row r="2679" spans="1:32" x14ac:dyDescent="0.25">
      <c r="A2679" s="308">
        <v>45522</v>
      </c>
      <c r="B2679" s="416">
        <v>871781</v>
      </c>
      <c r="C2679" s="413" t="str">
        <f>IFERROR(INDEX(Table14[],MATCH($B2679,Table14[SAPNo],0),3),"")</f>
        <v>Round 1313 CT200  0.018" (B)</v>
      </c>
      <c r="D2679" s="306"/>
      <c r="E2679" s="421">
        <v>6</v>
      </c>
      <c r="F2679" s="421"/>
      <c r="G2679" s="417" t="s">
        <v>2063</v>
      </c>
      <c r="H2679" s="598">
        <v>14178453</v>
      </c>
      <c r="I2679" s="322" t="s">
        <v>1175</v>
      </c>
      <c r="J2679" s="418"/>
      <c r="K2679" s="248"/>
      <c r="M2679" s="366"/>
      <c r="AF2679">
        <v>6</v>
      </c>
    </row>
    <row r="2680" spans="1:32" x14ac:dyDescent="0.25">
      <c r="A2680" s="308">
        <v>45522</v>
      </c>
      <c r="B2680" s="416">
        <v>1261319</v>
      </c>
      <c r="C2680" s="413" t="str">
        <f>IFERROR(INDEX(Table14[],MATCH($B2680,Table14[SAPNo],0),3),"")</f>
        <v>1308 CT155 U-60</v>
      </c>
      <c r="D2680" s="306"/>
      <c r="E2680" s="421">
        <v>24</v>
      </c>
      <c r="F2680" s="421"/>
      <c r="G2680" s="417" t="s">
        <v>2063</v>
      </c>
      <c r="H2680" s="598">
        <v>14178453</v>
      </c>
      <c r="I2680" s="322" t="s">
        <v>1175</v>
      </c>
      <c r="J2680" s="418"/>
      <c r="K2680" s="248"/>
      <c r="M2680" s="366"/>
      <c r="AF2680">
        <v>24</v>
      </c>
    </row>
    <row r="2681" spans="1:32" x14ac:dyDescent="0.25">
      <c r="A2681" s="308">
        <v>45522</v>
      </c>
      <c r="B2681" s="416">
        <v>1228503</v>
      </c>
      <c r="C2681" s="413" t="str">
        <f>IFERROR(INDEX(Table14[],MATCH($B2681,Table14[SAPNo],0),3),"")</f>
        <v>1618 CT182 U-60 Ring</v>
      </c>
      <c r="D2681" s="306"/>
      <c r="E2681" s="421">
        <v>10</v>
      </c>
      <c r="F2681" s="421"/>
      <c r="G2681" s="417" t="s">
        <v>2063</v>
      </c>
      <c r="H2681" s="598">
        <v>14178453</v>
      </c>
      <c r="I2681" s="322" t="s">
        <v>1175</v>
      </c>
      <c r="J2681" s="418"/>
      <c r="K2681" s="248"/>
      <c r="M2681" s="366"/>
      <c r="AF2681">
        <v>10</v>
      </c>
    </row>
    <row r="2682" spans="1:32" x14ac:dyDescent="0.25">
      <c r="A2682" s="308">
        <v>45522</v>
      </c>
      <c r="B2682" s="416">
        <v>1261321</v>
      </c>
      <c r="C2682" s="413" t="str">
        <f>IFERROR(INDEX(Table14[],MATCH($B2682,Table14[SAPNo],0),3),"")</f>
        <v>1613 CT155 U-60</v>
      </c>
      <c r="D2682" s="306"/>
      <c r="E2682" s="421">
        <v>4</v>
      </c>
      <c r="F2682" s="421"/>
      <c r="G2682" s="417" t="s">
        <v>2063</v>
      </c>
      <c r="H2682" s="598">
        <v>14178453</v>
      </c>
      <c r="I2682" s="322" t="s">
        <v>1175</v>
      </c>
      <c r="J2682" s="418"/>
      <c r="K2682" s="248"/>
      <c r="M2682" s="366"/>
      <c r="AF2682">
        <v>4</v>
      </c>
    </row>
    <row r="2683" spans="1:32" x14ac:dyDescent="0.25">
      <c r="A2683" s="308">
        <v>45522</v>
      </c>
      <c r="B2683" s="416">
        <v>1220554</v>
      </c>
      <c r="C2683" s="413" t="str">
        <f>IFERROR(INDEX(Table14[],MATCH($B2683,Table14[SAPNo],0),3),"")</f>
        <v xml:space="preserve">1618 CT182 U-60 Carbide </v>
      </c>
      <c r="D2683" s="306"/>
      <c r="E2683" s="421">
        <v>10</v>
      </c>
      <c r="F2683" s="421"/>
      <c r="G2683" s="417" t="s">
        <v>2063</v>
      </c>
      <c r="H2683" s="598">
        <v>14178453</v>
      </c>
      <c r="I2683" s="322" t="s">
        <v>1175</v>
      </c>
      <c r="J2683" s="418"/>
      <c r="K2683" s="248"/>
      <c r="M2683" s="366"/>
      <c r="AF2683">
        <v>10</v>
      </c>
    </row>
    <row r="2684" spans="1:32" x14ac:dyDescent="0.25">
      <c r="A2684" s="308">
        <v>45523</v>
      </c>
      <c r="B2684" s="416">
        <v>647435</v>
      </c>
      <c r="C2684" s="413" t="str">
        <f>IFERROR(INDEX(Table14[],MATCH($B2684,Table14[SAPNo],0),3),"")</f>
        <v>Round 1608 CT200  0.018" (B)</v>
      </c>
      <c r="D2684" s="306"/>
      <c r="E2684" s="421">
        <v>23</v>
      </c>
      <c r="F2684" s="421"/>
      <c r="G2684" s="417" t="s">
        <v>2064</v>
      </c>
      <c r="H2684" s="598">
        <v>14214983</v>
      </c>
      <c r="I2684" s="322" t="s">
        <v>2062</v>
      </c>
      <c r="J2684" s="418"/>
      <c r="K2684" s="248"/>
      <c r="M2684" s="366"/>
      <c r="AF2684">
        <v>23</v>
      </c>
    </row>
    <row r="2685" spans="1:32" x14ac:dyDescent="0.25">
      <c r="A2685" s="308">
        <v>45523</v>
      </c>
      <c r="B2685" s="416">
        <v>871781</v>
      </c>
      <c r="C2685" s="413" t="str">
        <f>IFERROR(INDEX(Table14[],MATCH($B2685,Table14[SAPNo],0),3),"")</f>
        <v>Round 1313 CT200  0.018" (B)</v>
      </c>
      <c r="D2685" s="306"/>
      <c r="E2685" s="421">
        <v>6</v>
      </c>
      <c r="F2685" s="421"/>
      <c r="G2685" s="417" t="s">
        <v>2064</v>
      </c>
      <c r="H2685" s="598">
        <v>14214983</v>
      </c>
      <c r="I2685" s="322" t="s">
        <v>2062</v>
      </c>
      <c r="J2685" s="418"/>
      <c r="K2685" s="248"/>
      <c r="M2685" s="366"/>
      <c r="AF2685">
        <v>6</v>
      </c>
    </row>
    <row r="2686" spans="1:32" x14ac:dyDescent="0.25">
      <c r="A2686" s="308">
        <v>45523</v>
      </c>
      <c r="B2686" s="416">
        <v>1100755</v>
      </c>
      <c r="C2686" s="413" t="str">
        <f>IFERROR(INDEX(Table14[],MATCH($B2686,Table14[SAPNo],0),3),"")</f>
        <v>Round 1613 CT421  0.018" (S)</v>
      </c>
      <c r="D2686" s="306"/>
      <c r="E2686" s="421">
        <v>33</v>
      </c>
      <c r="F2686" s="421"/>
      <c r="G2686" s="417" t="s">
        <v>2064</v>
      </c>
      <c r="H2686" s="598">
        <v>14214983</v>
      </c>
      <c r="I2686" s="322" t="s">
        <v>2062</v>
      </c>
      <c r="J2686" s="418"/>
      <c r="K2686" s="248"/>
      <c r="M2686" s="366"/>
      <c r="AF2686">
        <v>33</v>
      </c>
    </row>
    <row r="2687" spans="1:32" x14ac:dyDescent="0.25">
      <c r="A2687" s="308">
        <v>45523</v>
      </c>
      <c r="B2687" s="416">
        <v>1228501</v>
      </c>
      <c r="C2687" s="413" t="str">
        <f>IFERROR(INDEX(Table14[],MATCH($B2687,Table14[SAPNo],0),3),"")</f>
        <v>1618 CT182 U-60 stator</v>
      </c>
      <c r="D2687" s="306"/>
      <c r="E2687" s="421">
        <v>10</v>
      </c>
      <c r="F2687" s="421"/>
      <c r="G2687" s="417" t="s">
        <v>2065</v>
      </c>
      <c r="H2687" s="598">
        <v>14211858</v>
      </c>
      <c r="I2687" s="322" t="s">
        <v>1175</v>
      </c>
      <c r="J2687" s="418"/>
      <c r="K2687" s="248"/>
      <c r="M2687" s="366"/>
      <c r="AF2687">
        <v>10</v>
      </c>
    </row>
    <row r="2688" spans="1:32" x14ac:dyDescent="0.25">
      <c r="A2688" s="308">
        <v>45523</v>
      </c>
      <c r="B2688" s="416">
        <v>1228502</v>
      </c>
      <c r="C2688" s="413" t="str">
        <f>IFERROR(INDEX(Table14[],MATCH($B2688,Table14[SAPNo],0),3),"")</f>
        <v>1618 CT182 U-60 Rotor</v>
      </c>
      <c r="D2688" s="306"/>
      <c r="E2688" s="421">
        <v>10</v>
      </c>
      <c r="F2688" s="421"/>
      <c r="G2688" s="417" t="s">
        <v>2065</v>
      </c>
      <c r="H2688" s="598">
        <v>14211858</v>
      </c>
      <c r="I2688" s="322" t="s">
        <v>1175</v>
      </c>
      <c r="J2688" s="418"/>
      <c r="K2688" s="248"/>
      <c r="M2688" s="366"/>
      <c r="AF2688">
        <v>10</v>
      </c>
    </row>
    <row r="2689" spans="1:32" x14ac:dyDescent="0.25">
      <c r="A2689" s="308">
        <v>45523</v>
      </c>
      <c r="B2689" s="416">
        <v>1228503</v>
      </c>
      <c r="C2689" s="413" t="str">
        <f>IFERROR(INDEX(Table14[],MATCH($B2689,Table14[SAPNo],0),3),"")</f>
        <v>1618 CT182 U-60 Ring</v>
      </c>
      <c r="D2689" s="306"/>
      <c r="E2689" s="421">
        <v>10</v>
      </c>
      <c r="F2689" s="421"/>
      <c r="G2689" s="417" t="s">
        <v>2065</v>
      </c>
      <c r="H2689" s="598">
        <v>14211858</v>
      </c>
      <c r="I2689" s="322" t="s">
        <v>1175</v>
      </c>
      <c r="J2689" s="418"/>
      <c r="K2689" s="248"/>
      <c r="M2689" s="366"/>
      <c r="AF2689">
        <v>10</v>
      </c>
    </row>
    <row r="2690" spans="1:32" x14ac:dyDescent="0.25">
      <c r="A2690" s="308">
        <v>45523</v>
      </c>
      <c r="B2690" s="416">
        <v>1261320</v>
      </c>
      <c r="C2690" s="413" t="str">
        <f>IFERROR(INDEX(Table14[],MATCH($B2690,Table14[SAPNo],0),3),"")</f>
        <v>1313 CT155 U-60</v>
      </c>
      <c r="D2690" s="306"/>
      <c r="E2690" s="421">
        <v>6</v>
      </c>
      <c r="F2690" s="421"/>
      <c r="G2690" s="417" t="s">
        <v>2065</v>
      </c>
      <c r="H2690" s="598">
        <v>14211858</v>
      </c>
      <c r="I2690" s="322" t="s">
        <v>1175</v>
      </c>
      <c r="J2690" s="418"/>
      <c r="K2690" s="248"/>
      <c r="M2690" s="366"/>
      <c r="AF2690">
        <v>6</v>
      </c>
    </row>
    <row r="2691" spans="1:32" x14ac:dyDescent="0.25">
      <c r="A2691" s="308">
        <v>45523</v>
      </c>
      <c r="B2691" s="416">
        <v>871781</v>
      </c>
      <c r="C2691" s="413" t="str">
        <f>IFERROR(INDEX(Table14[],MATCH($B2691,Table14[SAPNo],0),3),"")</f>
        <v>Round 1313 CT200  0.018" (B)</v>
      </c>
      <c r="D2691" s="306"/>
      <c r="E2691" s="421">
        <v>6</v>
      </c>
      <c r="F2691" s="421"/>
      <c r="G2691" s="417" t="s">
        <v>2065</v>
      </c>
      <c r="H2691" s="598">
        <v>14211858</v>
      </c>
      <c r="I2691" s="322" t="s">
        <v>1175</v>
      </c>
      <c r="J2691" s="418"/>
      <c r="K2691" s="248"/>
      <c r="M2691" s="366"/>
      <c r="AF2691">
        <v>6</v>
      </c>
    </row>
    <row r="2692" spans="1:32" x14ac:dyDescent="0.25">
      <c r="A2692" s="308">
        <v>45523</v>
      </c>
      <c r="B2692" s="416">
        <v>1261321</v>
      </c>
      <c r="C2692" s="413" t="str">
        <f>IFERROR(INDEX(Table14[],MATCH($B2692,Table14[SAPNo],0),3),"")</f>
        <v>1613 CT155 U-60</v>
      </c>
      <c r="D2692" s="306"/>
      <c r="E2692" s="421">
        <v>4</v>
      </c>
      <c r="F2692" s="421"/>
      <c r="G2692" s="417" t="s">
        <v>2065</v>
      </c>
      <c r="H2692" s="598">
        <v>14211858</v>
      </c>
      <c r="I2692" s="322" t="s">
        <v>1175</v>
      </c>
      <c r="J2692" s="418"/>
      <c r="K2692" s="248"/>
      <c r="M2692" s="366"/>
      <c r="AF2692">
        <v>4</v>
      </c>
    </row>
    <row r="2693" spans="1:32" x14ac:dyDescent="0.25">
      <c r="A2693" s="308">
        <v>45523</v>
      </c>
      <c r="B2693" s="416">
        <v>1261319</v>
      </c>
      <c r="C2693" s="413" t="str">
        <f>IFERROR(INDEX(Table14[],MATCH($B2693,Table14[SAPNo],0),3),"")</f>
        <v>1308 CT155 U-60</v>
      </c>
      <c r="D2693" s="306"/>
      <c r="E2693" s="421">
        <v>24</v>
      </c>
      <c r="F2693" s="421"/>
      <c r="G2693" s="417" t="s">
        <v>2065</v>
      </c>
      <c r="H2693" s="598">
        <v>14211858</v>
      </c>
      <c r="I2693" s="322" t="s">
        <v>1175</v>
      </c>
      <c r="J2693" s="418"/>
      <c r="K2693" s="248"/>
      <c r="M2693" s="366"/>
      <c r="AF2693">
        <v>24</v>
      </c>
    </row>
    <row r="2694" spans="1:32" x14ac:dyDescent="0.25">
      <c r="A2694" s="320">
        <v>45523</v>
      </c>
      <c r="B2694" s="419">
        <v>1220554</v>
      </c>
      <c r="C2694" s="413" t="str">
        <f>IFERROR(INDEX(Table14[],MATCH($B2694,Table14[SAPNo],0),3),"")</f>
        <v xml:space="preserve">1618 CT182 U-60 Carbide </v>
      </c>
      <c r="D2694" s="306"/>
      <c r="E2694" s="421">
        <v>10</v>
      </c>
      <c r="F2694" s="421"/>
      <c r="G2694" s="420" t="s">
        <v>2065</v>
      </c>
      <c r="H2694" s="599">
        <v>14211858</v>
      </c>
      <c r="I2694" s="322" t="s">
        <v>1175</v>
      </c>
      <c r="J2694" s="421"/>
      <c r="K2694" s="422"/>
      <c r="M2694" s="366"/>
      <c r="AF2694">
        <v>10</v>
      </c>
    </row>
    <row r="2695" spans="1:32" x14ac:dyDescent="0.25">
      <c r="A2695" s="320">
        <v>45523</v>
      </c>
      <c r="B2695" s="419">
        <v>1199265</v>
      </c>
      <c r="C2695" s="413" t="str">
        <f>IFERROR(INDEX(Table14[],MATCH($B2695,Table14[SAPNo],0),3),"")</f>
        <v>1613 CT158 18C</v>
      </c>
      <c r="D2695" s="306"/>
      <c r="E2695" s="421">
        <v>1</v>
      </c>
      <c r="F2695" s="421"/>
      <c r="G2695" s="420" t="s">
        <v>2017</v>
      </c>
      <c r="H2695" s="599">
        <v>14155384</v>
      </c>
      <c r="I2695" s="322" t="s">
        <v>2018</v>
      </c>
      <c r="J2695" s="421"/>
      <c r="K2695" s="422"/>
      <c r="M2695" s="473" t="s">
        <v>2066</v>
      </c>
      <c r="AF2695">
        <v>1</v>
      </c>
    </row>
    <row r="2696" spans="1:32" x14ac:dyDescent="0.25">
      <c r="A2696" s="308">
        <v>45524</v>
      </c>
      <c r="B2696" s="416">
        <v>752294</v>
      </c>
      <c r="C2696" s="413" t="str">
        <f>IFERROR(INDEX(Table14[],MATCH($B2696,Table14[SAPNo],0),3),"")</f>
        <v>Round 1010 CT82  0.018" (S)</v>
      </c>
      <c r="D2696" s="306"/>
      <c r="E2696" s="421">
        <v>1</v>
      </c>
      <c r="F2696" s="421"/>
      <c r="G2696" s="417" t="s">
        <v>2067</v>
      </c>
      <c r="H2696" s="598">
        <v>14104619</v>
      </c>
      <c r="I2696" s="322" t="s">
        <v>2068</v>
      </c>
      <c r="J2696" s="418"/>
      <c r="K2696" s="248"/>
      <c r="M2696" s="422"/>
      <c r="AF2696">
        <v>1</v>
      </c>
    </row>
    <row r="2697" spans="1:32" x14ac:dyDescent="0.25">
      <c r="A2697" s="308">
        <v>45524</v>
      </c>
      <c r="B2697" s="416">
        <v>1177229</v>
      </c>
      <c r="C2697" s="413" t="str">
        <f>IFERROR(INDEX(Table14[],MATCH($B2697,Table14[SAPNo],0),3),"")</f>
        <v>1010 CT182 U</v>
      </c>
      <c r="D2697" s="306"/>
      <c r="E2697" s="421">
        <v>5</v>
      </c>
      <c r="F2697" s="421"/>
      <c r="G2697" s="417" t="s">
        <v>2069</v>
      </c>
      <c r="H2697" s="598">
        <v>14104618</v>
      </c>
      <c r="I2697" s="322" t="s">
        <v>2068</v>
      </c>
      <c r="J2697" s="418"/>
      <c r="K2697" s="248"/>
      <c r="M2697" s="366"/>
      <c r="AF2697">
        <v>5</v>
      </c>
    </row>
    <row r="2698" spans="1:32" x14ac:dyDescent="0.25">
      <c r="A2698" s="308">
        <v>45524</v>
      </c>
      <c r="B2698" s="416">
        <v>1228502</v>
      </c>
      <c r="C2698" s="413" t="str">
        <f>IFERROR(INDEX(Table14[],MATCH($B2698,Table14[SAPNo],0),3),"")</f>
        <v>1618 CT182 U-60 Rotor</v>
      </c>
      <c r="D2698" s="306"/>
      <c r="E2698" s="421">
        <v>10</v>
      </c>
      <c r="F2698" s="421"/>
      <c r="G2698" s="417" t="s">
        <v>2070</v>
      </c>
      <c r="H2698" s="598">
        <v>14178451</v>
      </c>
      <c r="I2698" s="322" t="s">
        <v>1175</v>
      </c>
      <c r="J2698" s="418"/>
      <c r="K2698" s="248"/>
      <c r="M2698" s="366"/>
      <c r="AF2698">
        <v>10</v>
      </c>
    </row>
    <row r="2699" spans="1:32" x14ac:dyDescent="0.25">
      <c r="A2699" s="308">
        <v>45524</v>
      </c>
      <c r="B2699" s="416">
        <v>1228501</v>
      </c>
      <c r="C2699" s="413" t="str">
        <f>IFERROR(INDEX(Table14[],MATCH($B2699,Table14[SAPNo],0),3),"")</f>
        <v>1618 CT182 U-60 stator</v>
      </c>
      <c r="D2699" s="306"/>
      <c r="E2699" s="421">
        <v>10</v>
      </c>
      <c r="F2699" s="421"/>
      <c r="G2699" s="417" t="s">
        <v>2070</v>
      </c>
      <c r="H2699" s="598">
        <v>14178451</v>
      </c>
      <c r="I2699" s="322" t="s">
        <v>1175</v>
      </c>
      <c r="J2699" s="418"/>
      <c r="K2699" s="248"/>
      <c r="M2699" s="366"/>
      <c r="AF2699">
        <v>10</v>
      </c>
    </row>
    <row r="2700" spans="1:32" x14ac:dyDescent="0.25">
      <c r="A2700" s="308">
        <v>45524</v>
      </c>
      <c r="B2700" s="416">
        <v>1228503</v>
      </c>
      <c r="C2700" s="413" t="str">
        <f>IFERROR(INDEX(Table14[],MATCH($B2700,Table14[SAPNo],0),3),"")</f>
        <v>1618 CT182 U-60 Ring</v>
      </c>
      <c r="D2700" s="306"/>
      <c r="E2700" s="421">
        <v>10</v>
      </c>
      <c r="F2700" s="421"/>
      <c r="G2700" s="417" t="s">
        <v>2070</v>
      </c>
      <c r="H2700" s="598">
        <v>14178451</v>
      </c>
      <c r="I2700" s="322" t="s">
        <v>1175</v>
      </c>
      <c r="J2700" s="418"/>
      <c r="K2700" s="248"/>
      <c r="M2700" s="366"/>
      <c r="AF2700">
        <v>10</v>
      </c>
    </row>
    <row r="2701" spans="1:32" x14ac:dyDescent="0.25">
      <c r="A2701" s="308">
        <v>45524</v>
      </c>
      <c r="B2701" s="419">
        <v>1220554</v>
      </c>
      <c r="C2701" s="413" t="str">
        <f>IFERROR(INDEX(Table14[],MATCH($B2701,Table14[SAPNo],0),3),"")</f>
        <v xml:space="preserve">1618 CT182 U-60 Carbide </v>
      </c>
      <c r="D2701" s="306"/>
      <c r="E2701" s="421">
        <v>10</v>
      </c>
      <c r="F2701" s="421"/>
      <c r="G2701" s="417" t="s">
        <v>2070</v>
      </c>
      <c r="H2701" s="598">
        <v>14178451</v>
      </c>
      <c r="I2701" s="322" t="s">
        <v>1175</v>
      </c>
      <c r="J2701" s="418"/>
      <c r="K2701" s="248"/>
      <c r="M2701" s="422"/>
      <c r="AF2701">
        <v>10</v>
      </c>
    </row>
    <row r="2702" spans="1:32" x14ac:dyDescent="0.25">
      <c r="A2702" s="308">
        <v>45524</v>
      </c>
      <c r="B2702" s="416">
        <v>1261320</v>
      </c>
      <c r="C2702" s="413" t="str">
        <f>IFERROR(INDEX(Table14[],MATCH($B2702,Table14[SAPNo],0),3),"")</f>
        <v>1313 CT155 U-60</v>
      </c>
      <c r="D2702" s="306"/>
      <c r="E2702" s="421">
        <v>6</v>
      </c>
      <c r="F2702" s="421"/>
      <c r="G2702" s="417" t="s">
        <v>2070</v>
      </c>
      <c r="H2702" s="598">
        <v>14178451</v>
      </c>
      <c r="I2702" s="322" t="s">
        <v>1175</v>
      </c>
      <c r="J2702" s="418"/>
      <c r="K2702" s="248"/>
      <c r="M2702" s="366"/>
      <c r="AF2702">
        <v>6</v>
      </c>
    </row>
    <row r="2703" spans="1:32" x14ac:dyDescent="0.25">
      <c r="A2703" s="308">
        <v>45524</v>
      </c>
      <c r="B2703" s="416">
        <v>1261321</v>
      </c>
      <c r="C2703" s="413" t="str">
        <f>IFERROR(INDEX(Table14[],MATCH($B2703,Table14[SAPNo],0),3),"")</f>
        <v>1613 CT155 U-60</v>
      </c>
      <c r="D2703" s="306"/>
      <c r="E2703" s="421">
        <v>4</v>
      </c>
      <c r="F2703" s="421"/>
      <c r="G2703" s="417" t="s">
        <v>2070</v>
      </c>
      <c r="H2703" s="598">
        <v>14178451</v>
      </c>
      <c r="I2703" s="322" t="s">
        <v>1175</v>
      </c>
      <c r="J2703" s="418"/>
      <c r="K2703" s="248"/>
      <c r="M2703" s="366"/>
      <c r="AF2703">
        <v>4</v>
      </c>
    </row>
    <row r="2704" spans="1:32" x14ac:dyDescent="0.25">
      <c r="A2704" s="308">
        <v>45524</v>
      </c>
      <c r="B2704" s="416">
        <v>871781</v>
      </c>
      <c r="C2704" s="413" t="str">
        <f>IFERROR(INDEX(Table14[],MATCH($B2704,Table14[SAPNo],0),3),"")</f>
        <v>Round 1313 CT200  0.018" (B)</v>
      </c>
      <c r="D2704" s="306"/>
      <c r="E2704" s="421">
        <v>6</v>
      </c>
      <c r="F2704" s="421"/>
      <c r="G2704" s="417" t="s">
        <v>2070</v>
      </c>
      <c r="H2704" s="598">
        <v>14178451</v>
      </c>
      <c r="I2704" s="322" t="s">
        <v>1175</v>
      </c>
      <c r="J2704" s="418"/>
      <c r="K2704" s="248"/>
      <c r="M2704" s="366"/>
      <c r="AF2704">
        <v>6</v>
      </c>
    </row>
    <row r="2705" spans="1:32" x14ac:dyDescent="0.25">
      <c r="A2705" s="308">
        <v>45524</v>
      </c>
      <c r="B2705" s="416">
        <v>1261319</v>
      </c>
      <c r="C2705" s="413" t="str">
        <f>IFERROR(INDEX(Table14[],MATCH($B2705,Table14[SAPNo],0),3),"")</f>
        <v>1308 CT155 U-60</v>
      </c>
      <c r="D2705" s="306"/>
      <c r="E2705" s="421">
        <v>24</v>
      </c>
      <c r="F2705" s="421"/>
      <c r="G2705" s="417" t="s">
        <v>2070</v>
      </c>
      <c r="H2705" s="598">
        <v>14178451</v>
      </c>
      <c r="I2705" s="322" t="s">
        <v>1175</v>
      </c>
      <c r="J2705" s="418"/>
      <c r="K2705" s="248"/>
      <c r="M2705" s="366"/>
      <c r="AF2705">
        <v>24</v>
      </c>
    </row>
    <row r="2706" spans="1:32" x14ac:dyDescent="0.25">
      <c r="A2706" s="308">
        <v>45525</v>
      </c>
      <c r="B2706" s="416">
        <v>1136984</v>
      </c>
      <c r="C2706" s="413" t="str">
        <f>IFERROR(INDEX(Table14[],MATCH($B2706,Table14[SAPNo],0),3),"")</f>
        <v>DBLMCHT 1313 CT182DM  10C (S)</v>
      </c>
      <c r="D2706" s="306"/>
      <c r="E2706" s="421">
        <v>1</v>
      </c>
      <c r="F2706" s="421"/>
      <c r="G2706" s="417">
        <v>20241131</v>
      </c>
      <c r="H2706" s="598" t="s">
        <v>2071</v>
      </c>
      <c r="I2706" s="322" t="s">
        <v>1128</v>
      </c>
      <c r="J2706" s="418"/>
      <c r="K2706" s="248"/>
      <c r="M2706" s="366"/>
      <c r="AF2706">
        <v>1</v>
      </c>
    </row>
    <row r="2707" spans="1:32" x14ac:dyDescent="0.25">
      <c r="A2707" s="308">
        <v>45525</v>
      </c>
      <c r="B2707" s="416">
        <v>418525</v>
      </c>
      <c r="C2707" s="413" t="str">
        <f>IFERROR(INDEX(Table14[],MATCH($B2707,Table14[SAPNo],0),3),"")</f>
        <v>Drop In 1308 CT31   (B)</v>
      </c>
      <c r="D2707" s="306"/>
      <c r="E2707" s="421">
        <v>3</v>
      </c>
      <c r="F2707" s="421"/>
      <c r="G2707" s="417">
        <v>20241131</v>
      </c>
      <c r="H2707" s="598" t="s">
        <v>2071</v>
      </c>
      <c r="I2707" s="322" t="s">
        <v>1128</v>
      </c>
      <c r="J2707" s="418"/>
      <c r="K2707" s="248"/>
      <c r="M2707" s="366"/>
      <c r="AF2707">
        <v>3</v>
      </c>
    </row>
    <row r="2708" spans="1:32" x14ac:dyDescent="0.25">
      <c r="A2708" s="308">
        <v>45525</v>
      </c>
      <c r="B2708" s="416">
        <v>1100696</v>
      </c>
      <c r="C2708" s="413" t="str">
        <f>IFERROR(INDEX(Table14[],MATCH($B2708,Table14[SAPNo],0),3),"")</f>
        <v>Round 1313 CT418  10C (S)</v>
      </c>
      <c r="D2708" s="306"/>
      <c r="E2708" s="421"/>
      <c r="F2708" s="421"/>
      <c r="G2708" s="417">
        <v>20241131</v>
      </c>
      <c r="H2708" s="598" t="s">
        <v>2071</v>
      </c>
      <c r="I2708" s="322" t="s">
        <v>1128</v>
      </c>
      <c r="J2708" s="418">
        <v>5</v>
      </c>
      <c r="K2708" s="248"/>
      <c r="M2708" s="366"/>
    </row>
    <row r="2709" spans="1:32" x14ac:dyDescent="0.25">
      <c r="A2709" s="308">
        <v>45525</v>
      </c>
      <c r="B2709" s="416">
        <v>717748</v>
      </c>
      <c r="C2709" s="413" t="str">
        <f>IFERROR(INDEX(Table14[],MATCH($B2709,Table14[SAPNo],0),3),"")</f>
        <v>Round 1010 CT200  0.018" (B)</v>
      </c>
      <c r="D2709" s="306"/>
      <c r="E2709" s="421"/>
      <c r="F2709" s="421"/>
      <c r="G2709" s="417">
        <v>20241132</v>
      </c>
      <c r="H2709" s="598" t="s">
        <v>2072</v>
      </c>
      <c r="I2709" s="322" t="s">
        <v>1069</v>
      </c>
      <c r="J2709" s="418">
        <v>3</v>
      </c>
      <c r="K2709" s="248"/>
      <c r="M2709" s="366"/>
    </row>
    <row r="2710" spans="1:32" x14ac:dyDescent="0.25">
      <c r="A2710" s="308">
        <v>45525</v>
      </c>
      <c r="B2710" s="416">
        <v>971055</v>
      </c>
      <c r="C2710" s="413" t="str">
        <f>IFERROR(INDEX(Table14[],MATCH($B2710,Table14[SAPNo],0),3),"")</f>
        <v>MED Bullet 10.5 CT217 MBL 0.018" (B)</v>
      </c>
      <c r="D2710" s="306"/>
      <c r="E2710" s="421"/>
      <c r="F2710" s="421"/>
      <c r="G2710" s="417">
        <v>20241138</v>
      </c>
      <c r="H2710" s="598" t="s">
        <v>2073</v>
      </c>
      <c r="I2710" s="322" t="s">
        <v>1112</v>
      </c>
      <c r="J2710" s="418">
        <v>1</v>
      </c>
      <c r="K2710" s="248"/>
      <c r="M2710" s="366"/>
    </row>
    <row r="2711" spans="1:32" x14ac:dyDescent="0.25">
      <c r="A2711" s="308">
        <v>45525</v>
      </c>
      <c r="B2711" s="416">
        <v>1146346</v>
      </c>
      <c r="C2711" s="413" t="str">
        <f>IFERROR(INDEX(Table14[],MATCH($B2711,Table14[SAPNo],0),3),"")</f>
        <v>1313 CT418 18-60</v>
      </c>
      <c r="D2711" s="306"/>
      <c r="E2711" s="421">
        <v>7</v>
      </c>
      <c r="F2711" s="421"/>
      <c r="G2711" s="417" t="s">
        <v>2074</v>
      </c>
      <c r="H2711" s="598">
        <v>14228446</v>
      </c>
      <c r="I2711" s="322" t="s">
        <v>1074</v>
      </c>
      <c r="J2711" s="418"/>
      <c r="K2711" s="248"/>
      <c r="M2711" s="366"/>
      <c r="AF2711">
        <v>7</v>
      </c>
    </row>
    <row r="2712" spans="1:32" x14ac:dyDescent="0.25">
      <c r="A2712" s="308">
        <v>45525</v>
      </c>
      <c r="B2712" s="416">
        <v>1100696</v>
      </c>
      <c r="C2712" s="413" t="str">
        <f>IFERROR(INDEX(Table14[],MATCH($B2712,Table14[SAPNo],0),3),"")</f>
        <v>Round 1313 CT418  10C (S)</v>
      </c>
      <c r="D2712" s="306"/>
      <c r="E2712" s="421">
        <v>5</v>
      </c>
      <c r="F2712" s="421"/>
      <c r="G2712" s="417" t="s">
        <v>2074</v>
      </c>
      <c r="H2712" s="598">
        <v>14228446</v>
      </c>
      <c r="I2712" s="322" t="s">
        <v>1074</v>
      </c>
      <c r="J2712" s="418"/>
      <c r="K2712" s="248"/>
      <c r="M2712" s="366"/>
      <c r="AF2712">
        <v>5</v>
      </c>
    </row>
    <row r="2713" spans="1:32" x14ac:dyDescent="0.25">
      <c r="A2713" s="308">
        <v>45525</v>
      </c>
      <c r="B2713" s="416">
        <v>1101509</v>
      </c>
      <c r="C2713" s="413" t="str">
        <f>IFERROR(INDEX(Table14[],MATCH($B2713,Table14[SAPNo],0),3),"")</f>
        <v>Short IA 8    (C)</v>
      </c>
      <c r="D2713" s="306"/>
      <c r="E2713" s="421">
        <v>5</v>
      </c>
      <c r="F2713" s="421"/>
      <c r="G2713" s="417" t="s">
        <v>2074</v>
      </c>
      <c r="H2713" s="598">
        <v>14228446</v>
      </c>
      <c r="I2713" s="322" t="s">
        <v>1074</v>
      </c>
      <c r="J2713" s="418"/>
      <c r="K2713" s="248"/>
      <c r="M2713" s="366"/>
      <c r="AF2713">
        <v>5</v>
      </c>
    </row>
    <row r="2714" spans="1:32" x14ac:dyDescent="0.25">
      <c r="A2714" s="308">
        <v>45525</v>
      </c>
      <c r="B2714" s="416">
        <v>1104083</v>
      </c>
      <c r="C2714" s="413" t="str">
        <f>IFERROR(INDEX(Table14[],MATCH($B2714,Table14[SAPNo],0),3),"")</f>
        <v>1313 CT144H  10C (S)</v>
      </c>
      <c r="D2714" s="306"/>
      <c r="E2714" s="421">
        <v>1</v>
      </c>
      <c r="F2714" s="421"/>
      <c r="G2714" s="417" t="s">
        <v>2074</v>
      </c>
      <c r="H2714" s="598">
        <v>14228446</v>
      </c>
      <c r="I2714" s="322" t="s">
        <v>1074</v>
      </c>
      <c r="J2714" s="418"/>
      <c r="K2714" s="248"/>
      <c r="M2714" s="366"/>
      <c r="AF2714">
        <v>1</v>
      </c>
    </row>
    <row r="2715" spans="1:32" x14ac:dyDescent="0.25">
      <c r="A2715" s="308">
        <v>45525</v>
      </c>
      <c r="B2715" s="416">
        <v>1136984</v>
      </c>
      <c r="C2715" s="413" t="str">
        <f>IFERROR(INDEX(Table14[],MATCH($B2715,Table14[SAPNo],0),3),"")</f>
        <v>DBLMCHT 1313 CT182DM  10C (S)</v>
      </c>
      <c r="D2715" s="306"/>
      <c r="E2715" s="421">
        <v>13</v>
      </c>
      <c r="F2715" s="421"/>
      <c r="G2715" s="417" t="s">
        <v>2074</v>
      </c>
      <c r="H2715" s="598">
        <v>14228446</v>
      </c>
      <c r="I2715" s="322" t="s">
        <v>1074</v>
      </c>
      <c r="J2715" s="418"/>
      <c r="K2715" s="248"/>
      <c r="M2715" s="366"/>
      <c r="AF2715">
        <v>13</v>
      </c>
    </row>
    <row r="2716" spans="1:32" x14ac:dyDescent="0.25">
      <c r="A2716" s="308">
        <v>45525</v>
      </c>
      <c r="B2716" s="416">
        <v>418525</v>
      </c>
      <c r="C2716" s="413" t="str">
        <f>IFERROR(INDEX(Table14[],MATCH($B2716,Table14[SAPNo],0),3),"")</f>
        <v>Drop In 1308 CT31   (B)</v>
      </c>
      <c r="D2716" s="306"/>
      <c r="E2716" s="421">
        <v>6</v>
      </c>
      <c r="F2716" s="421"/>
      <c r="G2716" s="417" t="s">
        <v>2074</v>
      </c>
      <c r="H2716" s="598">
        <v>14228446</v>
      </c>
      <c r="I2716" s="322" t="s">
        <v>1074</v>
      </c>
      <c r="J2716" s="418"/>
      <c r="K2716" s="248"/>
      <c r="M2716" s="366"/>
      <c r="AF2716">
        <v>6</v>
      </c>
    </row>
    <row r="2717" spans="1:32" x14ac:dyDescent="0.25">
      <c r="A2717" s="308">
        <v>45526</v>
      </c>
      <c r="B2717" s="416">
        <v>871781</v>
      </c>
      <c r="C2717" s="413" t="str">
        <f>IFERROR(INDEX(Table14[],MATCH($B2717,Table14[SAPNo],0),3),"")</f>
        <v>Round 1313 CT200  0.018" (B)</v>
      </c>
      <c r="D2717" s="306"/>
      <c r="E2717" s="421">
        <v>6</v>
      </c>
      <c r="F2717" s="421"/>
      <c r="G2717" s="417" t="s">
        <v>2075</v>
      </c>
      <c r="H2717" s="598">
        <v>14214977</v>
      </c>
      <c r="I2717" s="322" t="s">
        <v>2009</v>
      </c>
      <c r="J2717" s="418"/>
      <c r="K2717" s="248"/>
      <c r="M2717" s="366"/>
      <c r="AF2717">
        <v>6</v>
      </c>
    </row>
    <row r="2718" spans="1:32" x14ac:dyDescent="0.25">
      <c r="A2718" s="308">
        <v>45526</v>
      </c>
      <c r="B2718" s="416">
        <v>647435</v>
      </c>
      <c r="C2718" s="413" t="str">
        <f>IFERROR(INDEX(Table14[],MATCH($B2718,Table14[SAPNo],0),3),"")</f>
        <v>Round 1608 CT200  0.018" (B)</v>
      </c>
      <c r="D2718" s="306"/>
      <c r="E2718" s="421">
        <v>23</v>
      </c>
      <c r="F2718" s="421"/>
      <c r="G2718" s="417" t="s">
        <v>2075</v>
      </c>
      <c r="H2718" s="598">
        <v>14214977</v>
      </c>
      <c r="I2718" s="322" t="s">
        <v>2009</v>
      </c>
      <c r="J2718" s="418"/>
      <c r="K2718" s="248"/>
      <c r="M2718" s="366"/>
      <c r="AF2718">
        <v>23</v>
      </c>
    </row>
    <row r="2719" spans="1:32" x14ac:dyDescent="0.25">
      <c r="A2719" s="308">
        <v>45526</v>
      </c>
      <c r="B2719" s="416">
        <v>1039060</v>
      </c>
      <c r="C2719" s="413" t="str">
        <f>IFERROR(INDEX(Table14[],MATCH($B2719,Table14[SAPNo],0),3),"")</f>
        <v>Round 1613 CT138  0.018" (S)</v>
      </c>
      <c r="D2719" s="306"/>
      <c r="E2719" s="421">
        <v>33</v>
      </c>
      <c r="F2719" s="421"/>
      <c r="G2719" s="417" t="s">
        <v>2075</v>
      </c>
      <c r="H2719" s="598">
        <v>14214977</v>
      </c>
      <c r="I2719" s="322" t="s">
        <v>2009</v>
      </c>
      <c r="J2719" s="418"/>
      <c r="K2719" s="248"/>
      <c r="M2719" s="366"/>
      <c r="AF2719">
        <v>33</v>
      </c>
    </row>
    <row r="2720" spans="1:32" x14ac:dyDescent="0.25">
      <c r="A2720" s="308">
        <v>45526</v>
      </c>
      <c r="B2720" s="416">
        <v>1130193</v>
      </c>
      <c r="C2720" s="413" t="str">
        <f>IFERROR(INDEX(Table14[],MATCH($B2720,Table14[SAPNo],0),3),"")</f>
        <v xml:space="preserve"> 1005 CT182  0.018 (S)</v>
      </c>
      <c r="D2720" s="306"/>
      <c r="E2720" s="421">
        <v>8</v>
      </c>
      <c r="F2720" s="421"/>
      <c r="G2720" s="417" t="s">
        <v>2076</v>
      </c>
      <c r="H2720" s="598">
        <v>14211854</v>
      </c>
      <c r="I2720" s="322" t="s">
        <v>1199</v>
      </c>
      <c r="J2720" s="418"/>
      <c r="K2720" s="248"/>
      <c r="M2720" s="366"/>
      <c r="AF2720">
        <v>8</v>
      </c>
    </row>
    <row r="2721" spans="1:32" x14ac:dyDescent="0.25">
      <c r="A2721" s="308">
        <v>45526</v>
      </c>
      <c r="B2721" s="416">
        <v>1130194</v>
      </c>
      <c r="C2721" s="413" t="str">
        <f>IFERROR(INDEX(Table14[],MATCH($B2721,Table14[SAPNo],0),3),"")</f>
        <v>1010 CT182 18C</v>
      </c>
      <c r="D2721" s="306"/>
      <c r="E2721" s="421">
        <v>26</v>
      </c>
      <c r="F2721" s="421"/>
      <c r="G2721" s="417" t="s">
        <v>2076</v>
      </c>
      <c r="H2721" s="598">
        <v>14211854</v>
      </c>
      <c r="I2721" s="322" t="s">
        <v>1199</v>
      </c>
      <c r="J2721" s="418"/>
      <c r="K2721" s="248"/>
      <c r="M2721" s="366"/>
      <c r="AF2721">
        <v>26</v>
      </c>
    </row>
    <row r="2722" spans="1:32" x14ac:dyDescent="0.25">
      <c r="A2722" s="308">
        <v>45526</v>
      </c>
      <c r="B2722" s="416">
        <v>882800</v>
      </c>
      <c r="C2722" s="413" t="str">
        <f>IFERROR(INDEX(Table14[],MATCH($B2722,Table14[SAPNo],0),3),"")</f>
        <v>Round 0808 CT80  0.018" (B)</v>
      </c>
      <c r="D2722" s="306"/>
      <c r="E2722" s="421">
        <v>10</v>
      </c>
      <c r="F2722" s="421"/>
      <c r="G2722" s="417" t="s">
        <v>2076</v>
      </c>
      <c r="H2722" s="598">
        <v>14211854</v>
      </c>
      <c r="I2722" s="322" t="s">
        <v>1199</v>
      </c>
      <c r="J2722" s="418"/>
      <c r="K2722" s="248"/>
      <c r="M2722" s="366"/>
      <c r="AF2722">
        <v>10</v>
      </c>
    </row>
    <row r="2723" spans="1:32" x14ac:dyDescent="0.25">
      <c r="A2723" s="308">
        <v>45529</v>
      </c>
      <c r="B2723" s="416">
        <v>1261615</v>
      </c>
      <c r="C2723" s="413" t="str">
        <f>IFERROR(INDEX(Table14[],MATCH($B2723,Table14[SAPNo],0),3),"")</f>
        <v>1613 CT172R U</v>
      </c>
      <c r="D2723" s="306"/>
      <c r="E2723" s="421">
        <v>19</v>
      </c>
      <c r="F2723" s="421"/>
      <c r="G2723" s="417" t="s">
        <v>2077</v>
      </c>
      <c r="H2723" s="598">
        <v>14199928</v>
      </c>
      <c r="I2723" s="322" t="s">
        <v>1991</v>
      </c>
      <c r="J2723" s="418"/>
      <c r="K2723" s="248"/>
      <c r="M2723" s="366"/>
      <c r="AF2723">
        <v>19</v>
      </c>
    </row>
    <row r="2724" spans="1:32" x14ac:dyDescent="0.25">
      <c r="A2724" s="308">
        <v>45529</v>
      </c>
      <c r="B2724" s="416">
        <v>1146737</v>
      </c>
      <c r="C2724" s="413" t="str">
        <f>IFERROR(INDEX(Table14[],MATCH($B2724,Table14[SAPNo],0),3),"")</f>
        <v>1613 CT418 18-60</v>
      </c>
      <c r="D2724" s="306"/>
      <c r="E2724" s="421">
        <v>6</v>
      </c>
      <c r="F2724" s="421"/>
      <c r="G2724" s="417" t="s">
        <v>2078</v>
      </c>
      <c r="H2724" s="598">
        <v>14228469</v>
      </c>
      <c r="I2724" s="322" t="s">
        <v>2011</v>
      </c>
      <c r="J2724" s="418"/>
      <c r="K2724" s="248"/>
      <c r="M2724" s="366"/>
      <c r="AF2724">
        <v>6</v>
      </c>
    </row>
    <row r="2725" spans="1:32" x14ac:dyDescent="0.25">
      <c r="A2725" s="308">
        <v>45529</v>
      </c>
      <c r="B2725" s="416">
        <v>1208601</v>
      </c>
      <c r="C2725" s="413" t="str">
        <f>IFERROR(INDEX(Table14[],MATCH($B2725,Table14[SAPNo],0),3),"")</f>
        <v>1613 CT418 U-60</v>
      </c>
      <c r="D2725" s="306"/>
      <c r="E2725" s="421">
        <v>8</v>
      </c>
      <c r="F2725" s="421"/>
      <c r="G2725" s="417" t="s">
        <v>2078</v>
      </c>
      <c r="H2725" s="598">
        <v>14228469</v>
      </c>
      <c r="I2725" s="322" t="s">
        <v>2011</v>
      </c>
      <c r="J2725" s="418"/>
      <c r="K2725" s="248"/>
      <c r="M2725" s="366"/>
      <c r="AF2725">
        <v>8</v>
      </c>
    </row>
    <row r="2726" spans="1:32" x14ac:dyDescent="0.25">
      <c r="A2726" s="308">
        <v>45529</v>
      </c>
      <c r="B2726" s="416">
        <v>1271790</v>
      </c>
      <c r="C2726" s="413" t="str">
        <f>IFERROR(INDEX(Table14[],MATCH($B2726,Table14[SAPNo],0),3),"")</f>
        <v xml:space="preserve">1613 CT170 18-60 </v>
      </c>
      <c r="D2726" s="306"/>
      <c r="E2726" s="421">
        <v>17</v>
      </c>
      <c r="F2726" s="421"/>
      <c r="G2726" s="417" t="s">
        <v>2078</v>
      </c>
      <c r="H2726" s="598">
        <v>14228469</v>
      </c>
      <c r="I2726" s="322" t="s">
        <v>2011</v>
      </c>
      <c r="J2726" s="418"/>
      <c r="K2726" s="248"/>
      <c r="M2726" s="366"/>
      <c r="AF2726">
        <v>17</v>
      </c>
    </row>
    <row r="2727" spans="1:32" x14ac:dyDescent="0.25">
      <c r="A2727" s="308">
        <v>45529</v>
      </c>
      <c r="B2727" s="416">
        <v>1078377</v>
      </c>
      <c r="C2727" s="413" t="str">
        <f>IFERROR(INDEX(Table14[],MATCH($B2727,Table14[SAPNo],0),3),"")</f>
        <v>13MM CT221 R1</v>
      </c>
      <c r="D2727" s="306"/>
      <c r="E2727" s="421">
        <v>15</v>
      </c>
      <c r="F2727" s="421"/>
      <c r="G2727" s="417" t="s">
        <v>2078</v>
      </c>
      <c r="H2727" s="598">
        <v>14228469</v>
      </c>
      <c r="I2727" s="322" t="s">
        <v>2011</v>
      </c>
      <c r="J2727" s="418"/>
      <c r="K2727" s="248"/>
      <c r="M2727" s="366"/>
      <c r="AF2727">
        <v>15</v>
      </c>
    </row>
    <row r="2728" spans="1:32" x14ac:dyDescent="0.25">
      <c r="A2728" s="308">
        <v>45529</v>
      </c>
      <c r="B2728" s="416">
        <v>418525</v>
      </c>
      <c r="C2728" s="413" t="str">
        <f>IFERROR(INDEX(Table14[],MATCH($B2728,Table14[SAPNo],0),3),"")</f>
        <v>Drop In 1308 CT31   (B)</v>
      </c>
      <c r="D2728" s="306"/>
      <c r="E2728" s="421">
        <v>6</v>
      </c>
      <c r="F2728" s="421"/>
      <c r="G2728" s="417" t="s">
        <v>2078</v>
      </c>
      <c r="H2728" s="598">
        <v>14228469</v>
      </c>
      <c r="I2728" s="322" t="s">
        <v>2011</v>
      </c>
      <c r="J2728" s="418"/>
      <c r="K2728" s="248"/>
      <c r="M2728" s="366"/>
      <c r="AF2728">
        <v>6</v>
      </c>
    </row>
    <row r="2729" spans="1:32" x14ac:dyDescent="0.25">
      <c r="A2729" s="308">
        <v>45529</v>
      </c>
      <c r="B2729" s="416">
        <v>1146737</v>
      </c>
      <c r="C2729" s="413" t="str">
        <f>IFERROR(INDEX(Table14[],MATCH($B2729,Table14[SAPNo],0),3),"")</f>
        <v>1613 CT418 18-60</v>
      </c>
      <c r="D2729" s="306"/>
      <c r="E2729" s="421">
        <v>6</v>
      </c>
      <c r="F2729" s="421"/>
      <c r="G2729" s="417" t="s">
        <v>2079</v>
      </c>
      <c r="H2729" s="598">
        <v>14228470</v>
      </c>
      <c r="I2729" s="322" t="s">
        <v>2011</v>
      </c>
      <c r="J2729" s="418"/>
      <c r="K2729" s="248"/>
      <c r="M2729" s="366"/>
      <c r="AF2729">
        <v>6</v>
      </c>
    </row>
    <row r="2730" spans="1:32" x14ac:dyDescent="0.25">
      <c r="A2730" s="308">
        <v>45529</v>
      </c>
      <c r="B2730" s="416">
        <v>1208601</v>
      </c>
      <c r="C2730" s="413" t="str">
        <f>IFERROR(INDEX(Table14[],MATCH($B2730,Table14[SAPNo],0),3),"")</f>
        <v>1613 CT418 U-60</v>
      </c>
      <c r="D2730" s="306"/>
      <c r="E2730" s="421">
        <v>8</v>
      </c>
      <c r="F2730" s="421"/>
      <c r="G2730" s="417" t="s">
        <v>2079</v>
      </c>
      <c r="H2730" s="598">
        <v>14228470</v>
      </c>
      <c r="I2730" s="322" t="s">
        <v>2011</v>
      </c>
      <c r="J2730" s="418"/>
      <c r="K2730" s="248"/>
      <c r="M2730" s="366"/>
      <c r="AF2730">
        <v>8</v>
      </c>
    </row>
    <row r="2731" spans="1:32" x14ac:dyDescent="0.25">
      <c r="A2731" s="308">
        <v>45529</v>
      </c>
      <c r="B2731" s="416">
        <v>418525</v>
      </c>
      <c r="C2731" s="413" t="str">
        <f>IFERROR(INDEX(Table14[],MATCH($B2731,Table14[SAPNo],0),3),"")</f>
        <v>Drop In 1308 CT31   (B)</v>
      </c>
      <c r="D2731" s="306"/>
      <c r="E2731" s="421">
        <v>6</v>
      </c>
      <c r="F2731" s="421"/>
      <c r="G2731" s="417" t="s">
        <v>2079</v>
      </c>
      <c r="H2731" s="598">
        <v>14228470</v>
      </c>
      <c r="I2731" s="322" t="s">
        <v>2011</v>
      </c>
      <c r="J2731" s="418"/>
      <c r="K2731" s="248"/>
      <c r="M2731" s="366"/>
      <c r="AF2731">
        <v>6</v>
      </c>
    </row>
    <row r="2732" spans="1:32" x14ac:dyDescent="0.25">
      <c r="A2732" s="308">
        <v>45529</v>
      </c>
      <c r="B2732" s="416">
        <v>1271790</v>
      </c>
      <c r="C2732" s="413" t="str">
        <f>IFERROR(INDEX(Table14[],MATCH($B2732,Table14[SAPNo],0),3),"")</f>
        <v xml:space="preserve">1613 CT170 18-60 </v>
      </c>
      <c r="D2732" s="306"/>
      <c r="E2732" s="421">
        <v>17</v>
      </c>
      <c r="F2732" s="421"/>
      <c r="G2732" s="417" t="s">
        <v>2079</v>
      </c>
      <c r="H2732" s="598">
        <v>14228470</v>
      </c>
      <c r="I2732" s="322" t="s">
        <v>2011</v>
      </c>
      <c r="J2732" s="418"/>
      <c r="K2732" s="248"/>
      <c r="M2732" s="366"/>
      <c r="AF2732">
        <v>17</v>
      </c>
    </row>
    <row r="2733" spans="1:32" x14ac:dyDescent="0.25">
      <c r="A2733" s="320">
        <v>45529</v>
      </c>
      <c r="B2733" s="419">
        <v>1078377</v>
      </c>
      <c r="C2733" s="413" t="str">
        <f>IFERROR(INDEX(Table14[],MATCH($B2733,Table14[SAPNo],0),3),"")</f>
        <v>13MM CT221 R1</v>
      </c>
      <c r="D2733" s="306"/>
      <c r="E2733" s="421">
        <v>15</v>
      </c>
      <c r="F2733" s="421"/>
      <c r="G2733" s="420" t="s">
        <v>2079</v>
      </c>
      <c r="H2733" s="599">
        <v>14228470</v>
      </c>
      <c r="I2733" s="322" t="s">
        <v>2011</v>
      </c>
      <c r="J2733" s="421"/>
      <c r="K2733" s="422"/>
      <c r="M2733" s="366"/>
      <c r="AF2733">
        <v>15</v>
      </c>
    </row>
    <row r="2734" spans="1:32" x14ac:dyDescent="0.25">
      <c r="A2734" s="566">
        <v>45530</v>
      </c>
      <c r="B2734" s="565">
        <v>1145493</v>
      </c>
      <c r="C2734" s="634" t="str">
        <f>IFERROR(INDEX(Table14[],MATCH($B2734,Table14[SAPNo],0),3),"")</f>
        <v>Round 1313 CT427  10C (S)</v>
      </c>
      <c r="D2734" s="306"/>
      <c r="E2734" s="576"/>
      <c r="F2734" s="576"/>
      <c r="G2734" s="498" t="s">
        <v>2080</v>
      </c>
      <c r="H2734" s="598">
        <v>13838422</v>
      </c>
      <c r="I2734" s="322" t="s">
        <v>1074</v>
      </c>
      <c r="J2734" s="418"/>
      <c r="K2734" s="248" t="s">
        <v>2081</v>
      </c>
      <c r="M2734" s="422"/>
    </row>
    <row r="2735" spans="1:32" x14ac:dyDescent="0.25">
      <c r="A2735" s="566">
        <v>45530</v>
      </c>
      <c r="B2735" s="419">
        <v>1145493</v>
      </c>
      <c r="C2735" s="413" t="str">
        <f>IFERROR(INDEX(Table14[],MATCH($B2735,Table14[SAPNo],0),3),"")</f>
        <v>Round 1313 CT427  10C (S)</v>
      </c>
      <c r="D2735" s="306"/>
      <c r="E2735" s="421"/>
      <c r="F2735" s="421"/>
      <c r="G2735" s="420" t="s">
        <v>2082</v>
      </c>
      <c r="H2735" s="599">
        <v>13838422</v>
      </c>
      <c r="I2735" s="322" t="s">
        <v>1074</v>
      </c>
      <c r="J2735" s="421"/>
      <c r="K2735" s="248"/>
      <c r="M2735" s="422"/>
    </row>
    <row r="2736" spans="1:32" x14ac:dyDescent="0.25">
      <c r="A2736" s="566">
        <v>45530</v>
      </c>
      <c r="B2736" s="567">
        <v>1209332</v>
      </c>
      <c r="C2736" s="634" t="str">
        <f>IFERROR(INDEX(Table14[],MATCH($B2736,Table14[SAPNo],0),3),"")</f>
        <v>1313 CT147G U</v>
      </c>
      <c r="D2736" s="306"/>
      <c r="E2736" s="576"/>
      <c r="F2736" s="576"/>
      <c r="G2736" s="498" t="s">
        <v>2083</v>
      </c>
      <c r="H2736" s="599">
        <v>13838422</v>
      </c>
      <c r="I2736" s="322" t="s">
        <v>1074</v>
      </c>
      <c r="J2736" s="421"/>
      <c r="K2736" s="248" t="s">
        <v>2084</v>
      </c>
      <c r="M2736" s="422"/>
    </row>
    <row r="2737" spans="1:32" x14ac:dyDescent="0.25">
      <c r="A2737" s="566">
        <v>45530</v>
      </c>
      <c r="B2737" s="567">
        <v>649901</v>
      </c>
      <c r="C2737" s="634" t="str">
        <f>IFERROR(INDEX(Table14[],MATCH($B2737,Table14[SAPNo],0),3),"")</f>
        <v>Carbide IA 8    (C)</v>
      </c>
      <c r="D2737" s="306"/>
      <c r="E2737" s="576"/>
      <c r="F2737" s="576"/>
      <c r="G2737" s="498" t="s">
        <v>2085</v>
      </c>
      <c r="H2737" s="599">
        <v>13838422</v>
      </c>
      <c r="I2737" s="322" t="s">
        <v>1074</v>
      </c>
      <c r="J2737" s="421"/>
      <c r="K2737" s="248" t="s">
        <v>2086</v>
      </c>
      <c r="M2737" s="422"/>
    </row>
    <row r="2738" spans="1:32" x14ac:dyDescent="0.25">
      <c r="A2738" s="320">
        <v>45530</v>
      </c>
      <c r="B2738" s="419">
        <v>1145493</v>
      </c>
      <c r="C2738" s="413" t="str">
        <f>IFERROR(INDEX(Table14[],MATCH($B2738,Table14[SAPNo],0),3),"")</f>
        <v>Round 1313 CT427  10C (S)</v>
      </c>
      <c r="D2738" s="306"/>
      <c r="E2738" s="421"/>
      <c r="F2738" s="421"/>
      <c r="G2738" s="420" t="s">
        <v>2087</v>
      </c>
      <c r="H2738" s="599" t="s">
        <v>2088</v>
      </c>
      <c r="I2738" s="322" t="s">
        <v>1368</v>
      </c>
      <c r="J2738" s="421"/>
      <c r="K2738" s="422"/>
      <c r="M2738" s="422"/>
    </row>
    <row r="2739" spans="1:32" x14ac:dyDescent="0.25">
      <c r="A2739" s="320">
        <v>45530</v>
      </c>
      <c r="B2739" s="419">
        <v>1244299</v>
      </c>
      <c r="C2739" s="413" t="str">
        <f>IFERROR(INDEX(Table14[],MATCH($B2739,Table14[SAPNo],0),3),"")</f>
        <v>1313 CT147CV4 U</v>
      </c>
      <c r="D2739" s="306"/>
      <c r="E2739" s="421"/>
      <c r="F2739" s="421"/>
      <c r="G2739" s="420" t="s">
        <v>2087</v>
      </c>
      <c r="H2739" s="599" t="s">
        <v>2088</v>
      </c>
      <c r="I2739" s="322" t="s">
        <v>1368</v>
      </c>
      <c r="J2739" s="421"/>
      <c r="K2739" s="422"/>
      <c r="M2739" s="422"/>
    </row>
    <row r="2740" spans="1:32" x14ac:dyDescent="0.25">
      <c r="A2740" s="308">
        <v>45530</v>
      </c>
      <c r="B2740" s="416">
        <v>717748</v>
      </c>
      <c r="C2740" s="413" t="str">
        <f>IFERROR(INDEX(Table14[],MATCH($B2740,Table14[SAPNo],0),3),"")</f>
        <v>Round 1010 CT200  0.018" (B)</v>
      </c>
      <c r="D2740" s="306"/>
      <c r="E2740" s="421"/>
      <c r="F2740" s="421"/>
      <c r="G2740" s="417">
        <v>20241137</v>
      </c>
      <c r="H2740" s="598" t="s">
        <v>2089</v>
      </c>
      <c r="I2740" s="322" t="s">
        <v>1069</v>
      </c>
      <c r="J2740" s="418">
        <v>7</v>
      </c>
      <c r="K2740" s="248"/>
      <c r="M2740" s="422"/>
    </row>
    <row r="2741" spans="1:32" x14ac:dyDescent="0.25">
      <c r="A2741" s="308">
        <v>45530</v>
      </c>
      <c r="B2741" s="416">
        <v>1145493</v>
      </c>
      <c r="C2741" s="413" t="str">
        <f>IFERROR(INDEX(Table14[],MATCH($B2741,Table14[SAPNo],0),3),"")</f>
        <v>Round 1313 CT427  10C (S)</v>
      </c>
      <c r="D2741" s="306"/>
      <c r="E2741" s="421"/>
      <c r="F2741" s="421"/>
      <c r="G2741" s="417">
        <v>20241139</v>
      </c>
      <c r="H2741" s="598">
        <v>14198195</v>
      </c>
      <c r="I2741" s="322" t="s">
        <v>2090</v>
      </c>
      <c r="J2741" s="418">
        <v>2</v>
      </c>
      <c r="K2741" s="248"/>
      <c r="M2741" s="366"/>
    </row>
    <row r="2742" spans="1:32" x14ac:dyDescent="0.25">
      <c r="A2742" s="308">
        <v>45530</v>
      </c>
      <c r="B2742" s="416">
        <v>1266910</v>
      </c>
      <c r="C2742" s="413" t="str">
        <f>IFERROR(INDEX(Table14[],MATCH($B2742,Table14[SAPNo],0),3),"")</f>
        <v/>
      </c>
      <c r="D2742" s="306"/>
      <c r="E2742" s="421">
        <v>7</v>
      </c>
      <c r="F2742" s="421"/>
      <c r="G2742" s="417">
        <v>20241139</v>
      </c>
      <c r="H2742" s="598">
        <v>14198195</v>
      </c>
      <c r="I2742" s="322" t="s">
        <v>2090</v>
      </c>
      <c r="J2742" s="418"/>
      <c r="K2742" s="248"/>
      <c r="M2742" s="366"/>
      <c r="AF2742">
        <v>7</v>
      </c>
    </row>
    <row r="2743" spans="1:32" x14ac:dyDescent="0.25">
      <c r="A2743" s="308">
        <v>45530</v>
      </c>
      <c r="B2743" s="416">
        <v>418525</v>
      </c>
      <c r="C2743" s="413" t="str">
        <f>IFERROR(INDEX(Table14[],MATCH($B2743,Table14[SAPNo],0),3),"")</f>
        <v>Drop In 1308 CT31   (B)</v>
      </c>
      <c r="D2743" s="306"/>
      <c r="E2743" s="421">
        <v>3</v>
      </c>
      <c r="F2743" s="421"/>
      <c r="G2743" s="417">
        <v>20241139</v>
      </c>
      <c r="H2743" s="598">
        <v>14198195</v>
      </c>
      <c r="I2743" s="322" t="s">
        <v>2090</v>
      </c>
      <c r="J2743" s="418"/>
      <c r="K2743" s="248"/>
      <c r="M2743" s="366"/>
      <c r="AF2743">
        <v>3</v>
      </c>
    </row>
    <row r="2744" spans="1:32" x14ac:dyDescent="0.25">
      <c r="A2744" s="308">
        <v>45530</v>
      </c>
      <c r="B2744" s="416">
        <v>717748</v>
      </c>
      <c r="C2744" s="413" t="str">
        <f>IFERROR(INDEX(Table14[],MATCH($B2744,Table14[SAPNo],0),3),"")</f>
        <v>Round 1010 CT200  0.018" (B)</v>
      </c>
      <c r="D2744" s="306"/>
      <c r="E2744" s="421">
        <v>2</v>
      </c>
      <c r="F2744" s="421"/>
      <c r="G2744" s="417" t="s">
        <v>2091</v>
      </c>
      <c r="H2744" s="598" t="s">
        <v>2092</v>
      </c>
      <c r="I2744" s="322" t="s">
        <v>1069</v>
      </c>
      <c r="J2744" s="418"/>
      <c r="K2744" s="248"/>
      <c r="M2744" s="366"/>
      <c r="AF2744">
        <v>2</v>
      </c>
    </row>
    <row r="2745" spans="1:32" x14ac:dyDescent="0.25">
      <c r="A2745" s="308">
        <v>45531</v>
      </c>
      <c r="B2745" s="416">
        <v>1146737</v>
      </c>
      <c r="C2745" s="413" t="str">
        <f>IFERROR(INDEX(Table14[],MATCH($B2745,Table14[SAPNo],0),3),"")</f>
        <v>1613 CT418 18-60</v>
      </c>
      <c r="D2745" s="306"/>
      <c r="E2745" s="421">
        <v>6</v>
      </c>
      <c r="F2745" s="421"/>
      <c r="G2745" s="417" t="s">
        <v>2093</v>
      </c>
      <c r="H2745" s="598">
        <v>14228471</v>
      </c>
      <c r="I2745" s="322" t="s">
        <v>2011</v>
      </c>
      <c r="J2745" s="418"/>
      <c r="K2745" s="248"/>
      <c r="M2745" s="366"/>
      <c r="AF2745">
        <v>6</v>
      </c>
    </row>
    <row r="2746" spans="1:32" x14ac:dyDescent="0.25">
      <c r="A2746" s="308">
        <v>45531</v>
      </c>
      <c r="B2746" s="416">
        <v>1208601</v>
      </c>
      <c r="C2746" s="413" t="str">
        <f>IFERROR(INDEX(Table14[],MATCH($B2746,Table14[SAPNo],0),3),"")</f>
        <v>1613 CT418 U-60</v>
      </c>
      <c r="D2746" s="306"/>
      <c r="E2746" s="421">
        <v>8</v>
      </c>
      <c r="F2746" s="421"/>
      <c r="G2746" s="417" t="s">
        <v>2093</v>
      </c>
      <c r="H2746" s="598">
        <v>14228471</v>
      </c>
      <c r="I2746" s="322" t="s">
        <v>2011</v>
      </c>
      <c r="J2746" s="418"/>
      <c r="K2746" s="248"/>
      <c r="M2746" s="366"/>
      <c r="AF2746">
        <v>8</v>
      </c>
    </row>
    <row r="2747" spans="1:32" x14ac:dyDescent="0.25">
      <c r="A2747" s="308">
        <v>45531</v>
      </c>
      <c r="B2747" s="416">
        <v>1078377</v>
      </c>
      <c r="C2747" s="413" t="str">
        <f>IFERROR(INDEX(Table14[],MATCH($B2747,Table14[SAPNo],0),3),"")</f>
        <v>13MM CT221 R1</v>
      </c>
      <c r="D2747" s="306"/>
      <c r="E2747" s="421">
        <v>15</v>
      </c>
      <c r="F2747" s="421"/>
      <c r="G2747" s="417" t="s">
        <v>2093</v>
      </c>
      <c r="H2747" s="598">
        <v>14228471</v>
      </c>
      <c r="I2747" s="322" t="s">
        <v>2011</v>
      </c>
      <c r="J2747" s="418"/>
      <c r="K2747" s="248"/>
      <c r="M2747" s="366"/>
      <c r="AF2747">
        <v>15</v>
      </c>
    </row>
    <row r="2748" spans="1:32" x14ac:dyDescent="0.25">
      <c r="A2748" s="308">
        <v>45531</v>
      </c>
      <c r="B2748" s="416">
        <v>1271790</v>
      </c>
      <c r="C2748" s="413" t="str">
        <f>IFERROR(INDEX(Table14[],MATCH($B2748,Table14[SAPNo],0),3),"")</f>
        <v xml:space="preserve">1613 CT170 18-60 </v>
      </c>
      <c r="D2748" s="306"/>
      <c r="E2748" s="421">
        <v>17</v>
      </c>
      <c r="F2748" s="421"/>
      <c r="G2748" s="417" t="s">
        <v>2093</v>
      </c>
      <c r="H2748" s="598">
        <v>14228471</v>
      </c>
      <c r="I2748" s="322" t="s">
        <v>2011</v>
      </c>
      <c r="J2748" s="418"/>
      <c r="K2748" s="248"/>
      <c r="M2748" s="366"/>
      <c r="AF2748">
        <v>17</v>
      </c>
    </row>
    <row r="2749" spans="1:32" x14ac:dyDescent="0.25">
      <c r="A2749" s="308">
        <v>45531</v>
      </c>
      <c r="B2749" s="416">
        <v>418525</v>
      </c>
      <c r="C2749" s="413" t="str">
        <f>IFERROR(INDEX(Table14[],MATCH($B2749,Table14[SAPNo],0),3),"")</f>
        <v>Drop In 1308 CT31   (B)</v>
      </c>
      <c r="D2749" s="306"/>
      <c r="E2749" s="421">
        <v>6</v>
      </c>
      <c r="F2749" s="421"/>
      <c r="G2749" s="417" t="s">
        <v>2093</v>
      </c>
      <c r="H2749" s="598">
        <v>14228471</v>
      </c>
      <c r="I2749" s="322" t="s">
        <v>2011</v>
      </c>
      <c r="J2749" s="418"/>
      <c r="K2749" s="248"/>
      <c r="M2749" s="366"/>
      <c r="AF2749">
        <v>6</v>
      </c>
    </row>
    <row r="2750" spans="1:32" x14ac:dyDescent="0.25">
      <c r="A2750" s="308">
        <v>45531</v>
      </c>
      <c r="B2750" s="416">
        <v>1271790</v>
      </c>
      <c r="C2750" s="413" t="str">
        <f>IFERROR(INDEX(Table14[],MATCH($B2750,Table14[SAPNo],0),3),"")</f>
        <v xml:space="preserve">1613 CT170 18-60 </v>
      </c>
      <c r="D2750" s="306"/>
      <c r="E2750" s="421">
        <v>17</v>
      </c>
      <c r="F2750" s="421"/>
      <c r="G2750" s="417" t="s">
        <v>2094</v>
      </c>
      <c r="H2750" s="598">
        <v>14228472</v>
      </c>
      <c r="I2750" s="322" t="s">
        <v>2011</v>
      </c>
      <c r="J2750" s="418"/>
      <c r="K2750" s="248"/>
      <c r="M2750" s="366"/>
      <c r="AF2750">
        <v>17</v>
      </c>
    </row>
    <row r="2751" spans="1:32" x14ac:dyDescent="0.25">
      <c r="A2751" s="308">
        <v>45531</v>
      </c>
      <c r="B2751" s="416">
        <v>418525</v>
      </c>
      <c r="C2751" s="413" t="str">
        <f>IFERROR(INDEX(Table14[],MATCH($B2751,Table14[SAPNo],0),3),"")</f>
        <v>Drop In 1308 CT31   (B)</v>
      </c>
      <c r="D2751" s="306"/>
      <c r="E2751" s="421">
        <v>6</v>
      </c>
      <c r="F2751" s="421"/>
      <c r="G2751" s="417" t="s">
        <v>2094</v>
      </c>
      <c r="H2751" s="598">
        <v>14228472</v>
      </c>
      <c r="I2751" s="322" t="s">
        <v>2011</v>
      </c>
      <c r="J2751" s="418"/>
      <c r="K2751" s="248"/>
      <c r="M2751" s="366"/>
      <c r="AF2751">
        <v>6</v>
      </c>
    </row>
    <row r="2752" spans="1:32" x14ac:dyDescent="0.25">
      <c r="A2752" s="308">
        <v>45531</v>
      </c>
      <c r="B2752" s="416">
        <v>1208601</v>
      </c>
      <c r="C2752" s="413" t="str">
        <f>IFERROR(INDEX(Table14[],MATCH($B2752,Table14[SAPNo],0),3),"")</f>
        <v>1613 CT418 U-60</v>
      </c>
      <c r="D2752" s="306"/>
      <c r="E2752" s="421">
        <v>8</v>
      </c>
      <c r="F2752" s="421"/>
      <c r="G2752" s="417" t="s">
        <v>2094</v>
      </c>
      <c r="H2752" s="598">
        <v>14228472</v>
      </c>
      <c r="I2752" s="322" t="s">
        <v>2011</v>
      </c>
      <c r="J2752" s="418"/>
      <c r="K2752" s="248"/>
      <c r="M2752" s="366"/>
      <c r="AF2752">
        <v>8</v>
      </c>
    </row>
    <row r="2753" spans="1:32" x14ac:dyDescent="0.25">
      <c r="A2753" s="308">
        <v>45531</v>
      </c>
      <c r="B2753" s="416">
        <v>1146737</v>
      </c>
      <c r="C2753" s="413" t="str">
        <f>IFERROR(INDEX(Table14[],MATCH($B2753,Table14[SAPNo],0),3),"")</f>
        <v>1613 CT418 18-60</v>
      </c>
      <c r="D2753" s="306"/>
      <c r="E2753" s="421">
        <v>6</v>
      </c>
      <c r="F2753" s="421"/>
      <c r="G2753" s="417" t="s">
        <v>2094</v>
      </c>
      <c r="H2753" s="598">
        <v>14228472</v>
      </c>
      <c r="I2753" s="322" t="s">
        <v>2011</v>
      </c>
      <c r="J2753" s="418"/>
      <c r="K2753" s="248"/>
      <c r="M2753" s="366"/>
      <c r="AF2753">
        <v>6</v>
      </c>
    </row>
    <row r="2754" spans="1:32" x14ac:dyDescent="0.25">
      <c r="A2754" s="308">
        <v>45531</v>
      </c>
      <c r="B2754" s="416">
        <v>1078377</v>
      </c>
      <c r="C2754" s="413" t="str">
        <f>IFERROR(INDEX(Table14[],MATCH($B2754,Table14[SAPNo],0),3),"")</f>
        <v>13MM CT221 R1</v>
      </c>
      <c r="D2754" s="306"/>
      <c r="E2754" s="421">
        <v>15</v>
      </c>
      <c r="F2754" s="421"/>
      <c r="G2754" s="417" t="s">
        <v>2094</v>
      </c>
      <c r="H2754" s="598">
        <v>14228472</v>
      </c>
      <c r="I2754" s="322" t="s">
        <v>2011</v>
      </c>
      <c r="J2754" s="418"/>
      <c r="K2754" s="248"/>
      <c r="M2754" s="366"/>
      <c r="AF2754">
        <v>15</v>
      </c>
    </row>
    <row r="2755" spans="1:32" x14ac:dyDescent="0.25">
      <c r="A2755" s="308">
        <v>45531</v>
      </c>
      <c r="B2755" s="416">
        <v>410851</v>
      </c>
      <c r="C2755" s="413" t="str">
        <f>IFERROR(INDEX(Table14[],MATCH($B2755,Table14[SAPNo],0),3),"")</f>
        <v>PDC Dome 1308 CT31   (B)</v>
      </c>
      <c r="D2755" s="306"/>
      <c r="E2755" s="421">
        <v>28</v>
      </c>
      <c r="F2755" s="421"/>
      <c r="G2755" s="417" t="s">
        <v>2095</v>
      </c>
      <c r="H2755" s="598">
        <v>14188524</v>
      </c>
      <c r="I2755" s="322" t="s">
        <v>2096</v>
      </c>
      <c r="J2755" s="418"/>
      <c r="K2755" s="248"/>
      <c r="M2755" s="366"/>
      <c r="AF2755">
        <v>28</v>
      </c>
    </row>
    <row r="2756" spans="1:32" x14ac:dyDescent="0.25">
      <c r="A2756" s="308">
        <v>45531</v>
      </c>
      <c r="B2756" s="416">
        <v>179734</v>
      </c>
      <c r="C2756" s="413" t="str">
        <f>IFERROR(INDEX(Table14[],MATCH($B2756,Table14[SAPNo],0),3),"")</f>
        <v>Long IPA 13    (C)</v>
      </c>
      <c r="D2756" s="306"/>
      <c r="E2756" s="421">
        <v>22</v>
      </c>
      <c r="F2756" s="421"/>
      <c r="G2756" s="417" t="s">
        <v>2095</v>
      </c>
      <c r="H2756" s="598">
        <v>14188524</v>
      </c>
      <c r="I2756" s="322" t="s">
        <v>2096</v>
      </c>
      <c r="J2756" s="418"/>
      <c r="K2756" s="248"/>
      <c r="M2756" s="366"/>
      <c r="AF2756">
        <v>22</v>
      </c>
    </row>
    <row r="2757" spans="1:32" x14ac:dyDescent="0.25">
      <c r="A2757" s="308">
        <v>45531</v>
      </c>
      <c r="B2757" s="416">
        <v>871781</v>
      </c>
      <c r="C2757" s="413" t="str">
        <f>IFERROR(INDEX(Table14[],MATCH($B2757,Table14[SAPNo],0),3),"")</f>
        <v>Round 1313 CT200  0.018" (B)</v>
      </c>
      <c r="D2757" s="306"/>
      <c r="E2757" s="421">
        <v>42</v>
      </c>
      <c r="F2757" s="421"/>
      <c r="G2757" s="417" t="s">
        <v>2095</v>
      </c>
      <c r="H2757" s="598">
        <v>14188524</v>
      </c>
      <c r="I2757" s="322" t="s">
        <v>2096</v>
      </c>
      <c r="J2757" s="418"/>
      <c r="K2757" s="248"/>
      <c r="M2757" s="366"/>
      <c r="AF2757">
        <v>42</v>
      </c>
    </row>
    <row r="2758" spans="1:32" x14ac:dyDescent="0.25">
      <c r="A2758" s="308">
        <v>45531</v>
      </c>
      <c r="B2758" s="416">
        <v>1208601</v>
      </c>
      <c r="C2758" s="413" t="str">
        <f>IFERROR(INDEX(Table14[],MATCH($B2758,Table14[SAPNo],0),3),"")</f>
        <v>1613 CT418 U-60</v>
      </c>
      <c r="D2758" s="306"/>
      <c r="E2758" s="421">
        <v>15</v>
      </c>
      <c r="F2758" s="421"/>
      <c r="G2758" s="417" t="s">
        <v>2095</v>
      </c>
      <c r="H2758" s="598">
        <v>14188524</v>
      </c>
      <c r="I2758" s="322" t="s">
        <v>2096</v>
      </c>
      <c r="J2758" s="418"/>
      <c r="K2758" s="248"/>
      <c r="M2758" s="366"/>
      <c r="AF2758">
        <v>15</v>
      </c>
    </row>
    <row r="2759" spans="1:32" x14ac:dyDescent="0.25">
      <c r="A2759" s="308">
        <v>45531</v>
      </c>
      <c r="B2759" s="416">
        <v>418525</v>
      </c>
      <c r="C2759" s="413" t="str">
        <f>IFERROR(INDEX(Table14[],MATCH($B2759,Table14[SAPNo],0),3),"")</f>
        <v>Drop In 1308 CT31   (B)</v>
      </c>
      <c r="D2759" s="306"/>
      <c r="E2759" s="421">
        <v>7</v>
      </c>
      <c r="F2759" s="421"/>
      <c r="G2759" s="417" t="s">
        <v>2095</v>
      </c>
      <c r="H2759" s="598">
        <v>14188524</v>
      </c>
      <c r="I2759" s="322" t="s">
        <v>2096</v>
      </c>
      <c r="J2759" s="418"/>
      <c r="K2759" s="248"/>
      <c r="M2759" s="366"/>
      <c r="AF2759">
        <v>7</v>
      </c>
    </row>
    <row r="2760" spans="1:32" x14ac:dyDescent="0.25">
      <c r="A2760" s="308">
        <v>45531</v>
      </c>
      <c r="B2760" s="416">
        <v>1219562</v>
      </c>
      <c r="C2760" s="413" t="str">
        <f>IFERROR(INDEX(Table14[],MATCH($B2760,Table14[SAPNo],0),3),"")</f>
        <v>1613 CT147R U</v>
      </c>
      <c r="D2760" s="306"/>
      <c r="E2760" s="421">
        <v>42</v>
      </c>
      <c r="F2760" s="421"/>
      <c r="G2760" s="417" t="s">
        <v>2095</v>
      </c>
      <c r="H2760" s="598">
        <v>14188524</v>
      </c>
      <c r="I2760" s="322" t="s">
        <v>2096</v>
      </c>
      <c r="J2760" s="418"/>
      <c r="K2760" s="248"/>
      <c r="M2760" s="366"/>
      <c r="AF2760">
        <v>42</v>
      </c>
    </row>
    <row r="2761" spans="1:32" x14ac:dyDescent="0.25">
      <c r="A2761" s="320">
        <v>45531</v>
      </c>
      <c r="B2761" s="419">
        <v>1130198</v>
      </c>
      <c r="C2761" s="413" t="str">
        <f>IFERROR(INDEX(Table14[],MATCH($B2761,Table14[SAPNo],0),3),"")</f>
        <v>Round 1613 CT182  0.018" (S)</v>
      </c>
      <c r="D2761" s="306"/>
      <c r="E2761" s="421">
        <v>15</v>
      </c>
      <c r="F2761" s="421"/>
      <c r="G2761" s="420" t="s">
        <v>2095</v>
      </c>
      <c r="H2761" s="599">
        <v>14188524</v>
      </c>
      <c r="I2761" s="322" t="s">
        <v>2096</v>
      </c>
      <c r="J2761" s="421"/>
      <c r="K2761" s="422"/>
      <c r="M2761" s="366"/>
      <c r="AF2761">
        <v>15</v>
      </c>
    </row>
    <row r="2762" spans="1:32" x14ac:dyDescent="0.25">
      <c r="A2762" s="320">
        <v>45531</v>
      </c>
      <c r="B2762" s="419">
        <v>1130198</v>
      </c>
      <c r="C2762" s="413" t="str">
        <f>IFERROR(INDEX(Table14[],MATCH($B2762,Table14[SAPNo],0),3),"")</f>
        <v>Round 1613 CT182  0.018" (S)</v>
      </c>
      <c r="D2762" s="306"/>
      <c r="E2762" s="421">
        <v>2</v>
      </c>
      <c r="F2762" s="421"/>
      <c r="G2762" s="420" t="s">
        <v>2095</v>
      </c>
      <c r="H2762" s="599">
        <v>14188524</v>
      </c>
      <c r="I2762" s="322" t="s">
        <v>2096</v>
      </c>
      <c r="J2762" s="421"/>
      <c r="K2762" s="422"/>
      <c r="M2762" s="422"/>
      <c r="AF2762">
        <v>2</v>
      </c>
    </row>
    <row r="2763" spans="1:32" x14ac:dyDescent="0.25">
      <c r="A2763" s="320">
        <v>45531</v>
      </c>
      <c r="B2763" s="419">
        <v>1130198</v>
      </c>
      <c r="C2763" s="413" t="str">
        <f>IFERROR(INDEX(Table14[],MATCH($B2763,Table14[SAPNo],0),3),"")</f>
        <v>Round 1613 CT182  0.018" (S)</v>
      </c>
      <c r="D2763" s="306"/>
      <c r="E2763" s="421"/>
      <c r="F2763" s="421"/>
      <c r="G2763" s="420" t="s">
        <v>2097</v>
      </c>
      <c r="H2763" s="599">
        <v>14188524</v>
      </c>
      <c r="I2763" s="322" t="s">
        <v>2096</v>
      </c>
      <c r="J2763" s="421"/>
      <c r="K2763" s="422" t="s">
        <v>2098</v>
      </c>
      <c r="M2763" s="422"/>
    </row>
    <row r="2764" spans="1:32" x14ac:dyDescent="0.25">
      <c r="A2764" s="320">
        <v>45531</v>
      </c>
      <c r="B2764" s="419">
        <v>1271790</v>
      </c>
      <c r="C2764" s="413" t="str">
        <f>IFERROR(INDEX(Table14[],MATCH($B2764,Table14[SAPNo],0),3),"")</f>
        <v xml:space="preserve">1613 CT170 18-60 </v>
      </c>
      <c r="D2764" s="306"/>
      <c r="E2764" s="421">
        <v>53</v>
      </c>
      <c r="F2764" s="421"/>
      <c r="G2764" s="420" t="s">
        <v>2099</v>
      </c>
      <c r="H2764" s="599">
        <v>14145052</v>
      </c>
      <c r="I2764" s="322" t="s">
        <v>2100</v>
      </c>
      <c r="J2764" s="421"/>
      <c r="K2764" s="422"/>
      <c r="M2764" s="422"/>
      <c r="AF2764">
        <v>53</v>
      </c>
    </row>
    <row r="2765" spans="1:32" x14ac:dyDescent="0.25">
      <c r="A2765" s="308">
        <v>45531</v>
      </c>
      <c r="B2765" s="416">
        <v>647436</v>
      </c>
      <c r="C2765" s="413" t="str">
        <f>IFERROR(INDEX(Table14[],MATCH($B2765,Table14[SAPNo],0),3),"")</f>
        <v>Round 1613 CT200  0.018" (B)</v>
      </c>
      <c r="D2765" s="306"/>
      <c r="E2765" s="421">
        <v>64</v>
      </c>
      <c r="F2765" s="421"/>
      <c r="G2765" s="417" t="s">
        <v>2099</v>
      </c>
      <c r="H2765" s="598">
        <v>14145052</v>
      </c>
      <c r="I2765" s="322" t="s">
        <v>2100</v>
      </c>
      <c r="J2765" s="418"/>
      <c r="K2765" s="248"/>
      <c r="M2765" s="422"/>
      <c r="AF2765">
        <v>64</v>
      </c>
    </row>
    <row r="2766" spans="1:32" x14ac:dyDescent="0.25">
      <c r="A2766" s="308">
        <v>45531</v>
      </c>
      <c r="B2766" s="416">
        <v>647435</v>
      </c>
      <c r="C2766" s="413" t="str">
        <f>IFERROR(INDEX(Table14[],MATCH($B2766,Table14[SAPNo],0),3),"")</f>
        <v>Round 1608 CT200  0.018" (B)</v>
      </c>
      <c r="D2766" s="306"/>
      <c r="E2766" s="421">
        <v>16</v>
      </c>
      <c r="F2766" s="421"/>
      <c r="G2766" s="417" t="s">
        <v>2099</v>
      </c>
      <c r="H2766" s="598">
        <v>14145052</v>
      </c>
      <c r="I2766" s="322" t="s">
        <v>2100</v>
      </c>
      <c r="J2766" s="418"/>
      <c r="K2766" s="248"/>
      <c r="M2766" s="366"/>
      <c r="AF2766">
        <v>16</v>
      </c>
    </row>
    <row r="2767" spans="1:32" x14ac:dyDescent="0.25">
      <c r="A2767" s="308">
        <v>45531</v>
      </c>
      <c r="B2767" s="416">
        <v>1146737</v>
      </c>
      <c r="C2767" s="413" t="str">
        <f>IFERROR(INDEX(Table14[],MATCH($B2767,Table14[SAPNo],0),3),"")</f>
        <v>1613 CT418 18-60</v>
      </c>
      <c r="D2767" s="306"/>
      <c r="E2767" s="421">
        <v>39</v>
      </c>
      <c r="F2767" s="421"/>
      <c r="G2767" s="417" t="s">
        <v>2099</v>
      </c>
      <c r="H2767" s="598">
        <v>14145052</v>
      </c>
      <c r="I2767" s="322" t="s">
        <v>2100</v>
      </c>
      <c r="J2767" s="418"/>
      <c r="K2767" s="248"/>
      <c r="M2767" s="366"/>
      <c r="AF2767">
        <v>39</v>
      </c>
    </row>
    <row r="2768" spans="1:32" x14ac:dyDescent="0.25">
      <c r="A2768" s="308">
        <v>45531</v>
      </c>
      <c r="B2768" s="416">
        <v>418525</v>
      </c>
      <c r="C2768" s="413" t="str">
        <f>IFERROR(INDEX(Table14[],MATCH($B2768,Table14[SAPNo],0),3),"")</f>
        <v>Drop In 1308 CT31   (B)</v>
      </c>
      <c r="D2768" s="306"/>
      <c r="E2768" s="421">
        <v>8</v>
      </c>
      <c r="F2768" s="421"/>
      <c r="G2768" s="417" t="s">
        <v>2099</v>
      </c>
      <c r="H2768" s="598">
        <v>14145052</v>
      </c>
      <c r="I2768" s="322" t="s">
        <v>2100</v>
      </c>
      <c r="J2768" s="418"/>
      <c r="K2768" s="248"/>
      <c r="M2768" s="366"/>
      <c r="AF2768">
        <v>8</v>
      </c>
    </row>
    <row r="2769" spans="1:32" x14ac:dyDescent="0.25">
      <c r="A2769" s="308">
        <v>45536</v>
      </c>
      <c r="B2769" s="416">
        <v>871781</v>
      </c>
      <c r="C2769" s="413" t="str">
        <f>IFERROR(INDEX(Table14[],MATCH($B2769,Table14[SAPNo],0),3),"")</f>
        <v>Round 1313 CT200  0.018" (B)</v>
      </c>
      <c r="D2769" s="306"/>
      <c r="E2769" s="421">
        <v>6</v>
      </c>
      <c r="F2769" s="421"/>
      <c r="G2769" s="417" t="s">
        <v>2101</v>
      </c>
      <c r="H2769" s="598">
        <v>14214978</v>
      </c>
      <c r="I2769" s="322" t="s">
        <v>2009</v>
      </c>
      <c r="J2769" s="418"/>
      <c r="K2769" s="248"/>
      <c r="M2769" s="422"/>
      <c r="AF2769">
        <v>6</v>
      </c>
    </row>
    <row r="2770" spans="1:32" x14ac:dyDescent="0.25">
      <c r="A2770" s="308">
        <v>45536</v>
      </c>
      <c r="B2770" s="416">
        <v>647435</v>
      </c>
      <c r="C2770" s="413" t="str">
        <f>IFERROR(INDEX(Table14[],MATCH($B2770,Table14[SAPNo],0),3),"")</f>
        <v>Round 1608 CT200  0.018" (B)</v>
      </c>
      <c r="D2770" s="306"/>
      <c r="E2770" s="421">
        <v>23</v>
      </c>
      <c r="F2770" s="421"/>
      <c r="G2770" s="417" t="s">
        <v>2101</v>
      </c>
      <c r="H2770" s="598">
        <v>14214978</v>
      </c>
      <c r="I2770" s="322" t="s">
        <v>2009</v>
      </c>
      <c r="J2770" s="418"/>
      <c r="K2770" s="248"/>
      <c r="M2770" s="366"/>
      <c r="AF2770">
        <v>23</v>
      </c>
    </row>
    <row r="2771" spans="1:32" x14ac:dyDescent="0.25">
      <c r="A2771" s="308">
        <v>45536</v>
      </c>
      <c r="B2771" s="416">
        <v>1130198</v>
      </c>
      <c r="C2771" s="413" t="str">
        <f>IFERROR(INDEX(Table14[],MATCH($B2771,Table14[SAPNo],0),3),"")</f>
        <v>Round 1613 CT182  0.018" (S)</v>
      </c>
      <c r="D2771" s="306"/>
      <c r="E2771" s="421"/>
      <c r="F2771" s="421"/>
      <c r="G2771" s="417" t="s">
        <v>2102</v>
      </c>
      <c r="H2771" s="598">
        <v>14214978</v>
      </c>
      <c r="I2771" s="322" t="s">
        <v>2009</v>
      </c>
      <c r="J2771" s="418"/>
      <c r="K2771" s="248" t="s">
        <v>2103</v>
      </c>
      <c r="M2771" s="366"/>
    </row>
    <row r="2772" spans="1:32" x14ac:dyDescent="0.25">
      <c r="A2772" s="308">
        <v>45536</v>
      </c>
      <c r="B2772" s="416">
        <v>871781</v>
      </c>
      <c r="C2772" s="413" t="str">
        <f>IFERROR(INDEX(Table14[],MATCH($B2772,Table14[SAPNo],0),3),"")</f>
        <v>Round 1313 CT200  0.018" (B)</v>
      </c>
      <c r="D2772" s="306"/>
      <c r="E2772" s="421">
        <v>6</v>
      </c>
      <c r="F2772" s="421"/>
      <c r="G2772" s="417" t="s">
        <v>2104</v>
      </c>
      <c r="H2772" s="598">
        <v>14214979</v>
      </c>
      <c r="I2772" s="322" t="s">
        <v>2009</v>
      </c>
      <c r="J2772" s="418"/>
      <c r="K2772" s="248"/>
      <c r="M2772" s="366"/>
      <c r="AF2772">
        <v>6</v>
      </c>
    </row>
    <row r="2773" spans="1:32" x14ac:dyDescent="0.25">
      <c r="A2773" s="308">
        <v>45536</v>
      </c>
      <c r="B2773" s="416">
        <v>647435</v>
      </c>
      <c r="C2773" s="413" t="str">
        <f>IFERROR(INDEX(Table14[],MATCH($B2773,Table14[SAPNo],0),3),"")</f>
        <v>Round 1608 CT200  0.018" (B)</v>
      </c>
      <c r="D2773" s="306"/>
      <c r="E2773" s="421">
        <v>23</v>
      </c>
      <c r="F2773" s="421"/>
      <c r="G2773" s="417" t="s">
        <v>2104</v>
      </c>
      <c r="H2773" s="598">
        <v>14214979</v>
      </c>
      <c r="I2773" s="322" t="s">
        <v>2009</v>
      </c>
      <c r="J2773" s="418"/>
      <c r="K2773" s="248"/>
      <c r="M2773" s="366"/>
      <c r="AF2773">
        <v>23</v>
      </c>
    </row>
    <row r="2774" spans="1:32" x14ac:dyDescent="0.25">
      <c r="A2774" s="320">
        <v>45536</v>
      </c>
      <c r="B2774" s="419">
        <v>1130198</v>
      </c>
      <c r="C2774" s="413" t="str">
        <f>IFERROR(INDEX(Table14[],MATCH($B2774,Table14[SAPNo],0),3),"")</f>
        <v>Round 1613 CT182  0.018" (S)</v>
      </c>
      <c r="D2774" s="306"/>
      <c r="E2774" s="421"/>
      <c r="F2774" s="421"/>
      <c r="G2774" s="420" t="s">
        <v>2105</v>
      </c>
      <c r="H2774" s="599">
        <v>14214979</v>
      </c>
      <c r="I2774" s="322" t="s">
        <v>2009</v>
      </c>
      <c r="J2774" s="421"/>
      <c r="K2774" s="422" t="s">
        <v>2103</v>
      </c>
      <c r="M2774" s="366"/>
    </row>
    <row r="2775" spans="1:32" x14ac:dyDescent="0.25">
      <c r="A2775" s="308">
        <v>45536</v>
      </c>
      <c r="B2775" s="416">
        <v>717748</v>
      </c>
      <c r="C2775" s="413" t="str">
        <f>IFERROR(INDEX(Table14[],MATCH($B2775,Table14[SAPNo],0),3),"")</f>
        <v>Round 1010 CT200  0.018" (B)</v>
      </c>
      <c r="D2775" s="306"/>
      <c r="E2775" s="421"/>
      <c r="F2775" s="421"/>
      <c r="G2775" s="417" t="s">
        <v>2106</v>
      </c>
      <c r="H2775" s="598" t="s">
        <v>2089</v>
      </c>
      <c r="I2775" s="322" t="s">
        <v>1069</v>
      </c>
      <c r="J2775" s="418">
        <v>1</v>
      </c>
      <c r="K2775" s="248"/>
      <c r="M2775" s="422"/>
    </row>
    <row r="2776" spans="1:32" x14ac:dyDescent="0.25">
      <c r="A2776" s="320">
        <v>45536</v>
      </c>
      <c r="B2776" s="416">
        <v>717748</v>
      </c>
      <c r="C2776" s="413" t="str">
        <f>IFERROR(INDEX(Table14[],MATCH($B2776,Table14[SAPNo],0),3),"")</f>
        <v>Round 1010 CT200  0.018" (B)</v>
      </c>
      <c r="D2776" s="306"/>
      <c r="E2776" s="421"/>
      <c r="F2776" s="421"/>
      <c r="G2776" s="420" t="s">
        <v>2107</v>
      </c>
      <c r="H2776" s="599" t="s">
        <v>2092</v>
      </c>
      <c r="I2776" s="322" t="s">
        <v>1069</v>
      </c>
      <c r="J2776" s="421">
        <v>2</v>
      </c>
      <c r="K2776" s="422"/>
      <c r="M2776" s="473" t="s">
        <v>2108</v>
      </c>
    </row>
    <row r="2777" spans="1:32" x14ac:dyDescent="0.25">
      <c r="A2777" s="320">
        <v>45530</v>
      </c>
      <c r="B2777" s="419">
        <v>1130198</v>
      </c>
      <c r="C2777" s="413" t="str">
        <f>IFERROR(INDEX(Table14[],MATCH($B2777,Table14[SAPNo],0),3),"")</f>
        <v>Round 1613 CT182  0.018" (S)</v>
      </c>
      <c r="D2777" s="306"/>
      <c r="E2777" s="421"/>
      <c r="F2777" s="421"/>
      <c r="G2777" s="420" t="s">
        <v>2109</v>
      </c>
      <c r="H2777" s="599">
        <v>13925705</v>
      </c>
      <c r="I2777" s="322" t="s">
        <v>1196</v>
      </c>
      <c r="J2777" s="421"/>
      <c r="K2777" s="422" t="s">
        <v>2110</v>
      </c>
      <c r="M2777" s="422"/>
    </row>
    <row r="2778" spans="1:32" x14ac:dyDescent="0.25">
      <c r="A2778" s="320">
        <v>45530</v>
      </c>
      <c r="B2778" s="419">
        <v>1130198</v>
      </c>
      <c r="C2778" s="413" t="str">
        <f>IFERROR(INDEX(Table14[],MATCH($B2778,Table14[SAPNo],0),3),"")</f>
        <v>Round 1613 CT182  0.018" (S)</v>
      </c>
      <c r="D2778" s="306"/>
      <c r="E2778" s="421"/>
      <c r="F2778" s="421"/>
      <c r="G2778" s="420" t="s">
        <v>2109</v>
      </c>
      <c r="H2778" s="599">
        <v>13925705</v>
      </c>
      <c r="I2778" s="322" t="s">
        <v>1196</v>
      </c>
      <c r="J2778" s="421"/>
      <c r="K2778" s="422" t="s">
        <v>2111</v>
      </c>
      <c r="M2778" s="422"/>
    </row>
    <row r="2779" spans="1:32" x14ac:dyDescent="0.25">
      <c r="A2779" s="320">
        <v>45530</v>
      </c>
      <c r="B2779" s="419">
        <v>625854</v>
      </c>
      <c r="C2779" s="413" t="str">
        <f>IFERROR(INDEX(Table14[],MATCH($B2779,Table14[SAPNo],0),3),"")</f>
        <v>Carbide IA 1318    (C)</v>
      </c>
      <c r="D2779" s="306"/>
      <c r="E2779" s="421"/>
      <c r="F2779" s="421"/>
      <c r="G2779" s="420" t="s">
        <v>2109</v>
      </c>
      <c r="H2779" s="599">
        <v>13925705</v>
      </c>
      <c r="I2779" s="322" t="s">
        <v>1196</v>
      </c>
      <c r="J2779" s="421"/>
      <c r="K2779" s="422" t="s">
        <v>2112</v>
      </c>
      <c r="M2779" s="422"/>
    </row>
    <row r="2780" spans="1:32" x14ac:dyDescent="0.25">
      <c r="A2780" s="320">
        <v>45532</v>
      </c>
      <c r="B2780" s="419">
        <v>1130198</v>
      </c>
      <c r="C2780" s="413" t="str">
        <f>IFERROR(INDEX(Table14[],MATCH($B2780,Table14[SAPNo],0),3),"")</f>
        <v>Round 1613 CT182  0.018" (S)</v>
      </c>
      <c r="D2780" s="306"/>
      <c r="E2780" s="421"/>
      <c r="F2780" s="421"/>
      <c r="G2780" s="420" t="s">
        <v>2113</v>
      </c>
      <c r="H2780" s="599">
        <v>13905842</v>
      </c>
      <c r="I2780" s="322" t="s">
        <v>1196</v>
      </c>
      <c r="J2780" s="421"/>
      <c r="K2780" s="422" t="s">
        <v>2114</v>
      </c>
      <c r="M2780" s="422"/>
    </row>
    <row r="2781" spans="1:32" x14ac:dyDescent="0.25">
      <c r="A2781" s="308">
        <v>45532</v>
      </c>
      <c r="B2781" s="416">
        <v>625854</v>
      </c>
      <c r="C2781" s="413" t="str">
        <f>IFERROR(INDEX(Table14[],MATCH($B2781,Table14[SAPNo],0),3),"")</f>
        <v>Carbide IA 1318    (C)</v>
      </c>
      <c r="D2781" s="306"/>
      <c r="E2781" s="421"/>
      <c r="F2781" s="421"/>
      <c r="G2781" s="417" t="s">
        <v>2113</v>
      </c>
      <c r="H2781" s="598">
        <v>13905842</v>
      </c>
      <c r="I2781" s="322" t="s">
        <v>1196</v>
      </c>
      <c r="J2781" s="418"/>
      <c r="K2781" s="248" t="s">
        <v>2112</v>
      </c>
      <c r="M2781" s="422"/>
    </row>
    <row r="2782" spans="1:32" x14ac:dyDescent="0.25">
      <c r="A2782" s="308">
        <v>45533</v>
      </c>
      <c r="B2782" s="416">
        <v>1130198</v>
      </c>
      <c r="C2782" s="413" t="str">
        <f>IFERROR(INDEX(Table14[],MATCH($B2782,Table14[SAPNo],0),3),"")</f>
        <v>Round 1613 CT182  0.018" (S)</v>
      </c>
      <c r="D2782" s="306"/>
      <c r="E2782" s="421"/>
      <c r="F2782" s="421"/>
      <c r="G2782" s="417" t="s">
        <v>2115</v>
      </c>
      <c r="H2782" s="598">
        <v>13924726</v>
      </c>
      <c r="I2782" s="322" t="s">
        <v>1196</v>
      </c>
      <c r="J2782" s="418"/>
      <c r="K2782" s="248" t="s">
        <v>2116</v>
      </c>
      <c r="M2782" s="366"/>
    </row>
    <row r="2783" spans="1:32" x14ac:dyDescent="0.25">
      <c r="A2783" s="308">
        <v>45533</v>
      </c>
      <c r="B2783" s="416">
        <v>625854</v>
      </c>
      <c r="C2783" s="413" t="str">
        <f>IFERROR(INDEX(Table14[],MATCH($B2783,Table14[SAPNo],0),3),"")</f>
        <v>Carbide IA 1318    (C)</v>
      </c>
      <c r="D2783" s="306"/>
      <c r="E2783" s="421"/>
      <c r="F2783" s="421"/>
      <c r="G2783" s="417" t="s">
        <v>2115</v>
      </c>
      <c r="H2783" s="598">
        <v>13924726</v>
      </c>
      <c r="I2783" s="322" t="s">
        <v>1196</v>
      </c>
      <c r="J2783" s="418"/>
      <c r="K2783" s="248" t="s">
        <v>2112</v>
      </c>
      <c r="M2783" s="366"/>
    </row>
    <row r="2784" spans="1:32" x14ac:dyDescent="0.25">
      <c r="A2784" s="320">
        <v>45532</v>
      </c>
      <c r="B2784" s="419">
        <v>1130198</v>
      </c>
      <c r="C2784" s="413" t="str">
        <f>IFERROR(INDEX(Table14[],MATCH($B2784,Table14[SAPNo],0),3),"")</f>
        <v>Round 1613 CT182  0.018" (S)</v>
      </c>
      <c r="D2784" s="306"/>
      <c r="E2784" s="421"/>
      <c r="F2784" s="421"/>
      <c r="G2784" s="420" t="s">
        <v>2113</v>
      </c>
      <c r="H2784" s="599">
        <v>13905842</v>
      </c>
      <c r="I2784" s="322" t="s">
        <v>1196</v>
      </c>
      <c r="J2784" s="421"/>
      <c r="K2784" s="422" t="s">
        <v>2117</v>
      </c>
      <c r="M2784" s="366"/>
    </row>
    <row r="2785" spans="1:32" x14ac:dyDescent="0.25">
      <c r="A2785" s="320">
        <v>45533</v>
      </c>
      <c r="B2785" s="419">
        <v>1130198</v>
      </c>
      <c r="C2785" s="413" t="str">
        <f>IFERROR(INDEX(Table14[],MATCH($B2785,Table14[SAPNo],0),3),"")</f>
        <v>Round 1613 CT182  0.018" (S)</v>
      </c>
      <c r="D2785" s="306"/>
      <c r="E2785" s="421"/>
      <c r="F2785" s="421"/>
      <c r="G2785" s="420" t="s">
        <v>2115</v>
      </c>
      <c r="H2785" s="599">
        <v>13924726</v>
      </c>
      <c r="I2785" s="322" t="s">
        <v>1196</v>
      </c>
      <c r="J2785" s="421"/>
      <c r="K2785" s="422" t="s">
        <v>2111</v>
      </c>
      <c r="M2785" s="422"/>
    </row>
    <row r="2786" spans="1:32" x14ac:dyDescent="0.25">
      <c r="A2786" s="320">
        <v>45537</v>
      </c>
      <c r="B2786" s="419">
        <v>1136984</v>
      </c>
      <c r="C2786" s="413" t="str">
        <f>IFERROR(INDEX(Table14[],MATCH($B2786,Table14[SAPNo],0),3),"")</f>
        <v>DBLMCHT 1313 CT182DM  10C (S)</v>
      </c>
      <c r="D2786" s="306"/>
      <c r="E2786" s="421">
        <v>2</v>
      </c>
      <c r="F2786" s="421"/>
      <c r="G2786" s="420" t="s">
        <v>2118</v>
      </c>
      <c r="H2786" s="599" t="s">
        <v>2071</v>
      </c>
      <c r="I2786" s="322" t="s">
        <v>1128</v>
      </c>
      <c r="J2786" s="421"/>
      <c r="K2786" s="422"/>
      <c r="M2786" s="422"/>
      <c r="AF2786">
        <v>2</v>
      </c>
    </row>
    <row r="2787" spans="1:32" x14ac:dyDescent="0.25">
      <c r="A2787" s="320">
        <v>45537</v>
      </c>
      <c r="B2787" s="419">
        <v>418525</v>
      </c>
      <c r="C2787" s="413" t="str">
        <f>IFERROR(INDEX(Table14[],MATCH($B2787,Table14[SAPNo],0),3),"")</f>
        <v>Drop In 1308 CT31   (B)</v>
      </c>
      <c r="D2787" s="306"/>
      <c r="E2787" s="421">
        <v>5</v>
      </c>
      <c r="F2787" s="421"/>
      <c r="G2787" s="420">
        <v>20241141</v>
      </c>
      <c r="H2787" s="599" t="s">
        <v>2119</v>
      </c>
      <c r="I2787" s="322" t="s">
        <v>1781</v>
      </c>
      <c r="J2787" s="421"/>
      <c r="K2787" s="422"/>
      <c r="M2787" s="422"/>
      <c r="AF2787">
        <v>5</v>
      </c>
    </row>
    <row r="2788" spans="1:32" x14ac:dyDescent="0.25">
      <c r="A2788" s="320">
        <v>45537</v>
      </c>
      <c r="B2788" s="419">
        <v>1209332</v>
      </c>
      <c r="C2788" s="413" t="str">
        <f>IFERROR(INDEX(Table14[],MATCH($B2788,Table14[SAPNo],0),3),"")</f>
        <v>1313 CT147G U</v>
      </c>
      <c r="D2788" s="306"/>
      <c r="E2788" s="421"/>
      <c r="F2788" s="421"/>
      <c r="G2788" s="420">
        <v>20241141</v>
      </c>
      <c r="H2788" s="599" t="s">
        <v>2119</v>
      </c>
      <c r="I2788" s="322" t="s">
        <v>1781</v>
      </c>
      <c r="J2788" s="421">
        <v>1</v>
      </c>
      <c r="K2788" s="422"/>
      <c r="M2788" s="422"/>
    </row>
    <row r="2789" spans="1:32" x14ac:dyDescent="0.25">
      <c r="A2789" s="308">
        <v>45537</v>
      </c>
      <c r="B2789" s="416">
        <v>647436</v>
      </c>
      <c r="C2789" s="413" t="str">
        <f>IFERROR(INDEX(Table14[],MATCH($B2789,Table14[SAPNo],0),3),"")</f>
        <v>Round 1613 CT200  0.018" (B)</v>
      </c>
      <c r="D2789" s="306"/>
      <c r="E2789" s="421">
        <v>64</v>
      </c>
      <c r="F2789" s="421"/>
      <c r="G2789" s="417" t="s">
        <v>2120</v>
      </c>
      <c r="H2789" s="598">
        <v>14145053</v>
      </c>
      <c r="I2789" s="322" t="s">
        <v>2100</v>
      </c>
      <c r="J2789" s="418"/>
      <c r="K2789" s="248"/>
      <c r="M2789" s="422"/>
      <c r="AF2789">
        <v>64</v>
      </c>
    </row>
    <row r="2790" spans="1:32" x14ac:dyDescent="0.25">
      <c r="A2790" s="308">
        <v>45537</v>
      </c>
      <c r="B2790" s="416">
        <v>647435</v>
      </c>
      <c r="C2790" s="413" t="str">
        <f>IFERROR(INDEX(Table14[],MATCH($B2790,Table14[SAPNo],0),3),"")</f>
        <v>Round 1608 CT200  0.018" (B)</v>
      </c>
      <c r="D2790" s="306"/>
      <c r="E2790" s="421">
        <v>16</v>
      </c>
      <c r="F2790" s="421"/>
      <c r="G2790" s="417" t="s">
        <v>2120</v>
      </c>
      <c r="H2790" s="598">
        <v>14145053</v>
      </c>
      <c r="I2790" s="322" t="s">
        <v>2100</v>
      </c>
      <c r="J2790" s="418"/>
      <c r="K2790" s="248"/>
      <c r="M2790" s="366"/>
      <c r="AF2790">
        <v>16</v>
      </c>
    </row>
    <row r="2791" spans="1:32" x14ac:dyDescent="0.25">
      <c r="A2791" s="308">
        <v>45537</v>
      </c>
      <c r="B2791" s="416">
        <v>418525</v>
      </c>
      <c r="C2791" s="413" t="str">
        <f>IFERROR(INDEX(Table14[],MATCH($B2791,Table14[SAPNo],0),3),"")</f>
        <v>Drop In 1308 CT31   (B)</v>
      </c>
      <c r="D2791" s="306"/>
      <c r="E2791" s="421">
        <v>8</v>
      </c>
      <c r="F2791" s="421"/>
      <c r="G2791" s="417" t="s">
        <v>2120</v>
      </c>
      <c r="H2791" s="598">
        <v>14145053</v>
      </c>
      <c r="I2791" s="322" t="s">
        <v>2100</v>
      </c>
      <c r="J2791" s="418"/>
      <c r="K2791" s="248"/>
      <c r="M2791" s="366"/>
      <c r="AF2791">
        <v>8</v>
      </c>
    </row>
    <row r="2792" spans="1:32" x14ac:dyDescent="0.25">
      <c r="A2792" s="308">
        <v>45537</v>
      </c>
      <c r="B2792" s="416">
        <v>1271790</v>
      </c>
      <c r="C2792" s="413" t="str">
        <f>IFERROR(INDEX(Table14[],MATCH($B2792,Table14[SAPNo],0),3),"")</f>
        <v xml:space="preserve">1613 CT170 18-60 </v>
      </c>
      <c r="D2792" s="306"/>
      <c r="E2792" s="421">
        <v>53</v>
      </c>
      <c r="F2792" s="421"/>
      <c r="G2792" s="417" t="s">
        <v>2120</v>
      </c>
      <c r="H2792" s="598">
        <v>14145053</v>
      </c>
      <c r="I2792" s="322" t="s">
        <v>2100</v>
      </c>
      <c r="J2792" s="418"/>
      <c r="K2792" s="248"/>
      <c r="M2792" s="366"/>
      <c r="AF2792">
        <v>53</v>
      </c>
    </row>
    <row r="2793" spans="1:32" x14ac:dyDescent="0.25">
      <c r="A2793" s="308">
        <v>45537</v>
      </c>
      <c r="B2793" s="416">
        <v>1145493</v>
      </c>
      <c r="C2793" s="413" t="str">
        <f>IFERROR(INDEX(Table14[],MATCH($B2793,Table14[SAPNo],0),3),"")</f>
        <v>Round 1313 CT427  10C (S)</v>
      </c>
      <c r="D2793" s="306"/>
      <c r="E2793" s="421"/>
      <c r="F2793" s="421"/>
      <c r="G2793" s="417">
        <v>20241134</v>
      </c>
      <c r="H2793" s="598" t="s">
        <v>2121</v>
      </c>
      <c r="I2793" s="322" t="s">
        <v>1935</v>
      </c>
      <c r="J2793" s="535">
        <v>11</v>
      </c>
      <c r="K2793" s="248"/>
      <c r="M2793" s="366"/>
    </row>
    <row r="2794" spans="1:32" x14ac:dyDescent="0.25">
      <c r="A2794" s="308">
        <v>45537</v>
      </c>
      <c r="B2794" s="416">
        <v>1100696</v>
      </c>
      <c r="C2794" s="413" t="str">
        <f>IFERROR(INDEX(Table14[],MATCH($B2794,Table14[SAPNo],0),3),"")</f>
        <v>Round 1313 CT418  10C (S)</v>
      </c>
      <c r="D2794" s="306"/>
      <c r="E2794" s="421"/>
      <c r="F2794" s="421"/>
      <c r="G2794" s="417">
        <v>20241135</v>
      </c>
      <c r="H2794" s="598" t="s">
        <v>2122</v>
      </c>
      <c r="I2794" s="322" t="s">
        <v>1307</v>
      </c>
      <c r="J2794" s="535">
        <v>13</v>
      </c>
      <c r="K2794" s="248"/>
      <c r="M2794" s="366"/>
    </row>
    <row r="2795" spans="1:32" x14ac:dyDescent="0.25">
      <c r="A2795" s="308">
        <v>45537</v>
      </c>
      <c r="B2795" s="416">
        <v>717748</v>
      </c>
      <c r="C2795" s="413" t="str">
        <f>IFERROR(INDEX(Table14[],MATCH($B2795,Table14[SAPNo],0),3),"")</f>
        <v>Round 1010 CT200  0.018" (B)</v>
      </c>
      <c r="D2795" s="306"/>
      <c r="E2795" s="421"/>
      <c r="F2795" s="421"/>
      <c r="G2795" s="417">
        <v>20241136</v>
      </c>
      <c r="H2795" s="598" t="s">
        <v>2123</v>
      </c>
      <c r="I2795" s="322" t="s">
        <v>1268</v>
      </c>
      <c r="J2795" s="535">
        <v>9</v>
      </c>
      <c r="K2795" s="248"/>
      <c r="M2795" s="366"/>
    </row>
    <row r="2796" spans="1:32" x14ac:dyDescent="0.25">
      <c r="A2796" s="308">
        <v>45537</v>
      </c>
      <c r="B2796" s="416">
        <v>1130196</v>
      </c>
      <c r="C2796" s="413" t="str">
        <f>IFERROR(INDEX(Table14[],MATCH($B2796,Table14[SAPNo],0),3),"")</f>
        <v>Round 1313 CT182  0.018" (S)</v>
      </c>
      <c r="D2796" s="306"/>
      <c r="E2796" s="421"/>
      <c r="F2796" s="421"/>
      <c r="G2796" s="417">
        <v>20241142</v>
      </c>
      <c r="H2796" s="598">
        <v>14136229</v>
      </c>
      <c r="I2796" s="322" t="s">
        <v>2124</v>
      </c>
      <c r="J2796" s="535">
        <v>6</v>
      </c>
      <c r="K2796" s="248"/>
      <c r="M2796" s="366"/>
    </row>
    <row r="2797" spans="1:32" x14ac:dyDescent="0.25">
      <c r="A2797" s="308">
        <v>45539</v>
      </c>
      <c r="B2797" s="416">
        <v>971055</v>
      </c>
      <c r="C2797" s="413" t="str">
        <f>IFERROR(INDEX(Table14[],MATCH($B2797,Table14[SAPNo],0),3),"")</f>
        <v>MED Bullet 10.5 CT217 MBL 0.018" (B)</v>
      </c>
      <c r="D2797" s="306"/>
      <c r="E2797" s="421"/>
      <c r="F2797" s="421"/>
      <c r="G2797" s="417">
        <v>20241140</v>
      </c>
      <c r="H2797" s="598" t="s">
        <v>2125</v>
      </c>
      <c r="I2797" s="322" t="s">
        <v>1112</v>
      </c>
      <c r="J2797" s="535">
        <v>1</v>
      </c>
      <c r="K2797" s="248"/>
      <c r="M2797" s="366"/>
    </row>
    <row r="2798" spans="1:32" x14ac:dyDescent="0.25">
      <c r="A2798" s="308">
        <v>45537</v>
      </c>
      <c r="B2798" s="416">
        <v>1146737</v>
      </c>
      <c r="C2798" s="413" t="str">
        <f>IFERROR(INDEX(Table14[],MATCH($B2798,Table14[SAPNo],0),3),"")</f>
        <v>1613 CT418 18-60</v>
      </c>
      <c r="D2798" s="306"/>
      <c r="E2798" s="421">
        <v>39</v>
      </c>
      <c r="F2798" s="421"/>
      <c r="G2798" s="417" t="s">
        <v>2120</v>
      </c>
      <c r="H2798" s="598">
        <v>14145053</v>
      </c>
      <c r="I2798" s="322" t="s">
        <v>2100</v>
      </c>
      <c r="J2798" s="305"/>
      <c r="K2798" s="248"/>
      <c r="M2798" s="366"/>
      <c r="AF2798">
        <v>39</v>
      </c>
    </row>
    <row r="2799" spans="1:32" x14ac:dyDescent="0.25">
      <c r="A2799" s="308">
        <v>45539</v>
      </c>
      <c r="B2799" s="416">
        <v>418525</v>
      </c>
      <c r="C2799" s="413" t="str">
        <f>IFERROR(INDEX(Table14[],MATCH($B2799,Table14[SAPNo],0),3),"")</f>
        <v>Drop In 1308 CT31   (B)</v>
      </c>
      <c r="D2799" s="306"/>
      <c r="E2799" s="421">
        <v>10</v>
      </c>
      <c r="F2799" s="421"/>
      <c r="G2799" s="417" t="s">
        <v>2126</v>
      </c>
      <c r="H2799" s="598">
        <v>14228442</v>
      </c>
      <c r="I2799" s="322" t="s">
        <v>2127</v>
      </c>
      <c r="J2799" s="418"/>
      <c r="K2799" s="248"/>
      <c r="M2799" s="366"/>
      <c r="AF2799">
        <v>10</v>
      </c>
    </row>
    <row r="2800" spans="1:32" x14ac:dyDescent="0.25">
      <c r="A2800" s="308">
        <v>45539</v>
      </c>
      <c r="B2800" s="416">
        <v>1209332</v>
      </c>
      <c r="C2800" s="413" t="str">
        <f>IFERROR(INDEX(Table14[],MATCH($B2800,Table14[SAPNo],0),3),"")</f>
        <v>1313 CT147G U</v>
      </c>
      <c r="D2800" s="306"/>
      <c r="E2800" s="421"/>
      <c r="F2800" s="421"/>
      <c r="G2800" s="417" t="s">
        <v>2128</v>
      </c>
      <c r="H2800" s="598">
        <v>14228442</v>
      </c>
      <c r="I2800" s="322" t="s">
        <v>2127</v>
      </c>
      <c r="J2800" s="418"/>
      <c r="K2800" s="248" t="s">
        <v>2129</v>
      </c>
      <c r="M2800" s="366"/>
    </row>
    <row r="2801" spans="1:32" x14ac:dyDescent="0.25">
      <c r="A2801" s="308">
        <v>45539</v>
      </c>
      <c r="B2801" s="416">
        <v>1145493</v>
      </c>
      <c r="C2801" s="413" t="str">
        <f>IFERROR(INDEX(Table14[],MATCH($B2801,Table14[SAPNo],0),3),"")</f>
        <v>Round 1313 CT427  10C (S)</v>
      </c>
      <c r="D2801" s="306"/>
      <c r="E2801" s="421"/>
      <c r="F2801" s="421"/>
      <c r="G2801" s="417" t="s">
        <v>2128</v>
      </c>
      <c r="H2801" s="598">
        <v>14228442</v>
      </c>
      <c r="I2801" s="306" t="s">
        <v>2127</v>
      </c>
      <c r="J2801" s="418"/>
      <c r="K2801" s="248" t="s">
        <v>2130</v>
      </c>
      <c r="M2801" s="366"/>
    </row>
    <row r="2802" spans="1:32" x14ac:dyDescent="0.25">
      <c r="A2802" s="308">
        <v>45545</v>
      </c>
      <c r="B2802" s="416">
        <v>1145493</v>
      </c>
      <c r="C2802" s="413" t="str">
        <f>IFERROR(INDEX(Table14[],MATCH($B2802,Table14[SAPNo],0),3),"")</f>
        <v>Round 1313 CT427  10C (S)</v>
      </c>
      <c r="D2802" s="306"/>
      <c r="E2802" s="421"/>
      <c r="F2802" s="421"/>
      <c r="G2802" s="417">
        <v>20241147</v>
      </c>
      <c r="H2802" s="598" t="s">
        <v>2131</v>
      </c>
      <c r="I2802" s="322" t="s">
        <v>1322</v>
      </c>
      <c r="J2802" s="418">
        <v>1</v>
      </c>
      <c r="K2802" s="248"/>
      <c r="M2802" s="422"/>
    </row>
    <row r="2803" spans="1:32" x14ac:dyDescent="0.25">
      <c r="A2803" s="308">
        <v>45545</v>
      </c>
      <c r="B2803" s="416">
        <v>1145493</v>
      </c>
      <c r="C2803" s="413" t="str">
        <f>IFERROR(INDEX(Table14[],MATCH($B2803,Table14[SAPNo],0),3),"")</f>
        <v>Round 1313 CT427  10C (S)</v>
      </c>
      <c r="D2803" s="306"/>
      <c r="E2803" s="421"/>
      <c r="F2803" s="421"/>
      <c r="G2803" s="417">
        <v>20241148</v>
      </c>
      <c r="H2803" s="598" t="s">
        <v>2132</v>
      </c>
      <c r="I2803" s="322" t="s">
        <v>2090</v>
      </c>
      <c r="J2803" s="418">
        <v>2</v>
      </c>
      <c r="K2803" s="248"/>
      <c r="M2803" s="366"/>
    </row>
    <row r="2804" spans="1:32" x14ac:dyDescent="0.25">
      <c r="A2804" s="308">
        <v>45550</v>
      </c>
      <c r="B2804" s="416">
        <v>871781</v>
      </c>
      <c r="C2804" s="413" t="str">
        <f>IFERROR(INDEX(Table14[],MATCH($B2804,Table14[SAPNo],0),3),"")</f>
        <v>Round 1313 CT200  0.018" (B)</v>
      </c>
      <c r="D2804" s="306"/>
      <c r="E2804" s="421">
        <v>8</v>
      </c>
      <c r="F2804" s="421"/>
      <c r="G2804" s="417" t="s">
        <v>2133</v>
      </c>
      <c r="H2804" s="598">
        <v>14178474</v>
      </c>
      <c r="I2804" s="322" t="s">
        <v>1976</v>
      </c>
      <c r="J2804" s="418"/>
      <c r="K2804" s="248"/>
      <c r="M2804" s="366"/>
      <c r="AF2804">
        <v>8</v>
      </c>
    </row>
    <row r="2805" spans="1:32" x14ac:dyDescent="0.25">
      <c r="A2805" s="308">
        <v>45550</v>
      </c>
      <c r="B2805" s="416">
        <v>708306</v>
      </c>
      <c r="C2805" s="413" t="str">
        <f>IFERROR(INDEX(Table14[],MATCH($B2805,Table14[SAPNo],0),3),"")</f>
        <v>Round 1913 CT200  0.018" (B)</v>
      </c>
      <c r="D2805" s="306"/>
      <c r="E2805" s="421">
        <v>34</v>
      </c>
      <c r="F2805" s="421"/>
      <c r="G2805" s="417" t="s">
        <v>2133</v>
      </c>
      <c r="H2805" s="598">
        <v>14178474</v>
      </c>
      <c r="I2805" s="322" t="s">
        <v>1976</v>
      </c>
      <c r="J2805" s="418"/>
      <c r="K2805" s="248"/>
      <c r="M2805" s="366"/>
      <c r="AF2805">
        <v>34</v>
      </c>
    </row>
    <row r="2806" spans="1:32" x14ac:dyDescent="0.25">
      <c r="A2806" s="308">
        <v>45550</v>
      </c>
      <c r="B2806" s="416">
        <v>1250971</v>
      </c>
      <c r="C2806" s="413" t="str">
        <f>IFERROR(INDEX(Table14[],MATCH($B2806,Table14[SAPNo],0),3),"")</f>
        <v>1913 CT164R U</v>
      </c>
      <c r="D2806" s="306"/>
      <c r="E2806" s="421">
        <v>30</v>
      </c>
      <c r="F2806" s="421"/>
      <c r="G2806" s="417" t="s">
        <v>2133</v>
      </c>
      <c r="H2806" s="598">
        <v>14178474</v>
      </c>
      <c r="I2806" s="322" t="s">
        <v>1976</v>
      </c>
      <c r="J2806" s="418"/>
      <c r="K2806" s="248"/>
      <c r="M2806" s="366"/>
      <c r="AF2806">
        <v>30</v>
      </c>
    </row>
    <row r="2807" spans="1:32" x14ac:dyDescent="0.25">
      <c r="A2807" s="308">
        <v>45550</v>
      </c>
      <c r="B2807" s="416">
        <v>1146737</v>
      </c>
      <c r="C2807" s="413" t="str">
        <f>IFERROR(INDEX(Table14[],MATCH($B2807,Table14[SAPNo],0),3),"")</f>
        <v>1613 CT418 18-60</v>
      </c>
      <c r="D2807" s="306"/>
      <c r="E2807" s="421">
        <v>9</v>
      </c>
      <c r="F2807" s="421"/>
      <c r="G2807" s="417" t="s">
        <v>2133</v>
      </c>
      <c r="H2807" s="598">
        <v>14178474</v>
      </c>
      <c r="I2807" s="322" t="s">
        <v>1976</v>
      </c>
      <c r="J2807" s="418"/>
      <c r="K2807" s="248"/>
      <c r="M2807" s="366"/>
      <c r="AF2807">
        <v>9</v>
      </c>
    </row>
    <row r="2808" spans="1:32" x14ac:dyDescent="0.25">
      <c r="A2808" s="308">
        <v>45550</v>
      </c>
      <c r="B2808" s="416">
        <v>1100759</v>
      </c>
      <c r="C2808" s="413" t="str">
        <f>IFERROR(INDEX(Table14[],MATCH($B2808,Table14[SAPNo],0),3),"")</f>
        <v>1913 CT421 0.018"</v>
      </c>
      <c r="D2808" s="306"/>
      <c r="E2808" s="421">
        <v>18</v>
      </c>
      <c r="F2808" s="421"/>
      <c r="G2808" s="417" t="s">
        <v>2133</v>
      </c>
      <c r="H2808" s="598">
        <v>14178474</v>
      </c>
      <c r="I2808" s="322" t="s">
        <v>1976</v>
      </c>
      <c r="J2808" s="418"/>
      <c r="K2808" s="248"/>
      <c r="M2808" s="366"/>
      <c r="AF2808">
        <v>18</v>
      </c>
    </row>
    <row r="2809" spans="1:32" x14ac:dyDescent="0.25">
      <c r="A2809" s="308">
        <v>45552</v>
      </c>
      <c r="B2809" s="416">
        <v>717748</v>
      </c>
      <c r="C2809" s="413" t="str">
        <f>IFERROR(INDEX(Table14[],MATCH($B2809,Table14[SAPNo],0),3),"")</f>
        <v>Round 1010 CT200  0.018" (B)</v>
      </c>
      <c r="D2809" s="306"/>
      <c r="E2809" s="421"/>
      <c r="F2809" s="421"/>
      <c r="G2809" s="417">
        <v>20241145</v>
      </c>
      <c r="H2809" s="598" t="s">
        <v>2134</v>
      </c>
      <c r="I2809" s="322" t="s">
        <v>1069</v>
      </c>
      <c r="J2809" s="418">
        <v>3</v>
      </c>
      <c r="K2809" s="248"/>
      <c r="M2809" s="366"/>
    </row>
    <row r="2810" spans="1:32" x14ac:dyDescent="0.25">
      <c r="A2810" s="308">
        <v>45553</v>
      </c>
      <c r="B2810" s="416">
        <v>418525</v>
      </c>
      <c r="C2810" s="413" t="str">
        <f>IFERROR(INDEX(Table14[],MATCH($B2810,Table14[SAPNo],0),3),"")</f>
        <v>Drop In 1308 CT31   (B)</v>
      </c>
      <c r="D2810" s="306"/>
      <c r="E2810" s="421">
        <v>2</v>
      </c>
      <c r="F2810" s="421"/>
      <c r="G2810" s="417" t="s">
        <v>2135</v>
      </c>
      <c r="H2810" s="598">
        <v>14144633</v>
      </c>
      <c r="I2810" s="322" t="s">
        <v>2136</v>
      </c>
      <c r="J2810" s="418"/>
      <c r="K2810" s="248"/>
      <c r="M2810" s="366"/>
      <c r="AF2810">
        <v>2</v>
      </c>
    </row>
    <row r="2811" spans="1:32" x14ac:dyDescent="0.25">
      <c r="A2811" s="308">
        <v>45553</v>
      </c>
      <c r="B2811" s="416">
        <v>1146737</v>
      </c>
      <c r="C2811" s="413" t="str">
        <f>IFERROR(INDEX(Table14[],MATCH($B2811,Table14[SAPNo],0),3),"")</f>
        <v>1613 CT418 18-60</v>
      </c>
      <c r="D2811" s="306"/>
      <c r="E2811" s="421">
        <v>3</v>
      </c>
      <c r="F2811" s="421"/>
      <c r="G2811" s="417" t="s">
        <v>2135</v>
      </c>
      <c r="H2811" s="598">
        <v>14144633</v>
      </c>
      <c r="I2811" s="322" t="s">
        <v>2136</v>
      </c>
      <c r="J2811" s="418"/>
      <c r="K2811" s="248"/>
      <c r="M2811" s="366"/>
      <c r="AF2811">
        <v>3</v>
      </c>
    </row>
    <row r="2812" spans="1:32" x14ac:dyDescent="0.25">
      <c r="A2812" s="308">
        <v>45554</v>
      </c>
      <c r="B2812" s="416">
        <v>871781</v>
      </c>
      <c r="C2812" s="413" t="str">
        <f>IFERROR(INDEX(Table14[],MATCH($B2812,Table14[SAPNo],0),3),"")</f>
        <v>Round 1313 CT200  0.018" (B)</v>
      </c>
      <c r="D2812" s="306"/>
      <c r="E2812" s="421">
        <v>6</v>
      </c>
      <c r="F2812" s="421"/>
      <c r="G2812" s="417" t="s">
        <v>2137</v>
      </c>
      <c r="H2812" s="598">
        <v>14228454</v>
      </c>
      <c r="I2812" s="322" t="s">
        <v>2043</v>
      </c>
      <c r="J2812" s="418"/>
      <c r="K2812" s="248"/>
      <c r="M2812" s="366"/>
      <c r="AF2812">
        <v>6</v>
      </c>
    </row>
    <row r="2813" spans="1:32" x14ac:dyDescent="0.25">
      <c r="A2813" s="308">
        <v>45554</v>
      </c>
      <c r="B2813" s="416">
        <v>647435</v>
      </c>
      <c r="C2813" s="413" t="str">
        <f>IFERROR(INDEX(Table14[],MATCH($B2813,Table14[SAPNo],0),3),"")</f>
        <v>Round 1608 CT200  0.018" (B)</v>
      </c>
      <c r="D2813" s="306"/>
      <c r="E2813" s="421">
        <v>23</v>
      </c>
      <c r="F2813" s="421"/>
      <c r="G2813" s="417" t="s">
        <v>2137</v>
      </c>
      <c r="H2813" s="598">
        <v>14228454</v>
      </c>
      <c r="I2813" s="322" t="s">
        <v>2043</v>
      </c>
      <c r="J2813" s="418"/>
      <c r="K2813" s="248"/>
      <c r="M2813" s="366"/>
      <c r="AF2813">
        <v>23</v>
      </c>
    </row>
    <row r="2814" spans="1:32" x14ac:dyDescent="0.25">
      <c r="A2814" s="308">
        <v>45554</v>
      </c>
      <c r="B2814" s="416">
        <v>1130198</v>
      </c>
      <c r="C2814" s="413" t="str">
        <f>IFERROR(INDEX(Table14[],MATCH($B2814,Table14[SAPNo],0),3),"")</f>
        <v>Round 1613 CT182  0.018" (S)</v>
      </c>
      <c r="D2814" s="306"/>
      <c r="E2814" s="421">
        <v>0</v>
      </c>
      <c r="F2814" s="421"/>
      <c r="G2814" s="417" t="s">
        <v>2138</v>
      </c>
      <c r="H2814" s="598">
        <v>14228454</v>
      </c>
      <c r="I2814" s="322" t="s">
        <v>2043</v>
      </c>
      <c r="J2814" s="418"/>
      <c r="K2814" s="248" t="s">
        <v>2103</v>
      </c>
      <c r="M2814" s="366"/>
      <c r="AF2814">
        <v>0</v>
      </c>
    </row>
    <row r="2815" spans="1:32" x14ac:dyDescent="0.25">
      <c r="A2815" s="308">
        <v>45554</v>
      </c>
      <c r="B2815" s="416">
        <v>871781</v>
      </c>
      <c r="C2815" s="413" t="str">
        <f>IFERROR(INDEX(Table14[],MATCH($B2815,Table14[SAPNo],0),3),"")</f>
        <v>Round 1313 CT200  0.018" (B)</v>
      </c>
      <c r="D2815" s="306"/>
      <c r="E2815" s="421">
        <v>6</v>
      </c>
      <c r="F2815" s="421"/>
      <c r="G2815" s="417" t="s">
        <v>2139</v>
      </c>
      <c r="H2815" s="598">
        <v>14228455</v>
      </c>
      <c r="I2815" s="322" t="s">
        <v>2043</v>
      </c>
      <c r="J2815" s="418"/>
      <c r="K2815" s="248"/>
      <c r="M2815" s="366"/>
      <c r="AF2815">
        <v>6</v>
      </c>
    </row>
    <row r="2816" spans="1:32" x14ac:dyDescent="0.25">
      <c r="A2816" s="308">
        <v>45554</v>
      </c>
      <c r="B2816" s="416">
        <v>647435</v>
      </c>
      <c r="C2816" s="413" t="str">
        <f>IFERROR(INDEX(Table14[],MATCH($B2816,Table14[SAPNo],0),3),"")</f>
        <v>Round 1608 CT200  0.018" (B)</v>
      </c>
      <c r="D2816" s="306"/>
      <c r="E2816" s="421">
        <v>23</v>
      </c>
      <c r="F2816" s="421"/>
      <c r="G2816" s="417" t="s">
        <v>2139</v>
      </c>
      <c r="H2816" s="598">
        <v>14228455</v>
      </c>
      <c r="I2816" s="322" t="s">
        <v>2043</v>
      </c>
      <c r="J2816" s="418"/>
      <c r="K2816" s="248"/>
      <c r="M2816" s="366"/>
      <c r="AF2816">
        <v>23</v>
      </c>
    </row>
    <row r="2817" spans="1:32" x14ac:dyDescent="0.25">
      <c r="A2817" s="320">
        <v>45554</v>
      </c>
      <c r="B2817" s="419">
        <v>1130198</v>
      </c>
      <c r="C2817" s="413" t="str">
        <f>IFERROR(INDEX(Table14[],MATCH($B2817,Table14[SAPNo],0),3),"")</f>
        <v>Round 1613 CT182  0.018" (S)</v>
      </c>
      <c r="D2817" s="306"/>
      <c r="E2817" s="421">
        <v>0</v>
      </c>
      <c r="F2817" s="421"/>
      <c r="G2817" s="420" t="s">
        <v>2140</v>
      </c>
      <c r="H2817" s="599">
        <v>14228455</v>
      </c>
      <c r="I2817" s="322" t="s">
        <v>2043</v>
      </c>
      <c r="J2817" s="421"/>
      <c r="K2817" s="248" t="s">
        <v>2103</v>
      </c>
      <c r="M2817" s="366"/>
      <c r="AF2817">
        <v>0</v>
      </c>
    </row>
    <row r="2818" spans="1:32" x14ac:dyDescent="0.25">
      <c r="A2818" s="308">
        <v>45557</v>
      </c>
      <c r="B2818" s="416">
        <v>717748</v>
      </c>
      <c r="C2818" s="413" t="str">
        <f>IFERROR(INDEX(Table14[],MATCH($B2818,Table14[SAPNo],0),3),"")</f>
        <v>Round 1010 CT200  0.018" (B)</v>
      </c>
      <c r="D2818" s="306"/>
      <c r="E2818" s="421"/>
      <c r="F2818" s="421"/>
      <c r="G2818" s="417">
        <v>20241151</v>
      </c>
      <c r="H2818" s="598" t="s">
        <v>2141</v>
      </c>
      <c r="I2818" s="322" t="s">
        <v>1069</v>
      </c>
      <c r="J2818" s="418">
        <v>6</v>
      </c>
      <c r="K2818" s="248"/>
      <c r="M2818" s="422"/>
    </row>
    <row r="2819" spans="1:32" x14ac:dyDescent="0.25">
      <c r="A2819" s="308">
        <v>45557</v>
      </c>
      <c r="B2819" s="416">
        <v>1209332</v>
      </c>
      <c r="C2819" s="413" t="str">
        <f>IFERROR(INDEX(Table14[],MATCH($B2819,Table14[SAPNo],0),3),"")</f>
        <v>1313 CT147G U</v>
      </c>
      <c r="D2819" s="306"/>
      <c r="E2819" s="421"/>
      <c r="F2819" s="421"/>
      <c r="G2819" s="417">
        <v>20241152</v>
      </c>
      <c r="H2819" s="598" t="s">
        <v>2142</v>
      </c>
      <c r="I2819" s="322" t="s">
        <v>1781</v>
      </c>
      <c r="J2819" s="418">
        <v>1</v>
      </c>
      <c r="K2819" s="248"/>
      <c r="M2819" s="366"/>
    </row>
    <row r="2820" spans="1:32" x14ac:dyDescent="0.25">
      <c r="A2820" s="308">
        <v>45557</v>
      </c>
      <c r="B2820" s="416">
        <v>1145493</v>
      </c>
      <c r="C2820" s="413" t="str">
        <f>IFERROR(INDEX(Table14[],MATCH($B2820,Table14[SAPNo],0),3),"")</f>
        <v>Round 1313 CT427  10C (S)</v>
      </c>
      <c r="D2820" s="306"/>
      <c r="E2820" s="421"/>
      <c r="F2820" s="421"/>
      <c r="G2820" s="417">
        <v>20241152</v>
      </c>
      <c r="H2820" s="598" t="s">
        <v>2142</v>
      </c>
      <c r="I2820" s="322" t="s">
        <v>1781</v>
      </c>
      <c r="J2820" s="418">
        <v>4</v>
      </c>
      <c r="K2820" s="248"/>
      <c r="M2820" s="366"/>
    </row>
    <row r="2821" spans="1:32" x14ac:dyDescent="0.25">
      <c r="A2821" s="308">
        <v>45557</v>
      </c>
      <c r="B2821" s="416">
        <v>418525</v>
      </c>
      <c r="C2821" s="413" t="str">
        <f>IFERROR(INDEX(Table14[],MATCH($B2821,Table14[SAPNo],0),3),"")</f>
        <v>Drop In 1308 CT31   (B)</v>
      </c>
      <c r="D2821" s="306"/>
      <c r="E2821" s="421">
        <v>9</v>
      </c>
      <c r="F2821" s="421"/>
      <c r="G2821" s="417" t="s">
        <v>2143</v>
      </c>
      <c r="H2821" s="598">
        <v>12964024</v>
      </c>
      <c r="I2821" s="322" t="s">
        <v>2144</v>
      </c>
      <c r="J2821" s="418"/>
      <c r="K2821" s="248"/>
      <c r="M2821" s="366"/>
      <c r="AF2821">
        <v>9</v>
      </c>
    </row>
    <row r="2822" spans="1:32" x14ac:dyDescent="0.25">
      <c r="A2822" s="308">
        <v>45557</v>
      </c>
      <c r="B2822" s="416">
        <v>418525</v>
      </c>
      <c r="C2822" s="413" t="str">
        <f>IFERROR(INDEX(Table14[],MATCH($B2822,Table14[SAPNo],0),3),"")</f>
        <v>Drop In 1308 CT31   (B)</v>
      </c>
      <c r="D2822" s="306"/>
      <c r="E2822" s="421">
        <v>1</v>
      </c>
      <c r="F2822" s="421"/>
      <c r="G2822" s="417">
        <v>20241152</v>
      </c>
      <c r="H2822" s="598" t="s">
        <v>2142</v>
      </c>
      <c r="I2822" s="322" t="s">
        <v>1781</v>
      </c>
      <c r="J2822" s="418"/>
      <c r="K2822" s="248"/>
      <c r="M2822" s="366"/>
      <c r="AF2822">
        <v>1</v>
      </c>
    </row>
    <row r="2823" spans="1:32" x14ac:dyDescent="0.25">
      <c r="A2823" s="308">
        <v>45559</v>
      </c>
      <c r="B2823" s="416">
        <v>717751</v>
      </c>
      <c r="C2823" s="413" t="str">
        <f>IFERROR(INDEX(Table14[],MATCH($B2823,Table14[SAPNo],0),3),"")</f>
        <v>Round 1308 CT200  0.018" (B)</v>
      </c>
      <c r="D2823" s="306"/>
      <c r="E2823" s="421">
        <v>13</v>
      </c>
      <c r="F2823" s="421"/>
      <c r="G2823" s="417" t="s">
        <v>2145</v>
      </c>
      <c r="H2823" s="598">
        <v>14167830</v>
      </c>
      <c r="I2823" s="322" t="s">
        <v>2146</v>
      </c>
      <c r="J2823" s="418"/>
      <c r="K2823" s="248"/>
      <c r="M2823" s="366"/>
      <c r="AF2823">
        <v>13</v>
      </c>
    </row>
    <row r="2824" spans="1:32" x14ac:dyDescent="0.25">
      <c r="A2824" s="308">
        <v>45559</v>
      </c>
      <c r="B2824" s="416">
        <v>1104086</v>
      </c>
      <c r="C2824" s="413" t="str">
        <f>IFERROR(INDEX(Table14[],MATCH($B2824,Table14[SAPNo],0),3),"")</f>
        <v xml:space="preserve"> 1613 CT144H  0.018 ()</v>
      </c>
      <c r="D2824" s="306"/>
      <c r="E2824" s="421">
        <v>1</v>
      </c>
      <c r="F2824" s="421"/>
      <c r="G2824" s="417" t="s">
        <v>2145</v>
      </c>
      <c r="H2824" s="598">
        <v>14167830</v>
      </c>
      <c r="I2824" s="322" t="s">
        <v>2146</v>
      </c>
      <c r="J2824" s="418"/>
      <c r="K2824" s="248"/>
      <c r="M2824" s="366"/>
      <c r="AF2824">
        <v>1</v>
      </c>
    </row>
    <row r="2825" spans="1:32" x14ac:dyDescent="0.25">
      <c r="A2825" s="308">
        <v>45559</v>
      </c>
      <c r="B2825" s="416">
        <v>1130198</v>
      </c>
      <c r="C2825" s="413" t="str">
        <f>IFERROR(INDEX(Table14[],MATCH($B2825,Table14[SAPNo],0),3),"")</f>
        <v>Round 1613 CT182  0.018" (S)</v>
      </c>
      <c r="D2825" s="306"/>
      <c r="E2825" s="421"/>
      <c r="F2825" s="421"/>
      <c r="G2825" s="417" t="s">
        <v>2147</v>
      </c>
      <c r="H2825" s="598">
        <v>14167830</v>
      </c>
      <c r="I2825" s="322" t="s">
        <v>2146</v>
      </c>
      <c r="J2825" s="418"/>
      <c r="K2825" s="248" t="s">
        <v>2148</v>
      </c>
      <c r="M2825" s="366"/>
    </row>
    <row r="2826" spans="1:32" x14ac:dyDescent="0.25">
      <c r="A2826" s="308">
        <v>45559</v>
      </c>
      <c r="B2826" s="416">
        <v>418525</v>
      </c>
      <c r="C2826" s="413" t="str">
        <f>IFERROR(INDEX(Table14[],MATCH($B2826,Table14[SAPNo],0),3),"")</f>
        <v>Drop In 1308 CT31   (B)</v>
      </c>
      <c r="D2826" s="306"/>
      <c r="E2826" s="421">
        <v>5</v>
      </c>
      <c r="F2826" s="421"/>
      <c r="G2826" s="417" t="s">
        <v>2145</v>
      </c>
      <c r="H2826" s="598">
        <v>14167830</v>
      </c>
      <c r="I2826" s="322" t="s">
        <v>2146</v>
      </c>
      <c r="J2826" s="418"/>
      <c r="K2826" s="248"/>
      <c r="M2826" s="366"/>
      <c r="AF2826">
        <v>5</v>
      </c>
    </row>
    <row r="2827" spans="1:32" x14ac:dyDescent="0.25">
      <c r="A2827" s="308">
        <v>45559</v>
      </c>
      <c r="B2827" s="416">
        <v>871781</v>
      </c>
      <c r="C2827" s="413" t="str">
        <f>IFERROR(INDEX(Table14[],MATCH($B2827,Table14[SAPNo],0),3),"")</f>
        <v>Round 1313 CT200  0.018" (B)</v>
      </c>
      <c r="D2827" s="306"/>
      <c r="E2827" s="421">
        <v>1</v>
      </c>
      <c r="F2827" s="421"/>
      <c r="G2827" s="417" t="s">
        <v>2149</v>
      </c>
      <c r="H2827" s="598">
        <v>14178474</v>
      </c>
      <c r="I2827" s="322" t="s">
        <v>1976</v>
      </c>
      <c r="J2827" s="418"/>
      <c r="K2827" s="248"/>
      <c r="M2827" s="366"/>
      <c r="AF2827">
        <v>1</v>
      </c>
    </row>
    <row r="2828" spans="1:32" x14ac:dyDescent="0.25">
      <c r="A2828" s="308">
        <v>45559</v>
      </c>
      <c r="B2828" s="416">
        <v>708306</v>
      </c>
      <c r="C2828" s="413" t="str">
        <f>IFERROR(INDEX(Table14[],MATCH($B2828,Table14[SAPNo],0),3),"")</f>
        <v>Round 1913 CT200  0.018" (B)</v>
      </c>
      <c r="D2828" s="306"/>
      <c r="E2828" s="421">
        <v>1</v>
      </c>
      <c r="F2828" s="421"/>
      <c r="G2828" s="417" t="s">
        <v>2149</v>
      </c>
      <c r="H2828" s="598">
        <v>14178474</v>
      </c>
      <c r="I2828" s="322" t="s">
        <v>1976</v>
      </c>
      <c r="J2828" s="418"/>
      <c r="K2828" s="248"/>
      <c r="M2828" s="366"/>
      <c r="AF2828">
        <v>1</v>
      </c>
    </row>
    <row r="2829" spans="1:32" x14ac:dyDescent="0.25">
      <c r="A2829" s="308">
        <v>45559</v>
      </c>
      <c r="B2829" s="416">
        <v>717748</v>
      </c>
      <c r="C2829" s="413" t="str">
        <f>IFERROR(INDEX(Table14[],MATCH($B2829,Table14[SAPNo],0),3),"")</f>
        <v>Round 1010 CT200  0.018" (B)</v>
      </c>
      <c r="D2829" s="306"/>
      <c r="E2829" s="421">
        <v>4</v>
      </c>
      <c r="F2829" s="421"/>
      <c r="G2829" s="417" t="s">
        <v>2150</v>
      </c>
      <c r="H2829" s="598">
        <v>14211927</v>
      </c>
      <c r="I2829" s="322" t="s">
        <v>1069</v>
      </c>
      <c r="J2829" s="418"/>
      <c r="K2829" s="248"/>
      <c r="M2829" s="366"/>
      <c r="AF2829">
        <v>4</v>
      </c>
    </row>
    <row r="2830" spans="1:32" x14ac:dyDescent="0.25">
      <c r="A2830" s="308">
        <v>45559</v>
      </c>
      <c r="B2830" s="416">
        <v>717748</v>
      </c>
      <c r="C2830" s="413" t="str">
        <f>IFERROR(INDEX(Table14[],MATCH($B2830,Table14[SAPNo],0),3),"")</f>
        <v>Round 1010 CT200  0.018" (B)</v>
      </c>
      <c r="D2830" s="306"/>
      <c r="E2830" s="421">
        <v>1</v>
      </c>
      <c r="F2830" s="421"/>
      <c r="G2830" s="417" t="s">
        <v>2151</v>
      </c>
      <c r="H2830" s="598">
        <v>14012924</v>
      </c>
      <c r="I2830" s="322" t="s">
        <v>2152</v>
      </c>
      <c r="J2830" s="418"/>
      <c r="K2830" s="248"/>
      <c r="M2830" s="366"/>
      <c r="AF2830">
        <v>1</v>
      </c>
    </row>
    <row r="2831" spans="1:32" x14ac:dyDescent="0.25">
      <c r="A2831" s="320">
        <v>45559</v>
      </c>
      <c r="B2831" s="419">
        <v>717748</v>
      </c>
      <c r="C2831" s="413" t="str">
        <f>IFERROR(INDEX(Table14[],MATCH($B2831,Table14[SAPNo],0),3),"")</f>
        <v>Round 1010 CT200  0.018" (B)</v>
      </c>
      <c r="D2831" s="306"/>
      <c r="E2831" s="421">
        <v>4</v>
      </c>
      <c r="F2831" s="421"/>
      <c r="G2831" s="420" t="s">
        <v>2153</v>
      </c>
      <c r="H2831" s="599" t="s">
        <v>2154</v>
      </c>
      <c r="I2831" s="322" t="s">
        <v>1069</v>
      </c>
      <c r="J2831" s="421"/>
      <c r="K2831" s="422"/>
      <c r="M2831" s="366"/>
      <c r="AF2831">
        <v>4</v>
      </c>
    </row>
    <row r="2832" spans="1:32" x14ac:dyDescent="0.25">
      <c r="A2832" s="308">
        <v>45561</v>
      </c>
      <c r="B2832" s="416">
        <v>971055</v>
      </c>
      <c r="C2832" s="413" t="str">
        <f>IFERROR(INDEX(Table14[],MATCH($B2832,Table14[SAPNo],0),3),"")</f>
        <v>MED Bullet 10.5 CT217 MBL 0.018" (B)</v>
      </c>
      <c r="D2832" s="306"/>
      <c r="E2832" s="421"/>
      <c r="F2832" s="421"/>
      <c r="G2832" s="417">
        <v>20241157</v>
      </c>
      <c r="H2832" s="598" t="s">
        <v>2155</v>
      </c>
      <c r="I2832" s="322" t="s">
        <v>1112</v>
      </c>
      <c r="J2832" s="418">
        <v>2</v>
      </c>
      <c r="K2832" s="248"/>
      <c r="M2832" s="422"/>
    </row>
    <row r="2833" spans="1:32" x14ac:dyDescent="0.25">
      <c r="A2833" s="308">
        <v>45561</v>
      </c>
      <c r="B2833" s="416">
        <v>1209332</v>
      </c>
      <c r="C2833" s="413" t="str">
        <f>IFERROR(INDEX(Table14[],MATCH($B2833,Table14[SAPNo],0),3),"")</f>
        <v>1313 CT147G U</v>
      </c>
      <c r="D2833" s="306"/>
      <c r="E2833" s="421"/>
      <c r="F2833" s="421"/>
      <c r="G2833" s="417">
        <v>20241159</v>
      </c>
      <c r="H2833" s="598">
        <v>14198196</v>
      </c>
      <c r="I2833" s="322" t="s">
        <v>1781</v>
      </c>
      <c r="J2833" s="418">
        <v>1</v>
      </c>
      <c r="K2833" s="248"/>
      <c r="M2833" s="366"/>
    </row>
    <row r="2834" spans="1:32" x14ac:dyDescent="0.25">
      <c r="A2834" s="308">
        <v>45561</v>
      </c>
      <c r="B2834" s="416">
        <v>1145493</v>
      </c>
      <c r="C2834" s="413" t="str">
        <f>IFERROR(INDEX(Table14[],MATCH($B2834,Table14[SAPNo],0),3),"")</f>
        <v>Round 1313 CT427  10C (S)</v>
      </c>
      <c r="D2834" s="306"/>
      <c r="E2834" s="421"/>
      <c r="F2834" s="421"/>
      <c r="G2834" s="417">
        <v>20241133</v>
      </c>
      <c r="H2834" s="598" t="s">
        <v>2156</v>
      </c>
      <c r="I2834" s="322" t="s">
        <v>1115</v>
      </c>
      <c r="J2834" s="418"/>
      <c r="K2834" s="248"/>
      <c r="M2834" s="366"/>
    </row>
    <row r="2835" spans="1:32" x14ac:dyDescent="0.25">
      <c r="A2835" s="308">
        <v>45561</v>
      </c>
      <c r="B2835" s="416">
        <v>1209332</v>
      </c>
      <c r="C2835" s="413" t="str">
        <f>IFERROR(INDEX(Table14[],MATCH($B2835,Table14[SAPNo],0),3),"")</f>
        <v>1313 CT147G U</v>
      </c>
      <c r="D2835" s="306"/>
      <c r="E2835" s="421"/>
      <c r="F2835" s="421"/>
      <c r="G2835" s="417">
        <v>20241133</v>
      </c>
      <c r="H2835" s="598" t="s">
        <v>2156</v>
      </c>
      <c r="I2835" s="322" t="s">
        <v>1115</v>
      </c>
      <c r="J2835" s="418"/>
      <c r="K2835" s="248"/>
      <c r="M2835" s="366"/>
    </row>
    <row r="2836" spans="1:32" x14ac:dyDescent="0.25">
      <c r="A2836" s="320">
        <v>45561</v>
      </c>
      <c r="B2836" s="419">
        <v>703670</v>
      </c>
      <c r="C2836" s="413" t="str">
        <f>IFERROR(INDEX(Table14[],MATCH($B2836,Table14[SAPNo],0),3),"")</f>
        <v>Round 1313 CT200  10C (B)</v>
      </c>
      <c r="D2836" s="306"/>
      <c r="E2836" s="421"/>
      <c r="F2836" s="421"/>
      <c r="G2836" s="420">
        <v>20241133</v>
      </c>
      <c r="H2836" s="599" t="s">
        <v>2156</v>
      </c>
      <c r="I2836" s="322" t="s">
        <v>1115</v>
      </c>
      <c r="J2836" s="421"/>
      <c r="K2836" s="422"/>
      <c r="M2836" s="366"/>
    </row>
    <row r="2837" spans="1:32" x14ac:dyDescent="0.25">
      <c r="A2837" s="308">
        <v>45561</v>
      </c>
      <c r="B2837" s="416">
        <v>1145493</v>
      </c>
      <c r="C2837" s="413" t="str">
        <f>IFERROR(INDEX(Table14[],MATCH($B2837,Table14[SAPNo],0),3),"")</f>
        <v>Round 1313 CT427  10C (S)</v>
      </c>
      <c r="D2837" s="306"/>
      <c r="E2837" s="421"/>
      <c r="F2837" s="421"/>
      <c r="G2837" s="417">
        <v>20241156</v>
      </c>
      <c r="H2837" s="598" t="s">
        <v>2157</v>
      </c>
      <c r="I2837" s="322" t="s">
        <v>1322</v>
      </c>
      <c r="J2837" s="418">
        <v>1</v>
      </c>
      <c r="K2837" s="248"/>
      <c r="M2837" s="422"/>
    </row>
    <row r="2838" spans="1:32" x14ac:dyDescent="0.25">
      <c r="A2838" s="308">
        <v>45561</v>
      </c>
      <c r="B2838" s="416">
        <v>1145493</v>
      </c>
      <c r="C2838" s="413" t="str">
        <f>IFERROR(INDEX(Table14[],MATCH($B2838,Table14[SAPNo],0),3),"")</f>
        <v>Round 1313 CT427  10C (S)</v>
      </c>
      <c r="D2838" s="306"/>
      <c r="E2838" s="421"/>
      <c r="F2838" s="421"/>
      <c r="G2838" s="417">
        <v>20241155</v>
      </c>
      <c r="H2838" s="598" t="s">
        <v>2158</v>
      </c>
      <c r="I2838" s="322" t="s">
        <v>1322</v>
      </c>
      <c r="J2838" s="418">
        <v>4</v>
      </c>
      <c r="K2838" s="248"/>
      <c r="M2838" s="366"/>
    </row>
    <row r="2839" spans="1:32" x14ac:dyDescent="0.25">
      <c r="A2839" s="320">
        <v>45561</v>
      </c>
      <c r="B2839" s="419">
        <v>418525</v>
      </c>
      <c r="C2839" s="413" t="str">
        <f>IFERROR(INDEX(Table14[],MATCH($B2839,Table14[SAPNo],0),3),"")</f>
        <v>Drop In 1308 CT31   (B)</v>
      </c>
      <c r="D2839" s="306"/>
      <c r="E2839" s="421">
        <v>1</v>
      </c>
      <c r="F2839" s="421"/>
      <c r="G2839" s="420">
        <v>20241155</v>
      </c>
      <c r="H2839" s="599" t="s">
        <v>2158</v>
      </c>
      <c r="I2839" s="322" t="s">
        <v>1322</v>
      </c>
      <c r="J2839" s="421"/>
      <c r="K2839" s="422"/>
      <c r="M2839" s="366"/>
      <c r="AF2839">
        <v>1</v>
      </c>
    </row>
    <row r="2840" spans="1:32" x14ac:dyDescent="0.25">
      <c r="A2840" s="320">
        <v>45564</v>
      </c>
      <c r="B2840" s="419">
        <v>717748</v>
      </c>
      <c r="C2840" s="413" t="str">
        <f>IFERROR(INDEX(Table14[],MATCH($B2840,Table14[SAPNo],0),3),"")</f>
        <v>Round 1010 CT200  0.018" (B)</v>
      </c>
      <c r="D2840" s="306"/>
      <c r="E2840" s="421"/>
      <c r="F2840" s="421"/>
      <c r="G2840" s="420">
        <v>20241158</v>
      </c>
      <c r="H2840" s="599" t="s">
        <v>2159</v>
      </c>
      <c r="I2840" s="322" t="s">
        <v>1069</v>
      </c>
      <c r="J2840" s="421">
        <v>6</v>
      </c>
      <c r="K2840" s="422"/>
      <c r="M2840" s="473" t="s">
        <v>2160</v>
      </c>
    </row>
    <row r="2841" spans="1:32" x14ac:dyDescent="0.25">
      <c r="A2841" s="308">
        <v>45566</v>
      </c>
      <c r="B2841" s="416">
        <v>1100696</v>
      </c>
      <c r="C2841" s="413" t="str">
        <f>IFERROR(INDEX(Table14[],MATCH($B2841,Table14[SAPNo],0),3),"")</f>
        <v>Round 1313 CT418  10C (S)</v>
      </c>
      <c r="D2841" s="306"/>
      <c r="E2841" s="421"/>
      <c r="F2841" s="421"/>
      <c r="G2841" s="417" t="s">
        <v>2161</v>
      </c>
      <c r="H2841" s="598" t="s">
        <v>2162</v>
      </c>
      <c r="I2841" s="322" t="s">
        <v>1937</v>
      </c>
      <c r="J2841" s="418"/>
      <c r="K2841" s="248"/>
      <c r="M2841" s="422" t="s">
        <v>2163</v>
      </c>
    </row>
    <row r="2842" spans="1:32" x14ac:dyDescent="0.25">
      <c r="A2842" s="308">
        <v>45566</v>
      </c>
      <c r="B2842" s="416">
        <v>1100696</v>
      </c>
      <c r="C2842" s="413" t="str">
        <f>IFERROR(INDEX(Table14[],MATCH($B2842,Table14[SAPNo],0),3),"")</f>
        <v>Round 1313 CT418  10C (S)</v>
      </c>
      <c r="D2842" s="306"/>
      <c r="E2842" s="421"/>
      <c r="F2842" s="421"/>
      <c r="G2842" s="417">
        <v>20241161</v>
      </c>
      <c r="H2842" s="598" t="s">
        <v>2162</v>
      </c>
      <c r="I2842" s="322" t="s">
        <v>1937</v>
      </c>
      <c r="J2842" s="418">
        <v>2</v>
      </c>
      <c r="K2842" s="248"/>
      <c r="M2842" s="366"/>
    </row>
    <row r="2843" spans="1:32" x14ac:dyDescent="0.25">
      <c r="A2843" s="308">
        <v>45566</v>
      </c>
      <c r="B2843" s="416">
        <v>1146737</v>
      </c>
      <c r="C2843" s="413" t="str">
        <f>IFERROR(INDEX(Table14[],MATCH($B2843,Table14[SAPNo],0),3),"")</f>
        <v>1613 CT418 18-60</v>
      </c>
      <c r="D2843" s="306"/>
      <c r="E2843" s="421">
        <v>9</v>
      </c>
      <c r="F2843" s="421"/>
      <c r="G2843" s="417" t="s">
        <v>2164</v>
      </c>
      <c r="H2843" s="598">
        <v>14178475</v>
      </c>
      <c r="I2843" s="322" t="s">
        <v>1976</v>
      </c>
      <c r="J2843" s="418"/>
      <c r="K2843" s="248"/>
      <c r="M2843" s="366"/>
      <c r="AF2843">
        <v>9</v>
      </c>
    </row>
    <row r="2844" spans="1:32" x14ac:dyDescent="0.25">
      <c r="A2844" s="308">
        <v>45566</v>
      </c>
      <c r="B2844" s="416">
        <v>871781</v>
      </c>
      <c r="C2844" s="413" t="str">
        <f>IFERROR(INDEX(Table14[],MATCH($B2844,Table14[SAPNo],0),3),"")</f>
        <v>Round 1313 CT200  0.018" (B)</v>
      </c>
      <c r="D2844" s="306"/>
      <c r="E2844" s="421">
        <v>8</v>
      </c>
      <c r="F2844" s="421"/>
      <c r="G2844" s="417" t="s">
        <v>2164</v>
      </c>
      <c r="H2844" s="598">
        <v>14178475</v>
      </c>
      <c r="I2844" s="322" t="s">
        <v>1976</v>
      </c>
      <c r="J2844" s="418"/>
      <c r="K2844" s="248"/>
      <c r="M2844" s="366"/>
      <c r="AF2844">
        <v>8</v>
      </c>
    </row>
    <row r="2845" spans="1:32" x14ac:dyDescent="0.25">
      <c r="A2845" s="308">
        <v>45566</v>
      </c>
      <c r="B2845" s="416">
        <v>708306</v>
      </c>
      <c r="C2845" s="413" t="str">
        <f>IFERROR(INDEX(Table14[],MATCH($B2845,Table14[SAPNo],0),3),"")</f>
        <v>Round 1913 CT200  0.018" (B)</v>
      </c>
      <c r="D2845" s="306"/>
      <c r="E2845" s="421">
        <v>34</v>
      </c>
      <c r="F2845" s="421"/>
      <c r="G2845" s="417" t="s">
        <v>2164</v>
      </c>
      <c r="H2845" s="598">
        <v>14178475</v>
      </c>
      <c r="I2845" s="322" t="s">
        <v>1976</v>
      </c>
      <c r="J2845" s="418"/>
      <c r="K2845" s="248"/>
      <c r="M2845" s="366"/>
      <c r="AF2845">
        <v>34</v>
      </c>
    </row>
    <row r="2846" spans="1:32" x14ac:dyDescent="0.25">
      <c r="A2846" s="308">
        <v>45566</v>
      </c>
      <c r="B2846" s="416">
        <v>1100759</v>
      </c>
      <c r="C2846" s="413" t="str">
        <f>IFERROR(INDEX(Table14[],MATCH($B2846,Table14[SAPNo],0),3),"")</f>
        <v>1913 CT421 0.018"</v>
      </c>
      <c r="D2846" s="306"/>
      <c r="E2846" s="421">
        <v>18</v>
      </c>
      <c r="F2846" s="421"/>
      <c r="G2846" s="417" t="s">
        <v>2164</v>
      </c>
      <c r="H2846" s="598">
        <v>14178475</v>
      </c>
      <c r="I2846" s="322" t="s">
        <v>1976</v>
      </c>
      <c r="J2846" s="418"/>
      <c r="K2846" s="248"/>
      <c r="M2846" s="366"/>
      <c r="AF2846">
        <v>18</v>
      </c>
    </row>
    <row r="2847" spans="1:32" x14ac:dyDescent="0.25">
      <c r="A2847" s="308">
        <v>45566</v>
      </c>
      <c r="B2847" s="416">
        <v>1250971</v>
      </c>
      <c r="C2847" s="413" t="str">
        <f>IFERROR(INDEX(Table14[],MATCH($B2847,Table14[SAPNo],0),3),"")</f>
        <v>1913 CT164R U</v>
      </c>
      <c r="D2847" s="306"/>
      <c r="E2847" s="421">
        <v>30</v>
      </c>
      <c r="F2847" s="421"/>
      <c r="G2847" s="417" t="s">
        <v>2164</v>
      </c>
      <c r="H2847" s="598">
        <v>14178475</v>
      </c>
      <c r="I2847" s="322" t="s">
        <v>1976</v>
      </c>
      <c r="J2847" s="418"/>
      <c r="K2847" s="248"/>
      <c r="M2847" s="366"/>
      <c r="AF2847">
        <v>30</v>
      </c>
    </row>
    <row r="2848" spans="1:32" x14ac:dyDescent="0.25">
      <c r="A2848" s="308">
        <v>45566</v>
      </c>
      <c r="B2848" s="416">
        <v>882800</v>
      </c>
      <c r="C2848" s="413" t="str">
        <f>IFERROR(INDEX(Table14[],MATCH($B2848,Table14[SAPNo],0),3),"")</f>
        <v>Round 0808 CT80  0.018" (B)</v>
      </c>
      <c r="D2848" s="306"/>
      <c r="E2848" s="421">
        <v>10</v>
      </c>
      <c r="F2848" s="421"/>
      <c r="G2848" s="417" t="s">
        <v>2165</v>
      </c>
      <c r="H2848" s="598">
        <v>14211855</v>
      </c>
      <c r="I2848" s="322" t="s">
        <v>1199</v>
      </c>
      <c r="J2848" s="418"/>
      <c r="K2848" s="248"/>
      <c r="M2848" s="366"/>
      <c r="AF2848">
        <v>10</v>
      </c>
    </row>
    <row r="2849" spans="1:32" x14ac:dyDescent="0.25">
      <c r="A2849" s="308">
        <v>45566</v>
      </c>
      <c r="B2849" s="416">
        <v>1199261</v>
      </c>
      <c r="C2849" s="413" t="str">
        <f>IFERROR(INDEX(Table14[],MATCH($B2849,Table14[SAPNo],0),3),"")</f>
        <v>1010 CT158 0.018"</v>
      </c>
      <c r="D2849" s="306"/>
      <c r="E2849" s="421">
        <v>2</v>
      </c>
      <c r="F2849" s="421"/>
      <c r="G2849" s="417" t="s">
        <v>2165</v>
      </c>
      <c r="H2849" s="598">
        <v>14211855</v>
      </c>
      <c r="I2849" s="322" t="s">
        <v>1199</v>
      </c>
      <c r="J2849" s="418"/>
      <c r="K2849" s="248"/>
      <c r="M2849" s="366"/>
      <c r="AF2849">
        <v>2</v>
      </c>
    </row>
    <row r="2850" spans="1:32" x14ac:dyDescent="0.25">
      <c r="A2850" s="308">
        <v>45566</v>
      </c>
      <c r="B2850" s="416">
        <v>1130194</v>
      </c>
      <c r="C2850" s="413" t="str">
        <f>IFERROR(INDEX(Table14[],MATCH($B2850,Table14[SAPNo],0),3),"")</f>
        <v>1010 CT182 18C</v>
      </c>
      <c r="D2850" s="306"/>
      <c r="E2850" s="421">
        <v>24</v>
      </c>
      <c r="F2850" s="421"/>
      <c r="G2850" s="417" t="s">
        <v>2165</v>
      </c>
      <c r="H2850" s="598">
        <v>14211855</v>
      </c>
      <c r="I2850" s="322" t="s">
        <v>1199</v>
      </c>
      <c r="J2850" s="418"/>
      <c r="K2850" s="248"/>
      <c r="M2850" s="366"/>
      <c r="AF2850">
        <v>24</v>
      </c>
    </row>
    <row r="2851" spans="1:32" x14ac:dyDescent="0.25">
      <c r="A2851" s="308">
        <v>45566</v>
      </c>
      <c r="B2851" s="416">
        <v>1130193</v>
      </c>
      <c r="C2851" s="413" t="str">
        <f>IFERROR(INDEX(Table14[],MATCH($B2851,Table14[SAPNo],0),3),"")</f>
        <v xml:space="preserve"> 1005 CT182  0.018 (S)</v>
      </c>
      <c r="D2851" s="306"/>
      <c r="E2851" s="421">
        <v>8</v>
      </c>
      <c r="F2851" s="421"/>
      <c r="G2851" s="417" t="s">
        <v>2165</v>
      </c>
      <c r="H2851" s="598">
        <v>14211855</v>
      </c>
      <c r="I2851" s="322" t="s">
        <v>1199</v>
      </c>
      <c r="J2851" s="418"/>
      <c r="K2851" s="248"/>
      <c r="M2851" s="366"/>
      <c r="AF2851">
        <v>8</v>
      </c>
    </row>
    <row r="2852" spans="1:32" x14ac:dyDescent="0.25">
      <c r="A2852" s="308">
        <v>45566</v>
      </c>
      <c r="B2852" s="416">
        <v>418525</v>
      </c>
      <c r="C2852" s="413" t="str">
        <f>IFERROR(INDEX(Table14[],MATCH($B2852,Table14[SAPNo],0),3),"")</f>
        <v>Drop In 1308 CT31   (B)</v>
      </c>
      <c r="D2852" s="306"/>
      <c r="E2852" s="421">
        <v>10</v>
      </c>
      <c r="F2852" s="421"/>
      <c r="G2852" s="417" t="s">
        <v>2166</v>
      </c>
      <c r="H2852" s="598">
        <v>14228443</v>
      </c>
      <c r="I2852" s="322" t="s">
        <v>1552</v>
      </c>
      <c r="J2852" s="418"/>
      <c r="K2852" s="248"/>
      <c r="M2852" s="366"/>
      <c r="AF2852">
        <v>10</v>
      </c>
    </row>
    <row r="2853" spans="1:32" x14ac:dyDescent="0.25">
      <c r="A2853" s="308">
        <v>45566</v>
      </c>
      <c r="B2853" s="416">
        <v>1100696</v>
      </c>
      <c r="C2853" s="413" t="str">
        <f>IFERROR(INDEX(Table14[],MATCH($B2853,Table14[SAPNo],0),3),"")</f>
        <v>Round 1313 CT418  10C (S)</v>
      </c>
      <c r="D2853" s="306"/>
      <c r="E2853" s="421">
        <v>17</v>
      </c>
      <c r="F2853" s="421"/>
      <c r="G2853" s="417" t="s">
        <v>2166</v>
      </c>
      <c r="H2853" s="598">
        <v>14228443</v>
      </c>
      <c r="I2853" s="322" t="s">
        <v>1552</v>
      </c>
      <c r="J2853" s="418"/>
      <c r="K2853" s="248"/>
      <c r="M2853" s="366"/>
      <c r="AF2853">
        <v>17</v>
      </c>
    </row>
    <row r="2854" spans="1:32" x14ac:dyDescent="0.25">
      <c r="A2854" s="308">
        <v>45566</v>
      </c>
      <c r="B2854" s="416">
        <v>1146346</v>
      </c>
      <c r="C2854" s="413" t="str">
        <f>IFERROR(INDEX(Table14[],MATCH($B2854,Table14[SAPNo],0),3),"")</f>
        <v>1313 CT418 18-60</v>
      </c>
      <c r="D2854" s="306"/>
      <c r="E2854" s="421">
        <v>6</v>
      </c>
      <c r="F2854" s="421"/>
      <c r="G2854" s="417" t="s">
        <v>2166</v>
      </c>
      <c r="H2854" s="598">
        <v>14228443</v>
      </c>
      <c r="I2854" s="322" t="s">
        <v>1552</v>
      </c>
      <c r="J2854" s="418"/>
      <c r="K2854" s="248"/>
      <c r="M2854" s="366"/>
      <c r="AF2854">
        <v>6</v>
      </c>
    </row>
    <row r="2855" spans="1:32" x14ac:dyDescent="0.25">
      <c r="A2855" s="308">
        <v>45566</v>
      </c>
      <c r="B2855" s="416">
        <v>1146346</v>
      </c>
      <c r="C2855" s="413" t="str">
        <f>IFERROR(INDEX(Table14[],MATCH($B2855,Table14[SAPNo],0),3),"")</f>
        <v>1313 CT418 18-60</v>
      </c>
      <c r="D2855" s="306"/>
      <c r="E2855" s="421">
        <v>6</v>
      </c>
      <c r="F2855" s="421"/>
      <c r="G2855" s="417" t="s">
        <v>2167</v>
      </c>
      <c r="H2855" s="598">
        <v>14228444</v>
      </c>
      <c r="I2855" s="322" t="s">
        <v>1552</v>
      </c>
      <c r="J2855" s="418"/>
      <c r="K2855" s="248"/>
      <c r="M2855" s="366"/>
      <c r="AF2855">
        <v>6</v>
      </c>
    </row>
    <row r="2856" spans="1:32" x14ac:dyDescent="0.25">
      <c r="A2856" s="308">
        <v>45566</v>
      </c>
      <c r="B2856" s="416">
        <v>418525</v>
      </c>
      <c r="C2856" s="413" t="str">
        <f>IFERROR(INDEX(Table14[],MATCH($B2856,Table14[SAPNo],0),3),"")</f>
        <v>Drop In 1308 CT31   (B)</v>
      </c>
      <c r="D2856" s="306"/>
      <c r="E2856" s="421">
        <v>10</v>
      </c>
      <c r="F2856" s="421"/>
      <c r="G2856" s="417" t="s">
        <v>2167</v>
      </c>
      <c r="H2856" s="598">
        <v>14228444</v>
      </c>
      <c r="I2856" s="322" t="s">
        <v>1552</v>
      </c>
      <c r="J2856" s="418"/>
      <c r="K2856" s="248"/>
      <c r="M2856" s="366"/>
      <c r="AF2856">
        <v>10</v>
      </c>
    </row>
    <row r="2857" spans="1:32" x14ac:dyDescent="0.25">
      <c r="A2857" s="308">
        <v>45566</v>
      </c>
      <c r="B2857" s="416">
        <v>1100696</v>
      </c>
      <c r="C2857" s="413" t="str">
        <f>IFERROR(INDEX(Table14[],MATCH($B2857,Table14[SAPNo],0),3),"")</f>
        <v>Round 1313 CT418  10C (S)</v>
      </c>
      <c r="D2857" s="306"/>
      <c r="E2857" s="421">
        <v>17</v>
      </c>
      <c r="F2857" s="421"/>
      <c r="G2857" s="417" t="s">
        <v>2167</v>
      </c>
      <c r="H2857" s="598">
        <v>14228444</v>
      </c>
      <c r="I2857" s="322" t="s">
        <v>1552</v>
      </c>
      <c r="J2857" s="418"/>
      <c r="K2857" s="248"/>
      <c r="M2857" s="366"/>
      <c r="AF2857">
        <v>17</v>
      </c>
    </row>
    <row r="2858" spans="1:32" x14ac:dyDescent="0.25">
      <c r="A2858" s="308">
        <v>45566</v>
      </c>
      <c r="B2858" s="416">
        <v>708306</v>
      </c>
      <c r="C2858" s="413" t="str">
        <f>IFERROR(INDEX(Table14[],MATCH($B2858,Table14[SAPNo],0),3),"")</f>
        <v>Round 1913 CT200  0.018" (B)</v>
      </c>
      <c r="D2858" s="306"/>
      <c r="E2858" s="421">
        <v>34</v>
      </c>
      <c r="F2858" s="421"/>
      <c r="G2858" s="417" t="s">
        <v>2168</v>
      </c>
      <c r="H2858" s="598">
        <v>14228462</v>
      </c>
      <c r="I2858" s="322" t="s">
        <v>1130</v>
      </c>
      <c r="J2858" s="418"/>
      <c r="K2858" s="248"/>
      <c r="M2858" s="366"/>
      <c r="AF2858">
        <v>34</v>
      </c>
    </row>
    <row r="2859" spans="1:32" x14ac:dyDescent="0.25">
      <c r="A2859" s="308">
        <v>45566</v>
      </c>
      <c r="B2859" s="416">
        <v>871781</v>
      </c>
      <c r="C2859" s="413" t="str">
        <f>IFERROR(INDEX(Table14[],MATCH($B2859,Table14[SAPNo],0),3),"")</f>
        <v>Round 1313 CT200  0.018" (B)</v>
      </c>
      <c r="D2859" s="306"/>
      <c r="E2859" s="421">
        <v>8</v>
      </c>
      <c r="F2859" s="421"/>
      <c r="G2859" s="417" t="s">
        <v>2168</v>
      </c>
      <c r="H2859" s="598">
        <v>14228462</v>
      </c>
      <c r="I2859" s="322" t="s">
        <v>1130</v>
      </c>
      <c r="J2859" s="418"/>
      <c r="K2859" s="248"/>
      <c r="M2859" s="366"/>
      <c r="AF2859">
        <v>8</v>
      </c>
    </row>
    <row r="2860" spans="1:32" x14ac:dyDescent="0.25">
      <c r="A2860" s="308">
        <v>45566</v>
      </c>
      <c r="B2860" s="416">
        <v>1100759</v>
      </c>
      <c r="C2860" s="413" t="str">
        <f>IFERROR(INDEX(Table14[],MATCH($B2860,Table14[SAPNo],0),3),"")</f>
        <v>1913 CT421 0.018"</v>
      </c>
      <c r="D2860" s="306"/>
      <c r="E2860" s="421">
        <v>48</v>
      </c>
      <c r="F2860" s="421"/>
      <c r="G2860" s="417" t="s">
        <v>2168</v>
      </c>
      <c r="H2860" s="598">
        <v>14228462</v>
      </c>
      <c r="I2860" s="322" t="s">
        <v>1130</v>
      </c>
      <c r="J2860" s="418"/>
      <c r="K2860" s="248"/>
      <c r="M2860" s="366"/>
      <c r="AF2860">
        <v>48</v>
      </c>
    </row>
    <row r="2861" spans="1:32" x14ac:dyDescent="0.25">
      <c r="A2861" s="308">
        <v>45566</v>
      </c>
      <c r="B2861" s="416">
        <v>1130198</v>
      </c>
      <c r="C2861" s="413" t="str">
        <f>IFERROR(INDEX(Table14[],MATCH($B2861,Table14[SAPNo],0),3),"")</f>
        <v>Round 1613 CT182  0.018" (S)</v>
      </c>
      <c r="D2861" s="306"/>
      <c r="E2861" s="421"/>
      <c r="F2861" s="421"/>
      <c r="G2861" s="417" t="s">
        <v>2169</v>
      </c>
      <c r="H2861" s="598">
        <v>14228462</v>
      </c>
      <c r="I2861" s="322" t="s">
        <v>1130</v>
      </c>
      <c r="J2861" s="418"/>
      <c r="K2861" s="248"/>
      <c r="M2861" s="366" t="s">
        <v>2170</v>
      </c>
    </row>
    <row r="2862" spans="1:32" x14ac:dyDescent="0.25">
      <c r="A2862" s="308">
        <v>45566</v>
      </c>
      <c r="B2862" s="416">
        <v>1146737</v>
      </c>
      <c r="C2862" s="413" t="str">
        <f>IFERROR(INDEX(Table14[],MATCH($B2862,Table14[SAPNo],0),3),"")</f>
        <v>1613 CT418 18-60</v>
      </c>
      <c r="D2862" s="306"/>
      <c r="E2862" s="421">
        <v>3</v>
      </c>
      <c r="F2862" s="421"/>
      <c r="G2862" s="417" t="s">
        <v>2171</v>
      </c>
      <c r="H2862" s="598">
        <v>14155385</v>
      </c>
      <c r="I2862" s="322" t="s">
        <v>1991</v>
      </c>
      <c r="J2862" s="418"/>
      <c r="K2862" s="248"/>
      <c r="M2862" s="366"/>
      <c r="AF2862">
        <v>3</v>
      </c>
    </row>
    <row r="2863" spans="1:32" x14ac:dyDescent="0.25">
      <c r="A2863" s="308">
        <v>45566</v>
      </c>
      <c r="B2863" s="416">
        <v>1263823</v>
      </c>
      <c r="C2863" s="413" t="str">
        <f>IFERROR(INDEX(Table14[],MATCH($B2863,Table14[SAPNo],0),3),"")</f>
        <v>1613 CT170R U</v>
      </c>
      <c r="D2863" s="306"/>
      <c r="E2863" s="421">
        <v>30</v>
      </c>
      <c r="F2863" s="421"/>
      <c r="G2863" s="417" t="s">
        <v>2171</v>
      </c>
      <c r="H2863" s="598">
        <v>14155385</v>
      </c>
      <c r="I2863" s="322" t="s">
        <v>1991</v>
      </c>
      <c r="J2863" s="418"/>
      <c r="K2863" s="248"/>
      <c r="M2863" s="366"/>
      <c r="AF2863">
        <v>30</v>
      </c>
    </row>
    <row r="2864" spans="1:32" x14ac:dyDescent="0.25">
      <c r="A2864" s="308">
        <v>45566</v>
      </c>
      <c r="B2864" s="416">
        <v>983150</v>
      </c>
      <c r="C2864" s="413" t="str">
        <f>IFERROR(INDEX(Table14[],MATCH($B2864,Table14[SAPNo],0),3),"")</f>
        <v>Round 1613 CT216  0.018" (S)</v>
      </c>
      <c r="D2864" s="306"/>
      <c r="E2864" s="421">
        <v>21</v>
      </c>
      <c r="F2864" s="421"/>
      <c r="G2864" s="417" t="s">
        <v>2171</v>
      </c>
      <c r="H2864" s="598">
        <v>14155385</v>
      </c>
      <c r="I2864" s="322" t="s">
        <v>1991</v>
      </c>
      <c r="J2864" s="418"/>
      <c r="K2864" s="248"/>
      <c r="M2864" s="366"/>
      <c r="AF2864">
        <v>21</v>
      </c>
    </row>
    <row r="2865" spans="1:32" x14ac:dyDescent="0.25">
      <c r="A2865" s="308">
        <v>45566</v>
      </c>
      <c r="B2865" s="416">
        <v>1271790</v>
      </c>
      <c r="C2865" s="413" t="str">
        <f>IFERROR(INDEX(Table14[],MATCH($B2865,Table14[SAPNo],0),3),"")</f>
        <v xml:space="preserve">1613 CT170 18-60 </v>
      </c>
      <c r="D2865" s="306"/>
      <c r="E2865" s="421">
        <v>6</v>
      </c>
      <c r="F2865" s="421"/>
      <c r="G2865" s="417" t="s">
        <v>2171</v>
      </c>
      <c r="H2865" s="598">
        <v>14155385</v>
      </c>
      <c r="I2865" s="322" t="s">
        <v>1991</v>
      </c>
      <c r="J2865" s="418"/>
      <c r="K2865" s="248"/>
      <c r="M2865" s="366"/>
      <c r="AF2865">
        <v>6</v>
      </c>
    </row>
    <row r="2866" spans="1:32" x14ac:dyDescent="0.25">
      <c r="A2866" s="308">
        <v>45566</v>
      </c>
      <c r="B2866" s="416">
        <v>1288721</v>
      </c>
      <c r="C2866" s="413" t="str">
        <f>IFERROR(INDEX(Table14[],MATCH($B2866,Table14[SAPNo],0),3),"")</f>
        <v>1613 CT176 0.018</v>
      </c>
      <c r="D2866" s="306"/>
      <c r="E2866" s="421">
        <v>5</v>
      </c>
      <c r="F2866" s="421"/>
      <c r="G2866" s="417" t="s">
        <v>2171</v>
      </c>
      <c r="H2866" s="598">
        <v>14155385</v>
      </c>
      <c r="I2866" s="322" t="s">
        <v>1991</v>
      </c>
      <c r="J2866" s="418"/>
      <c r="K2866" s="248"/>
      <c r="M2866" s="366"/>
      <c r="AF2866">
        <v>5</v>
      </c>
    </row>
    <row r="2867" spans="1:32" x14ac:dyDescent="0.25">
      <c r="A2867" s="308">
        <v>45566</v>
      </c>
      <c r="B2867" s="416">
        <v>625854</v>
      </c>
      <c r="C2867" s="413" t="str">
        <f>IFERROR(INDEX(Table14[],MATCH($B2867,Table14[SAPNo],0),3),"")</f>
        <v>Carbide IA 1318    (C)</v>
      </c>
      <c r="D2867" s="306"/>
      <c r="E2867" s="421">
        <v>6</v>
      </c>
      <c r="F2867" s="421"/>
      <c r="G2867" s="417" t="s">
        <v>2171</v>
      </c>
      <c r="H2867" s="598">
        <v>14155385</v>
      </c>
      <c r="I2867" s="322" t="s">
        <v>1991</v>
      </c>
      <c r="J2867" s="418"/>
      <c r="K2867" s="248"/>
      <c r="M2867" s="366"/>
      <c r="AF2867">
        <v>6</v>
      </c>
    </row>
    <row r="2868" spans="1:32" x14ac:dyDescent="0.25">
      <c r="A2868" s="308">
        <v>45566</v>
      </c>
      <c r="B2868" s="416">
        <v>871781</v>
      </c>
      <c r="C2868" s="413" t="str">
        <f>IFERROR(INDEX(Table14[],MATCH($B2868,Table14[SAPNo],0),3),"")</f>
        <v>Round 1313 CT200  0.018" (B)</v>
      </c>
      <c r="D2868" s="306"/>
      <c r="E2868" s="421">
        <v>7</v>
      </c>
      <c r="F2868" s="421"/>
      <c r="G2868" s="417" t="s">
        <v>2171</v>
      </c>
      <c r="H2868" s="598">
        <v>14155385</v>
      </c>
      <c r="I2868" s="322" t="s">
        <v>1991</v>
      </c>
      <c r="J2868" s="418"/>
      <c r="K2868" s="248"/>
      <c r="M2868" s="366"/>
      <c r="AF2868">
        <v>7</v>
      </c>
    </row>
    <row r="2869" spans="1:32" x14ac:dyDescent="0.25">
      <c r="A2869" s="308">
        <v>45566</v>
      </c>
      <c r="B2869" s="416">
        <v>1208601</v>
      </c>
      <c r="C2869" s="413" t="str">
        <f>IFERROR(INDEX(Table14[],MATCH($B2869,Table14[SAPNo],0),3),"")</f>
        <v>1613 CT418 U-60</v>
      </c>
      <c r="D2869" s="306"/>
      <c r="E2869" s="421">
        <v>11</v>
      </c>
      <c r="F2869" s="421"/>
      <c r="G2869" s="417" t="s">
        <v>2171</v>
      </c>
      <c r="H2869" s="598">
        <v>14155385</v>
      </c>
      <c r="I2869" s="322" t="s">
        <v>1991</v>
      </c>
      <c r="J2869" s="418"/>
      <c r="K2869" s="248"/>
      <c r="M2869" s="366"/>
      <c r="AF2869">
        <v>11</v>
      </c>
    </row>
    <row r="2870" spans="1:32" x14ac:dyDescent="0.25">
      <c r="A2870" s="320">
        <v>45566</v>
      </c>
      <c r="B2870" s="419">
        <v>717748</v>
      </c>
      <c r="C2870" s="413" t="str">
        <f>IFERROR(INDEX(Table14[],MATCH($B2870,Table14[SAPNo],0),3),"")</f>
        <v>Round 1010 CT200  0.018" (B)</v>
      </c>
      <c r="D2870" s="306"/>
      <c r="E2870" s="421">
        <v>1</v>
      </c>
      <c r="F2870" s="421"/>
      <c r="G2870" s="420" t="s">
        <v>2150</v>
      </c>
      <c r="H2870" s="599">
        <v>14211927</v>
      </c>
      <c r="I2870" s="322" t="s">
        <v>1069</v>
      </c>
      <c r="J2870" s="421"/>
      <c r="K2870" s="422"/>
      <c r="M2870" s="366"/>
      <c r="AF2870">
        <v>1</v>
      </c>
    </row>
    <row r="2871" spans="1:32" x14ac:dyDescent="0.25">
      <c r="A2871" s="308">
        <v>45567</v>
      </c>
      <c r="B2871" s="416">
        <v>1145493</v>
      </c>
      <c r="C2871" s="413" t="str">
        <f>IFERROR(INDEX(Table14[],MATCH($B2871,Table14[SAPNo],0),3),"")</f>
        <v>Round 1313 CT427  10C (S)</v>
      </c>
      <c r="D2871" s="306"/>
      <c r="E2871" s="421"/>
      <c r="F2871" s="421"/>
      <c r="G2871" s="417">
        <v>20241162</v>
      </c>
      <c r="H2871" s="598" t="s">
        <v>2172</v>
      </c>
      <c r="I2871" s="322" t="s">
        <v>1282</v>
      </c>
      <c r="J2871" s="418">
        <v>3</v>
      </c>
      <c r="K2871" s="248"/>
      <c r="M2871" s="422"/>
    </row>
    <row r="2872" spans="1:32" x14ac:dyDescent="0.25">
      <c r="A2872" s="308">
        <v>45567</v>
      </c>
      <c r="B2872" s="416">
        <v>1100696</v>
      </c>
      <c r="C2872" s="413" t="str">
        <f>IFERROR(INDEX(Table14[],MATCH($B2872,Table14[SAPNo],0),3),"")</f>
        <v>Round 1313 CT418  10C (S)</v>
      </c>
      <c r="D2872" s="306"/>
      <c r="E2872" s="421">
        <v>5</v>
      </c>
      <c r="F2872" s="421"/>
      <c r="G2872" s="417" t="s">
        <v>2173</v>
      </c>
      <c r="H2872" s="598">
        <v>14228447</v>
      </c>
      <c r="I2872" s="322" t="s">
        <v>2174</v>
      </c>
      <c r="J2872" s="418"/>
      <c r="K2872" s="248"/>
      <c r="M2872" s="366"/>
      <c r="AF2872">
        <v>5</v>
      </c>
    </row>
    <row r="2873" spans="1:32" x14ac:dyDescent="0.25">
      <c r="A2873" s="308">
        <v>45567</v>
      </c>
      <c r="B2873" s="416">
        <v>1101509</v>
      </c>
      <c r="C2873" s="413" t="str">
        <f>IFERROR(INDEX(Table14[],MATCH($B2873,Table14[SAPNo],0),3),"")</f>
        <v>Short IA 8    (C)</v>
      </c>
      <c r="D2873" s="306"/>
      <c r="E2873" s="421">
        <v>5</v>
      </c>
      <c r="F2873" s="421"/>
      <c r="G2873" s="417" t="s">
        <v>2173</v>
      </c>
      <c r="H2873" s="598">
        <v>14228447</v>
      </c>
      <c r="I2873" s="322" t="s">
        <v>2174</v>
      </c>
      <c r="J2873" s="418"/>
      <c r="K2873" s="248"/>
      <c r="M2873" s="366"/>
      <c r="AF2873">
        <v>5</v>
      </c>
    </row>
    <row r="2874" spans="1:32" x14ac:dyDescent="0.25">
      <c r="A2874" s="308">
        <v>45567</v>
      </c>
      <c r="B2874" s="416">
        <v>418525</v>
      </c>
      <c r="C2874" s="413" t="str">
        <f>IFERROR(INDEX(Table14[],MATCH($B2874,Table14[SAPNo],0),3),"")</f>
        <v>Drop In 1308 CT31   (B)</v>
      </c>
      <c r="D2874" s="306"/>
      <c r="E2874" s="421">
        <v>6</v>
      </c>
      <c r="F2874" s="421"/>
      <c r="G2874" s="417" t="s">
        <v>2173</v>
      </c>
      <c r="H2874" s="598">
        <v>14228447</v>
      </c>
      <c r="I2874" s="322" t="s">
        <v>2174</v>
      </c>
      <c r="J2874" s="418"/>
      <c r="K2874" s="248"/>
      <c r="M2874" s="366"/>
      <c r="AF2874">
        <v>6</v>
      </c>
    </row>
    <row r="2875" spans="1:32" x14ac:dyDescent="0.25">
      <c r="A2875" s="308">
        <v>45567</v>
      </c>
      <c r="B2875" s="416">
        <v>1104083</v>
      </c>
      <c r="C2875" s="413" t="str">
        <f>IFERROR(INDEX(Table14[],MATCH($B2875,Table14[SAPNo],0),3),"")</f>
        <v>1313 CT144H  10C (S)</v>
      </c>
      <c r="D2875" s="306"/>
      <c r="E2875" s="421">
        <v>1</v>
      </c>
      <c r="F2875" s="421"/>
      <c r="G2875" s="417" t="s">
        <v>2173</v>
      </c>
      <c r="H2875" s="598">
        <v>14228447</v>
      </c>
      <c r="I2875" s="322" t="s">
        <v>2174</v>
      </c>
      <c r="J2875" s="418"/>
      <c r="K2875" s="248"/>
      <c r="M2875" s="366"/>
      <c r="AF2875">
        <v>1</v>
      </c>
    </row>
    <row r="2876" spans="1:32" x14ac:dyDescent="0.25">
      <c r="A2876" s="308">
        <v>45567</v>
      </c>
      <c r="B2876" s="416">
        <v>1136984</v>
      </c>
      <c r="C2876" s="413" t="str">
        <f>IFERROR(INDEX(Table14[],MATCH($B2876,Table14[SAPNo],0),3),"")</f>
        <v>DBLMCHT 1313 CT182DM  10C (S)</v>
      </c>
      <c r="D2876" s="306"/>
      <c r="E2876" s="421">
        <v>13</v>
      </c>
      <c r="F2876" s="421"/>
      <c r="G2876" s="417" t="s">
        <v>2173</v>
      </c>
      <c r="H2876" s="598">
        <v>14228447</v>
      </c>
      <c r="I2876" s="322" t="s">
        <v>2174</v>
      </c>
      <c r="J2876" s="418"/>
      <c r="K2876" s="248"/>
      <c r="M2876" s="366"/>
      <c r="AF2876">
        <v>13</v>
      </c>
    </row>
    <row r="2877" spans="1:32" x14ac:dyDescent="0.25">
      <c r="A2877" s="308">
        <v>45567</v>
      </c>
      <c r="B2877" s="416">
        <v>1146346</v>
      </c>
      <c r="C2877" s="413" t="str">
        <f>IFERROR(INDEX(Table14[],MATCH($B2877,Table14[SAPNo],0),3),"")</f>
        <v>1313 CT418 18-60</v>
      </c>
      <c r="D2877" s="306"/>
      <c r="E2877" s="421">
        <v>7</v>
      </c>
      <c r="F2877" s="421"/>
      <c r="G2877" s="417" t="s">
        <v>2173</v>
      </c>
      <c r="H2877" s="598">
        <v>14228447</v>
      </c>
      <c r="I2877" s="322" t="s">
        <v>2174</v>
      </c>
      <c r="J2877" s="418"/>
      <c r="K2877" s="248"/>
      <c r="M2877" s="366"/>
      <c r="AF2877">
        <v>7</v>
      </c>
    </row>
    <row r="2878" spans="1:32" x14ac:dyDescent="0.25">
      <c r="A2878" s="308">
        <v>45567</v>
      </c>
      <c r="B2878" s="416">
        <v>1146346</v>
      </c>
      <c r="C2878" s="413" t="str">
        <f>IFERROR(INDEX(Table14[],MATCH($B2878,Table14[SAPNo],0),3),"")</f>
        <v>1313 CT418 18-60</v>
      </c>
      <c r="D2878" s="306"/>
      <c r="E2878" s="421">
        <v>7</v>
      </c>
      <c r="F2878" s="421"/>
      <c r="G2878" s="417" t="s">
        <v>2175</v>
      </c>
      <c r="H2878" s="598">
        <v>14228448</v>
      </c>
      <c r="I2878" s="322" t="s">
        <v>2174</v>
      </c>
      <c r="J2878" s="418"/>
      <c r="K2878" s="248"/>
      <c r="M2878" s="366"/>
      <c r="AF2878">
        <v>7</v>
      </c>
    </row>
    <row r="2879" spans="1:32" x14ac:dyDescent="0.25">
      <c r="A2879" s="308">
        <v>45567</v>
      </c>
      <c r="B2879" s="416">
        <v>1100696</v>
      </c>
      <c r="C2879" s="413" t="str">
        <f>IFERROR(INDEX(Table14[],MATCH($B2879,Table14[SAPNo],0),3),"")</f>
        <v>Round 1313 CT418  10C (S)</v>
      </c>
      <c r="D2879" s="306"/>
      <c r="E2879" s="421">
        <v>5</v>
      </c>
      <c r="F2879" s="421"/>
      <c r="G2879" s="417" t="s">
        <v>2175</v>
      </c>
      <c r="H2879" s="598">
        <v>14228448</v>
      </c>
      <c r="I2879" s="322" t="s">
        <v>2174</v>
      </c>
      <c r="J2879" s="418"/>
      <c r="K2879" s="248"/>
      <c r="M2879" s="366"/>
      <c r="AF2879">
        <v>5</v>
      </c>
    </row>
    <row r="2880" spans="1:32" x14ac:dyDescent="0.25">
      <c r="A2880" s="308">
        <v>45567</v>
      </c>
      <c r="B2880" s="416">
        <v>418525</v>
      </c>
      <c r="C2880" s="413" t="str">
        <f>IFERROR(INDEX(Table14[],MATCH($B2880,Table14[SAPNo],0),3),"")</f>
        <v>Drop In 1308 CT31   (B)</v>
      </c>
      <c r="D2880" s="306"/>
      <c r="E2880" s="421">
        <v>6</v>
      </c>
      <c r="F2880" s="421"/>
      <c r="G2880" s="417" t="s">
        <v>2175</v>
      </c>
      <c r="H2880" s="598">
        <v>14228448</v>
      </c>
      <c r="I2880" s="322" t="s">
        <v>2174</v>
      </c>
      <c r="J2880" s="418"/>
      <c r="K2880" s="248"/>
      <c r="M2880" s="366"/>
      <c r="AF2880">
        <v>6</v>
      </c>
    </row>
    <row r="2881" spans="1:32" x14ac:dyDescent="0.25">
      <c r="A2881" s="308">
        <v>45567</v>
      </c>
      <c r="B2881" s="416">
        <v>1101509</v>
      </c>
      <c r="C2881" s="413" t="str">
        <f>IFERROR(INDEX(Table14[],MATCH($B2881,Table14[SAPNo],0),3),"")</f>
        <v>Short IA 8    (C)</v>
      </c>
      <c r="D2881" s="306"/>
      <c r="E2881" s="421">
        <v>5</v>
      </c>
      <c r="F2881" s="421"/>
      <c r="G2881" s="417" t="s">
        <v>2175</v>
      </c>
      <c r="H2881" s="598">
        <v>14228448</v>
      </c>
      <c r="I2881" s="322" t="s">
        <v>2174</v>
      </c>
      <c r="J2881" s="418"/>
      <c r="K2881" s="248"/>
      <c r="M2881" s="366"/>
      <c r="AF2881">
        <v>5</v>
      </c>
    </row>
    <row r="2882" spans="1:32" x14ac:dyDescent="0.25">
      <c r="A2882" s="308">
        <v>45567</v>
      </c>
      <c r="B2882" s="416">
        <v>1104083</v>
      </c>
      <c r="C2882" s="413" t="str">
        <f>IFERROR(INDEX(Table14[],MATCH($B2882,Table14[SAPNo],0),3),"")</f>
        <v>1313 CT144H  10C (S)</v>
      </c>
      <c r="D2882" s="306"/>
      <c r="E2882" s="421">
        <v>1</v>
      </c>
      <c r="F2882" s="421"/>
      <c r="G2882" s="417" t="s">
        <v>2175</v>
      </c>
      <c r="H2882" s="598">
        <v>14228448</v>
      </c>
      <c r="I2882" s="322" t="s">
        <v>2174</v>
      </c>
      <c r="J2882" s="418"/>
      <c r="K2882" s="248"/>
      <c r="M2882" s="366"/>
      <c r="AF2882">
        <v>1</v>
      </c>
    </row>
    <row r="2883" spans="1:32" x14ac:dyDescent="0.25">
      <c r="A2883" s="308">
        <v>45567</v>
      </c>
      <c r="B2883" s="416">
        <v>1136984</v>
      </c>
      <c r="C2883" s="413" t="str">
        <f>IFERROR(INDEX(Table14[],MATCH($B2883,Table14[SAPNo],0),3),"")</f>
        <v>DBLMCHT 1313 CT182DM  10C (S)</v>
      </c>
      <c r="D2883" s="306"/>
      <c r="E2883" s="421">
        <v>13</v>
      </c>
      <c r="F2883" s="421"/>
      <c r="G2883" s="417" t="s">
        <v>2175</v>
      </c>
      <c r="H2883" s="598">
        <v>14228448</v>
      </c>
      <c r="I2883" s="322" t="s">
        <v>2174</v>
      </c>
      <c r="J2883" s="418"/>
      <c r="K2883" s="248"/>
      <c r="M2883" s="366"/>
      <c r="AF2883">
        <v>13</v>
      </c>
    </row>
    <row r="2884" spans="1:32" x14ac:dyDescent="0.25">
      <c r="A2884" s="308">
        <v>45567</v>
      </c>
      <c r="B2884" s="416">
        <v>1078377</v>
      </c>
      <c r="C2884" s="413" t="str">
        <f>IFERROR(INDEX(Table14[],MATCH($B2884,Table14[SAPNo],0),3),"")</f>
        <v>13MM CT221 R1</v>
      </c>
      <c r="D2884" s="306"/>
      <c r="E2884" s="421">
        <v>15</v>
      </c>
      <c r="F2884" s="421"/>
      <c r="G2884" s="417" t="s">
        <v>2176</v>
      </c>
      <c r="H2884" s="598">
        <v>14247230</v>
      </c>
      <c r="I2884" s="322" t="s">
        <v>2011</v>
      </c>
      <c r="J2884" s="418"/>
      <c r="K2884" s="248"/>
      <c r="M2884" s="366"/>
      <c r="AF2884">
        <v>15</v>
      </c>
    </row>
    <row r="2885" spans="1:32" x14ac:dyDescent="0.25">
      <c r="A2885" s="308">
        <v>45567</v>
      </c>
      <c r="B2885" s="416">
        <v>1146737</v>
      </c>
      <c r="C2885" s="413" t="str">
        <f>IFERROR(INDEX(Table14[],MATCH($B2885,Table14[SAPNo],0),3),"")</f>
        <v>1613 CT418 18-60</v>
      </c>
      <c r="D2885" s="306"/>
      <c r="E2885" s="421">
        <v>6</v>
      </c>
      <c r="F2885" s="421"/>
      <c r="G2885" s="417" t="s">
        <v>2176</v>
      </c>
      <c r="H2885" s="598">
        <v>14247230</v>
      </c>
      <c r="I2885" s="322" t="s">
        <v>2011</v>
      </c>
      <c r="J2885" s="418"/>
      <c r="K2885" s="248"/>
      <c r="M2885" s="366"/>
      <c r="AF2885">
        <v>6</v>
      </c>
    </row>
    <row r="2886" spans="1:32" x14ac:dyDescent="0.25">
      <c r="A2886" s="308">
        <v>45567</v>
      </c>
      <c r="B2886" s="416">
        <v>1208601</v>
      </c>
      <c r="C2886" s="413" t="str">
        <f>IFERROR(INDEX(Table14[],MATCH($B2886,Table14[SAPNo],0),3),"")</f>
        <v>1613 CT418 U-60</v>
      </c>
      <c r="D2886" s="306"/>
      <c r="E2886" s="421">
        <v>8</v>
      </c>
      <c r="F2886" s="421"/>
      <c r="G2886" s="417" t="s">
        <v>2176</v>
      </c>
      <c r="H2886" s="598">
        <v>14247230</v>
      </c>
      <c r="I2886" s="322" t="s">
        <v>2011</v>
      </c>
      <c r="J2886" s="418"/>
      <c r="K2886" s="248"/>
      <c r="M2886" s="366"/>
      <c r="AF2886">
        <v>8</v>
      </c>
    </row>
    <row r="2887" spans="1:32" x14ac:dyDescent="0.25">
      <c r="A2887" s="308">
        <v>45567</v>
      </c>
      <c r="B2887" s="416">
        <v>1271790</v>
      </c>
      <c r="C2887" s="413" t="str">
        <f>IFERROR(INDEX(Table14[],MATCH($B2887,Table14[SAPNo],0),3),"")</f>
        <v xml:space="preserve">1613 CT170 18-60 </v>
      </c>
      <c r="D2887" s="306"/>
      <c r="E2887" s="421">
        <v>17</v>
      </c>
      <c r="F2887" s="421"/>
      <c r="G2887" s="417" t="s">
        <v>2176</v>
      </c>
      <c r="H2887" s="598">
        <v>14247230</v>
      </c>
      <c r="I2887" s="322" t="s">
        <v>2011</v>
      </c>
      <c r="J2887" s="418"/>
      <c r="K2887" s="248"/>
      <c r="M2887" s="366"/>
      <c r="AF2887">
        <v>17</v>
      </c>
    </row>
    <row r="2888" spans="1:32" x14ac:dyDescent="0.25">
      <c r="A2888" s="308">
        <v>45567</v>
      </c>
      <c r="B2888" s="416">
        <v>418525</v>
      </c>
      <c r="C2888" s="413" t="str">
        <f>IFERROR(INDEX(Table14[],MATCH($B2888,Table14[SAPNo],0),3),"")</f>
        <v>Drop In 1308 CT31   (B)</v>
      </c>
      <c r="D2888" s="306"/>
      <c r="E2888" s="421">
        <v>6</v>
      </c>
      <c r="F2888" s="421"/>
      <c r="G2888" s="417" t="s">
        <v>2176</v>
      </c>
      <c r="H2888" s="598">
        <v>14247230</v>
      </c>
      <c r="I2888" s="322" t="s">
        <v>2011</v>
      </c>
      <c r="J2888" s="418"/>
      <c r="K2888" s="248"/>
      <c r="M2888" s="366"/>
      <c r="AF2888">
        <v>6</v>
      </c>
    </row>
    <row r="2889" spans="1:32" x14ac:dyDescent="0.25">
      <c r="A2889" s="308">
        <v>45567</v>
      </c>
      <c r="B2889" s="416">
        <v>1208601</v>
      </c>
      <c r="C2889" s="413" t="str">
        <f>IFERROR(INDEX(Table14[],MATCH($B2889,Table14[SAPNo],0),3),"")</f>
        <v>1613 CT418 U-60</v>
      </c>
      <c r="D2889" s="306"/>
      <c r="E2889" s="421">
        <v>8</v>
      </c>
      <c r="F2889" s="421"/>
      <c r="G2889" s="417" t="s">
        <v>2177</v>
      </c>
      <c r="H2889" s="598">
        <v>14247229</v>
      </c>
      <c r="I2889" s="322" t="s">
        <v>2011</v>
      </c>
      <c r="J2889" s="418"/>
      <c r="K2889" s="248"/>
      <c r="M2889" s="366"/>
      <c r="AF2889">
        <v>8</v>
      </c>
    </row>
    <row r="2890" spans="1:32" x14ac:dyDescent="0.25">
      <c r="A2890" s="308">
        <v>45567</v>
      </c>
      <c r="B2890" s="416">
        <v>1271790</v>
      </c>
      <c r="C2890" s="413" t="str">
        <f>IFERROR(INDEX(Table14[],MATCH($B2890,Table14[SAPNo],0),3),"")</f>
        <v xml:space="preserve">1613 CT170 18-60 </v>
      </c>
      <c r="D2890" s="306"/>
      <c r="E2890" s="421">
        <v>17</v>
      </c>
      <c r="F2890" s="421"/>
      <c r="G2890" s="417" t="s">
        <v>2177</v>
      </c>
      <c r="H2890" s="598">
        <v>14247229</v>
      </c>
      <c r="I2890" s="322" t="s">
        <v>2011</v>
      </c>
      <c r="J2890" s="418"/>
      <c r="K2890" s="248"/>
      <c r="M2890" s="366"/>
      <c r="AF2890">
        <v>17</v>
      </c>
    </row>
    <row r="2891" spans="1:32" x14ac:dyDescent="0.25">
      <c r="A2891" s="308">
        <v>45567</v>
      </c>
      <c r="B2891" s="416">
        <v>418525</v>
      </c>
      <c r="C2891" s="413" t="str">
        <f>IFERROR(INDEX(Table14[],MATCH($B2891,Table14[SAPNo],0),3),"")</f>
        <v>Drop In 1308 CT31   (B)</v>
      </c>
      <c r="D2891" s="306"/>
      <c r="E2891" s="421">
        <v>6</v>
      </c>
      <c r="F2891" s="421"/>
      <c r="G2891" s="417" t="s">
        <v>2177</v>
      </c>
      <c r="H2891" s="598">
        <v>14247229</v>
      </c>
      <c r="I2891" s="322" t="s">
        <v>2011</v>
      </c>
      <c r="J2891" s="418"/>
      <c r="K2891" s="248"/>
      <c r="M2891" s="366"/>
      <c r="AF2891">
        <v>6</v>
      </c>
    </row>
    <row r="2892" spans="1:32" x14ac:dyDescent="0.25">
      <c r="A2892" s="308">
        <v>45567</v>
      </c>
      <c r="B2892" s="416">
        <v>1078377</v>
      </c>
      <c r="C2892" s="413" t="str">
        <f>IFERROR(INDEX(Table14[],MATCH($B2892,Table14[SAPNo],0),3),"")</f>
        <v>13MM CT221 R1</v>
      </c>
      <c r="D2892" s="306"/>
      <c r="E2892" s="421">
        <v>15</v>
      </c>
      <c r="F2892" s="421"/>
      <c r="G2892" s="417" t="s">
        <v>2177</v>
      </c>
      <c r="H2892" s="598">
        <v>14247229</v>
      </c>
      <c r="I2892" s="322" t="s">
        <v>2011</v>
      </c>
      <c r="J2892" s="418"/>
      <c r="K2892" s="248"/>
      <c r="M2892" s="366"/>
      <c r="AF2892">
        <v>15</v>
      </c>
    </row>
    <row r="2893" spans="1:32" x14ac:dyDescent="0.25">
      <c r="A2893" s="308">
        <v>45567</v>
      </c>
      <c r="B2893" s="416">
        <v>1146737</v>
      </c>
      <c r="C2893" s="413" t="str">
        <f>IFERROR(INDEX(Table14[],MATCH($B2893,Table14[SAPNo],0),3),"")</f>
        <v>1613 CT418 18-60</v>
      </c>
      <c r="D2893" s="306"/>
      <c r="E2893" s="421">
        <v>6</v>
      </c>
      <c r="F2893" s="421"/>
      <c r="G2893" s="417" t="s">
        <v>2177</v>
      </c>
      <c r="H2893" s="598">
        <v>14247229</v>
      </c>
      <c r="I2893" s="322" t="s">
        <v>2011</v>
      </c>
      <c r="J2893" s="418"/>
      <c r="K2893" s="248"/>
      <c r="M2893" s="366"/>
      <c r="AF2893">
        <v>6</v>
      </c>
    </row>
    <row r="2894" spans="1:32" x14ac:dyDescent="0.25">
      <c r="A2894" s="308">
        <v>45568</v>
      </c>
      <c r="B2894" s="416">
        <v>1146737</v>
      </c>
      <c r="C2894" s="413" t="str">
        <f>IFERROR(INDEX(Table14[],MATCH($B2894,Table14[SAPNo],0),3),"")</f>
        <v>1613 CT418 18-60</v>
      </c>
      <c r="D2894" s="306"/>
      <c r="E2894" s="421">
        <v>1</v>
      </c>
      <c r="F2894" s="421"/>
      <c r="G2894" s="417" t="s">
        <v>2181</v>
      </c>
      <c r="H2894" s="598">
        <v>14211929</v>
      </c>
      <c r="I2894" s="322" t="s">
        <v>2179</v>
      </c>
      <c r="J2894" s="418"/>
      <c r="K2894" s="248"/>
      <c r="M2894" s="366"/>
      <c r="AF2894">
        <v>1</v>
      </c>
    </row>
    <row r="2895" spans="1:32" x14ac:dyDescent="0.25">
      <c r="A2895" s="308">
        <v>45568</v>
      </c>
      <c r="B2895" s="416">
        <v>1078377</v>
      </c>
      <c r="C2895" s="413" t="str">
        <f>IFERROR(INDEX(Table14[],MATCH($B2895,Table14[SAPNo],0),3),"")</f>
        <v>13MM CT221 R1</v>
      </c>
      <c r="D2895" s="306"/>
      <c r="E2895" s="421">
        <v>5</v>
      </c>
      <c r="F2895" s="421"/>
      <c r="G2895" s="417" t="s">
        <v>2181</v>
      </c>
      <c r="H2895" s="598">
        <v>14211929</v>
      </c>
      <c r="I2895" s="322" t="s">
        <v>2179</v>
      </c>
      <c r="J2895" s="418"/>
      <c r="K2895" s="248"/>
      <c r="M2895" s="366"/>
      <c r="AF2895">
        <v>5</v>
      </c>
    </row>
    <row r="2896" spans="1:32" x14ac:dyDescent="0.25">
      <c r="A2896" s="308">
        <v>45568</v>
      </c>
      <c r="B2896" s="416">
        <v>717748</v>
      </c>
      <c r="C2896" s="413" t="str">
        <f>IFERROR(INDEX(Table14[],MATCH($B2896,Table14[SAPNo],0),3),"")</f>
        <v>Round 1010 CT200  0.018" (B)</v>
      </c>
      <c r="D2896" s="306"/>
      <c r="E2896" s="421">
        <v>19</v>
      </c>
      <c r="F2896" s="421"/>
      <c r="G2896" s="417" t="s">
        <v>2180</v>
      </c>
      <c r="H2896" s="598">
        <v>14247174</v>
      </c>
      <c r="I2896" s="322" t="s">
        <v>1063</v>
      </c>
      <c r="J2896" s="418"/>
      <c r="K2896" s="248"/>
      <c r="M2896" s="366"/>
      <c r="AF2896">
        <v>19</v>
      </c>
    </row>
    <row r="2897" spans="1:32" x14ac:dyDescent="0.25">
      <c r="A2897" s="308">
        <v>45567</v>
      </c>
      <c r="B2897" s="416">
        <v>1146737</v>
      </c>
      <c r="C2897" s="413" t="str">
        <f>IFERROR(INDEX(Table14[],MATCH($B2897,Table14[SAPNo],0),3),"")</f>
        <v>1613 CT418 18-60</v>
      </c>
      <c r="D2897" s="306"/>
      <c r="E2897" s="421">
        <v>1</v>
      </c>
      <c r="F2897" s="421"/>
      <c r="G2897" s="417" t="s">
        <v>2178</v>
      </c>
      <c r="H2897" s="598">
        <v>14228470</v>
      </c>
      <c r="I2897" s="322" t="s">
        <v>2179</v>
      </c>
      <c r="J2897" s="418"/>
      <c r="K2897" s="248"/>
      <c r="M2897" s="366"/>
      <c r="AF2897">
        <v>1</v>
      </c>
    </row>
    <row r="2898" spans="1:32" x14ac:dyDescent="0.25">
      <c r="A2898" s="308">
        <v>45567</v>
      </c>
      <c r="B2898" s="416">
        <v>418525</v>
      </c>
      <c r="C2898" s="413" t="str">
        <f>IFERROR(INDEX(Table14[],MATCH($B2898,Table14[SAPNo],0),3),"")</f>
        <v>Drop In 1308 CT31   (B)</v>
      </c>
      <c r="D2898" s="306"/>
      <c r="E2898" s="421">
        <v>5</v>
      </c>
      <c r="F2898" s="421"/>
      <c r="G2898" s="417" t="s">
        <v>2178</v>
      </c>
      <c r="H2898" s="598">
        <v>14228470</v>
      </c>
      <c r="I2898" s="322" t="s">
        <v>2179</v>
      </c>
      <c r="J2898" s="418"/>
      <c r="K2898" s="248"/>
      <c r="M2898" s="366"/>
      <c r="AF2898">
        <v>5</v>
      </c>
    </row>
    <row r="2899" spans="1:32" x14ac:dyDescent="0.25">
      <c r="A2899" s="320">
        <v>45568</v>
      </c>
      <c r="B2899" s="419">
        <v>1208601</v>
      </c>
      <c r="C2899" s="413" t="str">
        <f>IFERROR(INDEX(Table14[],MATCH($B2899,Table14[SAPNo],0),3),"")</f>
        <v>1613 CT418 U-60</v>
      </c>
      <c r="D2899" s="306"/>
      <c r="E2899" s="421">
        <v>1</v>
      </c>
      <c r="F2899" s="421"/>
      <c r="G2899" s="420" t="s">
        <v>2182</v>
      </c>
      <c r="H2899" s="599">
        <v>14228470</v>
      </c>
      <c r="I2899" s="322" t="s">
        <v>2179</v>
      </c>
      <c r="J2899" s="421"/>
      <c r="K2899" s="422"/>
      <c r="M2899" s="366"/>
      <c r="AF2899">
        <v>1</v>
      </c>
    </row>
    <row r="2900" spans="1:32" x14ac:dyDescent="0.25">
      <c r="A2900" s="308">
        <v>45571</v>
      </c>
      <c r="B2900" s="416">
        <v>418525</v>
      </c>
      <c r="C2900" s="413" t="str">
        <f>IFERROR(INDEX(Table14[],MATCH($B2900,Table14[SAPNo],0),3),"")</f>
        <v>Drop In 1308 CT31   (B)</v>
      </c>
      <c r="D2900" s="306"/>
      <c r="E2900" s="421">
        <v>6</v>
      </c>
      <c r="F2900" s="421"/>
      <c r="G2900" s="417" t="s">
        <v>2183</v>
      </c>
      <c r="H2900" s="598">
        <v>14199937</v>
      </c>
      <c r="I2900" s="322" t="s">
        <v>2179</v>
      </c>
      <c r="J2900" s="418"/>
      <c r="K2900" s="248"/>
      <c r="M2900" s="422"/>
      <c r="AF2900">
        <v>6</v>
      </c>
    </row>
    <row r="2901" spans="1:32" x14ac:dyDescent="0.25">
      <c r="A2901" s="308">
        <v>45571</v>
      </c>
      <c r="B2901" s="416">
        <v>1146737</v>
      </c>
      <c r="C2901" s="413" t="str">
        <f>IFERROR(INDEX(Table14[],MATCH($B2901,Table14[SAPNo],0),3),"")</f>
        <v>1613 CT418 18-60</v>
      </c>
      <c r="D2901" s="306"/>
      <c r="E2901" s="421">
        <v>4</v>
      </c>
      <c r="F2901" s="421"/>
      <c r="G2901" s="417" t="s">
        <v>2183</v>
      </c>
      <c r="H2901" s="598">
        <v>14199937</v>
      </c>
      <c r="I2901" s="322" t="s">
        <v>2179</v>
      </c>
      <c r="J2901" s="418"/>
      <c r="K2901" s="248"/>
      <c r="M2901" s="366"/>
      <c r="AF2901">
        <v>4</v>
      </c>
    </row>
    <row r="2902" spans="1:32" x14ac:dyDescent="0.25">
      <c r="A2902" s="308">
        <v>45572</v>
      </c>
      <c r="B2902" s="416">
        <v>1145493</v>
      </c>
      <c r="C2902" s="413" t="str">
        <f>IFERROR(INDEX(Table14[],MATCH($B2902,Table14[SAPNo],0),3),"")</f>
        <v>Round 1313 CT427  10C (S)</v>
      </c>
      <c r="D2902" s="306"/>
      <c r="E2902" s="421"/>
      <c r="F2902" s="421"/>
      <c r="G2902" s="417">
        <v>20241165</v>
      </c>
      <c r="H2902" s="598" t="s">
        <v>2184</v>
      </c>
      <c r="I2902" s="322" t="s">
        <v>2185</v>
      </c>
      <c r="J2902" s="418">
        <v>2</v>
      </c>
      <c r="K2902" s="248"/>
      <c r="M2902" s="366"/>
    </row>
    <row r="2903" spans="1:32" x14ac:dyDescent="0.25">
      <c r="A2903" s="308">
        <v>45573</v>
      </c>
      <c r="B2903" s="416">
        <v>1145493</v>
      </c>
      <c r="C2903" s="413" t="str">
        <f>IFERROR(INDEX(Table14[],MATCH($B2903,Table14[SAPNo],0),3),"")</f>
        <v>Round 1313 CT427  10C (S)</v>
      </c>
      <c r="D2903" s="306"/>
      <c r="E2903" s="421"/>
      <c r="F2903" s="421"/>
      <c r="G2903" s="417">
        <v>20241164</v>
      </c>
      <c r="H2903" s="598" t="s">
        <v>2186</v>
      </c>
      <c r="I2903" s="322" t="s">
        <v>2090</v>
      </c>
      <c r="J2903" s="418">
        <v>3</v>
      </c>
      <c r="K2903" s="248"/>
      <c r="M2903" s="366"/>
    </row>
    <row r="2904" spans="1:32" x14ac:dyDescent="0.25">
      <c r="A2904" s="320">
        <v>45573</v>
      </c>
      <c r="B2904" s="419">
        <v>418525</v>
      </c>
      <c r="C2904" s="413" t="str">
        <f>IFERROR(INDEX(Table14[],MATCH($B2904,Table14[SAPNo],0),3),"")</f>
        <v>Drop In 1308 CT31   (B)</v>
      </c>
      <c r="D2904" s="306"/>
      <c r="E2904" s="421">
        <v>2</v>
      </c>
      <c r="F2904" s="421"/>
      <c r="G2904" s="420">
        <v>20241164</v>
      </c>
      <c r="H2904" s="599" t="s">
        <v>2186</v>
      </c>
      <c r="I2904" s="322" t="s">
        <v>2090</v>
      </c>
      <c r="J2904" s="421"/>
      <c r="K2904" s="422"/>
      <c r="M2904" s="366"/>
      <c r="AF2904">
        <v>2</v>
      </c>
    </row>
    <row r="2905" spans="1:32" x14ac:dyDescent="0.25">
      <c r="A2905" s="308">
        <v>45684</v>
      </c>
      <c r="B2905" s="416">
        <v>1271790</v>
      </c>
      <c r="C2905" s="413" t="str">
        <f>IFERROR(INDEX(Table14[],MATCH($B2905,Table14[SAPNo],0),3),"")</f>
        <v xml:space="preserve">1613 CT170 18-60 </v>
      </c>
      <c r="D2905" s="306" t="s">
        <v>12</v>
      </c>
      <c r="E2905" s="421">
        <v>1</v>
      </c>
      <c r="F2905" s="421"/>
      <c r="G2905" s="417" t="s">
        <v>2183</v>
      </c>
      <c r="H2905" s="598">
        <v>14199937</v>
      </c>
      <c r="I2905" s="322" t="s">
        <v>2179</v>
      </c>
      <c r="J2905" s="418"/>
      <c r="K2905" s="248"/>
      <c r="M2905" s="422"/>
      <c r="AF2905">
        <v>1</v>
      </c>
    </row>
    <row r="2906" spans="1:32" x14ac:dyDescent="0.25">
      <c r="A2906" s="308">
        <v>45684</v>
      </c>
      <c r="B2906" s="416">
        <v>1078377</v>
      </c>
      <c r="C2906" s="413" t="str">
        <f>IFERROR(INDEX(Table14[],MATCH($B2906,Table14[SAPNo],0),3),"")</f>
        <v>13MM CT221 R1</v>
      </c>
      <c r="D2906" s="306" t="s">
        <v>12</v>
      </c>
      <c r="E2906" s="421">
        <v>1</v>
      </c>
      <c r="F2906" s="421"/>
      <c r="G2906" s="417" t="s">
        <v>2183</v>
      </c>
      <c r="H2906" s="598">
        <v>14199937</v>
      </c>
      <c r="I2906" s="322" t="s">
        <v>2179</v>
      </c>
      <c r="J2906" s="418"/>
      <c r="K2906" s="248"/>
      <c r="M2906" s="366"/>
      <c r="AF2906">
        <v>1</v>
      </c>
    </row>
    <row r="2907" spans="1:32" x14ac:dyDescent="0.25">
      <c r="A2907" s="308">
        <v>45574</v>
      </c>
      <c r="B2907" s="416">
        <v>717751</v>
      </c>
      <c r="C2907" s="413" t="str">
        <f>IFERROR(INDEX(Table14[],MATCH($B2907,Table14[SAPNo],0),3),"")</f>
        <v>Round 1308 CT200  0.018" (B)</v>
      </c>
      <c r="D2907" s="306"/>
      <c r="E2907" s="421">
        <v>1</v>
      </c>
      <c r="F2907" s="421"/>
      <c r="G2907" s="417" t="s">
        <v>2187</v>
      </c>
      <c r="H2907" s="598">
        <v>14199925</v>
      </c>
      <c r="I2907" s="322" t="s">
        <v>2188</v>
      </c>
      <c r="J2907" s="418"/>
      <c r="K2907" s="248"/>
      <c r="M2907" s="366"/>
      <c r="AF2907">
        <v>5</v>
      </c>
    </row>
    <row r="2908" spans="1:32" x14ac:dyDescent="0.25">
      <c r="A2908" s="308">
        <v>45575</v>
      </c>
      <c r="B2908" s="416">
        <v>1146737</v>
      </c>
      <c r="C2908" s="413" t="str">
        <f>IFERROR(INDEX(Table14[],MATCH($B2908,Table14[SAPNo],0),3),"")</f>
        <v>1613 CT418 18-60</v>
      </c>
      <c r="D2908" s="306"/>
      <c r="E2908" s="421">
        <v>6</v>
      </c>
      <c r="F2908" s="421"/>
      <c r="G2908" s="417" t="s">
        <v>2189</v>
      </c>
      <c r="H2908" s="598">
        <v>13616537</v>
      </c>
      <c r="I2908" s="322" t="s">
        <v>2190</v>
      </c>
      <c r="J2908" s="418"/>
      <c r="K2908" s="248"/>
      <c r="M2908" s="366"/>
      <c r="AF2908">
        <v>6</v>
      </c>
    </row>
    <row r="2909" spans="1:32" x14ac:dyDescent="0.25">
      <c r="A2909" s="308">
        <v>45575</v>
      </c>
      <c r="B2909" s="416">
        <v>1146346</v>
      </c>
      <c r="C2909" s="413" t="str">
        <f>IFERROR(INDEX(Table14[],MATCH($B2909,Table14[SAPNo],0),3),"")</f>
        <v>1313 CT418 18-60</v>
      </c>
      <c r="D2909" s="306"/>
      <c r="E2909" s="421">
        <v>6</v>
      </c>
      <c r="F2909" s="421"/>
      <c r="G2909" s="417" t="s">
        <v>2189</v>
      </c>
      <c r="H2909" s="598">
        <v>13616537</v>
      </c>
      <c r="I2909" s="322" t="s">
        <v>2190</v>
      </c>
      <c r="J2909" s="418"/>
      <c r="K2909" s="248"/>
      <c r="M2909" s="366"/>
      <c r="AF2909">
        <v>6</v>
      </c>
    </row>
    <row r="2910" spans="1:32" x14ac:dyDescent="0.25">
      <c r="A2910" s="308">
        <v>45575</v>
      </c>
      <c r="B2910" s="416">
        <v>1112229</v>
      </c>
      <c r="C2910" s="413" t="str">
        <f>IFERROR(INDEX(Table14[],MATCH($B2910,Table14[SAPNo],0),3),"")</f>
        <v>1613 CT147 18C</v>
      </c>
      <c r="D2910" s="306"/>
      <c r="E2910" s="421">
        <v>22</v>
      </c>
      <c r="F2910" s="421"/>
      <c r="G2910" s="417" t="s">
        <v>2189</v>
      </c>
      <c r="H2910" s="598">
        <v>13616537</v>
      </c>
      <c r="I2910" s="322" t="s">
        <v>2190</v>
      </c>
      <c r="J2910" s="418"/>
      <c r="K2910" s="248"/>
      <c r="M2910" s="366"/>
      <c r="AF2910">
        <v>22</v>
      </c>
    </row>
    <row r="2911" spans="1:32" x14ac:dyDescent="0.25">
      <c r="A2911" s="308">
        <v>45575</v>
      </c>
      <c r="B2911" s="416">
        <v>871781</v>
      </c>
      <c r="C2911" s="413" t="str">
        <f>IFERROR(INDEX(Table14[],MATCH($B2911,Table14[SAPNo],0),3),"")</f>
        <v>Round 1313 CT200  0.018" (B)</v>
      </c>
      <c r="D2911" s="306"/>
      <c r="E2911" s="421">
        <v>6</v>
      </c>
      <c r="F2911" s="421"/>
      <c r="G2911" s="417" t="s">
        <v>2191</v>
      </c>
      <c r="H2911" s="598">
        <v>14211860</v>
      </c>
      <c r="I2911" s="322" t="s">
        <v>1175</v>
      </c>
      <c r="J2911" s="418"/>
      <c r="K2911" s="248"/>
      <c r="M2911" s="366"/>
      <c r="AF2911">
        <v>6</v>
      </c>
    </row>
    <row r="2912" spans="1:32" x14ac:dyDescent="0.25">
      <c r="A2912" s="308">
        <v>45575</v>
      </c>
      <c r="B2912" s="416">
        <v>1261321</v>
      </c>
      <c r="C2912" s="413" t="str">
        <f>IFERROR(INDEX(Table14[],MATCH($B2912,Table14[SAPNo],0),3),"")</f>
        <v>1613 CT155 U-60</v>
      </c>
      <c r="D2912" s="306"/>
      <c r="E2912" s="421">
        <v>4</v>
      </c>
      <c r="F2912" s="421"/>
      <c r="G2912" s="417" t="s">
        <v>2191</v>
      </c>
      <c r="H2912" s="598">
        <v>14211860</v>
      </c>
      <c r="I2912" s="322" t="s">
        <v>1175</v>
      </c>
      <c r="J2912" s="418"/>
      <c r="K2912" s="248"/>
      <c r="M2912" s="366"/>
      <c r="AF2912">
        <v>4</v>
      </c>
    </row>
    <row r="2913" spans="1:32" x14ac:dyDescent="0.25">
      <c r="A2913" s="308">
        <v>45575</v>
      </c>
      <c r="B2913" s="416">
        <v>1261320</v>
      </c>
      <c r="C2913" s="413" t="str">
        <f>IFERROR(INDEX(Table14[],MATCH($B2913,Table14[SAPNo],0),3),"")</f>
        <v>1313 CT155 U-60</v>
      </c>
      <c r="D2913" s="306"/>
      <c r="E2913" s="421">
        <v>6</v>
      </c>
      <c r="F2913" s="421"/>
      <c r="G2913" s="417" t="s">
        <v>2191</v>
      </c>
      <c r="H2913" s="598">
        <v>14211860</v>
      </c>
      <c r="I2913" s="322" t="s">
        <v>1175</v>
      </c>
      <c r="J2913" s="418"/>
      <c r="K2913" s="248"/>
      <c r="M2913" s="366"/>
      <c r="AF2913">
        <v>6</v>
      </c>
    </row>
    <row r="2914" spans="1:32" x14ac:dyDescent="0.25">
      <c r="A2914" s="308">
        <v>45575</v>
      </c>
      <c r="B2914" s="416">
        <v>1261319</v>
      </c>
      <c r="C2914" s="413" t="str">
        <f>IFERROR(INDEX(Table14[],MATCH($B2914,Table14[SAPNo],0),3),"")</f>
        <v>1308 CT155 U-60</v>
      </c>
      <c r="D2914" s="306"/>
      <c r="E2914" s="421">
        <v>24</v>
      </c>
      <c r="F2914" s="421"/>
      <c r="G2914" s="417" t="s">
        <v>2191</v>
      </c>
      <c r="H2914" s="598">
        <v>14211860</v>
      </c>
      <c r="I2914" s="322" t="s">
        <v>1175</v>
      </c>
      <c r="J2914" s="418"/>
      <c r="K2914" s="248"/>
      <c r="M2914" s="366"/>
      <c r="AF2914">
        <v>24</v>
      </c>
    </row>
    <row r="2915" spans="1:32" x14ac:dyDescent="0.25">
      <c r="A2915" s="308">
        <v>45575</v>
      </c>
      <c r="B2915" s="416">
        <v>1228503</v>
      </c>
      <c r="C2915" s="413" t="str">
        <f>IFERROR(INDEX(Table14[],MATCH($B2915,Table14[SAPNo],0),3),"")</f>
        <v>1618 CT182 U-60 Ring</v>
      </c>
      <c r="D2915" s="306"/>
      <c r="E2915" s="421">
        <v>10</v>
      </c>
      <c r="F2915" s="421"/>
      <c r="G2915" s="417" t="s">
        <v>2191</v>
      </c>
      <c r="H2915" s="598">
        <v>14211860</v>
      </c>
      <c r="I2915" s="322" t="s">
        <v>1175</v>
      </c>
      <c r="J2915" s="418"/>
      <c r="K2915" s="248"/>
      <c r="M2915" s="366"/>
      <c r="AF2915">
        <v>10</v>
      </c>
    </row>
    <row r="2916" spans="1:32" x14ac:dyDescent="0.25">
      <c r="A2916" s="308">
        <v>45575</v>
      </c>
      <c r="B2916" s="416">
        <v>1228502</v>
      </c>
      <c r="C2916" s="413" t="str">
        <f>IFERROR(INDEX(Table14[],MATCH($B2916,Table14[SAPNo],0),3),"")</f>
        <v>1618 CT182 U-60 Rotor</v>
      </c>
      <c r="D2916" s="306"/>
      <c r="E2916" s="421">
        <v>10</v>
      </c>
      <c r="F2916" s="421"/>
      <c r="G2916" s="417" t="s">
        <v>2191</v>
      </c>
      <c r="H2916" s="598">
        <v>14211860</v>
      </c>
      <c r="I2916" s="322" t="s">
        <v>1175</v>
      </c>
      <c r="J2916" s="418"/>
      <c r="K2916" s="248"/>
      <c r="M2916" s="366"/>
      <c r="AF2916">
        <v>10</v>
      </c>
    </row>
    <row r="2917" spans="1:32" x14ac:dyDescent="0.25">
      <c r="A2917" s="320">
        <v>45575</v>
      </c>
      <c r="B2917" s="419">
        <v>1228501</v>
      </c>
      <c r="C2917" s="413" t="str">
        <f>IFERROR(INDEX(Table14[],MATCH($B2917,Table14[SAPNo],0),3),"")</f>
        <v>1618 CT182 U-60 stator</v>
      </c>
      <c r="D2917" s="306"/>
      <c r="E2917" s="421">
        <v>10</v>
      </c>
      <c r="F2917" s="421"/>
      <c r="G2917" s="420" t="s">
        <v>2191</v>
      </c>
      <c r="H2917" s="599">
        <v>14211860</v>
      </c>
      <c r="I2917" s="322" t="s">
        <v>1175</v>
      </c>
      <c r="J2917" s="421"/>
      <c r="K2917" s="422"/>
      <c r="M2917" s="366"/>
      <c r="AF2917">
        <v>10</v>
      </c>
    </row>
    <row r="2918" spans="1:32" x14ac:dyDescent="0.25">
      <c r="A2918" s="320">
        <v>45575</v>
      </c>
      <c r="B2918" s="258">
        <v>1220554</v>
      </c>
      <c r="C2918" s="413" t="str">
        <f>IFERROR(INDEX(Table14[],MATCH($B2918,Table14[SAPNo],0),3),"")</f>
        <v xml:space="preserve">1618 CT182 U-60 Carbide </v>
      </c>
      <c r="D2918" s="306"/>
      <c r="E2918" s="421">
        <v>11</v>
      </c>
      <c r="F2918" s="421"/>
      <c r="G2918" s="420" t="s">
        <v>2191</v>
      </c>
      <c r="H2918" s="599">
        <v>14211860</v>
      </c>
      <c r="I2918" s="322" t="s">
        <v>1175</v>
      </c>
      <c r="J2918" s="421"/>
      <c r="K2918" s="422"/>
      <c r="M2918" s="422"/>
      <c r="AF2918">
        <v>11</v>
      </c>
    </row>
    <row r="2919" spans="1:32" x14ac:dyDescent="0.25">
      <c r="A2919" s="320">
        <v>45578</v>
      </c>
      <c r="B2919" s="419">
        <v>717748</v>
      </c>
      <c r="C2919" s="413" t="str">
        <f>IFERROR(INDEX(Table14[],MATCH($B2919,Table14[SAPNo],0),3),"")</f>
        <v>Round 1010 CT200  0.018" (B)</v>
      </c>
      <c r="D2919" s="306"/>
      <c r="E2919" s="421"/>
      <c r="F2919" s="421"/>
      <c r="G2919" s="420">
        <v>20241163</v>
      </c>
      <c r="H2919" s="599" t="s">
        <v>2192</v>
      </c>
      <c r="I2919" s="322" t="s">
        <v>1069</v>
      </c>
      <c r="J2919" s="421">
        <v>9</v>
      </c>
      <c r="K2919" s="422"/>
      <c r="M2919" s="422"/>
    </row>
    <row r="2920" spans="1:32" x14ac:dyDescent="0.25">
      <c r="A2920" s="308">
        <v>45579</v>
      </c>
      <c r="B2920" s="416">
        <v>871781</v>
      </c>
      <c r="C2920" s="413" t="str">
        <f>IFERROR(INDEX(Table14[],MATCH($B2920,Table14[SAPNo],0),3),"")</f>
        <v>Round 1313 CT200  0.018" (B)</v>
      </c>
      <c r="D2920" s="306"/>
      <c r="E2920" s="421">
        <v>7</v>
      </c>
      <c r="F2920" s="421"/>
      <c r="G2920" s="417" t="s">
        <v>2193</v>
      </c>
      <c r="H2920" s="598">
        <v>14199929</v>
      </c>
      <c r="I2920" s="322" t="s">
        <v>1991</v>
      </c>
      <c r="J2920" s="418"/>
      <c r="K2920" s="248"/>
      <c r="M2920" s="422"/>
      <c r="AF2920">
        <v>7</v>
      </c>
    </row>
    <row r="2921" spans="1:32" x14ac:dyDescent="0.25">
      <c r="A2921" s="308">
        <v>45579</v>
      </c>
      <c r="B2921" s="416">
        <v>625854</v>
      </c>
      <c r="C2921" s="413" t="str">
        <f>IFERROR(INDEX(Table14[],MATCH($B2921,Table14[SAPNo],0),3),"")</f>
        <v>Carbide IA 1318    (C)</v>
      </c>
      <c r="D2921" s="306"/>
      <c r="E2921" s="421">
        <v>6</v>
      </c>
      <c r="F2921" s="421"/>
      <c r="G2921" s="417" t="s">
        <v>2193</v>
      </c>
      <c r="H2921" s="598">
        <v>14199929</v>
      </c>
      <c r="I2921" s="322" t="s">
        <v>1991</v>
      </c>
      <c r="J2921" s="418"/>
      <c r="K2921" s="248"/>
      <c r="M2921" s="366"/>
      <c r="AF2921">
        <v>6</v>
      </c>
    </row>
    <row r="2922" spans="1:32" x14ac:dyDescent="0.25">
      <c r="A2922" s="308">
        <v>45579</v>
      </c>
      <c r="B2922" s="416">
        <v>1288721</v>
      </c>
      <c r="C2922" s="413" t="str">
        <f>IFERROR(INDEX(Table14[],MATCH($B2922,Table14[SAPNo],0),3),"")</f>
        <v>1613 CT176 0.018</v>
      </c>
      <c r="D2922" s="306"/>
      <c r="E2922" s="421">
        <v>5</v>
      </c>
      <c r="F2922" s="421"/>
      <c r="G2922" s="417" t="s">
        <v>2193</v>
      </c>
      <c r="H2922" s="598">
        <v>14199929</v>
      </c>
      <c r="I2922" s="322" t="s">
        <v>1991</v>
      </c>
      <c r="J2922" s="418"/>
      <c r="K2922" s="248"/>
      <c r="M2922" s="366"/>
      <c r="AF2922">
        <v>5</v>
      </c>
    </row>
    <row r="2923" spans="1:32" x14ac:dyDescent="0.25">
      <c r="A2923" s="308">
        <v>45579</v>
      </c>
      <c r="B2923" s="416">
        <v>1271790</v>
      </c>
      <c r="C2923" s="413" t="str">
        <f>IFERROR(INDEX(Table14[],MATCH($B2923,Table14[SAPNo],0),3),"")</f>
        <v xml:space="preserve">1613 CT170 18-60 </v>
      </c>
      <c r="D2923" s="306"/>
      <c r="E2923" s="421">
        <v>6</v>
      </c>
      <c r="F2923" s="421"/>
      <c r="G2923" s="417" t="s">
        <v>2193</v>
      </c>
      <c r="H2923" s="598">
        <v>14199929</v>
      </c>
      <c r="I2923" s="322" t="s">
        <v>1991</v>
      </c>
      <c r="J2923" s="418"/>
      <c r="K2923" s="248"/>
      <c r="M2923" s="366"/>
      <c r="AF2923">
        <v>6</v>
      </c>
    </row>
    <row r="2924" spans="1:32" x14ac:dyDescent="0.25">
      <c r="A2924" s="308">
        <v>45579</v>
      </c>
      <c r="B2924" s="416">
        <v>1263823</v>
      </c>
      <c r="C2924" s="413" t="str">
        <f>IFERROR(INDEX(Table14[],MATCH($B2924,Table14[SAPNo],0),3),"")</f>
        <v>1613 CT170R U</v>
      </c>
      <c r="D2924" s="306"/>
      <c r="E2924" s="421">
        <v>30</v>
      </c>
      <c r="F2924" s="421"/>
      <c r="G2924" s="417" t="s">
        <v>2193</v>
      </c>
      <c r="H2924" s="598">
        <v>14199929</v>
      </c>
      <c r="I2924" s="322" t="s">
        <v>1991</v>
      </c>
      <c r="J2924" s="418"/>
      <c r="K2924" s="248"/>
      <c r="M2924" s="366"/>
      <c r="AF2924">
        <v>30</v>
      </c>
    </row>
    <row r="2925" spans="1:32" x14ac:dyDescent="0.25">
      <c r="A2925" s="308">
        <v>45579</v>
      </c>
      <c r="B2925" s="416">
        <v>1208601</v>
      </c>
      <c r="C2925" s="413" t="str">
        <f>IFERROR(INDEX(Table14[],MATCH($B2925,Table14[SAPNo],0),3),"")</f>
        <v>1613 CT418 U-60</v>
      </c>
      <c r="D2925" s="306"/>
      <c r="E2925" s="421">
        <v>11</v>
      </c>
      <c r="F2925" s="421"/>
      <c r="G2925" s="417" t="s">
        <v>2193</v>
      </c>
      <c r="H2925" s="598">
        <v>14199929</v>
      </c>
      <c r="I2925" s="322" t="s">
        <v>1991</v>
      </c>
      <c r="J2925" s="418"/>
      <c r="K2925" s="248"/>
      <c r="M2925" s="366"/>
      <c r="AF2925">
        <v>11</v>
      </c>
    </row>
    <row r="2926" spans="1:32" x14ac:dyDescent="0.25">
      <c r="A2926" s="308">
        <v>45579</v>
      </c>
      <c r="B2926" s="416">
        <v>1146737</v>
      </c>
      <c r="C2926" s="413" t="str">
        <f>IFERROR(INDEX(Table14[],MATCH($B2926,Table14[SAPNo],0),3),"")</f>
        <v>1613 CT418 18-60</v>
      </c>
      <c r="D2926" s="306"/>
      <c r="E2926" s="421">
        <v>3</v>
      </c>
      <c r="F2926" s="421"/>
      <c r="G2926" s="417" t="s">
        <v>2193</v>
      </c>
      <c r="H2926" s="598">
        <v>14199929</v>
      </c>
      <c r="I2926" s="322" t="s">
        <v>1991</v>
      </c>
      <c r="J2926" s="418"/>
      <c r="K2926" s="248"/>
      <c r="M2926" s="366"/>
      <c r="AF2926">
        <v>3</v>
      </c>
    </row>
    <row r="2927" spans="1:32" x14ac:dyDescent="0.25">
      <c r="A2927" s="308">
        <v>45579</v>
      </c>
      <c r="B2927" s="416">
        <v>983150</v>
      </c>
      <c r="C2927" s="413" t="str">
        <f>IFERROR(INDEX(Table14[],MATCH($B2927,Table14[SAPNo],0),3),"")</f>
        <v>Round 1613 CT216  0.018" (S)</v>
      </c>
      <c r="D2927" s="306"/>
      <c r="E2927" s="421">
        <v>21</v>
      </c>
      <c r="F2927" s="421"/>
      <c r="G2927" s="417" t="s">
        <v>2194</v>
      </c>
      <c r="H2927" s="598">
        <v>14199929</v>
      </c>
      <c r="I2927" s="322" t="s">
        <v>1991</v>
      </c>
      <c r="J2927" s="418"/>
      <c r="K2927" s="248"/>
      <c r="M2927" s="366"/>
      <c r="AF2927">
        <v>21</v>
      </c>
    </row>
    <row r="2928" spans="1:32" x14ac:dyDescent="0.25">
      <c r="A2928" s="308">
        <v>45580</v>
      </c>
      <c r="B2928" s="416">
        <v>418525</v>
      </c>
      <c r="C2928" s="413" t="str">
        <f>IFERROR(INDEX(Table14[],MATCH($B2928,Table14[SAPNo],0),3),"")</f>
        <v>Drop In 1308 CT31   (B)</v>
      </c>
      <c r="D2928" s="306"/>
      <c r="E2928" s="421">
        <v>2</v>
      </c>
      <c r="F2928" s="421"/>
      <c r="G2928" s="417">
        <v>20241166</v>
      </c>
      <c r="H2928" s="598" t="s">
        <v>2195</v>
      </c>
      <c r="I2928" s="322" t="s">
        <v>2196</v>
      </c>
      <c r="J2928" s="418"/>
      <c r="K2928" s="248"/>
      <c r="M2928" s="366"/>
      <c r="AF2928">
        <v>2</v>
      </c>
    </row>
    <row r="2929" spans="1:32" x14ac:dyDescent="0.25">
      <c r="A2929" s="308">
        <v>45580</v>
      </c>
      <c r="B2929" s="416">
        <v>1272309</v>
      </c>
      <c r="C2929" s="413" t="str">
        <f>IFERROR(INDEX(Table14[],MATCH($B2929,Table14[SAPNo],0),3),"")</f>
        <v>1313 CT170T U</v>
      </c>
      <c r="D2929" s="306"/>
      <c r="E2929" s="421">
        <v>1</v>
      </c>
      <c r="F2929" s="421"/>
      <c r="G2929" s="417">
        <v>20241166</v>
      </c>
      <c r="H2929" s="598" t="s">
        <v>2195</v>
      </c>
      <c r="I2929" s="322" t="s">
        <v>2196</v>
      </c>
      <c r="J2929" s="418"/>
      <c r="K2929" s="248"/>
      <c r="M2929" s="366"/>
      <c r="AF2929">
        <v>1</v>
      </c>
    </row>
    <row r="2930" spans="1:32" x14ac:dyDescent="0.25">
      <c r="A2930" s="308">
        <v>45580</v>
      </c>
      <c r="B2930" s="416">
        <v>1100696</v>
      </c>
      <c r="C2930" s="413" t="str">
        <f>IFERROR(INDEX(Table14[],MATCH($B2930,Table14[SAPNo],0),3),"")</f>
        <v>Round 1313 CT418  10C (S)</v>
      </c>
      <c r="D2930" s="306"/>
      <c r="E2930" s="421">
        <v>4</v>
      </c>
      <c r="F2930" s="421"/>
      <c r="G2930" s="417">
        <v>20241166</v>
      </c>
      <c r="H2930" s="598" t="s">
        <v>2195</v>
      </c>
      <c r="I2930" s="322" t="s">
        <v>2196</v>
      </c>
      <c r="J2930" s="418"/>
      <c r="K2930" s="248"/>
      <c r="M2930" s="366"/>
      <c r="AF2930">
        <v>4</v>
      </c>
    </row>
    <row r="2931" spans="1:32" x14ac:dyDescent="0.25">
      <c r="A2931" s="308">
        <v>45580</v>
      </c>
      <c r="B2931" s="416">
        <v>1146737</v>
      </c>
      <c r="C2931" s="413" t="str">
        <f>IFERROR(INDEX(Table14[],MATCH($B2931,Table14[SAPNo],0),3),"")</f>
        <v>1613 CT418 18-60</v>
      </c>
      <c r="D2931" s="306"/>
      <c r="E2931" s="421">
        <v>1</v>
      </c>
      <c r="F2931" s="421"/>
      <c r="G2931" s="417" t="s">
        <v>2197</v>
      </c>
      <c r="H2931" s="598">
        <v>13616537</v>
      </c>
      <c r="I2931" s="322" t="s">
        <v>2190</v>
      </c>
      <c r="J2931" s="418"/>
      <c r="K2931" s="248"/>
      <c r="M2931" s="366"/>
      <c r="AF2931">
        <v>1</v>
      </c>
    </row>
    <row r="2932" spans="1:32" x14ac:dyDescent="0.25">
      <c r="A2932" s="308">
        <v>45581</v>
      </c>
      <c r="B2932" s="416">
        <v>418525</v>
      </c>
      <c r="C2932" s="413" t="str">
        <f>IFERROR(INDEX(Table14[],MATCH($B2932,Table14[SAPNo],0),3),"")</f>
        <v>Drop In 1308 CT31   (B)</v>
      </c>
      <c r="D2932" s="306"/>
      <c r="E2932" s="421">
        <v>1</v>
      </c>
      <c r="F2932" s="421"/>
      <c r="G2932" s="417">
        <v>20241154</v>
      </c>
      <c r="H2932" s="598" t="s">
        <v>2198</v>
      </c>
      <c r="I2932" s="322" t="s">
        <v>1128</v>
      </c>
      <c r="J2932" s="418"/>
      <c r="K2932" s="248"/>
      <c r="M2932" s="366"/>
      <c r="AF2932">
        <v>1</v>
      </c>
    </row>
    <row r="2933" spans="1:32" x14ac:dyDescent="0.25">
      <c r="A2933" s="320">
        <v>45581</v>
      </c>
      <c r="B2933" s="419">
        <v>1136984</v>
      </c>
      <c r="C2933" s="413" t="str">
        <f>IFERROR(INDEX(Table14[],MATCH($B2933,Table14[SAPNo],0),3),"")</f>
        <v>DBLMCHT 1313 CT182DM  10C (S)</v>
      </c>
      <c r="D2933" s="306"/>
      <c r="E2933" s="421">
        <v>1</v>
      </c>
      <c r="F2933" s="421"/>
      <c r="G2933" s="420">
        <v>20241154</v>
      </c>
      <c r="H2933" s="599" t="s">
        <v>2198</v>
      </c>
      <c r="I2933" s="322" t="s">
        <v>1128</v>
      </c>
      <c r="J2933" s="421"/>
      <c r="K2933" s="422"/>
      <c r="M2933" s="473" t="s">
        <v>2199</v>
      </c>
      <c r="AF2933">
        <v>1</v>
      </c>
    </row>
    <row r="2934" spans="1:32" x14ac:dyDescent="0.25">
      <c r="A2934" s="320">
        <v>45585</v>
      </c>
      <c r="B2934" s="419">
        <v>1130200</v>
      </c>
      <c r="C2934" s="413" t="str">
        <f>IFERROR(INDEX(Table14[],MATCH($B2934,Table14[SAPNo],0),3),"")</f>
        <v>Round 1913 CT182  0.018" (S)</v>
      </c>
      <c r="D2934" s="306"/>
      <c r="E2934" s="421">
        <v>10</v>
      </c>
      <c r="F2934" s="421"/>
      <c r="G2934" s="420" t="s">
        <v>2200</v>
      </c>
      <c r="H2934" s="599"/>
      <c r="I2934" s="322" t="s">
        <v>29</v>
      </c>
      <c r="J2934" s="421"/>
      <c r="K2934" s="420" t="s">
        <v>2200</v>
      </c>
      <c r="M2934" s="422"/>
      <c r="AF2934">
        <v>10</v>
      </c>
    </row>
    <row r="2935" spans="1:32" x14ac:dyDescent="0.25">
      <c r="A2935" s="308">
        <v>45582</v>
      </c>
      <c r="B2935" s="416">
        <v>1145493</v>
      </c>
      <c r="C2935" s="413" t="str">
        <f>IFERROR(INDEX(Table14[],MATCH($B2935,Table14[SAPNo],0),3),"")</f>
        <v>Round 1313 CT427  10C (S)</v>
      </c>
      <c r="D2935" s="306"/>
      <c r="E2935" s="421"/>
      <c r="F2935" s="421"/>
      <c r="G2935" s="417">
        <v>20241167</v>
      </c>
      <c r="H2935" s="598" t="s">
        <v>2201</v>
      </c>
      <c r="I2935" s="322" t="s">
        <v>1781</v>
      </c>
      <c r="J2935" s="418">
        <v>7</v>
      </c>
      <c r="K2935" s="248"/>
      <c r="M2935" s="422"/>
    </row>
    <row r="2936" spans="1:32" x14ac:dyDescent="0.25">
      <c r="A2936" s="308">
        <v>45582</v>
      </c>
      <c r="B2936" s="416">
        <v>1209332</v>
      </c>
      <c r="C2936" s="413" t="str">
        <f>IFERROR(INDEX(Table14[],MATCH($B2936,Table14[SAPNo],0),3),"")</f>
        <v>1313 CT147G U</v>
      </c>
      <c r="D2936" s="306"/>
      <c r="E2936" s="421"/>
      <c r="F2936" s="421"/>
      <c r="G2936" s="417" t="s">
        <v>2202</v>
      </c>
      <c r="H2936" s="598" t="s">
        <v>2201</v>
      </c>
      <c r="I2936" s="322" t="s">
        <v>1781</v>
      </c>
      <c r="J2936" s="418"/>
      <c r="K2936" s="248"/>
      <c r="M2936" s="366"/>
    </row>
    <row r="2937" spans="1:32" x14ac:dyDescent="0.25">
      <c r="A2937" s="308">
        <v>45582</v>
      </c>
      <c r="B2937" s="416">
        <v>871781</v>
      </c>
      <c r="C2937" s="413" t="str">
        <f>IFERROR(INDEX(Table14[],MATCH($B2937,Table14[SAPNo],0),3),"")</f>
        <v>Round 1313 CT200  0.018" (B)</v>
      </c>
      <c r="D2937" s="306"/>
      <c r="E2937" s="421">
        <v>8</v>
      </c>
      <c r="F2937" s="421"/>
      <c r="G2937" s="417" t="s">
        <v>2203</v>
      </c>
      <c r="H2937" s="598">
        <v>14228461</v>
      </c>
      <c r="I2937" s="322" t="s">
        <v>1130</v>
      </c>
      <c r="J2937" s="418"/>
      <c r="K2937" s="248"/>
      <c r="M2937" s="366"/>
      <c r="AF2937">
        <v>8</v>
      </c>
    </row>
    <row r="2938" spans="1:32" x14ac:dyDescent="0.25">
      <c r="A2938" s="308">
        <v>45582</v>
      </c>
      <c r="B2938" s="416">
        <v>708306</v>
      </c>
      <c r="C2938" s="413" t="str">
        <f>IFERROR(INDEX(Table14[],MATCH($B2938,Table14[SAPNo],0),3),"")</f>
        <v>Round 1913 CT200  0.018" (B)</v>
      </c>
      <c r="D2938" s="306"/>
      <c r="E2938" s="421">
        <v>34</v>
      </c>
      <c r="F2938" s="421"/>
      <c r="G2938" s="417" t="s">
        <v>2203</v>
      </c>
      <c r="H2938" s="598">
        <v>14228461</v>
      </c>
      <c r="I2938" s="322" t="s">
        <v>1130</v>
      </c>
      <c r="J2938" s="418"/>
      <c r="K2938" s="248"/>
      <c r="M2938" s="366"/>
      <c r="AF2938">
        <v>34</v>
      </c>
    </row>
    <row r="2939" spans="1:32" x14ac:dyDescent="0.25">
      <c r="A2939" s="308">
        <v>45582</v>
      </c>
      <c r="B2939" s="416">
        <v>1199266</v>
      </c>
      <c r="C2939" s="413" t="str">
        <f>IFERROR(INDEX(Table14[],MATCH($B2939,Table14[SAPNo],0),3),"")</f>
        <v>1913 CT158  18C</v>
      </c>
      <c r="D2939" s="306"/>
      <c r="E2939" s="421">
        <v>48</v>
      </c>
      <c r="F2939" s="421"/>
      <c r="G2939" s="417" t="s">
        <v>2203</v>
      </c>
      <c r="H2939" s="598">
        <v>14228461</v>
      </c>
      <c r="I2939" s="322" t="s">
        <v>1130</v>
      </c>
      <c r="J2939" s="418"/>
      <c r="K2939" s="248"/>
      <c r="M2939" s="366"/>
      <c r="AF2939">
        <v>48</v>
      </c>
    </row>
    <row r="2940" spans="1:32" x14ac:dyDescent="0.25">
      <c r="A2940" s="308">
        <v>45582</v>
      </c>
      <c r="B2940" s="416">
        <v>1100755</v>
      </c>
      <c r="C2940" s="413" t="str">
        <f>IFERROR(INDEX(Table14[],MATCH($B2940,Table14[SAPNo],0),3),"")</f>
        <v>Round 1613 CT421  0.018" (S)</v>
      </c>
      <c r="D2940" s="306"/>
      <c r="E2940" s="421">
        <v>9</v>
      </c>
      <c r="F2940" s="421"/>
      <c r="G2940" s="417" t="s">
        <v>2203</v>
      </c>
      <c r="H2940" s="598">
        <v>14228461</v>
      </c>
      <c r="I2940" s="322" t="s">
        <v>1130</v>
      </c>
      <c r="J2940" s="418"/>
      <c r="K2940" s="248"/>
      <c r="M2940" s="366"/>
      <c r="AF2940">
        <v>9</v>
      </c>
    </row>
    <row r="2941" spans="1:32" x14ac:dyDescent="0.25">
      <c r="A2941" s="308">
        <v>45582</v>
      </c>
      <c r="B2941" s="416">
        <v>717748</v>
      </c>
      <c r="C2941" s="413" t="str">
        <f>IFERROR(INDEX(Table14[],MATCH($B2941,Table14[SAPNo],0),3),"")</f>
        <v>Round 1010 CT200  0.018" (B)</v>
      </c>
      <c r="D2941" s="306"/>
      <c r="E2941" s="421">
        <v>19</v>
      </c>
      <c r="F2941" s="421"/>
      <c r="G2941" s="417" t="s">
        <v>2204</v>
      </c>
      <c r="H2941" s="598">
        <v>14247175</v>
      </c>
      <c r="I2941" s="322" t="s">
        <v>1063</v>
      </c>
      <c r="J2941" s="418"/>
      <c r="K2941" s="248"/>
      <c r="M2941" s="366"/>
      <c r="AF2941">
        <v>19</v>
      </c>
    </row>
    <row r="2942" spans="1:32" x14ac:dyDescent="0.25">
      <c r="A2942" s="308">
        <v>45582</v>
      </c>
      <c r="B2942" s="416">
        <v>871781</v>
      </c>
      <c r="C2942" s="413" t="str">
        <f>IFERROR(INDEX(Table14[],MATCH($B2942,Table14[SAPNo],0),3),"")</f>
        <v>Round 1313 CT200  0.018" (B)</v>
      </c>
      <c r="D2942" s="306"/>
      <c r="E2942" s="421">
        <v>6</v>
      </c>
      <c r="F2942" s="421"/>
      <c r="G2942" s="417" t="s">
        <v>2205</v>
      </c>
      <c r="H2942" s="598">
        <v>14211859</v>
      </c>
      <c r="I2942" s="322" t="s">
        <v>1175</v>
      </c>
      <c r="J2942" s="418"/>
      <c r="K2942" s="248"/>
      <c r="M2942" s="366"/>
      <c r="AF2942">
        <v>6</v>
      </c>
    </row>
    <row r="2943" spans="1:32" x14ac:dyDescent="0.25">
      <c r="A2943" s="308">
        <v>45582</v>
      </c>
      <c r="B2943" s="416">
        <v>1261321</v>
      </c>
      <c r="C2943" s="413" t="str">
        <f>IFERROR(INDEX(Table14[],MATCH($B2943,Table14[SAPNo],0),3),"")</f>
        <v>1613 CT155 U-60</v>
      </c>
      <c r="D2943" s="306"/>
      <c r="E2943" s="421">
        <v>4</v>
      </c>
      <c r="F2943" s="421"/>
      <c r="G2943" s="417" t="s">
        <v>2205</v>
      </c>
      <c r="H2943" s="598">
        <v>14211859</v>
      </c>
      <c r="I2943" s="322" t="s">
        <v>1175</v>
      </c>
      <c r="J2943" s="418"/>
      <c r="K2943" s="248"/>
      <c r="M2943" s="366"/>
      <c r="AF2943">
        <v>4</v>
      </c>
    </row>
    <row r="2944" spans="1:32" x14ac:dyDescent="0.25">
      <c r="A2944" s="308">
        <v>45582</v>
      </c>
      <c r="B2944" s="416">
        <v>1261320</v>
      </c>
      <c r="C2944" s="413" t="str">
        <f>IFERROR(INDEX(Table14[],MATCH($B2944,Table14[SAPNo],0),3),"")</f>
        <v>1313 CT155 U-60</v>
      </c>
      <c r="D2944" s="306"/>
      <c r="E2944" s="421">
        <v>6</v>
      </c>
      <c r="F2944" s="421"/>
      <c r="G2944" s="417" t="s">
        <v>2205</v>
      </c>
      <c r="H2944" s="598">
        <v>14211859</v>
      </c>
      <c r="I2944" s="322" t="s">
        <v>1175</v>
      </c>
      <c r="J2944" s="418"/>
      <c r="K2944" s="248"/>
      <c r="M2944" s="366"/>
      <c r="AF2944">
        <v>6</v>
      </c>
    </row>
    <row r="2945" spans="1:32" x14ac:dyDescent="0.25">
      <c r="A2945" s="308">
        <v>45582</v>
      </c>
      <c r="B2945" s="416">
        <v>1261319</v>
      </c>
      <c r="C2945" s="413" t="str">
        <f>IFERROR(INDEX(Table14[],MATCH($B2945,Table14[SAPNo],0),3),"")</f>
        <v>1308 CT155 U-60</v>
      </c>
      <c r="D2945" s="306"/>
      <c r="E2945" s="421">
        <v>24</v>
      </c>
      <c r="F2945" s="421"/>
      <c r="G2945" s="417" t="s">
        <v>2205</v>
      </c>
      <c r="H2945" s="598">
        <v>14211859</v>
      </c>
      <c r="I2945" s="322" t="s">
        <v>1175</v>
      </c>
      <c r="J2945" s="418"/>
      <c r="K2945" s="248"/>
      <c r="M2945" s="366"/>
      <c r="AF2945">
        <v>24</v>
      </c>
    </row>
    <row r="2946" spans="1:32" x14ac:dyDescent="0.25">
      <c r="A2946" s="308">
        <v>45582</v>
      </c>
      <c r="B2946" s="416">
        <v>1228503</v>
      </c>
      <c r="C2946" s="413" t="str">
        <f>IFERROR(INDEX(Table14[],MATCH($B2946,Table14[SAPNo],0),3),"")</f>
        <v>1618 CT182 U-60 Ring</v>
      </c>
      <c r="D2946" s="306"/>
      <c r="E2946" s="421">
        <v>10</v>
      </c>
      <c r="F2946" s="421"/>
      <c r="G2946" s="417" t="s">
        <v>2205</v>
      </c>
      <c r="H2946" s="598">
        <v>14211859</v>
      </c>
      <c r="I2946" s="322" t="s">
        <v>1175</v>
      </c>
      <c r="J2946" s="418"/>
      <c r="K2946" s="248"/>
      <c r="M2946" s="366"/>
      <c r="AF2946">
        <v>10</v>
      </c>
    </row>
    <row r="2947" spans="1:32" x14ac:dyDescent="0.25">
      <c r="A2947" s="308">
        <v>45582</v>
      </c>
      <c r="B2947" s="416">
        <v>1228502</v>
      </c>
      <c r="C2947" s="413" t="str">
        <f>IFERROR(INDEX(Table14[],MATCH($B2947,Table14[SAPNo],0),3),"")</f>
        <v>1618 CT182 U-60 Rotor</v>
      </c>
      <c r="D2947" s="306"/>
      <c r="E2947" s="421">
        <v>10</v>
      </c>
      <c r="F2947" s="421"/>
      <c r="G2947" s="417" t="s">
        <v>2205</v>
      </c>
      <c r="H2947" s="598">
        <v>14211859</v>
      </c>
      <c r="I2947" s="322" t="s">
        <v>1175</v>
      </c>
      <c r="J2947" s="418"/>
      <c r="K2947" s="248"/>
      <c r="M2947" s="366"/>
      <c r="AF2947">
        <v>10</v>
      </c>
    </row>
    <row r="2948" spans="1:32" x14ac:dyDescent="0.25">
      <c r="A2948" s="308">
        <v>45582</v>
      </c>
      <c r="B2948" s="416">
        <v>1228501</v>
      </c>
      <c r="C2948" s="413" t="str">
        <f>IFERROR(INDEX(Table14[],MATCH($B2948,Table14[SAPNo],0),3),"")</f>
        <v>1618 CT182 U-60 stator</v>
      </c>
      <c r="D2948" s="306"/>
      <c r="E2948" s="421">
        <v>10</v>
      </c>
      <c r="F2948" s="421"/>
      <c r="G2948" s="417" t="s">
        <v>2205</v>
      </c>
      <c r="H2948" s="598">
        <v>14211859</v>
      </c>
      <c r="I2948" s="322" t="s">
        <v>1175</v>
      </c>
      <c r="J2948" s="418"/>
      <c r="K2948" s="248"/>
      <c r="M2948" s="366"/>
      <c r="AF2948">
        <v>10</v>
      </c>
    </row>
    <row r="2949" spans="1:32" x14ac:dyDescent="0.25">
      <c r="A2949" s="320">
        <v>45582</v>
      </c>
      <c r="B2949" s="419">
        <v>1220554</v>
      </c>
      <c r="C2949" s="413" t="str">
        <f>IFERROR(INDEX(Table14[],MATCH($B2949,Table14[SAPNo],0),3),"")</f>
        <v xml:space="preserve">1618 CT182 U-60 Carbide </v>
      </c>
      <c r="D2949" s="306"/>
      <c r="E2949" s="421">
        <v>10</v>
      </c>
      <c r="F2949" s="421"/>
      <c r="G2949" s="420" t="s">
        <v>2205</v>
      </c>
      <c r="H2949" s="599">
        <v>14211859</v>
      </c>
      <c r="I2949" s="322" t="s">
        <v>1175</v>
      </c>
      <c r="J2949" s="421"/>
      <c r="K2949" s="422"/>
      <c r="M2949" s="366"/>
      <c r="AF2949">
        <v>10</v>
      </c>
    </row>
    <row r="2950" spans="1:32" x14ac:dyDescent="0.25">
      <c r="A2950" s="308">
        <v>45585</v>
      </c>
      <c r="B2950" s="416">
        <v>708306</v>
      </c>
      <c r="C2950" s="413" t="str">
        <f>IFERROR(INDEX(Table14[],MATCH($B2950,Table14[SAPNo],0),3),"")</f>
        <v>Round 1913 CT200  0.018" (B)</v>
      </c>
      <c r="D2950" s="306"/>
      <c r="E2950" s="421">
        <v>9</v>
      </c>
      <c r="F2950" s="421"/>
      <c r="G2950" s="417" t="s">
        <v>2206</v>
      </c>
      <c r="H2950" s="598">
        <v>13633807</v>
      </c>
      <c r="I2950" s="322" t="s">
        <v>2207</v>
      </c>
      <c r="J2950" s="418"/>
      <c r="K2950" s="248"/>
      <c r="M2950" s="422"/>
      <c r="AF2950">
        <v>9</v>
      </c>
    </row>
    <row r="2951" spans="1:32" x14ac:dyDescent="0.25">
      <c r="A2951" s="308">
        <v>45585</v>
      </c>
      <c r="B2951" s="416">
        <v>418525</v>
      </c>
      <c r="C2951" s="413" t="str">
        <f>IFERROR(INDEX(Table14[],MATCH($B2951,Table14[SAPNo],0),3),"")</f>
        <v>Drop In 1308 CT31   (B)</v>
      </c>
      <c r="D2951" s="306"/>
      <c r="E2951" s="421">
        <v>4</v>
      </c>
      <c r="F2951" s="421"/>
      <c r="G2951" s="417" t="s">
        <v>2206</v>
      </c>
      <c r="H2951" s="598">
        <v>13633807</v>
      </c>
      <c r="I2951" s="322" t="s">
        <v>2207</v>
      </c>
      <c r="J2951" s="418"/>
      <c r="K2951" s="248"/>
      <c r="M2951" s="366"/>
      <c r="AF2951">
        <v>4</v>
      </c>
    </row>
    <row r="2952" spans="1:32" x14ac:dyDescent="0.25">
      <c r="A2952" s="308">
        <v>45585</v>
      </c>
      <c r="B2952" s="416">
        <v>745576</v>
      </c>
      <c r="C2952" s="413" t="str">
        <f>IFERROR(INDEX(Table14[],MATCH($B2952,Table14[SAPNo],0),3),"")</f>
        <v>Round 1913 CT82  0.018" (S)</v>
      </c>
      <c r="D2952" s="306"/>
      <c r="E2952" s="421"/>
      <c r="F2952" s="421"/>
      <c r="G2952" s="417" t="s">
        <v>2208</v>
      </c>
      <c r="H2952" s="598">
        <v>13633807</v>
      </c>
      <c r="I2952" s="322" t="s">
        <v>2207</v>
      </c>
      <c r="J2952" s="418"/>
      <c r="K2952" s="248" t="s">
        <v>2209</v>
      </c>
      <c r="M2952" s="366"/>
    </row>
    <row r="2953" spans="1:32" x14ac:dyDescent="0.25">
      <c r="A2953" s="308">
        <v>45585</v>
      </c>
      <c r="B2953" s="416">
        <v>1130198</v>
      </c>
      <c r="C2953" s="413" t="str">
        <f>IFERROR(INDEX(Table14[],MATCH($B2953,Table14[SAPNo],0),3),"")</f>
        <v>Round 1613 CT182  0.018" (S)</v>
      </c>
      <c r="D2953" s="306"/>
      <c r="E2953" s="421"/>
      <c r="F2953" s="421"/>
      <c r="G2953" s="417" t="s">
        <v>2210</v>
      </c>
      <c r="H2953" s="598">
        <v>13633807</v>
      </c>
      <c r="I2953" s="322" t="s">
        <v>2207</v>
      </c>
      <c r="J2953" s="418"/>
      <c r="K2953" s="248" t="s">
        <v>2211</v>
      </c>
      <c r="M2953" s="366"/>
    </row>
    <row r="2954" spans="1:32" x14ac:dyDescent="0.25">
      <c r="A2954" s="308">
        <v>45583</v>
      </c>
      <c r="B2954" s="416">
        <v>708306</v>
      </c>
      <c r="C2954" s="413" t="str">
        <f>IFERROR(INDEX(Table14[],MATCH($B2954,Table14[SAPNo],0),3),"")</f>
        <v>Round 1913 CT200  0.018" (B)</v>
      </c>
      <c r="D2954" s="306"/>
      <c r="E2954" s="421">
        <v>4</v>
      </c>
      <c r="F2954" s="421"/>
      <c r="G2954" s="417" t="s">
        <v>2212</v>
      </c>
      <c r="H2954" s="598">
        <v>13479654</v>
      </c>
      <c r="I2954" s="322" t="s">
        <v>2213</v>
      </c>
      <c r="J2954" s="418"/>
      <c r="K2954" s="248"/>
      <c r="M2954" s="366"/>
      <c r="AF2954">
        <v>4</v>
      </c>
    </row>
    <row r="2955" spans="1:32" x14ac:dyDescent="0.25">
      <c r="A2955" s="308">
        <v>45583</v>
      </c>
      <c r="B2955" s="416">
        <v>418525</v>
      </c>
      <c r="C2955" s="413" t="str">
        <f>IFERROR(INDEX(Table14[],MATCH($B2955,Table14[SAPNo],0),3),"")</f>
        <v>Drop In 1308 CT31   (B)</v>
      </c>
      <c r="D2955" s="306"/>
      <c r="E2955" s="421">
        <v>4</v>
      </c>
      <c r="F2955" s="421"/>
      <c r="G2955" s="417" t="s">
        <v>2212</v>
      </c>
      <c r="H2955" s="598">
        <v>13479654</v>
      </c>
      <c r="I2955" s="322" t="s">
        <v>2213</v>
      </c>
      <c r="J2955" s="418"/>
      <c r="K2955" s="248"/>
      <c r="M2955" s="366"/>
      <c r="AF2955">
        <v>4</v>
      </c>
    </row>
    <row r="2956" spans="1:32" x14ac:dyDescent="0.25">
      <c r="A2956" s="308">
        <v>45583</v>
      </c>
      <c r="B2956" s="416">
        <v>1130200</v>
      </c>
      <c r="C2956" s="413" t="str">
        <f>IFERROR(INDEX(Table14[],MATCH($B2956,Table14[SAPNo],0),3),"")</f>
        <v>Round 1913 CT182  0.018" (S)</v>
      </c>
      <c r="D2956" s="306"/>
      <c r="E2956" s="421">
        <v>3</v>
      </c>
      <c r="F2956" s="421"/>
      <c r="G2956" s="417" t="s">
        <v>2212</v>
      </c>
      <c r="H2956" s="598">
        <v>13479654</v>
      </c>
      <c r="I2956" s="322" t="s">
        <v>2213</v>
      </c>
      <c r="J2956" s="418"/>
      <c r="K2956" s="248"/>
      <c r="M2956" s="366"/>
      <c r="AF2956">
        <v>3</v>
      </c>
    </row>
    <row r="2957" spans="1:32" x14ac:dyDescent="0.25">
      <c r="A2957" s="308">
        <v>45583</v>
      </c>
      <c r="B2957" s="416">
        <v>418525</v>
      </c>
      <c r="C2957" s="413" t="str">
        <f>IFERROR(INDEX(Table14[],MATCH($B2957,Table14[SAPNo],0),3),"")</f>
        <v>Drop In 1308 CT31   (B)</v>
      </c>
      <c r="D2957" s="306"/>
      <c r="E2957" s="421">
        <v>4</v>
      </c>
      <c r="F2957" s="421"/>
      <c r="G2957" s="417" t="s">
        <v>2214</v>
      </c>
      <c r="H2957" s="598">
        <v>13416373</v>
      </c>
      <c r="I2957" s="322" t="s">
        <v>2215</v>
      </c>
      <c r="J2957" s="418"/>
      <c r="K2957" s="248"/>
      <c r="M2957" s="366"/>
      <c r="AF2957">
        <v>4</v>
      </c>
    </row>
    <row r="2958" spans="1:32" x14ac:dyDescent="0.25">
      <c r="A2958" s="308">
        <v>45583</v>
      </c>
      <c r="B2958" s="416">
        <v>1130198</v>
      </c>
      <c r="C2958" s="413" t="str">
        <f>IFERROR(INDEX(Table14[],MATCH($B2958,Table14[SAPNo],0),3),"")</f>
        <v>Round 1613 CT182  0.018" (S)</v>
      </c>
      <c r="D2958" s="306"/>
      <c r="E2958" s="421">
        <v>0</v>
      </c>
      <c r="F2958" s="421"/>
      <c r="G2958" s="417" t="s">
        <v>2216</v>
      </c>
      <c r="H2958" s="598">
        <v>13416373</v>
      </c>
      <c r="I2958" s="322" t="s">
        <v>2215</v>
      </c>
      <c r="J2958" s="418"/>
      <c r="K2958" s="248" t="s">
        <v>2217</v>
      </c>
      <c r="M2958" s="366"/>
      <c r="AF2958">
        <v>0</v>
      </c>
    </row>
    <row r="2959" spans="1:32" x14ac:dyDescent="0.25">
      <c r="A2959" s="308">
        <v>45585</v>
      </c>
      <c r="B2959" s="416">
        <v>418525</v>
      </c>
      <c r="C2959" s="413" t="str">
        <f>IFERROR(INDEX(Table14[],MATCH($B2959,Table14[SAPNo],0),3),"")</f>
        <v>Drop In 1308 CT31   (B)</v>
      </c>
      <c r="D2959" s="306"/>
      <c r="E2959" s="421">
        <v>10</v>
      </c>
      <c r="F2959" s="421"/>
      <c r="G2959" s="417" t="s">
        <v>2218</v>
      </c>
      <c r="H2959" s="598">
        <v>13567159</v>
      </c>
      <c r="I2959" s="322" t="s">
        <v>2219</v>
      </c>
      <c r="J2959" s="418"/>
      <c r="K2959" s="248"/>
      <c r="M2959" s="366"/>
      <c r="AF2959">
        <v>10</v>
      </c>
    </row>
    <row r="2960" spans="1:32" x14ac:dyDescent="0.25">
      <c r="A2960" s="308">
        <v>45585</v>
      </c>
      <c r="B2960" s="416">
        <v>1146346</v>
      </c>
      <c r="C2960" s="413" t="str">
        <f>IFERROR(INDEX(Table14[],MATCH($B2960,Table14[SAPNo],0),3),"")</f>
        <v>1313 CT418 18-60</v>
      </c>
      <c r="D2960" s="306"/>
      <c r="E2960" s="421">
        <v>6</v>
      </c>
      <c r="F2960" s="421"/>
      <c r="G2960" s="417" t="s">
        <v>2218</v>
      </c>
      <c r="H2960" s="598">
        <v>13567159</v>
      </c>
      <c r="I2960" s="322" t="s">
        <v>2219</v>
      </c>
      <c r="J2960" s="418"/>
      <c r="K2960" s="248"/>
      <c r="M2960" s="366"/>
      <c r="AF2960">
        <v>6</v>
      </c>
    </row>
    <row r="2961" spans="1:32" x14ac:dyDescent="0.25">
      <c r="A2961" s="320">
        <v>45585</v>
      </c>
      <c r="B2961" s="419">
        <v>1100696</v>
      </c>
      <c r="C2961" s="413" t="str">
        <f>IFERROR(INDEX(Table14[],MATCH($B2961,Table14[SAPNo],0),3),"")</f>
        <v>Round 1313 CT418  10C (S)</v>
      </c>
      <c r="D2961" s="306"/>
      <c r="E2961" s="421">
        <v>3</v>
      </c>
      <c r="F2961" s="421"/>
      <c r="G2961" s="420" t="s">
        <v>2218</v>
      </c>
      <c r="H2961" s="599">
        <v>13567159</v>
      </c>
      <c r="I2961" s="322" t="s">
        <v>2219</v>
      </c>
      <c r="J2961" s="421"/>
      <c r="K2961" s="422"/>
      <c r="M2961" s="366"/>
      <c r="AF2961">
        <v>3</v>
      </c>
    </row>
    <row r="2962" spans="1:32" x14ac:dyDescent="0.25">
      <c r="A2962" s="320">
        <v>45585</v>
      </c>
      <c r="B2962" s="419">
        <v>1130198</v>
      </c>
      <c r="C2962" s="413" t="str">
        <f>IFERROR(INDEX(Table14[],MATCH($B2962,Table14[SAPNo],0),3),"")</f>
        <v>Round 1613 CT182  0.018" (S)</v>
      </c>
      <c r="D2962" s="306"/>
      <c r="E2962" s="421">
        <v>6</v>
      </c>
      <c r="F2962" s="421"/>
      <c r="G2962" s="420" t="s">
        <v>2220</v>
      </c>
      <c r="H2962" s="599"/>
      <c r="I2962" s="322" t="s">
        <v>29</v>
      </c>
      <c r="J2962" s="421"/>
      <c r="K2962" s="422" t="s">
        <v>2220</v>
      </c>
      <c r="M2962" s="422"/>
      <c r="AF2962">
        <v>6</v>
      </c>
    </row>
    <row r="2963" spans="1:32" x14ac:dyDescent="0.25">
      <c r="A2963" s="320">
        <v>45585</v>
      </c>
      <c r="B2963" s="419">
        <v>1130198</v>
      </c>
      <c r="C2963" s="413" t="str">
        <f>IFERROR(INDEX(Table14[],MATCH($B2963,Table14[SAPNo],0),3),"")</f>
        <v>Round 1613 CT182  0.018" (S)</v>
      </c>
      <c r="D2963" s="306"/>
      <c r="E2963" s="421"/>
      <c r="F2963" s="421"/>
      <c r="G2963" s="420" t="s">
        <v>2221</v>
      </c>
      <c r="H2963" s="599">
        <v>13616537</v>
      </c>
      <c r="I2963" s="322" t="s">
        <v>2190</v>
      </c>
      <c r="J2963" s="421"/>
      <c r="K2963" s="422" t="s">
        <v>2222</v>
      </c>
      <c r="M2963" s="422"/>
    </row>
    <row r="2964" spans="1:32" x14ac:dyDescent="0.25">
      <c r="A2964" s="320">
        <v>45585</v>
      </c>
      <c r="B2964" s="419">
        <v>1130196</v>
      </c>
      <c r="C2964" s="413" t="str">
        <f>IFERROR(INDEX(Table14[],MATCH($B2964,Table14[SAPNo],0),3),"")</f>
        <v>Round 1313 CT182  0.018" (S)</v>
      </c>
      <c r="D2964" s="306"/>
      <c r="E2964" s="421"/>
      <c r="F2964" s="421"/>
      <c r="G2964" s="420" t="s">
        <v>2223</v>
      </c>
      <c r="H2964" s="599">
        <v>13616537</v>
      </c>
      <c r="I2964" s="322" t="s">
        <v>2190</v>
      </c>
      <c r="J2964" s="421"/>
      <c r="K2964" s="422" t="s">
        <v>2224</v>
      </c>
      <c r="M2964" s="422"/>
    </row>
    <row r="2965" spans="1:32" x14ac:dyDescent="0.25">
      <c r="A2965" s="308">
        <v>45585</v>
      </c>
      <c r="B2965" s="416">
        <v>802065</v>
      </c>
      <c r="C2965" s="413" t="str">
        <f>IFERROR(INDEX(Table14[],MATCH($B2965,Table14[SAPNo],0),3),"")</f>
        <v>Round 1313 CT97  10C (P)</v>
      </c>
      <c r="D2965" s="306"/>
      <c r="E2965" s="421"/>
      <c r="F2965" s="421"/>
      <c r="G2965" s="417" t="s">
        <v>2225</v>
      </c>
      <c r="H2965" s="598" t="s">
        <v>2226</v>
      </c>
      <c r="I2965" s="322" t="s">
        <v>1919</v>
      </c>
      <c r="J2965" s="418"/>
      <c r="K2965" s="248"/>
      <c r="M2965" s="422"/>
    </row>
    <row r="2966" spans="1:32" x14ac:dyDescent="0.25">
      <c r="A2966" s="308">
        <v>45585</v>
      </c>
      <c r="B2966" s="416">
        <v>703670</v>
      </c>
      <c r="C2966" s="413" t="str">
        <f>IFERROR(INDEX(Table14[],MATCH($B2966,Table14[SAPNo],0),3),"")</f>
        <v>Round 1313 CT200  10C (B)</v>
      </c>
      <c r="D2966" s="306"/>
      <c r="E2966" s="421"/>
      <c r="F2966" s="421"/>
      <c r="G2966" s="417" t="s">
        <v>2225</v>
      </c>
      <c r="H2966" s="598" t="s">
        <v>2226</v>
      </c>
      <c r="I2966" s="322" t="s">
        <v>1919</v>
      </c>
      <c r="J2966" s="418"/>
      <c r="K2966" s="248"/>
      <c r="M2966" s="366"/>
    </row>
    <row r="2967" spans="1:32" x14ac:dyDescent="0.25">
      <c r="A2967" s="308">
        <v>45585</v>
      </c>
      <c r="B2967" s="416">
        <v>971055</v>
      </c>
      <c r="C2967" s="413" t="str">
        <f>IFERROR(INDEX(Table14[],MATCH($B2967,Table14[SAPNo],0),3),"")</f>
        <v>MED Bullet 10.5 CT217 MBL 0.018" (B)</v>
      </c>
      <c r="D2967" s="306"/>
      <c r="E2967" s="421"/>
      <c r="F2967" s="421"/>
      <c r="G2967" s="417" t="s">
        <v>2227</v>
      </c>
      <c r="H2967" s="598" t="s">
        <v>2228</v>
      </c>
      <c r="I2967" s="322" t="s">
        <v>1112</v>
      </c>
      <c r="J2967" s="418"/>
      <c r="K2967" s="248"/>
      <c r="M2967" s="366"/>
    </row>
    <row r="2968" spans="1:32" x14ac:dyDescent="0.25">
      <c r="A2968" s="320">
        <v>45585</v>
      </c>
      <c r="B2968" s="419">
        <v>802064</v>
      </c>
      <c r="C2968" s="413" t="str">
        <f>IFERROR(INDEX(Table14[],MATCH($B2968,Table14[SAPNo],0),3),"")</f>
        <v>Round 1308 CT97  10C (P)</v>
      </c>
      <c r="D2968" s="306"/>
      <c r="E2968" s="421"/>
      <c r="F2968" s="421"/>
      <c r="G2968" s="420" t="s">
        <v>2229</v>
      </c>
      <c r="H2968" s="599" t="s">
        <v>2228</v>
      </c>
      <c r="I2968" s="322" t="s">
        <v>1112</v>
      </c>
      <c r="J2968" s="421"/>
      <c r="K2968" s="422"/>
      <c r="M2968" s="366"/>
    </row>
    <row r="2969" spans="1:32" x14ac:dyDescent="0.25">
      <c r="A2969" s="308">
        <v>45586</v>
      </c>
      <c r="B2969" s="416">
        <v>418525</v>
      </c>
      <c r="C2969" s="413" t="str">
        <f>IFERROR(INDEX(Table14[],MATCH($B2969,Table14[SAPNo],0),3),"")</f>
        <v>Drop In 1308 CT31   (B)</v>
      </c>
      <c r="D2969" s="306"/>
      <c r="E2969" s="421">
        <v>1</v>
      </c>
      <c r="F2969" s="421"/>
      <c r="G2969" s="417" t="s">
        <v>2230</v>
      </c>
      <c r="H2969" s="598" t="s">
        <v>2231</v>
      </c>
      <c r="I2969" s="322" t="s">
        <v>1322</v>
      </c>
      <c r="J2969" s="418"/>
      <c r="K2969" s="248"/>
      <c r="M2969" s="422"/>
      <c r="AF2969">
        <v>1</v>
      </c>
    </row>
    <row r="2970" spans="1:32" x14ac:dyDescent="0.25">
      <c r="A2970" s="308">
        <v>45586</v>
      </c>
      <c r="B2970" s="416">
        <v>1130197</v>
      </c>
      <c r="C2970" s="413" t="str">
        <f>IFERROR(INDEX(Table14[],MATCH($B2970,Table14[SAPNo],0),3),"")</f>
        <v>Round 1608 CT182  0.018" (S)</v>
      </c>
      <c r="D2970" s="306"/>
      <c r="E2970" s="421">
        <v>1</v>
      </c>
      <c r="F2970" s="421"/>
      <c r="G2970" s="417" t="s">
        <v>2232</v>
      </c>
      <c r="H2970" s="598">
        <v>13572029</v>
      </c>
      <c r="I2970" s="322" t="s">
        <v>2233</v>
      </c>
      <c r="J2970" s="418"/>
      <c r="K2970" s="248"/>
      <c r="M2970" s="366"/>
      <c r="AF2970">
        <v>1</v>
      </c>
    </row>
    <row r="2971" spans="1:32" x14ac:dyDescent="0.25">
      <c r="A2971" s="308">
        <v>45586</v>
      </c>
      <c r="B2971" s="416">
        <v>418525</v>
      </c>
      <c r="C2971" s="413" t="str">
        <f>IFERROR(INDEX(Table14[],MATCH($B2971,Table14[SAPNo],0),3),"")</f>
        <v>Drop In 1308 CT31   (B)</v>
      </c>
      <c r="D2971" s="306"/>
      <c r="E2971" s="421">
        <v>6</v>
      </c>
      <c r="F2971" s="421"/>
      <c r="G2971" s="417" t="s">
        <v>2232</v>
      </c>
      <c r="H2971" s="598">
        <v>13572029</v>
      </c>
      <c r="I2971" s="322" t="s">
        <v>2233</v>
      </c>
      <c r="J2971" s="418"/>
      <c r="K2971" s="248"/>
      <c r="M2971" s="366"/>
      <c r="AF2971">
        <v>6</v>
      </c>
    </row>
    <row r="2972" spans="1:32" x14ac:dyDescent="0.25">
      <c r="A2972" s="308">
        <v>45586</v>
      </c>
      <c r="B2972" s="416">
        <v>1130198</v>
      </c>
      <c r="C2972" s="413" t="str">
        <f>IFERROR(INDEX(Table14[],MATCH($B2972,Table14[SAPNo],0),3),"")</f>
        <v>Round 1613 CT182  0.018" (S)</v>
      </c>
      <c r="D2972" s="306"/>
      <c r="E2972" s="421"/>
      <c r="F2972" s="421"/>
      <c r="G2972" s="417" t="s">
        <v>2234</v>
      </c>
      <c r="H2972" s="598">
        <v>13572029</v>
      </c>
      <c r="I2972" s="322" t="s">
        <v>2233</v>
      </c>
      <c r="J2972" s="418"/>
      <c r="K2972" s="248" t="s">
        <v>2235</v>
      </c>
      <c r="M2972" s="366"/>
    </row>
    <row r="2973" spans="1:32" x14ac:dyDescent="0.25">
      <c r="A2973" s="308">
        <v>45586</v>
      </c>
      <c r="B2973" s="416">
        <v>1130197</v>
      </c>
      <c r="C2973" s="413" t="str">
        <f>IFERROR(INDEX(Table14[],MATCH($B2973,Table14[SAPNo],0),3),"")</f>
        <v>Round 1608 CT182  0.018" (S)</v>
      </c>
      <c r="D2973" s="306"/>
      <c r="E2973" s="421">
        <v>1</v>
      </c>
      <c r="F2973" s="421"/>
      <c r="G2973" s="417" t="s">
        <v>2236</v>
      </c>
      <c r="H2973" s="598">
        <v>13479750</v>
      </c>
      <c r="I2973" s="322" t="s">
        <v>2233</v>
      </c>
      <c r="J2973" s="418"/>
      <c r="K2973" s="248"/>
      <c r="M2973" s="366"/>
      <c r="AF2973">
        <v>1</v>
      </c>
    </row>
    <row r="2974" spans="1:32" x14ac:dyDescent="0.25">
      <c r="A2974" s="308">
        <v>45586</v>
      </c>
      <c r="B2974" s="416">
        <v>418525</v>
      </c>
      <c r="C2974" s="413" t="str">
        <f>IFERROR(INDEX(Table14[],MATCH($B2974,Table14[SAPNo],0),3),"")</f>
        <v>Drop In 1308 CT31   (B)</v>
      </c>
      <c r="D2974" s="306"/>
      <c r="E2974" s="421">
        <v>6</v>
      </c>
      <c r="F2974" s="421"/>
      <c r="G2974" s="417" t="s">
        <v>2236</v>
      </c>
      <c r="H2974" s="598">
        <v>13479750</v>
      </c>
      <c r="I2974" s="322" t="s">
        <v>2233</v>
      </c>
      <c r="J2974" s="418"/>
      <c r="K2974" s="248"/>
      <c r="M2974" s="366"/>
      <c r="AF2974">
        <v>6</v>
      </c>
    </row>
    <row r="2975" spans="1:32" x14ac:dyDescent="0.25">
      <c r="A2975" s="308">
        <v>45586</v>
      </c>
      <c r="B2975" s="416">
        <v>1130198</v>
      </c>
      <c r="C2975" s="413" t="str">
        <f>IFERROR(INDEX(Table14[],MATCH($B2975,Table14[SAPNo],0),3),"")</f>
        <v>Round 1613 CT182  0.018" (S)</v>
      </c>
      <c r="D2975" s="306"/>
      <c r="E2975" s="421"/>
      <c r="F2975" s="421"/>
      <c r="G2975" s="417" t="s">
        <v>2237</v>
      </c>
      <c r="H2975" s="598">
        <v>13479750</v>
      </c>
      <c r="I2975" s="322" t="s">
        <v>2233</v>
      </c>
      <c r="J2975" s="418"/>
      <c r="K2975" s="248" t="s">
        <v>2238</v>
      </c>
      <c r="M2975" s="366"/>
    </row>
    <row r="2976" spans="1:32" x14ac:dyDescent="0.25">
      <c r="A2976" s="308">
        <v>45586</v>
      </c>
      <c r="B2976" s="416">
        <v>418525</v>
      </c>
      <c r="C2976" s="413" t="str">
        <f>IFERROR(INDEX(Table14[],MATCH($B2976,Table14[SAPNo],0),3),"")</f>
        <v>Drop In 1308 CT31   (B)</v>
      </c>
      <c r="D2976" s="306"/>
      <c r="E2976" s="421">
        <v>12</v>
      </c>
      <c r="F2976" s="421"/>
      <c r="G2976" s="417" t="s">
        <v>2239</v>
      </c>
      <c r="H2976" s="598">
        <v>13460772</v>
      </c>
      <c r="I2976" s="322" t="s">
        <v>2240</v>
      </c>
      <c r="J2976" s="418"/>
      <c r="K2976" s="248"/>
      <c r="M2976" s="366"/>
      <c r="AF2976">
        <v>12</v>
      </c>
    </row>
    <row r="2977" spans="1:32" x14ac:dyDescent="0.25">
      <c r="A2977" s="308">
        <v>45586</v>
      </c>
      <c r="B2977" s="416">
        <v>1130198</v>
      </c>
      <c r="C2977" s="413" t="str">
        <f>IFERROR(INDEX(Table14[],MATCH($B2977,Table14[SAPNo],0),3),"")</f>
        <v>Round 1613 CT182  0.018" (S)</v>
      </c>
      <c r="D2977" s="306"/>
      <c r="E2977" s="421"/>
      <c r="F2977" s="421"/>
      <c r="G2977" s="417" t="s">
        <v>2241</v>
      </c>
      <c r="H2977" s="598">
        <v>13460772</v>
      </c>
      <c r="I2977" s="322" t="s">
        <v>2240</v>
      </c>
      <c r="J2977" s="418"/>
      <c r="K2977" s="248" t="s">
        <v>2242</v>
      </c>
      <c r="M2977" s="366"/>
    </row>
    <row r="2978" spans="1:32" x14ac:dyDescent="0.25">
      <c r="A2978" s="308">
        <v>45586</v>
      </c>
      <c r="B2978" s="416">
        <v>1100696</v>
      </c>
      <c r="C2978" s="413" t="str">
        <f>IFERROR(INDEX(Table14[],MATCH($B2978,Table14[SAPNo],0),3),"")</f>
        <v>Round 1313 CT418  10C (S)</v>
      </c>
      <c r="D2978" s="306"/>
      <c r="E2978" s="421">
        <v>2</v>
      </c>
      <c r="F2978" s="421"/>
      <c r="G2978" s="417" t="s">
        <v>2243</v>
      </c>
      <c r="H2978" s="598">
        <v>13567156</v>
      </c>
      <c r="I2978" s="322" t="s">
        <v>2244</v>
      </c>
      <c r="J2978" s="418"/>
      <c r="K2978" s="248"/>
      <c r="M2978" s="366"/>
      <c r="AF2978">
        <v>2</v>
      </c>
    </row>
    <row r="2979" spans="1:32" x14ac:dyDescent="0.25">
      <c r="A2979" s="308">
        <v>45586</v>
      </c>
      <c r="B2979" s="416">
        <v>1146346</v>
      </c>
      <c r="C2979" s="413" t="str">
        <f>IFERROR(INDEX(Table14[],MATCH($B2979,Table14[SAPNo],0),3),"")</f>
        <v>1313 CT418 18-60</v>
      </c>
      <c r="D2979" s="306"/>
      <c r="E2979" s="421">
        <v>4</v>
      </c>
      <c r="F2979" s="421"/>
      <c r="G2979" s="417" t="s">
        <v>2243</v>
      </c>
      <c r="H2979" s="598">
        <v>13567156</v>
      </c>
      <c r="I2979" s="322" t="s">
        <v>2244</v>
      </c>
      <c r="J2979" s="418"/>
      <c r="K2979" s="248"/>
      <c r="M2979" s="366"/>
      <c r="AF2979">
        <v>4</v>
      </c>
    </row>
    <row r="2980" spans="1:32" x14ac:dyDescent="0.25">
      <c r="A2980" s="308">
        <v>45586</v>
      </c>
      <c r="B2980" s="416">
        <v>418525</v>
      </c>
      <c r="C2980" s="413" t="str">
        <f>IFERROR(INDEX(Table14[],MATCH($B2980,Table14[SAPNo],0),3),"")</f>
        <v>Drop In 1308 CT31   (B)</v>
      </c>
      <c r="D2980" s="306"/>
      <c r="E2980" s="421">
        <v>3</v>
      </c>
      <c r="F2980" s="421"/>
      <c r="G2980" s="417" t="s">
        <v>2243</v>
      </c>
      <c r="H2980" s="598">
        <v>13567156</v>
      </c>
      <c r="I2980" s="322" t="s">
        <v>2244</v>
      </c>
      <c r="J2980" s="418"/>
      <c r="K2980" s="248"/>
      <c r="M2980" s="366"/>
      <c r="AF2980">
        <v>3</v>
      </c>
    </row>
    <row r="2981" spans="1:32" x14ac:dyDescent="0.25">
      <c r="A2981" s="308">
        <v>45586</v>
      </c>
      <c r="B2981" s="416">
        <v>418525</v>
      </c>
      <c r="C2981" s="413" t="str">
        <f>IFERROR(INDEX(Table14[],MATCH($B2981,Table14[SAPNo],0),3),"")</f>
        <v>Drop In 1308 CT31   (B)</v>
      </c>
      <c r="D2981" s="306"/>
      <c r="E2981" s="421">
        <v>9</v>
      </c>
      <c r="F2981" s="421"/>
      <c r="G2981" s="417" t="s">
        <v>2245</v>
      </c>
      <c r="H2981" s="598">
        <v>13509985</v>
      </c>
      <c r="I2981" s="322" t="s">
        <v>2219</v>
      </c>
      <c r="J2981" s="418"/>
      <c r="K2981" s="248"/>
      <c r="M2981" s="366"/>
      <c r="AF2981">
        <v>9</v>
      </c>
    </row>
    <row r="2982" spans="1:32" x14ac:dyDescent="0.25">
      <c r="A2982" s="308">
        <v>45586</v>
      </c>
      <c r="B2982" s="416">
        <v>1100696</v>
      </c>
      <c r="C2982" s="413" t="str">
        <f>IFERROR(INDEX(Table14[],MATCH($B2982,Table14[SAPNo],0),3),"")</f>
        <v>Round 1313 CT418  10C (S)</v>
      </c>
      <c r="D2982" s="306"/>
      <c r="E2982" s="421">
        <v>2</v>
      </c>
      <c r="F2982" s="421"/>
      <c r="G2982" s="417" t="s">
        <v>2245</v>
      </c>
      <c r="H2982" s="598">
        <v>13509985</v>
      </c>
      <c r="I2982" s="322" t="s">
        <v>2219</v>
      </c>
      <c r="J2982" s="418"/>
      <c r="K2982" s="248"/>
      <c r="M2982" s="366"/>
      <c r="AF2982">
        <v>2</v>
      </c>
    </row>
    <row r="2983" spans="1:32" x14ac:dyDescent="0.25">
      <c r="A2983" s="308">
        <v>45586</v>
      </c>
      <c r="B2983" s="416">
        <v>1146346</v>
      </c>
      <c r="C2983" s="413" t="str">
        <f>IFERROR(INDEX(Table14[],MATCH($B2983,Table14[SAPNo],0),3),"")</f>
        <v>1313 CT418 18-60</v>
      </c>
      <c r="D2983" s="306"/>
      <c r="E2983" s="421">
        <v>6</v>
      </c>
      <c r="F2983" s="421"/>
      <c r="G2983" s="417" t="s">
        <v>2245</v>
      </c>
      <c r="H2983" s="598">
        <v>13509985</v>
      </c>
      <c r="I2983" s="322" t="s">
        <v>2219</v>
      </c>
      <c r="J2983" s="418"/>
      <c r="K2983" s="248"/>
      <c r="M2983" s="366"/>
      <c r="AF2983">
        <v>6</v>
      </c>
    </row>
    <row r="2984" spans="1:32" x14ac:dyDescent="0.25">
      <c r="A2984" s="308">
        <v>45586</v>
      </c>
      <c r="B2984" s="416">
        <v>418525</v>
      </c>
      <c r="C2984" s="413" t="str">
        <f>IFERROR(INDEX(Table14[],MATCH($B2984,Table14[SAPNo],0),3),"")</f>
        <v>Drop In 1308 CT31   (B)</v>
      </c>
      <c r="D2984" s="306"/>
      <c r="E2984" s="421">
        <v>9</v>
      </c>
      <c r="F2984" s="421"/>
      <c r="G2984" s="417" t="s">
        <v>2246</v>
      </c>
      <c r="H2984" s="598">
        <v>13172281</v>
      </c>
      <c r="I2984" s="322" t="s">
        <v>2247</v>
      </c>
      <c r="J2984" s="418"/>
      <c r="K2984" s="248"/>
      <c r="M2984" s="366"/>
      <c r="AF2984">
        <v>9</v>
      </c>
    </row>
    <row r="2985" spans="1:32" x14ac:dyDescent="0.25">
      <c r="A2985" s="320">
        <v>45586</v>
      </c>
      <c r="B2985" s="419">
        <v>1100696</v>
      </c>
      <c r="C2985" s="413" t="str">
        <f>IFERROR(INDEX(Table14[],MATCH($B2985,Table14[SAPNo],0),3),"")</f>
        <v>Round 1313 CT418  10C (S)</v>
      </c>
      <c r="D2985" s="306"/>
      <c r="E2985" s="421">
        <v>1</v>
      </c>
      <c r="F2985" s="421"/>
      <c r="G2985" s="420" t="s">
        <v>2246</v>
      </c>
      <c r="H2985" s="599">
        <v>13172281</v>
      </c>
      <c r="I2985" s="322" t="s">
        <v>2247</v>
      </c>
      <c r="J2985" s="421"/>
      <c r="K2985" s="422"/>
      <c r="M2985" s="366"/>
      <c r="AF2985">
        <v>1</v>
      </c>
    </row>
    <row r="2986" spans="1:32" x14ac:dyDescent="0.25">
      <c r="A2986" s="308">
        <v>45587</v>
      </c>
      <c r="B2986" s="416">
        <v>1201518</v>
      </c>
      <c r="C2986" s="413" t="str">
        <f>IFERROR(INDEX(Table14[],MATCH($B2986,Table14[SAPNo],0),3),"")</f>
        <v>12MM WC­MAT404 NA</v>
      </c>
      <c r="D2986" s="306"/>
      <c r="E2986" s="421">
        <v>2</v>
      </c>
      <c r="F2986" s="421"/>
      <c r="G2986" s="417" t="s">
        <v>2248</v>
      </c>
      <c r="H2986" s="598">
        <v>14217454</v>
      </c>
      <c r="I2986" s="322" t="s">
        <v>2249</v>
      </c>
      <c r="J2986" s="418"/>
      <c r="K2986" s="248"/>
      <c r="M2986" s="422"/>
      <c r="AF2986">
        <v>2</v>
      </c>
    </row>
    <row r="2987" spans="1:32" x14ac:dyDescent="0.25">
      <c r="A2987" s="308">
        <v>45587</v>
      </c>
      <c r="B2987" s="416">
        <v>1130198</v>
      </c>
      <c r="C2987" s="413" t="str">
        <f>IFERROR(INDEX(Table14[],MATCH($B2987,Table14[SAPNo],0),3),"")</f>
        <v>Round 1613 CT182  0.018" (S)</v>
      </c>
      <c r="D2987" s="306"/>
      <c r="E2987" s="421"/>
      <c r="F2987" s="421"/>
      <c r="G2987" s="417" t="s">
        <v>2250</v>
      </c>
      <c r="H2987" s="598">
        <v>13572029</v>
      </c>
      <c r="I2987" s="322" t="s">
        <v>2233</v>
      </c>
      <c r="J2987" s="418"/>
      <c r="K2987" s="248" t="s">
        <v>2251</v>
      </c>
      <c r="M2987" s="366"/>
    </row>
    <row r="2988" spans="1:32" x14ac:dyDescent="0.25">
      <c r="A2988" s="308">
        <v>45587</v>
      </c>
      <c r="B2988" s="416">
        <v>717748</v>
      </c>
      <c r="C2988" s="413" t="str">
        <f>IFERROR(INDEX(Table14[],MATCH($B2988,Table14[SAPNo],0),3),"")</f>
        <v>Round 1010 CT200  0.018" (B)</v>
      </c>
      <c r="D2988" s="306"/>
      <c r="E2988" s="421">
        <v>17</v>
      </c>
      <c r="F2988" s="421"/>
      <c r="G2988" s="417" t="s">
        <v>2252</v>
      </c>
      <c r="H2988" s="598">
        <v>14247176</v>
      </c>
      <c r="I2988" s="322" t="s">
        <v>1063</v>
      </c>
      <c r="J2988" s="418"/>
      <c r="K2988" s="248"/>
      <c r="M2988" s="366"/>
      <c r="AF2988">
        <v>17</v>
      </c>
    </row>
    <row r="2989" spans="1:32" x14ac:dyDescent="0.25">
      <c r="A2989" s="308">
        <v>45587</v>
      </c>
      <c r="B2989" s="416">
        <v>1199261</v>
      </c>
      <c r="C2989" s="413" t="str">
        <f>IFERROR(INDEX(Table14[],MATCH($B2989,Table14[SAPNo],0),3),"")</f>
        <v>1010 CT158 0.018"</v>
      </c>
      <c r="D2989" s="306"/>
      <c r="E2989" s="421">
        <v>2</v>
      </c>
      <c r="F2989" s="421"/>
      <c r="G2989" s="417" t="s">
        <v>2252</v>
      </c>
      <c r="H2989" s="598">
        <v>14247176</v>
      </c>
      <c r="I2989" s="322" t="s">
        <v>1063</v>
      </c>
      <c r="J2989" s="418"/>
      <c r="K2989" s="248"/>
      <c r="M2989" s="366"/>
      <c r="AF2989">
        <v>2</v>
      </c>
    </row>
    <row r="2990" spans="1:32" x14ac:dyDescent="0.25">
      <c r="A2990" s="308">
        <v>45574</v>
      </c>
      <c r="B2990" s="416">
        <v>1271790</v>
      </c>
      <c r="C2990" s="413" t="str">
        <f>IFERROR(INDEX(Table14[],MATCH($B2990,Table14[SAPNo],0),3),"")</f>
        <v xml:space="preserve">1613 CT170 18-60 </v>
      </c>
      <c r="D2990" s="306"/>
      <c r="E2990" s="421">
        <v>1</v>
      </c>
      <c r="F2990" s="421"/>
      <c r="G2990" s="417" t="s">
        <v>2187</v>
      </c>
      <c r="H2990" s="598">
        <v>14199925</v>
      </c>
      <c r="I2990" s="322" t="s">
        <v>2188</v>
      </c>
      <c r="J2990" s="418"/>
      <c r="K2990" s="248"/>
      <c r="M2990" s="366"/>
      <c r="AF2990">
        <v>4</v>
      </c>
    </row>
    <row r="2991" spans="1:32" x14ac:dyDescent="0.25">
      <c r="A2991" s="308">
        <v>45574</v>
      </c>
      <c r="B2991" s="416">
        <v>1146737</v>
      </c>
      <c r="C2991" s="413" t="str">
        <f>IFERROR(INDEX(Table14[],MATCH($B2991,Table14[SAPNo],0),3),"")</f>
        <v>1613 CT418 18-60</v>
      </c>
      <c r="D2991" s="306"/>
      <c r="E2991" s="421">
        <v>5</v>
      </c>
      <c r="F2991" s="421"/>
      <c r="G2991" s="417" t="s">
        <v>2187</v>
      </c>
      <c r="H2991" s="598">
        <v>14199925</v>
      </c>
      <c r="I2991" s="322" t="s">
        <v>2188</v>
      </c>
      <c r="J2991" s="418"/>
      <c r="K2991" s="248"/>
      <c r="M2991" s="366"/>
      <c r="AF2991">
        <v>2</v>
      </c>
    </row>
    <row r="2992" spans="1:32" x14ac:dyDescent="0.25">
      <c r="A2992" s="308">
        <v>45683</v>
      </c>
      <c r="B2992" s="416">
        <v>418525</v>
      </c>
      <c r="C2992" s="413" t="str">
        <f>IFERROR(INDEX(Table14[],MATCH($B2992,Table14[SAPNo],0),3),"")</f>
        <v>Drop In 1308 CT31   (B)</v>
      </c>
      <c r="D2992" s="306" t="s">
        <v>12</v>
      </c>
      <c r="E2992" s="421">
        <v>3</v>
      </c>
      <c r="F2992" s="421"/>
      <c r="G2992" s="417" t="s">
        <v>2187</v>
      </c>
      <c r="H2992" s="598">
        <v>14199925</v>
      </c>
      <c r="I2992" s="322" t="s">
        <v>2188</v>
      </c>
      <c r="J2992" s="418"/>
      <c r="K2992" s="248"/>
      <c r="M2992" s="366"/>
      <c r="AF2992">
        <v>1</v>
      </c>
    </row>
    <row r="2993" spans="1:32" x14ac:dyDescent="0.25">
      <c r="A2993" s="320">
        <v>45683</v>
      </c>
      <c r="B2993" s="419">
        <v>1146737</v>
      </c>
      <c r="C2993" s="413" t="str">
        <f>IFERROR(INDEX(Table14[],MATCH($B2993,Table14[SAPNo],0),3),"")</f>
        <v>1613 CT418 18-60</v>
      </c>
      <c r="D2993" s="306" t="s">
        <v>12</v>
      </c>
      <c r="E2993" s="421">
        <v>6</v>
      </c>
      <c r="F2993" s="421"/>
      <c r="G2993" s="420" t="s">
        <v>2187</v>
      </c>
      <c r="H2993" s="599">
        <v>14199925</v>
      </c>
      <c r="I2993" s="322" t="s">
        <v>2188</v>
      </c>
      <c r="J2993" s="421"/>
      <c r="K2993" s="422"/>
      <c r="M2993" s="366"/>
      <c r="AF2993">
        <v>1</v>
      </c>
    </row>
    <row r="2994" spans="1:32" x14ac:dyDescent="0.25">
      <c r="A2994" s="308">
        <v>45588</v>
      </c>
      <c r="B2994" s="416">
        <v>1209332</v>
      </c>
      <c r="C2994" s="413" t="str">
        <f>IFERROR(INDEX(Table14[],MATCH($B2994,Table14[SAPNo],0),3),"")</f>
        <v>1313 CT147G U</v>
      </c>
      <c r="D2994" s="306"/>
      <c r="E2994" s="421"/>
      <c r="F2994" s="421"/>
      <c r="G2994" s="417">
        <v>20241169</v>
      </c>
      <c r="H2994" s="598" t="s">
        <v>2255</v>
      </c>
      <c r="I2994" s="322" t="s">
        <v>1322</v>
      </c>
      <c r="J2994" s="418">
        <v>1</v>
      </c>
      <c r="K2994" s="248"/>
      <c r="M2994" s="422"/>
    </row>
    <row r="2995" spans="1:32" x14ac:dyDescent="0.25">
      <c r="A2995" s="308">
        <v>45588</v>
      </c>
      <c r="B2995" s="416">
        <v>1145493</v>
      </c>
      <c r="C2995" s="413" t="str">
        <f>IFERROR(INDEX(Table14[],MATCH($B2995,Table14[SAPNo],0),3),"")</f>
        <v>Round 1313 CT427  10C (S)</v>
      </c>
      <c r="D2995" s="306"/>
      <c r="E2995" s="421"/>
      <c r="F2995" s="421"/>
      <c r="G2995" s="417">
        <v>20241169</v>
      </c>
      <c r="H2995" s="598" t="s">
        <v>2255</v>
      </c>
      <c r="I2995" s="322" t="s">
        <v>1322</v>
      </c>
      <c r="J2995" s="418">
        <v>4</v>
      </c>
      <c r="K2995" s="248"/>
      <c r="M2995" s="366"/>
    </row>
    <row r="2996" spans="1:32" x14ac:dyDescent="0.25">
      <c r="A2996" s="308">
        <v>45588</v>
      </c>
      <c r="B2996" s="416">
        <v>418525</v>
      </c>
      <c r="C2996" s="413" t="str">
        <f>IFERROR(INDEX(Table14[],MATCH($B2996,Table14[SAPNo],0),3),"")</f>
        <v>Drop In 1308 CT31   (B)</v>
      </c>
      <c r="D2996" s="306"/>
      <c r="E2996" s="421">
        <v>3</v>
      </c>
      <c r="F2996" s="421"/>
      <c r="G2996" s="417">
        <v>20241169</v>
      </c>
      <c r="H2996" s="598" t="s">
        <v>2255</v>
      </c>
      <c r="I2996" s="322" t="s">
        <v>1322</v>
      </c>
      <c r="J2996" s="418"/>
      <c r="K2996" s="248"/>
      <c r="M2996" s="366"/>
      <c r="AF2996">
        <v>3</v>
      </c>
    </row>
    <row r="2997" spans="1:32" x14ac:dyDescent="0.25">
      <c r="A2997" s="308">
        <v>45588</v>
      </c>
      <c r="B2997" s="416">
        <v>745576</v>
      </c>
      <c r="C2997" s="413" t="str">
        <f>IFERROR(INDEX(Table14[],MATCH($B2997,Table14[SAPNo],0),3),"")</f>
        <v>Round 1913 CT82  0.018" (S)</v>
      </c>
      <c r="D2997" s="306"/>
      <c r="E2997" s="421">
        <v>2</v>
      </c>
      <c r="F2997" s="421"/>
      <c r="G2997" s="417" t="s">
        <v>2256</v>
      </c>
      <c r="H2997" s="598">
        <v>13633807</v>
      </c>
      <c r="I2997" s="322" t="s">
        <v>2207</v>
      </c>
      <c r="J2997" s="418"/>
      <c r="K2997" s="248"/>
      <c r="M2997" s="366"/>
      <c r="AF2997">
        <v>2</v>
      </c>
    </row>
    <row r="2998" spans="1:32" x14ac:dyDescent="0.25">
      <c r="A2998" s="308">
        <v>45588</v>
      </c>
      <c r="B2998" s="416">
        <v>708306</v>
      </c>
      <c r="C2998" s="413" t="str">
        <f>IFERROR(INDEX(Table14[],MATCH($B2998,Table14[SAPNo],0),3),"")</f>
        <v>Round 1913 CT200  0.018" (B)</v>
      </c>
      <c r="D2998" s="306"/>
      <c r="E2998" s="421">
        <v>1</v>
      </c>
      <c r="F2998" s="421"/>
      <c r="G2998" s="417" t="s">
        <v>2256</v>
      </c>
      <c r="H2998" s="598">
        <v>13633807</v>
      </c>
      <c r="I2998" s="322" t="s">
        <v>2207</v>
      </c>
      <c r="J2998" s="418"/>
      <c r="K2998" s="248"/>
      <c r="M2998" s="366"/>
      <c r="AF2998">
        <v>1</v>
      </c>
    </row>
    <row r="2999" spans="1:32" x14ac:dyDescent="0.25">
      <c r="A2999" s="308">
        <v>45588</v>
      </c>
      <c r="B2999" s="416">
        <v>871781</v>
      </c>
      <c r="C2999" s="413" t="str">
        <f>IFERROR(INDEX(Table14[],MATCH($B2999,Table14[SAPNo],0),3),"")</f>
        <v>Round 1313 CT200  0.018" (B)</v>
      </c>
      <c r="D2999" s="306"/>
      <c r="E2999" s="421">
        <v>5</v>
      </c>
      <c r="F2999" s="421"/>
      <c r="G2999" s="417" t="s">
        <v>2257</v>
      </c>
      <c r="H2999" s="598">
        <v>14210787</v>
      </c>
      <c r="I2999" s="322" t="s">
        <v>1318</v>
      </c>
      <c r="J2999" s="418"/>
      <c r="K2999" s="248"/>
      <c r="M2999" s="366"/>
      <c r="AF2999">
        <v>5</v>
      </c>
    </row>
    <row r="3000" spans="1:32" x14ac:dyDescent="0.25">
      <c r="A3000" s="308">
        <v>45588</v>
      </c>
      <c r="B3000" s="416">
        <v>1271790</v>
      </c>
      <c r="C3000" s="413" t="str">
        <f>IFERROR(INDEX(Table14[],MATCH($B3000,Table14[SAPNo],0),3),"")</f>
        <v xml:space="preserve">1613 CT170 18-60 </v>
      </c>
      <c r="D3000" s="306"/>
      <c r="E3000" s="421">
        <v>30</v>
      </c>
      <c r="F3000" s="421"/>
      <c r="G3000" s="417" t="s">
        <v>2257</v>
      </c>
      <c r="H3000" s="598">
        <v>14210787</v>
      </c>
      <c r="I3000" s="322" t="s">
        <v>1318</v>
      </c>
      <c r="J3000" s="418"/>
      <c r="K3000" s="248"/>
      <c r="M3000" s="366"/>
      <c r="AF3000">
        <v>30</v>
      </c>
    </row>
    <row r="3001" spans="1:32" x14ac:dyDescent="0.25">
      <c r="A3001" s="308">
        <v>45588</v>
      </c>
      <c r="B3001" s="416">
        <v>1209410</v>
      </c>
      <c r="C3001" s="413" t="str">
        <f>IFERROR(INDEX(Table14[],MATCH($B3001,Table14[SAPNo],0),3),"")</f>
        <v>1613 CT430MV3 U TBO</v>
      </c>
      <c r="D3001" s="306"/>
      <c r="E3001" s="421">
        <v>10</v>
      </c>
      <c r="F3001" s="421"/>
      <c r="G3001" s="417" t="s">
        <v>2257</v>
      </c>
      <c r="H3001" s="598">
        <v>14210787</v>
      </c>
      <c r="I3001" s="322" t="s">
        <v>1318</v>
      </c>
      <c r="J3001" s="418"/>
      <c r="K3001" s="248"/>
      <c r="M3001" s="366"/>
      <c r="AF3001">
        <v>10</v>
      </c>
    </row>
    <row r="3002" spans="1:32" x14ac:dyDescent="0.25">
      <c r="A3002" s="308">
        <v>45588</v>
      </c>
      <c r="B3002" s="416">
        <v>1146737</v>
      </c>
      <c r="C3002" s="413" t="str">
        <f>IFERROR(INDEX(Table14[],MATCH($B3002,Table14[SAPNo],0),3),"")</f>
        <v>1613 CT418 18-60</v>
      </c>
      <c r="D3002" s="306"/>
      <c r="E3002" s="421">
        <v>10</v>
      </c>
      <c r="F3002" s="421"/>
      <c r="G3002" s="417" t="s">
        <v>2257</v>
      </c>
      <c r="H3002" s="598">
        <v>14210787</v>
      </c>
      <c r="I3002" s="322" t="s">
        <v>1318</v>
      </c>
      <c r="J3002" s="418"/>
      <c r="K3002" s="248"/>
      <c r="M3002" s="366"/>
      <c r="AF3002">
        <v>10</v>
      </c>
    </row>
    <row r="3003" spans="1:32" x14ac:dyDescent="0.25">
      <c r="A3003" s="308">
        <v>45588</v>
      </c>
      <c r="B3003" s="416">
        <v>1100751</v>
      </c>
      <c r="C3003" s="413" t="str">
        <f>IFERROR(INDEX(Table14[],MATCH($B3003,Table14[SAPNo],0),3),"")</f>
        <v>1313 CT421 0.018"</v>
      </c>
      <c r="D3003" s="306"/>
      <c r="E3003" s="421">
        <v>22</v>
      </c>
      <c r="F3003" s="421"/>
      <c r="G3003" s="417" t="s">
        <v>2257</v>
      </c>
      <c r="H3003" s="598">
        <v>14210787</v>
      </c>
      <c r="I3003" s="322" t="s">
        <v>1318</v>
      </c>
      <c r="J3003" s="418"/>
      <c r="K3003" s="248"/>
      <c r="M3003" s="366"/>
      <c r="AF3003">
        <v>22</v>
      </c>
    </row>
    <row r="3004" spans="1:32" x14ac:dyDescent="0.25">
      <c r="A3004" s="308">
        <v>45588</v>
      </c>
      <c r="B3004" s="416">
        <v>418525</v>
      </c>
      <c r="C3004" s="413" t="str">
        <f>IFERROR(INDEX(Table14[],MATCH($B3004,Table14[SAPNo],0),3),"")</f>
        <v>Drop In 1308 CT31   (B)</v>
      </c>
      <c r="D3004" s="306"/>
      <c r="E3004" s="421">
        <v>6</v>
      </c>
      <c r="F3004" s="421"/>
      <c r="G3004" s="417" t="s">
        <v>2258</v>
      </c>
      <c r="H3004" s="598">
        <v>14247231</v>
      </c>
      <c r="I3004" s="322" t="s">
        <v>2259</v>
      </c>
      <c r="J3004" s="418"/>
      <c r="K3004" s="248"/>
      <c r="M3004" s="366"/>
      <c r="AF3004">
        <v>6</v>
      </c>
    </row>
    <row r="3005" spans="1:32" x14ac:dyDescent="0.25">
      <c r="A3005" s="308">
        <v>45588</v>
      </c>
      <c r="B3005" s="416">
        <v>1271790</v>
      </c>
      <c r="C3005" s="413" t="str">
        <f>IFERROR(INDEX(Table14[],MATCH($B3005,Table14[SAPNo],0),3),"")</f>
        <v xml:space="preserve">1613 CT170 18-60 </v>
      </c>
      <c r="D3005" s="306"/>
      <c r="E3005" s="421">
        <v>17</v>
      </c>
      <c r="F3005" s="421"/>
      <c r="G3005" s="417" t="s">
        <v>2258</v>
      </c>
      <c r="H3005" s="598">
        <v>14247231</v>
      </c>
      <c r="I3005" s="322" t="s">
        <v>2259</v>
      </c>
      <c r="J3005" s="418"/>
      <c r="K3005" s="248"/>
      <c r="M3005" s="366"/>
      <c r="AF3005">
        <v>17</v>
      </c>
    </row>
    <row r="3006" spans="1:32" x14ac:dyDescent="0.25">
      <c r="A3006" s="308">
        <v>45588</v>
      </c>
      <c r="B3006" s="416">
        <v>1208601</v>
      </c>
      <c r="C3006" s="413" t="str">
        <f>IFERROR(INDEX(Table14[],MATCH($B3006,Table14[SAPNo],0),3),"")</f>
        <v>1613 CT418 U-60</v>
      </c>
      <c r="D3006" s="306"/>
      <c r="E3006" s="421">
        <v>8</v>
      </c>
      <c r="F3006" s="421"/>
      <c r="G3006" s="417" t="s">
        <v>2258</v>
      </c>
      <c r="H3006" s="598">
        <v>14247231</v>
      </c>
      <c r="I3006" s="322" t="s">
        <v>2259</v>
      </c>
      <c r="J3006" s="418"/>
      <c r="K3006" s="248"/>
      <c r="M3006" s="366"/>
      <c r="AF3006">
        <v>8</v>
      </c>
    </row>
    <row r="3007" spans="1:32" x14ac:dyDescent="0.25">
      <c r="A3007" s="308">
        <v>45588</v>
      </c>
      <c r="B3007" s="416">
        <v>1146737</v>
      </c>
      <c r="C3007" s="413" t="str">
        <f>IFERROR(INDEX(Table14[],MATCH($B3007,Table14[SAPNo],0),3),"")</f>
        <v>1613 CT418 18-60</v>
      </c>
      <c r="D3007" s="306"/>
      <c r="E3007" s="421">
        <v>6</v>
      </c>
      <c r="F3007" s="421"/>
      <c r="G3007" s="417" t="s">
        <v>2258</v>
      </c>
      <c r="H3007" s="598">
        <v>14247231</v>
      </c>
      <c r="I3007" s="322" t="s">
        <v>2259</v>
      </c>
      <c r="J3007" s="418"/>
      <c r="K3007" s="248"/>
      <c r="M3007" s="366"/>
      <c r="AF3007">
        <v>6</v>
      </c>
    </row>
    <row r="3008" spans="1:32" x14ac:dyDescent="0.25">
      <c r="A3008" s="320">
        <v>45588</v>
      </c>
      <c r="B3008" s="419">
        <v>1078377</v>
      </c>
      <c r="C3008" s="413" t="str">
        <f>IFERROR(INDEX(Table14[],MATCH($B3008,Table14[SAPNo],0),3),"")</f>
        <v>13MM CT221 R1</v>
      </c>
      <c r="D3008" s="306"/>
      <c r="E3008" s="421">
        <v>15</v>
      </c>
      <c r="F3008" s="421"/>
      <c r="G3008" s="420" t="s">
        <v>2258</v>
      </c>
      <c r="H3008" s="599">
        <v>14247231</v>
      </c>
      <c r="I3008" s="322" t="s">
        <v>2259</v>
      </c>
      <c r="J3008" s="421"/>
      <c r="K3008" s="422"/>
      <c r="M3008" s="366"/>
      <c r="AF3008">
        <v>15</v>
      </c>
    </row>
    <row r="3009" spans="1:32" x14ac:dyDescent="0.25">
      <c r="A3009" s="308">
        <v>45589</v>
      </c>
      <c r="B3009" s="416">
        <v>418525</v>
      </c>
      <c r="C3009" s="413" t="str">
        <f>IFERROR(INDEX(Table14[],MATCH($B3009,Table14[SAPNo],0),3),"")</f>
        <v>Drop In 1308 CT31   (B)</v>
      </c>
      <c r="D3009" s="306"/>
      <c r="E3009" s="421">
        <v>6</v>
      </c>
      <c r="F3009" s="421"/>
      <c r="G3009" s="417" t="s">
        <v>2260</v>
      </c>
      <c r="H3009" s="598">
        <v>14247228</v>
      </c>
      <c r="I3009" s="322" t="s">
        <v>2259</v>
      </c>
      <c r="J3009" s="418"/>
      <c r="K3009" s="248"/>
      <c r="M3009" s="422"/>
      <c r="AF3009">
        <v>6</v>
      </c>
    </row>
    <row r="3010" spans="1:32" x14ac:dyDescent="0.25">
      <c r="A3010" s="308">
        <v>45589</v>
      </c>
      <c r="B3010" s="416">
        <v>1271790</v>
      </c>
      <c r="C3010" s="413" t="str">
        <f>IFERROR(INDEX(Table14[],MATCH($B3010,Table14[SAPNo],0),3),"")</f>
        <v xml:space="preserve">1613 CT170 18-60 </v>
      </c>
      <c r="D3010" s="306"/>
      <c r="E3010" s="421">
        <v>17</v>
      </c>
      <c r="F3010" s="421"/>
      <c r="G3010" s="417" t="s">
        <v>2260</v>
      </c>
      <c r="H3010" s="598">
        <v>14247228</v>
      </c>
      <c r="I3010" s="322" t="s">
        <v>2259</v>
      </c>
      <c r="J3010" s="418"/>
      <c r="K3010" s="248"/>
      <c r="M3010" s="366"/>
      <c r="AF3010">
        <v>17</v>
      </c>
    </row>
    <row r="3011" spans="1:32" x14ac:dyDescent="0.25">
      <c r="A3011" s="308">
        <v>45589</v>
      </c>
      <c r="B3011" s="416">
        <v>1208601</v>
      </c>
      <c r="C3011" s="413" t="str">
        <f>IFERROR(INDEX(Table14[],MATCH($B3011,Table14[SAPNo],0),3),"")</f>
        <v>1613 CT418 U-60</v>
      </c>
      <c r="D3011" s="306"/>
      <c r="E3011" s="421">
        <v>8</v>
      </c>
      <c r="F3011" s="421"/>
      <c r="G3011" s="417" t="s">
        <v>2260</v>
      </c>
      <c r="H3011" s="598">
        <v>14247228</v>
      </c>
      <c r="I3011" s="322" t="s">
        <v>2259</v>
      </c>
      <c r="J3011" s="418"/>
      <c r="K3011" s="248"/>
      <c r="M3011" s="366"/>
      <c r="AF3011">
        <v>8</v>
      </c>
    </row>
    <row r="3012" spans="1:32" x14ac:dyDescent="0.25">
      <c r="A3012" s="308">
        <v>45589</v>
      </c>
      <c r="B3012" s="416">
        <v>1146737</v>
      </c>
      <c r="C3012" s="413" t="str">
        <f>IFERROR(INDEX(Table14[],MATCH($B3012,Table14[SAPNo],0),3),"")</f>
        <v>1613 CT418 18-60</v>
      </c>
      <c r="D3012" s="306"/>
      <c r="E3012" s="421">
        <v>6</v>
      </c>
      <c r="F3012" s="421"/>
      <c r="G3012" s="417" t="s">
        <v>2260</v>
      </c>
      <c r="H3012" s="598">
        <v>14247228</v>
      </c>
      <c r="I3012" s="322" t="s">
        <v>2259</v>
      </c>
      <c r="J3012" s="418"/>
      <c r="K3012" s="248"/>
      <c r="M3012" s="366"/>
      <c r="AF3012">
        <v>6</v>
      </c>
    </row>
    <row r="3013" spans="1:32" x14ac:dyDescent="0.25">
      <c r="A3013" s="320">
        <v>45589</v>
      </c>
      <c r="B3013" s="419">
        <v>1078377</v>
      </c>
      <c r="C3013" s="413" t="str">
        <f>IFERROR(INDEX(Table14[],MATCH($B3013,Table14[SAPNo],0),3),"")</f>
        <v>13MM CT221 R1</v>
      </c>
      <c r="D3013" s="306"/>
      <c r="E3013" s="421">
        <v>15</v>
      </c>
      <c r="F3013" s="421"/>
      <c r="G3013" s="420" t="s">
        <v>2260</v>
      </c>
      <c r="H3013" s="599">
        <v>14247228</v>
      </c>
      <c r="I3013" s="322" t="s">
        <v>2259</v>
      </c>
      <c r="J3013" s="421"/>
      <c r="K3013" s="422"/>
      <c r="M3013" s="366"/>
      <c r="AF3013">
        <v>15</v>
      </c>
    </row>
    <row r="3014" spans="1:32" x14ac:dyDescent="0.25">
      <c r="A3014" s="320">
        <v>45592</v>
      </c>
      <c r="B3014" s="419">
        <v>708306</v>
      </c>
      <c r="C3014" s="413" t="str">
        <f>IFERROR(INDEX(Table14[],MATCH($B3014,Table14[SAPNo],0),3),"")</f>
        <v>Round 1913 CT200  0.018" (B)</v>
      </c>
      <c r="D3014" s="306"/>
      <c r="E3014" s="421">
        <v>1</v>
      </c>
      <c r="F3014" s="421"/>
      <c r="G3014" s="420" t="s">
        <v>2256</v>
      </c>
      <c r="H3014" s="599">
        <v>13633807</v>
      </c>
      <c r="I3014" s="322" t="s">
        <v>2207</v>
      </c>
      <c r="J3014" s="421"/>
      <c r="K3014" s="422"/>
      <c r="M3014" s="422"/>
      <c r="AF3014">
        <v>1</v>
      </c>
    </row>
    <row r="3015" spans="1:32" x14ac:dyDescent="0.25">
      <c r="A3015" s="320">
        <v>45587</v>
      </c>
      <c r="B3015" s="419">
        <v>418525</v>
      </c>
      <c r="C3015" s="413" t="str">
        <f>IFERROR(INDEX(Table14[],MATCH($B3015,Table14[SAPNo],0),3),"")</f>
        <v>Drop In 1308 CT31   (B)</v>
      </c>
      <c r="D3015" s="306"/>
      <c r="E3015" s="421">
        <v>4</v>
      </c>
      <c r="F3015" s="421"/>
      <c r="G3015" s="420" t="s">
        <v>2253</v>
      </c>
      <c r="H3015" s="599">
        <v>14228471</v>
      </c>
      <c r="I3015" s="322" t="s">
        <v>2254</v>
      </c>
      <c r="J3015" s="421"/>
      <c r="K3015" s="422"/>
      <c r="M3015" s="422"/>
      <c r="AF3015">
        <v>1</v>
      </c>
    </row>
    <row r="3016" spans="1:32" x14ac:dyDescent="0.25">
      <c r="A3016" s="320">
        <v>45593</v>
      </c>
      <c r="B3016" s="419">
        <v>1136984</v>
      </c>
      <c r="C3016" s="413" t="str">
        <f>IFERROR(INDEX(Table14[],MATCH($B3016,Table14[SAPNo],0),3),"")</f>
        <v>DBLMCHT 1313 CT182DM  10C (S)</v>
      </c>
      <c r="D3016" s="306"/>
      <c r="E3016" s="421"/>
      <c r="F3016" s="421"/>
      <c r="G3016" s="420" t="s">
        <v>2263</v>
      </c>
      <c r="H3016" s="599">
        <v>13730507</v>
      </c>
      <c r="I3016" s="322" t="s">
        <v>2264</v>
      </c>
      <c r="J3016" s="421"/>
      <c r="K3016" s="422" t="s">
        <v>2265</v>
      </c>
      <c r="M3016" s="422"/>
    </row>
    <row r="3017" spans="1:32" x14ac:dyDescent="0.25">
      <c r="A3017" s="308">
        <v>45593</v>
      </c>
      <c r="B3017" s="416">
        <v>1145493</v>
      </c>
      <c r="C3017" s="413" t="str">
        <f>IFERROR(INDEX(Table14[],MATCH($B3017,Table14[SAPNo],0),3),"")</f>
        <v>Round 1313 CT427  10C (S)</v>
      </c>
      <c r="D3017" s="306"/>
      <c r="E3017" s="421"/>
      <c r="F3017" s="421"/>
      <c r="G3017" s="420" t="s">
        <v>2266</v>
      </c>
      <c r="H3017" s="598">
        <v>13730507</v>
      </c>
      <c r="I3017" s="322" t="s">
        <v>2264</v>
      </c>
      <c r="J3017" s="418"/>
      <c r="K3017" s="420" t="s">
        <v>2266</v>
      </c>
      <c r="M3017" s="422"/>
    </row>
    <row r="3018" spans="1:32" x14ac:dyDescent="0.25">
      <c r="A3018" s="308">
        <v>45593</v>
      </c>
      <c r="B3018" s="416">
        <v>1101509</v>
      </c>
      <c r="C3018" s="413" t="str">
        <f>IFERROR(INDEX(Table14[],MATCH($B3018,Table14[SAPNo],0),3),"")</f>
        <v>Short IA 8    (C)</v>
      </c>
      <c r="D3018" s="306"/>
      <c r="E3018" s="421"/>
      <c r="F3018" s="421"/>
      <c r="G3018" s="420" t="s">
        <v>2267</v>
      </c>
      <c r="H3018" s="598">
        <v>13730507</v>
      </c>
      <c r="I3018" s="322" t="s">
        <v>2264</v>
      </c>
      <c r="J3018" s="418"/>
      <c r="K3018" s="420" t="s">
        <v>2267</v>
      </c>
      <c r="M3018" s="366"/>
    </row>
    <row r="3019" spans="1:32" x14ac:dyDescent="0.25">
      <c r="A3019" s="308">
        <v>45593</v>
      </c>
      <c r="B3019" s="416">
        <v>1104083</v>
      </c>
      <c r="C3019" s="413" t="str">
        <f>IFERROR(INDEX(Table14[],MATCH($B3019,Table14[SAPNo],0),3),"")</f>
        <v>1313 CT144H  10C (S)</v>
      </c>
      <c r="D3019" s="306"/>
      <c r="E3019" s="421"/>
      <c r="F3019" s="421"/>
      <c r="G3019" s="420" t="s">
        <v>2268</v>
      </c>
      <c r="H3019" s="598">
        <v>13730507</v>
      </c>
      <c r="I3019" s="322" t="s">
        <v>2264</v>
      </c>
      <c r="J3019" s="418"/>
      <c r="K3019" s="420" t="s">
        <v>2268</v>
      </c>
      <c r="M3019" s="366"/>
    </row>
    <row r="3020" spans="1:32" x14ac:dyDescent="0.25">
      <c r="A3020" s="320">
        <v>45593</v>
      </c>
      <c r="B3020" s="419">
        <v>1145493</v>
      </c>
      <c r="C3020" s="413" t="str">
        <f>IFERROR(INDEX(Table14[],MATCH($B3020,Table14[SAPNo],0),3),"")</f>
        <v>Round 1313 CT427  10C (S)</v>
      </c>
      <c r="D3020" s="306"/>
      <c r="E3020" s="421"/>
      <c r="F3020" s="421"/>
      <c r="G3020" s="420" t="s">
        <v>2269</v>
      </c>
      <c r="H3020" s="599">
        <v>13730507</v>
      </c>
      <c r="I3020" s="322" t="s">
        <v>2264</v>
      </c>
      <c r="J3020" s="421"/>
      <c r="K3020" s="422"/>
      <c r="M3020" s="366"/>
    </row>
    <row r="3021" spans="1:32" x14ac:dyDescent="0.25">
      <c r="A3021" s="308">
        <v>45593</v>
      </c>
      <c r="B3021" s="416">
        <v>418525</v>
      </c>
      <c r="C3021" s="413" t="str">
        <f>IFERROR(INDEX(Table14[],MATCH($B3021,Table14[SAPNo],0),3),"")</f>
        <v>Drop In 1308 CT31   (B)</v>
      </c>
      <c r="D3021" s="306"/>
      <c r="E3021" s="421">
        <v>6</v>
      </c>
      <c r="F3021" s="421"/>
      <c r="G3021" s="417" t="s">
        <v>2270</v>
      </c>
      <c r="H3021" s="598">
        <v>14247165</v>
      </c>
      <c r="I3021" s="322" t="s">
        <v>1074</v>
      </c>
      <c r="J3021" s="418"/>
      <c r="K3021" s="248"/>
      <c r="M3021" s="422"/>
      <c r="AF3021">
        <v>6</v>
      </c>
    </row>
    <row r="3022" spans="1:32" x14ac:dyDescent="0.25">
      <c r="A3022" s="308">
        <v>45593</v>
      </c>
      <c r="B3022" s="416">
        <v>1146346</v>
      </c>
      <c r="C3022" s="413" t="str">
        <f>IFERROR(INDEX(Table14[],MATCH($B3022,Table14[SAPNo],0),3),"")</f>
        <v>1313 CT418 18-60</v>
      </c>
      <c r="D3022" s="306"/>
      <c r="E3022" s="421">
        <v>7</v>
      </c>
      <c r="F3022" s="421"/>
      <c r="G3022" s="417" t="s">
        <v>2270</v>
      </c>
      <c r="H3022" s="598">
        <v>14247165</v>
      </c>
      <c r="I3022" s="322" t="s">
        <v>1074</v>
      </c>
      <c r="J3022" s="418"/>
      <c r="K3022" s="248"/>
      <c r="M3022" s="366"/>
      <c r="AF3022">
        <v>7</v>
      </c>
    </row>
    <row r="3023" spans="1:32" x14ac:dyDescent="0.25">
      <c r="A3023" s="308">
        <v>45593</v>
      </c>
      <c r="B3023" s="416">
        <v>1104083</v>
      </c>
      <c r="C3023" s="413" t="str">
        <f>IFERROR(INDEX(Table14[],MATCH($B3023,Table14[SAPNo],0),3),"")</f>
        <v>1313 CT144H  10C (S)</v>
      </c>
      <c r="D3023" s="306"/>
      <c r="E3023" s="421">
        <v>1</v>
      </c>
      <c r="F3023" s="421"/>
      <c r="G3023" s="417" t="s">
        <v>2270</v>
      </c>
      <c r="H3023" s="598">
        <v>14247165</v>
      </c>
      <c r="I3023" s="322" t="s">
        <v>1074</v>
      </c>
      <c r="J3023" s="418"/>
      <c r="K3023" s="248"/>
      <c r="M3023" s="366"/>
      <c r="AF3023">
        <v>1</v>
      </c>
    </row>
    <row r="3024" spans="1:32" x14ac:dyDescent="0.25">
      <c r="A3024" s="308">
        <v>45593</v>
      </c>
      <c r="B3024" s="416">
        <v>1101509</v>
      </c>
      <c r="C3024" s="413" t="str">
        <f>IFERROR(INDEX(Table14[],MATCH($B3024,Table14[SAPNo],0),3),"")</f>
        <v>Short IA 8    (C)</v>
      </c>
      <c r="D3024" s="306"/>
      <c r="E3024" s="421">
        <v>5</v>
      </c>
      <c r="F3024" s="421"/>
      <c r="G3024" s="417" t="s">
        <v>2270</v>
      </c>
      <c r="H3024" s="598">
        <v>14247165</v>
      </c>
      <c r="I3024" s="322" t="s">
        <v>1074</v>
      </c>
      <c r="J3024" s="418"/>
      <c r="K3024" s="248"/>
      <c r="M3024" s="366"/>
      <c r="AF3024">
        <v>5</v>
      </c>
    </row>
    <row r="3025" spans="1:32" x14ac:dyDescent="0.25">
      <c r="A3025" s="308">
        <v>45593</v>
      </c>
      <c r="B3025" s="416">
        <v>1100696</v>
      </c>
      <c r="C3025" s="413" t="str">
        <f>IFERROR(INDEX(Table14[],MATCH($B3025,Table14[SAPNo],0),3),"")</f>
        <v>Round 1313 CT418  10C (S)</v>
      </c>
      <c r="D3025" s="306"/>
      <c r="E3025" s="421">
        <v>5</v>
      </c>
      <c r="F3025" s="421"/>
      <c r="G3025" s="417" t="s">
        <v>2270</v>
      </c>
      <c r="H3025" s="598">
        <v>14247165</v>
      </c>
      <c r="I3025" s="322" t="s">
        <v>1074</v>
      </c>
      <c r="J3025" s="418"/>
      <c r="K3025" s="248"/>
      <c r="M3025" s="366"/>
      <c r="AF3025">
        <v>5</v>
      </c>
    </row>
    <row r="3026" spans="1:32" x14ac:dyDescent="0.25">
      <c r="A3026" s="320">
        <v>45593</v>
      </c>
      <c r="B3026" s="419">
        <v>1136984</v>
      </c>
      <c r="C3026" s="413" t="str">
        <f>IFERROR(INDEX(Table14[],MATCH($B3026,Table14[SAPNo],0),3),"")</f>
        <v>DBLMCHT 1313 CT182DM  10C (S)</v>
      </c>
      <c r="D3026" s="306"/>
      <c r="E3026" s="421"/>
      <c r="F3026" s="421"/>
      <c r="G3026" s="420" t="s">
        <v>2271</v>
      </c>
      <c r="H3026" s="599">
        <v>14247165</v>
      </c>
      <c r="I3026" s="322" t="s">
        <v>1074</v>
      </c>
      <c r="J3026" s="421"/>
      <c r="K3026" s="422" t="s">
        <v>2272</v>
      </c>
      <c r="M3026" s="473" t="s">
        <v>2273</v>
      </c>
    </row>
    <row r="3027" spans="1:32" x14ac:dyDescent="0.25">
      <c r="A3027" s="308">
        <v>45597</v>
      </c>
      <c r="B3027" s="416">
        <v>717748</v>
      </c>
      <c r="C3027" s="413" t="str">
        <f>IFERROR(INDEX(Table14[],MATCH($B3027,Table14[SAPNo],0),3),"")</f>
        <v>Round 1010 CT200  0.018" (B)</v>
      </c>
      <c r="D3027" s="306"/>
      <c r="E3027" s="421"/>
      <c r="F3027" s="421"/>
      <c r="G3027" s="417">
        <v>20241143</v>
      </c>
      <c r="H3027" s="598" t="s">
        <v>1870</v>
      </c>
      <c r="I3027" s="322" t="s">
        <v>1268</v>
      </c>
      <c r="J3027" s="418">
        <v>5</v>
      </c>
      <c r="K3027" s="248"/>
      <c r="M3027" s="422"/>
    </row>
    <row r="3028" spans="1:32" x14ac:dyDescent="0.25">
      <c r="A3028" s="308">
        <v>45597</v>
      </c>
      <c r="B3028" s="416">
        <v>578502</v>
      </c>
      <c r="C3028" s="413" t="str">
        <f>IFERROR(INDEX(Table14[],MATCH($B3028,Table14[SAPNo],0),3),"")</f>
        <v>Round 1010 CT61  0.018" (B)</v>
      </c>
      <c r="D3028" s="306"/>
      <c r="E3028" s="421"/>
      <c r="F3028" s="421"/>
      <c r="G3028" s="417">
        <v>20241143</v>
      </c>
      <c r="H3028" s="598" t="s">
        <v>1870</v>
      </c>
      <c r="I3028" s="322" t="s">
        <v>1268</v>
      </c>
      <c r="J3028" s="418">
        <v>11</v>
      </c>
      <c r="K3028" s="248"/>
      <c r="M3028" s="366"/>
    </row>
    <row r="3029" spans="1:32" x14ac:dyDescent="0.25">
      <c r="A3029" s="308">
        <v>45597</v>
      </c>
      <c r="B3029" s="416">
        <v>1145493</v>
      </c>
      <c r="C3029" s="413" t="str">
        <f>IFERROR(INDEX(Table14[],MATCH($B3029,Table14[SAPNo],0),3),"")</f>
        <v>Round 1313 CT427  10C (S)</v>
      </c>
      <c r="D3029" s="306"/>
      <c r="E3029" s="421"/>
      <c r="F3029" s="421"/>
      <c r="G3029" s="417" t="s">
        <v>2274</v>
      </c>
      <c r="H3029" s="598" t="s">
        <v>2275</v>
      </c>
      <c r="I3029" s="322" t="s">
        <v>1282</v>
      </c>
      <c r="J3029" s="418">
        <v>6</v>
      </c>
      <c r="K3029" s="248"/>
      <c r="M3029" s="366"/>
    </row>
    <row r="3030" spans="1:32" x14ac:dyDescent="0.25">
      <c r="A3030" s="308">
        <v>45597</v>
      </c>
      <c r="B3030" s="416">
        <v>1272309</v>
      </c>
      <c r="C3030" s="413" t="str">
        <f>IFERROR(INDEX(Table14[],MATCH($B3030,Table14[SAPNo],0),3),"")</f>
        <v>1313 CT170T U</v>
      </c>
      <c r="D3030" s="306"/>
      <c r="E3030" s="421">
        <v>1</v>
      </c>
      <c r="F3030" s="421"/>
      <c r="G3030" s="417">
        <v>20241173</v>
      </c>
      <c r="H3030" s="598" t="s">
        <v>2276</v>
      </c>
      <c r="I3030" s="322" t="s">
        <v>2196</v>
      </c>
      <c r="J3030" s="418"/>
      <c r="K3030" s="248"/>
      <c r="M3030" s="366"/>
      <c r="AF3030">
        <v>1</v>
      </c>
    </row>
    <row r="3031" spans="1:32" x14ac:dyDescent="0.25">
      <c r="A3031" s="308">
        <v>45597</v>
      </c>
      <c r="B3031" s="416">
        <v>1100696</v>
      </c>
      <c r="C3031" s="413" t="str">
        <f>IFERROR(INDEX(Table14[],MATCH($B3031,Table14[SAPNo],0),3),"")</f>
        <v>Round 1313 CT418  10C (S)</v>
      </c>
      <c r="D3031" s="306"/>
      <c r="E3031" s="421">
        <v>2</v>
      </c>
      <c r="F3031" s="421"/>
      <c r="G3031" s="417">
        <v>20241173</v>
      </c>
      <c r="H3031" s="598" t="s">
        <v>2276</v>
      </c>
      <c r="I3031" s="322" t="s">
        <v>2196</v>
      </c>
      <c r="J3031" s="418"/>
      <c r="K3031" s="248"/>
      <c r="M3031" s="366"/>
      <c r="AF3031">
        <v>2</v>
      </c>
    </row>
    <row r="3032" spans="1:32" x14ac:dyDescent="0.25">
      <c r="A3032" s="308">
        <v>45597</v>
      </c>
      <c r="B3032" s="416">
        <v>1100696</v>
      </c>
      <c r="C3032" s="413" t="str">
        <f>IFERROR(INDEX(Table14[],MATCH($B3032,Table14[SAPNo],0),3),"")</f>
        <v>Round 1313 CT418  10C (S)</v>
      </c>
      <c r="D3032" s="306"/>
      <c r="E3032" s="421">
        <v>6</v>
      </c>
      <c r="F3032" s="421"/>
      <c r="G3032" s="417" t="s">
        <v>2218</v>
      </c>
      <c r="H3032" s="598">
        <v>13994928</v>
      </c>
      <c r="I3032" s="322" t="s">
        <v>2277</v>
      </c>
      <c r="J3032" s="418"/>
      <c r="K3032" s="248"/>
      <c r="M3032" s="366"/>
      <c r="AF3032">
        <v>6</v>
      </c>
    </row>
    <row r="3033" spans="1:32" x14ac:dyDescent="0.25">
      <c r="A3033" s="308">
        <v>45597</v>
      </c>
      <c r="B3033" s="416">
        <v>1100696</v>
      </c>
      <c r="C3033" s="413" t="str">
        <f>IFERROR(INDEX(Table14[],MATCH($B3033,Table14[SAPNo],0),3),"")</f>
        <v>Round 1313 CT418  10C (S)</v>
      </c>
      <c r="D3033" s="306"/>
      <c r="E3033" s="421">
        <v>4</v>
      </c>
      <c r="F3033" s="421"/>
      <c r="G3033" s="417" t="s">
        <v>2278</v>
      </c>
      <c r="H3033" s="598">
        <v>13567156</v>
      </c>
      <c r="I3033" s="322" t="s">
        <v>2244</v>
      </c>
      <c r="J3033" s="418"/>
      <c r="K3033" s="248"/>
      <c r="M3033" s="366"/>
      <c r="AF3033">
        <v>4</v>
      </c>
    </row>
    <row r="3034" spans="1:32" x14ac:dyDescent="0.25">
      <c r="A3034" s="308">
        <v>45597</v>
      </c>
      <c r="B3034" s="416">
        <v>1100696</v>
      </c>
      <c r="C3034" s="413" t="str">
        <f>IFERROR(INDEX(Table14[],MATCH($B3034,Table14[SAPNo],0),3),"")</f>
        <v>Round 1313 CT418  10C (S)</v>
      </c>
      <c r="D3034" s="306"/>
      <c r="E3034" s="421">
        <v>6</v>
      </c>
      <c r="F3034" s="421"/>
      <c r="G3034" s="417" t="s">
        <v>2279</v>
      </c>
      <c r="H3034" s="598">
        <v>13509985</v>
      </c>
      <c r="I3034" s="322" t="s">
        <v>2219</v>
      </c>
      <c r="J3034" s="418"/>
      <c r="K3034" s="248"/>
      <c r="M3034" s="366"/>
      <c r="AF3034">
        <v>6</v>
      </c>
    </row>
    <row r="3035" spans="1:32" x14ac:dyDescent="0.25">
      <c r="A3035" s="308">
        <v>45587</v>
      </c>
      <c r="B3035" s="416">
        <v>1271790</v>
      </c>
      <c r="C3035" s="413" t="str">
        <f>IFERROR(INDEX(Table14[],MATCH($B3035,Table14[SAPNo],0),3),"")</f>
        <v xml:space="preserve">1613 CT170 18-60 </v>
      </c>
      <c r="D3035" s="306"/>
      <c r="E3035" s="421">
        <v>2</v>
      </c>
      <c r="F3035" s="421"/>
      <c r="G3035" s="417" t="s">
        <v>2253</v>
      </c>
      <c r="H3035" s="598">
        <v>14228471</v>
      </c>
      <c r="I3035" s="322" t="s">
        <v>2254</v>
      </c>
      <c r="J3035" s="418"/>
      <c r="K3035" s="248"/>
      <c r="M3035" s="366"/>
      <c r="AF3035">
        <v>5</v>
      </c>
    </row>
    <row r="3036" spans="1:32" x14ac:dyDescent="0.25">
      <c r="A3036" s="320">
        <v>45587</v>
      </c>
      <c r="B3036" s="419">
        <v>1146737</v>
      </c>
      <c r="C3036" s="413" t="str">
        <f>IFERROR(INDEX(Table14[],MATCH($B3036,Table14[SAPNo],0),3),"")</f>
        <v>1613 CT418 18-60</v>
      </c>
      <c r="D3036" s="306"/>
      <c r="E3036" s="421">
        <v>1</v>
      </c>
      <c r="F3036" s="421"/>
      <c r="G3036" s="420" t="s">
        <v>2253</v>
      </c>
      <c r="H3036" s="599">
        <v>14228471</v>
      </c>
      <c r="I3036" s="322" t="s">
        <v>2254</v>
      </c>
      <c r="J3036" s="421"/>
      <c r="K3036" s="422"/>
      <c r="M3036" s="366"/>
      <c r="AF3036">
        <v>1</v>
      </c>
    </row>
    <row r="3037" spans="1:32" x14ac:dyDescent="0.25">
      <c r="A3037" s="320">
        <v>45599</v>
      </c>
      <c r="B3037" s="419">
        <v>1209332</v>
      </c>
      <c r="C3037" s="413" t="str">
        <f>IFERROR(INDEX(Table14[],MATCH($B3037,Table14[SAPNo],0),3),"")</f>
        <v>1313 CT147G U</v>
      </c>
      <c r="D3037" s="306"/>
      <c r="E3037" s="421"/>
      <c r="F3037" s="421"/>
      <c r="G3037" s="420" t="s">
        <v>2282</v>
      </c>
      <c r="H3037" s="599" t="s">
        <v>2283</v>
      </c>
      <c r="I3037" s="322" t="s">
        <v>1781</v>
      </c>
      <c r="J3037" s="421"/>
      <c r="K3037" s="422" t="s">
        <v>2284</v>
      </c>
      <c r="M3037" s="422"/>
    </row>
    <row r="3038" spans="1:32" x14ac:dyDescent="0.25">
      <c r="A3038" s="308">
        <v>45599</v>
      </c>
      <c r="B3038" s="416">
        <v>1209333</v>
      </c>
      <c r="C3038" s="413" t="str">
        <f>IFERROR(INDEX(Table14[],MATCH($B3038,Table14[SAPNo],0),3),"")</f>
        <v>1613 CT147G U</v>
      </c>
      <c r="D3038" s="306"/>
      <c r="E3038" s="421">
        <v>12</v>
      </c>
      <c r="F3038" s="421"/>
      <c r="G3038" s="417" t="s">
        <v>2285</v>
      </c>
      <c r="H3038" s="598">
        <v>14160196</v>
      </c>
      <c r="I3038" s="322" t="s">
        <v>2286</v>
      </c>
      <c r="J3038" s="418"/>
      <c r="K3038" s="248"/>
      <c r="M3038" s="422"/>
      <c r="AF3038">
        <v>12</v>
      </c>
    </row>
    <row r="3039" spans="1:32" x14ac:dyDescent="0.25">
      <c r="A3039" s="308">
        <v>45599</v>
      </c>
      <c r="B3039" s="416">
        <v>418525</v>
      </c>
      <c r="C3039" s="413" t="str">
        <f>IFERROR(INDEX(Table14[],MATCH($B3039,Table14[SAPNo],0),3),"")</f>
        <v>Drop In 1308 CT31   (B)</v>
      </c>
      <c r="D3039" s="306"/>
      <c r="E3039" s="421">
        <v>6</v>
      </c>
      <c r="F3039" s="421"/>
      <c r="G3039" s="417" t="s">
        <v>2285</v>
      </c>
      <c r="H3039" s="598">
        <v>14160196</v>
      </c>
      <c r="I3039" s="322" t="s">
        <v>2286</v>
      </c>
      <c r="J3039" s="418"/>
      <c r="K3039" s="248"/>
      <c r="M3039" s="366"/>
      <c r="AF3039">
        <v>6</v>
      </c>
    </row>
    <row r="3040" spans="1:32" x14ac:dyDescent="0.25">
      <c r="A3040" s="308">
        <v>45599</v>
      </c>
      <c r="B3040" s="416">
        <v>625854</v>
      </c>
      <c r="C3040" s="413" t="str">
        <f>IFERROR(INDEX(Table14[],MATCH($B3040,Table14[SAPNo],0),3),"")</f>
        <v>Carbide IA 1318    (C)</v>
      </c>
      <c r="D3040" s="306"/>
      <c r="E3040" s="421">
        <v>6</v>
      </c>
      <c r="F3040" s="421"/>
      <c r="G3040" s="417" t="s">
        <v>2285</v>
      </c>
      <c r="H3040" s="598">
        <v>14160196</v>
      </c>
      <c r="I3040" s="322" t="s">
        <v>2286</v>
      </c>
      <c r="J3040" s="418"/>
      <c r="K3040" s="248"/>
      <c r="M3040" s="366"/>
      <c r="AF3040">
        <v>6</v>
      </c>
    </row>
    <row r="3041" spans="1:32" x14ac:dyDescent="0.25">
      <c r="A3041" s="308">
        <v>45599</v>
      </c>
      <c r="B3041" s="416">
        <v>1208601</v>
      </c>
      <c r="C3041" s="413" t="str">
        <f>IFERROR(INDEX(Table14[],MATCH($B3041,Table14[SAPNo],0),3),"")</f>
        <v>1613 CT418 U-60</v>
      </c>
      <c r="D3041" s="306"/>
      <c r="E3041" s="421">
        <v>13</v>
      </c>
      <c r="F3041" s="421"/>
      <c r="G3041" s="417" t="s">
        <v>2285</v>
      </c>
      <c r="H3041" s="598">
        <v>14160196</v>
      </c>
      <c r="I3041" s="322" t="s">
        <v>2286</v>
      </c>
      <c r="J3041" s="418"/>
      <c r="K3041" s="248"/>
      <c r="M3041" s="366"/>
      <c r="AF3041">
        <v>13</v>
      </c>
    </row>
    <row r="3042" spans="1:32" x14ac:dyDescent="0.25">
      <c r="A3042" s="308">
        <v>45599</v>
      </c>
      <c r="B3042" s="416">
        <v>1146737</v>
      </c>
      <c r="C3042" s="413" t="str">
        <f>IFERROR(INDEX(Table14[],MATCH($B3042,Table14[SAPNo],0),3),"")</f>
        <v>1613 CT418 18-60</v>
      </c>
      <c r="D3042" s="306"/>
      <c r="E3042" s="421">
        <v>6</v>
      </c>
      <c r="F3042" s="421"/>
      <c r="G3042" s="417" t="s">
        <v>2285</v>
      </c>
      <c r="H3042" s="598">
        <v>14160196</v>
      </c>
      <c r="I3042" s="322" t="s">
        <v>2286</v>
      </c>
      <c r="J3042" s="418"/>
      <c r="K3042" s="248"/>
      <c r="M3042" s="366"/>
      <c r="AF3042">
        <v>6</v>
      </c>
    </row>
    <row r="3043" spans="1:32" x14ac:dyDescent="0.25">
      <c r="A3043" s="320">
        <v>45600</v>
      </c>
      <c r="B3043" s="419">
        <v>1145493</v>
      </c>
      <c r="C3043" s="413" t="str">
        <f>IFERROR(INDEX(Table14[],MATCH($B3043,Table14[SAPNo],0),3),"")</f>
        <v>Round 1313 CT427  10C (S)</v>
      </c>
      <c r="D3043" s="306"/>
      <c r="E3043" s="421"/>
      <c r="F3043" s="421"/>
      <c r="G3043" s="420" t="s">
        <v>2287</v>
      </c>
      <c r="H3043" s="599" t="s">
        <v>2288</v>
      </c>
      <c r="I3043" s="322" t="s">
        <v>2185</v>
      </c>
      <c r="J3043" s="421"/>
      <c r="K3043" s="422" t="s">
        <v>2289</v>
      </c>
      <c r="M3043" s="366"/>
    </row>
    <row r="3044" spans="1:32" x14ac:dyDescent="0.25">
      <c r="A3044" s="320">
        <v>45600</v>
      </c>
      <c r="B3044" s="419">
        <v>1209332</v>
      </c>
      <c r="C3044" s="413" t="str">
        <f>IFERROR(INDEX(Table14[],MATCH($B3044,Table14[SAPNo],0),3),"")</f>
        <v>1313 CT147G U</v>
      </c>
      <c r="D3044" s="306"/>
      <c r="E3044" s="421"/>
      <c r="F3044" s="421"/>
      <c r="G3044" s="420" t="s">
        <v>2290</v>
      </c>
      <c r="H3044" s="599" t="s">
        <v>2288</v>
      </c>
      <c r="I3044" s="322" t="s">
        <v>2185</v>
      </c>
      <c r="J3044" s="421"/>
      <c r="K3044" s="422" t="s">
        <v>2291</v>
      </c>
      <c r="M3044" s="422"/>
    </row>
    <row r="3045" spans="1:32" x14ac:dyDescent="0.25">
      <c r="A3045" s="320">
        <v>45600</v>
      </c>
      <c r="B3045" s="419">
        <v>1145493</v>
      </c>
      <c r="C3045" s="413" t="str">
        <f>IFERROR(INDEX(Table14[],MATCH($B3045,Table14[SAPNo],0),3),"")</f>
        <v>Round 1313 CT427  10C (S)</v>
      </c>
      <c r="D3045" s="306"/>
      <c r="E3045" s="421"/>
      <c r="F3045" s="421"/>
      <c r="G3045" s="420" t="s">
        <v>2292</v>
      </c>
      <c r="H3045" s="599" t="s">
        <v>2293</v>
      </c>
      <c r="I3045" s="322" t="s">
        <v>2090</v>
      </c>
      <c r="J3045" s="421"/>
      <c r="K3045" s="422" t="s">
        <v>2294</v>
      </c>
      <c r="M3045" s="422"/>
    </row>
    <row r="3046" spans="1:32" x14ac:dyDescent="0.25">
      <c r="A3046" s="320">
        <v>45600</v>
      </c>
      <c r="B3046" s="419">
        <v>717747</v>
      </c>
      <c r="C3046" s="413" t="str">
        <f>IFERROR(INDEX(Table14[],MATCH($B3046,Table14[SAPNo],0),3),"")</f>
        <v>Round 1010 CT200  10C (B)</v>
      </c>
      <c r="D3046" s="306"/>
      <c r="E3046" s="421">
        <v>9</v>
      </c>
      <c r="F3046" s="421"/>
      <c r="G3046" s="420">
        <v>20241171</v>
      </c>
      <c r="H3046" s="599" t="s">
        <v>2295</v>
      </c>
      <c r="I3046" s="322" t="s">
        <v>1268</v>
      </c>
      <c r="J3046" s="421"/>
      <c r="K3046" s="422"/>
      <c r="M3046" s="422"/>
      <c r="AF3046">
        <v>9</v>
      </c>
    </row>
    <row r="3047" spans="1:32" x14ac:dyDescent="0.25">
      <c r="A3047" s="320">
        <v>45601</v>
      </c>
      <c r="B3047" s="419">
        <v>1146737</v>
      </c>
      <c r="C3047" s="413" t="str">
        <f>IFERROR(INDEX(Table14[],MATCH($B3047,Table14[SAPNo],0),3),"")</f>
        <v>1613 CT418 18-60</v>
      </c>
      <c r="D3047" s="306"/>
      <c r="E3047" s="421">
        <v>12</v>
      </c>
      <c r="F3047" s="421"/>
      <c r="G3047" s="420" t="s">
        <v>2296</v>
      </c>
      <c r="H3047" s="599">
        <v>13876054</v>
      </c>
      <c r="I3047" s="322" t="s">
        <v>2297</v>
      </c>
      <c r="J3047" s="421"/>
      <c r="K3047" s="422"/>
      <c r="M3047" s="422"/>
      <c r="AF3047">
        <v>12</v>
      </c>
    </row>
    <row r="3048" spans="1:32" x14ac:dyDescent="0.25">
      <c r="A3048" s="308">
        <v>45601</v>
      </c>
      <c r="B3048" s="416">
        <v>1126402</v>
      </c>
      <c r="C3048" s="413" t="str">
        <f>IFERROR(INDEX(Table14[],MATCH($B3048,Table14[SAPNo],0),3),"")</f>
        <v>1613 CT421 16-60</v>
      </c>
      <c r="D3048" s="306"/>
      <c r="E3048" s="421">
        <v>15</v>
      </c>
      <c r="F3048" s="421"/>
      <c r="G3048" s="417" t="s">
        <v>2296</v>
      </c>
      <c r="H3048" s="598">
        <v>13876054</v>
      </c>
      <c r="I3048" s="322" t="s">
        <v>2297</v>
      </c>
      <c r="J3048" s="418"/>
      <c r="K3048" s="248"/>
      <c r="M3048" s="422"/>
      <c r="AF3048">
        <v>15</v>
      </c>
    </row>
    <row r="3049" spans="1:32" x14ac:dyDescent="0.25">
      <c r="A3049" s="308">
        <v>45601</v>
      </c>
      <c r="B3049" s="416">
        <v>1261615</v>
      </c>
      <c r="C3049" s="413" t="str">
        <f>IFERROR(INDEX(Table14[],MATCH($B3049,Table14[SAPNo],0),3),"")</f>
        <v>1613 CT172R U</v>
      </c>
      <c r="D3049" s="306"/>
      <c r="E3049" s="421">
        <v>20</v>
      </c>
      <c r="F3049" s="421"/>
      <c r="G3049" s="417" t="s">
        <v>2296</v>
      </c>
      <c r="H3049" s="598">
        <v>13876054</v>
      </c>
      <c r="I3049" s="322" t="s">
        <v>2297</v>
      </c>
      <c r="J3049" s="418"/>
      <c r="K3049" s="248"/>
      <c r="M3049" s="366"/>
      <c r="AF3049">
        <v>20</v>
      </c>
    </row>
    <row r="3050" spans="1:32" x14ac:dyDescent="0.25">
      <c r="A3050" s="308">
        <v>45601</v>
      </c>
      <c r="B3050" s="416">
        <v>1263929</v>
      </c>
      <c r="C3050" s="413" t="str">
        <f>IFERROR(INDEX(Table14[],MATCH($B3050,Table14[SAPNo],0),3),"")</f>
        <v>1613 CT437 18-60</v>
      </c>
      <c r="D3050" s="306"/>
      <c r="E3050" s="421">
        <v>58</v>
      </c>
      <c r="F3050" s="421"/>
      <c r="G3050" s="417" t="s">
        <v>2296</v>
      </c>
      <c r="H3050" s="598">
        <v>13876054</v>
      </c>
      <c r="I3050" s="322" t="s">
        <v>2297</v>
      </c>
      <c r="J3050" s="418"/>
      <c r="K3050" s="248"/>
      <c r="M3050" s="366"/>
      <c r="AF3050">
        <v>58</v>
      </c>
    </row>
    <row r="3051" spans="1:32" x14ac:dyDescent="0.25">
      <c r="A3051" s="320">
        <v>45601</v>
      </c>
      <c r="B3051" s="419">
        <v>1261319</v>
      </c>
      <c r="C3051" s="413" t="str">
        <f>IFERROR(INDEX(Table14[],MATCH($B3051,Table14[SAPNo],0),3),"")</f>
        <v>1308 CT155 U-60</v>
      </c>
      <c r="D3051" s="306"/>
      <c r="E3051" s="421">
        <v>32</v>
      </c>
      <c r="F3051" s="421"/>
      <c r="G3051" s="420" t="s">
        <v>2298</v>
      </c>
      <c r="H3051" s="599" t="s">
        <v>2299</v>
      </c>
      <c r="I3051" s="322" t="s">
        <v>2300</v>
      </c>
      <c r="J3051" s="421"/>
      <c r="K3051" s="422"/>
      <c r="M3051" s="366"/>
      <c r="AF3051">
        <v>32</v>
      </c>
    </row>
    <row r="3052" spans="1:32" x14ac:dyDescent="0.25">
      <c r="A3052" s="320">
        <v>45601</v>
      </c>
      <c r="B3052" s="419">
        <v>1261319</v>
      </c>
      <c r="C3052" s="413" t="str">
        <f>IFERROR(INDEX(Table14[],MATCH($B3052,Table14[SAPNo],0),3),"")</f>
        <v>1308 CT155 U-60</v>
      </c>
      <c r="D3052" s="306"/>
      <c r="E3052" s="421">
        <v>32</v>
      </c>
      <c r="F3052" s="421"/>
      <c r="G3052" s="420" t="s">
        <v>2301</v>
      </c>
      <c r="H3052" s="599">
        <v>13460772</v>
      </c>
      <c r="I3052" s="322" t="s">
        <v>2240</v>
      </c>
      <c r="J3052" s="421"/>
      <c r="K3052" s="422"/>
      <c r="M3052" s="422"/>
      <c r="AF3052">
        <v>32</v>
      </c>
    </row>
    <row r="3053" spans="1:32" x14ac:dyDescent="0.25">
      <c r="A3053" s="320">
        <v>45602</v>
      </c>
      <c r="B3053" s="419">
        <v>1263929</v>
      </c>
      <c r="C3053" s="413" t="str">
        <f>IFERROR(INDEX(Table14[],MATCH($B3053,Table14[SAPNo],0),3),"")</f>
        <v>1613 CT437 18-60</v>
      </c>
      <c r="D3053" s="306"/>
      <c r="E3053" s="421">
        <v>65</v>
      </c>
      <c r="F3053" s="421"/>
      <c r="G3053" s="420" t="s">
        <v>2302</v>
      </c>
      <c r="H3053" s="599">
        <v>13607754</v>
      </c>
      <c r="I3053" s="322" t="s">
        <v>2303</v>
      </c>
      <c r="J3053" s="421"/>
      <c r="K3053" s="422"/>
      <c r="M3053" s="422"/>
      <c r="AF3053">
        <v>65</v>
      </c>
    </row>
    <row r="3054" spans="1:32" x14ac:dyDescent="0.25">
      <c r="A3054" s="308">
        <v>45602</v>
      </c>
      <c r="B3054" s="416">
        <v>1146737</v>
      </c>
      <c r="C3054" s="413" t="str">
        <f>IFERROR(INDEX(Table14[],MATCH($B3054,Table14[SAPNo],0),3),"")</f>
        <v>1613 CT418 18-60</v>
      </c>
      <c r="D3054" s="306"/>
      <c r="E3054" s="421">
        <v>9</v>
      </c>
      <c r="F3054" s="421"/>
      <c r="G3054" s="417" t="s">
        <v>2302</v>
      </c>
      <c r="H3054" s="598">
        <v>13607754</v>
      </c>
      <c r="I3054" s="322" t="s">
        <v>2303</v>
      </c>
      <c r="J3054" s="418"/>
      <c r="K3054" s="248"/>
      <c r="M3054" s="422"/>
      <c r="AF3054">
        <v>9</v>
      </c>
    </row>
    <row r="3055" spans="1:32" x14ac:dyDescent="0.25">
      <c r="A3055" s="308">
        <v>45602</v>
      </c>
      <c r="B3055" s="416">
        <v>1100755</v>
      </c>
      <c r="C3055" s="413" t="str">
        <f>IFERROR(INDEX(Table14[],MATCH($B3055,Table14[SAPNo],0),3),"")</f>
        <v>Round 1613 CT421  0.018" (S)</v>
      </c>
      <c r="D3055" s="306"/>
      <c r="E3055" s="421">
        <v>33</v>
      </c>
      <c r="F3055" s="421"/>
      <c r="G3055" s="417" t="s">
        <v>2304</v>
      </c>
      <c r="H3055" s="598">
        <v>14254495</v>
      </c>
      <c r="I3055" s="322" t="s">
        <v>2305</v>
      </c>
      <c r="J3055" s="418"/>
      <c r="K3055" s="248"/>
      <c r="M3055" s="366"/>
      <c r="AF3055">
        <v>33</v>
      </c>
    </row>
    <row r="3056" spans="1:32" x14ac:dyDescent="0.25">
      <c r="A3056" s="308">
        <v>45602</v>
      </c>
      <c r="B3056" s="416">
        <v>647435</v>
      </c>
      <c r="C3056" s="413" t="str">
        <f>IFERROR(INDEX(Table14[],MATCH($B3056,Table14[SAPNo],0),3),"")</f>
        <v>Round 1608 CT200  0.018" (B)</v>
      </c>
      <c r="D3056" s="306"/>
      <c r="E3056" s="421">
        <v>23</v>
      </c>
      <c r="F3056" s="421"/>
      <c r="G3056" s="417" t="s">
        <v>2304</v>
      </c>
      <c r="H3056" s="598">
        <v>14254495</v>
      </c>
      <c r="I3056" s="322" t="s">
        <v>2305</v>
      </c>
      <c r="J3056" s="418"/>
      <c r="K3056" s="248"/>
      <c r="M3056" s="366"/>
      <c r="AF3056">
        <v>23</v>
      </c>
    </row>
    <row r="3057" spans="1:32" x14ac:dyDescent="0.25">
      <c r="A3057" s="308">
        <v>45602</v>
      </c>
      <c r="B3057" s="416">
        <v>871781</v>
      </c>
      <c r="C3057" s="413" t="str">
        <f>IFERROR(INDEX(Table14[],MATCH($B3057,Table14[SAPNo],0),3),"")</f>
        <v>Round 1313 CT200  0.018" (B)</v>
      </c>
      <c r="D3057" s="306"/>
      <c r="E3057" s="421">
        <v>6</v>
      </c>
      <c r="F3057" s="421"/>
      <c r="G3057" s="417" t="s">
        <v>2304</v>
      </c>
      <c r="H3057" s="598">
        <v>14254495</v>
      </c>
      <c r="I3057" s="322" t="s">
        <v>2305</v>
      </c>
      <c r="J3057" s="418"/>
      <c r="K3057" s="248"/>
      <c r="M3057" s="366"/>
      <c r="AF3057">
        <v>6</v>
      </c>
    </row>
    <row r="3058" spans="1:32" x14ac:dyDescent="0.25">
      <c r="A3058" s="308">
        <v>45602</v>
      </c>
      <c r="B3058" s="416">
        <v>418525</v>
      </c>
      <c r="C3058" s="413" t="str">
        <f>IFERROR(INDEX(Table14[],MATCH($B3058,Table14[SAPNo],0),3),"")</f>
        <v>Drop In 1308 CT31   (B)</v>
      </c>
      <c r="D3058" s="306"/>
      <c r="E3058" s="421">
        <v>1</v>
      </c>
      <c r="F3058" s="421"/>
      <c r="G3058" s="417">
        <v>20241179</v>
      </c>
      <c r="H3058" s="598" t="s">
        <v>2306</v>
      </c>
      <c r="I3058" s="322" t="s">
        <v>1937</v>
      </c>
      <c r="J3058" s="418"/>
      <c r="K3058" s="248"/>
      <c r="M3058" s="366"/>
      <c r="AF3058">
        <v>1</v>
      </c>
    </row>
    <row r="3059" spans="1:32" x14ac:dyDescent="0.25">
      <c r="A3059" s="320">
        <v>45602</v>
      </c>
      <c r="B3059" s="419">
        <v>1100696</v>
      </c>
      <c r="C3059" s="413" t="str">
        <f>IFERROR(INDEX(Table14[],MATCH($B3059,Table14[SAPNo],0),3),"")</f>
        <v>Round 1313 CT418  10C (S)</v>
      </c>
      <c r="D3059" s="306"/>
      <c r="E3059" s="421">
        <v>1</v>
      </c>
      <c r="F3059" s="421"/>
      <c r="G3059" s="420">
        <v>20241179</v>
      </c>
      <c r="H3059" s="599" t="s">
        <v>2306</v>
      </c>
      <c r="I3059" s="322" t="s">
        <v>1937</v>
      </c>
      <c r="J3059" s="421"/>
      <c r="K3059" s="422"/>
      <c r="M3059" s="366"/>
      <c r="AF3059">
        <v>1</v>
      </c>
    </row>
    <row r="3060" spans="1:32" x14ac:dyDescent="0.25">
      <c r="A3060" s="320">
        <v>45603</v>
      </c>
      <c r="B3060" s="419">
        <v>1100755</v>
      </c>
      <c r="C3060" s="413" t="str">
        <f>IFERROR(INDEX(Table14[],MATCH($B3060,Table14[SAPNo],0),3),"")</f>
        <v>Round 1613 CT421  0.018" (S)</v>
      </c>
      <c r="D3060" s="306"/>
      <c r="E3060" s="421">
        <v>33</v>
      </c>
      <c r="F3060" s="421"/>
      <c r="G3060" s="420" t="s">
        <v>2307</v>
      </c>
      <c r="H3060" s="599">
        <v>14254496</v>
      </c>
      <c r="I3060" s="322" t="s">
        <v>2305</v>
      </c>
      <c r="J3060" s="421"/>
      <c r="K3060" s="422"/>
      <c r="M3060" s="422"/>
      <c r="AF3060">
        <v>33</v>
      </c>
    </row>
    <row r="3061" spans="1:32" x14ac:dyDescent="0.25">
      <c r="A3061" s="308">
        <v>45603</v>
      </c>
      <c r="B3061" s="416">
        <v>647435</v>
      </c>
      <c r="C3061" s="413" t="str">
        <f>IFERROR(INDEX(Table14[],MATCH($B3061,Table14[SAPNo],0),3),"")</f>
        <v>Round 1608 CT200  0.018" (B)</v>
      </c>
      <c r="D3061" s="306"/>
      <c r="E3061" s="421">
        <v>23</v>
      </c>
      <c r="F3061" s="421"/>
      <c r="G3061" s="420" t="s">
        <v>2307</v>
      </c>
      <c r="H3061" s="598">
        <v>14254496</v>
      </c>
      <c r="I3061" s="322" t="s">
        <v>2305</v>
      </c>
      <c r="J3061" s="418"/>
      <c r="K3061" s="248"/>
      <c r="M3061" s="422"/>
      <c r="AF3061">
        <v>23</v>
      </c>
    </row>
    <row r="3062" spans="1:32" x14ac:dyDescent="0.25">
      <c r="A3062" s="308">
        <v>45603</v>
      </c>
      <c r="B3062" s="416">
        <v>871781</v>
      </c>
      <c r="C3062" s="413" t="str">
        <f>IFERROR(INDEX(Table14[],MATCH($B3062,Table14[SAPNo],0),3),"")</f>
        <v>Round 1313 CT200  0.018" (B)</v>
      </c>
      <c r="D3062" s="306"/>
      <c r="E3062" s="421">
        <v>6</v>
      </c>
      <c r="F3062" s="421"/>
      <c r="G3062" s="420" t="s">
        <v>2307</v>
      </c>
      <c r="H3062" s="598">
        <v>14254496</v>
      </c>
      <c r="I3062" s="322" t="s">
        <v>2305</v>
      </c>
      <c r="J3062" s="418"/>
      <c r="K3062" s="248"/>
      <c r="M3062" s="366"/>
      <c r="AF3062">
        <v>6</v>
      </c>
    </row>
    <row r="3063" spans="1:32" x14ac:dyDescent="0.25">
      <c r="A3063" s="308">
        <v>45603</v>
      </c>
      <c r="B3063" s="416">
        <v>1100755</v>
      </c>
      <c r="C3063" s="413" t="str">
        <f>IFERROR(INDEX(Table14[],MATCH($B3063,Table14[SAPNo],0),3),"")</f>
        <v>Round 1613 CT421  0.018" (S)</v>
      </c>
      <c r="D3063" s="306"/>
      <c r="E3063" s="421">
        <v>33</v>
      </c>
      <c r="F3063" s="421"/>
      <c r="G3063" s="417" t="s">
        <v>2308</v>
      </c>
      <c r="H3063" s="598">
        <v>14273430</v>
      </c>
      <c r="I3063" s="322" t="s">
        <v>2305</v>
      </c>
      <c r="J3063" s="418"/>
      <c r="K3063" s="248"/>
      <c r="M3063" s="366"/>
      <c r="AF3063">
        <v>33</v>
      </c>
    </row>
    <row r="3064" spans="1:32" x14ac:dyDescent="0.25">
      <c r="A3064" s="308">
        <v>45603</v>
      </c>
      <c r="B3064" s="416">
        <v>647435</v>
      </c>
      <c r="C3064" s="413" t="str">
        <f>IFERROR(INDEX(Table14[],MATCH($B3064,Table14[SAPNo],0),3),"")</f>
        <v>Round 1608 CT200  0.018" (B)</v>
      </c>
      <c r="D3064" s="306"/>
      <c r="E3064" s="421">
        <v>23</v>
      </c>
      <c r="F3064" s="421"/>
      <c r="G3064" s="417" t="s">
        <v>2308</v>
      </c>
      <c r="H3064" s="598">
        <v>14273430</v>
      </c>
      <c r="I3064" s="322" t="s">
        <v>2305</v>
      </c>
      <c r="J3064" s="418"/>
      <c r="K3064" s="248"/>
      <c r="M3064" s="366"/>
      <c r="AF3064">
        <v>23</v>
      </c>
    </row>
    <row r="3065" spans="1:32" x14ac:dyDescent="0.25">
      <c r="A3065" s="308">
        <v>45603</v>
      </c>
      <c r="B3065" s="416">
        <v>871781</v>
      </c>
      <c r="C3065" s="413" t="str">
        <f>IFERROR(INDEX(Table14[],MATCH($B3065,Table14[SAPNo],0),3),"")</f>
        <v>Round 1313 CT200  0.018" (B)</v>
      </c>
      <c r="D3065" s="306"/>
      <c r="E3065" s="421">
        <v>6</v>
      </c>
      <c r="F3065" s="421"/>
      <c r="G3065" s="417" t="s">
        <v>2308</v>
      </c>
      <c r="H3065" s="598">
        <v>14273430</v>
      </c>
      <c r="I3065" s="322" t="s">
        <v>2305</v>
      </c>
      <c r="J3065" s="418"/>
      <c r="K3065" s="248"/>
      <c r="M3065" s="366"/>
      <c r="AF3065">
        <v>6</v>
      </c>
    </row>
    <row r="3066" spans="1:32" x14ac:dyDescent="0.25">
      <c r="A3066" s="308">
        <v>45587</v>
      </c>
      <c r="B3066" s="416">
        <v>1078377</v>
      </c>
      <c r="C3066" s="413" t="str">
        <f>IFERROR(INDEX(Table14[],MATCH($B3066,Table14[SAPNo],0),3),"")</f>
        <v>13MM CT221 R1</v>
      </c>
      <c r="D3066" s="306"/>
      <c r="E3066" s="421">
        <v>1</v>
      </c>
      <c r="F3066" s="421"/>
      <c r="G3066" s="417" t="s">
        <v>2253</v>
      </c>
      <c r="H3066" s="598">
        <v>14228471</v>
      </c>
      <c r="I3066" s="322" t="s">
        <v>2254</v>
      </c>
      <c r="J3066" s="418"/>
      <c r="K3066" s="248"/>
      <c r="M3066" s="366"/>
      <c r="AF3066">
        <v>6</v>
      </c>
    </row>
    <row r="3067" spans="1:32" x14ac:dyDescent="0.25">
      <c r="A3067" s="320">
        <v>45592</v>
      </c>
      <c r="B3067" s="419">
        <v>1146737</v>
      </c>
      <c r="C3067" s="413" t="str">
        <f>IFERROR(INDEX(Table14[],MATCH($B3067,Table14[SAPNo],0),3),"")</f>
        <v>1613 CT418 18-60</v>
      </c>
      <c r="D3067" s="306"/>
      <c r="E3067" s="421">
        <v>1</v>
      </c>
      <c r="F3067" s="421"/>
      <c r="G3067" s="420" t="s">
        <v>2261</v>
      </c>
      <c r="H3067" s="599" t="s">
        <v>2262</v>
      </c>
      <c r="I3067" s="322" t="s">
        <v>2188</v>
      </c>
      <c r="J3067" s="421"/>
      <c r="K3067" s="422"/>
      <c r="M3067" s="366"/>
      <c r="AF3067">
        <v>2</v>
      </c>
    </row>
    <row r="3068" spans="1:32" x14ac:dyDescent="0.25">
      <c r="A3068" s="308">
        <v>45597</v>
      </c>
      <c r="B3068" s="416">
        <v>418525</v>
      </c>
      <c r="C3068" s="413" t="str">
        <f>IFERROR(INDEX(Table14[],MATCH($B3068,Table14[SAPNo],0),3),"")</f>
        <v>Drop In 1308 CT31   (B)</v>
      </c>
      <c r="D3068" s="306"/>
      <c r="E3068" s="421">
        <v>5</v>
      </c>
      <c r="F3068" s="421"/>
      <c r="G3068" s="417" t="s">
        <v>2280</v>
      </c>
      <c r="H3068" s="598">
        <v>14247230</v>
      </c>
      <c r="I3068" s="322" t="s">
        <v>2281</v>
      </c>
      <c r="J3068" s="418"/>
      <c r="K3068" s="248"/>
      <c r="M3068" s="422"/>
      <c r="AF3068">
        <v>3</v>
      </c>
    </row>
    <row r="3069" spans="1:32" x14ac:dyDescent="0.25">
      <c r="A3069" s="308">
        <v>45607</v>
      </c>
      <c r="B3069" s="416">
        <v>871781</v>
      </c>
      <c r="C3069" s="413" t="str">
        <f>IFERROR(INDEX(Table14[],MATCH($B3069,Table14[SAPNo],0),3),"")</f>
        <v>Round 1313 CT200  0.018" (B)</v>
      </c>
      <c r="D3069" s="306"/>
      <c r="E3069" s="421">
        <v>3</v>
      </c>
      <c r="F3069" s="421"/>
      <c r="G3069" s="417" t="s">
        <v>2312</v>
      </c>
      <c r="H3069" s="598">
        <v>14254495</v>
      </c>
      <c r="I3069" s="322" t="s">
        <v>2305</v>
      </c>
      <c r="J3069" s="418"/>
      <c r="K3069" s="248"/>
      <c r="M3069" s="366"/>
      <c r="AF3069">
        <v>3</v>
      </c>
    </row>
    <row r="3070" spans="1:32" x14ac:dyDescent="0.25">
      <c r="A3070" s="308">
        <v>45607</v>
      </c>
      <c r="B3070" s="416">
        <v>708306</v>
      </c>
      <c r="C3070" s="413" t="str">
        <f>IFERROR(INDEX(Table14[],MATCH($B3070,Table14[SAPNo],0),3),"")</f>
        <v>Round 1913 CT200  0.018" (B)</v>
      </c>
      <c r="D3070" s="306"/>
      <c r="E3070" s="421">
        <v>1</v>
      </c>
      <c r="F3070" s="421"/>
      <c r="G3070" s="417" t="s">
        <v>2313</v>
      </c>
      <c r="H3070" s="598">
        <v>14210783</v>
      </c>
      <c r="I3070" s="322" t="s">
        <v>1130</v>
      </c>
      <c r="J3070" s="418"/>
      <c r="K3070" s="248"/>
      <c r="M3070" s="366"/>
      <c r="AF3070">
        <v>1</v>
      </c>
    </row>
    <row r="3071" spans="1:32" x14ac:dyDescent="0.25">
      <c r="A3071" s="308">
        <v>45607</v>
      </c>
      <c r="B3071" s="416">
        <v>1130200</v>
      </c>
      <c r="C3071" s="413" t="str">
        <f>IFERROR(INDEX(Table14[],MATCH($B3071,Table14[SAPNo],0),3),"")</f>
        <v>Round 1913 CT182  0.018" (S)</v>
      </c>
      <c r="D3071" s="306"/>
      <c r="E3071" s="421">
        <v>2</v>
      </c>
      <c r="F3071" s="421"/>
      <c r="G3071" s="417" t="s">
        <v>2313</v>
      </c>
      <c r="H3071" s="598">
        <v>14210783</v>
      </c>
      <c r="I3071" s="322" t="s">
        <v>1130</v>
      </c>
      <c r="J3071" s="418"/>
      <c r="K3071" s="248"/>
      <c r="M3071" s="366"/>
      <c r="AF3071">
        <v>2</v>
      </c>
    </row>
    <row r="3072" spans="1:32" x14ac:dyDescent="0.25">
      <c r="A3072" s="308">
        <v>45607</v>
      </c>
      <c r="B3072" s="416">
        <v>1271790</v>
      </c>
      <c r="C3072" s="413" t="str">
        <f>IFERROR(INDEX(Table14[],MATCH($B3072,Table14[SAPNo],0),3),"")</f>
        <v xml:space="preserve">1613 CT170 18-60 </v>
      </c>
      <c r="D3072" s="306"/>
      <c r="E3072" s="421">
        <v>17</v>
      </c>
      <c r="F3072" s="421"/>
      <c r="G3072" s="417" t="s">
        <v>2314</v>
      </c>
      <c r="H3072" s="598">
        <v>14190171</v>
      </c>
      <c r="I3072" s="322" t="s">
        <v>1993</v>
      </c>
      <c r="J3072" s="418"/>
      <c r="K3072" s="248"/>
      <c r="M3072" s="366"/>
      <c r="AF3072">
        <v>17</v>
      </c>
    </row>
    <row r="3073" spans="1:32" x14ac:dyDescent="0.25">
      <c r="A3073" s="308">
        <v>45607</v>
      </c>
      <c r="B3073" s="416">
        <v>1078377</v>
      </c>
      <c r="C3073" s="413" t="str">
        <f>IFERROR(INDEX(Table14[],MATCH($B3073,Table14[SAPNo],0),3),"")</f>
        <v>13MM CT221 R1</v>
      </c>
      <c r="D3073" s="306"/>
      <c r="E3073" s="421">
        <v>15</v>
      </c>
      <c r="F3073" s="421"/>
      <c r="G3073" s="417" t="s">
        <v>2314</v>
      </c>
      <c r="H3073" s="598">
        <v>14190171</v>
      </c>
      <c r="I3073" s="322" t="s">
        <v>1993</v>
      </c>
      <c r="J3073" s="418"/>
      <c r="K3073" s="248"/>
      <c r="M3073" s="366"/>
      <c r="AF3073">
        <v>15</v>
      </c>
    </row>
    <row r="3074" spans="1:32" x14ac:dyDescent="0.25">
      <c r="A3074" s="308">
        <v>45607</v>
      </c>
      <c r="B3074" s="416">
        <v>1208601</v>
      </c>
      <c r="C3074" s="413" t="str">
        <f>IFERROR(INDEX(Table14[],MATCH($B3074,Table14[SAPNo],0),3),"")</f>
        <v>1613 CT418 U-60</v>
      </c>
      <c r="D3074" s="306"/>
      <c r="E3074" s="421">
        <v>8</v>
      </c>
      <c r="F3074" s="421"/>
      <c r="G3074" s="417" t="s">
        <v>2314</v>
      </c>
      <c r="H3074" s="598">
        <v>14190171</v>
      </c>
      <c r="I3074" s="322" t="s">
        <v>1993</v>
      </c>
      <c r="J3074" s="418"/>
      <c r="K3074" s="248"/>
      <c r="M3074" s="366"/>
      <c r="AF3074">
        <v>8</v>
      </c>
    </row>
    <row r="3075" spans="1:32" x14ac:dyDescent="0.25">
      <c r="A3075" s="308">
        <v>45607</v>
      </c>
      <c r="B3075" s="416">
        <v>418525</v>
      </c>
      <c r="C3075" s="413" t="str">
        <f>IFERROR(INDEX(Table14[],MATCH($B3075,Table14[SAPNo],0),3),"")</f>
        <v>Drop In 1308 CT31   (B)</v>
      </c>
      <c r="D3075" s="306"/>
      <c r="E3075" s="421">
        <v>6</v>
      </c>
      <c r="F3075" s="421"/>
      <c r="G3075" s="417" t="s">
        <v>2314</v>
      </c>
      <c r="H3075" s="598">
        <v>14190171</v>
      </c>
      <c r="I3075" s="322" t="s">
        <v>1993</v>
      </c>
      <c r="J3075" s="418"/>
      <c r="K3075" s="248"/>
      <c r="M3075" s="366"/>
      <c r="AF3075">
        <v>6</v>
      </c>
    </row>
    <row r="3076" spans="1:32" x14ac:dyDescent="0.25">
      <c r="A3076" s="308">
        <v>45607</v>
      </c>
      <c r="B3076" s="416">
        <v>1146737</v>
      </c>
      <c r="C3076" s="413" t="str">
        <f>IFERROR(INDEX(Table14[],MATCH($B3076,Table14[SAPNo],0),3),"")</f>
        <v>1613 CT418 18-60</v>
      </c>
      <c r="D3076" s="306"/>
      <c r="E3076" s="421">
        <v>6</v>
      </c>
      <c r="F3076" s="421"/>
      <c r="G3076" s="417" t="s">
        <v>2314</v>
      </c>
      <c r="H3076" s="598">
        <v>14190171</v>
      </c>
      <c r="I3076" s="322" t="s">
        <v>1993</v>
      </c>
      <c r="J3076" s="418"/>
      <c r="K3076" s="248"/>
      <c r="M3076" s="366"/>
      <c r="AF3076">
        <v>6</v>
      </c>
    </row>
    <row r="3077" spans="1:32" x14ac:dyDescent="0.25">
      <c r="A3077" s="320">
        <v>45608</v>
      </c>
      <c r="B3077" s="419">
        <v>418525</v>
      </c>
      <c r="C3077" s="413" t="str">
        <f>IFERROR(INDEX(Table14[],MATCH($B3077,Table14[SAPNo],0),3),"")</f>
        <v>Drop In 1308 CT31   (B)</v>
      </c>
      <c r="D3077" s="306"/>
      <c r="E3077" s="421">
        <v>10</v>
      </c>
      <c r="F3077" s="421"/>
      <c r="G3077" s="420" t="s">
        <v>2315</v>
      </c>
      <c r="H3077" s="599">
        <v>14178486</v>
      </c>
      <c r="I3077" s="322" t="s">
        <v>1679</v>
      </c>
      <c r="J3077" s="421"/>
      <c r="K3077" s="422"/>
      <c r="M3077" s="366"/>
      <c r="AF3077">
        <v>10</v>
      </c>
    </row>
    <row r="3078" spans="1:32" x14ac:dyDescent="0.25">
      <c r="A3078" s="308">
        <v>45608</v>
      </c>
      <c r="B3078" s="416">
        <v>1100696</v>
      </c>
      <c r="C3078" s="413" t="str">
        <f>IFERROR(INDEX(Table14[],MATCH($B3078,Table14[SAPNo],0),3),"")</f>
        <v>Round 1313 CT418  10C (S)</v>
      </c>
      <c r="D3078" s="306"/>
      <c r="E3078" s="421">
        <v>16</v>
      </c>
      <c r="F3078" s="421"/>
      <c r="G3078" s="420" t="s">
        <v>2315</v>
      </c>
      <c r="H3078" s="598">
        <v>14178486</v>
      </c>
      <c r="I3078" s="322" t="s">
        <v>1679</v>
      </c>
      <c r="J3078" s="418"/>
      <c r="K3078" s="248"/>
      <c r="M3078" s="422"/>
      <c r="AF3078">
        <v>16</v>
      </c>
    </row>
    <row r="3079" spans="1:32" x14ac:dyDescent="0.25">
      <c r="A3079" s="308">
        <v>45608</v>
      </c>
      <c r="B3079" s="416">
        <v>1244299</v>
      </c>
      <c r="C3079" s="413" t="str">
        <f>IFERROR(INDEX(Table14[],MATCH($B3079,Table14[SAPNo],0),3),"")</f>
        <v>1313 CT147CV4 U</v>
      </c>
      <c r="D3079" s="306"/>
      <c r="E3079" s="421">
        <v>7</v>
      </c>
      <c r="F3079" s="421"/>
      <c r="G3079" s="420" t="s">
        <v>2315</v>
      </c>
      <c r="H3079" s="598">
        <v>14178486</v>
      </c>
      <c r="I3079" s="322" t="s">
        <v>1679</v>
      </c>
      <c r="J3079" s="418"/>
      <c r="K3079" s="248"/>
      <c r="M3079" s="366"/>
      <c r="AF3079">
        <v>7</v>
      </c>
    </row>
    <row r="3080" spans="1:32" x14ac:dyDescent="0.25">
      <c r="A3080" s="308">
        <v>45608</v>
      </c>
      <c r="B3080" s="416">
        <v>1261319</v>
      </c>
      <c r="C3080" s="413" t="str">
        <f>IFERROR(INDEX(Table14[],MATCH($B3080,Table14[SAPNo],0),3),"")</f>
        <v>1308 CT155 U-60</v>
      </c>
      <c r="D3080" s="306"/>
      <c r="E3080" s="421">
        <v>24</v>
      </c>
      <c r="F3080" s="421"/>
      <c r="G3080" s="420" t="s">
        <v>2316</v>
      </c>
      <c r="H3080" s="598">
        <v>14211856</v>
      </c>
      <c r="I3080" s="322" t="s">
        <v>2317</v>
      </c>
      <c r="J3080" s="418"/>
      <c r="K3080" s="248"/>
      <c r="M3080" s="366"/>
      <c r="AF3080">
        <v>24</v>
      </c>
    </row>
    <row r="3081" spans="1:32" x14ac:dyDescent="0.25">
      <c r="A3081" s="308">
        <v>45608</v>
      </c>
      <c r="B3081" s="416">
        <v>1228502</v>
      </c>
      <c r="C3081" s="413" t="str">
        <f>IFERROR(INDEX(Table14[],MATCH($B3081,Table14[SAPNo],0),3),"")</f>
        <v>1618 CT182 U-60 Rotor</v>
      </c>
      <c r="D3081" s="306"/>
      <c r="E3081" s="421">
        <v>10</v>
      </c>
      <c r="F3081" s="421"/>
      <c r="G3081" s="420" t="s">
        <v>2316</v>
      </c>
      <c r="H3081" s="598">
        <v>14211856</v>
      </c>
      <c r="I3081" s="322" t="s">
        <v>2317</v>
      </c>
      <c r="J3081" s="418"/>
      <c r="K3081" s="248"/>
      <c r="M3081" s="366"/>
      <c r="AF3081">
        <v>10</v>
      </c>
    </row>
    <row r="3082" spans="1:32" x14ac:dyDescent="0.25">
      <c r="A3082" s="308">
        <v>45608</v>
      </c>
      <c r="B3082" s="416">
        <v>1228503</v>
      </c>
      <c r="C3082" s="413" t="str">
        <f>IFERROR(INDEX(Table14[],MATCH($B3082,Table14[SAPNo],0),3),"")</f>
        <v>1618 CT182 U-60 Ring</v>
      </c>
      <c r="D3082" s="306"/>
      <c r="E3082" s="421">
        <v>10</v>
      </c>
      <c r="F3082" s="421"/>
      <c r="G3082" s="420" t="s">
        <v>2316</v>
      </c>
      <c r="H3082" s="598">
        <v>14211856</v>
      </c>
      <c r="I3082" s="322" t="s">
        <v>2317</v>
      </c>
      <c r="J3082" s="418"/>
      <c r="K3082" s="248"/>
      <c r="M3082" s="366"/>
      <c r="AF3082">
        <v>10</v>
      </c>
    </row>
    <row r="3083" spans="1:32" x14ac:dyDescent="0.25">
      <c r="A3083" s="308">
        <v>45608</v>
      </c>
      <c r="B3083" s="416">
        <v>1228501</v>
      </c>
      <c r="C3083" s="413" t="str">
        <f>IFERROR(INDEX(Table14[],MATCH($B3083,Table14[SAPNo],0),3),"")</f>
        <v>1618 CT182 U-60 stator</v>
      </c>
      <c r="D3083" s="306"/>
      <c r="E3083" s="421">
        <v>10</v>
      </c>
      <c r="F3083" s="421"/>
      <c r="G3083" s="420" t="s">
        <v>2316</v>
      </c>
      <c r="H3083" s="598">
        <v>14211856</v>
      </c>
      <c r="I3083" s="322" t="s">
        <v>2317</v>
      </c>
      <c r="J3083" s="418"/>
      <c r="K3083" s="248"/>
      <c r="M3083" s="366"/>
      <c r="AF3083">
        <v>10</v>
      </c>
    </row>
    <row r="3084" spans="1:32" x14ac:dyDescent="0.25">
      <c r="A3084" s="308">
        <v>45608</v>
      </c>
      <c r="B3084" s="416">
        <v>1220554</v>
      </c>
      <c r="C3084" s="413" t="str">
        <f>IFERROR(INDEX(Table14[],MATCH($B3084,Table14[SAPNo],0),3),"")</f>
        <v xml:space="preserve">1618 CT182 U-60 Carbide </v>
      </c>
      <c r="D3084" s="306"/>
      <c r="E3084" s="421">
        <v>10</v>
      </c>
      <c r="F3084" s="421"/>
      <c r="G3084" s="420" t="s">
        <v>2316</v>
      </c>
      <c r="H3084" s="598">
        <v>14211856</v>
      </c>
      <c r="I3084" s="322" t="s">
        <v>2317</v>
      </c>
      <c r="J3084" s="418"/>
      <c r="K3084" s="248"/>
      <c r="M3084" s="366"/>
      <c r="AF3084">
        <v>10</v>
      </c>
    </row>
    <row r="3085" spans="1:32" x14ac:dyDescent="0.25">
      <c r="A3085" s="320">
        <v>45608</v>
      </c>
      <c r="B3085" s="419">
        <v>871781</v>
      </c>
      <c r="C3085" s="413" t="str">
        <f>IFERROR(INDEX(Table14[],MATCH($B3085,Table14[SAPNo],0),3),"")</f>
        <v>Round 1313 CT200  0.018" (B)</v>
      </c>
      <c r="D3085" s="306"/>
      <c r="E3085" s="421">
        <v>6</v>
      </c>
      <c r="F3085" s="421"/>
      <c r="G3085" s="420" t="s">
        <v>2316</v>
      </c>
      <c r="H3085" s="599">
        <v>14211856</v>
      </c>
      <c r="I3085" s="322" t="s">
        <v>2317</v>
      </c>
      <c r="J3085" s="421"/>
      <c r="K3085" s="422"/>
      <c r="M3085" s="366"/>
      <c r="AF3085">
        <v>6</v>
      </c>
    </row>
    <row r="3086" spans="1:32" x14ac:dyDescent="0.25">
      <c r="A3086" s="308">
        <v>45608</v>
      </c>
      <c r="B3086" s="416">
        <v>1261320</v>
      </c>
      <c r="C3086" s="413" t="str">
        <f>IFERROR(INDEX(Table14[],MATCH($B3086,Table14[SAPNo],0),3),"")</f>
        <v>1313 CT155 U-60</v>
      </c>
      <c r="D3086" s="306"/>
      <c r="E3086" s="421">
        <v>6</v>
      </c>
      <c r="F3086" s="421"/>
      <c r="G3086" s="420" t="s">
        <v>2316</v>
      </c>
      <c r="H3086" s="598">
        <v>14211856</v>
      </c>
      <c r="I3086" s="322" t="s">
        <v>2317</v>
      </c>
      <c r="J3086" s="418"/>
      <c r="K3086" s="248"/>
      <c r="M3086" s="422"/>
      <c r="AF3086">
        <v>6</v>
      </c>
    </row>
    <row r="3087" spans="1:32" x14ac:dyDescent="0.25">
      <c r="A3087" s="320">
        <v>45608</v>
      </c>
      <c r="B3087" s="419">
        <v>1261321</v>
      </c>
      <c r="C3087" s="413" t="str">
        <f>IFERROR(INDEX(Table14[],MATCH($B3087,Table14[SAPNo],0),3),"")</f>
        <v>1613 CT155 U-60</v>
      </c>
      <c r="D3087" s="306"/>
      <c r="E3087" s="421">
        <v>4</v>
      </c>
      <c r="F3087" s="421"/>
      <c r="G3087" s="420" t="s">
        <v>2316</v>
      </c>
      <c r="H3087" s="599">
        <v>14211856</v>
      </c>
      <c r="I3087" s="322" t="s">
        <v>2317</v>
      </c>
      <c r="J3087" s="421"/>
      <c r="K3087" s="422"/>
      <c r="M3087" s="366"/>
      <c r="AF3087">
        <v>4</v>
      </c>
    </row>
    <row r="3088" spans="1:32" x14ac:dyDescent="0.25">
      <c r="A3088" s="320">
        <v>45609</v>
      </c>
      <c r="B3088" s="419">
        <v>1100759</v>
      </c>
      <c r="C3088" s="413" t="str">
        <f>IFERROR(INDEX(Table14[],MATCH($B3088,Table14[SAPNo],0),3),"")</f>
        <v>1913 CT421 0.018"</v>
      </c>
      <c r="D3088" s="306"/>
      <c r="E3088" s="421">
        <v>48</v>
      </c>
      <c r="F3088" s="421"/>
      <c r="G3088" s="420" t="s">
        <v>2318</v>
      </c>
      <c r="H3088" s="599">
        <v>14254504</v>
      </c>
      <c r="I3088" s="322" t="s">
        <v>1130</v>
      </c>
      <c r="J3088" s="421"/>
      <c r="K3088" s="422"/>
      <c r="M3088" s="422"/>
      <c r="AF3088">
        <v>48</v>
      </c>
    </row>
    <row r="3089" spans="1:32" x14ac:dyDescent="0.25">
      <c r="A3089" s="308">
        <v>45609</v>
      </c>
      <c r="B3089" s="416">
        <v>708306</v>
      </c>
      <c r="C3089" s="413" t="str">
        <f>IFERROR(INDEX(Table14[],MATCH($B3089,Table14[SAPNo],0),3),"")</f>
        <v>Round 1913 CT200  0.018" (B)</v>
      </c>
      <c r="D3089" s="306"/>
      <c r="E3089" s="421">
        <v>34</v>
      </c>
      <c r="F3089" s="421"/>
      <c r="G3089" s="420" t="s">
        <v>2318</v>
      </c>
      <c r="H3089" s="598">
        <v>14254504</v>
      </c>
      <c r="I3089" s="322" t="s">
        <v>1130</v>
      </c>
      <c r="J3089" s="418"/>
      <c r="K3089" s="248"/>
      <c r="M3089" s="422"/>
      <c r="AF3089">
        <v>34</v>
      </c>
    </row>
    <row r="3090" spans="1:32" x14ac:dyDescent="0.25">
      <c r="A3090" s="308">
        <v>45609</v>
      </c>
      <c r="B3090" s="416">
        <v>1100755</v>
      </c>
      <c r="C3090" s="413" t="str">
        <f>IFERROR(INDEX(Table14[],MATCH($B3090,Table14[SAPNo],0),3),"")</f>
        <v>Round 1613 CT421  0.018" (S)</v>
      </c>
      <c r="D3090" s="306"/>
      <c r="E3090" s="421">
        <v>9</v>
      </c>
      <c r="F3090" s="421"/>
      <c r="G3090" s="420" t="s">
        <v>2318</v>
      </c>
      <c r="H3090" s="598">
        <v>14254504</v>
      </c>
      <c r="I3090" s="322" t="s">
        <v>1130</v>
      </c>
      <c r="J3090" s="418"/>
      <c r="K3090" s="248"/>
      <c r="M3090" s="366"/>
      <c r="AF3090">
        <v>9</v>
      </c>
    </row>
    <row r="3091" spans="1:32" x14ac:dyDescent="0.25">
      <c r="A3091" s="308">
        <v>45609</v>
      </c>
      <c r="B3091" s="416">
        <v>871781</v>
      </c>
      <c r="C3091" s="413" t="str">
        <f>IFERROR(INDEX(Table14[],MATCH($B3091,Table14[SAPNo],0),3),"")</f>
        <v>Round 1313 CT200  0.018" (B)</v>
      </c>
      <c r="D3091" s="306"/>
      <c r="E3091" s="421">
        <v>8</v>
      </c>
      <c r="F3091" s="421"/>
      <c r="G3091" s="420" t="s">
        <v>2318</v>
      </c>
      <c r="H3091" s="598">
        <v>14254504</v>
      </c>
      <c r="I3091" s="322" t="s">
        <v>1130</v>
      </c>
      <c r="J3091" s="418"/>
      <c r="K3091" s="248"/>
      <c r="M3091" s="366"/>
      <c r="AF3091">
        <v>8</v>
      </c>
    </row>
    <row r="3092" spans="1:32" x14ac:dyDescent="0.25">
      <c r="A3092" s="308">
        <v>45597</v>
      </c>
      <c r="B3092" s="416">
        <v>1146737</v>
      </c>
      <c r="C3092" s="413" t="str">
        <f>IFERROR(INDEX(Table14[],MATCH($B3092,Table14[SAPNo],0),3),"")</f>
        <v>1613 CT418 18-60</v>
      </c>
      <c r="D3092" s="306"/>
      <c r="E3092" s="421">
        <v>1</v>
      </c>
      <c r="F3092" s="421"/>
      <c r="G3092" s="417" t="s">
        <v>2280</v>
      </c>
      <c r="H3092" s="598">
        <v>14247230</v>
      </c>
      <c r="I3092" s="322" t="s">
        <v>2281</v>
      </c>
      <c r="J3092" s="418"/>
      <c r="K3092" s="248"/>
      <c r="M3092" s="366"/>
      <c r="AF3092">
        <v>3</v>
      </c>
    </row>
    <row r="3093" spans="1:32" x14ac:dyDescent="0.25">
      <c r="A3093" s="308">
        <v>45615</v>
      </c>
      <c r="B3093" s="416">
        <v>1100741</v>
      </c>
      <c r="C3093" s="413" t="str">
        <f>IFERROR(INDEX(Table14[],MATCH($B3093,Table14[SAPNo],0),3),"")</f>
        <v>Round 1613 CT418  0.018" (S)</v>
      </c>
      <c r="D3093" s="306"/>
      <c r="E3093" s="421">
        <v>4</v>
      </c>
      <c r="F3093" s="421"/>
      <c r="G3093" s="417" t="s">
        <v>2355</v>
      </c>
      <c r="H3093" s="598">
        <v>13994928</v>
      </c>
      <c r="I3093" s="322" t="s">
        <v>2277</v>
      </c>
      <c r="J3093" s="418"/>
      <c r="K3093" s="248"/>
      <c r="M3093" s="366"/>
      <c r="AF3093">
        <v>2</v>
      </c>
    </row>
    <row r="3094" spans="1:32" x14ac:dyDescent="0.25">
      <c r="A3094" s="308">
        <v>45615</v>
      </c>
      <c r="B3094" s="416">
        <v>1209333</v>
      </c>
      <c r="C3094" s="413" t="str">
        <f>IFERROR(INDEX(Table14[],MATCH($B3094,Table14[SAPNo],0),3),"")</f>
        <v>1613 CT147G U</v>
      </c>
      <c r="D3094" s="306"/>
      <c r="E3094" s="421">
        <v>11</v>
      </c>
      <c r="F3094" s="421"/>
      <c r="G3094" s="417" t="s">
        <v>2355</v>
      </c>
      <c r="H3094" s="598">
        <v>13994928</v>
      </c>
      <c r="I3094" s="322" t="s">
        <v>2277</v>
      </c>
      <c r="J3094" s="418"/>
      <c r="K3094" s="248"/>
      <c r="M3094" s="366"/>
      <c r="AF3094">
        <v>1</v>
      </c>
    </row>
    <row r="3095" spans="1:32" x14ac:dyDescent="0.25">
      <c r="A3095" s="308">
        <v>45615</v>
      </c>
      <c r="B3095" s="416">
        <v>418525</v>
      </c>
      <c r="C3095" s="413" t="str">
        <f>IFERROR(INDEX(Table14[],MATCH($B3095,Table14[SAPNo],0),3),"")</f>
        <v>Drop In 1308 CT31   (B)</v>
      </c>
      <c r="D3095" s="306"/>
      <c r="E3095" s="421">
        <v>6</v>
      </c>
      <c r="F3095" s="421"/>
      <c r="G3095" s="417" t="s">
        <v>2355</v>
      </c>
      <c r="H3095" s="598">
        <v>13994928</v>
      </c>
      <c r="I3095" s="322" t="s">
        <v>2277</v>
      </c>
      <c r="J3095" s="418"/>
      <c r="K3095" s="248"/>
      <c r="M3095" s="366"/>
      <c r="AF3095">
        <v>6</v>
      </c>
    </row>
    <row r="3096" spans="1:32" x14ac:dyDescent="0.25">
      <c r="A3096" s="308">
        <v>45615</v>
      </c>
      <c r="B3096" s="416">
        <v>625854</v>
      </c>
      <c r="C3096" s="413" t="str">
        <f>IFERROR(INDEX(Table14[],MATCH($B3096,Table14[SAPNo],0),3),"")</f>
        <v>Carbide IA 1318    (C)</v>
      </c>
      <c r="D3096" s="306"/>
      <c r="E3096" s="421">
        <v>6</v>
      </c>
      <c r="F3096" s="421"/>
      <c r="G3096" s="417" t="s">
        <v>2355</v>
      </c>
      <c r="H3096" s="598">
        <v>13994928</v>
      </c>
      <c r="I3096" s="322" t="s">
        <v>2277</v>
      </c>
      <c r="J3096" s="418"/>
      <c r="K3096" s="248"/>
      <c r="M3096" s="366"/>
      <c r="AF3096">
        <v>6</v>
      </c>
    </row>
    <row r="3097" spans="1:32" x14ac:dyDescent="0.25">
      <c r="A3097" s="308">
        <v>45609</v>
      </c>
      <c r="B3097" s="416">
        <v>1145493</v>
      </c>
      <c r="C3097" s="413" t="str">
        <f>IFERROR(INDEX(Table14[],MATCH($B3097,Table14[SAPNo],0),3),"")</f>
        <v>Round 1313 CT427  10C (S)</v>
      </c>
      <c r="D3097" s="306"/>
      <c r="E3097" s="421"/>
      <c r="F3097" s="421"/>
      <c r="G3097" s="417">
        <v>20241180</v>
      </c>
      <c r="H3097" s="598" t="s">
        <v>2321</v>
      </c>
      <c r="I3097" s="322" t="s">
        <v>1322</v>
      </c>
      <c r="J3097" s="418">
        <v>3</v>
      </c>
      <c r="K3097" s="248"/>
      <c r="M3097" s="366"/>
    </row>
    <row r="3098" spans="1:32" x14ac:dyDescent="0.25">
      <c r="A3098" s="308">
        <v>45609</v>
      </c>
      <c r="B3098" s="416">
        <v>1209332</v>
      </c>
      <c r="C3098" s="413" t="str">
        <f>IFERROR(INDEX(Table14[],MATCH($B3098,Table14[SAPNo],0),3),"")</f>
        <v>1313 CT147G U</v>
      </c>
      <c r="D3098" s="306"/>
      <c r="E3098" s="421"/>
      <c r="F3098" s="421"/>
      <c r="G3098" s="417" t="s">
        <v>2322</v>
      </c>
      <c r="H3098" s="598" t="s">
        <v>2321</v>
      </c>
      <c r="I3098" s="322" t="s">
        <v>1322</v>
      </c>
      <c r="J3098" s="418"/>
      <c r="K3098" s="248" t="s">
        <v>2323</v>
      </c>
      <c r="M3098" s="366"/>
    </row>
    <row r="3099" spans="1:32" x14ac:dyDescent="0.25">
      <c r="A3099" s="320">
        <v>45610</v>
      </c>
      <c r="B3099" s="419">
        <v>1039060</v>
      </c>
      <c r="C3099" s="413" t="str">
        <f>IFERROR(INDEX(Table14[],MATCH($B3099,Table14[SAPNo],0),3),"")</f>
        <v>Round 1613 CT138  0.018" (S)</v>
      </c>
      <c r="D3099" s="306"/>
      <c r="E3099" s="421">
        <v>5</v>
      </c>
      <c r="F3099" s="421"/>
      <c r="G3099" s="420" t="s">
        <v>2324</v>
      </c>
      <c r="H3099" s="599" t="s">
        <v>2325</v>
      </c>
      <c r="I3099" s="322" t="s">
        <v>2326</v>
      </c>
      <c r="J3099" s="421"/>
      <c r="K3099" s="422"/>
      <c r="M3099" s="366"/>
      <c r="AF3099">
        <v>5</v>
      </c>
    </row>
    <row r="3100" spans="1:32" x14ac:dyDescent="0.25">
      <c r="A3100" s="320">
        <v>45610</v>
      </c>
      <c r="B3100" s="419">
        <v>1039060</v>
      </c>
      <c r="C3100" s="413" t="str">
        <f>IFERROR(INDEX(Table14[],MATCH($B3100,Table14[SAPNo],0),3),"")</f>
        <v>Round 1613 CT138  0.018" (S)</v>
      </c>
      <c r="D3100" s="306"/>
      <c r="E3100" s="421">
        <v>1</v>
      </c>
      <c r="F3100" s="421"/>
      <c r="G3100" s="420" t="s">
        <v>2327</v>
      </c>
      <c r="H3100" s="598" t="s">
        <v>2325</v>
      </c>
      <c r="I3100" s="322" t="s">
        <v>2326</v>
      </c>
      <c r="J3100" s="418"/>
      <c r="K3100" s="248"/>
      <c r="M3100" s="422"/>
      <c r="AF3100">
        <v>1</v>
      </c>
    </row>
    <row r="3101" spans="1:32" x14ac:dyDescent="0.25">
      <c r="A3101" s="308">
        <v>45610</v>
      </c>
      <c r="B3101" s="416">
        <v>418525</v>
      </c>
      <c r="C3101" s="413" t="str">
        <f>IFERROR(INDEX(Table14[],MATCH($B3101,Table14[SAPNo],0),3),"")</f>
        <v>Drop In 1308 CT31   (B)</v>
      </c>
      <c r="D3101" s="306"/>
      <c r="E3101" s="421">
        <v>6</v>
      </c>
      <c r="F3101" s="421"/>
      <c r="G3101" s="417" t="s">
        <v>2324</v>
      </c>
      <c r="H3101" s="598" t="s">
        <v>2325</v>
      </c>
      <c r="I3101" s="322" t="s">
        <v>2326</v>
      </c>
      <c r="J3101" s="418"/>
      <c r="K3101" s="248"/>
      <c r="M3101" s="422"/>
      <c r="AF3101">
        <v>6</v>
      </c>
    </row>
    <row r="3102" spans="1:32" x14ac:dyDescent="0.25">
      <c r="A3102" s="308">
        <v>45610</v>
      </c>
      <c r="B3102" s="416">
        <v>1039058</v>
      </c>
      <c r="C3102" s="413" t="str">
        <f>IFERROR(INDEX(Table14[],MATCH($B3102,Table14[SAPNo],0),3),"")</f>
        <v>Round 1608 CT138  0.018" (S)</v>
      </c>
      <c r="D3102" s="306"/>
      <c r="E3102" s="421">
        <v>8</v>
      </c>
      <c r="F3102" s="421"/>
      <c r="G3102" s="417" t="s">
        <v>2324</v>
      </c>
      <c r="H3102" s="598" t="s">
        <v>2325</v>
      </c>
      <c r="I3102" s="322" t="s">
        <v>2326</v>
      </c>
      <c r="J3102" s="418"/>
      <c r="K3102" s="248"/>
      <c r="M3102" s="366"/>
      <c r="AF3102">
        <v>8</v>
      </c>
    </row>
    <row r="3103" spans="1:32" x14ac:dyDescent="0.25">
      <c r="A3103" s="308">
        <v>45610</v>
      </c>
      <c r="B3103" s="416">
        <v>1130198</v>
      </c>
      <c r="C3103" s="413" t="str">
        <f>IFERROR(INDEX(Table14[],MATCH($B3103,Table14[SAPNo],0),3),"")</f>
        <v>Round 1613 CT182  0.018" (S)</v>
      </c>
      <c r="D3103" s="306"/>
      <c r="E3103" s="421"/>
      <c r="F3103" s="421"/>
      <c r="G3103" s="417" t="s">
        <v>2328</v>
      </c>
      <c r="H3103" s="598" t="s">
        <v>2325</v>
      </c>
      <c r="I3103" s="322" t="s">
        <v>2326</v>
      </c>
      <c r="J3103" s="418"/>
      <c r="K3103" s="248" t="s">
        <v>2329</v>
      </c>
      <c r="M3103" s="366"/>
    </row>
    <row r="3104" spans="1:32" x14ac:dyDescent="0.25">
      <c r="A3104" s="308">
        <v>45610</v>
      </c>
      <c r="B3104" s="416">
        <v>708306</v>
      </c>
      <c r="C3104" s="413" t="str">
        <f>IFERROR(INDEX(Table14[],MATCH($B3104,Table14[SAPNo],0),3),"")</f>
        <v>Round 1913 CT200  0.018" (B)</v>
      </c>
      <c r="D3104" s="306"/>
      <c r="E3104" s="421">
        <v>17</v>
      </c>
      <c r="F3104" s="421"/>
      <c r="G3104" s="417" t="s">
        <v>2330</v>
      </c>
      <c r="H3104" s="598" t="s">
        <v>2331</v>
      </c>
      <c r="I3104" s="322" t="s">
        <v>2213</v>
      </c>
      <c r="J3104" s="418"/>
      <c r="K3104" s="248"/>
      <c r="M3104" s="366"/>
      <c r="AF3104">
        <v>17</v>
      </c>
    </row>
    <row r="3105" spans="1:32" x14ac:dyDescent="0.25">
      <c r="A3105" s="308">
        <v>45610</v>
      </c>
      <c r="B3105" s="416">
        <v>418525</v>
      </c>
      <c r="C3105" s="413" t="str">
        <f>IFERROR(INDEX(Table14[],MATCH($B3105,Table14[SAPNo],0),3),"")</f>
        <v>Drop In 1308 CT31   (B)</v>
      </c>
      <c r="D3105" s="306"/>
      <c r="E3105" s="421">
        <v>4</v>
      </c>
      <c r="F3105" s="421"/>
      <c r="G3105" s="417" t="s">
        <v>2330</v>
      </c>
      <c r="H3105" s="598" t="s">
        <v>2331</v>
      </c>
      <c r="I3105" s="322" t="s">
        <v>2213</v>
      </c>
      <c r="J3105" s="418"/>
      <c r="K3105" s="248"/>
      <c r="M3105" s="366"/>
      <c r="AF3105">
        <v>4</v>
      </c>
    </row>
    <row r="3106" spans="1:32" x14ac:dyDescent="0.25">
      <c r="A3106" s="308">
        <v>45610</v>
      </c>
      <c r="B3106" s="416">
        <v>745576</v>
      </c>
      <c r="C3106" s="413" t="str">
        <f>IFERROR(INDEX(Table14[],MATCH($B3106,Table14[SAPNo],0),3),"")</f>
        <v>Round 1913 CT82  0.018" (S)</v>
      </c>
      <c r="D3106" s="306"/>
      <c r="E3106" s="421"/>
      <c r="F3106" s="421"/>
      <c r="G3106" s="417" t="s">
        <v>2332</v>
      </c>
      <c r="H3106" s="598" t="s">
        <v>2331</v>
      </c>
      <c r="I3106" s="322" t="s">
        <v>2213</v>
      </c>
      <c r="J3106" s="418"/>
      <c r="K3106" s="248" t="s">
        <v>2333</v>
      </c>
      <c r="M3106" s="366"/>
    </row>
    <row r="3107" spans="1:32" x14ac:dyDescent="0.25">
      <c r="A3107" s="308">
        <v>45606</v>
      </c>
      <c r="B3107" s="416">
        <v>418525</v>
      </c>
      <c r="C3107" s="413" t="str">
        <f>IFERROR(INDEX(Table14[],MATCH($B3107,Table14[SAPNo],0),3),"")</f>
        <v>Drop In 1308 CT31   (B)</v>
      </c>
      <c r="D3107" s="306"/>
      <c r="E3107" s="421">
        <v>3</v>
      </c>
      <c r="F3107" s="421"/>
      <c r="G3107" s="417" t="s">
        <v>2310</v>
      </c>
      <c r="H3107" s="598">
        <v>14247229</v>
      </c>
      <c r="I3107" s="322" t="s">
        <v>2311</v>
      </c>
      <c r="J3107" s="418"/>
      <c r="K3107" s="248"/>
      <c r="M3107" s="366"/>
      <c r="AF3107">
        <v>2</v>
      </c>
    </row>
    <row r="3108" spans="1:32" x14ac:dyDescent="0.25">
      <c r="A3108" s="308">
        <v>45603</v>
      </c>
      <c r="B3108" s="416">
        <v>418525</v>
      </c>
      <c r="C3108" s="413" t="str">
        <f>IFERROR(INDEX(Table14[],MATCH($B3108,Table14[SAPNo],0),3),"")</f>
        <v>Drop In 1308 CT31   (B)</v>
      </c>
      <c r="D3108" s="306"/>
      <c r="E3108" s="421">
        <v>6</v>
      </c>
      <c r="F3108" s="421"/>
      <c r="G3108" s="417" t="s">
        <v>2309</v>
      </c>
      <c r="H3108" s="598">
        <v>14137157</v>
      </c>
      <c r="I3108" s="322" t="s">
        <v>1273</v>
      </c>
      <c r="J3108" s="418"/>
      <c r="K3108" s="248"/>
      <c r="M3108" s="366"/>
      <c r="AF3108">
        <v>2</v>
      </c>
    </row>
    <row r="3109" spans="1:32" x14ac:dyDescent="0.25">
      <c r="A3109" s="320">
        <v>45603</v>
      </c>
      <c r="B3109" s="419">
        <v>1146737</v>
      </c>
      <c r="C3109" s="413" t="str">
        <f>IFERROR(INDEX(Table14[],MATCH($B3109,Table14[SAPNo],0),3),"")</f>
        <v>1613 CT418 18-60</v>
      </c>
      <c r="D3109" s="306"/>
      <c r="E3109" s="421">
        <v>2</v>
      </c>
      <c r="F3109" s="421"/>
      <c r="G3109" s="420" t="s">
        <v>2309</v>
      </c>
      <c r="H3109" s="599">
        <v>14137157</v>
      </c>
      <c r="I3109" s="322" t="s">
        <v>1273</v>
      </c>
      <c r="J3109" s="421"/>
      <c r="K3109" s="422"/>
      <c r="M3109" s="366"/>
      <c r="AF3109">
        <v>1</v>
      </c>
    </row>
    <row r="3110" spans="1:32" x14ac:dyDescent="0.25">
      <c r="A3110" s="308">
        <v>45610</v>
      </c>
      <c r="B3110" s="416">
        <v>1261319</v>
      </c>
      <c r="C3110" s="413" t="str">
        <f>IFERROR(INDEX(Table14[],MATCH($B3110,Table14[SAPNo],0),3),"")</f>
        <v>1308 CT155 U-60</v>
      </c>
      <c r="D3110" s="306"/>
      <c r="E3110" s="421">
        <v>24</v>
      </c>
      <c r="F3110" s="421"/>
      <c r="G3110" s="417" t="s">
        <v>2335</v>
      </c>
      <c r="H3110" s="598">
        <v>14211857</v>
      </c>
      <c r="I3110" s="322" t="s">
        <v>2317</v>
      </c>
      <c r="J3110" s="418"/>
      <c r="K3110" s="248"/>
      <c r="M3110" s="422"/>
      <c r="AF3110">
        <v>24</v>
      </c>
    </row>
    <row r="3111" spans="1:32" x14ac:dyDescent="0.25">
      <c r="A3111" s="308">
        <v>45610</v>
      </c>
      <c r="B3111" s="416">
        <v>1228502</v>
      </c>
      <c r="C3111" s="413" t="str">
        <f>IFERROR(INDEX(Table14[],MATCH($B3111,Table14[SAPNo],0),3),"")</f>
        <v>1618 CT182 U-60 Rotor</v>
      </c>
      <c r="D3111" s="306"/>
      <c r="E3111" s="421">
        <v>10</v>
      </c>
      <c r="F3111" s="421"/>
      <c r="G3111" s="417" t="s">
        <v>2335</v>
      </c>
      <c r="H3111" s="598">
        <v>14211857</v>
      </c>
      <c r="I3111" s="322" t="s">
        <v>2317</v>
      </c>
      <c r="J3111" s="418"/>
      <c r="K3111" s="248"/>
      <c r="M3111" s="366"/>
      <c r="AF3111">
        <v>10</v>
      </c>
    </row>
    <row r="3112" spans="1:32" x14ac:dyDescent="0.25">
      <c r="A3112" s="308">
        <v>45610</v>
      </c>
      <c r="B3112" s="416">
        <v>1228503</v>
      </c>
      <c r="C3112" s="413" t="str">
        <f>IFERROR(INDEX(Table14[],MATCH($B3112,Table14[SAPNo],0),3),"")</f>
        <v>1618 CT182 U-60 Ring</v>
      </c>
      <c r="D3112" s="306"/>
      <c r="E3112" s="421">
        <v>10</v>
      </c>
      <c r="F3112" s="421"/>
      <c r="G3112" s="417" t="s">
        <v>2335</v>
      </c>
      <c r="H3112" s="598">
        <v>14211857</v>
      </c>
      <c r="I3112" s="322" t="s">
        <v>2317</v>
      </c>
      <c r="J3112" s="418"/>
      <c r="K3112" s="248"/>
      <c r="M3112" s="366"/>
      <c r="AF3112">
        <v>10</v>
      </c>
    </row>
    <row r="3113" spans="1:32" x14ac:dyDescent="0.25">
      <c r="A3113" s="308">
        <v>45610</v>
      </c>
      <c r="B3113" s="416">
        <v>1228501</v>
      </c>
      <c r="C3113" s="413" t="str">
        <f>IFERROR(INDEX(Table14[],MATCH($B3113,Table14[SAPNo],0),3),"")</f>
        <v>1618 CT182 U-60 stator</v>
      </c>
      <c r="D3113" s="306"/>
      <c r="E3113" s="421">
        <v>10</v>
      </c>
      <c r="F3113" s="421"/>
      <c r="G3113" s="417" t="s">
        <v>2335</v>
      </c>
      <c r="H3113" s="598">
        <v>14211857</v>
      </c>
      <c r="I3113" s="322" t="s">
        <v>2317</v>
      </c>
      <c r="J3113" s="418"/>
      <c r="K3113" s="248"/>
      <c r="M3113" s="366"/>
      <c r="AF3113">
        <v>10</v>
      </c>
    </row>
    <row r="3114" spans="1:32" x14ac:dyDescent="0.25">
      <c r="A3114" s="308">
        <v>45610</v>
      </c>
      <c r="B3114" s="416">
        <v>1220554</v>
      </c>
      <c r="C3114" s="413" t="str">
        <f>IFERROR(INDEX(Table14[],MATCH($B3114,Table14[SAPNo],0),3),"")</f>
        <v xml:space="preserve">1618 CT182 U-60 Carbide </v>
      </c>
      <c r="D3114" s="306"/>
      <c r="E3114" s="421">
        <v>10</v>
      </c>
      <c r="F3114" s="421"/>
      <c r="G3114" s="417" t="s">
        <v>2335</v>
      </c>
      <c r="H3114" s="598">
        <v>14211857</v>
      </c>
      <c r="I3114" s="322" t="s">
        <v>2317</v>
      </c>
      <c r="J3114" s="418"/>
      <c r="K3114" s="248"/>
      <c r="M3114" s="366"/>
      <c r="AF3114">
        <v>10</v>
      </c>
    </row>
    <row r="3115" spans="1:32" x14ac:dyDescent="0.25">
      <c r="A3115" s="308">
        <v>45610</v>
      </c>
      <c r="B3115" s="419">
        <v>871781</v>
      </c>
      <c r="C3115" s="413" t="str">
        <f>IFERROR(INDEX(Table14[],MATCH($B3115,Table14[SAPNo],0),3),"")</f>
        <v>Round 1313 CT200  0.018" (B)</v>
      </c>
      <c r="D3115" s="306"/>
      <c r="E3115" s="421">
        <v>6</v>
      </c>
      <c r="F3115" s="421"/>
      <c r="G3115" s="417" t="s">
        <v>2335</v>
      </c>
      <c r="H3115" s="598">
        <v>14211857</v>
      </c>
      <c r="I3115" s="322" t="s">
        <v>2317</v>
      </c>
      <c r="J3115" s="418"/>
      <c r="K3115" s="248"/>
      <c r="M3115" s="366"/>
      <c r="AF3115">
        <v>6</v>
      </c>
    </row>
    <row r="3116" spans="1:32" x14ac:dyDescent="0.25">
      <c r="A3116" s="308">
        <v>45610</v>
      </c>
      <c r="B3116" s="416">
        <v>1261320</v>
      </c>
      <c r="C3116" s="413" t="str">
        <f>IFERROR(INDEX(Table14[],MATCH($B3116,Table14[SAPNo],0),3),"")</f>
        <v>1313 CT155 U-60</v>
      </c>
      <c r="D3116" s="306"/>
      <c r="E3116" s="421">
        <v>6</v>
      </c>
      <c r="F3116" s="421"/>
      <c r="G3116" s="417" t="s">
        <v>2335</v>
      </c>
      <c r="H3116" s="598">
        <v>14211857</v>
      </c>
      <c r="I3116" s="322" t="s">
        <v>2317</v>
      </c>
      <c r="J3116" s="418"/>
      <c r="K3116" s="248"/>
      <c r="M3116" s="366"/>
      <c r="AF3116">
        <v>6</v>
      </c>
    </row>
    <row r="3117" spans="1:32" x14ac:dyDescent="0.25">
      <c r="A3117" s="320">
        <v>45610</v>
      </c>
      <c r="B3117" s="419">
        <v>1261321</v>
      </c>
      <c r="C3117" s="413" t="str">
        <f>IFERROR(INDEX(Table14[],MATCH($B3117,Table14[SAPNo],0),3),"")</f>
        <v>1613 CT155 U-60</v>
      </c>
      <c r="D3117" s="306"/>
      <c r="E3117" s="421">
        <v>4</v>
      </c>
      <c r="F3117" s="421"/>
      <c r="G3117" s="417" t="s">
        <v>2335</v>
      </c>
      <c r="H3117" s="599">
        <v>14211857</v>
      </c>
      <c r="I3117" s="322" t="s">
        <v>2317</v>
      </c>
      <c r="J3117" s="421"/>
      <c r="K3117" s="422"/>
      <c r="M3117" s="366"/>
      <c r="AF3117">
        <v>4</v>
      </c>
    </row>
    <row r="3118" spans="1:32" x14ac:dyDescent="0.25">
      <c r="A3118" s="320">
        <v>45611</v>
      </c>
      <c r="B3118" s="419">
        <v>1261319</v>
      </c>
      <c r="C3118" s="413" t="str">
        <f>IFERROR(INDEX(Table14[],MATCH($B3118,Table14[SAPNo],0),3),"")</f>
        <v>1308 CT155 U-60</v>
      </c>
      <c r="D3118" s="306"/>
      <c r="E3118" s="421">
        <v>1</v>
      </c>
      <c r="F3118" s="421"/>
      <c r="G3118" s="420" t="s">
        <v>2298</v>
      </c>
      <c r="H3118" s="599" t="s">
        <v>2299</v>
      </c>
      <c r="I3118" s="322" t="s">
        <v>2300</v>
      </c>
      <c r="J3118" s="421"/>
      <c r="K3118" s="422"/>
      <c r="M3118" s="422"/>
      <c r="AF3118">
        <v>1</v>
      </c>
    </row>
    <row r="3119" spans="1:32" x14ac:dyDescent="0.25">
      <c r="A3119" s="308">
        <v>45611</v>
      </c>
      <c r="B3119" s="416">
        <v>1130198</v>
      </c>
      <c r="C3119" s="413" t="str">
        <f>IFERROR(INDEX(Table14[],MATCH($B3119,Table14[SAPNo],0),3),"")</f>
        <v>Round 1613 CT182  0.018" (S)</v>
      </c>
      <c r="D3119" s="306"/>
      <c r="E3119" s="421"/>
      <c r="F3119" s="421"/>
      <c r="G3119" s="417" t="s">
        <v>2336</v>
      </c>
      <c r="H3119" s="598">
        <v>13460766</v>
      </c>
      <c r="I3119" s="322" t="s">
        <v>2337</v>
      </c>
      <c r="J3119" s="418"/>
      <c r="K3119" s="248" t="s">
        <v>2338</v>
      </c>
      <c r="M3119" s="422"/>
    </row>
    <row r="3120" spans="1:32" x14ac:dyDescent="0.25">
      <c r="A3120" s="308">
        <v>45611</v>
      </c>
      <c r="B3120" s="416">
        <v>418525</v>
      </c>
      <c r="C3120" s="413" t="str">
        <f>IFERROR(INDEX(Table14[],MATCH($B3120,Table14[SAPNo],0),3),"")</f>
        <v>Drop In 1308 CT31   (B)</v>
      </c>
      <c r="D3120" s="306"/>
      <c r="E3120" s="421">
        <v>3</v>
      </c>
      <c r="F3120" s="421"/>
      <c r="G3120" s="417" t="s">
        <v>2339</v>
      </c>
      <c r="H3120" s="598">
        <v>13460766</v>
      </c>
      <c r="I3120" s="322" t="s">
        <v>2337</v>
      </c>
      <c r="J3120" s="418"/>
      <c r="K3120" s="248"/>
      <c r="M3120" s="366"/>
      <c r="AF3120">
        <v>3</v>
      </c>
    </row>
    <row r="3121" spans="1:32" x14ac:dyDescent="0.25">
      <c r="A3121" s="308">
        <v>45611</v>
      </c>
      <c r="B3121" s="416">
        <v>708306</v>
      </c>
      <c r="C3121" s="413" t="str">
        <f>IFERROR(INDEX(Table14[],MATCH($B3121,Table14[SAPNo],0),3),"")</f>
        <v>Round 1913 CT200  0.018" (B)</v>
      </c>
      <c r="D3121" s="306"/>
      <c r="E3121" s="421">
        <v>13</v>
      </c>
      <c r="F3121" s="421"/>
      <c r="G3121" s="417" t="s">
        <v>2340</v>
      </c>
      <c r="H3121" s="598" t="s">
        <v>2341</v>
      </c>
      <c r="I3121" s="322" t="s">
        <v>2213</v>
      </c>
      <c r="J3121" s="418"/>
      <c r="K3121" s="248"/>
      <c r="M3121" s="366"/>
      <c r="AF3121">
        <v>13</v>
      </c>
    </row>
    <row r="3122" spans="1:32" x14ac:dyDescent="0.25">
      <c r="A3122" s="308">
        <v>45611</v>
      </c>
      <c r="B3122" s="416">
        <v>871781</v>
      </c>
      <c r="C3122" s="413" t="str">
        <f>IFERROR(INDEX(Table14[],MATCH($B3122,Table14[SAPNo],0),3),"")</f>
        <v>Round 1313 CT200  0.018" (B)</v>
      </c>
      <c r="D3122" s="306"/>
      <c r="E3122" s="421">
        <v>3</v>
      </c>
      <c r="F3122" s="421"/>
      <c r="G3122" s="417" t="s">
        <v>2340</v>
      </c>
      <c r="H3122" s="598" t="s">
        <v>2341</v>
      </c>
      <c r="I3122" s="322" t="s">
        <v>2213</v>
      </c>
      <c r="J3122" s="418"/>
      <c r="K3122" s="248"/>
      <c r="M3122" s="366"/>
      <c r="AF3122">
        <v>3</v>
      </c>
    </row>
    <row r="3123" spans="1:32" x14ac:dyDescent="0.25">
      <c r="A3123" s="308">
        <v>45611</v>
      </c>
      <c r="B3123" s="416">
        <v>418525</v>
      </c>
      <c r="C3123" s="413" t="str">
        <f>IFERROR(INDEX(Table14[],MATCH($B3123,Table14[SAPNo],0),3),"")</f>
        <v>Drop In 1308 CT31   (B)</v>
      </c>
      <c r="D3123" s="306"/>
      <c r="E3123" s="421">
        <v>4</v>
      </c>
      <c r="F3123" s="421"/>
      <c r="G3123" s="417" t="s">
        <v>2340</v>
      </c>
      <c r="H3123" s="598" t="s">
        <v>2341</v>
      </c>
      <c r="I3123" s="322" t="s">
        <v>2213</v>
      </c>
      <c r="J3123" s="418"/>
      <c r="K3123" s="248"/>
      <c r="M3123" s="366"/>
      <c r="AF3123">
        <v>4</v>
      </c>
    </row>
    <row r="3124" spans="1:32" x14ac:dyDescent="0.25">
      <c r="A3124" s="308">
        <v>45611</v>
      </c>
      <c r="B3124" s="416">
        <v>745576</v>
      </c>
      <c r="C3124" s="413" t="str">
        <f>IFERROR(INDEX(Table14[],MATCH($B3124,Table14[SAPNo],0),3),"")</f>
        <v>Round 1913 CT82  0.018" (S)</v>
      </c>
      <c r="D3124" s="306"/>
      <c r="E3124" s="421"/>
      <c r="F3124" s="421"/>
      <c r="G3124" s="417" t="s">
        <v>2342</v>
      </c>
      <c r="H3124" s="598" t="s">
        <v>2341</v>
      </c>
      <c r="I3124" s="322" t="s">
        <v>2213</v>
      </c>
      <c r="J3124" s="418"/>
      <c r="K3124" s="248" t="s">
        <v>2343</v>
      </c>
      <c r="M3124" s="366"/>
    </row>
    <row r="3125" spans="1:32" x14ac:dyDescent="0.25">
      <c r="A3125" s="308">
        <v>45611</v>
      </c>
      <c r="B3125" s="416">
        <v>418525</v>
      </c>
      <c r="C3125" s="413" t="str">
        <f>IFERROR(INDEX(Table14[],MATCH($B3125,Table14[SAPNo],0),3),"")</f>
        <v>Drop In 1308 CT31   (B)</v>
      </c>
      <c r="D3125" s="306"/>
      <c r="E3125" s="421">
        <v>8</v>
      </c>
      <c r="F3125" s="421"/>
      <c r="G3125" s="417" t="s">
        <v>2344</v>
      </c>
      <c r="H3125" s="598">
        <v>13593147</v>
      </c>
      <c r="I3125" s="322" t="s">
        <v>1237</v>
      </c>
      <c r="J3125" s="418"/>
      <c r="K3125" s="248"/>
      <c r="M3125" s="366"/>
      <c r="AF3125">
        <v>8</v>
      </c>
    </row>
    <row r="3126" spans="1:32" x14ac:dyDescent="0.25">
      <c r="A3126" s="308">
        <v>45611</v>
      </c>
      <c r="B3126" s="416">
        <v>647436</v>
      </c>
      <c r="C3126" s="413" t="str">
        <f>IFERROR(INDEX(Table14[],MATCH($B3126,Table14[SAPNo],0),3),"")</f>
        <v>Round 1613 CT200  0.018" (B)</v>
      </c>
      <c r="D3126" s="306"/>
      <c r="E3126" s="421">
        <v>2</v>
      </c>
      <c r="F3126" s="421"/>
      <c r="G3126" s="417" t="s">
        <v>2344</v>
      </c>
      <c r="H3126" s="598">
        <v>13593147</v>
      </c>
      <c r="I3126" s="322" t="s">
        <v>1237</v>
      </c>
      <c r="J3126" s="418"/>
      <c r="K3126" s="248"/>
      <c r="M3126" s="366"/>
      <c r="AF3126">
        <v>2</v>
      </c>
    </row>
    <row r="3127" spans="1:32" x14ac:dyDescent="0.25">
      <c r="A3127" s="308">
        <v>45611</v>
      </c>
      <c r="B3127" s="416">
        <v>1130198</v>
      </c>
      <c r="C3127" s="413" t="str">
        <f>IFERROR(INDEX(Table14[],MATCH($B3127,Table14[SAPNo],0),3),"")</f>
        <v>Round 1613 CT182  0.018" (S)</v>
      </c>
      <c r="D3127" s="306"/>
      <c r="E3127" s="421"/>
      <c r="F3127" s="421"/>
      <c r="G3127" s="417" t="s">
        <v>2345</v>
      </c>
      <c r="H3127" s="598">
        <v>13593147</v>
      </c>
      <c r="I3127" s="322" t="s">
        <v>1237</v>
      </c>
      <c r="J3127" s="418"/>
      <c r="K3127" s="248" t="s">
        <v>2346</v>
      </c>
      <c r="M3127" s="366"/>
    </row>
    <row r="3128" spans="1:32" x14ac:dyDescent="0.25">
      <c r="A3128" s="308">
        <v>45611</v>
      </c>
      <c r="B3128" s="416">
        <v>418525</v>
      </c>
      <c r="C3128" s="413" t="str">
        <f>IFERROR(INDEX(Table14[],MATCH($B3128,Table14[SAPNo],0),3),"")</f>
        <v>Drop In 1308 CT31   (B)</v>
      </c>
      <c r="D3128" s="306"/>
      <c r="E3128" s="421">
        <v>6</v>
      </c>
      <c r="F3128" s="421"/>
      <c r="G3128" s="417" t="s">
        <v>2347</v>
      </c>
      <c r="H3128" s="598" t="s">
        <v>2348</v>
      </c>
      <c r="I3128" s="322" t="s">
        <v>2326</v>
      </c>
      <c r="J3128" s="418"/>
      <c r="K3128" s="248"/>
      <c r="M3128" s="366"/>
      <c r="AF3128">
        <v>6</v>
      </c>
    </row>
    <row r="3129" spans="1:32" x14ac:dyDescent="0.25">
      <c r="A3129" s="308">
        <v>45611</v>
      </c>
      <c r="B3129" s="416">
        <v>1130197</v>
      </c>
      <c r="C3129" s="413" t="str">
        <f>IFERROR(INDEX(Table14[],MATCH($B3129,Table14[SAPNo],0),3),"")</f>
        <v>Round 1608 CT182  0.018" (S)</v>
      </c>
      <c r="D3129" s="306"/>
      <c r="E3129" s="421">
        <v>4</v>
      </c>
      <c r="F3129" s="421"/>
      <c r="G3129" s="417" t="s">
        <v>2347</v>
      </c>
      <c r="H3129" s="598" t="s">
        <v>2348</v>
      </c>
      <c r="I3129" s="322" t="s">
        <v>2326</v>
      </c>
      <c r="J3129" s="418"/>
      <c r="K3129" s="248"/>
      <c r="M3129" s="366"/>
      <c r="AF3129">
        <v>4</v>
      </c>
    </row>
    <row r="3130" spans="1:32" x14ac:dyDescent="0.25">
      <c r="A3130" s="308">
        <v>45611</v>
      </c>
      <c r="B3130" s="416">
        <v>1130198</v>
      </c>
      <c r="C3130" s="413" t="str">
        <f>IFERROR(INDEX(Table14[],MATCH($B3130,Table14[SAPNo],0),3),"")</f>
        <v>Round 1613 CT182  0.018" (S)</v>
      </c>
      <c r="D3130" s="306"/>
      <c r="E3130" s="421"/>
      <c r="F3130" s="421"/>
      <c r="G3130" s="417" t="s">
        <v>2349</v>
      </c>
      <c r="H3130" s="598" t="s">
        <v>2348</v>
      </c>
      <c r="I3130" s="322" t="s">
        <v>2326</v>
      </c>
      <c r="J3130" s="418"/>
      <c r="K3130" s="248" t="s">
        <v>2350</v>
      </c>
      <c r="M3130" s="366"/>
    </row>
    <row r="3131" spans="1:32" x14ac:dyDescent="0.25">
      <c r="A3131" s="308">
        <v>45611</v>
      </c>
      <c r="B3131" s="416">
        <v>1271790</v>
      </c>
      <c r="C3131" s="413" t="str">
        <f>IFERROR(INDEX(Table14[],MATCH($B3131,Table14[SAPNo],0),3),"")</f>
        <v xml:space="preserve">1613 CT170 18-60 </v>
      </c>
      <c r="D3131" s="306"/>
      <c r="E3131" s="421">
        <v>17</v>
      </c>
      <c r="F3131" s="421"/>
      <c r="G3131" s="417" t="s">
        <v>2351</v>
      </c>
      <c r="H3131" s="598">
        <v>14190173</v>
      </c>
      <c r="I3131" s="322" t="s">
        <v>1993</v>
      </c>
      <c r="J3131" s="418"/>
      <c r="K3131" s="248"/>
      <c r="M3131" s="366"/>
      <c r="AF3131">
        <v>17</v>
      </c>
    </row>
    <row r="3132" spans="1:32" x14ac:dyDescent="0.25">
      <c r="A3132" s="308">
        <v>45611</v>
      </c>
      <c r="B3132" s="416">
        <v>1078377</v>
      </c>
      <c r="C3132" s="413" t="str">
        <f>IFERROR(INDEX(Table14[],MATCH($B3132,Table14[SAPNo],0),3),"")</f>
        <v>13MM CT221 R1</v>
      </c>
      <c r="D3132" s="306"/>
      <c r="E3132" s="421">
        <v>15</v>
      </c>
      <c r="F3132" s="421"/>
      <c r="G3132" s="417" t="s">
        <v>2351</v>
      </c>
      <c r="H3132" s="598">
        <v>14190173</v>
      </c>
      <c r="I3132" s="322" t="s">
        <v>1993</v>
      </c>
      <c r="J3132" s="418"/>
      <c r="K3132" s="248"/>
      <c r="M3132" s="366"/>
      <c r="AF3132">
        <v>15</v>
      </c>
    </row>
    <row r="3133" spans="1:32" x14ac:dyDescent="0.25">
      <c r="A3133" s="308">
        <v>45611</v>
      </c>
      <c r="B3133" s="416">
        <v>1208601</v>
      </c>
      <c r="C3133" s="413" t="str">
        <f>IFERROR(INDEX(Table14[],MATCH($B3133,Table14[SAPNo],0),3),"")</f>
        <v>1613 CT418 U-60</v>
      </c>
      <c r="D3133" s="306"/>
      <c r="E3133" s="421">
        <v>8</v>
      </c>
      <c r="F3133" s="421"/>
      <c r="G3133" s="417" t="s">
        <v>2351</v>
      </c>
      <c r="H3133" s="598">
        <v>14190173</v>
      </c>
      <c r="I3133" s="322" t="s">
        <v>1993</v>
      </c>
      <c r="J3133" s="418"/>
      <c r="K3133" s="248"/>
      <c r="M3133" s="366"/>
      <c r="AF3133">
        <v>8</v>
      </c>
    </row>
    <row r="3134" spans="1:32" x14ac:dyDescent="0.25">
      <c r="A3134" s="308">
        <v>45611</v>
      </c>
      <c r="B3134" s="416">
        <v>418525</v>
      </c>
      <c r="C3134" s="413" t="str">
        <f>IFERROR(INDEX(Table14[],MATCH($B3134,Table14[SAPNo],0),3),"")</f>
        <v>Drop In 1308 CT31   (B)</v>
      </c>
      <c r="D3134" s="306"/>
      <c r="E3134" s="421">
        <v>6</v>
      </c>
      <c r="F3134" s="421"/>
      <c r="G3134" s="417" t="s">
        <v>2351</v>
      </c>
      <c r="H3134" s="598">
        <v>14190173</v>
      </c>
      <c r="I3134" s="322" t="s">
        <v>1993</v>
      </c>
      <c r="J3134" s="418"/>
      <c r="K3134" s="248"/>
      <c r="M3134" s="366"/>
      <c r="AF3134">
        <v>6</v>
      </c>
    </row>
    <row r="3135" spans="1:32" x14ac:dyDescent="0.25">
      <c r="A3135" s="308">
        <v>45611</v>
      </c>
      <c r="B3135" s="416">
        <v>1146737</v>
      </c>
      <c r="C3135" s="413" t="str">
        <f>IFERROR(INDEX(Table14[],MATCH($B3135,Table14[SAPNo],0),3),"")</f>
        <v>1613 CT418 18-60</v>
      </c>
      <c r="D3135" s="306"/>
      <c r="E3135" s="421">
        <v>6</v>
      </c>
      <c r="F3135" s="421"/>
      <c r="G3135" s="417" t="s">
        <v>2351</v>
      </c>
      <c r="H3135" s="598">
        <v>14190173</v>
      </c>
      <c r="I3135" s="322" t="s">
        <v>1993</v>
      </c>
      <c r="J3135" s="418"/>
      <c r="K3135" s="248"/>
      <c r="M3135" s="366"/>
      <c r="AF3135">
        <v>6</v>
      </c>
    </row>
    <row r="3136" spans="1:32" x14ac:dyDescent="0.25">
      <c r="A3136" s="320">
        <v>45612</v>
      </c>
      <c r="B3136" s="419">
        <v>1130193</v>
      </c>
      <c r="C3136" s="413" t="str">
        <f>IFERROR(INDEX(Table14[],MATCH($B3136,Table14[SAPNo],0),3),"")</f>
        <v xml:space="preserve"> 1005 CT182  0.018 (S)</v>
      </c>
      <c r="D3136" s="306"/>
      <c r="E3136" s="421">
        <v>5</v>
      </c>
      <c r="F3136" s="421"/>
      <c r="G3136" s="420" t="s">
        <v>2352</v>
      </c>
      <c r="H3136" s="599">
        <v>14273122</v>
      </c>
      <c r="I3136" s="322" t="s">
        <v>2353</v>
      </c>
      <c r="J3136" s="421"/>
      <c r="K3136" s="422"/>
      <c r="M3136" s="366"/>
      <c r="AF3136">
        <v>5</v>
      </c>
    </row>
    <row r="3137" spans="1:32" x14ac:dyDescent="0.25">
      <c r="A3137" s="320">
        <v>45612</v>
      </c>
      <c r="B3137" s="416">
        <v>1130193</v>
      </c>
      <c r="C3137" s="413" t="str">
        <f>IFERROR(INDEX(Table14[],MATCH($B3137,Table14[SAPNo],0),3),"")</f>
        <v xml:space="preserve"> 1005 CT182  0.018 (S)</v>
      </c>
      <c r="D3137" s="306"/>
      <c r="E3137" s="421">
        <v>3</v>
      </c>
      <c r="F3137" s="421"/>
      <c r="G3137" s="417" t="s">
        <v>2352</v>
      </c>
      <c r="H3137" s="598">
        <v>14273122</v>
      </c>
      <c r="I3137" s="322" t="s">
        <v>2353</v>
      </c>
      <c r="J3137" s="418"/>
      <c r="K3137" s="248"/>
      <c r="M3137" s="422"/>
      <c r="AF3137">
        <v>3</v>
      </c>
    </row>
    <row r="3138" spans="1:32" x14ac:dyDescent="0.25">
      <c r="A3138" s="320">
        <v>45612</v>
      </c>
      <c r="B3138" s="416">
        <v>882800</v>
      </c>
      <c r="C3138" s="413" t="str">
        <f>IFERROR(INDEX(Table14[],MATCH($B3138,Table14[SAPNo],0),3),"")</f>
        <v>Round 0808 CT80  0.018" (B)</v>
      </c>
      <c r="D3138" s="306"/>
      <c r="E3138" s="421">
        <v>10</v>
      </c>
      <c r="F3138" s="421"/>
      <c r="G3138" s="417" t="s">
        <v>2352</v>
      </c>
      <c r="H3138" s="598">
        <v>14273122</v>
      </c>
      <c r="I3138" s="322" t="s">
        <v>2353</v>
      </c>
      <c r="J3138" s="418"/>
      <c r="K3138" s="248"/>
      <c r="M3138" s="422"/>
      <c r="AF3138">
        <v>10</v>
      </c>
    </row>
    <row r="3139" spans="1:32" x14ac:dyDescent="0.25">
      <c r="A3139" s="320">
        <v>45612</v>
      </c>
      <c r="B3139" s="419">
        <v>1199247</v>
      </c>
      <c r="C3139" s="413" t="s">
        <v>2354</v>
      </c>
      <c r="D3139" s="306"/>
      <c r="E3139" s="421">
        <v>26</v>
      </c>
      <c r="F3139" s="421"/>
      <c r="G3139" s="420" t="s">
        <v>2352</v>
      </c>
      <c r="H3139" s="599">
        <v>14273122</v>
      </c>
      <c r="I3139" s="322" t="s">
        <v>2353</v>
      </c>
      <c r="J3139" s="421"/>
      <c r="K3139" s="422"/>
      <c r="M3139" s="366"/>
      <c r="AF3139">
        <v>26</v>
      </c>
    </row>
    <row r="3140" spans="1:32" x14ac:dyDescent="0.25">
      <c r="A3140" s="320">
        <v>45609</v>
      </c>
      <c r="B3140" s="416">
        <v>1271790</v>
      </c>
      <c r="C3140" s="413" t="str">
        <f>IFERROR(INDEX(Table14[],MATCH($B3140,Table14[SAPNo],0),3),"")</f>
        <v xml:space="preserve">1613 CT170 18-60 </v>
      </c>
      <c r="D3140" s="306"/>
      <c r="E3140" s="421">
        <v>3</v>
      </c>
      <c r="F3140" s="421"/>
      <c r="G3140" s="417" t="s">
        <v>2319</v>
      </c>
      <c r="H3140" s="598" t="s">
        <v>2320</v>
      </c>
      <c r="I3140" s="322" t="s">
        <v>2179</v>
      </c>
      <c r="J3140" s="418"/>
      <c r="K3140" s="248"/>
      <c r="M3140" s="422"/>
      <c r="AF3140">
        <v>4</v>
      </c>
    </row>
    <row r="3141" spans="1:32" x14ac:dyDescent="0.25">
      <c r="A3141" s="308">
        <v>45609</v>
      </c>
      <c r="B3141" s="416">
        <v>1078377</v>
      </c>
      <c r="C3141" s="413" t="str">
        <f>IFERROR(INDEX(Table14[],MATCH($B3141,Table14[SAPNo],0),3),"")</f>
        <v>13MM CT221 R1</v>
      </c>
      <c r="D3141" s="306"/>
      <c r="E3141" s="421">
        <v>2</v>
      </c>
      <c r="F3141" s="421"/>
      <c r="G3141" s="417" t="s">
        <v>2319</v>
      </c>
      <c r="H3141" s="598" t="s">
        <v>2320</v>
      </c>
      <c r="I3141" s="322" t="s">
        <v>2179</v>
      </c>
      <c r="J3141" s="418"/>
      <c r="K3141" s="248"/>
      <c r="M3141" s="422"/>
      <c r="AF3141">
        <v>11</v>
      </c>
    </row>
    <row r="3142" spans="1:32" x14ac:dyDescent="0.25">
      <c r="A3142" s="308">
        <v>45609</v>
      </c>
      <c r="B3142" s="416">
        <v>1208601</v>
      </c>
      <c r="C3142" s="413" t="str">
        <f>IFERROR(INDEX(Table14[],MATCH($B3142,Table14[SAPNo],0),3),"")</f>
        <v>1613 CT418 U-60</v>
      </c>
      <c r="D3142" s="306"/>
      <c r="E3142" s="421">
        <v>1</v>
      </c>
      <c r="F3142" s="421"/>
      <c r="G3142" s="417" t="s">
        <v>2319</v>
      </c>
      <c r="H3142" s="598" t="s">
        <v>2320</v>
      </c>
      <c r="I3142" s="322" t="s">
        <v>2179</v>
      </c>
      <c r="J3142" s="418"/>
      <c r="K3142" s="248"/>
      <c r="M3142" s="366"/>
      <c r="AF3142">
        <v>6</v>
      </c>
    </row>
    <row r="3143" spans="1:32" x14ac:dyDescent="0.25">
      <c r="A3143" s="308">
        <v>45609</v>
      </c>
      <c r="B3143" s="416">
        <v>418525</v>
      </c>
      <c r="C3143" s="413" t="str">
        <f>IFERROR(INDEX(Table14[],MATCH($B3143,Table14[SAPNo],0),3),"")</f>
        <v>Drop In 1308 CT31   (B)</v>
      </c>
      <c r="D3143" s="306"/>
      <c r="E3143" s="421">
        <v>6</v>
      </c>
      <c r="F3143" s="421"/>
      <c r="G3143" s="417" t="s">
        <v>2319</v>
      </c>
      <c r="H3143" s="598" t="s">
        <v>2320</v>
      </c>
      <c r="I3143" s="322" t="s">
        <v>2179</v>
      </c>
      <c r="J3143" s="418"/>
      <c r="K3143" s="248"/>
      <c r="M3143" s="366"/>
      <c r="AF3143">
        <v>6</v>
      </c>
    </row>
    <row r="3144" spans="1:32" x14ac:dyDescent="0.25">
      <c r="A3144" s="308">
        <v>45615</v>
      </c>
      <c r="B3144" s="416">
        <v>418525</v>
      </c>
      <c r="C3144" s="413" t="str">
        <f>IFERROR(INDEX(Table14[],MATCH($B3144,Table14[SAPNo],0),3),"")</f>
        <v>Drop In 1308 CT31   (B)</v>
      </c>
      <c r="D3144" s="306"/>
      <c r="E3144" s="421">
        <v>3</v>
      </c>
      <c r="F3144" s="421"/>
      <c r="G3144" s="417">
        <v>20241183</v>
      </c>
      <c r="H3144" s="598" t="s">
        <v>2356</v>
      </c>
      <c r="I3144" s="322" t="s">
        <v>1322</v>
      </c>
      <c r="J3144" s="418"/>
      <c r="K3144" s="248"/>
      <c r="M3144" s="366"/>
      <c r="AF3144">
        <v>3</v>
      </c>
    </row>
    <row r="3145" spans="1:32" x14ac:dyDescent="0.25">
      <c r="A3145" s="320">
        <v>45615</v>
      </c>
      <c r="B3145" s="419">
        <v>1209332</v>
      </c>
      <c r="C3145" s="413" t="str">
        <f>IFERROR(INDEX(Table14[],MATCH($B3145,Table14[SAPNo],0),3),"")</f>
        <v>1313 CT147G U</v>
      </c>
      <c r="D3145" s="306"/>
      <c r="E3145" s="421"/>
      <c r="F3145" s="421"/>
      <c r="G3145" s="420" t="s">
        <v>2357</v>
      </c>
      <c r="H3145" s="599" t="s">
        <v>2356</v>
      </c>
      <c r="I3145" s="322" t="s">
        <v>1322</v>
      </c>
      <c r="J3145" s="421"/>
      <c r="K3145" s="422" t="s">
        <v>2358</v>
      </c>
      <c r="M3145" s="366"/>
    </row>
    <row r="3146" spans="1:32" x14ac:dyDescent="0.25">
      <c r="A3146" s="320">
        <v>45615</v>
      </c>
      <c r="B3146" s="419">
        <v>1100696</v>
      </c>
      <c r="C3146" s="413" t="str">
        <f>IFERROR(INDEX(Table14[],MATCH($B3146,Table14[SAPNo],0),3),"")</f>
        <v>Round 1313 CT418  10C (S)</v>
      </c>
      <c r="D3146" s="306"/>
      <c r="E3146" s="421">
        <v>5</v>
      </c>
      <c r="F3146" s="421"/>
      <c r="G3146" s="420">
        <v>20241183</v>
      </c>
      <c r="H3146" s="599" t="s">
        <v>2356</v>
      </c>
      <c r="I3146" s="322" t="s">
        <v>1322</v>
      </c>
      <c r="J3146" s="421"/>
      <c r="K3146" s="422"/>
      <c r="M3146" s="422"/>
      <c r="AF3146">
        <v>5</v>
      </c>
    </row>
    <row r="3147" spans="1:32" x14ac:dyDescent="0.25">
      <c r="A3147" s="320">
        <v>45616</v>
      </c>
      <c r="B3147" s="419">
        <v>717748</v>
      </c>
      <c r="C3147" s="413" t="str">
        <f>IFERROR(INDEX(Table14[],MATCH($B3147,Table14[SAPNo],0),3),"")</f>
        <v>Round 1010 CT200  0.018" (B)</v>
      </c>
      <c r="D3147" s="306"/>
      <c r="E3147" s="421">
        <v>8</v>
      </c>
      <c r="F3147" s="421"/>
      <c r="G3147" s="420" t="s">
        <v>2359</v>
      </c>
      <c r="H3147" s="599" t="s">
        <v>2360</v>
      </c>
      <c r="I3147" s="322" t="s">
        <v>1069</v>
      </c>
      <c r="J3147" s="421"/>
      <c r="K3147" s="422"/>
      <c r="M3147" s="422"/>
      <c r="AF3147">
        <v>8</v>
      </c>
    </row>
    <row r="3148" spans="1:32" x14ac:dyDescent="0.25">
      <c r="A3148" s="308">
        <v>45616</v>
      </c>
      <c r="B3148" s="416">
        <v>717748</v>
      </c>
      <c r="C3148" s="413" t="str">
        <f>IFERROR(INDEX(Table14[],MATCH($B3148,Table14[SAPNo],0),3),"")</f>
        <v>Round 1010 CT200  0.018" (B)</v>
      </c>
      <c r="D3148" s="306"/>
      <c r="E3148" s="421">
        <v>6</v>
      </c>
      <c r="F3148" s="421"/>
      <c r="G3148" s="417" t="s">
        <v>2361</v>
      </c>
      <c r="H3148" s="598">
        <v>14247174</v>
      </c>
      <c r="I3148" s="322" t="s">
        <v>2362</v>
      </c>
      <c r="J3148" s="418"/>
      <c r="K3148" s="248"/>
      <c r="M3148" s="422"/>
      <c r="AF3148">
        <v>6</v>
      </c>
    </row>
    <row r="3149" spans="1:32" x14ac:dyDescent="0.25">
      <c r="A3149" s="308">
        <v>45616</v>
      </c>
      <c r="B3149" s="416">
        <v>882800</v>
      </c>
      <c r="C3149" s="413" t="str">
        <f>IFERROR(INDEX(Table14[],MATCH($B3149,Table14[SAPNo],0),3),"")</f>
        <v>Round 0808 CT80  0.018" (B)</v>
      </c>
      <c r="D3149" s="306"/>
      <c r="E3149" s="421">
        <v>10</v>
      </c>
      <c r="F3149" s="421"/>
      <c r="G3149" s="417" t="s">
        <v>2363</v>
      </c>
      <c r="H3149" s="598">
        <v>14273123</v>
      </c>
      <c r="I3149" s="322" t="s">
        <v>1199</v>
      </c>
      <c r="J3149" s="418"/>
      <c r="K3149" s="248"/>
      <c r="M3149" s="366"/>
      <c r="AF3149">
        <v>10</v>
      </c>
    </row>
    <row r="3150" spans="1:32" x14ac:dyDescent="0.25">
      <c r="A3150" s="308">
        <v>45616</v>
      </c>
      <c r="B3150" s="416">
        <v>1199247</v>
      </c>
      <c r="C3150" s="413" t="s">
        <v>4179</v>
      </c>
      <c r="D3150" s="306"/>
      <c r="E3150" s="421">
        <v>26</v>
      </c>
      <c r="F3150" s="421"/>
      <c r="G3150" s="417" t="s">
        <v>2363</v>
      </c>
      <c r="H3150" s="598">
        <v>14273123</v>
      </c>
      <c r="I3150" s="322" t="s">
        <v>1199</v>
      </c>
      <c r="J3150" s="418"/>
      <c r="K3150" s="248"/>
      <c r="M3150" s="366"/>
      <c r="AF3150">
        <v>26</v>
      </c>
    </row>
    <row r="3151" spans="1:32" x14ac:dyDescent="0.25">
      <c r="A3151" s="308">
        <v>45616</v>
      </c>
      <c r="B3151" s="416">
        <v>1230916</v>
      </c>
      <c r="C3151" s="413" t="str">
        <f>IFERROR(INDEX(Table14[],MATCH($B3151,Table14[SAPNo],0),3),"")</f>
        <v>1005 CT158 0.018"</v>
      </c>
      <c r="D3151" s="306"/>
      <c r="E3151" s="421">
        <v>8</v>
      </c>
      <c r="F3151" s="421"/>
      <c r="G3151" s="417" t="s">
        <v>2363</v>
      </c>
      <c r="H3151" s="598">
        <v>14273123</v>
      </c>
      <c r="I3151" s="322" t="s">
        <v>1199</v>
      </c>
      <c r="J3151" s="418"/>
      <c r="K3151" s="248"/>
      <c r="M3151" s="366"/>
      <c r="AF3151">
        <v>8</v>
      </c>
    </row>
    <row r="3152" spans="1:32" x14ac:dyDescent="0.25">
      <c r="A3152" s="308">
        <v>45616</v>
      </c>
      <c r="B3152" s="416">
        <v>882800</v>
      </c>
      <c r="C3152" s="413" t="str">
        <f>IFERROR(INDEX(Table14[],MATCH($B3152,Table14[SAPNo],0),3),"")</f>
        <v>Round 0808 CT80  0.018" (B)</v>
      </c>
      <c r="D3152" s="306"/>
      <c r="E3152" s="421">
        <v>10</v>
      </c>
      <c r="F3152" s="421"/>
      <c r="G3152" s="417" t="s">
        <v>2364</v>
      </c>
      <c r="H3152" s="598">
        <v>14273124</v>
      </c>
      <c r="I3152" s="322" t="s">
        <v>1199</v>
      </c>
      <c r="J3152" s="418"/>
      <c r="K3152" s="248"/>
      <c r="M3152" s="366"/>
      <c r="AF3152">
        <v>10</v>
      </c>
    </row>
    <row r="3153" spans="1:32" x14ac:dyDescent="0.25">
      <c r="A3153" s="308">
        <v>45616</v>
      </c>
      <c r="B3153" s="416">
        <v>1130217</v>
      </c>
      <c r="C3153" s="413" t="str">
        <f>IFERROR(INDEX(Table14[],MATCH($B3153,Table14[SAPNo],0),3),"")</f>
        <v>Round 1010 CT182   10C (S)</v>
      </c>
      <c r="D3153" s="306"/>
      <c r="E3153" s="421">
        <v>26</v>
      </c>
      <c r="F3153" s="421"/>
      <c r="G3153" s="417" t="s">
        <v>2364</v>
      </c>
      <c r="H3153" s="598">
        <v>14273124</v>
      </c>
      <c r="I3153" s="322" t="s">
        <v>1199</v>
      </c>
      <c r="J3153" s="418"/>
      <c r="K3153" s="248"/>
      <c r="M3153" s="366"/>
      <c r="AF3153">
        <v>26</v>
      </c>
    </row>
    <row r="3154" spans="1:32" x14ac:dyDescent="0.25">
      <c r="A3154" s="308">
        <v>45616</v>
      </c>
      <c r="B3154" s="416">
        <v>1230916</v>
      </c>
      <c r="C3154" s="413" t="str">
        <f>IFERROR(INDEX(Table14[],MATCH($B3154,Table14[SAPNo],0),3),"")</f>
        <v>1005 CT158 0.018"</v>
      </c>
      <c r="D3154" s="306"/>
      <c r="E3154" s="421">
        <v>8</v>
      </c>
      <c r="F3154" s="421"/>
      <c r="G3154" s="417" t="s">
        <v>2364</v>
      </c>
      <c r="H3154" s="598">
        <v>14273124</v>
      </c>
      <c r="I3154" s="322" t="s">
        <v>1199</v>
      </c>
      <c r="J3154" s="418"/>
      <c r="K3154" s="248"/>
      <c r="M3154" s="366"/>
      <c r="AF3154">
        <v>8</v>
      </c>
    </row>
    <row r="3155" spans="1:32" x14ac:dyDescent="0.25">
      <c r="A3155" s="308">
        <v>45616</v>
      </c>
      <c r="B3155" s="416">
        <v>647435</v>
      </c>
      <c r="C3155" s="413" t="str">
        <f>IFERROR(INDEX(Table14[],MATCH($B3155,Table14[SAPNo],0),3),"")</f>
        <v>Round 1608 CT200  0.018" (B)</v>
      </c>
      <c r="D3155" s="306"/>
      <c r="E3155" s="421">
        <v>1</v>
      </c>
      <c r="F3155" s="421"/>
      <c r="G3155" s="417" t="s">
        <v>2365</v>
      </c>
      <c r="H3155" s="598">
        <v>13460766</v>
      </c>
      <c r="I3155" s="322" t="s">
        <v>2337</v>
      </c>
      <c r="J3155" s="418"/>
      <c r="K3155" s="248"/>
      <c r="M3155" s="366"/>
      <c r="AF3155">
        <v>1</v>
      </c>
    </row>
    <row r="3156" spans="1:32" x14ac:dyDescent="0.25">
      <c r="A3156" s="308">
        <v>45616</v>
      </c>
      <c r="B3156" s="416">
        <v>1130197</v>
      </c>
      <c r="C3156" s="413" t="str">
        <f>IFERROR(INDEX(Table14[],MATCH($B3156,Table14[SAPNo],0),3),"")</f>
        <v>Round 1608 CT182  0.018" (S)</v>
      </c>
      <c r="D3156" s="306"/>
      <c r="E3156" s="421">
        <v>1</v>
      </c>
      <c r="F3156" s="421"/>
      <c r="G3156" s="417" t="s">
        <v>2366</v>
      </c>
      <c r="H3156" s="598" t="s">
        <v>2348</v>
      </c>
      <c r="I3156" s="322" t="s">
        <v>2326</v>
      </c>
      <c r="J3156" s="418"/>
      <c r="K3156" s="248"/>
      <c r="M3156" s="366"/>
      <c r="AF3156">
        <v>1</v>
      </c>
    </row>
    <row r="3157" spans="1:32" x14ac:dyDescent="0.25">
      <c r="A3157" s="308">
        <v>45617</v>
      </c>
      <c r="B3157" s="416">
        <v>717748</v>
      </c>
      <c r="C3157" s="413" t="str">
        <f>IFERROR(INDEX(Table14[],MATCH($B3157,Table14[SAPNo],0),3),"")</f>
        <v>Round 1010 CT200  0.018" (B)</v>
      </c>
      <c r="D3157" s="306"/>
      <c r="E3157" s="421">
        <v>1</v>
      </c>
      <c r="F3157" s="421"/>
      <c r="G3157" s="417" t="s">
        <v>2367</v>
      </c>
      <c r="H3157" s="598">
        <v>14247174</v>
      </c>
      <c r="I3157" s="322" t="s">
        <v>2362</v>
      </c>
      <c r="J3157" s="418"/>
      <c r="K3157" s="248"/>
      <c r="M3157" s="366"/>
      <c r="AF3157">
        <v>1</v>
      </c>
    </row>
    <row r="3158" spans="1:32" x14ac:dyDescent="0.25">
      <c r="A3158" s="308">
        <v>45609</v>
      </c>
      <c r="B3158" s="416">
        <v>1146737</v>
      </c>
      <c r="C3158" s="413" t="str">
        <f>IFERROR(INDEX(Table14[],MATCH($B3158,Table14[SAPNo],0),3),"")</f>
        <v>1613 CT418 18-60</v>
      </c>
      <c r="D3158" s="306"/>
      <c r="E3158" s="421">
        <v>6</v>
      </c>
      <c r="F3158" s="421"/>
      <c r="G3158" s="417" t="s">
        <v>2319</v>
      </c>
      <c r="H3158" s="598" t="s">
        <v>2320</v>
      </c>
      <c r="I3158" s="322" t="s">
        <v>2179</v>
      </c>
      <c r="J3158" s="418"/>
      <c r="K3158" s="248"/>
      <c r="M3158" s="366"/>
      <c r="AF3158">
        <v>1</v>
      </c>
    </row>
    <row r="3159" spans="1:32" x14ac:dyDescent="0.25">
      <c r="A3159" s="308">
        <v>45610</v>
      </c>
      <c r="B3159" s="419">
        <v>1271790</v>
      </c>
      <c r="C3159" s="413" t="str">
        <f>IFERROR(INDEX(Table14[],MATCH($B3159,Table14[SAPNo],0),3),"")</f>
        <v xml:space="preserve">1613 CT170 18-60 </v>
      </c>
      <c r="D3159" s="306"/>
      <c r="E3159" s="421">
        <v>2</v>
      </c>
      <c r="F3159" s="421"/>
      <c r="G3159" s="417" t="s">
        <v>2334</v>
      </c>
      <c r="H3159" s="599" t="s">
        <v>2320</v>
      </c>
      <c r="I3159" s="322" t="s">
        <v>2179</v>
      </c>
      <c r="J3159" s="421"/>
      <c r="K3159" s="422"/>
      <c r="M3159" s="366"/>
      <c r="AF3159">
        <v>5</v>
      </c>
    </row>
    <row r="3160" spans="1:32" x14ac:dyDescent="0.25">
      <c r="A3160" s="308">
        <v>45617</v>
      </c>
      <c r="B3160" s="416">
        <v>1145493</v>
      </c>
      <c r="C3160" s="413" t="str">
        <f>IFERROR(INDEX(Table14[],MATCH($B3160,Table14[SAPNo],0),3),"")</f>
        <v>Round 1313 CT427  10C (S)</v>
      </c>
      <c r="D3160" s="306"/>
      <c r="E3160" s="421"/>
      <c r="F3160" s="421"/>
      <c r="G3160" s="417">
        <v>20241146</v>
      </c>
      <c r="H3160" s="598" t="s">
        <v>2370</v>
      </c>
      <c r="I3160" s="322" t="s">
        <v>1282</v>
      </c>
      <c r="J3160" s="418">
        <v>3</v>
      </c>
      <c r="K3160" s="248"/>
      <c r="M3160" s="422"/>
    </row>
    <row r="3161" spans="1:32" x14ac:dyDescent="0.25">
      <c r="A3161" s="308">
        <v>45617</v>
      </c>
      <c r="B3161" s="416">
        <v>1145493</v>
      </c>
      <c r="C3161" s="413" t="str">
        <f>IFERROR(INDEX(Table14[],MATCH($B3161,Table14[SAPNo],0),3),"")</f>
        <v>Round 1313 CT427  10C (S)</v>
      </c>
      <c r="D3161" s="306"/>
      <c r="E3161" s="421"/>
      <c r="F3161" s="421"/>
      <c r="G3161" s="417" t="s">
        <v>2371</v>
      </c>
      <c r="H3161" s="598" t="s">
        <v>2370</v>
      </c>
      <c r="I3161" s="322" t="s">
        <v>1282</v>
      </c>
      <c r="J3161" s="418"/>
      <c r="K3161" s="248" t="s">
        <v>2372</v>
      </c>
      <c r="M3161" s="366"/>
    </row>
    <row r="3162" spans="1:32" x14ac:dyDescent="0.25">
      <c r="A3162" s="308">
        <v>45617</v>
      </c>
      <c r="B3162" s="416">
        <v>1100696</v>
      </c>
      <c r="C3162" s="413" t="str">
        <f>IFERROR(INDEX(Table14[],MATCH($B3162,Table14[SAPNo],0),3),"")</f>
        <v>Round 1313 CT418  10C (S)</v>
      </c>
      <c r="D3162" s="306"/>
      <c r="E3162" s="421"/>
      <c r="F3162" s="421"/>
      <c r="G3162" s="417" t="s">
        <v>2373</v>
      </c>
      <c r="H3162" s="598" t="s">
        <v>2374</v>
      </c>
      <c r="I3162" s="322" t="s">
        <v>1282</v>
      </c>
      <c r="J3162" s="418"/>
      <c r="K3162" s="248" t="s">
        <v>2375</v>
      </c>
      <c r="M3162" s="366"/>
    </row>
    <row r="3163" spans="1:32" x14ac:dyDescent="0.25">
      <c r="A3163" s="308">
        <v>45617</v>
      </c>
      <c r="B3163" s="416">
        <v>717748</v>
      </c>
      <c r="C3163" s="413" t="str">
        <f>IFERROR(INDEX(Table14[],MATCH($B3163,Table14[SAPNo],0),3),"")</f>
        <v>Round 1010 CT200  0.018" (B)</v>
      </c>
      <c r="D3163" s="306"/>
      <c r="E3163" s="421">
        <v>5</v>
      </c>
      <c r="F3163" s="421"/>
      <c r="G3163" s="417" t="s">
        <v>2376</v>
      </c>
      <c r="H3163" s="598" t="s">
        <v>2377</v>
      </c>
      <c r="I3163" s="322" t="s">
        <v>1069</v>
      </c>
      <c r="J3163" s="418"/>
      <c r="K3163" s="248"/>
      <c r="M3163" s="366"/>
      <c r="AF3163">
        <v>5</v>
      </c>
    </row>
    <row r="3164" spans="1:32" x14ac:dyDescent="0.25">
      <c r="A3164" s="308">
        <v>45617</v>
      </c>
      <c r="B3164" s="416">
        <v>1130196</v>
      </c>
      <c r="C3164" s="413" t="str">
        <f>IFERROR(INDEX(Table14[],MATCH($B3164,Table14[SAPNo],0),3),"")</f>
        <v>Round 1313 CT182  0.018" (S)</v>
      </c>
      <c r="D3164" s="306"/>
      <c r="E3164" s="421">
        <v>6</v>
      </c>
      <c r="F3164" s="421"/>
      <c r="G3164" s="417" t="s">
        <v>2378</v>
      </c>
      <c r="H3164" s="598">
        <v>13448266</v>
      </c>
      <c r="I3164" s="322" t="s">
        <v>2379</v>
      </c>
      <c r="J3164" s="418"/>
      <c r="K3164" s="248"/>
      <c r="M3164" s="366"/>
      <c r="AF3164">
        <v>6</v>
      </c>
    </row>
    <row r="3165" spans="1:32" x14ac:dyDescent="0.25">
      <c r="A3165" s="308">
        <v>45617</v>
      </c>
      <c r="B3165" s="416">
        <v>1130196</v>
      </c>
      <c r="C3165" s="413" t="str">
        <f>IFERROR(INDEX(Table14[],MATCH($B3165,Table14[SAPNo],0),3),"")</f>
        <v>Round 1313 CT182  0.018" (S)</v>
      </c>
      <c r="D3165" s="306"/>
      <c r="E3165" s="421"/>
      <c r="F3165" s="421"/>
      <c r="G3165" s="417" t="s">
        <v>2380</v>
      </c>
      <c r="H3165" s="598">
        <v>13448266</v>
      </c>
      <c r="I3165" s="322" t="s">
        <v>2379</v>
      </c>
      <c r="J3165" s="418"/>
      <c r="K3165" s="248" t="s">
        <v>2381</v>
      </c>
      <c r="M3165" s="366"/>
    </row>
    <row r="3166" spans="1:32" x14ac:dyDescent="0.25">
      <c r="A3166" s="308">
        <v>45617</v>
      </c>
      <c r="B3166" s="416">
        <v>1130198</v>
      </c>
      <c r="C3166" s="413" t="str">
        <f>IFERROR(INDEX(Table14[],MATCH($B3166,Table14[SAPNo],0),3),"")</f>
        <v>Round 1613 CT182  0.018" (S)</v>
      </c>
      <c r="D3166" s="306"/>
      <c r="E3166" s="421"/>
      <c r="F3166" s="421"/>
      <c r="G3166" s="417" t="s">
        <v>2380</v>
      </c>
      <c r="H3166" s="598">
        <v>13448266</v>
      </c>
      <c r="I3166" s="322" t="s">
        <v>2379</v>
      </c>
      <c r="J3166" s="418"/>
      <c r="K3166" s="248" t="s">
        <v>2382</v>
      </c>
      <c r="M3166" s="366"/>
    </row>
    <row r="3167" spans="1:32" x14ac:dyDescent="0.25">
      <c r="A3167" s="308">
        <v>45617</v>
      </c>
      <c r="B3167" s="416">
        <v>871781</v>
      </c>
      <c r="C3167" s="413" t="str">
        <f>IFERROR(INDEX(Table14[],MATCH($B3167,Table14[SAPNo],0),3),"")</f>
        <v>Round 1313 CT200  0.018" (B)</v>
      </c>
      <c r="D3167" s="306"/>
      <c r="E3167" s="421">
        <v>4</v>
      </c>
      <c r="F3167" s="421"/>
      <c r="G3167" s="417" t="s">
        <v>2378</v>
      </c>
      <c r="H3167" s="598">
        <v>13448266</v>
      </c>
      <c r="I3167" s="322" t="s">
        <v>2379</v>
      </c>
      <c r="J3167" s="418"/>
      <c r="K3167" s="248"/>
      <c r="M3167" s="366"/>
      <c r="AF3167">
        <v>4</v>
      </c>
    </row>
    <row r="3168" spans="1:32" x14ac:dyDescent="0.25">
      <c r="A3168" s="308">
        <v>45617</v>
      </c>
      <c r="B3168" s="416">
        <v>418525</v>
      </c>
      <c r="C3168" s="413" t="str">
        <f>IFERROR(INDEX(Table14[],MATCH($B3168,Table14[SAPNo],0),3),"")</f>
        <v>Drop In 1308 CT31   (B)</v>
      </c>
      <c r="D3168" s="306"/>
      <c r="E3168" s="421">
        <v>3</v>
      </c>
      <c r="F3168" s="421"/>
      <c r="G3168" s="417" t="s">
        <v>2378</v>
      </c>
      <c r="H3168" s="598">
        <v>13448266</v>
      </c>
      <c r="I3168" s="322" t="s">
        <v>2379</v>
      </c>
      <c r="J3168" s="418"/>
      <c r="K3168" s="248"/>
      <c r="M3168" s="366"/>
      <c r="AF3168">
        <v>3</v>
      </c>
    </row>
    <row r="3169" spans="1:32" x14ac:dyDescent="0.25">
      <c r="A3169" s="308">
        <v>45617</v>
      </c>
      <c r="B3169" s="416">
        <v>1100759</v>
      </c>
      <c r="C3169" s="413" t="str">
        <f>IFERROR(INDEX(Table14[],MATCH($B3169,Table14[SAPNo],0),3),"")</f>
        <v>1913 CT421 0.018"</v>
      </c>
      <c r="D3169" s="306"/>
      <c r="E3169" s="421">
        <v>32</v>
      </c>
      <c r="F3169" s="421"/>
      <c r="G3169" s="417" t="s">
        <v>2378</v>
      </c>
      <c r="H3169" s="598">
        <v>13448266</v>
      </c>
      <c r="I3169" s="322" t="s">
        <v>2379</v>
      </c>
      <c r="J3169" s="418"/>
      <c r="K3169" s="248"/>
      <c r="M3169" s="366"/>
      <c r="AF3169">
        <v>32</v>
      </c>
    </row>
    <row r="3170" spans="1:32" x14ac:dyDescent="0.25">
      <c r="A3170" s="308">
        <v>45618</v>
      </c>
      <c r="B3170" s="416">
        <v>1130198</v>
      </c>
      <c r="C3170" s="413" t="str">
        <f>IFERROR(INDEX(Table14[],MATCH($B3170,Table14[SAPNo],0),3),"")</f>
        <v>Round 1613 CT182  0.018" (S)</v>
      </c>
      <c r="D3170" s="306"/>
      <c r="E3170" s="421"/>
      <c r="F3170" s="421"/>
      <c r="G3170" s="417" t="s">
        <v>2383</v>
      </c>
      <c r="H3170" s="598" t="s">
        <v>2348</v>
      </c>
      <c r="I3170" s="322" t="s">
        <v>2326</v>
      </c>
      <c r="J3170" s="418"/>
      <c r="K3170" s="248" t="s">
        <v>2294</v>
      </c>
      <c r="M3170" s="366"/>
    </row>
    <row r="3171" spans="1:32" x14ac:dyDescent="0.25">
      <c r="A3171" s="308">
        <v>45618</v>
      </c>
      <c r="B3171" s="416">
        <v>708306</v>
      </c>
      <c r="C3171" s="413" t="str">
        <f>IFERROR(INDEX(Table14[],MATCH($B3171,Table14[SAPNo],0),3),"")</f>
        <v>Round 1913 CT200  0.018" (B)</v>
      </c>
      <c r="D3171" s="306"/>
      <c r="E3171" s="421">
        <v>2</v>
      </c>
      <c r="F3171" s="421"/>
      <c r="G3171" s="417" t="s">
        <v>2384</v>
      </c>
      <c r="H3171" s="598" t="s">
        <v>2331</v>
      </c>
      <c r="I3171" s="322" t="s">
        <v>2213</v>
      </c>
      <c r="J3171" s="418"/>
      <c r="K3171" s="248"/>
      <c r="M3171" s="366"/>
      <c r="AF3171">
        <v>2</v>
      </c>
    </row>
    <row r="3172" spans="1:32" x14ac:dyDescent="0.25">
      <c r="A3172" s="308">
        <v>45618</v>
      </c>
      <c r="B3172" s="416">
        <v>1261319</v>
      </c>
      <c r="C3172" s="413" t="str">
        <f>IFERROR(INDEX(Table14[],MATCH($B3172,Table14[SAPNo],0),3),"")</f>
        <v>1308 CT155 U-60</v>
      </c>
      <c r="D3172" s="306"/>
      <c r="E3172" s="421">
        <v>5</v>
      </c>
      <c r="F3172" s="421"/>
      <c r="G3172" s="417" t="s">
        <v>2385</v>
      </c>
      <c r="H3172" s="598">
        <v>13669982</v>
      </c>
      <c r="I3172" s="322" t="s">
        <v>2386</v>
      </c>
      <c r="J3172" s="418"/>
      <c r="K3172" s="248"/>
      <c r="M3172" s="366"/>
      <c r="AF3172">
        <v>5</v>
      </c>
    </row>
    <row r="3173" spans="1:32" x14ac:dyDescent="0.25">
      <c r="A3173" s="308">
        <v>45618</v>
      </c>
      <c r="B3173" s="416">
        <v>1261320</v>
      </c>
      <c r="C3173" s="413" t="str">
        <f>IFERROR(INDEX(Table14[],MATCH($B3173,Table14[SAPNo],0),3),"")</f>
        <v>1313 CT155 U-60</v>
      </c>
      <c r="D3173" s="306"/>
      <c r="E3173" s="421">
        <v>24</v>
      </c>
      <c r="F3173" s="421"/>
      <c r="G3173" s="417" t="s">
        <v>2385</v>
      </c>
      <c r="H3173" s="598">
        <v>13669982</v>
      </c>
      <c r="I3173" s="322" t="s">
        <v>2386</v>
      </c>
      <c r="J3173" s="418"/>
      <c r="K3173" s="248"/>
      <c r="M3173" s="366"/>
      <c r="AF3173">
        <v>24</v>
      </c>
    </row>
    <row r="3174" spans="1:32" x14ac:dyDescent="0.25">
      <c r="A3174" s="308">
        <v>45618</v>
      </c>
      <c r="B3174" s="416">
        <v>717748</v>
      </c>
      <c r="C3174" s="413" t="str">
        <f>IFERROR(INDEX(Table14[],MATCH($B3174,Table14[SAPNo],0),3),"")</f>
        <v>Round 1010 CT200  0.018" (B)</v>
      </c>
      <c r="D3174" s="306"/>
      <c r="E3174" s="421">
        <v>2</v>
      </c>
      <c r="F3174" s="421"/>
      <c r="G3174" s="417" t="s">
        <v>2387</v>
      </c>
      <c r="H3174" s="598" t="s">
        <v>2388</v>
      </c>
      <c r="I3174" s="322" t="s">
        <v>2362</v>
      </c>
      <c r="J3174" s="418"/>
      <c r="K3174" s="248"/>
      <c r="M3174" s="366"/>
      <c r="AF3174">
        <v>2</v>
      </c>
    </row>
    <row r="3175" spans="1:32" x14ac:dyDescent="0.25">
      <c r="A3175" s="320">
        <v>45621</v>
      </c>
      <c r="B3175" s="419">
        <v>1261319</v>
      </c>
      <c r="C3175" s="413" t="str">
        <f>IFERROR(INDEX(Table14[],MATCH($B3175,Table14[SAPNo],0),3),"")</f>
        <v>1308 CT155 U-60</v>
      </c>
      <c r="D3175" s="306"/>
      <c r="E3175" s="421">
        <v>24</v>
      </c>
      <c r="F3175" s="421"/>
      <c r="G3175" s="420" t="s">
        <v>2389</v>
      </c>
      <c r="H3175" s="599">
        <v>14247161</v>
      </c>
      <c r="I3175" s="322" t="s">
        <v>1175</v>
      </c>
      <c r="J3175" s="421"/>
      <c r="K3175" s="422"/>
      <c r="M3175" s="422"/>
      <c r="AF3175">
        <v>24</v>
      </c>
    </row>
    <row r="3176" spans="1:32" x14ac:dyDescent="0.25">
      <c r="A3176" s="308">
        <v>45621</v>
      </c>
      <c r="B3176" s="416">
        <v>1228502</v>
      </c>
      <c r="C3176" s="413" t="str">
        <f>IFERROR(INDEX(Table14[],MATCH($B3176,Table14[SAPNo],0),3),"")</f>
        <v>1618 CT182 U-60 Rotor</v>
      </c>
      <c r="D3176" s="306"/>
      <c r="E3176" s="421">
        <v>10</v>
      </c>
      <c r="F3176" s="421"/>
      <c r="G3176" s="417" t="s">
        <v>2389</v>
      </c>
      <c r="H3176" s="598">
        <v>14247161</v>
      </c>
      <c r="I3176" s="322" t="s">
        <v>1175</v>
      </c>
      <c r="J3176" s="418"/>
      <c r="K3176" s="248"/>
      <c r="M3176" s="422"/>
      <c r="AF3176">
        <v>10</v>
      </c>
    </row>
    <row r="3177" spans="1:32" x14ac:dyDescent="0.25">
      <c r="A3177" s="308">
        <v>45621</v>
      </c>
      <c r="B3177" s="416">
        <v>1228503</v>
      </c>
      <c r="C3177" s="413" t="str">
        <f>IFERROR(INDEX(Table14[],MATCH($B3177,Table14[SAPNo],0),3),"")</f>
        <v>1618 CT182 U-60 Ring</v>
      </c>
      <c r="D3177" s="306"/>
      <c r="E3177" s="421">
        <v>10</v>
      </c>
      <c r="F3177" s="421"/>
      <c r="G3177" s="417" t="s">
        <v>2389</v>
      </c>
      <c r="H3177" s="598">
        <v>14247161</v>
      </c>
      <c r="I3177" s="322" t="s">
        <v>1175</v>
      </c>
      <c r="J3177" s="418"/>
      <c r="K3177" s="248"/>
      <c r="M3177" s="366"/>
      <c r="AF3177">
        <v>10</v>
      </c>
    </row>
    <row r="3178" spans="1:32" x14ac:dyDescent="0.25">
      <c r="A3178" s="308">
        <v>45621</v>
      </c>
      <c r="B3178" s="416">
        <v>1228501</v>
      </c>
      <c r="C3178" s="413" t="str">
        <f>IFERROR(INDEX(Table14[],MATCH($B3178,Table14[SAPNo],0),3),"")</f>
        <v>1618 CT182 U-60 stator</v>
      </c>
      <c r="D3178" s="306"/>
      <c r="E3178" s="421">
        <v>10</v>
      </c>
      <c r="F3178" s="421"/>
      <c r="G3178" s="417" t="s">
        <v>2389</v>
      </c>
      <c r="H3178" s="598">
        <v>14247161</v>
      </c>
      <c r="I3178" s="322" t="s">
        <v>1175</v>
      </c>
      <c r="J3178" s="418"/>
      <c r="K3178" s="248"/>
      <c r="M3178" s="366"/>
      <c r="AF3178">
        <v>10</v>
      </c>
    </row>
    <row r="3179" spans="1:32" x14ac:dyDescent="0.25">
      <c r="A3179" s="308">
        <v>45621</v>
      </c>
      <c r="B3179" s="416">
        <v>1220554</v>
      </c>
      <c r="C3179" s="413" t="str">
        <f>IFERROR(INDEX(Table14[],MATCH($B3179,Table14[SAPNo],0),3),"")</f>
        <v xml:space="preserve">1618 CT182 U-60 Carbide </v>
      </c>
      <c r="D3179" s="306"/>
      <c r="E3179" s="421">
        <v>10</v>
      </c>
      <c r="F3179" s="421"/>
      <c r="G3179" s="417" t="s">
        <v>2389</v>
      </c>
      <c r="H3179" s="598">
        <v>14247161</v>
      </c>
      <c r="I3179" s="322" t="s">
        <v>1175</v>
      </c>
      <c r="J3179" s="418"/>
      <c r="K3179" s="248"/>
      <c r="M3179" s="366"/>
      <c r="AF3179">
        <v>10</v>
      </c>
    </row>
    <row r="3180" spans="1:32" x14ac:dyDescent="0.25">
      <c r="A3180" s="308">
        <v>45621</v>
      </c>
      <c r="B3180" s="416">
        <v>871781</v>
      </c>
      <c r="C3180" s="413" t="str">
        <f>IFERROR(INDEX(Table14[],MATCH($B3180,Table14[SAPNo],0),3),"")</f>
        <v>Round 1313 CT200  0.018" (B)</v>
      </c>
      <c r="D3180" s="306"/>
      <c r="E3180" s="421">
        <v>6</v>
      </c>
      <c r="F3180" s="421"/>
      <c r="G3180" s="417" t="s">
        <v>2389</v>
      </c>
      <c r="H3180" s="598">
        <v>14247161</v>
      </c>
      <c r="I3180" s="322" t="s">
        <v>1175</v>
      </c>
      <c r="J3180" s="418"/>
      <c r="K3180" s="248"/>
      <c r="M3180" s="366"/>
      <c r="AF3180">
        <v>6</v>
      </c>
    </row>
    <row r="3181" spans="1:32" x14ac:dyDescent="0.25">
      <c r="A3181" s="308">
        <v>45621</v>
      </c>
      <c r="B3181" s="416">
        <v>1261320</v>
      </c>
      <c r="C3181" s="413" t="str">
        <f>IFERROR(INDEX(Table14[],MATCH($B3181,Table14[SAPNo],0),3),"")</f>
        <v>1313 CT155 U-60</v>
      </c>
      <c r="D3181" s="306"/>
      <c r="E3181" s="421">
        <v>6</v>
      </c>
      <c r="F3181" s="421"/>
      <c r="G3181" s="417" t="s">
        <v>2389</v>
      </c>
      <c r="H3181" s="598">
        <v>14247161</v>
      </c>
      <c r="I3181" s="322" t="s">
        <v>1175</v>
      </c>
      <c r="J3181" s="418"/>
      <c r="K3181" s="248"/>
      <c r="M3181" s="366"/>
      <c r="AF3181">
        <v>6</v>
      </c>
    </row>
    <row r="3182" spans="1:32" x14ac:dyDescent="0.25">
      <c r="A3182" s="308">
        <v>45621</v>
      </c>
      <c r="B3182" s="416">
        <v>1261321</v>
      </c>
      <c r="C3182" s="413" t="str">
        <f>IFERROR(INDEX(Table14[],MATCH($B3182,Table14[SAPNo],0),3),"")</f>
        <v>1613 CT155 U-60</v>
      </c>
      <c r="D3182" s="306"/>
      <c r="E3182" s="421">
        <v>4</v>
      </c>
      <c r="F3182" s="421"/>
      <c r="G3182" s="417" t="s">
        <v>2389</v>
      </c>
      <c r="H3182" s="598">
        <v>14247161</v>
      </c>
      <c r="I3182" s="322" t="s">
        <v>1175</v>
      </c>
      <c r="J3182" s="418"/>
      <c r="K3182" s="248"/>
      <c r="M3182" s="366"/>
      <c r="AF3182">
        <v>4</v>
      </c>
    </row>
    <row r="3183" spans="1:32" x14ac:dyDescent="0.25">
      <c r="A3183" s="308">
        <v>45621</v>
      </c>
      <c r="B3183" s="419">
        <v>1261319</v>
      </c>
      <c r="C3183" s="413" t="str">
        <f>IFERROR(INDEX(Table14[],MATCH($B3183,Table14[SAPNo],0),3),"")</f>
        <v>1308 CT155 U-60</v>
      </c>
      <c r="D3183" s="306"/>
      <c r="E3183" s="421">
        <v>24</v>
      </c>
      <c r="F3183" s="421"/>
      <c r="G3183" s="417" t="s">
        <v>2390</v>
      </c>
      <c r="H3183" s="598">
        <v>14211861</v>
      </c>
      <c r="I3183" s="322" t="s">
        <v>1175</v>
      </c>
      <c r="J3183" s="418"/>
      <c r="K3183" s="248"/>
      <c r="M3183" s="366"/>
      <c r="AF3183">
        <v>24</v>
      </c>
    </row>
    <row r="3184" spans="1:32" x14ac:dyDescent="0.25">
      <c r="A3184" s="308">
        <v>45621</v>
      </c>
      <c r="B3184" s="416">
        <v>1228502</v>
      </c>
      <c r="C3184" s="413" t="str">
        <f>IFERROR(INDEX(Table14[],MATCH($B3184,Table14[SAPNo],0),3),"")</f>
        <v>1618 CT182 U-60 Rotor</v>
      </c>
      <c r="D3184" s="306"/>
      <c r="E3184" s="421">
        <v>10</v>
      </c>
      <c r="F3184" s="421"/>
      <c r="G3184" s="417" t="s">
        <v>2390</v>
      </c>
      <c r="H3184" s="598">
        <v>14211861</v>
      </c>
      <c r="I3184" s="322" t="s">
        <v>1175</v>
      </c>
      <c r="J3184" s="418"/>
      <c r="K3184" s="248"/>
      <c r="M3184" s="366"/>
      <c r="AF3184">
        <v>10</v>
      </c>
    </row>
    <row r="3185" spans="1:32" x14ac:dyDescent="0.25">
      <c r="A3185" s="308">
        <v>45621</v>
      </c>
      <c r="B3185" s="416">
        <v>1228503</v>
      </c>
      <c r="C3185" s="413" t="str">
        <f>IFERROR(INDEX(Table14[],MATCH($B3185,Table14[SAPNo],0),3),"")</f>
        <v>1618 CT182 U-60 Ring</v>
      </c>
      <c r="D3185" s="306"/>
      <c r="E3185" s="421">
        <v>10</v>
      </c>
      <c r="F3185" s="421"/>
      <c r="G3185" s="417" t="s">
        <v>2390</v>
      </c>
      <c r="H3185" s="598">
        <v>14211861</v>
      </c>
      <c r="I3185" s="322" t="s">
        <v>1175</v>
      </c>
      <c r="J3185" s="418"/>
      <c r="K3185" s="248"/>
      <c r="M3185" s="366"/>
      <c r="AF3185">
        <v>10</v>
      </c>
    </row>
    <row r="3186" spans="1:32" x14ac:dyDescent="0.25">
      <c r="A3186" s="308">
        <v>45621</v>
      </c>
      <c r="B3186" s="416">
        <v>1228501</v>
      </c>
      <c r="C3186" s="413" t="str">
        <f>IFERROR(INDEX(Table14[],MATCH($B3186,Table14[SAPNo],0),3),"")</f>
        <v>1618 CT182 U-60 stator</v>
      </c>
      <c r="D3186" s="306"/>
      <c r="E3186" s="421">
        <v>10</v>
      </c>
      <c r="F3186" s="421"/>
      <c r="G3186" s="417" t="s">
        <v>2390</v>
      </c>
      <c r="H3186" s="598">
        <v>14211861</v>
      </c>
      <c r="I3186" s="322" t="s">
        <v>1175</v>
      </c>
      <c r="J3186" s="418"/>
      <c r="K3186" s="248"/>
      <c r="M3186" s="366"/>
      <c r="AF3186">
        <v>10</v>
      </c>
    </row>
    <row r="3187" spans="1:32" x14ac:dyDescent="0.25">
      <c r="A3187" s="308">
        <v>45621</v>
      </c>
      <c r="B3187" s="416">
        <v>1220554</v>
      </c>
      <c r="C3187" s="413" t="str">
        <f>IFERROR(INDEX(Table14[],MATCH($B3187,Table14[SAPNo],0),3),"")</f>
        <v xml:space="preserve">1618 CT182 U-60 Carbide </v>
      </c>
      <c r="D3187" s="306"/>
      <c r="E3187" s="421">
        <v>10</v>
      </c>
      <c r="F3187" s="421"/>
      <c r="G3187" s="417" t="s">
        <v>2390</v>
      </c>
      <c r="H3187" s="598">
        <v>14211861</v>
      </c>
      <c r="I3187" s="322" t="s">
        <v>1175</v>
      </c>
      <c r="J3187" s="418"/>
      <c r="K3187" s="248"/>
      <c r="M3187" s="366"/>
      <c r="AF3187">
        <v>10</v>
      </c>
    </row>
    <row r="3188" spans="1:32" x14ac:dyDescent="0.25">
      <c r="A3188" s="308">
        <v>45621</v>
      </c>
      <c r="B3188" s="416">
        <v>871781</v>
      </c>
      <c r="C3188" s="413" t="str">
        <f>IFERROR(INDEX(Table14[],MATCH($B3188,Table14[SAPNo],0),3),"")</f>
        <v>Round 1313 CT200  0.018" (B)</v>
      </c>
      <c r="D3188" s="306"/>
      <c r="E3188" s="421">
        <v>6</v>
      </c>
      <c r="F3188" s="421"/>
      <c r="G3188" s="417" t="s">
        <v>2390</v>
      </c>
      <c r="H3188" s="598">
        <v>14211861</v>
      </c>
      <c r="I3188" s="322" t="s">
        <v>1175</v>
      </c>
      <c r="J3188" s="418"/>
      <c r="K3188" s="248"/>
      <c r="M3188" s="366"/>
      <c r="AF3188">
        <v>6</v>
      </c>
    </row>
    <row r="3189" spans="1:32" x14ac:dyDescent="0.25">
      <c r="A3189" s="308">
        <v>45621</v>
      </c>
      <c r="B3189" s="416">
        <v>1261320</v>
      </c>
      <c r="C3189" s="413" t="str">
        <f>IFERROR(INDEX(Table14[],MATCH($B3189,Table14[SAPNo],0),3),"")</f>
        <v>1313 CT155 U-60</v>
      </c>
      <c r="D3189" s="306"/>
      <c r="E3189" s="421">
        <v>6</v>
      </c>
      <c r="F3189" s="421"/>
      <c r="G3189" s="417" t="s">
        <v>2390</v>
      </c>
      <c r="H3189" s="598">
        <v>14211861</v>
      </c>
      <c r="I3189" s="322" t="s">
        <v>1175</v>
      </c>
      <c r="J3189" s="418"/>
      <c r="K3189" s="248"/>
      <c r="M3189" s="366"/>
      <c r="AF3189">
        <v>6</v>
      </c>
    </row>
    <row r="3190" spans="1:32" x14ac:dyDescent="0.25">
      <c r="A3190" s="308">
        <v>45621</v>
      </c>
      <c r="B3190" s="416">
        <v>1261321</v>
      </c>
      <c r="C3190" s="413" t="str">
        <f>IFERROR(INDEX(Table14[],MATCH($B3190,Table14[SAPNo],0),3),"")</f>
        <v>1613 CT155 U-60</v>
      </c>
      <c r="D3190" s="306"/>
      <c r="E3190" s="421">
        <v>4</v>
      </c>
      <c r="F3190" s="421"/>
      <c r="G3190" s="417" t="s">
        <v>2390</v>
      </c>
      <c r="H3190" s="598">
        <v>14211861</v>
      </c>
      <c r="I3190" s="322" t="s">
        <v>1175</v>
      </c>
      <c r="J3190" s="418"/>
      <c r="K3190" s="248"/>
      <c r="M3190" s="366"/>
      <c r="AF3190">
        <v>4</v>
      </c>
    </row>
    <row r="3191" spans="1:32" x14ac:dyDescent="0.25">
      <c r="A3191" s="308">
        <v>45621</v>
      </c>
      <c r="B3191" s="419">
        <v>1261319</v>
      </c>
      <c r="C3191" s="413" t="str">
        <f>IFERROR(INDEX(Table14[],MATCH($B3191,Table14[SAPNo],0),3),"")</f>
        <v>1308 CT155 U-60</v>
      </c>
      <c r="D3191" s="306"/>
      <c r="E3191" s="421">
        <v>24</v>
      </c>
      <c r="F3191" s="421"/>
      <c r="G3191" s="417" t="s">
        <v>2391</v>
      </c>
      <c r="H3191" s="598">
        <v>14211862</v>
      </c>
      <c r="I3191" s="322" t="s">
        <v>1175</v>
      </c>
      <c r="J3191" s="418"/>
      <c r="K3191" s="248"/>
      <c r="M3191" s="366"/>
      <c r="AF3191">
        <v>24</v>
      </c>
    </row>
    <row r="3192" spans="1:32" x14ac:dyDescent="0.25">
      <c r="A3192" s="308">
        <v>45621</v>
      </c>
      <c r="B3192" s="416">
        <v>1228502</v>
      </c>
      <c r="C3192" s="413" t="str">
        <f>IFERROR(INDEX(Table14[],MATCH($B3192,Table14[SAPNo],0),3),"")</f>
        <v>1618 CT182 U-60 Rotor</v>
      </c>
      <c r="D3192" s="306"/>
      <c r="E3192" s="421">
        <v>10</v>
      </c>
      <c r="F3192" s="421"/>
      <c r="G3192" s="417" t="s">
        <v>2391</v>
      </c>
      <c r="H3192" s="598">
        <v>14211862</v>
      </c>
      <c r="I3192" s="322" t="s">
        <v>1175</v>
      </c>
      <c r="J3192" s="418"/>
      <c r="K3192" s="248"/>
      <c r="M3192" s="366"/>
      <c r="AF3192">
        <v>10</v>
      </c>
    </row>
    <row r="3193" spans="1:32" x14ac:dyDescent="0.25">
      <c r="A3193" s="308">
        <v>45621</v>
      </c>
      <c r="B3193" s="416">
        <v>1228503</v>
      </c>
      <c r="C3193" s="413" t="str">
        <f>IFERROR(INDEX(Table14[],MATCH($B3193,Table14[SAPNo],0),3),"")</f>
        <v>1618 CT182 U-60 Ring</v>
      </c>
      <c r="D3193" s="306"/>
      <c r="E3193" s="421">
        <v>10</v>
      </c>
      <c r="F3193" s="421"/>
      <c r="G3193" s="417" t="s">
        <v>2391</v>
      </c>
      <c r="H3193" s="598">
        <v>14211862</v>
      </c>
      <c r="I3193" s="322" t="s">
        <v>1175</v>
      </c>
      <c r="J3193" s="418"/>
      <c r="K3193" s="248"/>
      <c r="M3193" s="366"/>
      <c r="AF3193">
        <v>10</v>
      </c>
    </row>
    <row r="3194" spans="1:32" x14ac:dyDescent="0.25">
      <c r="A3194" s="308">
        <v>45621</v>
      </c>
      <c r="B3194" s="416">
        <v>1228501</v>
      </c>
      <c r="C3194" s="413" t="str">
        <f>IFERROR(INDEX(Table14[],MATCH($B3194,Table14[SAPNo],0),3),"")</f>
        <v>1618 CT182 U-60 stator</v>
      </c>
      <c r="D3194" s="306"/>
      <c r="E3194" s="421">
        <v>10</v>
      </c>
      <c r="F3194" s="421"/>
      <c r="G3194" s="417" t="s">
        <v>2391</v>
      </c>
      <c r="H3194" s="598">
        <v>14211862</v>
      </c>
      <c r="I3194" s="322" t="s">
        <v>1175</v>
      </c>
      <c r="J3194" s="418"/>
      <c r="K3194" s="248"/>
      <c r="M3194" s="366"/>
      <c r="AF3194">
        <v>10</v>
      </c>
    </row>
    <row r="3195" spans="1:32" x14ac:dyDescent="0.25">
      <c r="A3195" s="308">
        <v>45621</v>
      </c>
      <c r="B3195" s="416">
        <v>1220554</v>
      </c>
      <c r="C3195" s="413" t="str">
        <f>IFERROR(INDEX(Table14[],MATCH($B3195,Table14[SAPNo],0),3),"")</f>
        <v xml:space="preserve">1618 CT182 U-60 Carbide </v>
      </c>
      <c r="D3195" s="306"/>
      <c r="E3195" s="421">
        <v>10</v>
      </c>
      <c r="F3195" s="421"/>
      <c r="G3195" s="417" t="s">
        <v>2391</v>
      </c>
      <c r="H3195" s="598">
        <v>14211862</v>
      </c>
      <c r="I3195" s="322" t="s">
        <v>1175</v>
      </c>
      <c r="J3195" s="418"/>
      <c r="K3195" s="248"/>
      <c r="M3195" s="366"/>
      <c r="AF3195">
        <v>10</v>
      </c>
    </row>
    <row r="3196" spans="1:32" x14ac:dyDescent="0.25">
      <c r="A3196" s="308">
        <v>45621</v>
      </c>
      <c r="B3196" s="416">
        <v>871781</v>
      </c>
      <c r="C3196" s="413" t="str">
        <f>IFERROR(INDEX(Table14[],MATCH($B3196,Table14[SAPNo],0),3),"")</f>
        <v>Round 1313 CT200  0.018" (B)</v>
      </c>
      <c r="D3196" s="306"/>
      <c r="E3196" s="421">
        <v>6</v>
      </c>
      <c r="F3196" s="421"/>
      <c r="G3196" s="417" t="s">
        <v>2391</v>
      </c>
      <c r="H3196" s="598">
        <v>14211862</v>
      </c>
      <c r="I3196" s="322" t="s">
        <v>1175</v>
      </c>
      <c r="J3196" s="418"/>
      <c r="K3196" s="248"/>
      <c r="M3196" s="366"/>
      <c r="AF3196">
        <v>6</v>
      </c>
    </row>
    <row r="3197" spans="1:32" x14ac:dyDescent="0.25">
      <c r="A3197" s="308">
        <v>45621</v>
      </c>
      <c r="B3197" s="416">
        <v>1261320</v>
      </c>
      <c r="C3197" s="413" t="str">
        <f>IFERROR(INDEX(Table14[],MATCH($B3197,Table14[SAPNo],0),3),"")</f>
        <v>1313 CT155 U-60</v>
      </c>
      <c r="D3197" s="306"/>
      <c r="E3197" s="421">
        <v>6</v>
      </c>
      <c r="F3197" s="421"/>
      <c r="G3197" s="417" t="s">
        <v>2391</v>
      </c>
      <c r="H3197" s="598">
        <v>14211862</v>
      </c>
      <c r="I3197" s="322" t="s">
        <v>1175</v>
      </c>
      <c r="J3197" s="418"/>
      <c r="K3197" s="248"/>
      <c r="M3197" s="366"/>
      <c r="AF3197">
        <v>6</v>
      </c>
    </row>
    <row r="3198" spans="1:32" x14ac:dyDescent="0.25">
      <c r="A3198" s="308">
        <v>45621</v>
      </c>
      <c r="B3198" s="416">
        <v>1261321</v>
      </c>
      <c r="C3198" s="413" t="str">
        <f>IFERROR(INDEX(Table14[],MATCH($B3198,Table14[SAPNo],0),3),"")</f>
        <v>1613 CT155 U-60</v>
      </c>
      <c r="D3198" s="306"/>
      <c r="E3198" s="421">
        <v>4</v>
      </c>
      <c r="F3198" s="421"/>
      <c r="G3198" s="417" t="s">
        <v>2391</v>
      </c>
      <c r="H3198" s="598">
        <v>14211862</v>
      </c>
      <c r="I3198" s="322" t="s">
        <v>1175</v>
      </c>
      <c r="J3198" s="418"/>
      <c r="K3198" s="248"/>
      <c r="M3198" s="366"/>
      <c r="AF3198">
        <v>4</v>
      </c>
    </row>
    <row r="3199" spans="1:32" x14ac:dyDescent="0.25">
      <c r="A3199" s="308">
        <v>45621</v>
      </c>
      <c r="B3199" s="416">
        <v>717748</v>
      </c>
      <c r="C3199" s="413" t="str">
        <f>IFERROR(INDEX(Table14[],MATCH($B3199,Table14[SAPNo],0),3),"")</f>
        <v>Round 1010 CT200  0.018" (B)</v>
      </c>
      <c r="D3199" s="306"/>
      <c r="E3199" s="421">
        <v>2</v>
      </c>
      <c r="F3199" s="421"/>
      <c r="G3199" s="417">
        <v>20241192</v>
      </c>
      <c r="H3199" s="598" t="s">
        <v>2392</v>
      </c>
      <c r="I3199" s="322" t="s">
        <v>1069</v>
      </c>
      <c r="J3199" s="418"/>
      <c r="K3199" s="248"/>
      <c r="M3199" s="366"/>
      <c r="AF3199">
        <v>2</v>
      </c>
    </row>
    <row r="3200" spans="1:32" x14ac:dyDescent="0.25">
      <c r="A3200" s="308">
        <v>45621</v>
      </c>
      <c r="B3200" s="416">
        <v>717748</v>
      </c>
      <c r="C3200" s="413" t="str">
        <f>IFERROR(INDEX(Table14[],MATCH($B3200,Table14[SAPNo],0),3),"")</f>
        <v>Round 1010 CT200  0.018" (B)</v>
      </c>
      <c r="D3200" s="306"/>
      <c r="E3200" s="421">
        <v>4</v>
      </c>
      <c r="F3200" s="421"/>
      <c r="G3200" s="417">
        <v>20241193</v>
      </c>
      <c r="H3200" s="598" t="s">
        <v>2393</v>
      </c>
      <c r="I3200" s="322" t="s">
        <v>1069</v>
      </c>
      <c r="J3200" s="418"/>
      <c r="K3200" s="248"/>
      <c r="M3200" s="366"/>
      <c r="AF3200">
        <v>4</v>
      </c>
    </row>
    <row r="3201" spans="1:32" x14ac:dyDescent="0.25">
      <c r="A3201" s="308">
        <v>45622</v>
      </c>
      <c r="B3201" s="416">
        <v>1130200</v>
      </c>
      <c r="C3201" s="413" t="str">
        <f>IFERROR(INDEX(Table14[],MATCH($B3201,Table14[SAPNo],0),3),"")</f>
        <v>Round 1913 CT182  0.018" (S)</v>
      </c>
      <c r="D3201" s="306"/>
      <c r="E3201" s="421">
        <v>1</v>
      </c>
      <c r="F3201" s="421"/>
      <c r="G3201" s="417" t="s">
        <v>2394</v>
      </c>
      <c r="H3201" s="598">
        <v>13885244</v>
      </c>
      <c r="I3201" s="322" t="s">
        <v>1164</v>
      </c>
      <c r="J3201" s="418"/>
      <c r="K3201" s="248"/>
      <c r="M3201" s="366"/>
      <c r="AF3201">
        <v>1</v>
      </c>
    </row>
    <row r="3202" spans="1:32" x14ac:dyDescent="0.25">
      <c r="A3202" s="308">
        <v>45623</v>
      </c>
      <c r="B3202" s="416">
        <v>708306</v>
      </c>
      <c r="C3202" s="413" t="str">
        <f>IFERROR(INDEX(Table14[],MATCH($B3202,Table14[SAPNo],0),3),"")</f>
        <v>Round 1913 CT200  0.018" (B)</v>
      </c>
      <c r="D3202" s="306"/>
      <c r="E3202" s="421">
        <v>34</v>
      </c>
      <c r="F3202" s="421"/>
      <c r="G3202" s="417" t="s">
        <v>2395</v>
      </c>
      <c r="H3202" s="598">
        <v>14127571</v>
      </c>
      <c r="I3202" s="322" t="s">
        <v>1976</v>
      </c>
      <c r="J3202" s="418"/>
      <c r="K3202" s="248"/>
      <c r="M3202" s="366"/>
      <c r="AF3202">
        <v>34</v>
      </c>
    </row>
    <row r="3203" spans="1:32" x14ac:dyDescent="0.25">
      <c r="A3203" s="308">
        <v>45623</v>
      </c>
      <c r="B3203" s="419">
        <v>1282746</v>
      </c>
      <c r="C3203" s="413" t="str">
        <f>IFERROR(INDEX(Table14[],MATCH($B3203,Table14[SAPNo],0),3),"")</f>
        <v>1913 CT172 R U</v>
      </c>
      <c r="D3203" s="306"/>
      <c r="E3203" s="421">
        <v>30</v>
      </c>
      <c r="F3203" s="421"/>
      <c r="G3203" s="417" t="s">
        <v>2395</v>
      </c>
      <c r="H3203" s="599">
        <v>14127571</v>
      </c>
      <c r="I3203" s="322" t="s">
        <v>1976</v>
      </c>
      <c r="J3203" s="421"/>
      <c r="K3203" s="422"/>
      <c r="M3203" s="366"/>
      <c r="AF3203">
        <v>30</v>
      </c>
    </row>
    <row r="3204" spans="1:32" x14ac:dyDescent="0.25">
      <c r="A3204" s="308">
        <v>45623</v>
      </c>
      <c r="B3204" s="416">
        <v>1100759</v>
      </c>
      <c r="C3204" s="413" t="str">
        <f>IFERROR(INDEX(Table14[],MATCH($B3204,Table14[SAPNo],0),3),"")</f>
        <v>1913 CT421 0.018"</v>
      </c>
      <c r="D3204" s="306"/>
      <c r="E3204" s="421">
        <v>18</v>
      </c>
      <c r="F3204" s="421"/>
      <c r="G3204" s="417" t="s">
        <v>2395</v>
      </c>
      <c r="H3204" s="598">
        <v>14127571</v>
      </c>
      <c r="I3204" s="322" t="s">
        <v>1976</v>
      </c>
      <c r="J3204" s="418"/>
      <c r="K3204" s="248"/>
      <c r="M3204" s="422"/>
      <c r="AF3204">
        <v>18</v>
      </c>
    </row>
    <row r="3205" spans="1:32" x14ac:dyDescent="0.25">
      <c r="A3205" s="308">
        <v>45623</v>
      </c>
      <c r="B3205" s="416">
        <v>1146737</v>
      </c>
      <c r="C3205" s="413" t="str">
        <f>IFERROR(INDEX(Table14[],MATCH($B3205,Table14[SAPNo],0),3),"")</f>
        <v>1613 CT418 18-60</v>
      </c>
      <c r="D3205" s="306"/>
      <c r="E3205" s="421">
        <v>9</v>
      </c>
      <c r="F3205" s="421"/>
      <c r="G3205" s="417" t="s">
        <v>2395</v>
      </c>
      <c r="H3205" s="598">
        <v>14127571</v>
      </c>
      <c r="I3205" s="322" t="s">
        <v>1976</v>
      </c>
      <c r="J3205" s="418"/>
      <c r="K3205" s="248"/>
      <c r="M3205" s="366"/>
      <c r="AF3205">
        <v>9</v>
      </c>
    </row>
    <row r="3206" spans="1:32" x14ac:dyDescent="0.25">
      <c r="A3206" s="308">
        <v>45623</v>
      </c>
      <c r="B3206" s="416">
        <v>871781</v>
      </c>
      <c r="C3206" s="413" t="str">
        <f>IFERROR(INDEX(Table14[],MATCH($B3206,Table14[SAPNo],0),3),"")</f>
        <v>Round 1313 CT200  0.018" (B)</v>
      </c>
      <c r="D3206" s="306"/>
      <c r="E3206" s="421">
        <v>8</v>
      </c>
      <c r="F3206" s="421"/>
      <c r="G3206" s="417" t="s">
        <v>2395</v>
      </c>
      <c r="H3206" s="598">
        <v>14127571</v>
      </c>
      <c r="I3206" s="322" t="s">
        <v>1976</v>
      </c>
      <c r="J3206" s="418"/>
      <c r="K3206" s="248"/>
      <c r="M3206" s="366"/>
      <c r="AF3206">
        <v>8</v>
      </c>
    </row>
    <row r="3207" spans="1:32" x14ac:dyDescent="0.25">
      <c r="A3207" s="308">
        <v>45623</v>
      </c>
      <c r="B3207" s="416">
        <v>1100696</v>
      </c>
      <c r="C3207" s="413" t="str">
        <f>IFERROR(INDEX(Table14[],MATCH($B3207,Table14[SAPNo],0),3),"")</f>
        <v>Round 1313 CT418  10C (S)</v>
      </c>
      <c r="D3207" s="306"/>
      <c r="E3207" s="421"/>
      <c r="F3207" s="421"/>
      <c r="G3207" s="417" t="s">
        <v>2396</v>
      </c>
      <c r="H3207" s="598" t="s">
        <v>2397</v>
      </c>
      <c r="I3207" s="322" t="s">
        <v>2196</v>
      </c>
      <c r="J3207" s="418"/>
      <c r="K3207" s="248" t="s">
        <v>2398</v>
      </c>
      <c r="M3207" s="366"/>
    </row>
    <row r="3208" spans="1:32" x14ac:dyDescent="0.25">
      <c r="A3208" s="320">
        <v>45610</v>
      </c>
      <c r="B3208" s="419">
        <v>1078377</v>
      </c>
      <c r="C3208" s="413" t="str">
        <f>IFERROR(INDEX(Table14[],MATCH($B3208,Table14[SAPNo],0),3),"")</f>
        <v>13MM CT221 R1</v>
      </c>
      <c r="D3208" s="306"/>
      <c r="E3208" s="421">
        <v>2</v>
      </c>
      <c r="F3208" s="421"/>
      <c r="G3208" s="420" t="s">
        <v>2334</v>
      </c>
      <c r="H3208" s="599" t="s">
        <v>2320</v>
      </c>
      <c r="I3208" s="322" t="s">
        <v>2179</v>
      </c>
      <c r="J3208" s="421"/>
      <c r="K3208" s="422"/>
      <c r="M3208" s="422"/>
      <c r="AF3208">
        <v>2</v>
      </c>
    </row>
    <row r="3209" spans="1:32" x14ac:dyDescent="0.25">
      <c r="A3209" s="308">
        <v>45610</v>
      </c>
      <c r="B3209" s="416">
        <v>1208601</v>
      </c>
      <c r="C3209" s="413" t="str">
        <f>IFERROR(INDEX(Table14[],MATCH($B3209,Table14[SAPNo],0),3),"")</f>
        <v>1613 CT418 U-60</v>
      </c>
      <c r="D3209" s="306"/>
      <c r="E3209" s="421">
        <v>1</v>
      </c>
      <c r="F3209" s="421"/>
      <c r="G3209" s="420" t="s">
        <v>2334</v>
      </c>
      <c r="H3209" s="598" t="s">
        <v>2320</v>
      </c>
      <c r="I3209" s="322" t="s">
        <v>2179</v>
      </c>
      <c r="J3209" s="418"/>
      <c r="K3209" s="248"/>
      <c r="M3209" s="422"/>
      <c r="AF3209">
        <v>4</v>
      </c>
    </row>
    <row r="3210" spans="1:32" x14ac:dyDescent="0.25">
      <c r="A3210" s="308">
        <v>45617</v>
      </c>
      <c r="B3210" s="416">
        <v>1208601</v>
      </c>
      <c r="C3210" s="413" t="str">
        <f>IFERROR(INDEX(Table14[],MATCH($B3210,Table14[SAPNo],0),3),"")</f>
        <v>1613 CT418 U-60</v>
      </c>
      <c r="D3210" s="306"/>
      <c r="E3210" s="421">
        <v>1</v>
      </c>
      <c r="F3210" s="421"/>
      <c r="G3210" s="420" t="s">
        <v>2368</v>
      </c>
      <c r="H3210" s="598" t="s">
        <v>2369</v>
      </c>
      <c r="I3210" s="322" t="s">
        <v>2254</v>
      </c>
      <c r="J3210" s="418"/>
      <c r="K3210" s="248"/>
      <c r="M3210" s="366"/>
      <c r="AF3210">
        <v>4</v>
      </c>
    </row>
    <row r="3211" spans="1:32" x14ac:dyDescent="0.25">
      <c r="A3211" s="308">
        <v>45617</v>
      </c>
      <c r="B3211" s="416">
        <v>418525</v>
      </c>
      <c r="C3211" s="413" t="str">
        <f>IFERROR(INDEX(Table14[],MATCH($B3211,Table14[SAPNo],0),3),"")</f>
        <v>Drop In 1308 CT31   (B)</v>
      </c>
      <c r="D3211" s="306"/>
      <c r="E3211" s="421">
        <v>5</v>
      </c>
      <c r="F3211" s="421"/>
      <c r="G3211" s="417" t="s">
        <v>2368</v>
      </c>
      <c r="H3211" s="598" t="s">
        <v>2369</v>
      </c>
      <c r="I3211" s="322" t="s">
        <v>2254</v>
      </c>
      <c r="J3211" s="418"/>
      <c r="K3211" s="248"/>
      <c r="M3211" s="366"/>
      <c r="AF3211">
        <v>1</v>
      </c>
    </row>
    <row r="3212" spans="1:32" x14ac:dyDescent="0.25">
      <c r="A3212" s="308">
        <v>45624</v>
      </c>
      <c r="B3212" s="416">
        <v>1271790</v>
      </c>
      <c r="C3212" s="413" t="str">
        <f>IFERROR(INDEX(Table14[],MATCH($B3212,Table14[SAPNo],0),3),"")</f>
        <v xml:space="preserve">1613 CT170 18-60 </v>
      </c>
      <c r="D3212" s="306"/>
      <c r="E3212" s="421">
        <v>1</v>
      </c>
      <c r="F3212" s="421"/>
      <c r="G3212" s="417" t="s">
        <v>2401</v>
      </c>
      <c r="H3212" s="598" t="s">
        <v>2402</v>
      </c>
      <c r="I3212" s="322" t="s">
        <v>2311</v>
      </c>
      <c r="J3212" s="418"/>
      <c r="K3212" s="248"/>
      <c r="M3212" s="366"/>
      <c r="AF3212">
        <v>1</v>
      </c>
    </row>
    <row r="3213" spans="1:32" x14ac:dyDescent="0.25">
      <c r="A3213" s="308">
        <v>45624</v>
      </c>
      <c r="B3213" s="416">
        <v>1208601</v>
      </c>
      <c r="C3213" s="413" t="str">
        <f>IFERROR(INDEX(Table14[],MATCH($B3213,Table14[SAPNo],0),3),"")</f>
        <v>1613 CT418 U-60</v>
      </c>
      <c r="D3213" s="306"/>
      <c r="E3213" s="421">
        <v>1</v>
      </c>
      <c r="F3213" s="421"/>
      <c r="G3213" s="417" t="s">
        <v>2401</v>
      </c>
      <c r="H3213" s="598" t="s">
        <v>2402</v>
      </c>
      <c r="I3213" s="322" t="s">
        <v>2311</v>
      </c>
      <c r="J3213" s="418"/>
      <c r="K3213" s="248"/>
      <c r="M3213" s="366"/>
      <c r="AF3213">
        <v>5</v>
      </c>
    </row>
    <row r="3214" spans="1:32" x14ac:dyDescent="0.25">
      <c r="A3214" s="308">
        <v>45624</v>
      </c>
      <c r="B3214" s="416">
        <v>418525</v>
      </c>
      <c r="C3214" s="413" t="str">
        <f>IFERROR(INDEX(Table14[],MATCH($B3214,Table14[SAPNo],0),3),"")</f>
        <v>Drop In 1308 CT31   (B)</v>
      </c>
      <c r="D3214" s="306"/>
      <c r="E3214" s="421">
        <v>5</v>
      </c>
      <c r="F3214" s="421"/>
      <c r="G3214" s="417" t="s">
        <v>2401</v>
      </c>
      <c r="H3214" s="598" t="s">
        <v>2402</v>
      </c>
      <c r="I3214" s="322" t="s">
        <v>2311</v>
      </c>
      <c r="J3214" s="418"/>
      <c r="K3214" s="248"/>
      <c r="M3214" s="366"/>
      <c r="AF3214">
        <v>4</v>
      </c>
    </row>
    <row r="3215" spans="1:32" x14ac:dyDescent="0.25">
      <c r="A3215" s="308">
        <v>45624</v>
      </c>
      <c r="B3215" s="416">
        <v>1130194</v>
      </c>
      <c r="C3215" s="413" t="str">
        <f>IFERROR(INDEX(Table14[],MATCH($B3215,Table14[SAPNo],0),3),"")</f>
        <v>1010 CT182 18C</v>
      </c>
      <c r="D3215" s="306"/>
      <c r="E3215" s="421">
        <v>26</v>
      </c>
      <c r="F3215" s="421"/>
      <c r="G3215" s="417" t="s">
        <v>2403</v>
      </c>
      <c r="H3215" s="598">
        <v>14279670</v>
      </c>
      <c r="I3215" s="322" t="s">
        <v>1380</v>
      </c>
      <c r="J3215" s="418"/>
      <c r="K3215" s="248"/>
      <c r="M3215" s="366"/>
      <c r="AF3215">
        <v>26</v>
      </c>
    </row>
    <row r="3216" spans="1:32" x14ac:dyDescent="0.25">
      <c r="A3216" s="308">
        <v>45624</v>
      </c>
      <c r="B3216" s="416">
        <v>1130193</v>
      </c>
      <c r="C3216" s="413" t="str">
        <f>IFERROR(INDEX(Table14[],MATCH($B3216,Table14[SAPNo],0),3),"")</f>
        <v xml:space="preserve"> 1005 CT182  0.018 (S)</v>
      </c>
      <c r="D3216" s="306"/>
      <c r="E3216" s="421">
        <v>8</v>
      </c>
      <c r="F3216" s="421"/>
      <c r="G3216" s="417" t="s">
        <v>2403</v>
      </c>
      <c r="H3216" s="598">
        <v>14279670</v>
      </c>
      <c r="I3216" s="322" t="s">
        <v>1380</v>
      </c>
      <c r="J3216" s="418"/>
      <c r="K3216" s="248"/>
      <c r="M3216" s="366"/>
      <c r="AF3216">
        <v>8</v>
      </c>
    </row>
    <row r="3217" spans="1:32" x14ac:dyDescent="0.25">
      <c r="A3217" s="308">
        <v>45624</v>
      </c>
      <c r="B3217" s="416">
        <v>882800</v>
      </c>
      <c r="C3217" s="413" t="str">
        <f>IFERROR(INDEX(Table14[],MATCH($B3217,Table14[SAPNo],0),3),"")</f>
        <v>Round 0808 CT80  0.018" (B)</v>
      </c>
      <c r="D3217" s="306"/>
      <c r="E3217" s="421">
        <v>10</v>
      </c>
      <c r="F3217" s="421"/>
      <c r="G3217" s="417" t="s">
        <v>2403</v>
      </c>
      <c r="H3217" s="598">
        <v>14279670</v>
      </c>
      <c r="I3217" s="322" t="s">
        <v>1380</v>
      </c>
      <c r="J3217" s="418"/>
      <c r="K3217" s="248"/>
      <c r="M3217" s="366"/>
      <c r="AF3217">
        <v>10</v>
      </c>
    </row>
    <row r="3218" spans="1:32" x14ac:dyDescent="0.25">
      <c r="A3218" s="308">
        <v>45624</v>
      </c>
      <c r="B3218" s="416">
        <v>1100755</v>
      </c>
      <c r="C3218" s="413" t="str">
        <f>IFERROR(INDEX(Table14[],MATCH($B3218,Table14[SAPNo],0),3),"")</f>
        <v>Round 1613 CT421  0.018" (S)</v>
      </c>
      <c r="D3218" s="306"/>
      <c r="E3218" s="421">
        <v>33</v>
      </c>
      <c r="F3218" s="421"/>
      <c r="G3218" s="417" t="s">
        <v>2404</v>
      </c>
      <c r="H3218" s="598">
        <v>14273429</v>
      </c>
      <c r="I3218" s="322" t="s">
        <v>2405</v>
      </c>
      <c r="J3218" s="418"/>
      <c r="K3218" s="248"/>
      <c r="M3218" s="366"/>
      <c r="AF3218">
        <v>33</v>
      </c>
    </row>
    <row r="3219" spans="1:32" x14ac:dyDescent="0.25">
      <c r="A3219" s="320">
        <v>45624</v>
      </c>
      <c r="B3219" s="419">
        <v>647435</v>
      </c>
      <c r="C3219" s="413" t="str">
        <f>IFERROR(INDEX(Table14[],MATCH($B3219,Table14[SAPNo],0),3),"")</f>
        <v>Round 1608 CT200  0.018" (B)</v>
      </c>
      <c r="D3219" s="306"/>
      <c r="E3219" s="421">
        <v>23</v>
      </c>
      <c r="F3219" s="421"/>
      <c r="G3219" s="417" t="s">
        <v>2404</v>
      </c>
      <c r="H3219" s="599">
        <v>14273429</v>
      </c>
      <c r="I3219" s="322" t="s">
        <v>2405</v>
      </c>
      <c r="J3219" s="421"/>
      <c r="K3219" s="422"/>
      <c r="M3219" s="366"/>
      <c r="AF3219">
        <v>23</v>
      </c>
    </row>
    <row r="3220" spans="1:32" x14ac:dyDescent="0.25">
      <c r="A3220" s="308">
        <v>45624</v>
      </c>
      <c r="B3220" s="416">
        <v>871781</v>
      </c>
      <c r="C3220" s="413" t="str">
        <f>IFERROR(INDEX(Table14[],MATCH($B3220,Table14[SAPNo],0),3),"")</f>
        <v>Round 1313 CT200  0.018" (B)</v>
      </c>
      <c r="D3220" s="306"/>
      <c r="E3220" s="421">
        <v>6</v>
      </c>
      <c r="F3220" s="421"/>
      <c r="G3220" s="417" t="s">
        <v>2404</v>
      </c>
      <c r="H3220" s="598">
        <v>14273429</v>
      </c>
      <c r="I3220" s="322" t="s">
        <v>2405</v>
      </c>
      <c r="J3220" s="418"/>
      <c r="K3220" s="248"/>
      <c r="M3220" s="422"/>
      <c r="AF3220">
        <v>6</v>
      </c>
    </row>
    <row r="3221" spans="1:32" x14ac:dyDescent="0.25">
      <c r="A3221" s="308">
        <v>45624</v>
      </c>
      <c r="B3221" s="416">
        <v>1100759</v>
      </c>
      <c r="C3221" s="413" t="str">
        <f>IFERROR(INDEX(Table14[],MATCH($B3221,Table14[SAPNo],0),3),"")</f>
        <v>1913 CT421 0.018"</v>
      </c>
      <c r="D3221" s="306"/>
      <c r="E3221" s="421">
        <v>48</v>
      </c>
      <c r="F3221" s="421"/>
      <c r="G3221" s="417" t="s">
        <v>2406</v>
      </c>
      <c r="H3221" s="598">
        <v>14254505</v>
      </c>
      <c r="I3221" s="322" t="s">
        <v>1299</v>
      </c>
      <c r="J3221" s="418"/>
      <c r="K3221" s="248"/>
      <c r="M3221" s="366"/>
      <c r="AF3221">
        <v>48</v>
      </c>
    </row>
    <row r="3222" spans="1:32" x14ac:dyDescent="0.25">
      <c r="A3222" s="308">
        <v>45624</v>
      </c>
      <c r="B3222" s="416">
        <v>708306</v>
      </c>
      <c r="C3222" s="413" t="str">
        <f>IFERROR(INDEX(Table14[],MATCH($B3222,Table14[SAPNo],0),3),"")</f>
        <v>Round 1913 CT200  0.018" (B)</v>
      </c>
      <c r="D3222" s="306"/>
      <c r="E3222" s="421">
        <v>34</v>
      </c>
      <c r="F3222" s="421"/>
      <c r="G3222" s="417" t="s">
        <v>2406</v>
      </c>
      <c r="H3222" s="598">
        <v>14254505</v>
      </c>
      <c r="I3222" s="322" t="s">
        <v>1299</v>
      </c>
      <c r="J3222" s="418"/>
      <c r="K3222" s="248"/>
      <c r="M3222" s="366"/>
      <c r="AF3222">
        <v>34</v>
      </c>
    </row>
    <row r="3223" spans="1:32" x14ac:dyDescent="0.25">
      <c r="A3223" s="320">
        <v>45624</v>
      </c>
      <c r="B3223" s="419">
        <v>1100755</v>
      </c>
      <c r="C3223" s="413" t="str">
        <f>IFERROR(INDEX(Table14[],MATCH($B3223,Table14[SAPNo],0),3),"")</f>
        <v>Round 1613 CT421  0.018" (S)</v>
      </c>
      <c r="D3223" s="306"/>
      <c r="E3223" s="421">
        <v>9</v>
      </c>
      <c r="F3223" s="421"/>
      <c r="G3223" s="417" t="s">
        <v>2406</v>
      </c>
      <c r="H3223" s="599">
        <v>14254505</v>
      </c>
      <c r="I3223" s="322" t="s">
        <v>1299</v>
      </c>
      <c r="J3223" s="421"/>
      <c r="K3223" s="422"/>
      <c r="M3223" s="366"/>
      <c r="AF3223">
        <v>9</v>
      </c>
    </row>
    <row r="3224" spans="1:32" x14ac:dyDescent="0.25">
      <c r="A3224" s="320">
        <v>45624</v>
      </c>
      <c r="B3224" s="419">
        <v>871781</v>
      </c>
      <c r="C3224" s="413" t="str">
        <f>IFERROR(INDEX(Table14[],MATCH($B3224,Table14[SAPNo],0),3),"")</f>
        <v>Round 1313 CT200  0.018" (B)</v>
      </c>
      <c r="D3224" s="306"/>
      <c r="E3224" s="421">
        <v>8</v>
      </c>
      <c r="F3224" s="421"/>
      <c r="G3224" s="420" t="s">
        <v>2406</v>
      </c>
      <c r="H3224" s="599">
        <v>14254505</v>
      </c>
      <c r="I3224" s="322" t="s">
        <v>1299</v>
      </c>
      <c r="J3224" s="421"/>
      <c r="K3224" s="422"/>
      <c r="M3224" s="422"/>
      <c r="AF3224">
        <v>8</v>
      </c>
    </row>
    <row r="3225" spans="1:32" x14ac:dyDescent="0.25">
      <c r="A3225" s="320">
        <v>45624</v>
      </c>
      <c r="B3225" s="416">
        <v>1130194</v>
      </c>
      <c r="C3225" s="413" t="str">
        <f>IFERROR(INDEX(Table14[],MATCH($B3225,Table14[SAPNo],0),3),"")</f>
        <v>1010 CT182 18C</v>
      </c>
      <c r="D3225" s="306"/>
      <c r="E3225" s="421">
        <v>26</v>
      </c>
      <c r="F3225" s="421"/>
      <c r="G3225" s="420" t="s">
        <v>2407</v>
      </c>
      <c r="H3225" s="598">
        <v>14279669</v>
      </c>
      <c r="I3225" s="322" t="s">
        <v>1380</v>
      </c>
      <c r="J3225" s="418"/>
      <c r="K3225" s="248"/>
      <c r="M3225" s="422"/>
      <c r="AF3225">
        <v>26</v>
      </c>
    </row>
    <row r="3226" spans="1:32" x14ac:dyDescent="0.25">
      <c r="A3226" s="320">
        <v>45624</v>
      </c>
      <c r="B3226" s="416">
        <v>1130193</v>
      </c>
      <c r="C3226" s="413" t="str">
        <f>IFERROR(INDEX(Table14[],MATCH($B3226,Table14[SAPNo],0),3),"")</f>
        <v xml:space="preserve"> 1005 CT182  0.018 (S)</v>
      </c>
      <c r="D3226" s="306"/>
      <c r="E3226" s="421">
        <v>8</v>
      </c>
      <c r="F3226" s="421"/>
      <c r="G3226" s="420" t="s">
        <v>2407</v>
      </c>
      <c r="H3226" s="598">
        <v>14279669</v>
      </c>
      <c r="I3226" s="322" t="s">
        <v>1380</v>
      </c>
      <c r="J3226" s="418"/>
      <c r="K3226" s="248"/>
      <c r="M3226" s="366"/>
      <c r="AF3226">
        <v>8</v>
      </c>
    </row>
    <row r="3227" spans="1:32" x14ac:dyDescent="0.25">
      <c r="A3227" s="320">
        <v>45624</v>
      </c>
      <c r="B3227" s="416">
        <v>882800</v>
      </c>
      <c r="C3227" s="413" t="str">
        <f>IFERROR(INDEX(Table14[],MATCH($B3227,Table14[SAPNo],0),3),"")</f>
        <v>Round 0808 CT80  0.018" (B)</v>
      </c>
      <c r="D3227" s="306"/>
      <c r="E3227" s="421">
        <v>4</v>
      </c>
      <c r="F3227" s="421"/>
      <c r="G3227" s="420" t="s">
        <v>2407</v>
      </c>
      <c r="H3227" s="598">
        <v>14279669</v>
      </c>
      <c r="I3227" s="322" t="s">
        <v>1380</v>
      </c>
      <c r="J3227" s="418"/>
      <c r="K3227" s="248"/>
      <c r="M3227" s="366"/>
      <c r="AF3227">
        <v>4</v>
      </c>
    </row>
    <row r="3228" spans="1:32" x14ac:dyDescent="0.25">
      <c r="A3228" s="320">
        <v>45624</v>
      </c>
      <c r="B3228" s="416">
        <v>882800</v>
      </c>
      <c r="C3228" s="413" t="str">
        <f>IFERROR(INDEX(Table14[],MATCH($B3228,Table14[SAPNo],0),3),"")</f>
        <v>Round 0808 CT80  0.018" (B)</v>
      </c>
      <c r="D3228" s="306"/>
      <c r="E3228" s="421">
        <v>6</v>
      </c>
      <c r="F3228" s="421"/>
      <c r="G3228" s="420" t="s">
        <v>2407</v>
      </c>
      <c r="H3228" s="598">
        <v>14279669</v>
      </c>
      <c r="I3228" s="322" t="s">
        <v>1380</v>
      </c>
      <c r="J3228" s="418"/>
      <c r="K3228" s="248"/>
      <c r="M3228" s="422"/>
      <c r="AF3228">
        <v>6</v>
      </c>
    </row>
    <row r="3229" spans="1:32" x14ac:dyDescent="0.25">
      <c r="A3229" s="320">
        <v>45624</v>
      </c>
      <c r="B3229" s="416">
        <v>717748</v>
      </c>
      <c r="C3229" s="413" t="str">
        <f>IFERROR(INDEX(Table14[],MATCH($B3229,Table14[SAPNo],0),3),"")</f>
        <v>Round 1010 CT200  0.018" (B)</v>
      </c>
      <c r="D3229" s="306"/>
      <c r="E3229" s="421">
        <v>6</v>
      </c>
      <c r="F3229" s="421"/>
      <c r="G3229" s="417">
        <v>20241195</v>
      </c>
      <c r="H3229" s="598" t="s">
        <v>2408</v>
      </c>
      <c r="I3229" s="322" t="s">
        <v>1069</v>
      </c>
      <c r="J3229" s="418"/>
      <c r="K3229" s="248"/>
      <c r="M3229" s="366"/>
      <c r="AF3229">
        <v>6</v>
      </c>
    </row>
    <row r="3230" spans="1:32" x14ac:dyDescent="0.25">
      <c r="A3230" s="308">
        <v>45624</v>
      </c>
      <c r="B3230" s="416">
        <v>418525</v>
      </c>
      <c r="C3230" s="413" t="str">
        <f>IFERROR(INDEX(Table14[],MATCH($B3230,Table14[SAPNo],0),3),"")</f>
        <v>Drop In 1308 CT31   (B)</v>
      </c>
      <c r="D3230" s="306"/>
      <c r="E3230" s="421">
        <v>2</v>
      </c>
      <c r="F3230" s="421"/>
      <c r="G3230" s="417">
        <v>20241185</v>
      </c>
      <c r="H3230" s="598" t="s">
        <v>2409</v>
      </c>
      <c r="I3230" s="322" t="s">
        <v>2410</v>
      </c>
      <c r="J3230" s="418"/>
      <c r="K3230" s="248"/>
      <c r="M3230" s="422"/>
      <c r="AF3230">
        <v>2</v>
      </c>
    </row>
    <row r="3231" spans="1:32" x14ac:dyDescent="0.25">
      <c r="A3231" s="308">
        <v>45624</v>
      </c>
      <c r="B3231" s="416">
        <v>1100696</v>
      </c>
      <c r="C3231" s="413" t="str">
        <f>IFERROR(INDEX(Table14[],MATCH($B3231,Table14[SAPNo],0),3),"")</f>
        <v>Round 1313 CT418  10C (S)</v>
      </c>
      <c r="D3231" s="306"/>
      <c r="E3231" s="421"/>
      <c r="F3231" s="421"/>
      <c r="G3231" s="417" t="s">
        <v>2411</v>
      </c>
      <c r="H3231" s="598" t="s">
        <v>2409</v>
      </c>
      <c r="I3231" s="322" t="s">
        <v>2410</v>
      </c>
      <c r="J3231" s="418"/>
      <c r="K3231" s="248" t="s">
        <v>2398</v>
      </c>
      <c r="M3231" s="366"/>
    </row>
    <row r="3232" spans="1:32" x14ac:dyDescent="0.25">
      <c r="A3232" s="320">
        <v>45624</v>
      </c>
      <c r="B3232" s="419">
        <v>1219562</v>
      </c>
      <c r="C3232" s="413" t="str">
        <f>IFERROR(INDEX(Table14[],MATCH($B3232,Table14[SAPNo],0),3),"")</f>
        <v>1613 CT147R U</v>
      </c>
      <c r="D3232" s="306"/>
      <c r="E3232" s="421">
        <v>1</v>
      </c>
      <c r="F3232" s="421"/>
      <c r="G3232" s="420">
        <v>20241185</v>
      </c>
      <c r="H3232" s="599" t="s">
        <v>2409</v>
      </c>
      <c r="I3232" s="322" t="s">
        <v>2410</v>
      </c>
      <c r="J3232" s="421"/>
      <c r="K3232" s="422"/>
      <c r="M3232" s="366"/>
      <c r="AF3232">
        <v>1</v>
      </c>
    </row>
    <row r="3233" spans="1:32" x14ac:dyDescent="0.25">
      <c r="A3233" s="320">
        <v>45626</v>
      </c>
      <c r="B3233" s="419">
        <v>1039036</v>
      </c>
      <c r="C3233" s="413" t="str">
        <f>IFERROR(INDEX(Table14[],MATCH($B3233,Table14[SAPNo],0),3),"")</f>
        <v>Round 1313 CT138  0.018" (S)</v>
      </c>
      <c r="D3233" s="306"/>
      <c r="E3233" s="421"/>
      <c r="F3233" s="421"/>
      <c r="G3233" s="420" t="s">
        <v>2412</v>
      </c>
      <c r="H3233" s="599">
        <v>13669982</v>
      </c>
      <c r="I3233" s="322" t="s">
        <v>2413</v>
      </c>
      <c r="J3233" s="421"/>
      <c r="K3233" s="422" t="s">
        <v>2412</v>
      </c>
      <c r="M3233" s="422"/>
    </row>
    <row r="3234" spans="1:32" x14ac:dyDescent="0.25">
      <c r="A3234" s="308">
        <v>45626</v>
      </c>
      <c r="B3234" s="416">
        <v>1039034</v>
      </c>
      <c r="C3234" s="413" t="str">
        <f>IFERROR(INDEX(Table14[],MATCH($B3234,Table14[SAPNo],0),3),"")</f>
        <v>Round 1308 CT138  0.018" (S)</v>
      </c>
      <c r="D3234" s="306"/>
      <c r="E3234" s="421"/>
      <c r="F3234" s="421"/>
      <c r="G3234" s="420" t="s">
        <v>2414</v>
      </c>
      <c r="H3234" s="598">
        <v>13669982</v>
      </c>
      <c r="I3234" s="322" t="s">
        <v>2413</v>
      </c>
      <c r="J3234" s="418"/>
      <c r="K3234" s="420" t="s">
        <v>2414</v>
      </c>
      <c r="M3234" s="422"/>
    </row>
    <row r="3235" spans="1:32" x14ac:dyDescent="0.25">
      <c r="A3235" s="320">
        <v>45626</v>
      </c>
      <c r="B3235" s="419">
        <v>1039036</v>
      </c>
      <c r="C3235" s="413" t="str">
        <f>IFERROR(INDEX(Table14[],MATCH($B3235,Table14[SAPNo],0),3),"")</f>
        <v>Round 1313 CT138  0.018" (S)</v>
      </c>
      <c r="D3235" s="306"/>
      <c r="E3235" s="421"/>
      <c r="F3235" s="421"/>
      <c r="G3235" s="420" t="s">
        <v>2415</v>
      </c>
      <c r="H3235" s="599">
        <v>13669982</v>
      </c>
      <c r="I3235" s="322" t="s">
        <v>2413</v>
      </c>
      <c r="J3235" s="421"/>
      <c r="K3235" s="420" t="s">
        <v>2416</v>
      </c>
      <c r="M3235" s="366"/>
    </row>
    <row r="3236" spans="1:32" x14ac:dyDescent="0.25">
      <c r="A3236" s="308">
        <v>45626</v>
      </c>
      <c r="B3236" s="416">
        <v>1130198</v>
      </c>
      <c r="C3236" s="413" t="str">
        <f>IFERROR(INDEX(Table14[],MATCH($B3236,Table14[SAPNo],0),3),"")</f>
        <v>Round 1613 CT182  0.018" (S)</v>
      </c>
      <c r="D3236" s="306"/>
      <c r="E3236" s="421"/>
      <c r="F3236" s="421"/>
      <c r="G3236" s="420" t="s">
        <v>2417</v>
      </c>
      <c r="H3236" s="598">
        <v>13607754</v>
      </c>
      <c r="I3236" s="322" t="s">
        <v>2418</v>
      </c>
      <c r="J3236" s="418"/>
      <c r="K3236" s="420" t="s">
        <v>2419</v>
      </c>
      <c r="M3236" s="422"/>
    </row>
    <row r="3237" spans="1:32" x14ac:dyDescent="0.25">
      <c r="A3237" s="320">
        <v>45626</v>
      </c>
      <c r="B3237" s="419">
        <v>1130198</v>
      </c>
      <c r="C3237" s="413" t="str">
        <f>IFERROR(INDEX(Table14[],MATCH($B3237,Table14[SAPNo],0),3),"")</f>
        <v>Round 1613 CT182  0.018" (S)</v>
      </c>
      <c r="D3237" s="306"/>
      <c r="E3237" s="421"/>
      <c r="F3237" s="421"/>
      <c r="G3237" s="420" t="s">
        <v>2420</v>
      </c>
      <c r="H3237" s="599">
        <v>13876054</v>
      </c>
      <c r="I3237" s="322" t="s">
        <v>2421</v>
      </c>
      <c r="J3237" s="421"/>
      <c r="K3237" s="420" t="s">
        <v>2422</v>
      </c>
      <c r="M3237" s="366"/>
    </row>
    <row r="3238" spans="1:32" x14ac:dyDescent="0.25">
      <c r="A3238" s="320">
        <v>45626</v>
      </c>
      <c r="B3238" s="419">
        <v>1130198</v>
      </c>
      <c r="C3238" s="413" t="str">
        <f>IFERROR(INDEX(Table14[],MATCH($B3238,Table14[SAPNo],0),3),"")</f>
        <v>Round 1613 CT182  0.018" (S)</v>
      </c>
      <c r="D3238" s="306"/>
      <c r="E3238" s="421"/>
      <c r="F3238" s="421"/>
      <c r="G3238" s="420" t="s">
        <v>2423</v>
      </c>
      <c r="H3238" s="599">
        <v>13593147</v>
      </c>
      <c r="I3238" s="322" t="s">
        <v>1237</v>
      </c>
      <c r="J3238" s="421"/>
      <c r="K3238" s="422" t="s">
        <v>2424</v>
      </c>
      <c r="M3238" s="422"/>
    </row>
    <row r="3239" spans="1:32" x14ac:dyDescent="0.25">
      <c r="A3239" s="320">
        <v>45626</v>
      </c>
      <c r="B3239" s="419">
        <v>647436</v>
      </c>
      <c r="C3239" s="413" t="str">
        <f>IFERROR(INDEX(Table14[],MATCH($B3239,Table14[SAPNo],0),3),"")</f>
        <v>Round 1613 CT200  0.018" (B)</v>
      </c>
      <c r="D3239" s="306"/>
      <c r="E3239" s="421"/>
      <c r="F3239" s="421"/>
      <c r="G3239" s="420" t="s">
        <v>2423</v>
      </c>
      <c r="H3239" s="599">
        <v>13593147</v>
      </c>
      <c r="I3239" s="322" t="s">
        <v>1237</v>
      </c>
      <c r="J3239" s="421"/>
      <c r="K3239" s="420" t="s">
        <v>2425</v>
      </c>
      <c r="M3239" s="422"/>
    </row>
    <row r="3240" spans="1:32" x14ac:dyDescent="0.25">
      <c r="A3240" s="320">
        <v>45626</v>
      </c>
      <c r="B3240" s="416">
        <v>418525</v>
      </c>
      <c r="C3240" s="413" t="str">
        <f>IFERROR(INDEX(Table14[],MATCH($B3240,Table14[SAPNo],0),3),"")</f>
        <v>Drop In 1308 CT31   (B)</v>
      </c>
      <c r="D3240" s="306"/>
      <c r="E3240" s="421"/>
      <c r="F3240" s="421"/>
      <c r="G3240" s="420" t="s">
        <v>2423</v>
      </c>
      <c r="H3240" s="598">
        <v>13593147</v>
      </c>
      <c r="I3240" s="322" t="s">
        <v>1237</v>
      </c>
      <c r="J3240" s="418"/>
      <c r="K3240" s="420" t="s">
        <v>2426</v>
      </c>
      <c r="M3240" s="422"/>
    </row>
    <row r="3241" spans="1:32" x14ac:dyDescent="0.25">
      <c r="A3241" s="320">
        <v>45626</v>
      </c>
      <c r="B3241" s="416">
        <v>1146346</v>
      </c>
      <c r="C3241" s="413" t="str">
        <f>IFERROR(INDEX(Table14[],MATCH($B3241,Table14[SAPNo],0),3),"")</f>
        <v>1313 CT418 18-60</v>
      </c>
      <c r="D3241" s="306"/>
      <c r="E3241" s="421"/>
      <c r="F3241" s="421"/>
      <c r="G3241" s="420" t="s">
        <v>2427</v>
      </c>
      <c r="H3241" s="598">
        <v>13567159</v>
      </c>
      <c r="I3241" s="322" t="s">
        <v>2219</v>
      </c>
      <c r="J3241" s="418"/>
      <c r="K3241" s="420" t="s">
        <v>2428</v>
      </c>
      <c r="M3241" s="422"/>
    </row>
    <row r="3242" spans="1:32" x14ac:dyDescent="0.25">
      <c r="A3242" s="320">
        <v>45626</v>
      </c>
      <c r="B3242" s="416">
        <v>1146346</v>
      </c>
      <c r="C3242" s="413" t="str">
        <f>IFERROR(INDEX(Table14[],MATCH($B3242,Table14[SAPNo],0),3),"")</f>
        <v>1313 CT418 18-60</v>
      </c>
      <c r="D3242" s="306"/>
      <c r="E3242" s="421"/>
      <c r="F3242" s="421"/>
      <c r="G3242" s="420" t="s">
        <v>2429</v>
      </c>
      <c r="H3242" s="598">
        <v>13567156</v>
      </c>
      <c r="I3242" s="322" t="s">
        <v>2244</v>
      </c>
      <c r="J3242" s="418"/>
      <c r="K3242" s="420" t="s">
        <v>2430</v>
      </c>
      <c r="M3242" s="366"/>
    </row>
    <row r="3243" spans="1:32" x14ac:dyDescent="0.25">
      <c r="A3243" s="320">
        <v>45626</v>
      </c>
      <c r="B3243" s="419">
        <v>1146346</v>
      </c>
      <c r="C3243" s="413" t="str">
        <f>IFERROR(INDEX(Table14[],MATCH($B3243,Table14[SAPNo],0),3),"")</f>
        <v>1313 CT418 18-60</v>
      </c>
      <c r="D3243" s="306"/>
      <c r="E3243" s="421"/>
      <c r="F3243" s="421"/>
      <c r="G3243" s="420" t="s">
        <v>2431</v>
      </c>
      <c r="H3243" s="599">
        <v>13509985</v>
      </c>
      <c r="I3243" s="322" t="s">
        <v>2219</v>
      </c>
      <c r="J3243" s="421"/>
      <c r="K3243" s="322" t="s">
        <v>2432</v>
      </c>
      <c r="M3243" s="422"/>
    </row>
    <row r="3244" spans="1:32" x14ac:dyDescent="0.25">
      <c r="A3244" s="320">
        <v>45624</v>
      </c>
      <c r="B3244" s="419">
        <v>1146737</v>
      </c>
      <c r="C3244" s="413" t="str">
        <f>IFERROR(INDEX(Table14[],MATCH($B3244,Table14[SAPNo],0),3),"")</f>
        <v>1613 CT418 18-60</v>
      </c>
      <c r="D3244" s="306"/>
      <c r="E3244" s="421">
        <v>4</v>
      </c>
      <c r="F3244" s="421"/>
      <c r="G3244" s="420" t="s">
        <v>2401</v>
      </c>
      <c r="H3244" s="599" t="s">
        <v>2402</v>
      </c>
      <c r="I3244" s="322" t="s">
        <v>2311</v>
      </c>
      <c r="J3244" s="421"/>
      <c r="K3244" s="422"/>
      <c r="M3244" s="422"/>
      <c r="AF3244">
        <v>1</v>
      </c>
    </row>
    <row r="3245" spans="1:32" x14ac:dyDescent="0.25">
      <c r="A3245" s="320">
        <v>45627</v>
      </c>
      <c r="B3245" s="419">
        <v>1271790</v>
      </c>
      <c r="C3245" s="413" t="str">
        <f>IFERROR(INDEX(Table14[],MATCH($B3245,Table14[SAPNo],0),3),"")</f>
        <v xml:space="preserve">1613 CT170 18-60 </v>
      </c>
      <c r="D3245" s="306"/>
      <c r="E3245" s="421">
        <v>1</v>
      </c>
      <c r="F3245" s="421"/>
      <c r="G3245" s="420" t="s">
        <v>2401</v>
      </c>
      <c r="H3245" s="599" t="s">
        <v>2402</v>
      </c>
      <c r="I3245" s="322" t="s">
        <v>2311</v>
      </c>
      <c r="J3245" s="421"/>
      <c r="K3245" s="422"/>
      <c r="M3245" s="422"/>
      <c r="AF3245">
        <v>1</v>
      </c>
    </row>
    <row r="3246" spans="1:32" x14ac:dyDescent="0.25">
      <c r="A3246" s="308">
        <v>45627</v>
      </c>
      <c r="B3246" s="416">
        <v>1100755</v>
      </c>
      <c r="C3246" s="413" t="str">
        <f>IFERROR(INDEX(Table14[],MATCH($B3246,Table14[SAPNo],0),3),"")</f>
        <v>Round 1613 CT421  0.018" (S)</v>
      </c>
      <c r="D3246" s="306"/>
      <c r="E3246" s="421">
        <v>9</v>
      </c>
      <c r="F3246" s="421"/>
      <c r="G3246" s="417" t="s">
        <v>2433</v>
      </c>
      <c r="H3246" s="598">
        <v>14254506</v>
      </c>
      <c r="I3246" s="322" t="s">
        <v>1130</v>
      </c>
      <c r="J3246" s="418"/>
      <c r="K3246" s="248"/>
      <c r="M3246" s="422"/>
      <c r="AF3246">
        <v>9</v>
      </c>
    </row>
    <row r="3247" spans="1:32" x14ac:dyDescent="0.25">
      <c r="A3247" s="308">
        <v>45627</v>
      </c>
      <c r="B3247" s="416">
        <v>1100759</v>
      </c>
      <c r="C3247" s="413" t="str">
        <f>IFERROR(INDEX(Table14[],MATCH($B3247,Table14[SAPNo],0),3),"")</f>
        <v>1913 CT421 0.018"</v>
      </c>
      <c r="D3247" s="306"/>
      <c r="E3247" s="421">
        <v>48</v>
      </c>
      <c r="F3247" s="421"/>
      <c r="G3247" s="417" t="s">
        <v>2433</v>
      </c>
      <c r="H3247" s="598">
        <v>14254506</v>
      </c>
      <c r="I3247" s="322" t="s">
        <v>1130</v>
      </c>
      <c r="J3247" s="418"/>
      <c r="K3247" s="248"/>
      <c r="M3247" s="366"/>
      <c r="AF3247">
        <v>48</v>
      </c>
    </row>
    <row r="3248" spans="1:32" x14ac:dyDescent="0.25">
      <c r="A3248" s="308">
        <v>45627</v>
      </c>
      <c r="B3248" s="416">
        <v>708306</v>
      </c>
      <c r="C3248" s="413" t="str">
        <f>IFERROR(INDEX(Table14[],MATCH($B3248,Table14[SAPNo],0),3),"")</f>
        <v>Round 1913 CT200  0.018" (B)</v>
      </c>
      <c r="D3248" s="306"/>
      <c r="E3248" s="421">
        <v>34</v>
      </c>
      <c r="F3248" s="421"/>
      <c r="G3248" s="417" t="s">
        <v>2433</v>
      </c>
      <c r="H3248" s="598">
        <v>14254506</v>
      </c>
      <c r="I3248" s="322" t="s">
        <v>1130</v>
      </c>
      <c r="J3248" s="418"/>
      <c r="K3248" s="248"/>
      <c r="M3248" s="366"/>
      <c r="AF3248">
        <v>34</v>
      </c>
    </row>
    <row r="3249" spans="1:32" x14ac:dyDescent="0.25">
      <c r="A3249" s="308">
        <v>45627</v>
      </c>
      <c r="B3249" s="416">
        <v>871781</v>
      </c>
      <c r="C3249" s="413" t="str">
        <f>IFERROR(INDEX(Table14[],MATCH($B3249,Table14[SAPNo],0),3),"")</f>
        <v>Round 1313 CT200  0.018" (B)</v>
      </c>
      <c r="D3249" s="306"/>
      <c r="E3249" s="421">
        <v>8</v>
      </c>
      <c r="F3249" s="421"/>
      <c r="G3249" s="417" t="s">
        <v>2433</v>
      </c>
      <c r="H3249" s="598">
        <v>14254506</v>
      </c>
      <c r="I3249" s="322" t="s">
        <v>1130</v>
      </c>
      <c r="J3249" s="418"/>
      <c r="K3249" s="248"/>
      <c r="M3249" s="366"/>
      <c r="AF3249">
        <v>8</v>
      </c>
    </row>
    <row r="3250" spans="1:32" x14ac:dyDescent="0.25">
      <c r="A3250" s="320">
        <v>45628</v>
      </c>
      <c r="B3250" s="419">
        <v>1100755</v>
      </c>
      <c r="C3250" s="413" t="str">
        <f>IFERROR(INDEX(Table14[],MATCH($B3250,Table14[SAPNo],0),3),"")</f>
        <v>Round 1613 CT421  0.018" (S)</v>
      </c>
      <c r="D3250" s="306"/>
      <c r="E3250" s="421">
        <v>33</v>
      </c>
      <c r="F3250" s="421"/>
      <c r="G3250" s="417" t="s">
        <v>2434</v>
      </c>
      <c r="H3250" s="599">
        <v>14273431</v>
      </c>
      <c r="I3250" s="322" t="s">
        <v>2043</v>
      </c>
      <c r="J3250" s="421"/>
      <c r="K3250" s="422"/>
      <c r="M3250" s="366"/>
      <c r="AF3250">
        <v>33</v>
      </c>
    </row>
    <row r="3251" spans="1:32" x14ac:dyDescent="0.25">
      <c r="A3251" s="320">
        <v>45628</v>
      </c>
      <c r="B3251" s="419">
        <v>647435</v>
      </c>
      <c r="C3251" s="413" t="str">
        <f>IFERROR(INDEX(Table14[],MATCH($B3251,Table14[SAPNo],0),3),"")</f>
        <v>Round 1608 CT200  0.018" (B)</v>
      </c>
      <c r="D3251" s="306"/>
      <c r="E3251" s="421">
        <v>23</v>
      </c>
      <c r="F3251" s="421"/>
      <c r="G3251" s="417" t="s">
        <v>2434</v>
      </c>
      <c r="H3251" s="599">
        <v>14273431</v>
      </c>
      <c r="I3251" s="322" t="s">
        <v>2043</v>
      </c>
      <c r="J3251" s="421"/>
      <c r="K3251" s="422"/>
      <c r="M3251" s="422"/>
      <c r="AF3251">
        <v>23</v>
      </c>
    </row>
    <row r="3252" spans="1:32" x14ac:dyDescent="0.25">
      <c r="A3252" s="320">
        <v>45628</v>
      </c>
      <c r="B3252" s="419">
        <v>871781</v>
      </c>
      <c r="C3252" s="413" t="str">
        <f>IFERROR(INDEX(Table14[],MATCH($B3252,Table14[SAPNo],0),3),"")</f>
        <v>Round 1313 CT200  0.018" (B)</v>
      </c>
      <c r="D3252" s="306"/>
      <c r="E3252" s="421">
        <v>6</v>
      </c>
      <c r="F3252" s="421"/>
      <c r="G3252" s="417" t="s">
        <v>2434</v>
      </c>
      <c r="H3252" s="599">
        <v>14273431</v>
      </c>
      <c r="I3252" s="322" t="s">
        <v>2043</v>
      </c>
      <c r="J3252" s="421"/>
      <c r="K3252" s="422"/>
      <c r="M3252" s="422"/>
      <c r="AF3252">
        <v>6</v>
      </c>
    </row>
    <row r="3253" spans="1:32" x14ac:dyDescent="0.25">
      <c r="A3253" s="320">
        <v>45628</v>
      </c>
      <c r="B3253" s="416">
        <v>708306</v>
      </c>
      <c r="C3253" s="413" t="str">
        <f>IFERROR(INDEX(Table14[],MATCH($B3253,Table14[SAPNo],0),3),"")</f>
        <v>Round 1913 CT200  0.018" (B)</v>
      </c>
      <c r="D3253" s="306"/>
      <c r="E3253" s="421">
        <v>1</v>
      </c>
      <c r="F3253" s="421"/>
      <c r="G3253" s="417" t="s">
        <v>2435</v>
      </c>
      <c r="H3253" s="598">
        <v>14254506</v>
      </c>
      <c r="I3253" s="322" t="s">
        <v>1130</v>
      </c>
      <c r="J3253" s="418"/>
      <c r="K3253" s="248"/>
      <c r="M3253" s="422"/>
      <c r="AF3253">
        <v>1</v>
      </c>
    </row>
    <row r="3254" spans="1:32" x14ac:dyDescent="0.25">
      <c r="A3254" s="320">
        <v>38324</v>
      </c>
      <c r="B3254" s="419">
        <v>1100755</v>
      </c>
      <c r="C3254" s="413" t="str">
        <f>IFERROR(INDEX(Table14[],MATCH($B3254,Table14[SAPNo],0),3),"")</f>
        <v>Round 1613 CT421  0.018" (S)</v>
      </c>
      <c r="D3254" s="306"/>
      <c r="E3254" s="421">
        <v>33</v>
      </c>
      <c r="F3254" s="421"/>
      <c r="G3254" s="417" t="s">
        <v>2436</v>
      </c>
      <c r="H3254" s="599">
        <v>14214981</v>
      </c>
      <c r="I3254" s="322" t="s">
        <v>2009</v>
      </c>
      <c r="J3254" s="421"/>
      <c r="K3254" s="422"/>
      <c r="M3254" s="422"/>
      <c r="AF3254">
        <v>33</v>
      </c>
    </row>
    <row r="3255" spans="1:32" x14ac:dyDescent="0.25">
      <c r="A3255" s="308">
        <v>38324</v>
      </c>
      <c r="B3255" s="416">
        <v>647435</v>
      </c>
      <c r="C3255" s="413" t="str">
        <f>IFERROR(INDEX(Table14[],MATCH($B3255,Table14[SAPNo],0),3),"")</f>
        <v>Round 1608 CT200  0.018" (B)</v>
      </c>
      <c r="D3255" s="306"/>
      <c r="E3255" s="421">
        <v>23</v>
      </c>
      <c r="F3255" s="421"/>
      <c r="G3255" s="417" t="s">
        <v>2436</v>
      </c>
      <c r="H3255" s="598">
        <v>14214981</v>
      </c>
      <c r="I3255" s="322" t="s">
        <v>2009</v>
      </c>
      <c r="J3255" s="418"/>
      <c r="K3255" s="248"/>
      <c r="M3255" s="422"/>
      <c r="AF3255">
        <v>23</v>
      </c>
    </row>
    <row r="3256" spans="1:32" x14ac:dyDescent="0.25">
      <c r="A3256" s="320">
        <v>38324</v>
      </c>
      <c r="B3256" s="419">
        <v>871781</v>
      </c>
      <c r="C3256" s="413" t="str">
        <f>IFERROR(INDEX(Table14[],MATCH($B3256,Table14[SAPNo],0),3),"")</f>
        <v>Round 1313 CT200  0.018" (B)</v>
      </c>
      <c r="D3256" s="306"/>
      <c r="E3256" s="421">
        <v>6</v>
      </c>
      <c r="F3256" s="421"/>
      <c r="G3256" s="417" t="s">
        <v>2436</v>
      </c>
      <c r="H3256" s="599">
        <v>14214981</v>
      </c>
      <c r="I3256" s="322" t="s">
        <v>2009</v>
      </c>
      <c r="J3256" s="421"/>
      <c r="K3256" s="422"/>
      <c r="M3256" s="366"/>
      <c r="AF3256">
        <v>6</v>
      </c>
    </row>
    <row r="3257" spans="1:32" x14ac:dyDescent="0.25">
      <c r="A3257" s="320">
        <v>45627</v>
      </c>
      <c r="B3257" s="419">
        <v>1146737</v>
      </c>
      <c r="C3257" s="413" t="str">
        <f>IFERROR(INDEX(Table14[],MATCH($B3257,Table14[SAPNo],0),3),"")</f>
        <v>1613 CT418 18-60</v>
      </c>
      <c r="D3257" s="306"/>
      <c r="E3257" s="421">
        <v>1</v>
      </c>
      <c r="F3257" s="421"/>
      <c r="G3257" s="420" t="s">
        <v>2401</v>
      </c>
      <c r="H3257" s="599" t="s">
        <v>2402</v>
      </c>
      <c r="I3257" s="322" t="s">
        <v>2311</v>
      </c>
      <c r="J3257" s="421"/>
      <c r="K3257" s="422"/>
      <c r="M3257" s="422"/>
      <c r="AF3257">
        <v>1</v>
      </c>
    </row>
    <row r="3258" spans="1:32" x14ac:dyDescent="0.25">
      <c r="A3258" s="308">
        <v>45624</v>
      </c>
      <c r="B3258" s="416">
        <v>1271790</v>
      </c>
      <c r="C3258" s="413" t="str">
        <f>IFERROR(INDEX(Table14[],MATCH($B3258,Table14[SAPNo],0),3),"")</f>
        <v xml:space="preserve">1613 CT170 18-60 </v>
      </c>
      <c r="D3258" s="306"/>
      <c r="E3258" s="421">
        <v>2</v>
      </c>
      <c r="F3258" s="421"/>
      <c r="G3258" s="420" t="s">
        <v>2399</v>
      </c>
      <c r="H3258" s="598" t="s">
        <v>2400</v>
      </c>
      <c r="I3258" s="322" t="s">
        <v>2254</v>
      </c>
      <c r="J3258" s="418"/>
      <c r="K3258" s="248"/>
      <c r="M3258" s="422"/>
      <c r="AF3258">
        <v>4</v>
      </c>
    </row>
    <row r="3259" spans="1:32" x14ac:dyDescent="0.25">
      <c r="A3259" s="308">
        <v>45624</v>
      </c>
      <c r="B3259" s="416">
        <v>418525</v>
      </c>
      <c r="C3259" s="413" t="str">
        <f>IFERROR(INDEX(Table14[],MATCH($B3259,Table14[SAPNo],0),3),"")</f>
        <v>Drop In 1308 CT31   (B)</v>
      </c>
      <c r="D3259" s="306"/>
      <c r="E3259" s="421">
        <v>4</v>
      </c>
      <c r="F3259" s="421"/>
      <c r="G3259" s="420" t="s">
        <v>2399</v>
      </c>
      <c r="H3259" s="598" t="s">
        <v>2400</v>
      </c>
      <c r="I3259" s="322" t="s">
        <v>2254</v>
      </c>
      <c r="J3259" s="418"/>
      <c r="K3259" s="248"/>
      <c r="M3259" s="366"/>
      <c r="AF3259">
        <v>5</v>
      </c>
    </row>
    <row r="3260" spans="1:32" x14ac:dyDescent="0.25">
      <c r="A3260" s="308">
        <v>45624</v>
      </c>
      <c r="B3260" s="416">
        <v>1146737</v>
      </c>
      <c r="C3260" s="413" t="str">
        <f>IFERROR(INDEX(Table14[],MATCH($B3260,Table14[SAPNo],0),3),"")</f>
        <v>1613 CT418 18-60</v>
      </c>
      <c r="D3260" s="306"/>
      <c r="E3260" s="421">
        <v>4</v>
      </c>
      <c r="F3260" s="421"/>
      <c r="G3260" s="420" t="s">
        <v>2399</v>
      </c>
      <c r="H3260" s="598" t="s">
        <v>2400</v>
      </c>
      <c r="I3260" s="322" t="s">
        <v>2254</v>
      </c>
      <c r="J3260" s="418"/>
      <c r="K3260" s="248"/>
      <c r="M3260" s="366"/>
      <c r="AF3260">
        <v>6</v>
      </c>
    </row>
    <row r="3261" spans="1:32" x14ac:dyDescent="0.25">
      <c r="A3261" s="308">
        <v>45631</v>
      </c>
      <c r="B3261" s="416">
        <v>1100696</v>
      </c>
      <c r="C3261" s="413" t="str">
        <f>IFERROR(INDEX(Table14[],MATCH($B3261,Table14[SAPNo],0),3),"")</f>
        <v>Round 1313 CT418  10C (S)</v>
      </c>
      <c r="D3261" s="306"/>
      <c r="E3261" s="421"/>
      <c r="F3261" s="421"/>
      <c r="G3261" s="420" t="s">
        <v>2439</v>
      </c>
      <c r="H3261" s="598" t="s">
        <v>2440</v>
      </c>
      <c r="I3261" s="322" t="s">
        <v>2441</v>
      </c>
      <c r="J3261" s="418"/>
      <c r="K3261" s="248" t="s">
        <v>2442</v>
      </c>
      <c r="M3261" s="366"/>
    </row>
    <row r="3262" spans="1:32" x14ac:dyDescent="0.25">
      <c r="A3262" s="308">
        <v>45631</v>
      </c>
      <c r="B3262" s="419">
        <v>418525</v>
      </c>
      <c r="C3262" s="413" t="str">
        <f>IFERROR(INDEX(Table14[],MATCH($B3262,Table14[SAPNo],0),3),"")</f>
        <v>Drop In 1308 CT31   (B)</v>
      </c>
      <c r="D3262" s="306"/>
      <c r="E3262" s="421">
        <v>6</v>
      </c>
      <c r="F3262" s="421"/>
      <c r="G3262" s="420">
        <v>20241190</v>
      </c>
      <c r="H3262" s="599" t="s">
        <v>2443</v>
      </c>
      <c r="I3262" s="322" t="s">
        <v>1781</v>
      </c>
      <c r="J3262" s="421"/>
      <c r="K3262" s="422"/>
      <c r="M3262" s="366"/>
      <c r="AF3262">
        <v>6</v>
      </c>
    </row>
    <row r="3263" spans="1:32" x14ac:dyDescent="0.25">
      <c r="A3263" s="308">
        <v>45631</v>
      </c>
      <c r="B3263" s="416">
        <v>1100696</v>
      </c>
      <c r="C3263" s="413" t="str">
        <f>IFERROR(INDEX(Table14[],MATCH($B3263,Table14[SAPNo],0),3),"")</f>
        <v>Round 1313 CT418  10C (S)</v>
      </c>
      <c r="D3263" s="306"/>
      <c r="E3263" s="421"/>
      <c r="F3263" s="421"/>
      <c r="G3263" s="420" t="s">
        <v>2444</v>
      </c>
      <c r="H3263" s="598" t="s">
        <v>2443</v>
      </c>
      <c r="I3263" s="322" t="s">
        <v>1781</v>
      </c>
      <c r="J3263" s="418"/>
      <c r="K3263" s="248" t="s">
        <v>2445</v>
      </c>
      <c r="M3263" s="422"/>
    </row>
    <row r="3264" spans="1:32" x14ac:dyDescent="0.25">
      <c r="A3264" s="308">
        <v>45631</v>
      </c>
      <c r="B3264" s="416">
        <v>1244299</v>
      </c>
      <c r="C3264" s="413" t="str">
        <f>IFERROR(INDEX(Table14[],MATCH($B3264,Table14[SAPNo],0),3),"")</f>
        <v>1313 CT147CV4 U</v>
      </c>
      <c r="D3264" s="306"/>
      <c r="E3264" s="421"/>
      <c r="F3264" s="421"/>
      <c r="G3264" s="417">
        <v>20241190</v>
      </c>
      <c r="H3264" s="598" t="s">
        <v>2443</v>
      </c>
      <c r="I3264" s="322" t="s">
        <v>1781</v>
      </c>
      <c r="J3264" s="418">
        <v>1</v>
      </c>
      <c r="K3264" s="248"/>
      <c r="M3264" s="422"/>
    </row>
    <row r="3265" spans="1:32" x14ac:dyDescent="0.25">
      <c r="A3265" s="308">
        <v>45631</v>
      </c>
      <c r="B3265" s="416">
        <v>717748</v>
      </c>
      <c r="C3265" s="413" t="str">
        <f>IFERROR(INDEX(Table14[],MATCH($B3265,Table14[SAPNo],0),3),"")</f>
        <v>Round 1010 CT200  0.018" (B)</v>
      </c>
      <c r="D3265" s="306"/>
      <c r="E3265" s="421">
        <v>1</v>
      </c>
      <c r="F3265" s="421"/>
      <c r="G3265" s="417">
        <v>20241196</v>
      </c>
      <c r="H3265" s="598" t="s">
        <v>2446</v>
      </c>
      <c r="I3265" s="322" t="s">
        <v>1069</v>
      </c>
      <c r="J3265" s="418"/>
      <c r="K3265" s="248"/>
      <c r="M3265" s="366"/>
      <c r="AF3265">
        <v>1</v>
      </c>
    </row>
    <row r="3266" spans="1:32" x14ac:dyDescent="0.25">
      <c r="A3266" s="308">
        <v>45634</v>
      </c>
      <c r="B3266" s="416">
        <v>871781</v>
      </c>
      <c r="C3266" s="413" t="str">
        <f>IFERROR(INDEX(Table14[],MATCH($B3266,Table14[SAPNo],0),3),"")</f>
        <v>Round 1313 CT200  0.018" (B)</v>
      </c>
      <c r="D3266" s="306"/>
      <c r="E3266" s="421">
        <v>6</v>
      </c>
      <c r="F3266" s="421"/>
      <c r="G3266" s="417" t="s">
        <v>2447</v>
      </c>
      <c r="H3266" s="598">
        <v>14242605</v>
      </c>
      <c r="I3266" s="322" t="s">
        <v>2009</v>
      </c>
      <c r="J3266" s="418"/>
      <c r="K3266" s="248"/>
      <c r="M3266" s="422"/>
      <c r="AF3266">
        <v>6</v>
      </c>
    </row>
    <row r="3267" spans="1:32" x14ac:dyDescent="0.25">
      <c r="A3267" s="308">
        <v>45634</v>
      </c>
      <c r="B3267" s="416">
        <v>647435</v>
      </c>
      <c r="C3267" s="413" t="str">
        <f>IFERROR(INDEX(Table14[],MATCH($B3267,Table14[SAPNo],0),3),"")</f>
        <v>Round 1608 CT200  0.018" (B)</v>
      </c>
      <c r="D3267" s="306"/>
      <c r="E3267" s="421">
        <v>23</v>
      </c>
      <c r="F3267" s="421"/>
      <c r="G3267" s="417" t="s">
        <v>2447</v>
      </c>
      <c r="H3267" s="598">
        <v>14242605</v>
      </c>
      <c r="I3267" s="322" t="s">
        <v>2009</v>
      </c>
      <c r="J3267" s="418"/>
      <c r="K3267" s="248"/>
      <c r="M3267" s="366"/>
      <c r="AF3267">
        <v>23</v>
      </c>
    </row>
    <row r="3268" spans="1:32" x14ac:dyDescent="0.25">
      <c r="A3268" s="308">
        <v>45634</v>
      </c>
      <c r="B3268" s="416">
        <v>1100755</v>
      </c>
      <c r="C3268" s="413" t="str">
        <f>IFERROR(INDEX(Table14[],MATCH($B3268,Table14[SAPNo],0),3),"")</f>
        <v>Round 1613 CT421  0.018" (S)</v>
      </c>
      <c r="D3268" s="306"/>
      <c r="E3268" s="421">
        <v>33</v>
      </c>
      <c r="F3268" s="421"/>
      <c r="G3268" s="417" t="s">
        <v>2447</v>
      </c>
      <c r="H3268" s="598">
        <v>14242605</v>
      </c>
      <c r="I3268" s="322" t="s">
        <v>2009</v>
      </c>
      <c r="J3268" s="418"/>
      <c r="K3268" s="248"/>
      <c r="M3268" s="366"/>
      <c r="AF3268">
        <v>33</v>
      </c>
    </row>
    <row r="3269" spans="1:32" x14ac:dyDescent="0.25">
      <c r="A3269" s="308">
        <v>45634</v>
      </c>
      <c r="B3269" s="416">
        <v>418525</v>
      </c>
      <c r="C3269" s="413" t="str">
        <f>IFERROR(INDEX(Table14[],MATCH($B3269,Table14[SAPNo],0),3),"")</f>
        <v>Drop In 1308 CT31   (B)</v>
      </c>
      <c r="D3269" s="306"/>
      <c r="E3269" s="421"/>
      <c r="F3269" s="421"/>
      <c r="G3269" s="417" t="s">
        <v>2448</v>
      </c>
      <c r="H3269" s="598">
        <v>14228442</v>
      </c>
      <c r="I3269" s="322" t="s">
        <v>2449</v>
      </c>
      <c r="J3269" s="418"/>
      <c r="K3269" s="248" t="s">
        <v>2450</v>
      </c>
      <c r="M3269" s="366"/>
    </row>
    <row r="3270" spans="1:32" x14ac:dyDescent="0.25">
      <c r="A3270" s="308">
        <v>45634</v>
      </c>
      <c r="B3270" s="416">
        <v>1146346</v>
      </c>
      <c r="C3270" s="413" t="str">
        <f>IFERROR(INDEX(Table14[],MATCH($B3270,Table14[SAPNo],0),3),"")</f>
        <v>1313 CT418 18-60</v>
      </c>
      <c r="D3270" s="306"/>
      <c r="E3270" s="421"/>
      <c r="F3270" s="421"/>
      <c r="G3270" s="417" t="s">
        <v>2448</v>
      </c>
      <c r="H3270" s="598">
        <v>14228442</v>
      </c>
      <c r="I3270" s="322" t="s">
        <v>2449</v>
      </c>
      <c r="J3270" s="418"/>
      <c r="K3270" s="248" t="s">
        <v>2445</v>
      </c>
      <c r="M3270" s="473" t="s">
        <v>2451</v>
      </c>
    </row>
    <row r="3271" spans="1:32" x14ac:dyDescent="0.25">
      <c r="A3271" s="308">
        <v>45635</v>
      </c>
      <c r="B3271" s="416">
        <v>1244299</v>
      </c>
      <c r="C3271" s="413" t="str">
        <f>IFERROR(INDEX(Table14[],MATCH($B3271,Table14[SAPNo],0),3),"")</f>
        <v>1313 CT147CV4 U</v>
      </c>
      <c r="D3271" s="306"/>
      <c r="E3271" s="421">
        <v>2</v>
      </c>
      <c r="F3271" s="421"/>
      <c r="G3271" s="417">
        <v>20241188</v>
      </c>
      <c r="H3271" s="598" t="s">
        <v>2452</v>
      </c>
      <c r="I3271" s="322" t="s">
        <v>1781</v>
      </c>
      <c r="J3271" s="418"/>
      <c r="K3271" s="248"/>
      <c r="M3271" s="422"/>
      <c r="AF3271">
        <v>2</v>
      </c>
    </row>
    <row r="3272" spans="1:32" x14ac:dyDescent="0.25">
      <c r="A3272" s="308">
        <v>45635</v>
      </c>
      <c r="B3272" s="416">
        <v>1100696</v>
      </c>
      <c r="C3272" s="413" t="str">
        <f>IFERROR(INDEX(Table14[],MATCH($B3272,Table14[SAPNo],0),3),"")</f>
        <v>Round 1313 CT418  10C (S)</v>
      </c>
      <c r="D3272" s="306"/>
      <c r="E3272" s="421"/>
      <c r="F3272" s="421"/>
      <c r="G3272" s="417" t="s">
        <v>2453</v>
      </c>
      <c r="H3272" s="598" t="s">
        <v>2452</v>
      </c>
      <c r="I3272" s="322" t="s">
        <v>1781</v>
      </c>
      <c r="J3272" s="418"/>
      <c r="K3272" s="248" t="s">
        <v>2450</v>
      </c>
      <c r="M3272" s="366"/>
    </row>
    <row r="3273" spans="1:32" x14ac:dyDescent="0.25">
      <c r="A3273" s="308">
        <v>45635</v>
      </c>
      <c r="B3273" s="416">
        <v>418525</v>
      </c>
      <c r="C3273" s="413" t="str">
        <f>IFERROR(INDEX(Table14[],MATCH($B3273,Table14[SAPNo],0),3),"")</f>
        <v>Drop In 1308 CT31   (B)</v>
      </c>
      <c r="D3273" s="306"/>
      <c r="E3273" s="421">
        <v>1</v>
      </c>
      <c r="F3273" s="421"/>
      <c r="G3273" s="417">
        <v>20241191</v>
      </c>
      <c r="H3273" s="598" t="s">
        <v>2454</v>
      </c>
      <c r="I3273" s="322" t="s">
        <v>2090</v>
      </c>
      <c r="J3273" s="418"/>
      <c r="K3273" s="248"/>
      <c r="M3273" s="366"/>
      <c r="AF3273">
        <v>1</v>
      </c>
    </row>
    <row r="3274" spans="1:32" x14ac:dyDescent="0.25">
      <c r="A3274" s="308">
        <v>45635</v>
      </c>
      <c r="B3274" s="416">
        <v>1266910</v>
      </c>
      <c r="C3274" s="413" t="str">
        <f>IFERROR(INDEX(Table14[],MATCH($B3274,Table14[SAPNo],0),3),"")</f>
        <v/>
      </c>
      <c r="D3274" s="306"/>
      <c r="E3274" s="421">
        <v>1</v>
      </c>
      <c r="F3274" s="421"/>
      <c r="G3274" s="417">
        <v>20241191</v>
      </c>
      <c r="H3274" s="598" t="s">
        <v>2454</v>
      </c>
      <c r="I3274" s="322" t="s">
        <v>2090</v>
      </c>
      <c r="J3274" s="418"/>
      <c r="K3274" s="248"/>
      <c r="M3274" s="366"/>
      <c r="AF3274">
        <v>1</v>
      </c>
    </row>
    <row r="3275" spans="1:32" x14ac:dyDescent="0.25">
      <c r="A3275" s="308">
        <v>45635</v>
      </c>
      <c r="B3275" s="416">
        <v>1100696</v>
      </c>
      <c r="C3275" s="413" t="str">
        <f>IFERROR(INDEX(Table14[],MATCH($B3275,Table14[SAPNo],0),3),"")</f>
        <v>Round 1313 CT418  10C (S)</v>
      </c>
      <c r="D3275" s="306"/>
      <c r="E3275" s="421"/>
      <c r="F3275" s="421"/>
      <c r="G3275" s="417" t="s">
        <v>2455</v>
      </c>
      <c r="H3275" s="598" t="s">
        <v>2454</v>
      </c>
      <c r="I3275" s="322" t="s">
        <v>2090</v>
      </c>
      <c r="J3275" s="418"/>
      <c r="K3275" s="248" t="s">
        <v>2450</v>
      </c>
      <c r="M3275" s="366"/>
    </row>
    <row r="3276" spans="1:32" x14ac:dyDescent="0.25">
      <c r="A3276" s="308">
        <v>45635</v>
      </c>
      <c r="B3276" s="416">
        <v>871781</v>
      </c>
      <c r="C3276" s="413" t="str">
        <f>IFERROR(INDEX(Table14[],MATCH($B3276,Table14[SAPNo],0),3),"")</f>
        <v>Round 1313 CT200  0.018" (B)</v>
      </c>
      <c r="D3276" s="306"/>
      <c r="E3276" s="421">
        <v>8</v>
      </c>
      <c r="F3276" s="421"/>
      <c r="G3276" s="417" t="s">
        <v>2456</v>
      </c>
      <c r="H3276" s="598">
        <v>14254507</v>
      </c>
      <c r="I3276" s="322" t="s">
        <v>1130</v>
      </c>
      <c r="J3276" s="418"/>
      <c r="K3276" s="248"/>
      <c r="M3276" s="366"/>
      <c r="AF3276">
        <v>8</v>
      </c>
    </row>
    <row r="3277" spans="1:32" x14ac:dyDescent="0.25">
      <c r="A3277" s="308">
        <v>45635</v>
      </c>
      <c r="B3277" s="416">
        <v>708306</v>
      </c>
      <c r="C3277" s="413" t="str">
        <f>IFERROR(INDEX(Table14[],MATCH($B3277,Table14[SAPNo],0),3),"")</f>
        <v>Round 1913 CT200  0.018" (B)</v>
      </c>
      <c r="D3277" s="306"/>
      <c r="E3277" s="421">
        <v>34</v>
      </c>
      <c r="F3277" s="421"/>
      <c r="G3277" s="417" t="s">
        <v>2456</v>
      </c>
      <c r="H3277" s="598">
        <v>14254507</v>
      </c>
      <c r="I3277" s="322" t="s">
        <v>1130</v>
      </c>
      <c r="J3277" s="418"/>
      <c r="K3277" s="248"/>
      <c r="M3277" s="366"/>
      <c r="AF3277">
        <v>34</v>
      </c>
    </row>
    <row r="3278" spans="1:32" x14ac:dyDescent="0.25">
      <c r="A3278" s="308">
        <v>45635</v>
      </c>
      <c r="B3278" s="416">
        <v>1100759</v>
      </c>
      <c r="C3278" s="413" t="str">
        <f>IFERROR(INDEX(Table14[],MATCH($B3278,Table14[SAPNo],0),3),"")</f>
        <v>1913 CT421 0.018"</v>
      </c>
      <c r="D3278" s="306"/>
      <c r="E3278" s="421">
        <v>48</v>
      </c>
      <c r="F3278" s="421"/>
      <c r="G3278" s="417" t="s">
        <v>2456</v>
      </c>
      <c r="H3278" s="598">
        <v>14254507</v>
      </c>
      <c r="I3278" s="322" t="s">
        <v>1130</v>
      </c>
      <c r="J3278" s="418"/>
      <c r="K3278" s="248"/>
      <c r="M3278" s="366"/>
      <c r="AF3278">
        <v>48</v>
      </c>
    </row>
    <row r="3279" spans="1:32" x14ac:dyDescent="0.25">
      <c r="A3279" s="308">
        <v>45635</v>
      </c>
      <c r="B3279" s="416">
        <v>1100755</v>
      </c>
      <c r="C3279" s="413" t="str">
        <f>IFERROR(INDEX(Table14[],MATCH($B3279,Table14[SAPNo],0),3),"")</f>
        <v>Round 1613 CT421  0.018" (S)</v>
      </c>
      <c r="D3279" s="306"/>
      <c r="E3279" s="421">
        <v>9</v>
      </c>
      <c r="F3279" s="421"/>
      <c r="G3279" s="417" t="s">
        <v>2456</v>
      </c>
      <c r="H3279" s="598">
        <v>14254507</v>
      </c>
      <c r="I3279" s="322" t="s">
        <v>1130</v>
      </c>
      <c r="J3279" s="418"/>
      <c r="K3279" s="248"/>
      <c r="M3279" s="366"/>
      <c r="AF3279">
        <v>9</v>
      </c>
    </row>
    <row r="3280" spans="1:32" x14ac:dyDescent="0.25">
      <c r="A3280" s="320">
        <v>45635</v>
      </c>
      <c r="B3280" s="419">
        <v>717748</v>
      </c>
      <c r="C3280" s="413" t="str">
        <f>IFERROR(INDEX(Table14[],MATCH($B3280,Table14[SAPNo],0),3),"")</f>
        <v>Round 1010 CT200  0.018" (B)</v>
      </c>
      <c r="D3280" s="306"/>
      <c r="E3280" s="421">
        <v>4</v>
      </c>
      <c r="F3280" s="421"/>
      <c r="G3280" s="420" t="s">
        <v>2457</v>
      </c>
      <c r="H3280" s="599" t="s">
        <v>2458</v>
      </c>
      <c r="I3280" s="322" t="s">
        <v>1069</v>
      </c>
      <c r="J3280" s="421"/>
      <c r="K3280" s="422"/>
      <c r="M3280" s="366"/>
      <c r="AF3280">
        <v>4</v>
      </c>
    </row>
    <row r="3281" spans="1:32" x14ac:dyDescent="0.25">
      <c r="A3281" s="308">
        <v>45636</v>
      </c>
      <c r="B3281" s="416">
        <v>1244299</v>
      </c>
      <c r="C3281" s="413" t="str">
        <f>IFERROR(INDEX(Table14[],MATCH($B3281,Table14[SAPNo],0),3),"")</f>
        <v>1313 CT147CV4 U</v>
      </c>
      <c r="D3281" s="306"/>
      <c r="E3281" s="421">
        <v>1</v>
      </c>
      <c r="F3281" s="421"/>
      <c r="G3281" s="417">
        <v>20241202</v>
      </c>
      <c r="H3281" s="598" t="s">
        <v>2459</v>
      </c>
      <c r="I3281" s="322" t="s">
        <v>1322</v>
      </c>
      <c r="J3281" s="418"/>
      <c r="K3281" s="248"/>
      <c r="M3281" s="422"/>
      <c r="AF3281">
        <v>1</v>
      </c>
    </row>
    <row r="3282" spans="1:32" x14ac:dyDescent="0.25">
      <c r="A3282" s="308">
        <v>45636</v>
      </c>
      <c r="B3282" s="416">
        <v>1100696</v>
      </c>
      <c r="C3282" s="413" t="str">
        <f>IFERROR(INDEX(Table14[],MATCH($B3282,Table14[SAPNo],0),3),"")</f>
        <v>Round 1313 CT418  10C (S)</v>
      </c>
      <c r="D3282" s="306"/>
      <c r="E3282" s="421"/>
      <c r="F3282" s="421"/>
      <c r="G3282" s="417" t="s">
        <v>2460</v>
      </c>
      <c r="H3282" s="598" t="s">
        <v>2459</v>
      </c>
      <c r="I3282" s="322" t="s">
        <v>1322</v>
      </c>
      <c r="J3282" s="418"/>
      <c r="K3282" s="248" t="s">
        <v>2461</v>
      </c>
      <c r="M3282" s="366"/>
    </row>
    <row r="3283" spans="1:32" x14ac:dyDescent="0.25">
      <c r="A3283" s="308">
        <v>45636</v>
      </c>
      <c r="B3283" s="416">
        <v>418525</v>
      </c>
      <c r="C3283" s="413" t="str">
        <f>IFERROR(INDEX(Table14[],MATCH($B3283,Table14[SAPNo],0),3),"")</f>
        <v>Drop In 1308 CT31   (B)</v>
      </c>
      <c r="D3283" s="306"/>
      <c r="E3283" s="421">
        <v>6</v>
      </c>
      <c r="F3283" s="421"/>
      <c r="G3283" s="417" t="s">
        <v>2462</v>
      </c>
      <c r="H3283" s="598">
        <v>14247166</v>
      </c>
      <c r="I3283" s="322" t="s">
        <v>1074</v>
      </c>
      <c r="J3283" s="418"/>
      <c r="K3283" s="248"/>
      <c r="M3283" s="366"/>
      <c r="AF3283">
        <v>6</v>
      </c>
    </row>
    <row r="3284" spans="1:32" x14ac:dyDescent="0.25">
      <c r="A3284" s="308">
        <v>45636</v>
      </c>
      <c r="B3284" s="416">
        <v>1146346</v>
      </c>
      <c r="C3284" s="413" t="str">
        <f>IFERROR(INDEX(Table14[],MATCH($B3284,Table14[SAPNo],0),3),"")</f>
        <v>1313 CT418 18-60</v>
      </c>
      <c r="D3284" s="306"/>
      <c r="E3284" s="421">
        <v>7</v>
      </c>
      <c r="F3284" s="421"/>
      <c r="G3284" s="417" t="s">
        <v>2462</v>
      </c>
      <c r="H3284" s="598">
        <v>14247166</v>
      </c>
      <c r="I3284" s="322" t="s">
        <v>1074</v>
      </c>
      <c r="J3284" s="418"/>
      <c r="K3284" s="248"/>
      <c r="M3284" s="366"/>
      <c r="AF3284">
        <v>7</v>
      </c>
    </row>
    <row r="3285" spans="1:32" x14ac:dyDescent="0.25">
      <c r="A3285" s="308">
        <v>45636</v>
      </c>
      <c r="B3285" s="416">
        <v>1136984</v>
      </c>
      <c r="C3285" s="413" t="str">
        <f>IFERROR(INDEX(Table14[],MATCH($B3285,Table14[SAPNo],0),3),"")</f>
        <v>DBLMCHT 1313 CT182DM  10C (S)</v>
      </c>
      <c r="D3285" s="306"/>
      <c r="E3285" s="421">
        <v>13</v>
      </c>
      <c r="F3285" s="421"/>
      <c r="G3285" s="417" t="s">
        <v>2462</v>
      </c>
      <c r="H3285" s="598">
        <v>14247166</v>
      </c>
      <c r="I3285" s="322" t="s">
        <v>1074</v>
      </c>
      <c r="J3285" s="418"/>
      <c r="K3285" s="248"/>
      <c r="M3285" s="366"/>
      <c r="AF3285">
        <v>13</v>
      </c>
    </row>
    <row r="3286" spans="1:32" x14ac:dyDescent="0.25">
      <c r="A3286" s="308">
        <v>45636</v>
      </c>
      <c r="B3286" s="416">
        <v>1104083</v>
      </c>
      <c r="C3286" s="413" t="str">
        <f>IFERROR(INDEX(Table14[],MATCH($B3286,Table14[SAPNo],0),3),"")</f>
        <v>1313 CT144H  10C (S)</v>
      </c>
      <c r="D3286" s="306"/>
      <c r="E3286" s="421">
        <v>1</v>
      </c>
      <c r="F3286" s="421"/>
      <c r="G3286" s="417" t="s">
        <v>2462</v>
      </c>
      <c r="H3286" s="598">
        <v>14247166</v>
      </c>
      <c r="I3286" s="322" t="s">
        <v>1074</v>
      </c>
      <c r="J3286" s="418"/>
      <c r="K3286" s="248"/>
      <c r="M3286" s="366"/>
      <c r="AF3286">
        <v>1</v>
      </c>
    </row>
    <row r="3287" spans="1:32" x14ac:dyDescent="0.25">
      <c r="A3287" s="308">
        <v>45636</v>
      </c>
      <c r="B3287" s="416">
        <v>1101509</v>
      </c>
      <c r="C3287" s="413" t="str">
        <f>IFERROR(INDEX(Table14[],MATCH($B3287,Table14[SAPNo],0),3),"")</f>
        <v>Short IA 8    (C)</v>
      </c>
      <c r="D3287" s="306"/>
      <c r="E3287" s="421">
        <v>5</v>
      </c>
      <c r="F3287" s="421"/>
      <c r="G3287" s="417" t="s">
        <v>2462</v>
      </c>
      <c r="H3287" s="598">
        <v>14247166</v>
      </c>
      <c r="I3287" s="322" t="s">
        <v>1074</v>
      </c>
      <c r="J3287" s="418"/>
      <c r="K3287" s="248"/>
      <c r="M3287" s="366"/>
      <c r="AF3287">
        <v>5</v>
      </c>
    </row>
    <row r="3288" spans="1:32" x14ac:dyDescent="0.25">
      <c r="A3288" s="308">
        <v>45636</v>
      </c>
      <c r="B3288" s="416">
        <v>1100696</v>
      </c>
      <c r="C3288" s="413" t="str">
        <f>IFERROR(INDEX(Table14[],MATCH($B3288,Table14[SAPNo],0),3),"")</f>
        <v>Round 1313 CT418  10C (S)</v>
      </c>
      <c r="D3288" s="306"/>
      <c r="E3288" s="421">
        <v>5</v>
      </c>
      <c r="F3288" s="421"/>
      <c r="G3288" s="417" t="s">
        <v>2462</v>
      </c>
      <c r="H3288" s="598">
        <v>14247166</v>
      </c>
      <c r="I3288" s="322" t="s">
        <v>1074</v>
      </c>
      <c r="J3288" s="418"/>
      <c r="K3288" s="248"/>
      <c r="M3288" s="366"/>
      <c r="AF3288">
        <v>5</v>
      </c>
    </row>
    <row r="3289" spans="1:32" x14ac:dyDescent="0.25">
      <c r="A3289" s="308">
        <v>45630</v>
      </c>
      <c r="B3289" s="416">
        <v>1271790</v>
      </c>
      <c r="C3289" s="413" t="str">
        <f>IFERROR(INDEX(Table14[],MATCH($B3289,Table14[SAPNo],0),3),"")</f>
        <v xml:space="preserve">1613 CT170 18-60 </v>
      </c>
      <c r="D3289" s="306"/>
      <c r="E3289" s="421">
        <v>1</v>
      </c>
      <c r="F3289" s="421"/>
      <c r="G3289" s="417" t="s">
        <v>2437</v>
      </c>
      <c r="H3289" s="598" t="s">
        <v>2438</v>
      </c>
      <c r="I3289" s="322" t="s">
        <v>2179</v>
      </c>
      <c r="J3289" s="418"/>
      <c r="K3289" s="248"/>
      <c r="M3289" s="366"/>
      <c r="AF3289">
        <v>6</v>
      </c>
    </row>
    <row r="3290" spans="1:32" x14ac:dyDescent="0.25">
      <c r="A3290" s="308">
        <v>45630</v>
      </c>
      <c r="B3290" s="416">
        <v>1078377</v>
      </c>
      <c r="C3290" s="413" t="str">
        <f>IFERROR(INDEX(Table14[],MATCH($B3290,Table14[SAPNo],0),3),"")</f>
        <v>13MM CT221 R1</v>
      </c>
      <c r="D3290" s="306"/>
      <c r="E3290" s="421">
        <v>4</v>
      </c>
      <c r="F3290" s="421"/>
      <c r="G3290" s="417" t="s">
        <v>2437</v>
      </c>
      <c r="H3290" s="598" t="s">
        <v>2438</v>
      </c>
      <c r="I3290" s="322" t="s">
        <v>2179</v>
      </c>
      <c r="J3290" s="418"/>
      <c r="K3290" s="248"/>
      <c r="M3290" s="366"/>
      <c r="AF3290">
        <v>2</v>
      </c>
    </row>
    <row r="3291" spans="1:32" x14ac:dyDescent="0.25">
      <c r="A3291" s="308">
        <v>45630</v>
      </c>
      <c r="B3291" s="416">
        <v>418525</v>
      </c>
      <c r="C3291" s="413" t="str">
        <f>IFERROR(INDEX(Table14[],MATCH($B3291,Table14[SAPNo],0),3),"")</f>
        <v>Drop In 1308 CT31   (B)</v>
      </c>
      <c r="D3291" s="306"/>
      <c r="E3291" s="421">
        <v>5</v>
      </c>
      <c r="F3291" s="421"/>
      <c r="G3291" s="417" t="s">
        <v>2437</v>
      </c>
      <c r="H3291" s="598" t="s">
        <v>2438</v>
      </c>
      <c r="I3291" s="322" t="s">
        <v>2179</v>
      </c>
      <c r="J3291" s="418"/>
      <c r="K3291" s="248"/>
      <c r="M3291" s="366"/>
      <c r="AF3291">
        <v>1</v>
      </c>
    </row>
    <row r="3292" spans="1:32" x14ac:dyDescent="0.25">
      <c r="A3292" s="308">
        <v>45630</v>
      </c>
      <c r="B3292" s="416">
        <v>1146737</v>
      </c>
      <c r="C3292" s="413" t="str">
        <f>IFERROR(INDEX(Table14[],MATCH($B3292,Table14[SAPNo],0),3),"")</f>
        <v>1613 CT418 18-60</v>
      </c>
      <c r="D3292" s="306"/>
      <c r="E3292" s="421">
        <v>6</v>
      </c>
      <c r="F3292" s="421"/>
      <c r="G3292" s="417" t="s">
        <v>2437</v>
      </c>
      <c r="H3292" s="598" t="s">
        <v>2438</v>
      </c>
      <c r="I3292" s="322" t="s">
        <v>2179</v>
      </c>
      <c r="J3292" s="418"/>
      <c r="K3292" s="248"/>
      <c r="M3292" s="366"/>
      <c r="AF3292">
        <v>6</v>
      </c>
    </row>
    <row r="3293" spans="1:32" x14ac:dyDescent="0.25">
      <c r="A3293" s="308">
        <v>45636</v>
      </c>
      <c r="B3293" s="416">
        <v>418525</v>
      </c>
      <c r="C3293" s="413" t="str">
        <f>IFERROR(INDEX(Table14[],MATCH($B3293,Table14[SAPNo],0),3),"")</f>
        <v>Drop In 1308 CT31   (B)</v>
      </c>
      <c r="D3293" s="306"/>
      <c r="E3293" s="421">
        <v>6</v>
      </c>
      <c r="F3293" s="421"/>
      <c r="G3293" s="417" t="s">
        <v>2463</v>
      </c>
      <c r="H3293" s="598" t="s">
        <v>2464</v>
      </c>
      <c r="I3293" s="322" t="s">
        <v>1273</v>
      </c>
      <c r="J3293" s="418"/>
      <c r="K3293" s="248"/>
      <c r="M3293" s="366"/>
      <c r="AF3293">
        <v>1</v>
      </c>
    </row>
    <row r="3294" spans="1:32" x14ac:dyDescent="0.25">
      <c r="A3294" s="308">
        <v>45636</v>
      </c>
      <c r="B3294" s="416">
        <v>1271790</v>
      </c>
      <c r="C3294" s="413" t="str">
        <f>IFERROR(INDEX(Table14[],MATCH($B3294,Table14[SAPNo],0),3),"")</f>
        <v xml:space="preserve">1613 CT170 18-60 </v>
      </c>
      <c r="D3294" s="306"/>
      <c r="E3294" s="421">
        <v>2</v>
      </c>
      <c r="F3294" s="421"/>
      <c r="G3294" s="417" t="s">
        <v>2463</v>
      </c>
      <c r="H3294" s="598" t="s">
        <v>2464</v>
      </c>
      <c r="I3294" s="322" t="s">
        <v>1273</v>
      </c>
      <c r="J3294" s="418"/>
      <c r="K3294" s="248"/>
      <c r="M3294" s="366"/>
      <c r="AF3294">
        <v>1</v>
      </c>
    </row>
    <row r="3295" spans="1:32" x14ac:dyDescent="0.25">
      <c r="A3295" s="320">
        <v>45636</v>
      </c>
      <c r="B3295" s="419">
        <v>1208601</v>
      </c>
      <c r="C3295" s="413" t="str">
        <f>IFERROR(INDEX(Table14[],MATCH($B3295,Table14[SAPNo],0),3),"")</f>
        <v>1613 CT418 U-60</v>
      </c>
      <c r="D3295" s="306"/>
      <c r="E3295" s="421">
        <v>1</v>
      </c>
      <c r="F3295" s="421"/>
      <c r="G3295" s="420" t="s">
        <v>2463</v>
      </c>
      <c r="H3295" s="599" t="s">
        <v>2464</v>
      </c>
      <c r="I3295" s="322" t="s">
        <v>1273</v>
      </c>
      <c r="J3295" s="421"/>
      <c r="K3295" s="422"/>
      <c r="M3295" s="366"/>
      <c r="AF3295">
        <v>1</v>
      </c>
    </row>
    <row r="3296" spans="1:32" x14ac:dyDescent="0.25">
      <c r="A3296" s="308">
        <v>45637</v>
      </c>
      <c r="B3296" s="416">
        <v>418525</v>
      </c>
      <c r="C3296" s="413" t="str">
        <f>IFERROR(INDEX(Table14[],MATCH($B3296,Table14[SAPNo],0),3),"")</f>
        <v>Drop In 1308 CT31   (B)</v>
      </c>
      <c r="D3296" s="306"/>
      <c r="E3296" s="421">
        <v>10</v>
      </c>
      <c r="F3296" s="421"/>
      <c r="G3296" s="417" t="s">
        <v>2466</v>
      </c>
      <c r="H3296" s="598">
        <v>14228445</v>
      </c>
      <c r="I3296" s="322" t="s">
        <v>2467</v>
      </c>
      <c r="J3296" s="418"/>
      <c r="K3296" s="248"/>
      <c r="M3296" s="422"/>
      <c r="AF3296">
        <v>10</v>
      </c>
    </row>
    <row r="3297" spans="1:32" x14ac:dyDescent="0.25">
      <c r="A3297" s="308">
        <v>45637</v>
      </c>
      <c r="B3297" s="416">
        <v>1146346</v>
      </c>
      <c r="C3297" s="413" t="str">
        <f>IFERROR(INDEX(Table14[],MATCH($B3297,Table14[SAPNo],0),3),"")</f>
        <v>1313 CT418 18-60</v>
      </c>
      <c r="D3297" s="306"/>
      <c r="E3297" s="421">
        <v>6</v>
      </c>
      <c r="F3297" s="421"/>
      <c r="G3297" s="417" t="s">
        <v>2466</v>
      </c>
      <c r="H3297" s="598">
        <v>14228445</v>
      </c>
      <c r="I3297" s="322" t="s">
        <v>2467</v>
      </c>
      <c r="J3297" s="418"/>
      <c r="K3297" s="248"/>
      <c r="M3297" s="366"/>
      <c r="AF3297">
        <v>6</v>
      </c>
    </row>
    <row r="3298" spans="1:32" x14ac:dyDescent="0.25">
      <c r="A3298" s="308">
        <v>45637</v>
      </c>
      <c r="B3298" s="416">
        <v>1100696</v>
      </c>
      <c r="C3298" s="413" t="str">
        <f>IFERROR(INDEX(Table14[],MATCH($B3298,Table14[SAPNo],0),3),"")</f>
        <v>Round 1313 CT418  10C (S)</v>
      </c>
      <c r="D3298" s="306"/>
      <c r="E3298" s="421">
        <v>17</v>
      </c>
      <c r="F3298" s="421"/>
      <c r="G3298" s="417" t="s">
        <v>2466</v>
      </c>
      <c r="H3298" s="598">
        <v>14228445</v>
      </c>
      <c r="I3298" s="322" t="s">
        <v>2467</v>
      </c>
      <c r="J3298" s="418"/>
      <c r="K3298" s="248"/>
      <c r="M3298" s="366"/>
      <c r="AF3298">
        <v>17</v>
      </c>
    </row>
    <row r="3299" spans="1:32" x14ac:dyDescent="0.25">
      <c r="A3299" s="308">
        <v>45637</v>
      </c>
      <c r="B3299" s="416">
        <v>418525</v>
      </c>
      <c r="C3299" s="413" t="str">
        <f>IFERROR(INDEX(Table14[],MATCH($B3299,Table14[SAPNo],0),3),"")</f>
        <v>Drop In 1308 CT31   (B)</v>
      </c>
      <c r="D3299" s="306"/>
      <c r="E3299" s="421">
        <v>10</v>
      </c>
      <c r="F3299" s="421"/>
      <c r="G3299" s="417" t="s">
        <v>2468</v>
      </c>
      <c r="H3299" s="598">
        <v>14247163</v>
      </c>
      <c r="I3299" s="322" t="s">
        <v>2467</v>
      </c>
      <c r="J3299" s="418"/>
      <c r="K3299" s="248"/>
      <c r="M3299" s="366"/>
      <c r="AF3299">
        <v>10</v>
      </c>
    </row>
    <row r="3300" spans="1:32" x14ac:dyDescent="0.25">
      <c r="A3300" s="308">
        <v>45637</v>
      </c>
      <c r="B3300" s="416">
        <v>1146346</v>
      </c>
      <c r="C3300" s="413" t="str">
        <f>IFERROR(INDEX(Table14[],MATCH($B3300,Table14[SAPNo],0),3),"")</f>
        <v>1313 CT418 18-60</v>
      </c>
      <c r="D3300" s="306"/>
      <c r="E3300" s="421">
        <v>6</v>
      </c>
      <c r="F3300" s="421"/>
      <c r="G3300" s="417" t="s">
        <v>2468</v>
      </c>
      <c r="H3300" s="598">
        <v>14247163</v>
      </c>
      <c r="I3300" s="322" t="s">
        <v>2467</v>
      </c>
      <c r="J3300" s="418"/>
      <c r="K3300" s="248"/>
      <c r="M3300" s="366"/>
      <c r="AF3300">
        <v>6</v>
      </c>
    </row>
    <row r="3301" spans="1:32" x14ac:dyDescent="0.25">
      <c r="A3301" s="308">
        <v>45637</v>
      </c>
      <c r="B3301" s="416">
        <v>1100696</v>
      </c>
      <c r="C3301" s="413" t="str">
        <f>IFERROR(INDEX(Table14[],MATCH($B3301,Table14[SAPNo],0),3),"")</f>
        <v>Round 1313 CT418  10C (S)</v>
      </c>
      <c r="D3301" s="306"/>
      <c r="E3301" s="421">
        <v>17</v>
      </c>
      <c r="F3301" s="421"/>
      <c r="G3301" s="417" t="s">
        <v>2468</v>
      </c>
      <c r="H3301" s="598">
        <v>14247163</v>
      </c>
      <c r="I3301" s="322" t="s">
        <v>2467</v>
      </c>
      <c r="J3301" s="418"/>
      <c r="K3301" s="248"/>
      <c r="M3301" s="366"/>
      <c r="AF3301">
        <v>17</v>
      </c>
    </row>
    <row r="3302" spans="1:32" x14ac:dyDescent="0.25">
      <c r="A3302" s="308">
        <v>45637</v>
      </c>
      <c r="B3302" s="416">
        <v>1100759</v>
      </c>
      <c r="C3302" s="413" t="str">
        <f>IFERROR(INDEX(Table14[],MATCH($B3302,Table14[SAPNo],0),3),"")</f>
        <v>1913 CT421 0.018"</v>
      </c>
      <c r="D3302" s="306"/>
      <c r="E3302" s="421">
        <v>1</v>
      </c>
      <c r="F3302" s="421"/>
      <c r="G3302" s="417" t="s">
        <v>2469</v>
      </c>
      <c r="H3302" s="598">
        <v>14254507</v>
      </c>
      <c r="I3302" s="322" t="s">
        <v>1130</v>
      </c>
      <c r="J3302" s="418"/>
      <c r="K3302" s="248"/>
      <c r="M3302" s="366"/>
      <c r="AF3302">
        <v>1</v>
      </c>
    </row>
    <row r="3303" spans="1:32" x14ac:dyDescent="0.25">
      <c r="A3303" s="308">
        <v>45637</v>
      </c>
      <c r="B3303" s="416">
        <v>625854</v>
      </c>
      <c r="C3303" s="413" t="str">
        <f>IFERROR(INDEX(Table14[],MATCH($B3303,Table14[SAPNo],0),3),"")</f>
        <v>Carbide IA 1318    (C)</v>
      </c>
      <c r="D3303" s="306"/>
      <c r="E3303" s="421">
        <v>17</v>
      </c>
      <c r="F3303" s="421"/>
      <c r="G3303" s="417" t="s">
        <v>2470</v>
      </c>
      <c r="H3303" s="598">
        <v>14247171</v>
      </c>
      <c r="I3303" s="322" t="s">
        <v>1185</v>
      </c>
      <c r="J3303" s="418"/>
      <c r="K3303" s="248"/>
      <c r="M3303" s="366"/>
      <c r="AF3303">
        <v>17</v>
      </c>
    </row>
    <row r="3304" spans="1:32" x14ac:dyDescent="0.25">
      <c r="A3304" s="308">
        <v>45637</v>
      </c>
      <c r="B3304" s="416">
        <v>418525</v>
      </c>
      <c r="C3304" s="413" t="str">
        <f>IFERROR(INDEX(Table14[],MATCH($B3304,Table14[SAPNo],0),3),"")</f>
        <v>Drop In 1308 CT31   (B)</v>
      </c>
      <c r="D3304" s="306"/>
      <c r="E3304" s="421">
        <v>6</v>
      </c>
      <c r="F3304" s="421"/>
      <c r="G3304" s="417" t="s">
        <v>2470</v>
      </c>
      <c r="H3304" s="598">
        <v>14247171</v>
      </c>
      <c r="I3304" s="322" t="s">
        <v>1185</v>
      </c>
      <c r="J3304" s="418"/>
      <c r="K3304" s="248"/>
      <c r="M3304" s="366"/>
      <c r="AF3304">
        <v>6</v>
      </c>
    </row>
    <row r="3305" spans="1:32" x14ac:dyDescent="0.25">
      <c r="A3305" s="308">
        <v>45637</v>
      </c>
      <c r="B3305" s="416">
        <v>1209410</v>
      </c>
      <c r="C3305" s="413" t="str">
        <f>IFERROR(INDEX(Table14[],MATCH($B3305,Table14[SAPNo],0),3),"")</f>
        <v>1613 CT430MV3 U TBO</v>
      </c>
      <c r="D3305" s="306"/>
      <c r="E3305" s="421">
        <v>46</v>
      </c>
      <c r="F3305" s="421"/>
      <c r="G3305" s="417" t="s">
        <v>2470</v>
      </c>
      <c r="H3305" s="598">
        <v>14247171</v>
      </c>
      <c r="I3305" s="322" t="s">
        <v>1185</v>
      </c>
      <c r="J3305" s="418"/>
      <c r="K3305" s="248"/>
      <c r="M3305" s="366"/>
      <c r="AF3305">
        <v>46</v>
      </c>
    </row>
    <row r="3306" spans="1:32" x14ac:dyDescent="0.25">
      <c r="A3306" s="308">
        <v>45637</v>
      </c>
      <c r="B3306" s="416">
        <v>1146737</v>
      </c>
      <c r="C3306" s="413" t="str">
        <f>IFERROR(INDEX(Table14[],MATCH($B3306,Table14[SAPNo],0),3),"")</f>
        <v>1613 CT418 18-60</v>
      </c>
      <c r="D3306" s="306"/>
      <c r="E3306" s="421">
        <v>31</v>
      </c>
      <c r="F3306" s="421"/>
      <c r="G3306" s="417" t="s">
        <v>2470</v>
      </c>
      <c r="H3306" s="598">
        <v>14247171</v>
      </c>
      <c r="I3306" s="322" t="s">
        <v>1185</v>
      </c>
      <c r="J3306" s="418"/>
      <c r="K3306" s="248"/>
      <c r="M3306" s="366"/>
      <c r="AF3306">
        <v>31</v>
      </c>
    </row>
    <row r="3307" spans="1:32" x14ac:dyDescent="0.25">
      <c r="A3307" s="320">
        <v>45637</v>
      </c>
      <c r="B3307" s="419">
        <v>1100755</v>
      </c>
      <c r="C3307" s="413" t="str">
        <f>IFERROR(INDEX(Table14[],MATCH($B3307,Table14[SAPNo],0),3),"")</f>
        <v>Round 1613 CT421  0.018" (S)</v>
      </c>
      <c r="D3307" s="306"/>
      <c r="E3307" s="421">
        <v>30</v>
      </c>
      <c r="F3307" s="421"/>
      <c r="G3307" s="420" t="s">
        <v>2470</v>
      </c>
      <c r="H3307" s="599">
        <v>14247171</v>
      </c>
      <c r="I3307" s="322" t="s">
        <v>1185</v>
      </c>
      <c r="J3307" s="421"/>
      <c r="K3307" s="422"/>
      <c r="M3307" s="366"/>
      <c r="AF3307">
        <v>30</v>
      </c>
    </row>
    <row r="3308" spans="1:32" x14ac:dyDescent="0.25">
      <c r="A3308" s="308">
        <v>45638</v>
      </c>
      <c r="B3308" s="416">
        <v>1100696</v>
      </c>
      <c r="C3308" s="413" t="str">
        <f>IFERROR(INDEX(Table14[],MATCH($B3308,Table14[SAPNo],0),3),"")</f>
        <v>Round 1313 CT418  10C (S)</v>
      </c>
      <c r="D3308" s="306"/>
      <c r="E3308" s="421"/>
      <c r="F3308" s="421"/>
      <c r="G3308" s="417" t="s">
        <v>2471</v>
      </c>
      <c r="H3308" s="598" t="s">
        <v>2374</v>
      </c>
      <c r="I3308" s="322" t="s">
        <v>1282</v>
      </c>
      <c r="J3308" s="418"/>
      <c r="K3308" s="248" t="s">
        <v>2472</v>
      </c>
      <c r="M3308" s="422"/>
    </row>
    <row r="3309" spans="1:32" x14ac:dyDescent="0.25">
      <c r="A3309" s="308">
        <v>45638</v>
      </c>
      <c r="B3309" s="416">
        <v>1100696</v>
      </c>
      <c r="C3309" s="413" t="str">
        <f>IFERROR(INDEX(Table14[],MATCH($B3309,Table14[SAPNo],0),3),"")</f>
        <v>Round 1313 CT418  10C (S)</v>
      </c>
      <c r="D3309" s="306"/>
      <c r="E3309" s="421"/>
      <c r="F3309" s="421"/>
      <c r="G3309" s="417" t="s">
        <v>2444</v>
      </c>
      <c r="H3309" s="598" t="s">
        <v>2443</v>
      </c>
      <c r="I3309" s="322" t="s">
        <v>1781</v>
      </c>
      <c r="J3309" s="418"/>
      <c r="K3309" s="248" t="s">
        <v>2461</v>
      </c>
      <c r="M3309" s="366"/>
    </row>
    <row r="3310" spans="1:32" x14ac:dyDescent="0.25">
      <c r="A3310" s="308">
        <v>45638</v>
      </c>
      <c r="B3310" s="416">
        <v>418525</v>
      </c>
      <c r="C3310" s="413" t="str">
        <f>IFERROR(INDEX(Table14[],MATCH($B3310,Table14[SAPNo],0),3),"")</f>
        <v>Drop In 1308 CT31   (B)</v>
      </c>
      <c r="D3310" s="306"/>
      <c r="E3310" s="421">
        <v>8</v>
      </c>
      <c r="F3310" s="421"/>
      <c r="G3310" s="417" t="s">
        <v>2473</v>
      </c>
      <c r="H3310" s="598">
        <v>14228463</v>
      </c>
      <c r="I3310" s="322" t="s">
        <v>1071</v>
      </c>
      <c r="J3310" s="418"/>
      <c r="K3310" s="248"/>
      <c r="M3310" s="366"/>
      <c r="AF3310">
        <v>8</v>
      </c>
    </row>
    <row r="3311" spans="1:32" x14ac:dyDescent="0.25">
      <c r="A3311" s="308">
        <v>45638</v>
      </c>
      <c r="B3311" s="416">
        <v>1130198</v>
      </c>
      <c r="C3311" s="413" t="str">
        <f>IFERROR(INDEX(Table14[],MATCH($B3311,Table14[SAPNo],0),3),"")</f>
        <v>Round 1613 CT182  0.018" (S)</v>
      </c>
      <c r="D3311" s="306"/>
      <c r="E3311" s="421"/>
      <c r="F3311" s="421"/>
      <c r="G3311" s="417" t="s">
        <v>2474</v>
      </c>
      <c r="H3311" s="598">
        <v>14228463</v>
      </c>
      <c r="I3311" s="322" t="s">
        <v>1071</v>
      </c>
      <c r="J3311" s="418"/>
      <c r="K3311" s="248"/>
      <c r="M3311" s="366"/>
    </row>
    <row r="3312" spans="1:32" x14ac:dyDescent="0.25">
      <c r="A3312" s="308">
        <v>45641</v>
      </c>
      <c r="B3312" s="416">
        <v>871781</v>
      </c>
      <c r="C3312" s="413" t="str">
        <f>IFERROR(INDEX(Table14[],MATCH($B3312,Table14[SAPNo],0),3),"")</f>
        <v>Round 1313 CT200  0.018" (B)</v>
      </c>
      <c r="D3312" s="306"/>
      <c r="E3312" s="421">
        <v>6</v>
      </c>
      <c r="F3312" s="421"/>
      <c r="G3312" s="417" t="s">
        <v>2475</v>
      </c>
      <c r="H3312" s="598">
        <v>14247167</v>
      </c>
      <c r="I3312" s="322" t="s">
        <v>2476</v>
      </c>
      <c r="J3312" s="418"/>
      <c r="K3312" s="248"/>
      <c r="M3312" s="366"/>
      <c r="AF3312">
        <v>6</v>
      </c>
    </row>
    <row r="3313" spans="1:32" x14ac:dyDescent="0.25">
      <c r="A3313" s="308">
        <v>45641</v>
      </c>
      <c r="B3313" s="416">
        <v>647435</v>
      </c>
      <c r="C3313" s="413" t="str">
        <f>IFERROR(INDEX(Table14[],MATCH($B3313,Table14[SAPNo],0),3),"")</f>
        <v>Round 1608 CT200  0.018" (B)</v>
      </c>
      <c r="D3313" s="306"/>
      <c r="E3313" s="421">
        <v>23</v>
      </c>
      <c r="F3313" s="421"/>
      <c r="G3313" s="417" t="s">
        <v>2475</v>
      </c>
      <c r="H3313" s="598">
        <v>14247167</v>
      </c>
      <c r="I3313" s="322" t="s">
        <v>2476</v>
      </c>
      <c r="J3313" s="418"/>
      <c r="K3313" s="248"/>
      <c r="M3313" s="366"/>
      <c r="AF3313">
        <v>23</v>
      </c>
    </row>
    <row r="3314" spans="1:32" x14ac:dyDescent="0.25">
      <c r="A3314" s="320">
        <v>45641</v>
      </c>
      <c r="B3314" s="419">
        <v>1100755</v>
      </c>
      <c r="C3314" s="413" t="str">
        <f>IFERROR(INDEX(Table14[],MATCH($B3314,Table14[SAPNo],0),3),"")</f>
        <v>Round 1613 CT421  0.018" (S)</v>
      </c>
      <c r="D3314" s="306"/>
      <c r="E3314" s="421">
        <v>33</v>
      </c>
      <c r="F3314" s="421"/>
      <c r="G3314" s="420" t="s">
        <v>2475</v>
      </c>
      <c r="H3314" s="599">
        <v>14247167</v>
      </c>
      <c r="I3314" s="322" t="s">
        <v>2476</v>
      </c>
      <c r="J3314" s="421"/>
      <c r="K3314" s="422"/>
      <c r="M3314" s="366"/>
      <c r="AF3314">
        <v>33</v>
      </c>
    </row>
    <row r="3315" spans="1:32" x14ac:dyDescent="0.25">
      <c r="A3315" s="308">
        <v>45642</v>
      </c>
      <c r="B3315" s="416">
        <v>871781</v>
      </c>
      <c r="C3315" s="413" t="str">
        <f>IFERROR(INDEX(Table14[],MATCH($B3315,Table14[SAPNo],0),3),"")</f>
        <v>Round 1313 CT200  0.018" (B)</v>
      </c>
      <c r="D3315" s="306"/>
      <c r="E3315" s="421">
        <v>6</v>
      </c>
      <c r="F3315" s="421"/>
      <c r="G3315" s="417" t="s">
        <v>2477</v>
      </c>
      <c r="H3315" s="598">
        <v>14247168</v>
      </c>
      <c r="I3315" s="322" t="s">
        <v>2476</v>
      </c>
      <c r="J3315" s="418"/>
      <c r="K3315" s="248"/>
      <c r="M3315" s="422"/>
      <c r="AF3315">
        <v>6</v>
      </c>
    </row>
    <row r="3316" spans="1:32" x14ac:dyDescent="0.25">
      <c r="A3316" s="308">
        <v>45642</v>
      </c>
      <c r="B3316" s="416">
        <v>647435</v>
      </c>
      <c r="C3316" s="413" t="str">
        <f>IFERROR(INDEX(Table14[],MATCH($B3316,Table14[SAPNo],0),3),"")</f>
        <v>Round 1608 CT200  0.018" (B)</v>
      </c>
      <c r="D3316" s="306"/>
      <c r="E3316" s="421">
        <v>23</v>
      </c>
      <c r="F3316" s="421"/>
      <c r="G3316" s="417" t="s">
        <v>2477</v>
      </c>
      <c r="H3316" s="598">
        <v>14247168</v>
      </c>
      <c r="I3316" s="322" t="s">
        <v>2476</v>
      </c>
      <c r="J3316" s="418"/>
      <c r="K3316" s="248"/>
      <c r="M3316" s="366"/>
      <c r="AF3316">
        <v>23</v>
      </c>
    </row>
    <row r="3317" spans="1:32" x14ac:dyDescent="0.25">
      <c r="A3317" s="308">
        <v>45642</v>
      </c>
      <c r="B3317" s="416">
        <v>1100755</v>
      </c>
      <c r="C3317" s="413" t="str">
        <f>IFERROR(INDEX(Table14[],MATCH($B3317,Table14[SAPNo],0),3),"")</f>
        <v>Round 1613 CT421  0.018" (S)</v>
      </c>
      <c r="D3317" s="306"/>
      <c r="E3317" s="421">
        <v>33</v>
      </c>
      <c r="F3317" s="421"/>
      <c r="G3317" s="417" t="s">
        <v>2477</v>
      </c>
      <c r="H3317" s="598">
        <v>14247168</v>
      </c>
      <c r="I3317" s="322" t="s">
        <v>2476</v>
      </c>
      <c r="J3317" s="418"/>
      <c r="K3317" s="248"/>
      <c r="M3317" s="366"/>
      <c r="AF3317">
        <v>33</v>
      </c>
    </row>
    <row r="3318" spans="1:32" x14ac:dyDescent="0.25">
      <c r="A3318" s="308">
        <v>45643</v>
      </c>
      <c r="B3318" s="416">
        <v>871781</v>
      </c>
      <c r="C3318" s="413" t="str">
        <f>IFERROR(INDEX(Table14[],MATCH($B3318,Table14[SAPNo],0),3),"")</f>
        <v>Round 1313 CT200  0.018" (B)</v>
      </c>
      <c r="D3318" s="306"/>
      <c r="E3318" s="421">
        <v>6</v>
      </c>
      <c r="F3318" s="421"/>
      <c r="G3318" s="417" t="s">
        <v>2478</v>
      </c>
      <c r="H3318" s="598">
        <v>14247169</v>
      </c>
      <c r="I3318" s="322" t="s">
        <v>2476</v>
      </c>
      <c r="J3318" s="418"/>
      <c r="K3318" s="248"/>
      <c r="M3318" s="366"/>
      <c r="AF3318">
        <v>6</v>
      </c>
    </row>
    <row r="3319" spans="1:32" x14ac:dyDescent="0.25">
      <c r="A3319" s="308">
        <v>45643</v>
      </c>
      <c r="B3319" s="416">
        <v>647435</v>
      </c>
      <c r="C3319" s="413" t="str">
        <f>IFERROR(INDEX(Table14[],MATCH($B3319,Table14[SAPNo],0),3),"")</f>
        <v>Round 1608 CT200  0.018" (B)</v>
      </c>
      <c r="D3319" s="306"/>
      <c r="E3319" s="421">
        <v>23</v>
      </c>
      <c r="F3319" s="421"/>
      <c r="G3319" s="417" t="s">
        <v>2478</v>
      </c>
      <c r="H3319" s="598">
        <v>14247169</v>
      </c>
      <c r="I3319" s="322" t="s">
        <v>2476</v>
      </c>
      <c r="J3319" s="418"/>
      <c r="K3319" s="248"/>
      <c r="M3319" s="366"/>
      <c r="AF3319">
        <v>23</v>
      </c>
    </row>
    <row r="3320" spans="1:32" x14ac:dyDescent="0.25">
      <c r="A3320" s="308">
        <v>45643</v>
      </c>
      <c r="B3320" s="416">
        <v>1100755</v>
      </c>
      <c r="C3320" s="413" t="str">
        <f>IFERROR(INDEX(Table14[],MATCH($B3320,Table14[SAPNo],0),3),"")</f>
        <v>Round 1613 CT421  0.018" (S)</v>
      </c>
      <c r="D3320" s="306"/>
      <c r="E3320" s="421">
        <v>33</v>
      </c>
      <c r="F3320" s="421"/>
      <c r="G3320" s="417" t="s">
        <v>2478</v>
      </c>
      <c r="H3320" s="598">
        <v>14247169</v>
      </c>
      <c r="I3320" s="322" t="s">
        <v>2476</v>
      </c>
      <c r="J3320" s="418"/>
      <c r="K3320" s="248"/>
      <c r="M3320" s="366"/>
      <c r="AF3320">
        <v>33</v>
      </c>
    </row>
    <row r="3321" spans="1:32" x14ac:dyDescent="0.25">
      <c r="A3321" s="308">
        <v>45636</v>
      </c>
      <c r="B3321" s="416">
        <v>1146737</v>
      </c>
      <c r="C3321" s="413" t="str">
        <f>IFERROR(INDEX(Table14[],MATCH($B3321,Table14[SAPNo],0),3),"")</f>
        <v>1613 CT418 18-60</v>
      </c>
      <c r="D3321" s="306"/>
      <c r="E3321" s="421">
        <v>6</v>
      </c>
      <c r="F3321" s="421"/>
      <c r="G3321" s="417" t="s">
        <v>2463</v>
      </c>
      <c r="H3321" s="598" t="s">
        <v>2464</v>
      </c>
      <c r="I3321" s="322" t="s">
        <v>1273</v>
      </c>
      <c r="J3321" s="418"/>
      <c r="K3321" s="248"/>
      <c r="M3321" s="366"/>
      <c r="AF3321">
        <v>6</v>
      </c>
    </row>
    <row r="3322" spans="1:32" x14ac:dyDescent="0.25">
      <c r="A3322" s="308">
        <v>45636</v>
      </c>
      <c r="B3322" s="416">
        <v>1078377</v>
      </c>
      <c r="C3322" s="413" t="str">
        <f>IFERROR(INDEX(Table14[],MATCH($B3322,Table14[SAPNo],0),3),"")</f>
        <v>13MM CT221 R1</v>
      </c>
      <c r="D3322" s="306"/>
      <c r="E3322" s="421">
        <v>1</v>
      </c>
      <c r="F3322" s="421"/>
      <c r="G3322" s="417" t="s">
        <v>2463</v>
      </c>
      <c r="H3322" s="598" t="s">
        <v>2464</v>
      </c>
      <c r="I3322" s="322" t="s">
        <v>1273</v>
      </c>
      <c r="J3322" s="418"/>
      <c r="K3322" s="248"/>
      <c r="M3322" s="366"/>
      <c r="AF3322">
        <v>4</v>
      </c>
    </row>
    <row r="3323" spans="1:32" x14ac:dyDescent="0.25">
      <c r="A3323" s="308">
        <v>45636</v>
      </c>
      <c r="B3323" s="416">
        <v>418525</v>
      </c>
      <c r="C3323" s="413" t="str">
        <f>IFERROR(INDEX(Table14[],MATCH($B3323,Table14[SAPNo],0),3),"")</f>
        <v>Drop In 1308 CT31   (B)</v>
      </c>
      <c r="D3323" s="306"/>
      <c r="E3323" s="421">
        <v>1</v>
      </c>
      <c r="F3323" s="421"/>
      <c r="G3323" s="417" t="s">
        <v>2465</v>
      </c>
      <c r="H3323" s="598">
        <v>14144629</v>
      </c>
      <c r="I3323" s="322" t="s">
        <v>1273</v>
      </c>
      <c r="J3323" s="418"/>
      <c r="K3323" s="248"/>
      <c r="M3323" s="366"/>
      <c r="AF3323">
        <v>5</v>
      </c>
    </row>
    <row r="3324" spans="1:32" x14ac:dyDescent="0.25">
      <c r="A3324" s="308">
        <v>45636</v>
      </c>
      <c r="B3324" s="416">
        <v>1146737</v>
      </c>
      <c r="C3324" s="413" t="str">
        <f>IFERROR(INDEX(Table14[],MATCH($B3324,Table14[SAPNo],0),3),"")</f>
        <v>1613 CT418 18-60</v>
      </c>
      <c r="D3324" s="306"/>
      <c r="E3324" s="421">
        <v>1</v>
      </c>
      <c r="F3324" s="421"/>
      <c r="G3324" s="417" t="s">
        <v>2465</v>
      </c>
      <c r="H3324" s="598">
        <v>14144629</v>
      </c>
      <c r="I3324" s="322" t="s">
        <v>1273</v>
      </c>
      <c r="J3324" s="418"/>
      <c r="K3324" s="248"/>
      <c r="M3324" s="366"/>
      <c r="AF3324">
        <v>5</v>
      </c>
    </row>
    <row r="3325" spans="1:32" x14ac:dyDescent="0.25">
      <c r="A3325" s="308">
        <v>45643</v>
      </c>
      <c r="B3325" s="416">
        <v>418525</v>
      </c>
      <c r="C3325" s="413" t="str">
        <f>IFERROR(INDEX(Table14[],MATCH($B3325,Table14[SAPNo],0),3),"")</f>
        <v>Drop In 1308 CT31   (B)</v>
      </c>
      <c r="D3325" s="306"/>
      <c r="E3325" s="421">
        <v>6</v>
      </c>
      <c r="F3325" s="421"/>
      <c r="G3325" s="417" t="s">
        <v>2479</v>
      </c>
      <c r="H3325" s="598" t="s">
        <v>2480</v>
      </c>
      <c r="I3325" s="322" t="s">
        <v>2254</v>
      </c>
      <c r="J3325" s="418"/>
      <c r="K3325" s="248"/>
      <c r="M3325" s="366"/>
      <c r="AF3325">
        <v>6</v>
      </c>
    </row>
    <row r="3326" spans="1:32" x14ac:dyDescent="0.25">
      <c r="A3326" s="320">
        <v>45643</v>
      </c>
      <c r="B3326" s="419">
        <v>1146737</v>
      </c>
      <c r="C3326" s="413" t="str">
        <f>IFERROR(INDEX(Table14[],MATCH($B3326,Table14[SAPNo],0),3),"")</f>
        <v>1613 CT418 18-60</v>
      </c>
      <c r="D3326" s="306"/>
      <c r="E3326" s="421">
        <v>4</v>
      </c>
      <c r="F3326" s="421"/>
      <c r="G3326" s="420" t="s">
        <v>2479</v>
      </c>
      <c r="H3326" s="599" t="s">
        <v>2480</v>
      </c>
      <c r="I3326" s="322" t="s">
        <v>2254</v>
      </c>
      <c r="J3326" s="421"/>
      <c r="K3326" s="422"/>
      <c r="M3326" s="366"/>
      <c r="AF3326">
        <v>1</v>
      </c>
    </row>
    <row r="3327" spans="1:32" x14ac:dyDescent="0.25">
      <c r="A3327" s="308">
        <v>45644</v>
      </c>
      <c r="B3327" s="416">
        <v>703670</v>
      </c>
      <c r="C3327" s="413" t="str">
        <f>IFERROR(INDEX(Table14[],MATCH($B3327,Table14[SAPNo],0),3),"")</f>
        <v>Round 1313 CT200  10C (B)</v>
      </c>
      <c r="D3327" s="306"/>
      <c r="E3327" s="421">
        <v>1</v>
      </c>
      <c r="F3327" s="421"/>
      <c r="G3327" s="417" t="s">
        <v>2483</v>
      </c>
      <c r="H3327" s="598"/>
      <c r="I3327" s="322" t="s">
        <v>29</v>
      </c>
      <c r="J3327" s="418"/>
      <c r="K3327" s="248"/>
      <c r="M3327" s="422"/>
      <c r="AF3327">
        <v>1</v>
      </c>
    </row>
    <row r="3328" spans="1:32" x14ac:dyDescent="0.25">
      <c r="A3328" s="308">
        <v>45644</v>
      </c>
      <c r="B3328" s="416">
        <v>1100696</v>
      </c>
      <c r="C3328" s="413" t="str">
        <f>IFERROR(INDEX(Table14[],MATCH($B3328,Table14[SAPNo],0),3),"")</f>
        <v>Round 1313 CT418  10C (S)</v>
      </c>
      <c r="D3328" s="306"/>
      <c r="E3328" s="421"/>
      <c r="F3328" s="421"/>
      <c r="G3328" s="417" t="s">
        <v>2484</v>
      </c>
      <c r="H3328" s="598"/>
      <c r="I3328" s="322" t="s">
        <v>29</v>
      </c>
      <c r="J3328" s="418"/>
      <c r="K3328" s="248" t="s">
        <v>2485</v>
      </c>
      <c r="M3328" s="366"/>
    </row>
    <row r="3329" spans="1:32" x14ac:dyDescent="0.25">
      <c r="A3329" s="308">
        <v>45644</v>
      </c>
      <c r="B3329" s="416">
        <v>717748</v>
      </c>
      <c r="C3329" s="413" t="str">
        <f>IFERROR(INDEX(Table14[],MATCH($B3329,Table14[SAPNo],0),3),"")</f>
        <v>Round 1010 CT200  0.018" (B)</v>
      </c>
      <c r="D3329" s="306"/>
      <c r="E3329" s="421">
        <v>1</v>
      </c>
      <c r="F3329" s="421"/>
      <c r="G3329" s="417" t="s">
        <v>2486</v>
      </c>
      <c r="H3329" s="598"/>
      <c r="I3329" s="322" t="s">
        <v>29</v>
      </c>
      <c r="J3329" s="418"/>
      <c r="K3329" s="248"/>
      <c r="M3329" s="366"/>
      <c r="AF3329">
        <v>1</v>
      </c>
    </row>
    <row r="3330" spans="1:32" x14ac:dyDescent="0.25">
      <c r="A3330" s="308">
        <v>45648</v>
      </c>
      <c r="B3330" s="416">
        <v>1288721</v>
      </c>
      <c r="C3330" s="413" t="str">
        <f>IFERROR(INDEX(Table14[],MATCH($B3330,Table14[SAPNo],0),3),"")</f>
        <v>1613 CT176 0.018</v>
      </c>
      <c r="D3330" s="306"/>
      <c r="E3330" s="421">
        <v>3</v>
      </c>
      <c r="F3330" s="421"/>
      <c r="G3330" s="417" t="s">
        <v>2487</v>
      </c>
      <c r="H3330" s="598">
        <v>14254502</v>
      </c>
      <c r="I3330" s="322" t="s">
        <v>2488</v>
      </c>
      <c r="J3330" s="418"/>
      <c r="K3330" s="248"/>
      <c r="M3330" s="366"/>
      <c r="AF3330">
        <v>3</v>
      </c>
    </row>
    <row r="3331" spans="1:32" x14ac:dyDescent="0.25">
      <c r="A3331" s="308">
        <v>45648</v>
      </c>
      <c r="B3331" s="416">
        <v>1146737</v>
      </c>
      <c r="C3331" s="413" t="str">
        <f>IFERROR(INDEX(Table14[],MATCH($B3331,Table14[SAPNo],0),3),"")</f>
        <v>1613 CT418 18-60</v>
      </c>
      <c r="D3331" s="306"/>
      <c r="E3331" s="421">
        <v>3</v>
      </c>
      <c r="F3331" s="421"/>
      <c r="G3331" s="417" t="s">
        <v>2487</v>
      </c>
      <c r="H3331" s="598">
        <v>14254502</v>
      </c>
      <c r="I3331" s="322" t="s">
        <v>2488</v>
      </c>
      <c r="J3331" s="418"/>
      <c r="K3331" s="248"/>
      <c r="M3331" s="366"/>
      <c r="AF3331">
        <v>3</v>
      </c>
    </row>
    <row r="3332" spans="1:32" x14ac:dyDescent="0.25">
      <c r="A3332" s="308">
        <v>45648</v>
      </c>
      <c r="B3332" s="416">
        <v>418525</v>
      </c>
      <c r="C3332" s="413" t="str">
        <f>IFERROR(INDEX(Table14[],MATCH($B3332,Table14[SAPNo],0),3),"")</f>
        <v>Drop In 1308 CT31   (B)</v>
      </c>
      <c r="D3332" s="306"/>
      <c r="E3332" s="421">
        <v>6</v>
      </c>
      <c r="F3332" s="421"/>
      <c r="G3332" s="417" t="s">
        <v>2487</v>
      </c>
      <c r="H3332" s="598">
        <v>14254502</v>
      </c>
      <c r="I3332" s="322" t="s">
        <v>2488</v>
      </c>
      <c r="J3332" s="418"/>
      <c r="K3332" s="248"/>
      <c r="M3332" s="366"/>
      <c r="AF3332">
        <v>6</v>
      </c>
    </row>
    <row r="3333" spans="1:32" x14ac:dyDescent="0.25">
      <c r="A3333" s="308">
        <v>45648</v>
      </c>
      <c r="B3333" s="416">
        <v>1288783</v>
      </c>
      <c r="C3333" s="413" t="str">
        <f>IFERROR(INDEX(Table14[],MATCH($B3333,Table14[SAPNo],0),3),"")</f>
        <v>1613 CT179 18-60</v>
      </c>
      <c r="D3333" s="306"/>
      <c r="E3333" s="421">
        <v>9</v>
      </c>
      <c r="F3333" s="421"/>
      <c r="G3333" s="417" t="s">
        <v>2487</v>
      </c>
      <c r="H3333" s="598">
        <v>14254502</v>
      </c>
      <c r="I3333" s="322" t="s">
        <v>2488</v>
      </c>
      <c r="J3333" s="418"/>
      <c r="K3333" s="248"/>
      <c r="M3333" s="366"/>
      <c r="AF3333">
        <v>9</v>
      </c>
    </row>
    <row r="3334" spans="1:32" x14ac:dyDescent="0.25">
      <c r="A3334" s="308">
        <v>45648</v>
      </c>
      <c r="B3334" s="416">
        <v>1208601</v>
      </c>
      <c r="C3334" s="413" t="str">
        <f>IFERROR(INDEX(Table14[],MATCH($B3334,Table14[SAPNo],0),3),"")</f>
        <v>1613 CT418 U-60</v>
      </c>
      <c r="D3334" s="306"/>
      <c r="E3334" s="421">
        <v>7</v>
      </c>
      <c r="F3334" s="421"/>
      <c r="G3334" s="417" t="s">
        <v>2487</v>
      </c>
      <c r="H3334" s="598">
        <v>14254502</v>
      </c>
      <c r="I3334" s="322" t="s">
        <v>2488</v>
      </c>
      <c r="J3334" s="418"/>
      <c r="K3334" s="248"/>
      <c r="M3334" s="366"/>
      <c r="AF3334">
        <v>7</v>
      </c>
    </row>
    <row r="3335" spans="1:32" x14ac:dyDescent="0.25">
      <c r="A3335" s="308">
        <v>45648</v>
      </c>
      <c r="B3335" s="416">
        <v>1271790</v>
      </c>
      <c r="C3335" s="413" t="str">
        <f>IFERROR(INDEX(Table14[],MATCH($B3335,Table14[SAPNo],0),3),"")</f>
        <v xml:space="preserve">1613 CT170 18-60 </v>
      </c>
      <c r="D3335" s="306"/>
      <c r="E3335" s="421">
        <v>9</v>
      </c>
      <c r="F3335" s="421"/>
      <c r="G3335" s="417" t="s">
        <v>2487</v>
      </c>
      <c r="H3335" s="598">
        <v>14254502</v>
      </c>
      <c r="I3335" s="322" t="s">
        <v>2488</v>
      </c>
      <c r="J3335" s="418"/>
      <c r="K3335" s="248"/>
      <c r="M3335" s="366"/>
      <c r="AF3335">
        <v>9</v>
      </c>
    </row>
    <row r="3336" spans="1:32" x14ac:dyDescent="0.25">
      <c r="A3336" s="308">
        <v>45648</v>
      </c>
      <c r="B3336" s="416">
        <v>1078377</v>
      </c>
      <c r="C3336" s="413" t="str">
        <f>IFERROR(INDEX(Table14[],MATCH($B3336,Table14[SAPNo],0),3),"")</f>
        <v>13MM CT221 R1</v>
      </c>
      <c r="D3336" s="306"/>
      <c r="E3336" s="421">
        <v>15</v>
      </c>
      <c r="F3336" s="421"/>
      <c r="G3336" s="417" t="s">
        <v>2487</v>
      </c>
      <c r="H3336" s="598">
        <v>14254502</v>
      </c>
      <c r="I3336" s="322" t="s">
        <v>2488</v>
      </c>
      <c r="J3336" s="418"/>
      <c r="K3336" s="248"/>
      <c r="M3336" s="366"/>
      <c r="AF3336">
        <v>15</v>
      </c>
    </row>
    <row r="3337" spans="1:32" x14ac:dyDescent="0.25">
      <c r="A3337" s="308">
        <v>45645</v>
      </c>
      <c r="B3337" s="416">
        <v>1271790</v>
      </c>
      <c r="C3337" s="413" t="str">
        <f>IFERROR(INDEX(Table14[],MATCH($B3337,Table14[SAPNo],0),3),"")</f>
        <v xml:space="preserve">1613 CT170 18-60 </v>
      </c>
      <c r="D3337" s="306"/>
      <c r="E3337" s="421">
        <v>2</v>
      </c>
      <c r="F3337" s="421"/>
      <c r="G3337" s="417" t="s">
        <v>2489</v>
      </c>
      <c r="H3337" s="598"/>
      <c r="I3337" s="322" t="s">
        <v>29</v>
      </c>
      <c r="J3337" s="418"/>
      <c r="K3337" s="248"/>
      <c r="M3337" s="366"/>
      <c r="AF3337">
        <v>2</v>
      </c>
    </row>
    <row r="3338" spans="1:32" x14ac:dyDescent="0.25">
      <c r="A3338" s="308">
        <v>45645</v>
      </c>
      <c r="B3338" s="416">
        <v>1078377</v>
      </c>
      <c r="C3338" s="413" t="str">
        <f>IFERROR(INDEX(Table14[],MATCH($B3338,Table14[SAPNo],0),3),"")</f>
        <v>13MM CT221 R1</v>
      </c>
      <c r="D3338" s="306"/>
      <c r="E3338" s="421">
        <v>1</v>
      </c>
      <c r="F3338" s="421"/>
      <c r="G3338" s="417" t="s">
        <v>2490</v>
      </c>
      <c r="H3338" s="598"/>
      <c r="I3338" s="322" t="s">
        <v>29</v>
      </c>
      <c r="J3338" s="418"/>
      <c r="K3338" s="248"/>
      <c r="M3338" s="366"/>
      <c r="AF3338">
        <v>1</v>
      </c>
    </row>
    <row r="3339" spans="1:32" x14ac:dyDescent="0.25">
      <c r="A3339" s="308">
        <v>45643</v>
      </c>
      <c r="B3339" s="416">
        <v>418525</v>
      </c>
      <c r="C3339" s="413" t="str">
        <f>IFERROR(INDEX(Table14[],MATCH($B3339,Table14[SAPNo],0),3),"")</f>
        <v>Drop In 1308 CT31   (B)</v>
      </c>
      <c r="D3339" s="306"/>
      <c r="E3339" s="421">
        <v>5</v>
      </c>
      <c r="F3339" s="421"/>
      <c r="G3339" s="417" t="s">
        <v>2481</v>
      </c>
      <c r="H3339" s="598" t="s">
        <v>2482</v>
      </c>
      <c r="I3339" s="322" t="s">
        <v>2179</v>
      </c>
      <c r="J3339" s="418"/>
      <c r="K3339" s="248"/>
      <c r="M3339" s="366"/>
      <c r="AF3339">
        <v>1</v>
      </c>
    </row>
    <row r="3340" spans="1:32" x14ac:dyDescent="0.25">
      <c r="A3340" s="308">
        <v>45645</v>
      </c>
      <c r="B3340" s="416">
        <v>717747</v>
      </c>
      <c r="C3340" s="413" t="str">
        <f>IFERROR(INDEX(Table14[],MATCH($B3340,Table14[SAPNo],0),3),"")</f>
        <v>Round 1010 CT200  10C (B)</v>
      </c>
      <c r="D3340" s="306"/>
      <c r="E3340" s="421">
        <v>3</v>
      </c>
      <c r="F3340" s="421"/>
      <c r="G3340" s="417" t="s">
        <v>2492</v>
      </c>
      <c r="H3340" s="598"/>
      <c r="I3340" s="322" t="s">
        <v>29</v>
      </c>
      <c r="J3340" s="418"/>
      <c r="K3340" s="248"/>
      <c r="M3340" s="366"/>
      <c r="AF3340">
        <v>3</v>
      </c>
    </row>
    <row r="3341" spans="1:32" x14ac:dyDescent="0.25">
      <c r="A3341" s="308">
        <v>45645</v>
      </c>
      <c r="B3341" s="416">
        <v>930925</v>
      </c>
      <c r="C3341" s="413" t="str">
        <f>IFERROR(INDEX(Table14[],MATCH($B3341,Table14[SAPNo],0),3),"")</f>
        <v>Round 1010 CT109 TSPV 10C (S)</v>
      </c>
      <c r="D3341" s="306"/>
      <c r="E3341" s="421">
        <v>2</v>
      </c>
      <c r="F3341" s="421"/>
      <c r="G3341" s="417" t="s">
        <v>2492</v>
      </c>
      <c r="H3341" s="598"/>
      <c r="I3341" s="322" t="s">
        <v>29</v>
      </c>
      <c r="J3341" s="418"/>
      <c r="K3341" s="248"/>
      <c r="M3341" s="366"/>
      <c r="AF3341">
        <v>2</v>
      </c>
    </row>
    <row r="3342" spans="1:32" x14ac:dyDescent="0.25">
      <c r="A3342" s="308">
        <v>45645</v>
      </c>
      <c r="B3342" s="416">
        <v>930925</v>
      </c>
      <c r="C3342" s="413" t="str">
        <f>IFERROR(INDEX(Table14[],MATCH($B3342,Table14[SAPNo],0),3),"")</f>
        <v>Round 1010 CT109 TSPV 10C (S)</v>
      </c>
      <c r="D3342" s="306"/>
      <c r="E3342" s="421">
        <v>5</v>
      </c>
      <c r="F3342" s="421"/>
      <c r="G3342" s="417" t="s">
        <v>2493</v>
      </c>
      <c r="H3342" s="598"/>
      <c r="I3342" s="322" t="s">
        <v>29</v>
      </c>
      <c r="J3342" s="418"/>
      <c r="K3342" s="248"/>
      <c r="M3342" s="366"/>
      <c r="AF3342">
        <v>5</v>
      </c>
    </row>
    <row r="3343" spans="1:32" x14ac:dyDescent="0.25">
      <c r="A3343" s="320">
        <v>45645</v>
      </c>
      <c r="B3343" s="419">
        <v>1199261</v>
      </c>
      <c r="C3343" s="413" t="str">
        <f>IFERROR(INDEX(Table14[],MATCH($B3343,Table14[SAPNo],0),3),"")</f>
        <v>1010 CT158 0.018"</v>
      </c>
      <c r="D3343" s="306"/>
      <c r="E3343" s="421">
        <v>1</v>
      </c>
      <c r="F3343" s="421"/>
      <c r="G3343" s="420" t="s">
        <v>2493</v>
      </c>
      <c r="H3343" s="599"/>
      <c r="I3343" s="322" t="s">
        <v>29</v>
      </c>
      <c r="J3343" s="421"/>
      <c r="K3343" s="422"/>
      <c r="M3343" s="366"/>
      <c r="AF3343">
        <v>1</v>
      </c>
    </row>
    <row r="3344" spans="1:32" x14ac:dyDescent="0.25">
      <c r="A3344" s="308">
        <v>45649</v>
      </c>
      <c r="B3344" s="416">
        <v>418525</v>
      </c>
      <c r="C3344" s="413" t="str">
        <f>IFERROR(INDEX(Table14[],MATCH($B3344,Table14[SAPNo],0),3),"")</f>
        <v>Drop In 1308 CT31   (B)</v>
      </c>
      <c r="D3344" s="306"/>
      <c r="E3344" s="421">
        <v>6</v>
      </c>
      <c r="F3344" s="421"/>
      <c r="G3344" s="417" t="s">
        <v>2494</v>
      </c>
      <c r="H3344" s="598">
        <v>14254498</v>
      </c>
      <c r="I3344" s="322" t="s">
        <v>2488</v>
      </c>
      <c r="J3344" s="418"/>
      <c r="K3344" s="248"/>
      <c r="M3344" s="422"/>
      <c r="AF3344">
        <v>6</v>
      </c>
    </row>
    <row r="3345" spans="1:32" x14ac:dyDescent="0.25">
      <c r="A3345" s="308">
        <v>45649</v>
      </c>
      <c r="B3345" s="416">
        <v>1288783</v>
      </c>
      <c r="C3345" s="413" t="str">
        <f>IFERROR(INDEX(Table14[],MATCH($B3345,Table14[SAPNo],0),3),"")</f>
        <v>1613 CT179 18-60</v>
      </c>
      <c r="D3345" s="306"/>
      <c r="E3345" s="421">
        <v>9</v>
      </c>
      <c r="F3345" s="421"/>
      <c r="G3345" s="417" t="s">
        <v>2494</v>
      </c>
      <c r="H3345" s="598">
        <v>14254498</v>
      </c>
      <c r="I3345" s="322" t="s">
        <v>2488</v>
      </c>
      <c r="J3345" s="418"/>
      <c r="K3345" s="248"/>
      <c r="M3345" s="366"/>
      <c r="AF3345">
        <v>9</v>
      </c>
    </row>
    <row r="3346" spans="1:32" x14ac:dyDescent="0.25">
      <c r="A3346" s="308">
        <v>45649</v>
      </c>
      <c r="B3346" s="416">
        <v>1288721</v>
      </c>
      <c r="C3346" s="413" t="str">
        <f>IFERROR(INDEX(Table14[],MATCH($B3346,Table14[SAPNo],0),3),"")</f>
        <v>1613 CT176 0.018</v>
      </c>
      <c r="D3346" s="306"/>
      <c r="E3346" s="421">
        <v>3</v>
      </c>
      <c r="F3346" s="421"/>
      <c r="G3346" s="417" t="s">
        <v>2494</v>
      </c>
      <c r="H3346" s="598">
        <v>14254498</v>
      </c>
      <c r="I3346" s="322" t="s">
        <v>2488</v>
      </c>
      <c r="J3346" s="418"/>
      <c r="K3346" s="248"/>
      <c r="M3346" s="366"/>
      <c r="AF3346">
        <v>3</v>
      </c>
    </row>
    <row r="3347" spans="1:32" x14ac:dyDescent="0.25">
      <c r="A3347" s="308">
        <v>45649</v>
      </c>
      <c r="B3347" s="416">
        <v>1271790</v>
      </c>
      <c r="C3347" s="413" t="str">
        <f>IFERROR(INDEX(Table14[],MATCH($B3347,Table14[SAPNo],0),3),"")</f>
        <v xml:space="preserve">1613 CT170 18-60 </v>
      </c>
      <c r="D3347" s="306"/>
      <c r="E3347" s="421">
        <v>9</v>
      </c>
      <c r="F3347" s="421"/>
      <c r="G3347" s="417" t="s">
        <v>2494</v>
      </c>
      <c r="H3347" s="598">
        <v>14254498</v>
      </c>
      <c r="I3347" s="322" t="s">
        <v>2488</v>
      </c>
      <c r="J3347" s="418"/>
      <c r="K3347" s="248"/>
      <c r="M3347" s="366"/>
      <c r="AF3347">
        <v>9</v>
      </c>
    </row>
    <row r="3348" spans="1:32" x14ac:dyDescent="0.25">
      <c r="A3348" s="308">
        <v>45649</v>
      </c>
      <c r="B3348" s="416">
        <v>1208601</v>
      </c>
      <c r="C3348" s="413" t="str">
        <f>IFERROR(INDEX(Table14[],MATCH($B3348,Table14[SAPNo],0),3),"")</f>
        <v>1613 CT418 U-60</v>
      </c>
      <c r="D3348" s="306"/>
      <c r="E3348" s="421">
        <v>7</v>
      </c>
      <c r="F3348" s="421"/>
      <c r="G3348" s="417" t="s">
        <v>2494</v>
      </c>
      <c r="H3348" s="598">
        <v>14254498</v>
      </c>
      <c r="I3348" s="322" t="s">
        <v>2488</v>
      </c>
      <c r="J3348" s="418"/>
      <c r="K3348" s="248"/>
      <c r="M3348" s="366"/>
      <c r="AF3348">
        <v>7</v>
      </c>
    </row>
    <row r="3349" spans="1:32" x14ac:dyDescent="0.25">
      <c r="A3349" s="308">
        <v>45649</v>
      </c>
      <c r="B3349" s="416">
        <v>1146737</v>
      </c>
      <c r="C3349" s="413" t="str">
        <f>IFERROR(INDEX(Table14[],MATCH($B3349,Table14[SAPNo],0),3),"")</f>
        <v>1613 CT418 18-60</v>
      </c>
      <c r="D3349" s="306"/>
      <c r="E3349" s="421">
        <v>3</v>
      </c>
      <c r="F3349" s="421"/>
      <c r="G3349" s="417" t="s">
        <v>2494</v>
      </c>
      <c r="H3349" s="598">
        <v>14254498</v>
      </c>
      <c r="I3349" s="322" t="s">
        <v>2488</v>
      </c>
      <c r="J3349" s="418"/>
      <c r="K3349" s="248"/>
      <c r="M3349" s="366"/>
      <c r="AF3349">
        <v>3</v>
      </c>
    </row>
    <row r="3350" spans="1:32" x14ac:dyDescent="0.25">
      <c r="A3350" s="308">
        <v>45649</v>
      </c>
      <c r="B3350" s="416">
        <v>1078377</v>
      </c>
      <c r="C3350" s="413" t="str">
        <f>IFERROR(INDEX(Table14[],MATCH($B3350,Table14[SAPNo],0),3),"")</f>
        <v>13MM CT221 R1</v>
      </c>
      <c r="D3350" s="306"/>
      <c r="E3350" s="421">
        <v>15</v>
      </c>
      <c r="F3350" s="421"/>
      <c r="G3350" s="417" t="s">
        <v>2494</v>
      </c>
      <c r="H3350" s="598">
        <v>14254498</v>
      </c>
      <c r="I3350" s="322" t="s">
        <v>2488</v>
      </c>
      <c r="J3350" s="418"/>
      <c r="K3350" s="248"/>
      <c r="M3350" s="366"/>
      <c r="AF3350">
        <v>15</v>
      </c>
    </row>
    <row r="3351" spans="1:32" x14ac:dyDescent="0.25">
      <c r="A3351" s="308">
        <v>45649</v>
      </c>
      <c r="B3351" s="416">
        <v>871781</v>
      </c>
      <c r="C3351" s="413" t="str">
        <f>IFERROR(INDEX(Table14[],MATCH($B3351,Table14[SAPNo],0),3),"")</f>
        <v>Round 1313 CT200  0.018" (B)</v>
      </c>
      <c r="D3351" s="306"/>
      <c r="E3351" s="421">
        <v>6</v>
      </c>
      <c r="F3351" s="421"/>
      <c r="G3351" s="417" t="s">
        <v>2495</v>
      </c>
      <c r="H3351" s="598">
        <v>14242606</v>
      </c>
      <c r="I3351" s="322" t="s">
        <v>2009</v>
      </c>
      <c r="J3351" s="418"/>
      <c r="K3351" s="248"/>
      <c r="M3351" s="366"/>
      <c r="AF3351">
        <v>6</v>
      </c>
    </row>
    <row r="3352" spans="1:32" x14ac:dyDescent="0.25">
      <c r="A3352" s="308">
        <v>45649</v>
      </c>
      <c r="B3352" s="2" t="s">
        <v>1123</v>
      </c>
      <c r="C3352" s="413" t="str">
        <f>IFERROR(INDEX(Table14[],MATCH($B3352,Table14[SAPNo],0),3),"")</f>
        <v/>
      </c>
      <c r="D3352" s="306"/>
      <c r="E3352" s="421">
        <v>33</v>
      </c>
      <c r="F3352" s="421"/>
      <c r="G3352" s="417" t="s">
        <v>2495</v>
      </c>
      <c r="H3352" s="598">
        <v>14242606</v>
      </c>
      <c r="I3352" s="322" t="s">
        <v>2009</v>
      </c>
      <c r="J3352" s="418"/>
      <c r="K3352" s="248"/>
      <c r="M3352" s="366"/>
      <c r="AF3352">
        <v>33</v>
      </c>
    </row>
    <row r="3353" spans="1:32" x14ac:dyDescent="0.25">
      <c r="A3353" s="308">
        <v>45649</v>
      </c>
      <c r="B3353" s="416">
        <v>647435</v>
      </c>
      <c r="C3353" s="413" t="str">
        <f>IFERROR(INDEX(Table14[],MATCH($B3353,Table14[SAPNo],0),3),"")</f>
        <v>Round 1608 CT200  0.018" (B)</v>
      </c>
      <c r="D3353" s="306"/>
      <c r="E3353" s="421">
        <v>23</v>
      </c>
      <c r="F3353" s="421"/>
      <c r="G3353" s="417" t="s">
        <v>2495</v>
      </c>
      <c r="H3353" s="598">
        <v>14242606</v>
      </c>
      <c r="I3353" s="322" t="s">
        <v>2009</v>
      </c>
      <c r="J3353" s="418"/>
      <c r="K3353" s="248"/>
      <c r="M3353" s="366"/>
      <c r="AF3353">
        <v>23</v>
      </c>
    </row>
    <row r="3354" spans="1:32" x14ac:dyDescent="0.25">
      <c r="A3354" s="308">
        <v>45649</v>
      </c>
      <c r="B3354" s="416">
        <v>780654</v>
      </c>
      <c r="C3354" s="413" t="str">
        <f>IFERROR(INDEX(Table14[],MATCH($B3354,Table14[SAPNo],0),3),"")</f>
        <v>Round 1010 CT80  10C (B)</v>
      </c>
      <c r="D3354" s="306"/>
      <c r="E3354" s="421">
        <v>1</v>
      </c>
      <c r="F3354" s="421"/>
      <c r="G3354" s="417" t="s">
        <v>2496</v>
      </c>
      <c r="H3354" s="598"/>
      <c r="I3354" s="322" t="s">
        <v>29</v>
      </c>
      <c r="J3354" s="418"/>
      <c r="K3354" s="248"/>
      <c r="M3354" s="366"/>
      <c r="AF3354">
        <v>1</v>
      </c>
    </row>
    <row r="3355" spans="1:32" x14ac:dyDescent="0.25">
      <c r="A3355" s="320">
        <v>45649</v>
      </c>
      <c r="B3355" s="419">
        <v>1199261</v>
      </c>
      <c r="C3355" s="413" t="str">
        <f>IFERROR(INDEX(Table14[],MATCH($B3355,Table14[SAPNo],0),3),"")</f>
        <v>1010 CT158 0.018"</v>
      </c>
      <c r="D3355" s="306"/>
      <c r="E3355" s="421">
        <v>3</v>
      </c>
      <c r="F3355" s="421"/>
      <c r="G3355" s="420" t="s">
        <v>2496</v>
      </c>
      <c r="H3355" s="599"/>
      <c r="I3355" s="322" t="s">
        <v>29</v>
      </c>
      <c r="J3355" s="421"/>
      <c r="K3355" s="422"/>
      <c r="M3355" s="366"/>
      <c r="AF3355">
        <v>3</v>
      </c>
    </row>
    <row r="3356" spans="1:32" x14ac:dyDescent="0.25">
      <c r="A3356" s="308">
        <v>45650</v>
      </c>
      <c r="B3356" s="416">
        <v>1100696</v>
      </c>
      <c r="C3356" s="413" t="str">
        <f>IFERROR(INDEX(Table14[],MATCH($B3356,Table14[SAPNo],0),3),"")</f>
        <v>Round 1313 CT418  10C (S)</v>
      </c>
      <c r="D3356" s="306"/>
      <c r="E3356" s="421">
        <v>2</v>
      </c>
      <c r="F3356" s="421"/>
      <c r="G3356" s="417" t="s">
        <v>2497</v>
      </c>
      <c r="H3356" s="598"/>
      <c r="I3356" s="322" t="s">
        <v>29</v>
      </c>
      <c r="J3356" s="418"/>
      <c r="K3356" s="248"/>
      <c r="M3356" s="422"/>
      <c r="AF3356">
        <v>2</v>
      </c>
    </row>
    <row r="3357" spans="1:32" x14ac:dyDescent="0.25">
      <c r="A3357" s="308">
        <v>45650</v>
      </c>
      <c r="B3357" s="416">
        <v>871781</v>
      </c>
      <c r="C3357" s="413" t="str">
        <f>IFERROR(INDEX(Table14[],MATCH($B3357,Table14[SAPNo],0),3),"")</f>
        <v>Round 1313 CT200  0.018" (B)</v>
      </c>
      <c r="D3357" s="306"/>
      <c r="E3357" s="421">
        <v>6</v>
      </c>
      <c r="F3357" s="421"/>
      <c r="G3357" s="417" t="s">
        <v>2498</v>
      </c>
      <c r="H3357" s="598">
        <v>14247162</v>
      </c>
      <c r="I3357" s="322" t="s">
        <v>1175</v>
      </c>
      <c r="J3357" s="418"/>
      <c r="K3357" s="248"/>
      <c r="M3357" s="366"/>
      <c r="AF3357">
        <v>6</v>
      </c>
    </row>
    <row r="3358" spans="1:32" x14ac:dyDescent="0.25">
      <c r="A3358" s="308">
        <v>45650</v>
      </c>
      <c r="B3358" s="416">
        <v>1261321</v>
      </c>
      <c r="C3358" s="413" t="str">
        <f>IFERROR(INDEX(Table14[],MATCH($B3358,Table14[SAPNo],0),3),"")</f>
        <v>1613 CT155 U-60</v>
      </c>
      <c r="D3358" s="306"/>
      <c r="E3358" s="421">
        <v>4</v>
      </c>
      <c r="F3358" s="421"/>
      <c r="G3358" s="417" t="s">
        <v>2498</v>
      </c>
      <c r="H3358" s="598">
        <v>14247162</v>
      </c>
      <c r="I3358" s="322" t="s">
        <v>1175</v>
      </c>
      <c r="J3358" s="418"/>
      <c r="K3358" s="248"/>
      <c r="M3358" s="366"/>
      <c r="AF3358">
        <v>4</v>
      </c>
    </row>
    <row r="3359" spans="1:32" x14ac:dyDescent="0.25">
      <c r="A3359" s="308">
        <v>45650</v>
      </c>
      <c r="B3359" s="416">
        <v>1261320</v>
      </c>
      <c r="C3359" s="413" t="str">
        <f>IFERROR(INDEX(Table14[],MATCH($B3359,Table14[SAPNo],0),3),"")</f>
        <v>1313 CT155 U-60</v>
      </c>
      <c r="D3359" s="306"/>
      <c r="E3359" s="421">
        <v>6</v>
      </c>
      <c r="F3359" s="421"/>
      <c r="G3359" s="417" t="s">
        <v>2498</v>
      </c>
      <c r="H3359" s="598">
        <v>14247162</v>
      </c>
      <c r="I3359" s="322" t="s">
        <v>1175</v>
      </c>
      <c r="J3359" s="418"/>
      <c r="K3359" s="248"/>
      <c r="M3359" s="366"/>
      <c r="AF3359">
        <v>6</v>
      </c>
    </row>
    <row r="3360" spans="1:32" x14ac:dyDescent="0.25">
      <c r="A3360" s="308">
        <v>45650</v>
      </c>
      <c r="B3360" s="416">
        <v>1261319</v>
      </c>
      <c r="C3360" s="413" t="str">
        <f>IFERROR(INDEX(Table14[],MATCH($B3360,Table14[SAPNo],0),3),"")</f>
        <v>1308 CT155 U-60</v>
      </c>
      <c r="D3360" s="306"/>
      <c r="E3360" s="421">
        <v>24</v>
      </c>
      <c r="F3360" s="421"/>
      <c r="G3360" s="417" t="s">
        <v>2498</v>
      </c>
      <c r="H3360" s="598">
        <v>14247162</v>
      </c>
      <c r="I3360" s="322" t="s">
        <v>1175</v>
      </c>
      <c r="J3360" s="418"/>
      <c r="K3360" s="248"/>
      <c r="M3360" s="366"/>
      <c r="AF3360">
        <v>24</v>
      </c>
    </row>
    <row r="3361" spans="1:32" x14ac:dyDescent="0.25">
      <c r="A3361" s="308">
        <v>45650</v>
      </c>
      <c r="B3361" s="416">
        <v>1228503</v>
      </c>
      <c r="C3361" s="413" t="str">
        <f>IFERROR(INDEX(Table14[],MATCH($B3361,Table14[SAPNo],0),3),"")</f>
        <v>1618 CT182 U-60 Ring</v>
      </c>
      <c r="D3361" s="306"/>
      <c r="E3361" s="421">
        <v>10</v>
      </c>
      <c r="F3361" s="421"/>
      <c r="G3361" s="417" t="s">
        <v>2498</v>
      </c>
      <c r="H3361" s="598">
        <v>14247162</v>
      </c>
      <c r="I3361" s="322" t="s">
        <v>1175</v>
      </c>
      <c r="J3361" s="418"/>
      <c r="K3361" s="248"/>
      <c r="M3361" s="366"/>
      <c r="AF3361">
        <v>10</v>
      </c>
    </row>
    <row r="3362" spans="1:32" x14ac:dyDescent="0.25">
      <c r="A3362" s="308">
        <v>45650</v>
      </c>
      <c r="B3362" s="416">
        <v>1228502</v>
      </c>
      <c r="C3362" s="413" t="str">
        <f>IFERROR(INDEX(Table14[],MATCH($B3362,Table14[SAPNo],0),3),"")</f>
        <v>1618 CT182 U-60 Rotor</v>
      </c>
      <c r="D3362" s="306"/>
      <c r="E3362" s="421">
        <v>10</v>
      </c>
      <c r="F3362" s="421"/>
      <c r="G3362" s="417" t="s">
        <v>2498</v>
      </c>
      <c r="H3362" s="598">
        <v>14247162</v>
      </c>
      <c r="I3362" s="322" t="s">
        <v>1175</v>
      </c>
      <c r="J3362" s="418"/>
      <c r="K3362" s="248"/>
      <c r="M3362" s="366"/>
      <c r="AF3362">
        <v>10</v>
      </c>
    </row>
    <row r="3363" spans="1:32" x14ac:dyDescent="0.25">
      <c r="A3363" s="308">
        <v>45650</v>
      </c>
      <c r="B3363" s="416">
        <v>1228501</v>
      </c>
      <c r="C3363" s="413" t="str">
        <f>IFERROR(INDEX(Table14[],MATCH($B3363,Table14[SAPNo],0),3),"")</f>
        <v>1618 CT182 U-60 stator</v>
      </c>
      <c r="D3363" s="306"/>
      <c r="E3363" s="421">
        <v>10</v>
      </c>
      <c r="F3363" s="421"/>
      <c r="G3363" s="417" t="s">
        <v>2498</v>
      </c>
      <c r="H3363" s="598">
        <v>14247162</v>
      </c>
      <c r="I3363" s="322" t="s">
        <v>1175</v>
      </c>
      <c r="J3363" s="418"/>
      <c r="K3363" s="248"/>
      <c r="M3363" s="366"/>
      <c r="AF3363">
        <v>10</v>
      </c>
    </row>
    <row r="3364" spans="1:32" x14ac:dyDescent="0.25">
      <c r="A3364" s="308">
        <v>45650</v>
      </c>
      <c r="B3364" s="416">
        <v>1220554</v>
      </c>
      <c r="C3364" s="413" t="str">
        <f>IFERROR(INDEX(Table14[],MATCH($B3364,Table14[SAPNo],0),3),"")</f>
        <v xml:space="preserve">1618 CT182 U-60 Carbide </v>
      </c>
      <c r="D3364" s="306"/>
      <c r="E3364" s="421">
        <v>10</v>
      </c>
      <c r="F3364" s="421"/>
      <c r="G3364" s="417" t="s">
        <v>2498</v>
      </c>
      <c r="H3364" s="598">
        <v>14247162</v>
      </c>
      <c r="I3364" s="322" t="s">
        <v>1175</v>
      </c>
      <c r="J3364" s="418"/>
      <c r="K3364" s="248"/>
      <c r="M3364" s="366"/>
      <c r="AF3364">
        <v>10</v>
      </c>
    </row>
    <row r="3365" spans="1:32" x14ac:dyDescent="0.25">
      <c r="A3365" s="308">
        <v>45650</v>
      </c>
      <c r="B3365" s="416">
        <v>871781</v>
      </c>
      <c r="C3365" s="413" t="str">
        <f>IFERROR(INDEX(Table14[],MATCH($B3365,Table14[SAPNo],0),3),"")</f>
        <v>Round 1313 CT200  0.018" (B)</v>
      </c>
      <c r="D3365" s="306"/>
      <c r="E3365" s="421">
        <v>6</v>
      </c>
      <c r="F3365" s="421"/>
      <c r="G3365" s="417" t="s">
        <v>2499</v>
      </c>
      <c r="H3365" s="598">
        <v>14280246</v>
      </c>
      <c r="I3365" s="322" t="s">
        <v>2500</v>
      </c>
      <c r="J3365" s="418"/>
      <c r="K3365" s="248"/>
      <c r="M3365" s="366"/>
      <c r="AF3365">
        <v>6</v>
      </c>
    </row>
    <row r="3366" spans="1:32" x14ac:dyDescent="0.25">
      <c r="A3366" s="308">
        <v>45650</v>
      </c>
      <c r="B3366" s="416">
        <v>717751</v>
      </c>
      <c r="C3366" s="413" t="str">
        <f>IFERROR(INDEX(Table14[],MATCH($B3366,Table14[SAPNo],0),3),"")</f>
        <v>Round 1308 CT200  0.018" (B)</v>
      </c>
      <c r="D3366" s="306"/>
      <c r="E3366" s="421">
        <v>16</v>
      </c>
      <c r="F3366" s="421"/>
      <c r="G3366" s="417" t="s">
        <v>2499</v>
      </c>
      <c r="H3366" s="598">
        <v>14280246</v>
      </c>
      <c r="I3366" s="322" t="s">
        <v>2500</v>
      </c>
      <c r="J3366" s="418"/>
      <c r="K3366" s="248"/>
      <c r="M3366" s="366"/>
      <c r="AF3366">
        <v>16</v>
      </c>
    </row>
    <row r="3367" spans="1:32" x14ac:dyDescent="0.25">
      <c r="A3367" s="308">
        <v>45650</v>
      </c>
      <c r="B3367" s="416">
        <v>1271790</v>
      </c>
      <c r="C3367" s="413" t="str">
        <f>IFERROR(INDEX(Table14[],MATCH($B3367,Table14[SAPNo],0),3),"")</f>
        <v xml:space="preserve">1613 CT170 18-60 </v>
      </c>
      <c r="D3367" s="306"/>
      <c r="E3367" s="421">
        <v>3</v>
      </c>
      <c r="F3367" s="421"/>
      <c r="G3367" s="417" t="s">
        <v>2499</v>
      </c>
      <c r="H3367" s="598">
        <v>14280246</v>
      </c>
      <c r="I3367" s="322" t="s">
        <v>2500</v>
      </c>
      <c r="J3367" s="418"/>
      <c r="K3367" s="248"/>
      <c r="M3367" s="366"/>
      <c r="AF3367">
        <v>3</v>
      </c>
    </row>
    <row r="3368" spans="1:32" x14ac:dyDescent="0.25">
      <c r="A3368" s="308">
        <v>45650</v>
      </c>
      <c r="B3368" s="416">
        <v>1263823</v>
      </c>
      <c r="C3368" s="413" t="str">
        <f>IFERROR(INDEX(Table14[],MATCH($B3368,Table14[SAPNo],0),3),"")</f>
        <v>1613 CT170R U</v>
      </c>
      <c r="D3368" s="306"/>
      <c r="E3368" s="421">
        <v>16</v>
      </c>
      <c r="F3368" s="421"/>
      <c r="G3368" s="417" t="s">
        <v>2499</v>
      </c>
      <c r="H3368" s="598">
        <v>14280246</v>
      </c>
      <c r="I3368" s="322" t="s">
        <v>2500</v>
      </c>
      <c r="J3368" s="418"/>
      <c r="K3368" s="248"/>
      <c r="M3368" s="366"/>
      <c r="AF3368">
        <v>16</v>
      </c>
    </row>
    <row r="3369" spans="1:32" x14ac:dyDescent="0.25">
      <c r="A3369" s="320">
        <v>45650</v>
      </c>
      <c r="B3369" s="419">
        <v>1146737</v>
      </c>
      <c r="C3369" s="413" t="str">
        <f>IFERROR(INDEX(Table14[],MATCH($B3369,Table14[SAPNo],0),3),"")</f>
        <v>1613 CT418 18-60</v>
      </c>
      <c r="D3369" s="306"/>
      <c r="E3369" s="421">
        <v>14</v>
      </c>
      <c r="F3369" s="421"/>
      <c r="G3369" s="420" t="s">
        <v>2499</v>
      </c>
      <c r="H3369" s="599">
        <v>14280246</v>
      </c>
      <c r="I3369" s="322" t="s">
        <v>2500</v>
      </c>
      <c r="J3369" s="421"/>
      <c r="K3369" s="422"/>
      <c r="M3369" s="366"/>
      <c r="AF3369">
        <v>14</v>
      </c>
    </row>
    <row r="3370" spans="1:32" x14ac:dyDescent="0.25">
      <c r="A3370" s="308">
        <v>45650</v>
      </c>
      <c r="B3370" s="416">
        <v>871781</v>
      </c>
      <c r="C3370" s="413" t="str">
        <f>IFERROR(INDEX(Table14[],MATCH($B3370,Table14[SAPNo],0),3),"")</f>
        <v>Round 1313 CT200  0.018" (B)</v>
      </c>
      <c r="D3370" s="306"/>
      <c r="E3370" s="421">
        <v>6</v>
      </c>
      <c r="F3370" s="421"/>
      <c r="G3370" s="417" t="s">
        <v>2501</v>
      </c>
      <c r="H3370" s="598">
        <v>14254490</v>
      </c>
      <c r="I3370" s="322" t="s">
        <v>1175</v>
      </c>
      <c r="J3370" s="418"/>
      <c r="K3370" s="248"/>
      <c r="M3370" s="422"/>
      <c r="AF3370">
        <v>6</v>
      </c>
    </row>
    <row r="3371" spans="1:32" x14ac:dyDescent="0.25">
      <c r="A3371" s="308">
        <v>45650</v>
      </c>
      <c r="B3371" s="416">
        <v>1261321</v>
      </c>
      <c r="C3371" s="413" t="str">
        <f>IFERROR(INDEX(Table14[],MATCH($B3371,Table14[SAPNo],0),3),"")</f>
        <v>1613 CT155 U-60</v>
      </c>
      <c r="D3371" s="306"/>
      <c r="E3371" s="421">
        <v>4</v>
      </c>
      <c r="F3371" s="421"/>
      <c r="G3371" s="417" t="s">
        <v>2501</v>
      </c>
      <c r="H3371" s="598">
        <v>14254490</v>
      </c>
      <c r="I3371" s="322" t="s">
        <v>1175</v>
      </c>
      <c r="J3371" s="418"/>
      <c r="K3371" s="248"/>
      <c r="M3371" s="366"/>
      <c r="AF3371">
        <v>4</v>
      </c>
    </row>
    <row r="3372" spans="1:32" x14ac:dyDescent="0.25">
      <c r="A3372" s="308">
        <v>45650</v>
      </c>
      <c r="B3372" s="416">
        <v>1261320</v>
      </c>
      <c r="C3372" s="413" t="str">
        <f>IFERROR(INDEX(Table14[],MATCH($B3372,Table14[SAPNo],0),3),"")</f>
        <v>1313 CT155 U-60</v>
      </c>
      <c r="D3372" s="306"/>
      <c r="E3372" s="421">
        <v>6</v>
      </c>
      <c r="F3372" s="421"/>
      <c r="G3372" s="417" t="s">
        <v>2501</v>
      </c>
      <c r="H3372" s="598">
        <v>14254490</v>
      </c>
      <c r="I3372" s="322" t="s">
        <v>1175</v>
      </c>
      <c r="J3372" s="418"/>
      <c r="K3372" s="248"/>
      <c r="M3372" s="366"/>
      <c r="AF3372">
        <v>6</v>
      </c>
    </row>
    <row r="3373" spans="1:32" x14ac:dyDescent="0.25">
      <c r="A3373" s="308">
        <v>45650</v>
      </c>
      <c r="B3373" s="416">
        <v>1261319</v>
      </c>
      <c r="C3373" s="413" t="str">
        <f>IFERROR(INDEX(Table14[],MATCH($B3373,Table14[SAPNo],0),3),"")</f>
        <v>1308 CT155 U-60</v>
      </c>
      <c r="D3373" s="306"/>
      <c r="E3373" s="421">
        <v>24</v>
      </c>
      <c r="F3373" s="421"/>
      <c r="G3373" s="417" t="s">
        <v>2501</v>
      </c>
      <c r="H3373" s="598">
        <v>14254490</v>
      </c>
      <c r="I3373" s="322" t="s">
        <v>1175</v>
      </c>
      <c r="J3373" s="418"/>
      <c r="K3373" s="248"/>
      <c r="M3373" s="366"/>
      <c r="AF3373">
        <v>24</v>
      </c>
    </row>
    <row r="3374" spans="1:32" x14ac:dyDescent="0.25">
      <c r="A3374" s="308">
        <v>45650</v>
      </c>
      <c r="B3374" s="416">
        <v>1228503</v>
      </c>
      <c r="C3374" s="413" t="str">
        <f>IFERROR(INDEX(Table14[],MATCH($B3374,Table14[SAPNo],0),3),"")</f>
        <v>1618 CT182 U-60 Ring</v>
      </c>
      <c r="D3374" s="306"/>
      <c r="E3374" s="421">
        <v>10</v>
      </c>
      <c r="F3374" s="421"/>
      <c r="G3374" s="417" t="s">
        <v>2501</v>
      </c>
      <c r="H3374" s="598">
        <v>14254490</v>
      </c>
      <c r="I3374" s="322" t="s">
        <v>1175</v>
      </c>
      <c r="J3374" s="418"/>
      <c r="K3374" s="248"/>
      <c r="M3374" s="366"/>
      <c r="AF3374">
        <v>10</v>
      </c>
    </row>
    <row r="3375" spans="1:32" x14ac:dyDescent="0.25">
      <c r="A3375" s="308">
        <v>45650</v>
      </c>
      <c r="B3375" s="416">
        <v>1228502</v>
      </c>
      <c r="C3375" s="413" t="str">
        <f>IFERROR(INDEX(Table14[],MATCH($B3375,Table14[SAPNo],0),3),"")</f>
        <v>1618 CT182 U-60 Rotor</v>
      </c>
      <c r="D3375" s="306"/>
      <c r="E3375" s="421">
        <v>10</v>
      </c>
      <c r="F3375" s="421"/>
      <c r="G3375" s="417" t="s">
        <v>2501</v>
      </c>
      <c r="H3375" s="598">
        <v>14254490</v>
      </c>
      <c r="I3375" s="322" t="s">
        <v>1175</v>
      </c>
      <c r="J3375" s="418"/>
      <c r="K3375" s="248"/>
      <c r="M3375" s="366"/>
      <c r="AF3375">
        <v>10</v>
      </c>
    </row>
    <row r="3376" spans="1:32" x14ac:dyDescent="0.25">
      <c r="A3376" s="308">
        <v>45650</v>
      </c>
      <c r="B3376" s="416">
        <v>1228501</v>
      </c>
      <c r="C3376" s="413" t="str">
        <f>IFERROR(INDEX(Table14[],MATCH($B3376,Table14[SAPNo],0),3),"")</f>
        <v>1618 CT182 U-60 stator</v>
      </c>
      <c r="D3376" s="306"/>
      <c r="E3376" s="421">
        <v>10</v>
      </c>
      <c r="F3376" s="421"/>
      <c r="G3376" s="417" t="s">
        <v>2501</v>
      </c>
      <c r="H3376" s="598">
        <v>14254490</v>
      </c>
      <c r="I3376" s="322" t="s">
        <v>1175</v>
      </c>
      <c r="J3376" s="418"/>
      <c r="K3376" s="248"/>
      <c r="M3376" s="366"/>
      <c r="AF3376">
        <v>10</v>
      </c>
    </row>
    <row r="3377" spans="1:32" x14ac:dyDescent="0.25">
      <c r="A3377" s="320">
        <v>45650</v>
      </c>
      <c r="B3377" s="419">
        <v>1220554</v>
      </c>
      <c r="C3377" s="413" t="str">
        <f>IFERROR(INDEX(Table14[],MATCH($B3377,Table14[SAPNo],0),3),"")</f>
        <v xml:space="preserve">1618 CT182 U-60 Carbide </v>
      </c>
      <c r="D3377" s="306"/>
      <c r="E3377" s="421">
        <v>10</v>
      </c>
      <c r="F3377" s="421"/>
      <c r="G3377" s="417" t="s">
        <v>2501</v>
      </c>
      <c r="H3377" s="599">
        <v>14254490</v>
      </c>
      <c r="I3377" s="322" t="s">
        <v>1175</v>
      </c>
      <c r="J3377" s="421"/>
      <c r="K3377" s="422"/>
      <c r="M3377" s="366"/>
      <c r="AF3377">
        <v>10</v>
      </c>
    </row>
    <row r="3378" spans="1:32" x14ac:dyDescent="0.25">
      <c r="A3378" s="308">
        <v>45650</v>
      </c>
      <c r="B3378" s="416">
        <v>871781</v>
      </c>
      <c r="C3378" s="413" t="str">
        <f>IFERROR(INDEX(Table14[],MATCH($B3378,Table14[SAPNo],0),3),"")</f>
        <v>Round 1313 CT200  0.018" (B)</v>
      </c>
      <c r="D3378" s="306"/>
      <c r="E3378" s="421">
        <v>6</v>
      </c>
      <c r="F3378" s="421"/>
      <c r="G3378" s="417" t="s">
        <v>2502</v>
      </c>
      <c r="H3378" s="598">
        <v>14254489</v>
      </c>
      <c r="I3378" s="322" t="s">
        <v>1175</v>
      </c>
      <c r="J3378" s="418"/>
      <c r="K3378" s="248"/>
      <c r="M3378" s="422"/>
      <c r="AF3378">
        <v>6</v>
      </c>
    </row>
    <row r="3379" spans="1:32" x14ac:dyDescent="0.25">
      <c r="A3379" s="308">
        <v>45650</v>
      </c>
      <c r="B3379" s="416">
        <v>1261321</v>
      </c>
      <c r="C3379" s="413" t="str">
        <f>IFERROR(INDEX(Table14[],MATCH($B3379,Table14[SAPNo],0),3),"")</f>
        <v>1613 CT155 U-60</v>
      </c>
      <c r="D3379" s="306"/>
      <c r="E3379" s="421">
        <v>4</v>
      </c>
      <c r="F3379" s="421"/>
      <c r="G3379" s="417" t="s">
        <v>2502</v>
      </c>
      <c r="H3379" s="598">
        <v>14254489</v>
      </c>
      <c r="I3379" s="322" t="s">
        <v>1175</v>
      </c>
      <c r="J3379" s="418"/>
      <c r="K3379" s="248"/>
      <c r="M3379" s="366"/>
      <c r="AF3379">
        <v>4</v>
      </c>
    </row>
    <row r="3380" spans="1:32" x14ac:dyDescent="0.25">
      <c r="A3380" s="308">
        <v>45650</v>
      </c>
      <c r="B3380" s="416">
        <v>1261320</v>
      </c>
      <c r="C3380" s="413" t="str">
        <f>IFERROR(INDEX(Table14[],MATCH($B3380,Table14[SAPNo],0),3),"")</f>
        <v>1313 CT155 U-60</v>
      </c>
      <c r="D3380" s="306"/>
      <c r="E3380" s="421">
        <v>6</v>
      </c>
      <c r="F3380" s="421"/>
      <c r="G3380" s="417" t="s">
        <v>2502</v>
      </c>
      <c r="H3380" s="598">
        <v>14254489</v>
      </c>
      <c r="I3380" s="322" t="s">
        <v>1175</v>
      </c>
      <c r="J3380" s="418"/>
      <c r="K3380" s="248"/>
      <c r="M3380" s="366"/>
      <c r="AF3380">
        <v>6</v>
      </c>
    </row>
    <row r="3381" spans="1:32" x14ac:dyDescent="0.25">
      <c r="A3381" s="308">
        <v>45650</v>
      </c>
      <c r="B3381" s="416">
        <v>1261319</v>
      </c>
      <c r="C3381" s="413" t="str">
        <f>IFERROR(INDEX(Table14[],MATCH($B3381,Table14[SAPNo],0),3),"")</f>
        <v>1308 CT155 U-60</v>
      </c>
      <c r="D3381" s="306"/>
      <c r="E3381" s="421">
        <v>24</v>
      </c>
      <c r="F3381" s="421"/>
      <c r="G3381" s="417" t="s">
        <v>2502</v>
      </c>
      <c r="H3381" s="598">
        <v>14254489</v>
      </c>
      <c r="I3381" s="322" t="s">
        <v>1175</v>
      </c>
      <c r="J3381" s="418"/>
      <c r="K3381" s="248"/>
      <c r="M3381" s="366"/>
      <c r="AF3381">
        <v>24</v>
      </c>
    </row>
    <row r="3382" spans="1:32" x14ac:dyDescent="0.25">
      <c r="A3382" s="308">
        <v>45650</v>
      </c>
      <c r="B3382" s="416">
        <v>1228503</v>
      </c>
      <c r="C3382" s="413" t="str">
        <f>IFERROR(INDEX(Table14[],MATCH($B3382,Table14[SAPNo],0),3),"")</f>
        <v>1618 CT182 U-60 Ring</v>
      </c>
      <c r="D3382" s="306"/>
      <c r="E3382" s="421">
        <v>10</v>
      </c>
      <c r="F3382" s="421"/>
      <c r="G3382" s="417" t="s">
        <v>2502</v>
      </c>
      <c r="H3382" s="598">
        <v>14254489</v>
      </c>
      <c r="I3382" s="322" t="s">
        <v>1175</v>
      </c>
      <c r="J3382" s="418"/>
      <c r="K3382" s="248"/>
      <c r="M3382" s="366"/>
      <c r="AF3382">
        <v>10</v>
      </c>
    </row>
    <row r="3383" spans="1:32" x14ac:dyDescent="0.25">
      <c r="A3383" s="308">
        <v>45650</v>
      </c>
      <c r="B3383" s="416">
        <v>1228502</v>
      </c>
      <c r="C3383" s="413" t="str">
        <f>IFERROR(INDEX(Table14[],MATCH($B3383,Table14[SAPNo],0),3),"")</f>
        <v>1618 CT182 U-60 Rotor</v>
      </c>
      <c r="D3383" s="306"/>
      <c r="E3383" s="421">
        <v>10</v>
      </c>
      <c r="F3383" s="421"/>
      <c r="G3383" s="417" t="s">
        <v>2502</v>
      </c>
      <c r="H3383" s="598">
        <v>14254489</v>
      </c>
      <c r="I3383" s="322" t="s">
        <v>1175</v>
      </c>
      <c r="J3383" s="418"/>
      <c r="K3383" s="248"/>
      <c r="M3383" s="366"/>
      <c r="AF3383">
        <v>10</v>
      </c>
    </row>
    <row r="3384" spans="1:32" x14ac:dyDescent="0.25">
      <c r="A3384" s="308">
        <v>45650</v>
      </c>
      <c r="B3384" s="416">
        <v>1228501</v>
      </c>
      <c r="C3384" s="413" t="str">
        <f>IFERROR(INDEX(Table14[],MATCH($B3384,Table14[SAPNo],0),3),"")</f>
        <v>1618 CT182 U-60 stator</v>
      </c>
      <c r="D3384" s="306"/>
      <c r="E3384" s="421">
        <v>10</v>
      </c>
      <c r="F3384" s="421"/>
      <c r="G3384" s="417" t="s">
        <v>2502</v>
      </c>
      <c r="H3384" s="598">
        <v>14254489</v>
      </c>
      <c r="I3384" s="322" t="s">
        <v>1175</v>
      </c>
      <c r="J3384" s="418"/>
      <c r="K3384" s="248"/>
      <c r="M3384" s="366"/>
      <c r="AF3384">
        <v>10</v>
      </c>
    </row>
    <row r="3385" spans="1:32" s="586" customFormat="1" x14ac:dyDescent="0.25">
      <c r="A3385" s="581">
        <v>45650</v>
      </c>
      <c r="B3385" s="582">
        <v>1220554</v>
      </c>
      <c r="C3385" s="635" t="str">
        <f>IFERROR(INDEX(Table14[],MATCH($B3385,Table14[SAPNo],0),3),"")</f>
        <v xml:space="preserve">1618 CT182 U-60 Carbide </v>
      </c>
      <c r="D3385" s="306"/>
      <c r="E3385" s="583">
        <v>11</v>
      </c>
      <c r="F3385" s="583"/>
      <c r="G3385" s="584" t="s">
        <v>2502</v>
      </c>
      <c r="H3385" s="600">
        <v>14254489</v>
      </c>
      <c r="I3385" s="585" t="s">
        <v>1175</v>
      </c>
      <c r="J3385" s="583"/>
      <c r="K3385" s="423"/>
      <c r="M3385" s="587"/>
      <c r="Q3385" s="588"/>
      <c r="R3385" s="588"/>
      <c r="S3385" s="588"/>
      <c r="W3385" s="589"/>
      <c r="X3385" s="588"/>
      <c r="Y3385" s="588"/>
      <c r="Z3385" s="588"/>
      <c r="AA3385" s="589"/>
      <c r="AF3385" s="586">
        <v>10</v>
      </c>
    </row>
    <row r="3386" spans="1:32" x14ac:dyDescent="0.25">
      <c r="A3386" s="308">
        <v>45651</v>
      </c>
      <c r="B3386" s="416">
        <v>418525</v>
      </c>
      <c r="C3386" s="413" t="str">
        <f>IFERROR(INDEX(Table14[],MATCH($B3386,Table14[SAPNo],0),3),"")</f>
        <v>Drop In 1308 CT31   (B)</v>
      </c>
      <c r="D3386" s="306" t="s">
        <v>12</v>
      </c>
      <c r="E3386" s="421">
        <v>1</v>
      </c>
      <c r="F3386" s="421"/>
      <c r="G3386" s="417">
        <v>20241207</v>
      </c>
      <c r="H3386" s="598" t="s">
        <v>2503</v>
      </c>
      <c r="I3386" s="322" t="s">
        <v>2441</v>
      </c>
      <c r="J3386" s="418"/>
      <c r="K3386" s="248"/>
      <c r="M3386" s="422"/>
    </row>
    <row r="3387" spans="1:32" x14ac:dyDescent="0.25">
      <c r="A3387" s="308">
        <v>45651</v>
      </c>
      <c r="B3387" s="416">
        <v>1244299</v>
      </c>
      <c r="C3387" s="413" t="str">
        <f>IFERROR(INDEX(Table14[],MATCH($B3387,Table14[SAPNo],0),3),"")</f>
        <v>1313 CT147CV4 U</v>
      </c>
      <c r="D3387" s="306" t="s">
        <v>12</v>
      </c>
      <c r="E3387" s="421">
        <v>2</v>
      </c>
      <c r="F3387" s="580"/>
      <c r="G3387" s="417">
        <v>20241207</v>
      </c>
      <c r="H3387" s="598" t="s">
        <v>2503</v>
      </c>
      <c r="I3387" s="322" t="s">
        <v>2441</v>
      </c>
      <c r="J3387" s="418"/>
      <c r="K3387" s="248"/>
      <c r="M3387" s="366"/>
    </row>
    <row r="3388" spans="1:32" x14ac:dyDescent="0.25">
      <c r="A3388" s="308">
        <v>45651</v>
      </c>
      <c r="B3388" s="416">
        <v>1100696</v>
      </c>
      <c r="C3388" s="413" t="str">
        <f>IFERROR(INDEX(Table14[],MATCH($B3388,Table14[SAPNo],0),3),"")</f>
        <v>Round 1313 CT418  10C (S)</v>
      </c>
      <c r="D3388" s="306" t="s">
        <v>12</v>
      </c>
      <c r="E3388" s="421">
        <v>3</v>
      </c>
      <c r="F3388" s="580"/>
      <c r="G3388" s="417">
        <v>20241207</v>
      </c>
      <c r="H3388" s="598" t="s">
        <v>2503</v>
      </c>
      <c r="I3388" s="322" t="s">
        <v>2441</v>
      </c>
      <c r="J3388" s="418"/>
      <c r="K3388" s="248"/>
      <c r="M3388" s="366"/>
    </row>
    <row r="3389" spans="1:32" x14ac:dyDescent="0.25">
      <c r="A3389" s="308">
        <v>45651</v>
      </c>
      <c r="B3389" s="416">
        <v>1130198</v>
      </c>
      <c r="C3389" s="413" t="str">
        <f>IFERROR(INDEX(Table14[],MATCH($B3389,Table14[SAPNo],0),3),"")</f>
        <v>Round 1613 CT182  0.018" (S)</v>
      </c>
      <c r="D3389" s="306" t="s">
        <v>12</v>
      </c>
      <c r="E3389" s="421">
        <v>3</v>
      </c>
      <c r="F3389" s="580"/>
      <c r="G3389" s="417" t="s">
        <v>2504</v>
      </c>
      <c r="H3389" s="598">
        <v>14228463</v>
      </c>
      <c r="I3389" s="322" t="s">
        <v>1071</v>
      </c>
      <c r="J3389" s="418"/>
      <c r="K3389" s="248"/>
      <c r="M3389" s="366"/>
    </row>
    <row r="3390" spans="1:32" x14ac:dyDescent="0.25">
      <c r="A3390" s="308">
        <v>45651</v>
      </c>
      <c r="B3390" s="416">
        <v>1130193</v>
      </c>
      <c r="C3390" s="413" t="str">
        <f>IFERROR(INDEX(Table14[],MATCH($B3390,Table14[SAPNo],0),3),"")</f>
        <v xml:space="preserve"> 1005 CT182  0.018 (S)</v>
      </c>
      <c r="D3390" s="306" t="s">
        <v>12</v>
      </c>
      <c r="E3390" s="421">
        <v>8</v>
      </c>
      <c r="F3390" s="580"/>
      <c r="G3390" s="417" t="s">
        <v>2505</v>
      </c>
      <c r="H3390" s="598">
        <v>14279671</v>
      </c>
      <c r="I3390" s="322" t="s">
        <v>1199</v>
      </c>
      <c r="J3390" s="418"/>
      <c r="K3390" s="248"/>
      <c r="M3390" s="366"/>
    </row>
    <row r="3391" spans="1:32" x14ac:dyDescent="0.25">
      <c r="A3391" s="308">
        <v>45651</v>
      </c>
      <c r="B3391" s="416">
        <v>1130194</v>
      </c>
      <c r="C3391" s="413" t="str">
        <f>IFERROR(INDEX(Table14[],MATCH($B3391,Table14[SAPNo],0),3),"")</f>
        <v>1010 CT182 18C</v>
      </c>
      <c r="D3391" s="306" t="s">
        <v>12</v>
      </c>
      <c r="E3391" s="421">
        <v>26</v>
      </c>
      <c r="F3391" s="580"/>
      <c r="G3391" s="417" t="s">
        <v>2505</v>
      </c>
      <c r="H3391" s="598">
        <v>14279671</v>
      </c>
      <c r="I3391" s="322" t="s">
        <v>1199</v>
      </c>
      <c r="J3391" s="418"/>
      <c r="K3391" s="248"/>
      <c r="M3391" s="366"/>
    </row>
    <row r="3392" spans="1:32" x14ac:dyDescent="0.25">
      <c r="A3392" s="308">
        <v>45651</v>
      </c>
      <c r="B3392" s="416">
        <v>882800</v>
      </c>
      <c r="C3392" s="413" t="str">
        <f>IFERROR(INDEX(Table14[],MATCH($B3392,Table14[SAPNo],0),3),"")</f>
        <v>Round 0808 CT80  0.018" (B)</v>
      </c>
      <c r="D3392" s="306" t="s">
        <v>12</v>
      </c>
      <c r="E3392" s="421">
        <v>10</v>
      </c>
      <c r="F3392" s="580"/>
      <c r="G3392" s="417" t="s">
        <v>2505</v>
      </c>
      <c r="H3392" s="598">
        <v>14279671</v>
      </c>
      <c r="I3392" s="322" t="s">
        <v>1199</v>
      </c>
      <c r="J3392" s="418"/>
      <c r="K3392" s="248"/>
      <c r="M3392" s="366"/>
    </row>
    <row r="3393" spans="1:13" x14ac:dyDescent="0.25">
      <c r="A3393" s="308">
        <v>45651</v>
      </c>
      <c r="B3393" s="416">
        <v>882800</v>
      </c>
      <c r="C3393" s="413" t="str">
        <f>IFERROR(INDEX(Table14[],MATCH($B3393,Table14[SAPNo],0),3),"")</f>
        <v>Round 0808 CT80  0.018" (B)</v>
      </c>
      <c r="D3393" s="306" t="s">
        <v>12</v>
      </c>
      <c r="E3393" s="421">
        <v>10</v>
      </c>
      <c r="F3393" s="580"/>
      <c r="G3393" s="417" t="s">
        <v>2506</v>
      </c>
      <c r="H3393" s="598">
        <v>14293143</v>
      </c>
      <c r="I3393" s="322" t="s">
        <v>1137</v>
      </c>
      <c r="J3393" s="418"/>
      <c r="K3393" s="248"/>
      <c r="M3393" s="366"/>
    </row>
    <row r="3394" spans="1:13" x14ac:dyDescent="0.25">
      <c r="A3394" s="308">
        <v>45651</v>
      </c>
      <c r="B3394" s="416">
        <v>773384</v>
      </c>
      <c r="C3394" s="413" t="str">
        <f>IFERROR(INDEX(Table14[],MATCH($B3394,Table14[SAPNo],0),3),"")</f>
        <v>Round 1005 CT200  0.018" (B)</v>
      </c>
      <c r="D3394" s="306" t="s">
        <v>12</v>
      </c>
      <c r="E3394" s="421">
        <v>10</v>
      </c>
      <c r="F3394" s="580"/>
      <c r="G3394" s="417" t="s">
        <v>2506</v>
      </c>
      <c r="H3394" s="598">
        <v>14293143</v>
      </c>
      <c r="I3394" s="322" t="s">
        <v>1137</v>
      </c>
      <c r="J3394" s="418"/>
      <c r="K3394" s="248"/>
      <c r="M3394" s="366"/>
    </row>
    <row r="3395" spans="1:13" x14ac:dyDescent="0.25">
      <c r="A3395" s="308">
        <v>45651</v>
      </c>
      <c r="B3395" s="416">
        <v>717748</v>
      </c>
      <c r="C3395" s="413" t="str">
        <f>IFERROR(INDEX(Table14[],MATCH($B3395,Table14[SAPNo],0),3),"")</f>
        <v>Round 1010 CT200  0.018" (B)</v>
      </c>
      <c r="D3395" s="306" t="s">
        <v>12</v>
      </c>
      <c r="E3395" s="421">
        <v>23</v>
      </c>
      <c r="F3395" s="580"/>
      <c r="G3395" s="417" t="s">
        <v>2506</v>
      </c>
      <c r="H3395" s="598">
        <v>14293143</v>
      </c>
      <c r="I3395" s="322" t="s">
        <v>1137</v>
      </c>
      <c r="J3395" s="418"/>
      <c r="K3395" s="248"/>
      <c r="M3395" s="366"/>
    </row>
    <row r="3396" spans="1:13" x14ac:dyDescent="0.25">
      <c r="A3396" s="308">
        <v>45651</v>
      </c>
      <c r="B3396" s="416">
        <v>773384</v>
      </c>
      <c r="C3396" s="413" t="str">
        <f>IFERROR(INDEX(Table14[],MATCH($B3396,Table14[SAPNo],0),3),"")</f>
        <v>Round 1005 CT200  0.018" (B)</v>
      </c>
      <c r="D3396" s="306" t="s">
        <v>12</v>
      </c>
      <c r="E3396" s="421">
        <v>10</v>
      </c>
      <c r="F3396" s="580"/>
      <c r="G3396" s="417" t="s">
        <v>2507</v>
      </c>
      <c r="H3396" s="598">
        <v>14293144</v>
      </c>
      <c r="I3396" s="322" t="s">
        <v>1137</v>
      </c>
      <c r="J3396" s="418"/>
      <c r="K3396" s="248"/>
      <c r="M3396" s="366"/>
    </row>
    <row r="3397" spans="1:13" x14ac:dyDescent="0.25">
      <c r="A3397" s="308">
        <v>45651</v>
      </c>
      <c r="B3397" s="416">
        <v>717748</v>
      </c>
      <c r="C3397" s="413" t="str">
        <f>IFERROR(INDEX(Table14[],MATCH($B3397,Table14[SAPNo],0),3),"")</f>
        <v>Round 1010 CT200  0.018" (B)</v>
      </c>
      <c r="D3397" s="306" t="s">
        <v>12</v>
      </c>
      <c r="E3397" s="421">
        <v>23</v>
      </c>
      <c r="F3397" s="580"/>
      <c r="G3397" s="417" t="s">
        <v>2507</v>
      </c>
      <c r="H3397" s="598">
        <v>14293144</v>
      </c>
      <c r="I3397" s="322" t="s">
        <v>1137</v>
      </c>
      <c r="J3397" s="418"/>
      <c r="K3397" s="248"/>
      <c r="M3397" s="366"/>
    </row>
    <row r="3398" spans="1:13" x14ac:dyDescent="0.25">
      <c r="A3398" s="308">
        <v>45651</v>
      </c>
      <c r="B3398" s="416">
        <v>882800</v>
      </c>
      <c r="C3398" s="413" t="str">
        <f>IFERROR(INDEX(Table14[],MATCH($B3398,Table14[SAPNo],0),3),"")</f>
        <v>Round 0808 CT80  0.018" (B)</v>
      </c>
      <c r="D3398" s="306" t="s">
        <v>12</v>
      </c>
      <c r="E3398" s="421">
        <v>10</v>
      </c>
      <c r="F3398" s="580"/>
      <c r="G3398" s="417" t="s">
        <v>2507</v>
      </c>
      <c r="H3398" s="598">
        <v>14293144</v>
      </c>
      <c r="I3398" s="322" t="s">
        <v>1137</v>
      </c>
      <c r="J3398" s="418"/>
      <c r="K3398" s="248"/>
      <c r="M3398" s="366"/>
    </row>
    <row r="3399" spans="1:13" x14ac:dyDescent="0.25">
      <c r="A3399" s="308">
        <v>45651</v>
      </c>
      <c r="B3399" s="416">
        <v>1228501</v>
      </c>
      <c r="C3399" s="413" t="str">
        <f>IFERROR(INDEX(Table14[],MATCH($B3399,Table14[SAPNo],0),3),"")</f>
        <v>1618 CT182 U-60 stator</v>
      </c>
      <c r="D3399" s="306" t="s">
        <v>12</v>
      </c>
      <c r="E3399" s="421">
        <v>1</v>
      </c>
      <c r="F3399" s="580"/>
      <c r="G3399" s="417" t="s">
        <v>2502</v>
      </c>
      <c r="H3399" s="598">
        <v>14254489</v>
      </c>
      <c r="I3399" s="322" t="s">
        <v>1175</v>
      </c>
      <c r="J3399" s="418"/>
      <c r="K3399" s="248"/>
      <c r="M3399" s="366"/>
    </row>
    <row r="3400" spans="1:13" x14ac:dyDescent="0.25">
      <c r="A3400" s="308">
        <v>45643</v>
      </c>
      <c r="B3400" s="416">
        <v>1271790</v>
      </c>
      <c r="C3400" s="413" t="str">
        <f>IFERROR(INDEX(Table14[],MATCH($B3400,Table14[SAPNo],0),3),"")</f>
        <v xml:space="preserve">1613 CT170 18-60 </v>
      </c>
      <c r="D3400" s="306"/>
      <c r="E3400" s="421">
        <v>5</v>
      </c>
      <c r="F3400" s="580"/>
      <c r="G3400" s="417" t="s">
        <v>2481</v>
      </c>
      <c r="H3400" s="598" t="s">
        <v>2482</v>
      </c>
      <c r="I3400" s="322" t="s">
        <v>2179</v>
      </c>
      <c r="J3400" s="418"/>
      <c r="K3400" s="248"/>
      <c r="M3400" s="366"/>
    </row>
    <row r="3401" spans="1:13" x14ac:dyDescent="0.25">
      <c r="A3401" s="308">
        <v>45643</v>
      </c>
      <c r="B3401" s="416">
        <v>1146737</v>
      </c>
      <c r="C3401" s="413" t="str">
        <f>IFERROR(INDEX(Table14[],MATCH($B3401,Table14[SAPNo],0),3),"")</f>
        <v>1613 CT418 18-60</v>
      </c>
      <c r="D3401" s="306"/>
      <c r="E3401" s="421">
        <v>6</v>
      </c>
      <c r="F3401" s="580"/>
      <c r="G3401" s="417" t="s">
        <v>2481</v>
      </c>
      <c r="H3401" s="598" t="s">
        <v>2482</v>
      </c>
      <c r="I3401" s="322" t="s">
        <v>2179</v>
      </c>
      <c r="J3401" s="418"/>
      <c r="K3401" s="248"/>
      <c r="M3401" s="366"/>
    </row>
    <row r="3402" spans="1:13" x14ac:dyDescent="0.25">
      <c r="A3402" s="308">
        <v>45643</v>
      </c>
      <c r="B3402" s="416">
        <v>1078377</v>
      </c>
      <c r="C3402" s="413" t="str">
        <f>IFERROR(INDEX(Table14[],MATCH($B3402,Table14[SAPNo],0),3),"")</f>
        <v>13MM CT221 R1</v>
      </c>
      <c r="D3402" s="306"/>
      <c r="E3402" s="421">
        <v>1</v>
      </c>
      <c r="F3402" s="580"/>
      <c r="G3402" s="417" t="s">
        <v>2481</v>
      </c>
      <c r="H3402" s="598" t="s">
        <v>2482</v>
      </c>
      <c r="I3402" s="322" t="s">
        <v>2179</v>
      </c>
      <c r="J3402" s="418"/>
      <c r="K3402" s="248"/>
      <c r="M3402" s="366"/>
    </row>
    <row r="3403" spans="1:13" x14ac:dyDescent="0.25">
      <c r="A3403" s="308">
        <v>45645</v>
      </c>
      <c r="B3403" s="416">
        <v>1271790</v>
      </c>
      <c r="C3403" s="413" t="str">
        <f>IFERROR(INDEX(Table14[],MATCH($B3403,Table14[SAPNo],0),3),"")</f>
        <v xml:space="preserve">1613 CT170 18-60 </v>
      </c>
      <c r="D3403" s="306"/>
      <c r="E3403" s="421">
        <v>1</v>
      </c>
      <c r="F3403" s="580"/>
      <c r="G3403" s="417" t="s">
        <v>2491</v>
      </c>
      <c r="H3403" s="598"/>
      <c r="I3403" s="322" t="s">
        <v>29</v>
      </c>
      <c r="J3403" s="418"/>
      <c r="K3403" s="248"/>
      <c r="M3403" s="366"/>
    </row>
    <row r="3404" spans="1:13" x14ac:dyDescent="0.25">
      <c r="A3404" s="320">
        <v>45652</v>
      </c>
      <c r="B3404" s="419">
        <v>418525</v>
      </c>
      <c r="C3404" s="413" t="str">
        <f>IFERROR(INDEX(Table14[],MATCH($B3404,Table14[SAPNo],0),3),"")</f>
        <v>Drop In 1308 CT31   (B)</v>
      </c>
      <c r="D3404" s="306" t="s">
        <v>12</v>
      </c>
      <c r="E3404" s="421">
        <v>5</v>
      </c>
      <c r="F3404" s="580"/>
      <c r="G3404" s="420" t="s">
        <v>2508</v>
      </c>
      <c r="H3404" s="599" t="s">
        <v>2509</v>
      </c>
      <c r="I3404" s="322" t="s">
        <v>2254</v>
      </c>
      <c r="J3404" s="421"/>
      <c r="K3404" s="422"/>
      <c r="M3404" s="366"/>
    </row>
    <row r="3405" spans="1:13" x14ac:dyDescent="0.25">
      <c r="A3405" s="308">
        <v>45655</v>
      </c>
      <c r="B3405" s="416">
        <v>1100696</v>
      </c>
      <c r="C3405" s="413" t="str">
        <f>IFERROR(INDEX(Table14[],MATCH($B3405,Table14[SAPNo],0),3),"")</f>
        <v>Round 1313 CT418  10C (S)</v>
      </c>
      <c r="D3405" s="306" t="s">
        <v>12</v>
      </c>
      <c r="E3405" s="421">
        <v>4</v>
      </c>
      <c r="F3405" s="421"/>
      <c r="G3405" s="417">
        <v>20241208</v>
      </c>
      <c r="H3405" s="598" t="s">
        <v>2512</v>
      </c>
      <c r="I3405" s="322" t="s">
        <v>2090</v>
      </c>
      <c r="J3405" s="418"/>
      <c r="K3405" s="248"/>
      <c r="M3405" s="422"/>
    </row>
    <row r="3406" spans="1:13" x14ac:dyDescent="0.25">
      <c r="A3406" s="308">
        <v>45655</v>
      </c>
      <c r="B3406" s="416">
        <v>1244299</v>
      </c>
      <c r="C3406" s="413" t="str">
        <f>IFERROR(INDEX(Table14[],MATCH($B3406,Table14[SAPNo],0),3),"")</f>
        <v>1313 CT147CV4 U</v>
      </c>
      <c r="D3406" s="306" t="s">
        <v>12</v>
      </c>
      <c r="E3406" s="421">
        <v>3</v>
      </c>
      <c r="F3406" s="580"/>
      <c r="G3406" s="417">
        <v>20241209</v>
      </c>
      <c r="H3406" s="598">
        <v>14178486</v>
      </c>
      <c r="I3406" s="322" t="s">
        <v>1746</v>
      </c>
      <c r="J3406" s="418"/>
      <c r="K3406" s="248"/>
      <c r="M3406" s="366"/>
    </row>
    <row r="3407" spans="1:13" x14ac:dyDescent="0.25">
      <c r="A3407" s="308">
        <v>45655</v>
      </c>
      <c r="B3407" s="416">
        <v>1100696</v>
      </c>
      <c r="C3407" s="413" t="str">
        <f>IFERROR(INDEX(Table14[],MATCH($B3407,Table14[SAPNo],0),3),"")</f>
        <v>Round 1313 CT418  10C (S)</v>
      </c>
      <c r="D3407" s="306" t="s">
        <v>12</v>
      </c>
      <c r="E3407" s="421">
        <v>1</v>
      </c>
      <c r="F3407" s="580"/>
      <c r="G3407" s="417">
        <v>20241209</v>
      </c>
      <c r="H3407" s="598">
        <v>14178486</v>
      </c>
      <c r="I3407" s="322" t="s">
        <v>1746</v>
      </c>
      <c r="J3407" s="418"/>
      <c r="K3407" s="248"/>
      <c r="M3407" s="366"/>
    </row>
    <row r="3408" spans="1:13" x14ac:dyDescent="0.25">
      <c r="A3408" s="308">
        <v>45652</v>
      </c>
      <c r="B3408" s="416">
        <v>1146737</v>
      </c>
      <c r="C3408" s="413" t="str">
        <f>IFERROR(INDEX(Table14[],MATCH($B3408,Table14[SAPNo],0),3),"")</f>
        <v>1613 CT418 18-60</v>
      </c>
      <c r="D3408" s="306" t="s">
        <v>12</v>
      </c>
      <c r="E3408" s="421">
        <v>1</v>
      </c>
      <c r="F3408" s="580"/>
      <c r="G3408" s="417" t="s">
        <v>2508</v>
      </c>
      <c r="H3408" s="598" t="s">
        <v>2509</v>
      </c>
      <c r="I3408" s="322" t="s">
        <v>2254</v>
      </c>
      <c r="J3408" s="418"/>
      <c r="K3408" s="248"/>
      <c r="M3408" s="366"/>
    </row>
    <row r="3409" spans="1:13" x14ac:dyDescent="0.25">
      <c r="A3409" s="320">
        <v>45652</v>
      </c>
      <c r="B3409" s="419">
        <v>1271790</v>
      </c>
      <c r="C3409" s="413" t="str">
        <f>IFERROR(INDEX(Table14[],MATCH($B3409,Table14[SAPNo],0),3),"")</f>
        <v xml:space="preserve">1613 CT170 18-60 </v>
      </c>
      <c r="D3409" s="306" t="s">
        <v>12</v>
      </c>
      <c r="E3409" s="421">
        <v>1</v>
      </c>
      <c r="F3409" s="580"/>
      <c r="G3409" s="420" t="s">
        <v>2508</v>
      </c>
      <c r="H3409" s="599" t="s">
        <v>2509</v>
      </c>
      <c r="I3409" s="322" t="s">
        <v>2254</v>
      </c>
      <c r="J3409" s="421"/>
      <c r="K3409" s="422"/>
      <c r="M3409" s="366"/>
    </row>
    <row r="3410" spans="1:13" x14ac:dyDescent="0.25">
      <c r="A3410" s="320">
        <v>45658</v>
      </c>
      <c r="B3410" s="419">
        <v>1152018</v>
      </c>
      <c r="C3410" s="413" t="str">
        <f>IFERROR(INDEX(Table14[],MATCH($B3410,Table14[SAPNo],0),3),"")</f>
        <v>1313 CT418 U</v>
      </c>
      <c r="D3410" s="306" t="s">
        <v>12</v>
      </c>
      <c r="E3410" s="421"/>
      <c r="F3410" s="421">
        <v>51</v>
      </c>
      <c r="G3410" s="420" t="s">
        <v>2513</v>
      </c>
      <c r="H3410" s="599" t="s">
        <v>2514</v>
      </c>
      <c r="I3410" s="322" t="s">
        <v>103</v>
      </c>
      <c r="J3410" s="421" t="s">
        <v>974</v>
      </c>
      <c r="K3410" s="422"/>
      <c r="M3410" s="422"/>
    </row>
    <row r="3411" spans="1:13" x14ac:dyDescent="0.25">
      <c r="A3411" s="320">
        <v>45658</v>
      </c>
      <c r="B3411" s="419">
        <v>1136984</v>
      </c>
      <c r="C3411" s="413" t="str">
        <f>IFERROR(INDEX(Table14[],MATCH($B3411,Table14[SAPNo],0),3),"")</f>
        <v>DBLMCHT 1313 CT182DM  10C (S)</v>
      </c>
      <c r="D3411" s="306" t="s">
        <v>12</v>
      </c>
      <c r="E3411" s="421"/>
      <c r="F3411" s="421">
        <v>26</v>
      </c>
      <c r="G3411" s="420" t="s">
        <v>2513</v>
      </c>
      <c r="H3411" s="599" t="s">
        <v>2514</v>
      </c>
      <c r="I3411" s="322" t="s">
        <v>103</v>
      </c>
      <c r="J3411" s="421" t="s">
        <v>974</v>
      </c>
      <c r="K3411" s="422"/>
      <c r="M3411" s="422"/>
    </row>
    <row r="3412" spans="1:13" x14ac:dyDescent="0.25">
      <c r="A3412" s="320">
        <v>45658</v>
      </c>
      <c r="B3412" s="419">
        <v>1296685</v>
      </c>
      <c r="C3412" s="413" t="str">
        <f>IFERROR(INDEX(Table14[],MATCH($B3412,Table14[SAPNo],0),3),"")</f>
        <v>1613 CT179R U</v>
      </c>
      <c r="D3412" s="306" t="s">
        <v>12</v>
      </c>
      <c r="E3412" s="421"/>
      <c r="F3412" s="421">
        <v>70</v>
      </c>
      <c r="G3412" s="420" t="s">
        <v>2513</v>
      </c>
      <c r="H3412" s="599" t="s">
        <v>2514</v>
      </c>
      <c r="I3412" s="322" t="s">
        <v>103</v>
      </c>
      <c r="J3412" s="421" t="s">
        <v>976</v>
      </c>
      <c r="K3412" s="422"/>
      <c r="M3412" s="422"/>
    </row>
    <row r="3413" spans="1:13" x14ac:dyDescent="0.25">
      <c r="A3413" s="320">
        <v>45658</v>
      </c>
      <c r="B3413" s="419">
        <v>1290837</v>
      </c>
      <c r="C3413" s="413" t="str">
        <f>IFERROR(INDEX(Table14[],MATCH($B3413,Table14[SAPNo],0),3),"")</f>
        <v>1613 CT184R U</v>
      </c>
      <c r="D3413" s="306" t="s">
        <v>12</v>
      </c>
      <c r="E3413" s="421"/>
      <c r="F3413" s="421">
        <v>90</v>
      </c>
      <c r="G3413" s="420" t="s">
        <v>2513</v>
      </c>
      <c r="H3413" s="599" t="s">
        <v>2514</v>
      </c>
      <c r="I3413" s="322" t="s">
        <v>103</v>
      </c>
      <c r="J3413" s="421" t="s">
        <v>976</v>
      </c>
      <c r="K3413" s="422"/>
      <c r="M3413" s="422"/>
    </row>
    <row r="3414" spans="1:13" x14ac:dyDescent="0.25">
      <c r="A3414" s="320">
        <v>45664</v>
      </c>
      <c r="B3414" s="419">
        <v>1101509</v>
      </c>
      <c r="C3414" s="413" t="str">
        <f>IFERROR(INDEX(Table14[],MATCH($B3414,Table14[SAPNo],0),3),"")</f>
        <v>Short IA 8    (C)</v>
      </c>
      <c r="D3414" s="306" t="s">
        <v>12</v>
      </c>
      <c r="E3414" s="421"/>
      <c r="F3414" s="421">
        <v>10</v>
      </c>
      <c r="G3414" s="420" t="s">
        <v>2513</v>
      </c>
      <c r="H3414" s="599" t="s">
        <v>2514</v>
      </c>
      <c r="I3414" s="322" t="s">
        <v>103</v>
      </c>
      <c r="J3414" s="421" t="s">
        <v>974</v>
      </c>
      <c r="K3414" s="422"/>
      <c r="M3414" s="422"/>
    </row>
    <row r="3415" spans="1:13" x14ac:dyDescent="0.25">
      <c r="A3415" s="320">
        <v>45664</v>
      </c>
      <c r="B3415" s="419">
        <v>1146346</v>
      </c>
      <c r="C3415" s="413" t="str">
        <f>IFERROR(INDEX(Table14[],MATCH($B3415,Table14[SAPNo],0),3),"")</f>
        <v>1313 CT418 18-60</v>
      </c>
      <c r="D3415" s="306" t="s">
        <v>12</v>
      </c>
      <c r="E3415" s="421"/>
      <c r="F3415" s="421">
        <v>75</v>
      </c>
      <c r="G3415" s="420" t="s">
        <v>2513</v>
      </c>
      <c r="H3415" s="599" t="s">
        <v>2514</v>
      </c>
      <c r="I3415" s="322" t="s">
        <v>103</v>
      </c>
      <c r="J3415" s="421" t="s">
        <v>974</v>
      </c>
      <c r="K3415" s="422"/>
      <c r="M3415" s="422"/>
    </row>
    <row r="3416" spans="1:13" x14ac:dyDescent="0.25">
      <c r="A3416" s="308">
        <v>45664</v>
      </c>
      <c r="B3416" s="416">
        <v>1208601</v>
      </c>
      <c r="C3416" s="413" t="str">
        <f>IFERROR(INDEX(Table14[],MATCH($B3416,Table14[SAPNo],0),3),"")</f>
        <v>1613 CT418 U-60</v>
      </c>
      <c r="D3416" s="306" t="s">
        <v>12</v>
      </c>
      <c r="E3416" s="421"/>
      <c r="F3416" s="421">
        <v>30</v>
      </c>
      <c r="G3416" s="417" t="s">
        <v>2513</v>
      </c>
      <c r="H3416" s="598" t="s">
        <v>2514</v>
      </c>
      <c r="I3416" s="322" t="s">
        <v>103</v>
      </c>
      <c r="J3416" s="418" t="s">
        <v>974</v>
      </c>
      <c r="K3416" s="248"/>
      <c r="M3416" s="422"/>
    </row>
    <row r="3417" spans="1:13" x14ac:dyDescent="0.25">
      <c r="A3417" s="308">
        <v>45664</v>
      </c>
      <c r="B3417" s="416">
        <v>1255773</v>
      </c>
      <c r="C3417" s="413" t="str">
        <f>IFERROR(INDEX(Table14[],MATCH($B3417,Table14[SAPNo],0),3),"")</f>
        <v>1613 CT154 U­60</v>
      </c>
      <c r="D3417" s="306" t="s">
        <v>12</v>
      </c>
      <c r="E3417" s="421"/>
      <c r="F3417" s="580">
        <v>12</v>
      </c>
      <c r="G3417" s="417" t="s">
        <v>2513</v>
      </c>
      <c r="H3417" s="598" t="s">
        <v>2514</v>
      </c>
      <c r="I3417" s="322" t="s">
        <v>103</v>
      </c>
      <c r="J3417" s="418" t="s">
        <v>964</v>
      </c>
      <c r="K3417" s="248"/>
      <c r="M3417" s="366"/>
    </row>
    <row r="3418" spans="1:13" x14ac:dyDescent="0.25">
      <c r="A3418" s="308">
        <v>45664</v>
      </c>
      <c r="B3418" s="416">
        <v>1255773</v>
      </c>
      <c r="C3418" s="413" t="str">
        <f>IFERROR(INDEX(Table14[],MATCH($B3418,Table14[SAPNo],0),3),"")</f>
        <v>1613 CT154 U­60</v>
      </c>
      <c r="D3418" s="306" t="s">
        <v>12</v>
      </c>
      <c r="E3418" s="421"/>
      <c r="F3418" s="580">
        <v>34</v>
      </c>
      <c r="G3418" s="417" t="s">
        <v>2513</v>
      </c>
      <c r="H3418" s="598" t="s">
        <v>2514</v>
      </c>
      <c r="I3418" s="322" t="s">
        <v>103</v>
      </c>
      <c r="J3418" s="418" t="s">
        <v>967</v>
      </c>
      <c r="K3418" s="248"/>
      <c r="M3418" s="366"/>
    </row>
    <row r="3419" spans="1:13" x14ac:dyDescent="0.25">
      <c r="A3419" s="308">
        <v>45664</v>
      </c>
      <c r="B3419" s="416">
        <v>1261319</v>
      </c>
      <c r="C3419" s="413" t="str">
        <f>IFERROR(INDEX(Table14[],MATCH($B3419,Table14[SAPNo],0),3),"")</f>
        <v>1308 CT155 U-60</v>
      </c>
      <c r="D3419" s="306" t="s">
        <v>12</v>
      </c>
      <c r="E3419" s="421"/>
      <c r="F3419" s="580">
        <v>36</v>
      </c>
      <c r="G3419" s="417" t="s">
        <v>2513</v>
      </c>
      <c r="H3419" s="598" t="s">
        <v>2514</v>
      </c>
      <c r="I3419" s="322" t="s">
        <v>103</v>
      </c>
      <c r="J3419" s="418" t="s">
        <v>972</v>
      </c>
      <c r="K3419" s="248"/>
      <c r="M3419" s="366"/>
    </row>
    <row r="3420" spans="1:13" x14ac:dyDescent="0.25">
      <c r="A3420" s="308">
        <v>45664</v>
      </c>
      <c r="B3420" s="416">
        <v>418525</v>
      </c>
      <c r="C3420" s="413" t="str">
        <f>IFERROR(INDEX(Table14[],MATCH($B3420,Table14[SAPNo],0),3),"")</f>
        <v>Drop In 1308 CT31   (B)</v>
      </c>
      <c r="D3420" s="306" t="s">
        <v>12</v>
      </c>
      <c r="E3420" s="421"/>
      <c r="F3420" s="580">
        <v>70</v>
      </c>
      <c r="G3420" s="417" t="s">
        <v>2513</v>
      </c>
      <c r="H3420" s="598" t="s">
        <v>2514</v>
      </c>
      <c r="I3420" s="322" t="s">
        <v>103</v>
      </c>
      <c r="J3420" s="418" t="s">
        <v>974</v>
      </c>
      <c r="K3420" s="248"/>
      <c r="M3420" s="366"/>
    </row>
    <row r="3421" spans="1:13" x14ac:dyDescent="0.25">
      <c r="A3421" s="308">
        <v>45664</v>
      </c>
      <c r="B3421" s="416">
        <v>625854</v>
      </c>
      <c r="C3421" s="413" t="str">
        <f>IFERROR(INDEX(Table14[],MATCH($B3421,Table14[SAPNo],0),3),"")</f>
        <v>Carbide IA 1318    (C)</v>
      </c>
      <c r="D3421" s="306" t="s">
        <v>12</v>
      </c>
      <c r="E3421" s="421"/>
      <c r="F3421" s="580">
        <v>20</v>
      </c>
      <c r="G3421" s="417" t="s">
        <v>2513</v>
      </c>
      <c r="H3421" s="598" t="s">
        <v>2514</v>
      </c>
      <c r="I3421" s="322" t="s">
        <v>103</v>
      </c>
      <c r="J3421" s="418" t="s">
        <v>974</v>
      </c>
      <c r="K3421" s="248"/>
      <c r="M3421" s="366"/>
    </row>
    <row r="3422" spans="1:13" x14ac:dyDescent="0.25">
      <c r="A3422" s="308">
        <v>45664</v>
      </c>
      <c r="B3422" s="416">
        <v>647435</v>
      </c>
      <c r="C3422" s="413" t="str">
        <f>IFERROR(INDEX(Table14[],MATCH($B3422,Table14[SAPNo],0),3),"")</f>
        <v>Round 1608 CT200  0.018" (B)</v>
      </c>
      <c r="D3422" s="306" t="s">
        <v>12</v>
      </c>
      <c r="E3422" s="421"/>
      <c r="F3422" s="580">
        <v>96</v>
      </c>
      <c r="G3422" s="417" t="s">
        <v>2513</v>
      </c>
      <c r="H3422" s="598" t="s">
        <v>2514</v>
      </c>
      <c r="I3422" s="322" t="s">
        <v>103</v>
      </c>
      <c r="J3422" s="418" t="s">
        <v>974</v>
      </c>
      <c r="K3422" s="248"/>
      <c r="M3422" s="366"/>
    </row>
    <row r="3423" spans="1:13" x14ac:dyDescent="0.25">
      <c r="A3423" s="308">
        <v>45664</v>
      </c>
      <c r="B3423" s="416">
        <v>653400</v>
      </c>
      <c r="C3423" s="413" t="str">
        <f>IFERROR(INDEX(Table14[],MATCH($B3423,Table14[SAPNo],0),3),"")</f>
        <v>13MM WC­MAT404 NA</v>
      </c>
      <c r="D3423" s="306" t="s">
        <v>12</v>
      </c>
      <c r="E3423" s="421"/>
      <c r="F3423" s="580">
        <v>30</v>
      </c>
      <c r="G3423" s="417" t="s">
        <v>2513</v>
      </c>
      <c r="H3423" s="598" t="s">
        <v>2514</v>
      </c>
      <c r="I3423" s="322" t="s">
        <v>103</v>
      </c>
      <c r="J3423" s="418" t="s">
        <v>974</v>
      </c>
      <c r="K3423" s="248"/>
      <c r="M3423" s="366"/>
    </row>
    <row r="3424" spans="1:13" x14ac:dyDescent="0.25">
      <c r="A3424" s="308">
        <v>45664</v>
      </c>
      <c r="B3424" s="416">
        <v>708306</v>
      </c>
      <c r="C3424" s="413" t="str">
        <f>IFERROR(INDEX(Table14[],MATCH($B3424,Table14[SAPNo],0),3),"")</f>
        <v>Round 1913 CT200  0.018" (B)</v>
      </c>
      <c r="D3424" s="306" t="s">
        <v>12</v>
      </c>
      <c r="E3424" s="421"/>
      <c r="F3424" s="580">
        <v>30</v>
      </c>
      <c r="G3424" s="417" t="s">
        <v>2513</v>
      </c>
      <c r="H3424" s="598" t="s">
        <v>2514</v>
      </c>
      <c r="I3424" s="322" t="s">
        <v>103</v>
      </c>
      <c r="J3424" s="418" t="s">
        <v>974</v>
      </c>
      <c r="K3424" s="248"/>
      <c r="M3424" s="366"/>
    </row>
    <row r="3425" spans="1:13" x14ac:dyDescent="0.25">
      <c r="A3425" s="308">
        <v>45664</v>
      </c>
      <c r="B3425" s="416">
        <v>717751</v>
      </c>
      <c r="C3425" s="413" t="str">
        <f>IFERROR(INDEX(Table14[],MATCH($B3425,Table14[SAPNo],0),3),"")</f>
        <v>Round 1308 CT200  0.018" (B)</v>
      </c>
      <c r="D3425" s="306" t="s">
        <v>12</v>
      </c>
      <c r="E3425" s="421"/>
      <c r="F3425" s="580">
        <v>16</v>
      </c>
      <c r="G3425" s="417" t="s">
        <v>2513</v>
      </c>
      <c r="H3425" s="598" t="s">
        <v>2514</v>
      </c>
      <c r="I3425" s="322" t="s">
        <v>103</v>
      </c>
      <c r="J3425" s="418" t="s">
        <v>974</v>
      </c>
      <c r="K3425" s="248"/>
      <c r="M3425" s="366"/>
    </row>
    <row r="3426" spans="1:13" x14ac:dyDescent="0.25">
      <c r="A3426" s="308">
        <v>45664</v>
      </c>
      <c r="B3426" s="416">
        <v>971055</v>
      </c>
      <c r="C3426" s="413" t="str">
        <f>IFERROR(INDEX(Table14[],MATCH($B3426,Table14[SAPNo],0),3),"")</f>
        <v>MED Bullet 10.5 CT217 MBL 0.018" (B)</v>
      </c>
      <c r="D3426" s="306" t="s">
        <v>12</v>
      </c>
      <c r="E3426" s="421"/>
      <c r="F3426" s="580">
        <v>30</v>
      </c>
      <c r="G3426" s="417" t="s">
        <v>2513</v>
      </c>
      <c r="H3426" s="598" t="s">
        <v>2514</v>
      </c>
      <c r="I3426" s="322" t="s">
        <v>103</v>
      </c>
      <c r="J3426" s="418" t="s">
        <v>974</v>
      </c>
      <c r="K3426" s="248"/>
      <c r="M3426" s="366"/>
    </row>
    <row r="3427" spans="1:13" x14ac:dyDescent="0.25">
      <c r="A3427" s="308">
        <v>45658</v>
      </c>
      <c r="B3427" s="416">
        <v>1039034</v>
      </c>
      <c r="C3427" s="413" t="str">
        <f>IFERROR(INDEX(Table14[],MATCH($B3427,Table14[SAPNo],0),3),"")</f>
        <v>Round 1308 CT138  0.018" (S)</v>
      </c>
      <c r="D3427" s="306" t="s">
        <v>12</v>
      </c>
      <c r="E3427" s="421">
        <v>4</v>
      </c>
      <c r="F3427" s="421"/>
      <c r="G3427" s="417" t="s">
        <v>2515</v>
      </c>
      <c r="H3427" s="598">
        <v>14288931</v>
      </c>
      <c r="I3427" s="322" t="s">
        <v>2516</v>
      </c>
      <c r="J3427" s="418"/>
      <c r="K3427" s="248"/>
      <c r="M3427" s="422"/>
    </row>
    <row r="3428" spans="1:13" x14ac:dyDescent="0.25">
      <c r="A3428" s="308">
        <v>45658</v>
      </c>
      <c r="B3428" s="416">
        <v>1039034</v>
      </c>
      <c r="C3428" s="413" t="str">
        <f>IFERROR(INDEX(Table14[],MATCH($B3428,Table14[SAPNo],0),3),"")</f>
        <v>Round 1308 CT138  0.018" (S)</v>
      </c>
      <c r="D3428" s="306" t="s">
        <v>1072</v>
      </c>
      <c r="E3428" s="421">
        <v>5</v>
      </c>
      <c r="F3428" s="580"/>
      <c r="G3428" s="417" t="s">
        <v>2515</v>
      </c>
      <c r="H3428" s="598">
        <v>14288931</v>
      </c>
      <c r="I3428" s="322" t="s">
        <v>2516</v>
      </c>
      <c r="J3428" s="418"/>
      <c r="K3428" s="248"/>
      <c r="M3428" s="366"/>
    </row>
    <row r="3429" spans="1:13" x14ac:dyDescent="0.25">
      <c r="A3429" s="308">
        <v>45652</v>
      </c>
      <c r="B3429" s="416">
        <v>1146737</v>
      </c>
      <c r="C3429" s="413" t="str">
        <f>IFERROR(INDEX(Table14[],MATCH($B3429,Table14[SAPNo],0),3),"")</f>
        <v>1613 CT418 18-60</v>
      </c>
      <c r="D3429" s="306" t="s">
        <v>12</v>
      </c>
      <c r="E3429" s="421">
        <v>1</v>
      </c>
      <c r="F3429" s="580"/>
      <c r="G3429" s="417" t="s">
        <v>2510</v>
      </c>
      <c r="H3429" s="598" t="s">
        <v>2511</v>
      </c>
      <c r="I3429" s="322" t="s">
        <v>2254</v>
      </c>
      <c r="J3429" s="418"/>
      <c r="K3429" s="248"/>
      <c r="M3429" s="366"/>
    </row>
    <row r="3430" spans="1:13" x14ac:dyDescent="0.25">
      <c r="A3430" s="308">
        <v>45658</v>
      </c>
      <c r="B3430" s="416">
        <v>1100696</v>
      </c>
      <c r="C3430" s="413" t="str">
        <f>IFERROR(INDEX(Table14[],MATCH($B3430,Table14[SAPNo],0),3),"")</f>
        <v>Round 1313 CT418  10C (S)</v>
      </c>
      <c r="D3430" s="306" t="s">
        <v>12</v>
      </c>
      <c r="E3430" s="421">
        <v>6</v>
      </c>
      <c r="F3430" s="580"/>
      <c r="G3430" s="417">
        <v>20241210</v>
      </c>
      <c r="H3430" s="598" t="s">
        <v>2519</v>
      </c>
      <c r="I3430" s="322" t="s">
        <v>2410</v>
      </c>
      <c r="J3430" s="418"/>
      <c r="K3430" s="248"/>
      <c r="M3430" s="366"/>
    </row>
    <row r="3431" spans="1:13" x14ac:dyDescent="0.25">
      <c r="A3431" s="308">
        <v>45652</v>
      </c>
      <c r="B3431" s="416">
        <v>418525</v>
      </c>
      <c r="C3431" s="413" t="str">
        <f>IFERROR(INDEX(Table14[],MATCH($B3431,Table14[SAPNo],0),3),"")</f>
        <v>Drop In 1308 CT31   (B)</v>
      </c>
      <c r="D3431" s="306" t="s">
        <v>12</v>
      </c>
      <c r="E3431" s="421">
        <v>2</v>
      </c>
      <c r="F3431" s="580"/>
      <c r="G3431" s="417" t="s">
        <v>2510</v>
      </c>
      <c r="H3431" s="598" t="s">
        <v>2511</v>
      </c>
      <c r="I3431" s="322" t="s">
        <v>2254</v>
      </c>
      <c r="J3431" s="418"/>
      <c r="K3431" s="248"/>
      <c r="M3431" s="366"/>
    </row>
    <row r="3432" spans="1:13" x14ac:dyDescent="0.25">
      <c r="A3432" s="308">
        <v>45658</v>
      </c>
      <c r="B3432" s="416">
        <v>1146737</v>
      </c>
      <c r="C3432" s="413" t="str">
        <f>IFERROR(INDEX(Table14[],MATCH($B3432,Table14[SAPNo],0),3),"")</f>
        <v>1613 CT418 18-60</v>
      </c>
      <c r="D3432" s="306" t="s">
        <v>12</v>
      </c>
      <c r="E3432" s="421">
        <v>7</v>
      </c>
      <c r="F3432" s="580"/>
      <c r="G3432" s="417" t="s">
        <v>2515</v>
      </c>
      <c r="H3432" s="598">
        <v>14288931</v>
      </c>
      <c r="I3432" s="322" t="s">
        <v>2516</v>
      </c>
      <c r="J3432" s="418"/>
      <c r="K3432" s="248"/>
      <c r="M3432" s="366"/>
    </row>
    <row r="3433" spans="1:13" x14ac:dyDescent="0.25">
      <c r="A3433" s="308">
        <v>45655</v>
      </c>
      <c r="B3433" s="416">
        <v>418525</v>
      </c>
      <c r="C3433" s="413" t="str">
        <f>IFERROR(INDEX(Table14[],MATCH($B3433,Table14[SAPNo],0),3),"")</f>
        <v>Drop In 1308 CT31   (B)</v>
      </c>
      <c r="D3433" s="306" t="s">
        <v>12</v>
      </c>
      <c r="E3433" s="421">
        <v>2</v>
      </c>
      <c r="F3433" s="580"/>
      <c r="G3433" s="417" t="s">
        <v>2510</v>
      </c>
      <c r="H3433" s="598" t="s">
        <v>2511</v>
      </c>
      <c r="I3433" s="322" t="s">
        <v>2254</v>
      </c>
      <c r="J3433" s="418"/>
      <c r="K3433" s="248"/>
      <c r="M3433" s="366"/>
    </row>
    <row r="3434" spans="1:13" x14ac:dyDescent="0.25">
      <c r="A3434" s="308">
        <v>45658</v>
      </c>
      <c r="B3434" s="416">
        <v>1219561</v>
      </c>
      <c r="C3434" s="413" t="str">
        <f>IFERROR(INDEX(Table14[],MATCH($B3434,Table14[SAPNo],0),3),"")</f>
        <v>1313 CT147R U</v>
      </c>
      <c r="D3434" s="306" t="s">
        <v>12</v>
      </c>
      <c r="E3434" s="421">
        <v>2</v>
      </c>
      <c r="F3434" s="580"/>
      <c r="G3434" s="417">
        <v>20241210</v>
      </c>
      <c r="H3434" s="598" t="s">
        <v>2519</v>
      </c>
      <c r="I3434" s="322" t="s">
        <v>2410</v>
      </c>
      <c r="J3434" s="418"/>
      <c r="K3434" s="248"/>
      <c r="M3434" s="366"/>
    </row>
    <row r="3435" spans="1:13" x14ac:dyDescent="0.25">
      <c r="A3435" s="308">
        <v>45658</v>
      </c>
      <c r="B3435" s="416">
        <v>1263929</v>
      </c>
      <c r="C3435" s="413" t="str">
        <f>IFERROR(INDEX(Table14[],MATCH($B3435,Table14[SAPNo],0),3),"")</f>
        <v>1613 CT437 18-60</v>
      </c>
      <c r="D3435" s="306" t="s">
        <v>12</v>
      </c>
      <c r="E3435" s="421">
        <v>10</v>
      </c>
      <c r="F3435" s="580"/>
      <c r="G3435" s="417" t="s">
        <v>2515</v>
      </c>
      <c r="H3435" s="598">
        <v>14288931</v>
      </c>
      <c r="I3435" s="322" t="s">
        <v>2516</v>
      </c>
      <c r="J3435" s="418"/>
      <c r="K3435" s="248"/>
      <c r="M3435" s="366"/>
    </row>
    <row r="3436" spans="1:13" x14ac:dyDescent="0.25">
      <c r="A3436" s="308">
        <v>45655</v>
      </c>
      <c r="B3436" s="416">
        <v>1288721</v>
      </c>
      <c r="C3436" s="413" t="str">
        <f>IFERROR(INDEX(Table14[],MATCH($B3436,Table14[SAPNo],0),3),"")</f>
        <v>1613 CT176 0.018</v>
      </c>
      <c r="D3436" s="306" t="s">
        <v>12</v>
      </c>
      <c r="E3436" s="421">
        <v>3</v>
      </c>
      <c r="F3436" s="580"/>
      <c r="G3436" s="417" t="s">
        <v>2510</v>
      </c>
      <c r="H3436" s="598" t="s">
        <v>2511</v>
      </c>
      <c r="I3436" s="322" t="s">
        <v>2254</v>
      </c>
      <c r="J3436" s="418"/>
      <c r="K3436" s="248"/>
      <c r="M3436" s="366"/>
    </row>
    <row r="3437" spans="1:13" x14ac:dyDescent="0.25">
      <c r="A3437" s="308">
        <v>45658</v>
      </c>
      <c r="B3437" s="416">
        <v>1290837</v>
      </c>
      <c r="C3437" s="413" t="str">
        <f>IFERROR(INDEX(Table14[],MATCH($B3437,Table14[SAPNo],0),3),"")</f>
        <v>1613 CT184R U</v>
      </c>
      <c r="D3437" s="306" t="s">
        <v>12</v>
      </c>
      <c r="E3437" s="421">
        <v>16</v>
      </c>
      <c r="F3437" s="580"/>
      <c r="G3437" s="417" t="s">
        <v>2515</v>
      </c>
      <c r="H3437" s="598">
        <v>14288931</v>
      </c>
      <c r="I3437" s="322" t="s">
        <v>2516</v>
      </c>
      <c r="J3437" s="418"/>
      <c r="K3437" s="248"/>
      <c r="M3437" s="366"/>
    </row>
    <row r="3438" spans="1:13" x14ac:dyDescent="0.25">
      <c r="A3438" s="308">
        <v>45658</v>
      </c>
      <c r="B3438" s="416">
        <v>418525</v>
      </c>
      <c r="C3438" s="413" t="str">
        <f>IFERROR(INDEX(Table14[],MATCH($B3438,Table14[SAPNo],0),3),"")</f>
        <v>Drop In 1308 CT31   (B)</v>
      </c>
      <c r="D3438" s="306" t="s">
        <v>12</v>
      </c>
      <c r="E3438" s="421">
        <v>2</v>
      </c>
      <c r="F3438" s="580"/>
      <c r="G3438" s="417">
        <v>20241210</v>
      </c>
      <c r="H3438" s="598" t="s">
        <v>2519</v>
      </c>
      <c r="I3438" s="322" t="s">
        <v>2410</v>
      </c>
      <c r="J3438" s="418"/>
      <c r="K3438" s="248"/>
      <c r="M3438" s="366"/>
    </row>
    <row r="3439" spans="1:13" x14ac:dyDescent="0.25">
      <c r="A3439" s="308">
        <v>45658</v>
      </c>
      <c r="B3439" s="416">
        <v>1078377</v>
      </c>
      <c r="C3439" s="413" t="str">
        <f>IFERROR(INDEX(Table14[],MATCH($B3439,Table14[SAPNo],0),3),"")</f>
        <v>13MM CT221 R1</v>
      </c>
      <c r="D3439" s="306" t="s">
        <v>12</v>
      </c>
      <c r="E3439" s="421">
        <v>1</v>
      </c>
      <c r="F3439" s="580"/>
      <c r="G3439" s="417" t="s">
        <v>2517</v>
      </c>
      <c r="H3439" s="598" t="s">
        <v>2518</v>
      </c>
      <c r="I3439" s="322" t="s">
        <v>2179</v>
      </c>
      <c r="J3439" s="418"/>
      <c r="K3439" s="248"/>
      <c r="M3439" s="366"/>
    </row>
    <row r="3440" spans="1:13" x14ac:dyDescent="0.25">
      <c r="A3440" s="308">
        <v>45658</v>
      </c>
      <c r="B3440" s="416">
        <v>717748</v>
      </c>
      <c r="C3440" s="413" t="str">
        <f>IFERROR(INDEX(Table14[],MATCH($B3440,Table14[SAPNo],0),3),"")</f>
        <v>Round 1010 CT200  0.018" (B)</v>
      </c>
      <c r="D3440" s="306" t="s">
        <v>12</v>
      </c>
      <c r="E3440" s="421">
        <v>1</v>
      </c>
      <c r="F3440" s="580"/>
      <c r="G3440" s="417">
        <v>20251002</v>
      </c>
      <c r="H3440" s="598" t="s">
        <v>2520</v>
      </c>
      <c r="I3440" s="322" t="s">
        <v>1069</v>
      </c>
      <c r="J3440" s="418"/>
      <c r="K3440" s="248"/>
      <c r="M3440" s="366"/>
    </row>
    <row r="3441" spans="1:13" x14ac:dyDescent="0.25">
      <c r="A3441" s="308">
        <v>45658</v>
      </c>
      <c r="B3441" s="416">
        <v>871781</v>
      </c>
      <c r="C3441" s="413" t="str">
        <f>IFERROR(INDEX(Table14[],MATCH($B3441,Table14[SAPNo],0),3),"")</f>
        <v>Round 1313 CT200  0.018" (B)</v>
      </c>
      <c r="D3441" s="306" t="s">
        <v>12</v>
      </c>
      <c r="E3441" s="421">
        <v>6</v>
      </c>
      <c r="F3441" s="580"/>
      <c r="G3441" s="417" t="s">
        <v>2515</v>
      </c>
      <c r="H3441" s="598">
        <v>14288931</v>
      </c>
      <c r="I3441" s="322" t="s">
        <v>2516</v>
      </c>
      <c r="J3441" s="418"/>
      <c r="K3441" s="248"/>
      <c r="M3441" s="366"/>
    </row>
    <row r="3442" spans="1:13" x14ac:dyDescent="0.25">
      <c r="A3442" s="308">
        <v>45658</v>
      </c>
      <c r="B3442" s="416">
        <v>886466</v>
      </c>
      <c r="C3442" s="413" t="str">
        <f>IFERROR(INDEX(Table14[],MATCH($B3442,Table14[SAPNo],0),3),"")</f>
        <v>Round 1308 CT109  0.018" (S)</v>
      </c>
      <c r="D3442" s="306" t="s">
        <v>12</v>
      </c>
      <c r="E3442" s="421">
        <v>7</v>
      </c>
      <c r="F3442" s="580"/>
      <c r="G3442" s="417" t="s">
        <v>2515</v>
      </c>
      <c r="H3442" s="598">
        <v>14288931</v>
      </c>
      <c r="I3442" s="322" t="s">
        <v>2516</v>
      </c>
      <c r="J3442" s="418"/>
      <c r="K3442" s="248"/>
      <c r="M3442" s="366"/>
    </row>
    <row r="3443" spans="1:13" x14ac:dyDescent="0.25">
      <c r="A3443" s="308">
        <v>45659</v>
      </c>
      <c r="B3443" s="416">
        <v>717748</v>
      </c>
      <c r="C3443" s="413" t="str">
        <f>IFERROR(INDEX(Table14[],MATCH($B3443,Table14[SAPNo],0),3),"")</f>
        <v>Round 1010 CT200  0.018" (B)</v>
      </c>
      <c r="D3443" s="306" t="s">
        <v>12</v>
      </c>
      <c r="E3443" s="421">
        <v>23</v>
      </c>
      <c r="F3443" s="580"/>
      <c r="G3443" s="417" t="s">
        <v>2521</v>
      </c>
      <c r="H3443" s="598">
        <v>14293145</v>
      </c>
      <c r="I3443" s="322" t="s">
        <v>2522</v>
      </c>
      <c r="J3443" s="418"/>
      <c r="K3443" s="248"/>
      <c r="M3443" s="366"/>
    </row>
    <row r="3444" spans="1:13" x14ac:dyDescent="0.25">
      <c r="A3444" s="308">
        <v>45659</v>
      </c>
      <c r="B3444" s="416">
        <v>773384</v>
      </c>
      <c r="C3444" s="413" t="str">
        <f>IFERROR(INDEX(Table14[],MATCH($B3444,Table14[SAPNo],0),3),"")</f>
        <v>Round 1005 CT200  0.018" (B)</v>
      </c>
      <c r="D3444" s="306" t="s">
        <v>12</v>
      </c>
      <c r="E3444" s="421">
        <v>10</v>
      </c>
      <c r="F3444" s="580"/>
      <c r="G3444" s="417" t="s">
        <v>2521</v>
      </c>
      <c r="H3444" s="598">
        <v>14293145</v>
      </c>
      <c r="I3444" s="322" t="s">
        <v>2522</v>
      </c>
      <c r="J3444" s="418"/>
      <c r="K3444" s="248"/>
      <c r="M3444" s="366"/>
    </row>
    <row r="3445" spans="1:13" x14ac:dyDescent="0.25">
      <c r="A3445" s="308">
        <v>45659</v>
      </c>
      <c r="B3445" s="416">
        <v>882800</v>
      </c>
      <c r="C3445" s="413" t="str">
        <f>IFERROR(INDEX(Table14[],MATCH($B3445,Table14[SAPNo],0),3),"")</f>
        <v>Round 0808 CT80  0.018" (B)</v>
      </c>
      <c r="D3445" s="306" t="s">
        <v>12</v>
      </c>
      <c r="E3445" s="421">
        <v>10</v>
      </c>
      <c r="F3445" s="580"/>
      <c r="G3445" s="417" t="s">
        <v>2521</v>
      </c>
      <c r="H3445" s="598">
        <v>14293145</v>
      </c>
      <c r="I3445" s="322" t="s">
        <v>2522</v>
      </c>
      <c r="J3445" s="418"/>
      <c r="K3445" s="248"/>
      <c r="M3445" s="366"/>
    </row>
    <row r="3446" spans="1:13" x14ac:dyDescent="0.25">
      <c r="A3446" s="308">
        <v>45663</v>
      </c>
      <c r="B3446" s="416">
        <v>1146737</v>
      </c>
      <c r="C3446" s="413" t="str">
        <f>IFERROR(INDEX(Table14[],MATCH($B3446,Table14[SAPNo],0),3),"")</f>
        <v>1613 CT418 18-60</v>
      </c>
      <c r="D3446" s="306" t="s">
        <v>12</v>
      </c>
      <c r="E3446" s="421">
        <v>9</v>
      </c>
      <c r="F3446" s="580"/>
      <c r="G3446" s="417" t="s">
        <v>2523</v>
      </c>
      <c r="H3446" s="598">
        <v>14073968</v>
      </c>
      <c r="I3446" s="322" t="s">
        <v>2524</v>
      </c>
      <c r="J3446" s="418"/>
      <c r="K3446" s="248"/>
      <c r="M3446" s="366"/>
    </row>
    <row r="3447" spans="1:13" x14ac:dyDescent="0.25">
      <c r="A3447" s="308">
        <v>45663</v>
      </c>
      <c r="B3447" s="416">
        <v>1208601</v>
      </c>
      <c r="C3447" s="413" t="str">
        <f>IFERROR(INDEX(Table14[],MATCH($B3447,Table14[SAPNo],0),3),"")</f>
        <v>1613 CT418 U-60</v>
      </c>
      <c r="D3447" s="306" t="s">
        <v>12</v>
      </c>
      <c r="E3447" s="421">
        <v>15</v>
      </c>
      <c r="F3447" s="580"/>
      <c r="G3447" s="417" t="s">
        <v>2523</v>
      </c>
      <c r="H3447" s="598">
        <v>14073968</v>
      </c>
      <c r="I3447" s="322" t="s">
        <v>2524</v>
      </c>
      <c r="J3447" s="418"/>
      <c r="K3447" s="248"/>
      <c r="M3447" s="366"/>
    </row>
    <row r="3448" spans="1:13" x14ac:dyDescent="0.25">
      <c r="A3448" s="308">
        <v>45663</v>
      </c>
      <c r="B3448" s="416">
        <v>1263823</v>
      </c>
      <c r="C3448" s="413" t="str">
        <f>IFERROR(INDEX(Table14[],MATCH($B3448,Table14[SAPNo],0),3),"")</f>
        <v>1613 CT170R U</v>
      </c>
      <c r="D3448" s="306" t="s">
        <v>12</v>
      </c>
      <c r="E3448" s="421">
        <v>42</v>
      </c>
      <c r="F3448" s="580"/>
      <c r="G3448" s="417" t="s">
        <v>2523</v>
      </c>
      <c r="H3448" s="598">
        <v>14073968</v>
      </c>
      <c r="I3448" s="322" t="s">
        <v>2524</v>
      </c>
      <c r="J3448" s="418"/>
      <c r="K3448" s="248"/>
      <c r="M3448" s="366"/>
    </row>
    <row r="3449" spans="1:13" x14ac:dyDescent="0.25">
      <c r="A3449" s="308">
        <v>45663</v>
      </c>
      <c r="B3449" s="416">
        <v>1271790</v>
      </c>
      <c r="C3449" s="413" t="str">
        <f>IFERROR(INDEX(Table14[],MATCH($B3449,Table14[SAPNo],0),3),"")</f>
        <v xml:space="preserve">1613 CT170 18-60 </v>
      </c>
      <c r="D3449" s="306" t="s">
        <v>12</v>
      </c>
      <c r="E3449" s="421">
        <v>13</v>
      </c>
      <c r="F3449" s="580"/>
      <c r="G3449" s="417" t="s">
        <v>2523</v>
      </c>
      <c r="H3449" s="598">
        <v>14073968</v>
      </c>
      <c r="I3449" s="322" t="s">
        <v>2524</v>
      </c>
      <c r="J3449" s="418"/>
      <c r="K3449" s="248"/>
      <c r="M3449" s="366"/>
    </row>
    <row r="3450" spans="1:13" x14ac:dyDescent="0.25">
      <c r="A3450" s="308">
        <v>45663</v>
      </c>
      <c r="B3450" s="416">
        <v>179734</v>
      </c>
      <c r="C3450" s="413" t="str">
        <f>IFERROR(INDEX(Table14[],MATCH($B3450,Table14[SAPNo],0),3),"")</f>
        <v>Long IPA 13    (C)</v>
      </c>
      <c r="D3450" s="306" t="s">
        <v>12</v>
      </c>
      <c r="E3450" s="421">
        <v>22</v>
      </c>
      <c r="F3450" s="580"/>
      <c r="G3450" s="417" t="s">
        <v>2523</v>
      </c>
      <c r="H3450" s="598">
        <v>14073968</v>
      </c>
      <c r="I3450" s="322" t="s">
        <v>2524</v>
      </c>
      <c r="J3450" s="418"/>
      <c r="K3450" s="248"/>
      <c r="M3450" s="366"/>
    </row>
    <row r="3451" spans="1:13" x14ac:dyDescent="0.25">
      <c r="A3451" s="308">
        <v>45663</v>
      </c>
      <c r="B3451" s="416">
        <v>410851</v>
      </c>
      <c r="C3451" s="413" t="str">
        <f>IFERROR(INDEX(Table14[],MATCH($B3451,Table14[SAPNo],0),3),"")</f>
        <v>PDC Dome 1308 CT31   (B)</v>
      </c>
      <c r="D3451" s="306" t="s">
        <v>12</v>
      </c>
      <c r="E3451" s="421">
        <v>28</v>
      </c>
      <c r="F3451" s="580"/>
      <c r="G3451" s="417" t="s">
        <v>2523</v>
      </c>
      <c r="H3451" s="598">
        <v>14073968</v>
      </c>
      <c r="I3451" s="322" t="s">
        <v>2524</v>
      </c>
      <c r="J3451" s="418"/>
      <c r="K3451" s="248"/>
      <c r="M3451" s="366"/>
    </row>
    <row r="3452" spans="1:13" x14ac:dyDescent="0.25">
      <c r="A3452" s="308">
        <v>45663</v>
      </c>
      <c r="B3452" s="416">
        <v>418525</v>
      </c>
      <c r="C3452" s="413" t="str">
        <f>IFERROR(INDEX(Table14[],MATCH($B3452,Table14[SAPNo],0),3),"")</f>
        <v>Drop In 1308 CT31   (B)</v>
      </c>
      <c r="D3452" s="306" t="s">
        <v>12</v>
      </c>
      <c r="E3452" s="421">
        <v>7</v>
      </c>
      <c r="F3452" s="580"/>
      <c r="G3452" s="417" t="s">
        <v>2523</v>
      </c>
      <c r="H3452" s="598">
        <v>14073968</v>
      </c>
      <c r="I3452" s="322" t="s">
        <v>2524</v>
      </c>
      <c r="J3452" s="418"/>
      <c r="K3452" s="248"/>
      <c r="M3452" s="366"/>
    </row>
    <row r="3453" spans="1:13" x14ac:dyDescent="0.25">
      <c r="A3453" s="308">
        <v>45663</v>
      </c>
      <c r="B3453" s="416">
        <v>871781</v>
      </c>
      <c r="C3453" s="413" t="str">
        <f>IFERROR(INDEX(Table14[],MATCH($B3453,Table14[SAPNo],0),3),"")</f>
        <v>Round 1313 CT200  0.018" (B)</v>
      </c>
      <c r="D3453" s="306" t="s">
        <v>12</v>
      </c>
      <c r="E3453" s="421">
        <v>42</v>
      </c>
      <c r="F3453" s="580"/>
      <c r="G3453" s="417" t="s">
        <v>2523</v>
      </c>
      <c r="H3453" s="598">
        <v>14073968</v>
      </c>
      <c r="I3453" s="322" t="s">
        <v>2524</v>
      </c>
      <c r="J3453" s="418"/>
      <c r="K3453" s="248"/>
      <c r="M3453" s="366"/>
    </row>
    <row r="3454" spans="1:13" x14ac:dyDescent="0.25">
      <c r="A3454" s="308">
        <v>45664</v>
      </c>
      <c r="B3454" s="416">
        <v>1126402</v>
      </c>
      <c r="C3454" s="413" t="str">
        <f>IFERROR(INDEX(Table14[],MATCH($B3454,Table14[SAPNo],0),3),"")</f>
        <v>1613 CT421 16-60</v>
      </c>
      <c r="D3454" s="306" t="s">
        <v>12</v>
      </c>
      <c r="E3454" s="421">
        <v>10</v>
      </c>
      <c r="F3454" s="580"/>
      <c r="G3454" s="417" t="s">
        <v>2505</v>
      </c>
      <c r="H3454" s="598">
        <v>14279671</v>
      </c>
      <c r="I3454" s="322" t="s">
        <v>1380</v>
      </c>
      <c r="J3454" s="418"/>
      <c r="K3454" s="248"/>
      <c r="M3454" s="366"/>
    </row>
    <row r="3455" spans="1:13" x14ac:dyDescent="0.25">
      <c r="A3455" s="308">
        <v>45664</v>
      </c>
      <c r="B3455" s="416">
        <v>1130194</v>
      </c>
      <c r="C3455" s="413" t="str">
        <f>IFERROR(INDEX(Table14[],MATCH($B3455,Table14[SAPNo],0),3),"")</f>
        <v>1010 CT182 18C</v>
      </c>
      <c r="D3455" s="306" t="s">
        <v>12</v>
      </c>
      <c r="E3455" s="421">
        <v>2</v>
      </c>
      <c r="F3455" s="580"/>
      <c r="G3455" s="417" t="s">
        <v>2525</v>
      </c>
      <c r="H3455" s="598">
        <v>14288928</v>
      </c>
      <c r="I3455" s="322" t="s">
        <v>2526</v>
      </c>
      <c r="J3455" s="418"/>
      <c r="K3455" s="248"/>
      <c r="M3455" s="366"/>
    </row>
    <row r="3456" spans="1:13" x14ac:dyDescent="0.25">
      <c r="A3456" s="308">
        <v>45664</v>
      </c>
      <c r="B3456" s="416">
        <v>1134752</v>
      </c>
      <c r="C3456" s="413" t="str">
        <f>IFERROR(INDEX(Table14[],MATCH($B3456,Table14[SAPNo],0),3),"")</f>
        <v>Round 1308 CT182  0.018" (S)</v>
      </c>
      <c r="D3456" s="306" t="s">
        <v>12</v>
      </c>
      <c r="E3456" s="421">
        <v>16</v>
      </c>
      <c r="F3456" s="580"/>
      <c r="G3456" s="417" t="s">
        <v>2525</v>
      </c>
      <c r="H3456" s="598">
        <v>14288928</v>
      </c>
      <c r="I3456" s="322" t="s">
        <v>2526</v>
      </c>
      <c r="J3456" s="418"/>
      <c r="K3456" s="248"/>
      <c r="M3456" s="366"/>
    </row>
    <row r="3457" spans="1:13" x14ac:dyDescent="0.25">
      <c r="A3457" s="308">
        <v>45664</v>
      </c>
      <c r="B3457" s="416">
        <v>1146737</v>
      </c>
      <c r="C3457" s="413" t="str">
        <f>IFERROR(INDEX(Table14[],MATCH($B3457,Table14[SAPNo],0),3),"")</f>
        <v>1613 CT418 18-60</v>
      </c>
      <c r="D3457" s="306" t="s">
        <v>12</v>
      </c>
      <c r="E3457" s="421">
        <v>7</v>
      </c>
      <c r="F3457" s="580"/>
      <c r="G3457" s="417" t="s">
        <v>2505</v>
      </c>
      <c r="H3457" s="598">
        <v>14279671</v>
      </c>
      <c r="I3457" s="322" t="s">
        <v>1380</v>
      </c>
      <c r="J3457" s="418"/>
      <c r="K3457" s="248"/>
      <c r="M3457" s="366"/>
    </row>
    <row r="3458" spans="1:13" x14ac:dyDescent="0.25">
      <c r="A3458" s="308">
        <v>45664</v>
      </c>
      <c r="B3458" s="416">
        <v>1199247</v>
      </c>
      <c r="C3458" s="413" t="str">
        <f>IFERROR(INDEX(Table14[],MATCH($B3458,Table14[SAPNo],0),3),"")</f>
        <v>1010 CT158 10C</v>
      </c>
      <c r="D3458" s="306" t="s">
        <v>12</v>
      </c>
      <c r="E3458" s="421">
        <v>8</v>
      </c>
      <c r="F3458" s="580"/>
      <c r="G3458" s="417" t="s">
        <v>2525</v>
      </c>
      <c r="H3458" s="598">
        <v>14288928</v>
      </c>
      <c r="I3458" s="322" t="s">
        <v>2526</v>
      </c>
      <c r="J3458" s="418"/>
      <c r="K3458" s="248"/>
      <c r="M3458" s="366"/>
    </row>
    <row r="3459" spans="1:13" x14ac:dyDescent="0.25">
      <c r="A3459" s="308">
        <v>45658</v>
      </c>
      <c r="B3459" s="416">
        <v>1146737</v>
      </c>
      <c r="C3459" s="413" t="str">
        <f>IFERROR(INDEX(Table14[],MATCH($B3459,Table14[SAPNo],0),3),"")</f>
        <v>1613 CT418 18-60</v>
      </c>
      <c r="D3459" s="306" t="s">
        <v>12</v>
      </c>
      <c r="E3459" s="421">
        <v>3</v>
      </c>
      <c r="F3459" s="580"/>
      <c r="G3459" s="417" t="s">
        <v>2517</v>
      </c>
      <c r="H3459" s="598" t="s">
        <v>2518</v>
      </c>
      <c r="I3459" s="322" t="s">
        <v>2179</v>
      </c>
      <c r="J3459" s="418"/>
      <c r="K3459" s="248"/>
      <c r="M3459" s="366"/>
    </row>
    <row r="3460" spans="1:13" x14ac:dyDescent="0.25">
      <c r="A3460" s="308">
        <v>45658</v>
      </c>
      <c r="B3460" s="416">
        <v>1208601</v>
      </c>
      <c r="C3460" s="413" t="str">
        <f>IFERROR(INDEX(Table14[],MATCH($B3460,Table14[SAPNo],0),3),"")</f>
        <v>1613 CT418 U-60</v>
      </c>
      <c r="D3460" s="306" t="s">
        <v>12</v>
      </c>
      <c r="E3460" s="421">
        <v>1</v>
      </c>
      <c r="F3460" s="580"/>
      <c r="G3460" s="417" t="s">
        <v>2517</v>
      </c>
      <c r="H3460" s="598" t="s">
        <v>2518</v>
      </c>
      <c r="I3460" s="322" t="s">
        <v>2179</v>
      </c>
      <c r="J3460" s="418"/>
      <c r="K3460" s="248"/>
      <c r="M3460" s="366"/>
    </row>
    <row r="3461" spans="1:13" x14ac:dyDescent="0.25">
      <c r="A3461" s="308">
        <v>45664</v>
      </c>
      <c r="B3461" s="416">
        <v>625854</v>
      </c>
      <c r="C3461" s="413" t="str">
        <f>IFERROR(INDEX(Table14[],MATCH($B3461,Table14[SAPNo],0),3),"")</f>
        <v>Carbide IA 1318    (C)</v>
      </c>
      <c r="D3461" s="306" t="s">
        <v>12</v>
      </c>
      <c r="E3461" s="421">
        <v>6</v>
      </c>
      <c r="F3461" s="580"/>
      <c r="G3461" s="417" t="s">
        <v>2528</v>
      </c>
      <c r="H3461" s="598">
        <v>14273125</v>
      </c>
      <c r="I3461" s="322" t="s">
        <v>2529</v>
      </c>
      <c r="J3461" s="418"/>
      <c r="K3461" s="248"/>
      <c r="M3461" s="366"/>
    </row>
    <row r="3462" spans="1:13" x14ac:dyDescent="0.25">
      <c r="A3462" s="308">
        <v>45664</v>
      </c>
      <c r="B3462" s="416">
        <v>717748</v>
      </c>
      <c r="C3462" s="413" t="str">
        <f>IFERROR(INDEX(Table14[],MATCH($B3462,Table14[SAPNo],0),3),"")</f>
        <v>Round 1010 CT200  0.018" (B)</v>
      </c>
      <c r="D3462" s="306" t="s">
        <v>12</v>
      </c>
      <c r="E3462" s="421">
        <v>19</v>
      </c>
      <c r="F3462" s="580"/>
      <c r="G3462" s="417" t="s">
        <v>2525</v>
      </c>
      <c r="H3462" s="598">
        <v>14288928</v>
      </c>
      <c r="I3462" s="322" t="s">
        <v>2526</v>
      </c>
      <c r="J3462" s="418"/>
      <c r="K3462" s="248"/>
      <c r="M3462" s="366"/>
    </row>
    <row r="3463" spans="1:13" x14ac:dyDescent="0.25">
      <c r="A3463" s="308">
        <v>45664</v>
      </c>
      <c r="B3463" s="416">
        <v>871781</v>
      </c>
      <c r="C3463" s="413" t="str">
        <f>IFERROR(INDEX(Table14[],MATCH($B3463,Table14[SAPNo],0),3),"")</f>
        <v>Round 1313 CT200  0.018" (B)</v>
      </c>
      <c r="D3463" s="306" t="s">
        <v>12</v>
      </c>
      <c r="E3463" s="421">
        <v>6</v>
      </c>
      <c r="F3463" s="580"/>
      <c r="G3463" s="417" t="s">
        <v>2525</v>
      </c>
      <c r="H3463" s="598">
        <v>14288928</v>
      </c>
      <c r="I3463" s="322" t="s">
        <v>2526</v>
      </c>
      <c r="J3463" s="418"/>
      <c r="K3463" s="248"/>
      <c r="M3463" s="366"/>
    </row>
    <row r="3464" spans="1:13" x14ac:dyDescent="0.25">
      <c r="A3464" s="308">
        <v>45665</v>
      </c>
      <c r="B3464" s="416">
        <v>1146737</v>
      </c>
      <c r="C3464" s="413" t="str">
        <f>IFERROR(INDEX(Table14[],MATCH($B3464,Table14[SAPNo],0),3),"")</f>
        <v>1613 CT418 18-60</v>
      </c>
      <c r="D3464" s="306" t="s">
        <v>12</v>
      </c>
      <c r="E3464" s="421">
        <v>9</v>
      </c>
      <c r="F3464" s="580"/>
      <c r="G3464" s="417" t="s">
        <v>2530</v>
      </c>
      <c r="H3464" s="598">
        <v>14073969</v>
      </c>
      <c r="I3464" s="322" t="s">
        <v>2524</v>
      </c>
      <c r="J3464" s="418"/>
      <c r="K3464" s="248"/>
      <c r="M3464" s="366"/>
    </row>
    <row r="3465" spans="1:13" x14ac:dyDescent="0.25">
      <c r="A3465" s="308">
        <v>45665</v>
      </c>
      <c r="B3465" s="416">
        <v>1208601</v>
      </c>
      <c r="C3465" s="413" t="str">
        <f>IFERROR(INDEX(Table14[],MATCH($B3465,Table14[SAPNo],0),3),"")</f>
        <v>1613 CT418 U-60</v>
      </c>
      <c r="D3465" s="306" t="s">
        <v>12</v>
      </c>
      <c r="E3465" s="421">
        <v>15</v>
      </c>
      <c r="F3465" s="580"/>
      <c r="G3465" s="417" t="s">
        <v>2530</v>
      </c>
      <c r="H3465" s="598">
        <v>14073969</v>
      </c>
      <c r="I3465" s="322" t="s">
        <v>2524</v>
      </c>
      <c r="J3465" s="418"/>
      <c r="K3465" s="248"/>
      <c r="M3465" s="366"/>
    </row>
    <row r="3466" spans="1:13" x14ac:dyDescent="0.25">
      <c r="A3466" s="308">
        <v>45665</v>
      </c>
      <c r="B3466" s="416">
        <v>1263823</v>
      </c>
      <c r="C3466" s="413" t="str">
        <f>IFERROR(INDEX(Table14[],MATCH($B3466,Table14[SAPNo],0),3),"")</f>
        <v>1613 CT170R U</v>
      </c>
      <c r="D3466" s="306" t="s">
        <v>12</v>
      </c>
      <c r="E3466" s="421">
        <v>42</v>
      </c>
      <c r="F3466" s="580"/>
      <c r="G3466" s="417" t="s">
        <v>2530</v>
      </c>
      <c r="H3466" s="598">
        <v>14073969</v>
      </c>
      <c r="I3466" s="322" t="s">
        <v>2524</v>
      </c>
      <c r="J3466" s="418"/>
      <c r="K3466" s="248"/>
      <c r="M3466" s="366"/>
    </row>
    <row r="3467" spans="1:13" x14ac:dyDescent="0.25">
      <c r="A3467" s="308">
        <v>45665</v>
      </c>
      <c r="B3467" s="416">
        <v>1271790</v>
      </c>
      <c r="C3467" s="413" t="str">
        <f>IFERROR(INDEX(Table14[],MATCH($B3467,Table14[SAPNo],0),3),"")</f>
        <v xml:space="preserve">1613 CT170 18-60 </v>
      </c>
      <c r="D3467" s="306" t="s">
        <v>12</v>
      </c>
      <c r="E3467" s="421">
        <v>13</v>
      </c>
      <c r="F3467" s="580"/>
      <c r="G3467" s="417" t="s">
        <v>2530</v>
      </c>
      <c r="H3467" s="598">
        <v>14073969</v>
      </c>
      <c r="I3467" s="322" t="s">
        <v>2524</v>
      </c>
      <c r="J3467" s="418"/>
      <c r="K3467" s="248"/>
      <c r="M3467" s="366"/>
    </row>
    <row r="3468" spans="1:13" x14ac:dyDescent="0.25">
      <c r="A3468" s="308">
        <v>45665</v>
      </c>
      <c r="B3468" s="416">
        <v>179734</v>
      </c>
      <c r="C3468" s="413" t="str">
        <f>IFERROR(INDEX(Table14[],MATCH($B3468,Table14[SAPNo],0),3),"")</f>
        <v>Long IPA 13    (C)</v>
      </c>
      <c r="D3468" s="306" t="s">
        <v>12</v>
      </c>
      <c r="E3468" s="421">
        <v>22</v>
      </c>
      <c r="F3468" s="580"/>
      <c r="G3468" s="417" t="s">
        <v>2530</v>
      </c>
      <c r="H3468" s="598">
        <v>14073969</v>
      </c>
      <c r="I3468" s="322" t="s">
        <v>2524</v>
      </c>
      <c r="J3468" s="418"/>
      <c r="K3468" s="248"/>
      <c r="M3468" s="366"/>
    </row>
    <row r="3469" spans="1:13" x14ac:dyDescent="0.25">
      <c r="A3469" s="308">
        <v>45665</v>
      </c>
      <c r="B3469" s="416">
        <v>410851</v>
      </c>
      <c r="C3469" s="413" t="str">
        <f>IFERROR(INDEX(Table14[],MATCH($B3469,Table14[SAPNo],0),3),"")</f>
        <v>PDC Dome 1308 CT31   (B)</v>
      </c>
      <c r="D3469" s="306" t="s">
        <v>12</v>
      </c>
      <c r="E3469" s="421">
        <v>28</v>
      </c>
      <c r="F3469" s="580"/>
      <c r="G3469" s="417" t="s">
        <v>2530</v>
      </c>
      <c r="H3469" s="598">
        <v>14073969</v>
      </c>
      <c r="I3469" s="322" t="s">
        <v>2524</v>
      </c>
      <c r="J3469" s="418"/>
      <c r="K3469" s="248"/>
      <c r="M3469" s="366"/>
    </row>
    <row r="3470" spans="1:13" x14ac:dyDescent="0.25">
      <c r="A3470" s="308">
        <v>45665</v>
      </c>
      <c r="B3470" s="416">
        <v>418525</v>
      </c>
      <c r="C3470" s="413" t="str">
        <f>IFERROR(INDEX(Table14[],MATCH($B3470,Table14[SAPNo],0),3),"")</f>
        <v>Drop In 1308 CT31   (B)</v>
      </c>
      <c r="D3470" s="306" t="s">
        <v>12</v>
      </c>
      <c r="E3470" s="421">
        <v>7</v>
      </c>
      <c r="F3470" s="580"/>
      <c r="G3470" s="417" t="s">
        <v>2530</v>
      </c>
      <c r="H3470" s="598">
        <v>14073969</v>
      </c>
      <c r="I3470" s="322" t="s">
        <v>2524</v>
      </c>
      <c r="J3470" s="418"/>
      <c r="K3470" s="248"/>
      <c r="M3470" s="366"/>
    </row>
    <row r="3471" spans="1:13" x14ac:dyDescent="0.25">
      <c r="A3471" s="308">
        <v>45665</v>
      </c>
      <c r="B3471" s="416">
        <v>871781</v>
      </c>
      <c r="C3471" s="413" t="str">
        <f>IFERROR(INDEX(Table14[],MATCH($B3471,Table14[SAPNo],0),3),"")</f>
        <v>Round 1313 CT200  0.018" (B)</v>
      </c>
      <c r="D3471" s="306" t="s">
        <v>12</v>
      </c>
      <c r="E3471" s="421">
        <v>42</v>
      </c>
      <c r="F3471" s="580"/>
      <c r="G3471" s="417" t="s">
        <v>2530</v>
      </c>
      <c r="H3471" s="598">
        <v>14073969</v>
      </c>
      <c r="I3471" s="322" t="s">
        <v>2524</v>
      </c>
      <c r="J3471" s="418"/>
      <c r="K3471" s="248"/>
      <c r="M3471" s="366"/>
    </row>
    <row r="3472" spans="1:13" x14ac:dyDescent="0.25">
      <c r="A3472" s="320">
        <v>45665</v>
      </c>
      <c r="B3472" s="419">
        <v>717748</v>
      </c>
      <c r="C3472" s="413" t="str">
        <f>IFERROR(INDEX(Table14[],MATCH($B3472,Table14[SAPNo],0),3),"")</f>
        <v>Round 1010 CT200  0.018" (B)</v>
      </c>
      <c r="D3472" s="306" t="s">
        <v>12</v>
      </c>
      <c r="E3472" s="421">
        <v>19</v>
      </c>
      <c r="F3472" s="580"/>
      <c r="G3472" s="420" t="s">
        <v>2531</v>
      </c>
      <c r="H3472" s="599">
        <v>14273126</v>
      </c>
      <c r="I3472" s="322" t="s">
        <v>2362</v>
      </c>
      <c r="J3472" s="421"/>
      <c r="K3472" s="422"/>
      <c r="M3472" s="366"/>
    </row>
    <row r="3473" spans="1:13" x14ac:dyDescent="0.25">
      <c r="A3473" s="308">
        <v>45666</v>
      </c>
      <c r="B3473" s="416">
        <v>418525</v>
      </c>
      <c r="C3473" s="413" t="str">
        <f>IFERROR(INDEX(Table14[],MATCH($B3473,Table14[SAPNo],0),3),"")</f>
        <v>Drop In 1308 CT31   (B)</v>
      </c>
      <c r="D3473" s="420" t="s">
        <v>12</v>
      </c>
      <c r="E3473" s="421">
        <v>7</v>
      </c>
      <c r="F3473" s="421"/>
      <c r="G3473" s="417" t="s">
        <v>2532</v>
      </c>
      <c r="H3473" s="598">
        <v>13945089</v>
      </c>
      <c r="I3473" s="322" t="s">
        <v>2533</v>
      </c>
      <c r="J3473" s="418"/>
      <c r="K3473" s="248"/>
      <c r="M3473" s="422"/>
    </row>
    <row r="3474" spans="1:13" x14ac:dyDescent="0.25">
      <c r="A3474" s="308">
        <v>45666</v>
      </c>
      <c r="B3474" s="416">
        <v>418525</v>
      </c>
      <c r="C3474" s="413" t="str">
        <f>IFERROR(INDEX(Table14[],MATCH($B3474,Table14[SAPNo],0),3),"")</f>
        <v>Drop In 1308 CT31   (B)</v>
      </c>
      <c r="D3474" s="733" t="s">
        <v>12</v>
      </c>
      <c r="E3474" s="421">
        <v>4</v>
      </c>
      <c r="F3474" s="580"/>
      <c r="G3474" s="417" t="s">
        <v>2534</v>
      </c>
      <c r="H3474" s="598">
        <v>14110983</v>
      </c>
      <c r="I3474" s="322" t="s">
        <v>2535</v>
      </c>
      <c r="J3474" s="418"/>
      <c r="K3474" s="248"/>
      <c r="M3474" s="366"/>
    </row>
    <row r="3475" spans="1:13" x14ac:dyDescent="0.25">
      <c r="A3475" s="308">
        <v>45666</v>
      </c>
      <c r="B3475" s="416">
        <v>1130217</v>
      </c>
      <c r="C3475" s="413" t="str">
        <f>IFERROR(INDEX(Table14[],MATCH($B3475,Table14[SAPNo],0),3),"")</f>
        <v>Round 1010 CT182   10C (S)</v>
      </c>
      <c r="D3475" s="733" t="s">
        <v>12</v>
      </c>
      <c r="E3475" s="421">
        <v>19</v>
      </c>
      <c r="F3475" s="580"/>
      <c r="G3475" s="417" t="s">
        <v>2536</v>
      </c>
      <c r="H3475" s="598">
        <v>14293146</v>
      </c>
      <c r="I3475" s="322" t="s">
        <v>2362</v>
      </c>
      <c r="J3475" s="418"/>
      <c r="K3475" s="248"/>
      <c r="M3475" s="366"/>
    </row>
    <row r="3476" spans="1:13" x14ac:dyDescent="0.25">
      <c r="A3476" s="308">
        <v>45666</v>
      </c>
      <c r="B3476" s="416">
        <v>1244299</v>
      </c>
      <c r="C3476" s="413" t="str">
        <f>IFERROR(INDEX(Table14[],MATCH($B3476,Table14[SAPNo],0),3),"")</f>
        <v>1313 CT147CV4 U</v>
      </c>
      <c r="D3476" s="733" t="s">
        <v>12</v>
      </c>
      <c r="E3476" s="421">
        <v>2</v>
      </c>
      <c r="F3476" s="580"/>
      <c r="G3476" s="417">
        <v>20251003</v>
      </c>
      <c r="H3476" s="598" t="s">
        <v>2537</v>
      </c>
      <c r="I3476" s="322" t="s">
        <v>1322</v>
      </c>
      <c r="J3476" s="418"/>
      <c r="K3476" s="248"/>
      <c r="M3476" s="366"/>
    </row>
    <row r="3477" spans="1:13" x14ac:dyDescent="0.25">
      <c r="A3477" s="308">
        <v>45666</v>
      </c>
      <c r="B3477" s="416">
        <v>418525</v>
      </c>
      <c r="C3477" s="413" t="str">
        <f>IFERROR(INDEX(Table14[],MATCH($B3477,Table14[SAPNo],0),3),"")</f>
        <v>Drop In 1308 CT31   (B)</v>
      </c>
      <c r="D3477" s="733" t="s">
        <v>12</v>
      </c>
      <c r="E3477" s="421">
        <v>1</v>
      </c>
      <c r="F3477" s="580"/>
      <c r="G3477" s="417">
        <v>20251003</v>
      </c>
      <c r="H3477" s="598" t="s">
        <v>2537</v>
      </c>
      <c r="I3477" s="322" t="s">
        <v>1322</v>
      </c>
      <c r="J3477" s="418"/>
      <c r="K3477" s="248"/>
      <c r="M3477" s="366"/>
    </row>
    <row r="3478" spans="1:13" x14ac:dyDescent="0.25">
      <c r="A3478" s="308">
        <v>45666</v>
      </c>
      <c r="B3478" s="416">
        <v>1100696</v>
      </c>
      <c r="C3478" s="413" t="str">
        <f>IFERROR(INDEX(Table14[],MATCH($B3478,Table14[SAPNo],0),3),"")</f>
        <v>Round 1313 CT418  10C (S)</v>
      </c>
      <c r="D3478" s="733" t="s">
        <v>12</v>
      </c>
      <c r="E3478" s="421">
        <v>6</v>
      </c>
      <c r="F3478" s="580"/>
      <c r="G3478" s="417">
        <v>20251003</v>
      </c>
      <c r="H3478" s="598" t="s">
        <v>2537</v>
      </c>
      <c r="I3478" s="322" t="s">
        <v>1322</v>
      </c>
      <c r="J3478" s="418"/>
      <c r="K3478" s="248"/>
      <c r="M3478" s="366"/>
    </row>
    <row r="3479" spans="1:13" x14ac:dyDescent="0.25">
      <c r="A3479" s="308">
        <v>45669</v>
      </c>
      <c r="B3479" s="416">
        <v>1130217</v>
      </c>
      <c r="C3479" s="413" t="str">
        <f>IFERROR(INDEX(Table14[],MATCH($B3479,Table14[SAPNo],0),3),"")</f>
        <v>Round 1010 CT182   10C (S)</v>
      </c>
      <c r="D3479" s="733" t="s">
        <v>12</v>
      </c>
      <c r="E3479" s="421">
        <v>10</v>
      </c>
      <c r="F3479" s="580"/>
      <c r="G3479" s="417">
        <v>20251004</v>
      </c>
      <c r="H3479" s="598" t="s">
        <v>2538</v>
      </c>
      <c r="I3479" s="322" t="s">
        <v>1069</v>
      </c>
      <c r="J3479" s="418"/>
      <c r="K3479" s="248"/>
      <c r="M3479" s="366"/>
    </row>
    <row r="3480" spans="1:13" x14ac:dyDescent="0.25">
      <c r="A3480" s="308">
        <v>45669</v>
      </c>
      <c r="B3480" s="416">
        <v>1244299</v>
      </c>
      <c r="C3480" s="413" t="str">
        <f>IFERROR(INDEX(Table14[],MATCH($B3480,Table14[SAPNo],0),3),"")</f>
        <v>1313 CT147CV4 U</v>
      </c>
      <c r="D3480" s="733" t="s">
        <v>12</v>
      </c>
      <c r="E3480" s="421">
        <v>1</v>
      </c>
      <c r="F3480" s="580"/>
      <c r="G3480" s="417">
        <v>20251006</v>
      </c>
      <c r="H3480" s="598" t="s">
        <v>2539</v>
      </c>
      <c r="I3480" s="322" t="s">
        <v>2449</v>
      </c>
      <c r="J3480" s="418"/>
      <c r="K3480" s="248"/>
      <c r="M3480" s="366"/>
    </row>
    <row r="3481" spans="1:13" x14ac:dyDescent="0.25">
      <c r="A3481" s="308">
        <v>45669</v>
      </c>
      <c r="B3481" s="416">
        <v>1100696</v>
      </c>
      <c r="C3481" s="413" t="str">
        <f>IFERROR(INDEX(Table14[],MATCH($B3481,Table14[SAPNo],0),3),"")</f>
        <v>Round 1313 CT418  10C (S)</v>
      </c>
      <c r="D3481" s="733" t="s">
        <v>12</v>
      </c>
      <c r="E3481" s="421">
        <v>5</v>
      </c>
      <c r="F3481" s="580"/>
      <c r="G3481" s="417">
        <v>20251006</v>
      </c>
      <c r="H3481" s="598" t="s">
        <v>2539</v>
      </c>
      <c r="I3481" s="322" t="s">
        <v>2449</v>
      </c>
      <c r="J3481" s="418"/>
      <c r="K3481" s="248"/>
      <c r="M3481" s="366"/>
    </row>
    <row r="3482" spans="1:13" x14ac:dyDescent="0.25">
      <c r="A3482" s="308">
        <v>45669</v>
      </c>
      <c r="B3482" s="416">
        <v>1146737</v>
      </c>
      <c r="C3482" s="413" t="str">
        <f>IFERROR(INDEX(Table14[],MATCH($B3482,Table14[SAPNo],0),3),"")</f>
        <v>1613 CT418 18-60</v>
      </c>
      <c r="D3482" s="733" t="s">
        <v>12</v>
      </c>
      <c r="E3482" s="421">
        <v>1</v>
      </c>
      <c r="F3482" s="580"/>
      <c r="G3482" s="417" t="s">
        <v>2530</v>
      </c>
      <c r="H3482" s="598">
        <v>14073969</v>
      </c>
      <c r="I3482" s="322" t="s">
        <v>2524</v>
      </c>
      <c r="J3482" s="418"/>
      <c r="K3482" s="248"/>
      <c r="M3482" s="366"/>
    </row>
    <row r="3483" spans="1:13" x14ac:dyDescent="0.25">
      <c r="A3483" s="308">
        <v>45670</v>
      </c>
      <c r="B3483" s="416">
        <v>1100755</v>
      </c>
      <c r="C3483" s="413" t="str">
        <f>IFERROR(INDEX(Table14[],MATCH($B3483,Table14[SAPNo],0),3),"")</f>
        <v>Round 1613 CT421  0.018" (S)</v>
      </c>
      <c r="D3483" s="733" t="s">
        <v>12</v>
      </c>
      <c r="E3483" s="421">
        <v>30</v>
      </c>
      <c r="F3483" s="580"/>
      <c r="G3483" s="417" t="s">
        <v>2540</v>
      </c>
      <c r="H3483" s="598">
        <v>14247172</v>
      </c>
      <c r="I3483" s="322" t="s">
        <v>2541</v>
      </c>
      <c r="J3483" s="418"/>
      <c r="K3483" s="248"/>
      <c r="M3483" s="366"/>
    </row>
    <row r="3484" spans="1:13" x14ac:dyDescent="0.25">
      <c r="A3484" s="308">
        <v>45670</v>
      </c>
      <c r="B3484" s="416">
        <v>1146737</v>
      </c>
      <c r="C3484" s="413" t="str">
        <f>IFERROR(INDEX(Table14[],MATCH($B3484,Table14[SAPNo],0),3),"")</f>
        <v>1613 CT418 18-60</v>
      </c>
      <c r="D3484" s="733" t="s">
        <v>12</v>
      </c>
      <c r="E3484" s="421">
        <v>31</v>
      </c>
      <c r="F3484" s="580"/>
      <c r="G3484" s="417" t="s">
        <v>2540</v>
      </c>
      <c r="H3484" s="598">
        <v>14247172</v>
      </c>
      <c r="I3484" s="322" t="s">
        <v>2541</v>
      </c>
      <c r="J3484" s="418"/>
      <c r="K3484" s="248"/>
      <c r="M3484" s="366"/>
    </row>
    <row r="3485" spans="1:13" x14ac:dyDescent="0.25">
      <c r="A3485" s="308">
        <v>45670</v>
      </c>
      <c r="B3485" s="416">
        <v>1209410</v>
      </c>
      <c r="C3485" s="413" t="str">
        <f>IFERROR(INDEX(Table14[],MATCH($B3485,Table14[SAPNo],0),3),"")</f>
        <v>1613 CT430MV3 U TBO</v>
      </c>
      <c r="D3485" s="733" t="s">
        <v>12</v>
      </c>
      <c r="E3485" s="421">
        <v>46</v>
      </c>
      <c r="F3485" s="580"/>
      <c r="G3485" s="417" t="s">
        <v>2540</v>
      </c>
      <c r="H3485" s="598">
        <v>14247172</v>
      </c>
      <c r="I3485" s="322" t="s">
        <v>2541</v>
      </c>
      <c r="J3485" s="418"/>
      <c r="K3485" s="248"/>
      <c r="M3485" s="366"/>
    </row>
    <row r="3486" spans="1:13" x14ac:dyDescent="0.25">
      <c r="A3486" s="308">
        <v>45670</v>
      </c>
      <c r="B3486" s="416">
        <v>625854</v>
      </c>
      <c r="C3486" s="413" t="str">
        <f>IFERROR(INDEX(Table14[],MATCH($B3486,Table14[SAPNo],0),3),"")</f>
        <v>Carbide IA 1318    (C)</v>
      </c>
      <c r="D3486" s="733" t="s">
        <v>12</v>
      </c>
      <c r="E3486" s="421">
        <v>17</v>
      </c>
      <c r="F3486" s="580"/>
      <c r="G3486" s="417" t="s">
        <v>2540</v>
      </c>
      <c r="H3486" s="598">
        <v>14247172</v>
      </c>
      <c r="I3486" s="322" t="s">
        <v>2541</v>
      </c>
      <c r="J3486" s="418"/>
      <c r="K3486" s="248"/>
      <c r="M3486" s="366"/>
    </row>
    <row r="3487" spans="1:13" x14ac:dyDescent="0.25">
      <c r="A3487" s="308">
        <v>45670</v>
      </c>
      <c r="B3487" s="416">
        <v>418525</v>
      </c>
      <c r="C3487" s="413" t="str">
        <f>IFERROR(INDEX(Table14[],MATCH($B3487,Table14[SAPNo],0),3),"")</f>
        <v>Drop In 1308 CT31   (B)</v>
      </c>
      <c r="D3487" s="733" t="s">
        <v>12</v>
      </c>
      <c r="E3487" s="421">
        <v>6</v>
      </c>
      <c r="F3487" s="580"/>
      <c r="G3487" s="417" t="s">
        <v>2540</v>
      </c>
      <c r="H3487" s="598">
        <v>14247172</v>
      </c>
      <c r="I3487" s="322" t="s">
        <v>2541</v>
      </c>
      <c r="J3487" s="418"/>
      <c r="K3487" s="248"/>
      <c r="M3487" s="366"/>
    </row>
    <row r="3488" spans="1:13" x14ac:dyDescent="0.25">
      <c r="A3488" s="308">
        <v>45671</v>
      </c>
      <c r="B3488" s="416">
        <v>1100696</v>
      </c>
      <c r="C3488" s="413" t="str">
        <f>IFERROR(INDEX(Table14[],MATCH($B3488,Table14[SAPNo],0),3),"")</f>
        <v>Round 1313 CT418  10C (S)</v>
      </c>
      <c r="D3488" s="733" t="s">
        <v>12</v>
      </c>
      <c r="E3488" s="421">
        <v>7</v>
      </c>
      <c r="F3488" s="580"/>
      <c r="G3488" s="417">
        <v>20251005</v>
      </c>
      <c r="H3488" s="598" t="s">
        <v>2542</v>
      </c>
      <c r="I3488" s="322" t="s">
        <v>2196</v>
      </c>
      <c r="J3488" s="418"/>
      <c r="K3488" s="248"/>
      <c r="M3488" s="366"/>
    </row>
    <row r="3489" spans="1:13" x14ac:dyDescent="0.25">
      <c r="A3489" s="308">
        <v>45671</v>
      </c>
      <c r="B3489" s="416">
        <v>418525</v>
      </c>
      <c r="C3489" s="413" t="str">
        <f>IFERROR(INDEX(Table14[],MATCH($B3489,Table14[SAPNo],0),3),"")</f>
        <v>Drop In 1308 CT31   (B)</v>
      </c>
      <c r="D3489" s="733" t="s">
        <v>12</v>
      </c>
      <c r="E3489" s="421">
        <v>1</v>
      </c>
      <c r="F3489" s="580"/>
      <c r="G3489" s="417">
        <v>20251005</v>
      </c>
      <c r="H3489" s="598" t="s">
        <v>2542</v>
      </c>
      <c r="I3489" s="322" t="s">
        <v>2196</v>
      </c>
      <c r="J3489" s="418"/>
      <c r="K3489" s="248"/>
      <c r="M3489" s="366"/>
    </row>
    <row r="3490" spans="1:13" x14ac:dyDescent="0.25">
      <c r="A3490" s="320">
        <v>45671</v>
      </c>
      <c r="B3490" s="419">
        <v>1272309</v>
      </c>
      <c r="C3490" s="413" t="str">
        <f>IFERROR(INDEX(Table14[],MATCH($B3490,Table14[SAPNo],0),3),"")</f>
        <v>1313 CT170T U</v>
      </c>
      <c r="D3490" s="733" t="s">
        <v>12</v>
      </c>
      <c r="E3490" s="421">
        <v>3</v>
      </c>
      <c r="F3490" s="580"/>
      <c r="G3490" s="420">
        <v>20251005</v>
      </c>
      <c r="H3490" s="599" t="s">
        <v>2542</v>
      </c>
      <c r="I3490" s="322" t="s">
        <v>2196</v>
      </c>
      <c r="J3490" s="421"/>
      <c r="K3490" s="422"/>
      <c r="M3490" s="366"/>
    </row>
    <row r="3491" spans="1:13" x14ac:dyDescent="0.25">
      <c r="A3491" s="320">
        <v>45671</v>
      </c>
      <c r="B3491" s="419">
        <v>1272309</v>
      </c>
      <c r="C3491" s="413" t="str">
        <f>IFERROR(INDEX(Table14[],MATCH($B3491,Table14[SAPNo],0),3),"")</f>
        <v>1313 CT170T U</v>
      </c>
      <c r="D3491" s="420" t="s">
        <v>12</v>
      </c>
      <c r="E3491" s="421">
        <v>1</v>
      </c>
      <c r="F3491" s="421"/>
      <c r="G3491" s="420">
        <v>20251005</v>
      </c>
      <c r="H3491" s="599" t="s">
        <v>2542</v>
      </c>
      <c r="I3491" s="322" t="s">
        <v>2196</v>
      </c>
      <c r="J3491" s="421"/>
      <c r="K3491" s="422"/>
      <c r="M3491" s="422"/>
    </row>
    <row r="3492" spans="1:13" x14ac:dyDescent="0.25">
      <c r="A3492" s="308">
        <v>45658</v>
      </c>
      <c r="B3492" s="416">
        <v>1288721</v>
      </c>
      <c r="C3492" s="413" t="str">
        <f>IFERROR(INDEX(Table14[],MATCH($B3492,Table14[SAPNo],0),3),"")</f>
        <v>1613 CT176 0.018</v>
      </c>
      <c r="D3492" s="420" t="s">
        <v>12</v>
      </c>
      <c r="E3492" s="421">
        <v>3</v>
      </c>
      <c r="F3492" s="421"/>
      <c r="G3492" s="417" t="s">
        <v>2517</v>
      </c>
      <c r="H3492" s="598" t="s">
        <v>2518</v>
      </c>
      <c r="I3492" s="322" t="s">
        <v>2179</v>
      </c>
      <c r="J3492" s="418"/>
      <c r="K3492" s="248"/>
      <c r="M3492" s="422"/>
    </row>
    <row r="3493" spans="1:13" x14ac:dyDescent="0.25">
      <c r="A3493" s="308">
        <v>45672</v>
      </c>
      <c r="B3493" s="416">
        <v>1130217</v>
      </c>
      <c r="C3493" s="413" t="str">
        <f>IFERROR(INDEX(Table14[],MATCH($B3493,Table14[SAPNo],0),3),"")</f>
        <v>Round 1010 CT182   10C (S)</v>
      </c>
      <c r="D3493" s="420" t="s">
        <v>12</v>
      </c>
      <c r="E3493" s="421">
        <v>1</v>
      </c>
      <c r="F3493" s="580"/>
      <c r="G3493" s="417">
        <v>20251004</v>
      </c>
      <c r="H3493" s="598" t="s">
        <v>2538</v>
      </c>
      <c r="I3493" s="322" t="s">
        <v>1069</v>
      </c>
      <c r="J3493" s="418"/>
      <c r="K3493" s="248" t="s">
        <v>2546</v>
      </c>
      <c r="M3493" s="366"/>
    </row>
    <row r="3494" spans="1:13" x14ac:dyDescent="0.25">
      <c r="A3494" s="308">
        <v>45672</v>
      </c>
      <c r="B3494" s="416">
        <v>1244299</v>
      </c>
      <c r="C3494" s="413" t="str">
        <f>IFERROR(INDEX(Table14[],MATCH($B3494,Table14[SAPNo],0),3),"")</f>
        <v>1313 CT147CV4 U</v>
      </c>
      <c r="D3494" s="420" t="s">
        <v>12</v>
      </c>
      <c r="E3494" s="421">
        <v>1</v>
      </c>
      <c r="F3494" s="580"/>
      <c r="G3494" s="417">
        <v>20251007</v>
      </c>
      <c r="H3494" s="598" t="s">
        <v>2547</v>
      </c>
      <c r="I3494" s="322" t="s">
        <v>1781</v>
      </c>
      <c r="J3494" s="418"/>
      <c r="K3494" s="248"/>
      <c r="M3494" s="366"/>
    </row>
    <row r="3495" spans="1:13" x14ac:dyDescent="0.25">
      <c r="A3495" s="308">
        <v>45672</v>
      </c>
      <c r="B3495" s="416">
        <v>1100696</v>
      </c>
      <c r="C3495" s="413" t="str">
        <f>IFERROR(INDEX(Table14[],MATCH($B3495,Table14[SAPNo],0),3),"")</f>
        <v>Round 1313 CT418  10C (S)</v>
      </c>
      <c r="D3495" s="420" t="s">
        <v>12</v>
      </c>
      <c r="E3495" s="421">
        <v>4</v>
      </c>
      <c r="F3495" s="580"/>
      <c r="G3495" s="417">
        <v>20251007</v>
      </c>
      <c r="H3495" s="598" t="s">
        <v>2547</v>
      </c>
      <c r="I3495" s="322" t="s">
        <v>1781</v>
      </c>
      <c r="J3495" s="418"/>
      <c r="K3495" s="248"/>
      <c r="M3495" s="366"/>
    </row>
    <row r="3496" spans="1:13" x14ac:dyDescent="0.25">
      <c r="A3496" s="308">
        <v>45672</v>
      </c>
      <c r="B3496" s="416">
        <v>418525</v>
      </c>
      <c r="C3496" s="413" t="str">
        <f>IFERROR(INDEX(Table14[],MATCH($B3496,Table14[SAPNo],0),3),"")</f>
        <v>Drop In 1308 CT31   (B)</v>
      </c>
      <c r="D3496" s="420" t="s">
        <v>12</v>
      </c>
      <c r="E3496" s="421">
        <v>2</v>
      </c>
      <c r="F3496" s="580"/>
      <c r="G3496" s="417">
        <v>20251007</v>
      </c>
      <c r="H3496" s="598" t="s">
        <v>2547</v>
      </c>
      <c r="I3496" s="322" t="s">
        <v>1781</v>
      </c>
      <c r="J3496" s="418"/>
      <c r="K3496" s="248"/>
      <c r="M3496" s="366"/>
    </row>
    <row r="3497" spans="1:13" x14ac:dyDescent="0.25">
      <c r="A3497" s="308">
        <v>45672</v>
      </c>
      <c r="B3497" s="416">
        <v>1145493</v>
      </c>
      <c r="C3497" s="413" t="str">
        <f>IFERROR(INDEX(Table14[],MATCH($B3497,Table14[SAPNo],0),3),"")</f>
        <v>Round 1313 CT427  10C (S)</v>
      </c>
      <c r="D3497" s="420" t="s">
        <v>12</v>
      </c>
      <c r="E3497" s="421">
        <v>1</v>
      </c>
      <c r="F3497" s="580"/>
      <c r="G3497" s="417">
        <v>20251007</v>
      </c>
      <c r="H3497" s="598" t="s">
        <v>2547</v>
      </c>
      <c r="I3497" s="322" t="s">
        <v>1781</v>
      </c>
      <c r="J3497" s="418"/>
      <c r="K3497" s="248" t="s">
        <v>2546</v>
      </c>
      <c r="M3497" s="366"/>
    </row>
    <row r="3498" spans="1:13" x14ac:dyDescent="0.25">
      <c r="A3498" s="308">
        <v>45673</v>
      </c>
      <c r="B3498" s="416">
        <v>1228501</v>
      </c>
      <c r="C3498" s="413" t="str">
        <f>IFERROR(INDEX(Table14[],MATCH($B3498,Table14[SAPNo],0),3),"")</f>
        <v>1618 CT182 U-60 stator</v>
      </c>
      <c r="D3498" s="420" t="s">
        <v>12</v>
      </c>
      <c r="E3498" s="421">
        <v>10</v>
      </c>
      <c r="F3498" s="580"/>
      <c r="G3498" s="417" t="s">
        <v>2548</v>
      </c>
      <c r="H3498" s="598">
        <v>14293148</v>
      </c>
      <c r="I3498" s="322" t="s">
        <v>1275</v>
      </c>
      <c r="J3498" s="418"/>
      <c r="K3498" s="248"/>
      <c r="M3498" s="366"/>
    </row>
    <row r="3499" spans="1:13" x14ac:dyDescent="0.25">
      <c r="A3499" s="308">
        <v>45673</v>
      </c>
      <c r="B3499" s="416">
        <v>1228502</v>
      </c>
      <c r="C3499" s="413" t="str">
        <f>IFERROR(INDEX(Table14[],MATCH($B3499,Table14[SAPNo],0),3),"")</f>
        <v>1618 CT182 U-60 Rotor</v>
      </c>
      <c r="D3499" s="420" t="s">
        <v>12</v>
      </c>
      <c r="E3499" s="421">
        <v>10</v>
      </c>
      <c r="F3499" s="580"/>
      <c r="G3499" s="417" t="s">
        <v>2548</v>
      </c>
      <c r="H3499" s="598">
        <v>14293148</v>
      </c>
      <c r="I3499" s="322" t="s">
        <v>1275</v>
      </c>
      <c r="J3499" s="418"/>
      <c r="K3499" s="248"/>
      <c r="M3499" s="366"/>
    </row>
    <row r="3500" spans="1:13" x14ac:dyDescent="0.25">
      <c r="A3500" s="308">
        <v>45673</v>
      </c>
      <c r="B3500" s="416">
        <v>1228503</v>
      </c>
      <c r="C3500" s="413" t="str">
        <f>IFERROR(INDEX(Table14[],MATCH($B3500,Table14[SAPNo],0),3),"")</f>
        <v>1618 CT182 U-60 Ring</v>
      </c>
      <c r="D3500" s="420" t="s">
        <v>12</v>
      </c>
      <c r="E3500" s="421">
        <v>10</v>
      </c>
      <c r="F3500" s="580"/>
      <c r="G3500" s="417" t="s">
        <v>2548</v>
      </c>
      <c r="H3500" s="598">
        <v>14293148</v>
      </c>
      <c r="I3500" s="322" t="s">
        <v>1275</v>
      </c>
      <c r="J3500" s="418"/>
      <c r="K3500" s="248"/>
      <c r="M3500" s="366"/>
    </row>
    <row r="3501" spans="1:13" x14ac:dyDescent="0.25">
      <c r="A3501" s="308">
        <v>45673</v>
      </c>
      <c r="B3501" s="416">
        <v>1261319</v>
      </c>
      <c r="C3501" s="413" t="str">
        <f>IFERROR(INDEX(Table14[],MATCH($B3501,Table14[SAPNo],0),3),"")</f>
        <v>1308 CT155 U-60</v>
      </c>
      <c r="D3501" s="420" t="s">
        <v>12</v>
      </c>
      <c r="E3501" s="421">
        <v>24</v>
      </c>
      <c r="F3501" s="580"/>
      <c r="G3501" s="417" t="s">
        <v>2548</v>
      </c>
      <c r="H3501" s="598">
        <v>14293148</v>
      </c>
      <c r="I3501" s="322" t="s">
        <v>1275</v>
      </c>
      <c r="J3501" s="418"/>
      <c r="K3501" s="248"/>
      <c r="M3501" s="366"/>
    </row>
    <row r="3502" spans="1:13" x14ac:dyDescent="0.25">
      <c r="A3502" s="308">
        <v>45673</v>
      </c>
      <c r="B3502" s="416">
        <v>1261320</v>
      </c>
      <c r="C3502" s="413" t="str">
        <f>IFERROR(INDEX(Table14[],MATCH($B3502,Table14[SAPNo],0),3),"")</f>
        <v>1313 CT155 U-60</v>
      </c>
      <c r="D3502" s="420" t="s">
        <v>12</v>
      </c>
      <c r="E3502" s="421">
        <v>6</v>
      </c>
      <c r="F3502" s="580"/>
      <c r="G3502" s="417" t="s">
        <v>2548</v>
      </c>
      <c r="H3502" s="598">
        <v>14293148</v>
      </c>
      <c r="I3502" s="322" t="s">
        <v>1275</v>
      </c>
      <c r="J3502" s="418"/>
      <c r="K3502" s="248"/>
      <c r="M3502" s="366"/>
    </row>
    <row r="3503" spans="1:13" x14ac:dyDescent="0.25">
      <c r="A3503" s="308">
        <v>45673</v>
      </c>
      <c r="B3503" s="416">
        <v>871781</v>
      </c>
      <c r="C3503" s="413" t="str">
        <f>IFERROR(INDEX(Table14[],MATCH($B3503,Table14[SAPNo],0),3),"")</f>
        <v>Round 1313 CT200  0.018" (B)</v>
      </c>
      <c r="D3503" s="420" t="s">
        <v>12</v>
      </c>
      <c r="E3503" s="421">
        <v>6</v>
      </c>
      <c r="F3503" s="580"/>
      <c r="G3503" s="417" t="s">
        <v>2548</v>
      </c>
      <c r="H3503" s="598">
        <v>14293148</v>
      </c>
      <c r="I3503" s="322" t="s">
        <v>1275</v>
      </c>
      <c r="J3503" s="418"/>
      <c r="K3503" s="248"/>
      <c r="M3503" s="366"/>
    </row>
    <row r="3504" spans="1:13" x14ac:dyDescent="0.25">
      <c r="A3504" s="308">
        <v>45673</v>
      </c>
      <c r="B3504" s="416">
        <v>1261321</v>
      </c>
      <c r="C3504" s="413" t="str">
        <f>IFERROR(INDEX(Table14[],MATCH($B3504,Table14[SAPNo],0),3),"")</f>
        <v>1613 CT155 U-60</v>
      </c>
      <c r="D3504" s="420" t="s">
        <v>12</v>
      </c>
      <c r="E3504" s="421">
        <v>4</v>
      </c>
      <c r="F3504" s="580"/>
      <c r="G3504" s="417" t="s">
        <v>2548</v>
      </c>
      <c r="H3504" s="598">
        <v>14293148</v>
      </c>
      <c r="I3504" s="322" t="s">
        <v>1275</v>
      </c>
      <c r="J3504" s="418"/>
      <c r="K3504" s="248"/>
      <c r="M3504" s="366"/>
    </row>
    <row r="3505" spans="1:13" x14ac:dyDescent="0.25">
      <c r="A3505" s="308">
        <v>45673</v>
      </c>
      <c r="B3505" s="416">
        <v>1220554</v>
      </c>
      <c r="C3505" s="413" t="str">
        <f>IFERROR(INDEX(Table14[],MATCH($B3505,Table14[SAPNo],0),3),"")</f>
        <v xml:space="preserve">1618 CT182 U-60 Carbide </v>
      </c>
      <c r="D3505" s="420" t="s">
        <v>12</v>
      </c>
      <c r="E3505" s="421">
        <v>15</v>
      </c>
      <c r="F3505" s="580"/>
      <c r="G3505" s="417" t="s">
        <v>2548</v>
      </c>
      <c r="H3505" s="598">
        <v>14293148</v>
      </c>
      <c r="I3505" s="322" t="s">
        <v>1275</v>
      </c>
      <c r="J3505" s="418"/>
      <c r="K3505" s="248"/>
      <c r="M3505" s="366"/>
    </row>
    <row r="3506" spans="1:13" x14ac:dyDescent="0.25">
      <c r="A3506" s="308">
        <v>45673</v>
      </c>
      <c r="B3506" s="416">
        <v>1228502</v>
      </c>
      <c r="C3506" s="413" t="str">
        <f>IFERROR(INDEX(Table14[],MATCH($B3506,Table14[SAPNo],0),3),"")</f>
        <v>1618 CT182 U-60 Rotor</v>
      </c>
      <c r="D3506" s="420" t="s">
        <v>12</v>
      </c>
      <c r="E3506" s="421">
        <v>10</v>
      </c>
      <c r="F3506" s="580"/>
      <c r="G3506" s="417" t="s">
        <v>2549</v>
      </c>
      <c r="H3506" s="598">
        <v>14293149</v>
      </c>
      <c r="I3506" s="322" t="s">
        <v>1275</v>
      </c>
      <c r="J3506" s="418"/>
      <c r="K3506" s="248"/>
      <c r="M3506" s="366"/>
    </row>
    <row r="3507" spans="1:13" x14ac:dyDescent="0.25">
      <c r="A3507" s="308">
        <v>45673</v>
      </c>
      <c r="B3507" s="416">
        <v>871781</v>
      </c>
      <c r="C3507" s="413" t="str">
        <f>IFERROR(INDEX(Table14[],MATCH($B3507,Table14[SAPNo],0),3),"")</f>
        <v>Round 1313 CT200  0.018" (B)</v>
      </c>
      <c r="D3507" s="420" t="s">
        <v>12</v>
      </c>
      <c r="E3507" s="421">
        <v>6</v>
      </c>
      <c r="F3507" s="580"/>
      <c r="G3507" s="417" t="s">
        <v>2549</v>
      </c>
      <c r="H3507" s="598">
        <v>14293149</v>
      </c>
      <c r="I3507" s="322" t="s">
        <v>1275</v>
      </c>
      <c r="J3507" s="418"/>
      <c r="K3507" s="248"/>
      <c r="M3507" s="366"/>
    </row>
    <row r="3508" spans="1:13" x14ac:dyDescent="0.25">
      <c r="A3508" s="308">
        <v>45673</v>
      </c>
      <c r="B3508" s="416">
        <v>1261320</v>
      </c>
      <c r="C3508" s="413" t="str">
        <f>IFERROR(INDEX(Table14[],MATCH($B3508,Table14[SAPNo],0),3),"")</f>
        <v>1313 CT155 U-60</v>
      </c>
      <c r="D3508" s="420" t="s">
        <v>12</v>
      </c>
      <c r="E3508" s="421">
        <v>6</v>
      </c>
      <c r="F3508" s="580"/>
      <c r="G3508" s="417" t="s">
        <v>2549</v>
      </c>
      <c r="H3508" s="598">
        <v>14293149</v>
      </c>
      <c r="I3508" s="322" t="s">
        <v>1275</v>
      </c>
      <c r="J3508" s="418"/>
      <c r="K3508" s="248"/>
      <c r="M3508" s="366"/>
    </row>
    <row r="3509" spans="1:13" x14ac:dyDescent="0.25">
      <c r="A3509" s="308">
        <v>45673</v>
      </c>
      <c r="B3509" s="416">
        <v>1261321</v>
      </c>
      <c r="C3509" s="413" t="str">
        <f>IFERROR(INDEX(Table14[],MATCH($B3509,Table14[SAPNo],0),3),"")</f>
        <v>1613 CT155 U-60</v>
      </c>
      <c r="D3509" s="420" t="s">
        <v>12</v>
      </c>
      <c r="E3509" s="421">
        <v>4</v>
      </c>
      <c r="F3509" s="580"/>
      <c r="G3509" s="417" t="s">
        <v>2549</v>
      </c>
      <c r="H3509" s="598">
        <v>14293149</v>
      </c>
      <c r="I3509" s="322" t="s">
        <v>1275</v>
      </c>
      <c r="J3509" s="418"/>
      <c r="K3509" s="248"/>
      <c r="M3509" s="366"/>
    </row>
    <row r="3510" spans="1:13" x14ac:dyDescent="0.25">
      <c r="A3510" s="308">
        <v>45673</v>
      </c>
      <c r="B3510" s="416">
        <v>1261319</v>
      </c>
      <c r="C3510" s="413" t="str">
        <f>IFERROR(INDEX(Table14[],MATCH($B3510,Table14[SAPNo],0),3),"")</f>
        <v>1308 CT155 U-60</v>
      </c>
      <c r="D3510" s="420" t="s">
        <v>12</v>
      </c>
      <c r="E3510" s="421">
        <v>24</v>
      </c>
      <c r="F3510" s="580"/>
      <c r="G3510" s="417" t="s">
        <v>2549</v>
      </c>
      <c r="H3510" s="598">
        <v>14293149</v>
      </c>
      <c r="I3510" s="322" t="s">
        <v>1275</v>
      </c>
      <c r="J3510" s="418"/>
      <c r="K3510" s="248"/>
      <c r="M3510" s="366"/>
    </row>
    <row r="3511" spans="1:13" x14ac:dyDescent="0.25">
      <c r="A3511" s="308">
        <v>45673</v>
      </c>
      <c r="B3511" s="416">
        <v>1228501</v>
      </c>
      <c r="C3511" s="413" t="str">
        <f>IFERROR(INDEX(Table14[],MATCH($B3511,Table14[SAPNo],0),3),"")</f>
        <v>1618 CT182 U-60 stator</v>
      </c>
      <c r="D3511" s="420" t="s">
        <v>12</v>
      </c>
      <c r="E3511" s="421">
        <v>10</v>
      </c>
      <c r="F3511" s="580"/>
      <c r="G3511" s="417" t="s">
        <v>2549</v>
      </c>
      <c r="H3511" s="598">
        <v>14293149</v>
      </c>
      <c r="I3511" s="322" t="s">
        <v>1275</v>
      </c>
      <c r="J3511" s="418"/>
      <c r="K3511" s="248"/>
      <c r="M3511" s="366"/>
    </row>
    <row r="3512" spans="1:13" x14ac:dyDescent="0.25">
      <c r="A3512" s="308">
        <v>45673</v>
      </c>
      <c r="B3512" s="416">
        <v>1228503</v>
      </c>
      <c r="C3512" s="413" t="str">
        <f>IFERROR(INDEX(Table14[],MATCH($B3512,Table14[SAPNo],0),3),"")</f>
        <v>1618 CT182 U-60 Ring</v>
      </c>
      <c r="D3512" s="420" t="s">
        <v>12</v>
      </c>
      <c r="E3512" s="421">
        <v>10</v>
      </c>
      <c r="F3512" s="580"/>
      <c r="G3512" s="417" t="s">
        <v>2549</v>
      </c>
      <c r="H3512" s="598">
        <v>14293149</v>
      </c>
      <c r="I3512" s="322" t="s">
        <v>1275</v>
      </c>
      <c r="J3512" s="418"/>
      <c r="K3512" s="248"/>
      <c r="M3512" s="366"/>
    </row>
    <row r="3513" spans="1:13" x14ac:dyDescent="0.25">
      <c r="A3513" s="308">
        <v>45673</v>
      </c>
      <c r="B3513" s="416">
        <v>1220554</v>
      </c>
      <c r="C3513" s="413" t="str">
        <f>IFERROR(INDEX(Table14[],MATCH($B3513,Table14[SAPNo],0),3),"")</f>
        <v xml:space="preserve">1618 CT182 U-60 Carbide </v>
      </c>
      <c r="D3513" s="420" t="s">
        <v>12</v>
      </c>
      <c r="E3513" s="421">
        <v>10</v>
      </c>
      <c r="F3513" s="580"/>
      <c r="G3513" s="417" t="s">
        <v>2549</v>
      </c>
      <c r="H3513" s="598">
        <v>14293149</v>
      </c>
      <c r="I3513" s="322" t="s">
        <v>1275</v>
      </c>
      <c r="J3513" s="418"/>
      <c r="K3513" s="248"/>
      <c r="M3513" s="366"/>
    </row>
    <row r="3514" spans="1:13" x14ac:dyDescent="0.25">
      <c r="A3514" s="308">
        <v>45673</v>
      </c>
      <c r="B3514" s="416">
        <v>1228501</v>
      </c>
      <c r="C3514" s="413" t="str">
        <f>IFERROR(INDEX(Table14[],MATCH($B3514,Table14[SAPNo],0),3),"")</f>
        <v>1618 CT182 U-60 stator</v>
      </c>
      <c r="D3514" s="420" t="s">
        <v>12</v>
      </c>
      <c r="E3514" s="421">
        <v>10</v>
      </c>
      <c r="F3514" s="580"/>
      <c r="G3514" s="417" t="s">
        <v>2550</v>
      </c>
      <c r="H3514" s="598">
        <v>14293150</v>
      </c>
      <c r="I3514" s="322" t="s">
        <v>1275</v>
      </c>
      <c r="J3514" s="418"/>
      <c r="K3514" s="248"/>
      <c r="M3514" s="366"/>
    </row>
    <row r="3515" spans="1:13" x14ac:dyDescent="0.25">
      <c r="A3515" s="308">
        <v>45673</v>
      </c>
      <c r="B3515" s="416">
        <v>1228503</v>
      </c>
      <c r="C3515" s="413" t="str">
        <f>IFERROR(INDEX(Table14[],MATCH($B3515,Table14[SAPNo],0),3),"")</f>
        <v>1618 CT182 U-60 Ring</v>
      </c>
      <c r="D3515" s="420" t="s">
        <v>12</v>
      </c>
      <c r="E3515" s="421">
        <v>10</v>
      </c>
      <c r="F3515" s="580"/>
      <c r="G3515" s="417" t="s">
        <v>2550</v>
      </c>
      <c r="H3515" s="598">
        <v>14293150</v>
      </c>
      <c r="I3515" s="322" t="s">
        <v>1275</v>
      </c>
      <c r="J3515" s="418"/>
      <c r="K3515" s="248"/>
      <c r="M3515" s="366"/>
    </row>
    <row r="3516" spans="1:13" x14ac:dyDescent="0.25">
      <c r="A3516" s="308">
        <v>45673</v>
      </c>
      <c r="B3516" s="416">
        <v>1228502</v>
      </c>
      <c r="C3516" s="413" t="str">
        <f>IFERROR(INDEX(Table14[],MATCH($B3516,Table14[SAPNo],0),3),"")</f>
        <v>1618 CT182 U-60 Rotor</v>
      </c>
      <c r="D3516" s="420" t="s">
        <v>12</v>
      </c>
      <c r="E3516" s="421">
        <v>10</v>
      </c>
      <c r="F3516" s="580"/>
      <c r="G3516" s="417" t="s">
        <v>2550</v>
      </c>
      <c r="H3516" s="598">
        <v>14293150</v>
      </c>
      <c r="I3516" s="322" t="s">
        <v>1275</v>
      </c>
      <c r="J3516" s="418"/>
      <c r="K3516" s="248"/>
      <c r="M3516" s="366"/>
    </row>
    <row r="3517" spans="1:13" x14ac:dyDescent="0.25">
      <c r="A3517" s="308">
        <v>45673</v>
      </c>
      <c r="B3517" s="416">
        <v>1261321</v>
      </c>
      <c r="C3517" s="413" t="str">
        <f>IFERROR(INDEX(Table14[],MATCH($B3517,Table14[SAPNo],0),3),"")</f>
        <v>1613 CT155 U-60</v>
      </c>
      <c r="D3517" s="420" t="s">
        <v>12</v>
      </c>
      <c r="E3517" s="421">
        <v>4</v>
      </c>
      <c r="F3517" s="580"/>
      <c r="G3517" s="417" t="s">
        <v>2550</v>
      </c>
      <c r="H3517" s="598">
        <v>14293150</v>
      </c>
      <c r="I3517" s="322" t="s">
        <v>1275</v>
      </c>
      <c r="J3517" s="418"/>
      <c r="K3517" s="248"/>
      <c r="M3517" s="366"/>
    </row>
    <row r="3518" spans="1:13" x14ac:dyDescent="0.25">
      <c r="A3518" s="308">
        <v>45673</v>
      </c>
      <c r="B3518" s="416">
        <v>871781</v>
      </c>
      <c r="C3518" s="413" t="str">
        <f>IFERROR(INDEX(Table14[],MATCH($B3518,Table14[SAPNo],0),3),"")</f>
        <v>Round 1313 CT200  0.018" (B)</v>
      </c>
      <c r="D3518" s="420" t="s">
        <v>12</v>
      </c>
      <c r="E3518" s="421">
        <v>6</v>
      </c>
      <c r="F3518" s="580"/>
      <c r="G3518" s="417" t="s">
        <v>2550</v>
      </c>
      <c r="H3518" s="598">
        <v>14293150</v>
      </c>
      <c r="I3518" s="322" t="s">
        <v>1275</v>
      </c>
      <c r="J3518" s="418"/>
      <c r="K3518" s="248"/>
      <c r="M3518" s="366"/>
    </row>
    <row r="3519" spans="1:13" x14ac:dyDescent="0.25">
      <c r="A3519" s="308">
        <v>45673</v>
      </c>
      <c r="B3519" s="416">
        <v>1261319</v>
      </c>
      <c r="C3519" s="413" t="str">
        <f>IFERROR(INDEX(Table14[],MATCH($B3519,Table14[SAPNo],0),3),"")</f>
        <v>1308 CT155 U-60</v>
      </c>
      <c r="D3519" s="420" t="s">
        <v>12</v>
      </c>
      <c r="E3519" s="421">
        <v>24</v>
      </c>
      <c r="F3519" s="580"/>
      <c r="G3519" s="417" t="s">
        <v>2550</v>
      </c>
      <c r="H3519" s="598">
        <v>14293150</v>
      </c>
      <c r="I3519" s="322" t="s">
        <v>1275</v>
      </c>
      <c r="J3519" s="418"/>
      <c r="K3519" s="248"/>
      <c r="M3519" s="366"/>
    </row>
    <row r="3520" spans="1:13" x14ac:dyDescent="0.25">
      <c r="A3520" s="308">
        <v>45673</v>
      </c>
      <c r="B3520" s="416">
        <v>1261320</v>
      </c>
      <c r="C3520" s="413" t="str">
        <f>IFERROR(INDEX(Table14[],MATCH($B3520,Table14[SAPNo],0),3),"")</f>
        <v>1313 CT155 U-60</v>
      </c>
      <c r="D3520" s="420" t="s">
        <v>12</v>
      </c>
      <c r="E3520" s="421">
        <v>6</v>
      </c>
      <c r="F3520" s="580"/>
      <c r="G3520" s="417" t="s">
        <v>2550</v>
      </c>
      <c r="H3520" s="598">
        <v>14293150</v>
      </c>
      <c r="I3520" s="322" t="s">
        <v>1275</v>
      </c>
      <c r="J3520" s="418"/>
      <c r="K3520" s="248"/>
      <c r="M3520" s="366"/>
    </row>
    <row r="3521" spans="1:13" x14ac:dyDescent="0.25">
      <c r="A3521" s="308">
        <v>45673</v>
      </c>
      <c r="B3521" s="416">
        <v>1220554</v>
      </c>
      <c r="C3521" s="413" t="str">
        <f>IFERROR(INDEX(Table14[],MATCH($B3521,Table14[SAPNo],0),3),"")</f>
        <v xml:space="preserve">1618 CT182 U-60 Carbide </v>
      </c>
      <c r="D3521" s="420" t="s">
        <v>12</v>
      </c>
      <c r="E3521" s="421">
        <v>13</v>
      </c>
      <c r="F3521" s="580"/>
      <c r="G3521" s="417" t="s">
        <v>2550</v>
      </c>
      <c r="H3521" s="598">
        <v>14293150</v>
      </c>
      <c r="I3521" s="322" t="s">
        <v>1275</v>
      </c>
      <c r="J3521" s="418"/>
      <c r="K3521" s="248"/>
      <c r="M3521" s="366"/>
    </row>
    <row r="3522" spans="1:13" x14ac:dyDescent="0.25">
      <c r="A3522" s="308">
        <v>45673</v>
      </c>
      <c r="B3522" s="416">
        <v>1271790</v>
      </c>
      <c r="C3522" s="413" t="str">
        <f>IFERROR(INDEX(Table14[],MATCH($B3522,Table14[SAPNo],0),3),"")</f>
        <v xml:space="preserve">1613 CT170 18-60 </v>
      </c>
      <c r="D3522" s="420" t="s">
        <v>12</v>
      </c>
      <c r="E3522" s="421">
        <v>17</v>
      </c>
      <c r="F3522" s="580"/>
      <c r="G3522" s="417" t="s">
        <v>2551</v>
      </c>
      <c r="H3522" s="598">
        <v>14204333</v>
      </c>
      <c r="I3522" s="322" t="s">
        <v>1273</v>
      </c>
      <c r="J3522" s="418"/>
      <c r="K3522" s="248"/>
      <c r="M3522" s="366"/>
    </row>
    <row r="3523" spans="1:13" x14ac:dyDescent="0.25">
      <c r="A3523" s="308">
        <v>45673</v>
      </c>
      <c r="B3523" s="416">
        <v>1078377</v>
      </c>
      <c r="C3523" s="413" t="str">
        <f>IFERROR(INDEX(Table14[],MATCH($B3523,Table14[SAPNo],0),3),"")</f>
        <v>13MM CT221 R1</v>
      </c>
      <c r="D3523" s="420" t="s">
        <v>12</v>
      </c>
      <c r="E3523" s="421">
        <v>15</v>
      </c>
      <c r="F3523" s="580"/>
      <c r="G3523" s="417" t="s">
        <v>2551</v>
      </c>
      <c r="H3523" s="598">
        <v>14204333</v>
      </c>
      <c r="I3523" s="322" t="s">
        <v>1273</v>
      </c>
      <c r="J3523" s="418"/>
      <c r="K3523" s="248"/>
      <c r="M3523" s="366"/>
    </row>
    <row r="3524" spans="1:13" x14ac:dyDescent="0.25">
      <c r="A3524" s="308">
        <v>45673</v>
      </c>
      <c r="B3524" s="416">
        <v>418525</v>
      </c>
      <c r="C3524" s="413" t="str">
        <f>IFERROR(INDEX(Table14[],MATCH($B3524,Table14[SAPNo],0),3),"")</f>
        <v>Drop In 1308 CT31   (B)</v>
      </c>
      <c r="D3524" s="420" t="s">
        <v>12</v>
      </c>
      <c r="E3524" s="421">
        <v>6</v>
      </c>
      <c r="F3524" s="580"/>
      <c r="G3524" s="417" t="s">
        <v>2551</v>
      </c>
      <c r="H3524" s="598">
        <v>14204333</v>
      </c>
      <c r="I3524" s="322" t="s">
        <v>1273</v>
      </c>
      <c r="J3524" s="418"/>
      <c r="K3524" s="248"/>
      <c r="M3524" s="366"/>
    </row>
    <row r="3525" spans="1:13" x14ac:dyDescent="0.25">
      <c r="A3525" s="308">
        <v>45673</v>
      </c>
      <c r="B3525" s="416">
        <v>1208601</v>
      </c>
      <c r="C3525" s="413" t="str">
        <f>IFERROR(INDEX(Table14[],MATCH($B3525,Table14[SAPNo],0),3),"")</f>
        <v>1613 CT418 U-60</v>
      </c>
      <c r="D3525" s="420" t="s">
        <v>12</v>
      </c>
      <c r="E3525" s="421">
        <v>8</v>
      </c>
      <c r="F3525" s="580"/>
      <c r="G3525" s="417" t="s">
        <v>2551</v>
      </c>
      <c r="H3525" s="598">
        <v>14204333</v>
      </c>
      <c r="I3525" s="322" t="s">
        <v>1273</v>
      </c>
      <c r="J3525" s="418"/>
      <c r="K3525" s="248"/>
      <c r="M3525" s="366"/>
    </row>
    <row r="3526" spans="1:13" x14ac:dyDescent="0.25">
      <c r="A3526" s="308">
        <v>45673</v>
      </c>
      <c r="B3526" s="416">
        <v>1146737</v>
      </c>
      <c r="C3526" s="413" t="str">
        <f>IFERROR(INDEX(Table14[],MATCH($B3526,Table14[SAPNo],0),3),"")</f>
        <v>1613 CT418 18-60</v>
      </c>
      <c r="D3526" s="420" t="s">
        <v>12</v>
      </c>
      <c r="E3526" s="421">
        <v>6</v>
      </c>
      <c r="F3526" s="580"/>
      <c r="G3526" s="417" t="s">
        <v>2551</v>
      </c>
      <c r="H3526" s="598">
        <v>14204333</v>
      </c>
      <c r="I3526" s="322" t="s">
        <v>1273</v>
      </c>
      <c r="J3526" s="418"/>
      <c r="K3526" s="248"/>
      <c r="M3526" s="366"/>
    </row>
    <row r="3527" spans="1:13" x14ac:dyDescent="0.25">
      <c r="A3527" s="308">
        <v>45658</v>
      </c>
      <c r="B3527" s="416">
        <v>418525</v>
      </c>
      <c r="C3527" s="413" t="str">
        <f>IFERROR(INDEX(Table14[],MATCH($B3527,Table14[SAPNo],0),3),"")</f>
        <v>Drop In 1308 CT31   (B)</v>
      </c>
      <c r="D3527" s="420" t="s">
        <v>12</v>
      </c>
      <c r="E3527" s="421">
        <v>5</v>
      </c>
      <c r="F3527" s="580"/>
      <c r="G3527" s="417" t="s">
        <v>2517</v>
      </c>
      <c r="H3527" s="598" t="s">
        <v>2518</v>
      </c>
      <c r="I3527" s="322" t="s">
        <v>2179</v>
      </c>
      <c r="J3527" s="418"/>
      <c r="K3527" s="248"/>
      <c r="M3527" s="366"/>
    </row>
    <row r="3528" spans="1:13" x14ac:dyDescent="0.25">
      <c r="A3528" s="308">
        <v>45664</v>
      </c>
      <c r="B3528" s="416">
        <v>1290837</v>
      </c>
      <c r="C3528" s="413" t="str">
        <f>IFERROR(INDEX(Table14[],MATCH($B3528,Table14[SAPNo],0),3),"")</f>
        <v>1613 CT184R U</v>
      </c>
      <c r="D3528" s="420" t="s">
        <v>12</v>
      </c>
      <c r="E3528" s="421">
        <v>16</v>
      </c>
      <c r="F3528" s="580"/>
      <c r="G3528" s="417" t="s">
        <v>2527</v>
      </c>
      <c r="H3528" s="598">
        <v>14160196</v>
      </c>
      <c r="I3528" s="322" t="s">
        <v>2277</v>
      </c>
      <c r="J3528" s="418"/>
      <c r="K3528" s="248"/>
      <c r="M3528" s="366"/>
    </row>
    <row r="3529" spans="1:13" x14ac:dyDescent="0.25">
      <c r="A3529" s="308">
        <v>45664</v>
      </c>
      <c r="B3529" s="416">
        <v>418525</v>
      </c>
      <c r="C3529" s="413" t="str">
        <f>IFERROR(INDEX(Table14[],MATCH($B3529,Table14[SAPNo],0),3),"")</f>
        <v>Drop In 1308 CT31   (B)</v>
      </c>
      <c r="D3529" s="420" t="s">
        <v>12</v>
      </c>
      <c r="E3529" s="421">
        <v>6</v>
      </c>
      <c r="F3529" s="580"/>
      <c r="G3529" s="417" t="s">
        <v>2527</v>
      </c>
      <c r="H3529" s="598">
        <v>14160196</v>
      </c>
      <c r="I3529" s="322" t="s">
        <v>2277</v>
      </c>
      <c r="J3529" s="418"/>
      <c r="K3529" s="248"/>
      <c r="M3529" s="366"/>
    </row>
    <row r="3530" spans="1:13" x14ac:dyDescent="0.25">
      <c r="A3530" s="320">
        <v>45672</v>
      </c>
      <c r="B3530" s="419">
        <v>1220554</v>
      </c>
      <c r="C3530" s="413" t="str">
        <f>IFERROR(INDEX(Table14[],MATCH($B3530,Table14[SAPNo],0),3),"")</f>
        <v xml:space="preserve">1618 CT182 U-60 Carbide </v>
      </c>
      <c r="D3530" s="420" t="s">
        <v>12</v>
      </c>
      <c r="E3530" s="421">
        <v>10</v>
      </c>
      <c r="F3530" s="580"/>
      <c r="G3530" s="420" t="s">
        <v>2543</v>
      </c>
      <c r="H3530" s="599" t="s">
        <v>2544</v>
      </c>
      <c r="I3530" s="322" t="s">
        <v>2254</v>
      </c>
      <c r="J3530" s="421"/>
      <c r="K3530" s="422" t="s">
        <v>2545</v>
      </c>
      <c r="M3530" s="366"/>
    </row>
    <row r="3531" spans="1:13" x14ac:dyDescent="0.25">
      <c r="A3531" s="320">
        <v>45673</v>
      </c>
      <c r="B3531" s="419">
        <v>647435</v>
      </c>
      <c r="C3531" s="413" t="str">
        <f>IFERROR(INDEX(Table14[],MATCH($B3531,Table14[SAPNo],0),3),"")</f>
        <v>Round 1608 CT200  0.018" (B)</v>
      </c>
      <c r="D3531" s="420" t="s">
        <v>12</v>
      </c>
      <c r="E3531" s="421"/>
      <c r="F3531" s="421">
        <v>4</v>
      </c>
      <c r="G3531" s="420" t="s">
        <v>2513</v>
      </c>
      <c r="H3531" s="599" t="s">
        <v>2514</v>
      </c>
      <c r="I3531" s="322" t="s">
        <v>103</v>
      </c>
      <c r="J3531" s="421" t="s">
        <v>974</v>
      </c>
      <c r="K3531" s="422"/>
      <c r="M3531" s="422"/>
    </row>
    <row r="3532" spans="1:13" x14ac:dyDescent="0.25">
      <c r="A3532" s="308">
        <v>45676</v>
      </c>
      <c r="B3532" s="416">
        <v>418525</v>
      </c>
      <c r="C3532" s="413" t="str">
        <f>IFERROR(INDEX(Table14[],MATCH($B3532,Table14[SAPNo],0),3),"")</f>
        <v>Drop In 1308 CT31   (B)</v>
      </c>
      <c r="D3532" s="420" t="s">
        <v>12</v>
      </c>
      <c r="E3532" s="421">
        <v>6</v>
      </c>
      <c r="F3532" s="421"/>
      <c r="G3532" s="417" t="s">
        <v>2552</v>
      </c>
      <c r="H3532" s="598">
        <v>14204328</v>
      </c>
      <c r="I3532" s="322" t="s">
        <v>2553</v>
      </c>
      <c r="J3532" s="418"/>
      <c r="K3532" s="248"/>
      <c r="M3532" s="422"/>
    </row>
    <row r="3533" spans="1:13" x14ac:dyDescent="0.25">
      <c r="A3533" s="308">
        <v>45676</v>
      </c>
      <c r="B3533" s="416">
        <v>1288721</v>
      </c>
      <c r="C3533" s="413" t="str">
        <f>IFERROR(INDEX(Table14[],MATCH($B3533,Table14[SAPNo],0),3),"")</f>
        <v>1613 CT176 0.018</v>
      </c>
      <c r="D3533" s="420" t="s">
        <v>12</v>
      </c>
      <c r="E3533" s="421">
        <v>3</v>
      </c>
      <c r="F3533" s="580"/>
      <c r="G3533" s="417" t="s">
        <v>2552</v>
      </c>
      <c r="H3533" s="598">
        <v>14204328</v>
      </c>
      <c r="I3533" s="322" t="s">
        <v>2553</v>
      </c>
      <c r="J3533" s="418"/>
      <c r="K3533" s="248"/>
      <c r="M3533" s="366"/>
    </row>
    <row r="3534" spans="1:13" x14ac:dyDescent="0.25">
      <c r="A3534" s="308">
        <v>45676</v>
      </c>
      <c r="B3534" s="416">
        <v>1271790</v>
      </c>
      <c r="C3534" s="413" t="str">
        <f>IFERROR(INDEX(Table14[],MATCH($B3534,Table14[SAPNo],0),3),"")</f>
        <v xml:space="preserve">1613 CT170 18-60 </v>
      </c>
      <c r="D3534" s="420" t="s">
        <v>12</v>
      </c>
      <c r="E3534" s="421">
        <v>17</v>
      </c>
      <c r="F3534" s="580"/>
      <c r="G3534" s="417" t="s">
        <v>2552</v>
      </c>
      <c r="H3534" s="598">
        <v>14204328</v>
      </c>
      <c r="I3534" s="322" t="s">
        <v>2553</v>
      </c>
      <c r="J3534" s="418"/>
      <c r="K3534" s="248"/>
      <c r="M3534" s="366"/>
    </row>
    <row r="3535" spans="1:13" x14ac:dyDescent="0.25">
      <c r="A3535" s="308">
        <v>45676</v>
      </c>
      <c r="B3535" s="416">
        <v>1208601</v>
      </c>
      <c r="C3535" s="413" t="str">
        <f>IFERROR(INDEX(Table14[],MATCH($B3535,Table14[SAPNo],0),3),"")</f>
        <v>1613 CT418 U-60</v>
      </c>
      <c r="D3535" s="420" t="s">
        <v>12</v>
      </c>
      <c r="E3535" s="421">
        <v>8</v>
      </c>
      <c r="F3535" s="580"/>
      <c r="G3535" s="417" t="s">
        <v>2552</v>
      </c>
      <c r="H3535" s="598">
        <v>14204328</v>
      </c>
      <c r="I3535" s="322" t="s">
        <v>2553</v>
      </c>
      <c r="J3535" s="418"/>
      <c r="K3535" s="248"/>
      <c r="M3535" s="366"/>
    </row>
    <row r="3536" spans="1:13" x14ac:dyDescent="0.25">
      <c r="A3536" s="308">
        <v>45676</v>
      </c>
      <c r="B3536" s="416">
        <v>1146737</v>
      </c>
      <c r="C3536" s="413" t="str">
        <f>IFERROR(INDEX(Table14[],MATCH($B3536,Table14[SAPNo],0),3),"")</f>
        <v>1613 CT418 18-60</v>
      </c>
      <c r="D3536" s="420" t="s">
        <v>12</v>
      </c>
      <c r="E3536" s="421">
        <v>3</v>
      </c>
      <c r="F3536" s="580"/>
      <c r="G3536" s="417" t="s">
        <v>2552</v>
      </c>
      <c r="H3536" s="598">
        <v>14204328</v>
      </c>
      <c r="I3536" s="322" t="s">
        <v>2553</v>
      </c>
      <c r="J3536" s="418"/>
      <c r="K3536" s="248"/>
      <c r="M3536" s="366"/>
    </row>
    <row r="3537" spans="1:13" x14ac:dyDescent="0.25">
      <c r="A3537" s="308">
        <v>45676</v>
      </c>
      <c r="B3537" s="416">
        <v>1078377</v>
      </c>
      <c r="C3537" s="413" t="str">
        <f>IFERROR(INDEX(Table14[],MATCH($B3537,Table14[SAPNo],0),3),"")</f>
        <v>13MM CT221 R1</v>
      </c>
      <c r="D3537" s="420" t="s">
        <v>12</v>
      </c>
      <c r="E3537" s="421">
        <v>15</v>
      </c>
      <c r="F3537" s="580"/>
      <c r="G3537" s="417" t="s">
        <v>2552</v>
      </c>
      <c r="H3537" s="598">
        <v>14204328</v>
      </c>
      <c r="I3537" s="322" t="s">
        <v>2553</v>
      </c>
      <c r="J3537" s="418"/>
      <c r="K3537" s="248"/>
      <c r="M3537" s="366"/>
    </row>
    <row r="3538" spans="1:13" x14ac:dyDescent="0.25">
      <c r="A3538" s="320">
        <v>45677</v>
      </c>
      <c r="B3538" s="419">
        <v>1261319</v>
      </c>
      <c r="C3538" s="413" t="str">
        <f>IFERROR(INDEX(Table14[],MATCH($B3538,Table14[SAPNo],0),3),"")</f>
        <v>1308 CT155 U-60</v>
      </c>
      <c r="D3538" s="420" t="s">
        <v>12</v>
      </c>
      <c r="E3538" s="421">
        <v>1</v>
      </c>
      <c r="F3538" s="580"/>
      <c r="G3538" s="420" t="s">
        <v>2548</v>
      </c>
      <c r="H3538" s="599">
        <v>14293148</v>
      </c>
      <c r="I3538" s="322" t="s">
        <v>1275</v>
      </c>
      <c r="J3538" s="421"/>
      <c r="K3538" s="422" t="s">
        <v>2546</v>
      </c>
      <c r="M3538" s="366"/>
    </row>
    <row r="3539" spans="1:13" x14ac:dyDescent="0.25">
      <c r="A3539" s="320">
        <v>45684</v>
      </c>
      <c r="B3539" s="419">
        <v>1136983</v>
      </c>
      <c r="C3539" s="413" t="str">
        <f>IFERROR(INDEX(Table14[],MATCH($B3539,Table14[SAPNo],0),3),"")</f>
        <v>1308 CT182DM 10C</v>
      </c>
      <c r="D3539" s="420" t="s">
        <v>12</v>
      </c>
      <c r="E3539" s="421"/>
      <c r="F3539" s="421">
        <v>15</v>
      </c>
      <c r="G3539" s="420" t="s">
        <v>2513</v>
      </c>
      <c r="H3539" s="599"/>
      <c r="I3539" s="322"/>
      <c r="J3539" s="421" t="s">
        <v>979</v>
      </c>
      <c r="K3539" s="422"/>
      <c r="M3539" s="422"/>
    </row>
    <row r="3540" spans="1:13" x14ac:dyDescent="0.25">
      <c r="A3540" s="320">
        <v>45684</v>
      </c>
      <c r="B3540" s="419">
        <v>1162285</v>
      </c>
      <c r="C3540" s="413" t="str">
        <f>IFERROR(INDEX(Table14[],MATCH($B3540,Table14[SAPNo],0),3),"")</f>
        <v>1313 CT154 U</v>
      </c>
      <c r="D3540" s="420" t="s">
        <v>12</v>
      </c>
      <c r="E3540" s="421"/>
      <c r="F3540" s="421">
        <v>15</v>
      </c>
      <c r="G3540" s="420" t="s">
        <v>2513</v>
      </c>
      <c r="H3540" s="599"/>
      <c r="I3540" s="322"/>
      <c r="J3540" s="421" t="s">
        <v>978</v>
      </c>
      <c r="K3540" s="422"/>
      <c r="M3540" s="422"/>
    </row>
    <row r="3541" spans="1:13" x14ac:dyDescent="0.25">
      <c r="A3541" s="320">
        <v>45684</v>
      </c>
      <c r="B3541" s="419">
        <v>1255773</v>
      </c>
      <c r="C3541" s="413" t="str">
        <f>IFERROR(INDEX(Table14[],MATCH($B3541,Table14[SAPNo],0),3),"")</f>
        <v>1613 CT154 U­60</v>
      </c>
      <c r="D3541" s="420" t="s">
        <v>12</v>
      </c>
      <c r="E3541" s="421"/>
      <c r="F3541" s="421">
        <v>16</v>
      </c>
      <c r="G3541" s="420" t="s">
        <v>2513</v>
      </c>
      <c r="H3541" s="599"/>
      <c r="I3541" s="322"/>
      <c r="J3541" s="421" t="s">
        <v>967</v>
      </c>
      <c r="K3541" s="422"/>
      <c r="M3541" s="422"/>
    </row>
    <row r="3542" spans="1:13" x14ac:dyDescent="0.25">
      <c r="A3542" s="320">
        <v>45684</v>
      </c>
      <c r="B3542" s="419">
        <v>1255773</v>
      </c>
      <c r="C3542" s="413" t="str">
        <f>IFERROR(INDEX(Table14[],MATCH($B3542,Table14[SAPNo],0),3),"")</f>
        <v>1613 CT154 U­60</v>
      </c>
      <c r="D3542" s="420" t="s">
        <v>12</v>
      </c>
      <c r="E3542" s="421"/>
      <c r="F3542" s="421">
        <v>24</v>
      </c>
      <c r="G3542" s="420" t="s">
        <v>2513</v>
      </c>
      <c r="H3542" s="599"/>
      <c r="I3542" s="322"/>
      <c r="J3542" s="421" t="s">
        <v>979</v>
      </c>
      <c r="K3542" s="422"/>
      <c r="M3542" s="422"/>
    </row>
    <row r="3543" spans="1:13" x14ac:dyDescent="0.25">
      <c r="A3543" s="320">
        <v>45684</v>
      </c>
      <c r="B3543" s="419">
        <v>1272937</v>
      </c>
      <c r="C3543" s="413" t="str">
        <f>IFERROR(INDEX(Table14[],MATCH($B3543,Table14[SAPNo],0),3),"")</f>
        <v>1313 CT436 18-60</v>
      </c>
      <c r="D3543" s="420" t="s">
        <v>12</v>
      </c>
      <c r="E3543" s="421"/>
      <c r="F3543" s="421">
        <v>50</v>
      </c>
      <c r="G3543" s="420" t="s">
        <v>2513</v>
      </c>
      <c r="H3543" s="599"/>
      <c r="I3543" s="322"/>
      <c r="J3543" s="421" t="s">
        <v>977</v>
      </c>
      <c r="K3543" s="422"/>
      <c r="M3543" s="422"/>
    </row>
    <row r="3544" spans="1:13" x14ac:dyDescent="0.25">
      <c r="A3544" s="320">
        <v>45684</v>
      </c>
      <c r="B3544" s="419">
        <v>1282370</v>
      </c>
      <c r="C3544" s="413" t="str">
        <f>IFERROR(INDEX(Table14[],MATCH($B3544,Table14[SAPNo],0),3),"")</f>
        <v>1613 CT436Mv3 U-60</v>
      </c>
      <c r="D3544" s="420" t="s">
        <v>12</v>
      </c>
      <c r="E3544" s="421"/>
      <c r="F3544" s="421">
        <v>8</v>
      </c>
      <c r="G3544" s="420" t="s">
        <v>2513</v>
      </c>
      <c r="H3544" s="599"/>
      <c r="I3544" s="322"/>
      <c r="J3544" s="421" t="s">
        <v>979</v>
      </c>
      <c r="K3544" s="422"/>
      <c r="M3544" s="422"/>
    </row>
    <row r="3545" spans="1:13" x14ac:dyDescent="0.25">
      <c r="A3545" s="320">
        <v>45684</v>
      </c>
      <c r="B3545" s="419">
        <v>1296685</v>
      </c>
      <c r="C3545" s="413" t="str">
        <f>IFERROR(INDEX(Table14[],MATCH($B3545,Table14[SAPNo],0),3),"")</f>
        <v>1613 CT179R U</v>
      </c>
      <c r="D3545" s="420" t="s">
        <v>12</v>
      </c>
      <c r="E3545" s="421"/>
      <c r="F3545" s="421">
        <v>150</v>
      </c>
      <c r="G3545" s="420" t="s">
        <v>2513</v>
      </c>
      <c r="H3545" s="599"/>
      <c r="I3545" s="322"/>
      <c r="J3545" s="421" t="s">
        <v>979</v>
      </c>
      <c r="K3545" s="422"/>
      <c r="M3545" s="422"/>
    </row>
    <row r="3546" spans="1:13" x14ac:dyDescent="0.25">
      <c r="A3546" s="320">
        <v>45684</v>
      </c>
      <c r="B3546" s="419">
        <v>2002243</v>
      </c>
      <c r="C3546" s="413" t="str">
        <f>IFERROR(INDEX(Table14[],MATCH($B3546,Table14[SAPNo],0),3),"")</f>
        <v>1308 CT188 U-60</v>
      </c>
      <c r="D3546" s="420" t="s">
        <v>12</v>
      </c>
      <c r="E3546" s="421"/>
      <c r="F3546" s="421">
        <v>23</v>
      </c>
      <c r="G3546" s="420" t="s">
        <v>2513</v>
      </c>
      <c r="H3546" s="599"/>
      <c r="I3546" s="322"/>
      <c r="J3546" s="421" t="s">
        <v>967</v>
      </c>
      <c r="K3546" s="422"/>
      <c r="M3546" s="422"/>
    </row>
    <row r="3547" spans="1:13" x14ac:dyDescent="0.25">
      <c r="A3547" s="320">
        <v>45685</v>
      </c>
      <c r="B3547" s="416">
        <v>1186963</v>
      </c>
      <c r="C3547" s="413" t="str">
        <f>IFERROR(INDEX(Table14[],MATCH($B3547,Table14[SAPNo],0),3),"")</f>
        <v>1313 CT182H 10C</v>
      </c>
      <c r="D3547" s="420" t="s">
        <v>12</v>
      </c>
      <c r="E3547" s="421"/>
      <c r="F3547" s="421">
        <v>5</v>
      </c>
      <c r="G3547" s="417" t="s">
        <v>2513</v>
      </c>
      <c r="H3547" s="598"/>
      <c r="I3547" s="322"/>
      <c r="J3547" s="418" t="s">
        <v>979</v>
      </c>
      <c r="K3547" s="248"/>
      <c r="M3547" s="422"/>
    </row>
    <row r="3548" spans="1:13" x14ac:dyDescent="0.25">
      <c r="A3548" s="308">
        <v>45685</v>
      </c>
      <c r="B3548" s="416">
        <v>1209333</v>
      </c>
      <c r="C3548" s="413" t="str">
        <f>IFERROR(INDEX(Table14[],MATCH($B3548,Table14[SAPNo],0),3),"")</f>
        <v>1613 CT147G U</v>
      </c>
      <c r="D3548" s="420" t="s">
        <v>12</v>
      </c>
      <c r="E3548" s="421"/>
      <c r="F3548" s="580">
        <v>80</v>
      </c>
      <c r="G3548" s="417" t="s">
        <v>2513</v>
      </c>
      <c r="H3548" s="598"/>
      <c r="I3548" s="322"/>
      <c r="J3548" s="418" t="s">
        <v>928</v>
      </c>
      <c r="K3548" s="248"/>
      <c r="M3548" s="366"/>
    </row>
    <row r="3549" spans="1:13" x14ac:dyDescent="0.25">
      <c r="A3549" s="320">
        <v>45685</v>
      </c>
      <c r="B3549" s="419">
        <v>1255772</v>
      </c>
      <c r="C3549" s="413" t="str">
        <f>IFERROR(INDEX(Table14[],MATCH($B3549,Table14[SAPNo],0),3),"")</f>
        <v>1313 CT154 U-60</v>
      </c>
      <c r="D3549" s="420" t="s">
        <v>12</v>
      </c>
      <c r="E3549" s="421"/>
      <c r="F3549" s="580">
        <v>27</v>
      </c>
      <c r="G3549" s="420" t="s">
        <v>2513</v>
      </c>
      <c r="H3549" s="599"/>
      <c r="I3549" s="322"/>
      <c r="J3549" s="421" t="s">
        <v>978</v>
      </c>
      <c r="K3549" s="422"/>
      <c r="M3549" s="366"/>
    </row>
    <row r="3550" spans="1:13" x14ac:dyDescent="0.25">
      <c r="A3550" s="308">
        <v>45678</v>
      </c>
      <c r="B3550" s="416">
        <v>418525</v>
      </c>
      <c r="C3550" s="413" t="str">
        <f>IFERROR(INDEX(Table14[],MATCH($B3550,Table14[SAPNo],0),3),"")</f>
        <v>Drop In 1308 CT31   (B)</v>
      </c>
      <c r="D3550" s="420" t="s">
        <v>12</v>
      </c>
      <c r="E3550" s="421">
        <v>6</v>
      </c>
      <c r="F3550" s="421"/>
      <c r="G3550" s="417" t="s">
        <v>2554</v>
      </c>
      <c r="H3550" s="598">
        <v>14254497</v>
      </c>
      <c r="I3550" s="322" t="s">
        <v>2555</v>
      </c>
      <c r="J3550" s="418"/>
      <c r="K3550" s="248"/>
      <c r="M3550" s="422"/>
    </row>
    <row r="3551" spans="1:13" x14ac:dyDescent="0.25">
      <c r="A3551" s="308">
        <v>45678</v>
      </c>
      <c r="B3551" s="416">
        <v>1271790</v>
      </c>
      <c r="C3551" s="413" t="str">
        <f>IFERROR(INDEX(Table14[],MATCH($B3551,Table14[SAPNo],0),3),"")</f>
        <v xml:space="preserve">1613 CT170 18-60 </v>
      </c>
      <c r="D3551" s="420" t="s">
        <v>12</v>
      </c>
      <c r="E3551" s="421">
        <v>17</v>
      </c>
      <c r="F3551" s="580"/>
      <c r="G3551" s="417" t="s">
        <v>2554</v>
      </c>
      <c r="H3551" s="598">
        <v>14254497</v>
      </c>
      <c r="I3551" s="322" t="s">
        <v>2555</v>
      </c>
      <c r="J3551" s="418"/>
      <c r="K3551" s="248"/>
      <c r="M3551" s="366"/>
    </row>
    <row r="3552" spans="1:13" x14ac:dyDescent="0.25">
      <c r="A3552" s="308">
        <v>45678</v>
      </c>
      <c r="B3552" s="416">
        <v>1288721</v>
      </c>
      <c r="C3552" s="413" t="str">
        <f>IFERROR(INDEX(Table14[],MATCH($B3552,Table14[SAPNo],0),3),"")</f>
        <v>1613 CT176 0.018</v>
      </c>
      <c r="D3552" s="420" t="s">
        <v>12</v>
      </c>
      <c r="E3552" s="421">
        <v>3</v>
      </c>
      <c r="F3552" s="580"/>
      <c r="G3552" s="417" t="s">
        <v>2554</v>
      </c>
      <c r="H3552" s="598">
        <v>14254497</v>
      </c>
      <c r="I3552" s="322" t="s">
        <v>2555</v>
      </c>
      <c r="J3552" s="418"/>
      <c r="K3552" s="248"/>
      <c r="M3552" s="366"/>
    </row>
    <row r="3553" spans="1:13" x14ac:dyDescent="0.25">
      <c r="A3553" s="308">
        <v>45678</v>
      </c>
      <c r="B3553" s="416">
        <v>1208601</v>
      </c>
      <c r="C3553" s="413" t="str">
        <f>IFERROR(INDEX(Table14[],MATCH($B3553,Table14[SAPNo],0),3),"")</f>
        <v>1613 CT418 U-60</v>
      </c>
      <c r="D3553" s="420" t="s">
        <v>12</v>
      </c>
      <c r="E3553" s="421">
        <v>8</v>
      </c>
      <c r="F3553" s="580"/>
      <c r="G3553" s="417" t="s">
        <v>2554</v>
      </c>
      <c r="H3553" s="598">
        <v>14254497</v>
      </c>
      <c r="I3553" s="322" t="s">
        <v>2555</v>
      </c>
      <c r="J3553" s="418"/>
      <c r="K3553" s="248"/>
      <c r="M3553" s="366"/>
    </row>
    <row r="3554" spans="1:13" x14ac:dyDescent="0.25">
      <c r="A3554" s="308">
        <v>45678</v>
      </c>
      <c r="B3554" s="416">
        <v>1078377</v>
      </c>
      <c r="C3554" s="413" t="str">
        <f>IFERROR(INDEX(Table14[],MATCH($B3554,Table14[SAPNo],0),3),"")</f>
        <v>13MM CT221 R1</v>
      </c>
      <c r="D3554" s="420" t="s">
        <v>12</v>
      </c>
      <c r="E3554" s="421">
        <v>15</v>
      </c>
      <c r="F3554" s="580"/>
      <c r="G3554" s="417" t="s">
        <v>2554</v>
      </c>
      <c r="H3554" s="598">
        <v>14254497</v>
      </c>
      <c r="I3554" s="322" t="s">
        <v>2555</v>
      </c>
      <c r="J3554" s="418"/>
      <c r="K3554" s="248"/>
      <c r="M3554" s="366"/>
    </row>
    <row r="3555" spans="1:13" x14ac:dyDescent="0.25">
      <c r="A3555" s="308">
        <v>45678</v>
      </c>
      <c r="B3555" s="416">
        <v>1146737</v>
      </c>
      <c r="C3555" s="413" t="str">
        <f>IFERROR(INDEX(Table14[],MATCH($B3555,Table14[SAPNo],0),3),"")</f>
        <v>1613 CT418 18-60</v>
      </c>
      <c r="D3555" s="420" t="s">
        <v>12</v>
      </c>
      <c r="E3555" s="421">
        <v>3</v>
      </c>
      <c r="F3555" s="580"/>
      <c r="G3555" s="417" t="s">
        <v>2554</v>
      </c>
      <c r="H3555" s="598">
        <v>14254497</v>
      </c>
      <c r="I3555" s="322" t="s">
        <v>2555</v>
      </c>
      <c r="J3555" s="418"/>
      <c r="K3555" s="248"/>
      <c r="M3555" s="366"/>
    </row>
    <row r="3556" spans="1:13" x14ac:dyDescent="0.25">
      <c r="A3556" s="308">
        <v>45673</v>
      </c>
      <c r="B3556" s="416">
        <v>1146737</v>
      </c>
      <c r="C3556" s="413" t="str">
        <f>IFERROR(INDEX(Table14[],MATCH($B3556,Table14[SAPNo],0),3),"")</f>
        <v>1613 CT418 18-60</v>
      </c>
      <c r="D3556" s="420" t="s">
        <v>12</v>
      </c>
      <c r="E3556" s="421">
        <v>2</v>
      </c>
      <c r="F3556" s="580"/>
      <c r="G3556" s="417" t="s">
        <v>2543</v>
      </c>
      <c r="H3556" s="598" t="s">
        <v>2544</v>
      </c>
      <c r="I3556" s="322" t="s">
        <v>2254</v>
      </c>
      <c r="J3556" s="418"/>
      <c r="K3556" s="248"/>
      <c r="M3556" s="366"/>
    </row>
    <row r="3557" spans="1:13" x14ac:dyDescent="0.25">
      <c r="A3557" s="308">
        <v>45679</v>
      </c>
      <c r="B3557" s="416">
        <v>1228503</v>
      </c>
      <c r="C3557" s="413" t="str">
        <f>IFERROR(INDEX(Table14[],MATCH($B3557,Table14[SAPNo],0),3),"")</f>
        <v>1618 CT182 U-60 Ring</v>
      </c>
      <c r="D3557" s="420" t="s">
        <v>12</v>
      </c>
      <c r="E3557" s="421">
        <v>1</v>
      </c>
      <c r="F3557" s="580"/>
      <c r="G3557" s="417" t="s">
        <v>2550</v>
      </c>
      <c r="H3557" s="598">
        <v>14293150</v>
      </c>
      <c r="I3557" s="322" t="s">
        <v>1275</v>
      </c>
      <c r="J3557" s="418"/>
      <c r="K3557" s="248"/>
      <c r="M3557" s="366"/>
    </row>
    <row r="3558" spans="1:13" x14ac:dyDescent="0.25">
      <c r="A3558" s="308">
        <v>45679</v>
      </c>
      <c r="B3558" s="416">
        <v>418525</v>
      </c>
      <c r="C3558" s="413" t="str">
        <f>IFERROR(INDEX(Table14[],MATCH($B3558,Table14[SAPNo],0),3),"")</f>
        <v>Drop In 1308 CT31   (B)</v>
      </c>
      <c r="D3558" s="420" t="s">
        <v>12</v>
      </c>
      <c r="E3558" s="421">
        <v>6</v>
      </c>
      <c r="F3558" s="580"/>
      <c r="G3558" s="417" t="s">
        <v>2558</v>
      </c>
      <c r="H3558" s="598">
        <v>14254499</v>
      </c>
      <c r="I3558" s="322" t="s">
        <v>1273</v>
      </c>
      <c r="J3558" s="418"/>
      <c r="K3558" s="248"/>
      <c r="M3558" s="366"/>
    </row>
    <row r="3559" spans="1:13" x14ac:dyDescent="0.25">
      <c r="A3559" s="308">
        <v>45679</v>
      </c>
      <c r="B3559" s="416">
        <v>1146737</v>
      </c>
      <c r="C3559" s="413" t="str">
        <f>IFERROR(INDEX(Table14[],MATCH($B3559,Table14[SAPNo],0),3),"")</f>
        <v>1613 CT418 18-60</v>
      </c>
      <c r="D3559" s="420" t="s">
        <v>12</v>
      </c>
      <c r="E3559" s="421">
        <v>6</v>
      </c>
      <c r="F3559" s="580"/>
      <c r="G3559" s="417" t="s">
        <v>2558</v>
      </c>
      <c r="H3559" s="598">
        <v>14254499</v>
      </c>
      <c r="I3559" s="322" t="s">
        <v>1273</v>
      </c>
      <c r="J3559" s="418"/>
      <c r="K3559" s="248"/>
      <c r="M3559" s="366"/>
    </row>
    <row r="3560" spans="1:13" x14ac:dyDescent="0.25">
      <c r="A3560" s="308">
        <v>45679</v>
      </c>
      <c r="B3560" s="416">
        <v>1078377</v>
      </c>
      <c r="C3560" s="413" t="str">
        <f>IFERROR(INDEX(Table14[],MATCH($B3560,Table14[SAPNo],0),3),"")</f>
        <v>13MM CT221 R1</v>
      </c>
      <c r="D3560" s="420" t="s">
        <v>12</v>
      </c>
      <c r="E3560" s="421">
        <v>15</v>
      </c>
      <c r="F3560" s="580"/>
      <c r="G3560" s="417" t="s">
        <v>2558</v>
      </c>
      <c r="H3560" s="598">
        <v>14254499</v>
      </c>
      <c r="I3560" s="322" t="s">
        <v>1273</v>
      </c>
      <c r="J3560" s="418"/>
      <c r="K3560" s="248"/>
      <c r="M3560" s="366"/>
    </row>
    <row r="3561" spans="1:13" x14ac:dyDescent="0.25">
      <c r="A3561" s="308">
        <v>45679</v>
      </c>
      <c r="B3561" s="416">
        <v>1271790</v>
      </c>
      <c r="C3561" s="413" t="str">
        <f>IFERROR(INDEX(Table14[],MATCH($B3561,Table14[SAPNo],0),3),"")</f>
        <v xml:space="preserve">1613 CT170 18-60 </v>
      </c>
      <c r="D3561" s="420" t="s">
        <v>12</v>
      </c>
      <c r="E3561" s="421">
        <v>17</v>
      </c>
      <c r="F3561" s="580"/>
      <c r="G3561" s="417" t="s">
        <v>2558</v>
      </c>
      <c r="H3561" s="598">
        <v>14254499</v>
      </c>
      <c r="I3561" s="322" t="s">
        <v>1273</v>
      </c>
      <c r="J3561" s="418"/>
      <c r="K3561" s="248"/>
      <c r="M3561" s="366"/>
    </row>
    <row r="3562" spans="1:13" x14ac:dyDescent="0.25">
      <c r="A3562" s="308">
        <v>45679</v>
      </c>
      <c r="B3562" s="416">
        <v>1208601</v>
      </c>
      <c r="C3562" s="413" t="str">
        <f>IFERROR(INDEX(Table14[],MATCH($B3562,Table14[SAPNo],0),3),"")</f>
        <v>1613 CT418 U-60</v>
      </c>
      <c r="D3562" s="420" t="s">
        <v>12</v>
      </c>
      <c r="E3562" s="421">
        <v>8</v>
      </c>
      <c r="F3562" s="580"/>
      <c r="G3562" s="417" t="s">
        <v>2558</v>
      </c>
      <c r="H3562" s="598">
        <v>14254499</v>
      </c>
      <c r="I3562" s="322" t="s">
        <v>1273</v>
      </c>
      <c r="J3562" s="418"/>
      <c r="K3562" s="248"/>
      <c r="M3562" s="366"/>
    </row>
    <row r="3563" spans="1:13" x14ac:dyDescent="0.25">
      <c r="A3563" s="308">
        <v>45680</v>
      </c>
      <c r="B3563" s="416">
        <v>1100696</v>
      </c>
      <c r="C3563" s="413" t="str">
        <f>IFERROR(INDEX(Table14[],MATCH($B3563,Table14[SAPNo],0),3),"")</f>
        <v>Round 1313 CT418  10C (S)</v>
      </c>
      <c r="D3563" s="420" t="s">
        <v>12</v>
      </c>
      <c r="E3563" s="421">
        <v>1</v>
      </c>
      <c r="F3563" s="580"/>
      <c r="G3563" s="417">
        <v>20251008</v>
      </c>
      <c r="H3563" s="598" t="s">
        <v>2559</v>
      </c>
      <c r="I3563" s="322" t="s">
        <v>2410</v>
      </c>
      <c r="J3563" s="418"/>
      <c r="K3563" s="248"/>
      <c r="M3563" s="366"/>
    </row>
    <row r="3564" spans="1:13" x14ac:dyDescent="0.25">
      <c r="A3564" s="308">
        <v>45680</v>
      </c>
      <c r="B3564" s="416">
        <v>418525</v>
      </c>
      <c r="C3564" s="413" t="str">
        <f>IFERROR(INDEX(Table14[],MATCH($B3564,Table14[SAPNo],0),3),"")</f>
        <v>Drop In 1308 CT31   (B)</v>
      </c>
      <c r="D3564" s="420" t="s">
        <v>12</v>
      </c>
      <c r="E3564" s="421">
        <v>2</v>
      </c>
      <c r="F3564" s="580"/>
      <c r="G3564" s="417">
        <v>20251008</v>
      </c>
      <c r="H3564" s="598" t="s">
        <v>2559</v>
      </c>
      <c r="I3564" s="322" t="s">
        <v>2410</v>
      </c>
      <c r="J3564" s="418"/>
      <c r="K3564" s="248"/>
      <c r="M3564" s="366"/>
    </row>
    <row r="3565" spans="1:13" x14ac:dyDescent="0.25">
      <c r="A3565" s="308">
        <v>45680</v>
      </c>
      <c r="B3565" s="416">
        <v>1100755</v>
      </c>
      <c r="C3565" s="413" t="str">
        <f>IFERROR(INDEX(Table14[],MATCH($B3565,Table14[SAPNo],0),3),"")</f>
        <v>Round 1613 CT421  0.018" (S)</v>
      </c>
      <c r="D3565" s="420" t="s">
        <v>12</v>
      </c>
      <c r="E3565" s="421">
        <v>22</v>
      </c>
      <c r="F3565" s="580"/>
      <c r="G3565" s="417" t="s">
        <v>2560</v>
      </c>
      <c r="H3565" s="598">
        <v>14254503</v>
      </c>
      <c r="I3565" s="322" t="s">
        <v>2561</v>
      </c>
      <c r="J3565" s="418"/>
      <c r="K3565" s="248"/>
      <c r="M3565" s="366"/>
    </row>
    <row r="3566" spans="1:13" x14ac:dyDescent="0.25">
      <c r="A3566" s="308">
        <v>45680</v>
      </c>
      <c r="B3566" s="416">
        <v>871781</v>
      </c>
      <c r="C3566" s="413" t="str">
        <f>IFERROR(INDEX(Table14[],MATCH($B3566,Table14[SAPNo],0),3),"")</f>
        <v>Round 1313 CT200  0.018" (B)</v>
      </c>
      <c r="D3566" s="420" t="s">
        <v>12</v>
      </c>
      <c r="E3566" s="421">
        <v>7</v>
      </c>
      <c r="F3566" s="580"/>
      <c r="G3566" s="417" t="s">
        <v>2560</v>
      </c>
      <c r="H3566" s="598">
        <v>14254503</v>
      </c>
      <c r="I3566" s="322" t="s">
        <v>2561</v>
      </c>
      <c r="J3566" s="418"/>
      <c r="K3566" s="248"/>
      <c r="M3566" s="366"/>
    </row>
    <row r="3567" spans="1:13" x14ac:dyDescent="0.25">
      <c r="A3567" s="308">
        <v>45680</v>
      </c>
      <c r="B3567" s="416">
        <v>1263929</v>
      </c>
      <c r="C3567" s="413" t="str">
        <f>IFERROR(INDEX(Table14[],MATCH($B3567,Table14[SAPNo],0),3),"")</f>
        <v>1613 CT437 18-60</v>
      </c>
      <c r="D3567" s="420" t="s">
        <v>12</v>
      </c>
      <c r="E3567" s="421">
        <v>32</v>
      </c>
      <c r="F3567" s="580"/>
      <c r="G3567" s="417" t="s">
        <v>2560</v>
      </c>
      <c r="H3567" s="598">
        <v>14254503</v>
      </c>
      <c r="I3567" s="322" t="s">
        <v>2561</v>
      </c>
      <c r="J3567" s="418"/>
      <c r="K3567" s="248"/>
      <c r="M3567" s="366"/>
    </row>
    <row r="3568" spans="1:13" x14ac:dyDescent="0.25">
      <c r="A3568" s="308">
        <v>45680</v>
      </c>
      <c r="B3568" s="416">
        <v>1104086</v>
      </c>
      <c r="C3568" s="413" t="str">
        <f>IFERROR(INDEX(Table14[],MATCH($B3568,Table14[SAPNo],0),3),"")</f>
        <v xml:space="preserve"> 1613 CT144H  0.018 ()</v>
      </c>
      <c r="D3568" s="420" t="s">
        <v>12</v>
      </c>
      <c r="E3568" s="421">
        <v>1</v>
      </c>
      <c r="F3568" s="580"/>
      <c r="G3568" s="417" t="s">
        <v>2560</v>
      </c>
      <c r="H3568" s="598">
        <v>14254503</v>
      </c>
      <c r="I3568" s="322" t="s">
        <v>2561</v>
      </c>
      <c r="J3568" s="418"/>
      <c r="K3568" s="248"/>
      <c r="M3568" s="366"/>
    </row>
    <row r="3569" spans="1:13" x14ac:dyDescent="0.25">
      <c r="A3569" s="308">
        <v>45680</v>
      </c>
      <c r="B3569" s="416">
        <v>1130197</v>
      </c>
      <c r="C3569" s="413" t="str">
        <f>IFERROR(INDEX(Table14[],MATCH($B3569,Table14[SAPNo],0),3),"")</f>
        <v>Round 1608 CT182  0.018" (S)</v>
      </c>
      <c r="D3569" s="420" t="s">
        <v>12</v>
      </c>
      <c r="E3569" s="421">
        <v>6</v>
      </c>
      <c r="F3569" s="580"/>
      <c r="G3569" s="417" t="s">
        <v>2560</v>
      </c>
      <c r="H3569" s="598">
        <v>14254503</v>
      </c>
      <c r="I3569" s="322" t="s">
        <v>2561</v>
      </c>
      <c r="J3569" s="418"/>
      <c r="K3569" s="248"/>
      <c r="M3569" s="366"/>
    </row>
    <row r="3570" spans="1:13" x14ac:dyDescent="0.25">
      <c r="A3570" s="308">
        <v>45680</v>
      </c>
      <c r="B3570" s="416">
        <v>1146737</v>
      </c>
      <c r="C3570" s="413" t="str">
        <f>IFERROR(INDEX(Table14[],MATCH($B3570,Table14[SAPNo],0),3),"")</f>
        <v>1613 CT418 18-60</v>
      </c>
      <c r="D3570" s="420" t="s">
        <v>12</v>
      </c>
      <c r="E3570" s="421">
        <v>20</v>
      </c>
      <c r="F3570" s="580"/>
      <c r="G3570" s="417" t="s">
        <v>2560</v>
      </c>
      <c r="H3570" s="598">
        <v>14254503</v>
      </c>
      <c r="I3570" s="322" t="s">
        <v>2561</v>
      </c>
      <c r="J3570" s="418"/>
      <c r="K3570" s="248"/>
      <c r="M3570" s="366"/>
    </row>
    <row r="3571" spans="1:13" x14ac:dyDescent="0.25">
      <c r="A3571" s="308">
        <v>45680</v>
      </c>
      <c r="B3571" s="416">
        <v>1078377</v>
      </c>
      <c r="C3571" s="413" t="str">
        <f>IFERROR(INDEX(Table14[],MATCH($B3571,Table14[SAPNo],0),3),"")</f>
        <v>13MM CT221 R1</v>
      </c>
      <c r="D3571" s="420" t="s">
        <v>12</v>
      </c>
      <c r="E3571" s="421">
        <v>15</v>
      </c>
      <c r="F3571" s="580"/>
      <c r="G3571" s="417" t="s">
        <v>2562</v>
      </c>
      <c r="H3571" s="598">
        <v>14254500</v>
      </c>
      <c r="I3571" s="322" t="s">
        <v>1273</v>
      </c>
      <c r="J3571" s="418"/>
      <c r="K3571" s="248"/>
      <c r="M3571" s="366"/>
    </row>
    <row r="3572" spans="1:13" x14ac:dyDescent="0.25">
      <c r="A3572" s="308">
        <v>45680</v>
      </c>
      <c r="B3572" s="416">
        <v>1208601</v>
      </c>
      <c r="C3572" s="413" t="str">
        <f>IFERROR(INDEX(Table14[],MATCH($B3572,Table14[SAPNo],0),3),"")</f>
        <v>1613 CT418 U-60</v>
      </c>
      <c r="D3572" s="420" t="s">
        <v>12</v>
      </c>
      <c r="E3572" s="421">
        <v>8</v>
      </c>
      <c r="F3572" s="580"/>
      <c r="G3572" s="417" t="s">
        <v>2562</v>
      </c>
      <c r="H3572" s="598">
        <v>14254500</v>
      </c>
      <c r="I3572" s="322" t="s">
        <v>1273</v>
      </c>
      <c r="J3572" s="418"/>
      <c r="K3572" s="248"/>
      <c r="M3572" s="366"/>
    </row>
    <row r="3573" spans="1:13" x14ac:dyDescent="0.25">
      <c r="A3573" s="308">
        <v>45680</v>
      </c>
      <c r="B3573" s="416">
        <v>1271790</v>
      </c>
      <c r="C3573" s="413" t="str">
        <f>IFERROR(INDEX(Table14[],MATCH($B3573,Table14[SAPNo],0),3),"")</f>
        <v xml:space="preserve">1613 CT170 18-60 </v>
      </c>
      <c r="D3573" s="420" t="s">
        <v>12</v>
      </c>
      <c r="E3573" s="421">
        <v>17</v>
      </c>
      <c r="F3573" s="580"/>
      <c r="G3573" s="417" t="s">
        <v>2562</v>
      </c>
      <c r="H3573" s="598">
        <v>14254500</v>
      </c>
      <c r="I3573" s="322" t="s">
        <v>1273</v>
      </c>
      <c r="J3573" s="418"/>
      <c r="K3573" s="248"/>
      <c r="M3573" s="366"/>
    </row>
    <row r="3574" spans="1:13" x14ac:dyDescent="0.25">
      <c r="A3574" s="308">
        <v>45680</v>
      </c>
      <c r="B3574" s="416">
        <v>418525</v>
      </c>
      <c r="C3574" s="413" t="str">
        <f>IFERROR(INDEX(Table14[],MATCH($B3574,Table14[SAPNo],0),3),"")</f>
        <v>Drop In 1308 CT31   (B)</v>
      </c>
      <c r="D3574" s="420" t="s">
        <v>12</v>
      </c>
      <c r="E3574" s="421">
        <v>6</v>
      </c>
      <c r="F3574" s="580"/>
      <c r="G3574" s="417" t="s">
        <v>2562</v>
      </c>
      <c r="H3574" s="598">
        <v>14254500</v>
      </c>
      <c r="I3574" s="322" t="s">
        <v>1273</v>
      </c>
      <c r="J3574" s="418"/>
      <c r="K3574" s="248"/>
      <c r="M3574" s="366"/>
    </row>
    <row r="3575" spans="1:13" x14ac:dyDescent="0.25">
      <c r="A3575" s="308">
        <v>45680</v>
      </c>
      <c r="B3575" s="416">
        <v>1146737</v>
      </c>
      <c r="C3575" s="413" t="str">
        <f>IFERROR(INDEX(Table14[],MATCH($B3575,Table14[SAPNo],0),3),"")</f>
        <v>1613 CT418 18-60</v>
      </c>
      <c r="D3575" s="420" t="s">
        <v>12</v>
      </c>
      <c r="E3575" s="421">
        <v>6</v>
      </c>
      <c r="F3575" s="580"/>
      <c r="G3575" s="417" t="s">
        <v>2562</v>
      </c>
      <c r="H3575" s="598">
        <v>14254500</v>
      </c>
      <c r="I3575" s="322" t="s">
        <v>1273</v>
      </c>
      <c r="J3575" s="418"/>
      <c r="K3575" s="248"/>
      <c r="M3575" s="366"/>
    </row>
    <row r="3576" spans="1:13" x14ac:dyDescent="0.25">
      <c r="A3576" s="308">
        <v>45680</v>
      </c>
      <c r="B3576" s="416">
        <v>418525</v>
      </c>
      <c r="C3576" s="413" t="str">
        <f>IFERROR(INDEX(Table14[],MATCH($B3576,Table14[SAPNo],0),3),"")</f>
        <v>Drop In 1308 CT31   (B)</v>
      </c>
      <c r="D3576" s="420" t="s">
        <v>12</v>
      </c>
      <c r="E3576" s="421">
        <v>11</v>
      </c>
      <c r="F3576" s="580"/>
      <c r="G3576" s="417" t="s">
        <v>2563</v>
      </c>
      <c r="H3576" s="598" t="s">
        <v>2514</v>
      </c>
      <c r="I3576" s="322" t="s">
        <v>2514</v>
      </c>
      <c r="J3576" s="418"/>
      <c r="K3576" s="248"/>
      <c r="M3576" s="366"/>
    </row>
    <row r="3577" spans="1:13" x14ac:dyDescent="0.25">
      <c r="A3577" s="308">
        <v>45680</v>
      </c>
      <c r="B3577" s="416">
        <v>1078377</v>
      </c>
      <c r="C3577" s="413" t="str">
        <f>IFERROR(INDEX(Table14[],MATCH($B3577,Table14[SAPNo],0),3),"")</f>
        <v>13MM CT221 R1</v>
      </c>
      <c r="D3577" s="420" t="s">
        <v>12</v>
      </c>
      <c r="E3577" s="421"/>
      <c r="F3577" s="580"/>
      <c r="G3577" s="417" t="s">
        <v>2564</v>
      </c>
      <c r="H3577" s="598" t="s">
        <v>2514</v>
      </c>
      <c r="I3577" s="322" t="s">
        <v>2514</v>
      </c>
      <c r="J3577" s="418"/>
      <c r="K3577" s="248" t="s">
        <v>2565</v>
      </c>
      <c r="M3577" s="366"/>
    </row>
    <row r="3578" spans="1:13" x14ac:dyDescent="0.25">
      <c r="A3578" s="308">
        <v>45673</v>
      </c>
      <c r="B3578" s="416">
        <v>418525</v>
      </c>
      <c r="C3578" s="413" t="str">
        <f>IFERROR(INDEX(Table14[],MATCH($B3578,Table14[SAPNo],0),3),"")</f>
        <v>Drop In 1308 CT31   (B)</v>
      </c>
      <c r="D3578" s="420" t="s">
        <v>12</v>
      </c>
      <c r="E3578" s="421">
        <v>6</v>
      </c>
      <c r="F3578" s="580"/>
      <c r="G3578" s="417" t="s">
        <v>2543</v>
      </c>
      <c r="H3578" s="598" t="s">
        <v>2544</v>
      </c>
      <c r="I3578" s="322" t="s">
        <v>2254</v>
      </c>
      <c r="J3578" s="418"/>
      <c r="K3578" s="248"/>
      <c r="M3578" s="366"/>
    </row>
    <row r="3579" spans="1:13" x14ac:dyDescent="0.25">
      <c r="A3579" s="308">
        <v>45673</v>
      </c>
      <c r="B3579" s="416">
        <v>1271790</v>
      </c>
      <c r="C3579" s="413" t="str">
        <f>IFERROR(INDEX(Table14[],MATCH($B3579,Table14[SAPNo],0),3),"")</f>
        <v xml:space="preserve">1613 CT170 18-60 </v>
      </c>
      <c r="D3579" s="420" t="s">
        <v>12</v>
      </c>
      <c r="E3579" s="421">
        <v>6</v>
      </c>
      <c r="F3579" s="580"/>
      <c r="G3579" s="417" t="s">
        <v>2543</v>
      </c>
      <c r="H3579" s="598" t="s">
        <v>2544</v>
      </c>
      <c r="I3579" s="322" t="s">
        <v>2254</v>
      </c>
      <c r="J3579" s="418"/>
      <c r="K3579" s="248"/>
      <c r="M3579" s="366"/>
    </row>
    <row r="3580" spans="1:13" x14ac:dyDescent="0.25">
      <c r="A3580" s="308">
        <v>45673</v>
      </c>
      <c r="B3580" s="416">
        <v>1146737</v>
      </c>
      <c r="C3580" s="413" t="str">
        <f>IFERROR(INDEX(Table14[],MATCH($B3580,Table14[SAPNo],0),3),"")</f>
        <v>1613 CT418 18-60</v>
      </c>
      <c r="D3580" s="420" t="s">
        <v>12</v>
      </c>
      <c r="E3580" s="421">
        <v>1</v>
      </c>
      <c r="F3580" s="580"/>
      <c r="G3580" s="417" t="s">
        <v>2543</v>
      </c>
      <c r="H3580" s="598" t="s">
        <v>2544</v>
      </c>
      <c r="I3580" s="322" t="s">
        <v>2254</v>
      </c>
      <c r="J3580" s="418"/>
      <c r="K3580" s="248" t="s">
        <v>2546</v>
      </c>
      <c r="M3580" s="366"/>
    </row>
    <row r="3581" spans="1:13" x14ac:dyDescent="0.25">
      <c r="A3581" s="308">
        <v>45678</v>
      </c>
      <c r="B3581" s="416">
        <v>1146737</v>
      </c>
      <c r="C3581" s="413" t="str">
        <f>IFERROR(INDEX(Table14[],MATCH($B3581,Table14[SAPNo],0),3),"")</f>
        <v>1613 CT418 18-60</v>
      </c>
      <c r="D3581" s="420" t="s">
        <v>12</v>
      </c>
      <c r="E3581" s="421">
        <v>6</v>
      </c>
      <c r="F3581" s="580"/>
      <c r="G3581" s="417" t="s">
        <v>2556</v>
      </c>
      <c r="H3581" s="598" t="s">
        <v>2557</v>
      </c>
      <c r="I3581" s="322" t="s">
        <v>2179</v>
      </c>
      <c r="J3581" s="418"/>
      <c r="K3581" s="248"/>
      <c r="M3581" s="366"/>
    </row>
    <row r="3582" spans="1:13" x14ac:dyDescent="0.25">
      <c r="A3582" s="308">
        <v>45683</v>
      </c>
      <c r="B3582" s="416">
        <v>1146737</v>
      </c>
      <c r="C3582" s="413" t="str">
        <f>IFERROR(INDEX(Table14[],MATCH($B3582,Table14[SAPNo],0),3),"")</f>
        <v>1613 CT418 18-60</v>
      </c>
      <c r="D3582" s="420" t="s">
        <v>12</v>
      </c>
      <c r="E3582" s="421">
        <v>6</v>
      </c>
      <c r="F3582" s="580"/>
      <c r="G3582" s="417" t="s">
        <v>2566</v>
      </c>
      <c r="H3582" s="598" t="s">
        <v>2567</v>
      </c>
      <c r="I3582" s="322" t="s">
        <v>2179</v>
      </c>
      <c r="J3582" s="418"/>
      <c r="K3582" s="248"/>
      <c r="M3582" s="366"/>
    </row>
    <row r="3583" spans="1:13" x14ac:dyDescent="0.25">
      <c r="A3583" s="308">
        <v>45683</v>
      </c>
      <c r="B3583" s="416">
        <v>418525</v>
      </c>
      <c r="C3583" s="413" t="str">
        <f>IFERROR(INDEX(Table14[],MATCH($B3583,Table14[SAPNo],0),3),"")</f>
        <v>Drop In 1308 CT31   (B)</v>
      </c>
      <c r="D3583" s="420" t="s">
        <v>12</v>
      </c>
      <c r="E3583" s="421">
        <v>3</v>
      </c>
      <c r="F3583" s="580"/>
      <c r="G3583" s="417" t="s">
        <v>2566</v>
      </c>
      <c r="H3583" s="598" t="s">
        <v>2567</v>
      </c>
      <c r="I3583" s="322" t="s">
        <v>2179</v>
      </c>
      <c r="J3583" s="418"/>
      <c r="K3583" s="248"/>
      <c r="M3583" s="366"/>
    </row>
    <row r="3584" spans="1:13" x14ac:dyDescent="0.25">
      <c r="A3584" s="308">
        <v>45683</v>
      </c>
      <c r="B3584" s="416">
        <v>1208601</v>
      </c>
      <c r="C3584" s="413" t="str">
        <f>IFERROR(INDEX(Table14[],MATCH($B3584,Table14[SAPNo],0),3),"")</f>
        <v>1613 CT418 U-60</v>
      </c>
      <c r="D3584" s="420" t="s">
        <v>12</v>
      </c>
      <c r="E3584" s="421">
        <v>1</v>
      </c>
      <c r="F3584" s="580"/>
      <c r="G3584" s="417" t="s">
        <v>2566</v>
      </c>
      <c r="H3584" s="598" t="s">
        <v>2567</v>
      </c>
      <c r="I3584" s="322" t="s">
        <v>2179</v>
      </c>
      <c r="J3584" s="418"/>
      <c r="K3584" s="248"/>
      <c r="M3584" s="366"/>
    </row>
    <row r="3585" spans="1:13" x14ac:dyDescent="0.25">
      <c r="A3585" s="308">
        <v>45684</v>
      </c>
      <c r="B3585" s="416">
        <v>1130198</v>
      </c>
      <c r="C3585" s="413" t="str">
        <f>IFERROR(INDEX(Table14[],MATCH($B3585,Table14[SAPNo],0),3),"")</f>
        <v>Round 1613 CT182  0.018" (S)</v>
      </c>
      <c r="D3585" s="420" t="s">
        <v>12</v>
      </c>
      <c r="E3585" s="421">
        <v>123</v>
      </c>
      <c r="F3585" s="580"/>
      <c r="G3585" s="417" t="s">
        <v>2568</v>
      </c>
      <c r="H3585" s="598">
        <v>14228464</v>
      </c>
      <c r="I3585" s="322" t="s">
        <v>1402</v>
      </c>
      <c r="J3585" s="418"/>
      <c r="K3585" s="248"/>
      <c r="M3585" s="366"/>
    </row>
    <row r="3586" spans="1:13" x14ac:dyDescent="0.25">
      <c r="A3586" s="308">
        <v>45684</v>
      </c>
      <c r="B3586" s="416">
        <v>418525</v>
      </c>
      <c r="C3586" s="413" t="str">
        <f>IFERROR(INDEX(Table14[],MATCH($B3586,Table14[SAPNo],0),3),"")</f>
        <v>Drop In 1308 CT31   (B)</v>
      </c>
      <c r="D3586" s="420" t="s">
        <v>12</v>
      </c>
      <c r="E3586" s="421">
        <v>8</v>
      </c>
      <c r="F3586" s="580"/>
      <c r="G3586" s="417" t="s">
        <v>2568</v>
      </c>
      <c r="H3586" s="598">
        <v>14228464</v>
      </c>
      <c r="I3586" s="322" t="s">
        <v>1402</v>
      </c>
      <c r="J3586" s="418"/>
      <c r="K3586" s="248"/>
      <c r="M3586" s="366"/>
    </row>
    <row r="3587" spans="1:13" x14ac:dyDescent="0.25">
      <c r="A3587" s="308">
        <v>45684</v>
      </c>
      <c r="B3587" s="416">
        <v>1130198</v>
      </c>
      <c r="C3587" s="413" t="str">
        <f>IFERROR(INDEX(Table14[],MATCH($B3587,Table14[SAPNo],0),3),"")</f>
        <v>Round 1613 CT182  0.018" (S)</v>
      </c>
      <c r="D3587" s="420" t="s">
        <v>1072</v>
      </c>
      <c r="E3587" s="421">
        <v>24</v>
      </c>
      <c r="F3587" s="580"/>
      <c r="G3587" s="417" t="s">
        <v>2568</v>
      </c>
      <c r="H3587" s="598">
        <v>14228464</v>
      </c>
      <c r="I3587" s="322" t="s">
        <v>1402</v>
      </c>
      <c r="J3587" s="418"/>
      <c r="K3587" s="248"/>
      <c r="M3587" s="366"/>
    </row>
    <row r="3588" spans="1:13" x14ac:dyDescent="0.25">
      <c r="A3588" s="308">
        <v>45685</v>
      </c>
      <c r="B3588" s="416">
        <v>1255772</v>
      </c>
      <c r="C3588" s="413" t="str">
        <f>IFERROR(INDEX(Table14[],MATCH($B3588,Table14[SAPNo],0),3),"")</f>
        <v>1313 CT154 U-60</v>
      </c>
      <c r="D3588" s="420" t="s">
        <v>12</v>
      </c>
      <c r="E3588" s="421">
        <v>27</v>
      </c>
      <c r="F3588" s="580"/>
      <c r="G3588" s="417" t="s">
        <v>2569</v>
      </c>
      <c r="H3588" s="598">
        <v>13945090</v>
      </c>
      <c r="I3588" s="322" t="s">
        <v>2533</v>
      </c>
      <c r="J3588" s="418"/>
      <c r="K3588" s="248"/>
      <c r="M3588" s="366"/>
    </row>
    <row r="3589" spans="1:13" x14ac:dyDescent="0.25">
      <c r="A3589" s="308">
        <v>45685</v>
      </c>
      <c r="B3589" s="416">
        <v>1162285</v>
      </c>
      <c r="C3589" s="413" t="str">
        <f>IFERROR(INDEX(Table14[],MATCH($B3589,Table14[SAPNo],0),3),"")</f>
        <v>1313 CT154 U</v>
      </c>
      <c r="D3589" s="420" t="s">
        <v>12</v>
      </c>
      <c r="E3589" s="421">
        <v>6</v>
      </c>
      <c r="F3589" s="580"/>
      <c r="G3589" s="417" t="s">
        <v>2569</v>
      </c>
      <c r="H3589" s="598">
        <v>13945090</v>
      </c>
      <c r="I3589" s="322" t="s">
        <v>2533</v>
      </c>
      <c r="J3589" s="418"/>
      <c r="K3589" s="248"/>
      <c r="M3589" s="366"/>
    </row>
    <row r="3590" spans="1:13" x14ac:dyDescent="0.25">
      <c r="A3590" s="308">
        <v>45685</v>
      </c>
      <c r="B3590" s="416">
        <v>418525</v>
      </c>
      <c r="C3590" s="413" t="str">
        <f>IFERROR(INDEX(Table14[],MATCH($B3590,Table14[SAPNo],0),3),"")</f>
        <v>Drop In 1308 CT31   (B)</v>
      </c>
      <c r="D3590" s="420" t="s">
        <v>12</v>
      </c>
      <c r="E3590" s="421">
        <v>7</v>
      </c>
      <c r="F3590" s="580"/>
      <c r="G3590" s="417" t="s">
        <v>2569</v>
      </c>
      <c r="H3590" s="598">
        <v>13945090</v>
      </c>
      <c r="I3590" s="322" t="s">
        <v>2533</v>
      </c>
      <c r="J3590" s="418"/>
      <c r="K3590" s="248"/>
      <c r="M3590" s="366"/>
    </row>
    <row r="3591" spans="1:13" x14ac:dyDescent="0.25">
      <c r="A3591" s="308">
        <v>45685</v>
      </c>
      <c r="B3591" s="416">
        <v>1136983</v>
      </c>
      <c r="C3591" s="413" t="str">
        <f>IFERROR(INDEX(Table14[],MATCH($B3591,Table14[SAPNo],0),3),"")</f>
        <v>1308 CT182DM 10C</v>
      </c>
      <c r="D3591" s="420" t="s">
        <v>12</v>
      </c>
      <c r="E3591" s="421">
        <v>6</v>
      </c>
      <c r="F3591" s="580"/>
      <c r="G3591" s="417" t="s">
        <v>2569</v>
      </c>
      <c r="H3591" s="598">
        <v>13945090</v>
      </c>
      <c r="I3591" s="322" t="s">
        <v>2533</v>
      </c>
      <c r="J3591" s="418"/>
      <c r="K3591" s="248"/>
      <c r="M3591" s="366"/>
    </row>
    <row r="3592" spans="1:13" x14ac:dyDescent="0.25">
      <c r="A3592" s="308">
        <v>45685</v>
      </c>
      <c r="B3592" s="416">
        <v>1130217</v>
      </c>
      <c r="C3592" s="413" t="str">
        <f>IFERROR(INDEX(Table14[],MATCH($B3592,Table14[SAPNo],0),3),"")</f>
        <v>Round 1010 CT182   10C (S)</v>
      </c>
      <c r="D3592" s="420" t="s">
        <v>12</v>
      </c>
      <c r="E3592" s="421">
        <v>2</v>
      </c>
      <c r="F3592" s="580"/>
      <c r="G3592" s="417" t="s">
        <v>2569</v>
      </c>
      <c r="H3592" s="598">
        <v>13945090</v>
      </c>
      <c r="I3592" s="322" t="s">
        <v>2533</v>
      </c>
      <c r="J3592" s="418"/>
      <c r="K3592" s="248"/>
      <c r="M3592" s="366"/>
    </row>
    <row r="3593" spans="1:13" x14ac:dyDescent="0.25">
      <c r="A3593" s="308">
        <v>45685</v>
      </c>
      <c r="B3593" s="416">
        <v>1244299</v>
      </c>
      <c r="C3593" s="413" t="str">
        <f>IFERROR(INDEX(Table14[],MATCH($B3593,Table14[SAPNo],0),3),"")</f>
        <v>1313 CT147CV4 U</v>
      </c>
      <c r="D3593" s="420" t="s">
        <v>12</v>
      </c>
      <c r="E3593" s="421">
        <v>2</v>
      </c>
      <c r="F3593" s="580"/>
      <c r="G3593" s="417">
        <v>20251011</v>
      </c>
      <c r="H3593" s="598" t="s">
        <v>2570</v>
      </c>
      <c r="I3593" s="322" t="s">
        <v>1781</v>
      </c>
      <c r="J3593" s="418"/>
      <c r="K3593" s="248"/>
      <c r="M3593" s="366"/>
    </row>
    <row r="3594" spans="1:13" x14ac:dyDescent="0.25">
      <c r="A3594" s="308">
        <v>45685</v>
      </c>
      <c r="B3594" s="416">
        <v>1100696</v>
      </c>
      <c r="C3594" s="413" t="str">
        <f>IFERROR(INDEX(Table14[],MATCH($B3594,Table14[SAPNo],0),3),"")</f>
        <v>Round 1313 CT418  10C (S)</v>
      </c>
      <c r="D3594" s="420" t="s">
        <v>12</v>
      </c>
      <c r="E3594" s="421">
        <v>4</v>
      </c>
      <c r="F3594" s="580"/>
      <c r="G3594" s="417">
        <v>20251011</v>
      </c>
      <c r="H3594" s="598" t="s">
        <v>2570</v>
      </c>
      <c r="I3594" s="322" t="s">
        <v>1781</v>
      </c>
      <c r="J3594" s="418"/>
      <c r="K3594" s="248"/>
      <c r="M3594" s="366"/>
    </row>
    <row r="3595" spans="1:13" x14ac:dyDescent="0.25">
      <c r="A3595" s="308">
        <v>45685</v>
      </c>
      <c r="B3595" s="416">
        <v>1130217</v>
      </c>
      <c r="C3595" s="413" t="str">
        <f>IFERROR(INDEX(Table14[],MATCH($B3595,Table14[SAPNo],0),3),"")</f>
        <v>Round 1010 CT182   10C (S)</v>
      </c>
      <c r="D3595" s="420" t="s">
        <v>12</v>
      </c>
      <c r="E3595" s="421">
        <v>3</v>
      </c>
      <c r="F3595" s="580"/>
      <c r="G3595" s="417">
        <v>20251012</v>
      </c>
      <c r="H3595" s="598" t="s">
        <v>2571</v>
      </c>
      <c r="I3595" s="322" t="s">
        <v>1069</v>
      </c>
      <c r="J3595" s="418"/>
      <c r="K3595" s="248"/>
      <c r="M3595" s="366"/>
    </row>
    <row r="3596" spans="1:13" x14ac:dyDescent="0.25">
      <c r="A3596" s="308">
        <v>45685</v>
      </c>
      <c r="B3596" s="416">
        <v>1220554</v>
      </c>
      <c r="C3596" s="413" t="str">
        <f>IFERROR(INDEX(Table14[],MATCH($B3596,Table14[SAPNo],0),3),"")</f>
        <v xml:space="preserve">1618 CT182 U-60 Carbide </v>
      </c>
      <c r="D3596" s="420" t="s">
        <v>12</v>
      </c>
      <c r="E3596" s="421">
        <v>10</v>
      </c>
      <c r="F3596" s="580"/>
      <c r="G3596" s="417" t="s">
        <v>2572</v>
      </c>
      <c r="H3596" s="598" t="s">
        <v>2514</v>
      </c>
      <c r="I3596" s="322" t="s">
        <v>2514</v>
      </c>
      <c r="J3596" s="418"/>
      <c r="K3596" s="248"/>
      <c r="M3596" s="366"/>
    </row>
    <row r="3597" spans="1:13" x14ac:dyDescent="0.25">
      <c r="A3597" s="308">
        <v>45686</v>
      </c>
      <c r="B3597" s="416">
        <v>1100755</v>
      </c>
      <c r="C3597" s="413" t="str">
        <f>IFERROR(INDEX(Table14[],MATCH($B3597,Table14[SAPNo],0),3),"")</f>
        <v>Round 1613 CT421  0.018" (S)</v>
      </c>
      <c r="D3597" s="420" t="s">
        <v>12</v>
      </c>
      <c r="E3597" s="421">
        <v>34</v>
      </c>
      <c r="F3597" s="580"/>
      <c r="G3597" s="417" t="s">
        <v>2573</v>
      </c>
      <c r="H3597" s="598">
        <v>14144644</v>
      </c>
      <c r="I3597" s="322" t="s">
        <v>2574</v>
      </c>
      <c r="J3597" s="418"/>
      <c r="K3597" s="248"/>
      <c r="M3597" s="366"/>
    </row>
    <row r="3598" spans="1:13" x14ac:dyDescent="0.25">
      <c r="A3598" s="308">
        <v>45686</v>
      </c>
      <c r="B3598" s="416">
        <v>1146737</v>
      </c>
      <c r="C3598" s="413" t="str">
        <f>IFERROR(INDEX(Table14[],MATCH($B3598,Table14[SAPNo],0),3),"")</f>
        <v>1613 CT418 18-60</v>
      </c>
      <c r="D3598" s="420" t="s">
        <v>12</v>
      </c>
      <c r="E3598" s="421">
        <v>9</v>
      </c>
      <c r="F3598" s="580"/>
      <c r="G3598" s="417" t="s">
        <v>2573</v>
      </c>
      <c r="H3598" s="598">
        <v>14144644</v>
      </c>
      <c r="I3598" s="322" t="s">
        <v>2574</v>
      </c>
      <c r="J3598" s="418"/>
      <c r="K3598" s="248"/>
      <c r="M3598" s="366"/>
    </row>
    <row r="3599" spans="1:13" x14ac:dyDescent="0.25">
      <c r="A3599" s="308">
        <v>45686</v>
      </c>
      <c r="B3599" s="416">
        <v>871781</v>
      </c>
      <c r="C3599" s="413" t="str">
        <f>IFERROR(INDEX(Table14[],MATCH($B3599,Table14[SAPNo],0),3),"")</f>
        <v>Round 1313 CT200  0.018" (B)</v>
      </c>
      <c r="D3599" s="420" t="s">
        <v>12</v>
      </c>
      <c r="E3599" s="421">
        <v>8</v>
      </c>
      <c r="F3599" s="580"/>
      <c r="G3599" s="417" t="s">
        <v>2573</v>
      </c>
      <c r="H3599" s="598">
        <v>14144644</v>
      </c>
      <c r="I3599" s="322" t="s">
        <v>2574</v>
      </c>
      <c r="J3599" s="418"/>
      <c r="K3599" s="248"/>
      <c r="M3599" s="366"/>
    </row>
    <row r="3600" spans="1:13" x14ac:dyDescent="0.25">
      <c r="A3600" s="308">
        <v>45686</v>
      </c>
      <c r="B3600" s="416">
        <v>1130197</v>
      </c>
      <c r="C3600" s="413" t="str">
        <f>IFERROR(INDEX(Table14[],MATCH($B3600,Table14[SAPNo],0),3),"")</f>
        <v>Round 1608 CT182  0.018" (S)</v>
      </c>
      <c r="D3600" s="420" t="s">
        <v>12</v>
      </c>
      <c r="E3600" s="421">
        <v>8</v>
      </c>
      <c r="F3600" s="580"/>
      <c r="G3600" s="417" t="s">
        <v>2573</v>
      </c>
      <c r="H3600" s="598">
        <v>14144644</v>
      </c>
      <c r="I3600" s="322" t="s">
        <v>2574</v>
      </c>
      <c r="J3600" s="418"/>
      <c r="K3600" s="248"/>
      <c r="M3600" s="366"/>
    </row>
    <row r="3601" spans="1:13" x14ac:dyDescent="0.25">
      <c r="A3601" s="308">
        <v>45686</v>
      </c>
      <c r="B3601" s="416">
        <v>1100759</v>
      </c>
      <c r="C3601" s="413" t="str">
        <f>IFERROR(INDEX(Table14[],MATCH($B3601,Table14[SAPNo],0),3),"")</f>
        <v>1913 CT421 0.018"</v>
      </c>
      <c r="D3601" s="420" t="s">
        <v>12</v>
      </c>
      <c r="E3601" s="421">
        <v>24</v>
      </c>
      <c r="F3601" s="580"/>
      <c r="G3601" s="417" t="s">
        <v>2573</v>
      </c>
      <c r="H3601" s="598">
        <v>14144644</v>
      </c>
      <c r="I3601" s="322" t="s">
        <v>2574</v>
      </c>
      <c r="J3601" s="418"/>
      <c r="K3601" s="248"/>
      <c r="M3601" s="366"/>
    </row>
    <row r="3602" spans="1:13" x14ac:dyDescent="0.25">
      <c r="A3602" s="308">
        <v>45686</v>
      </c>
      <c r="B3602" s="416">
        <v>983150</v>
      </c>
      <c r="C3602" s="413" t="str">
        <f>IFERROR(INDEX(Table14[],MATCH($B3602,Table14[SAPNo],0),3),"")</f>
        <v>Round 1613 CT216  0.018" (S)</v>
      </c>
      <c r="D3602" s="420" t="s">
        <v>1072</v>
      </c>
      <c r="E3602" s="421">
        <v>35</v>
      </c>
      <c r="F3602" s="580"/>
      <c r="G3602" s="417" t="s">
        <v>2573</v>
      </c>
      <c r="H3602" s="598">
        <v>14144644</v>
      </c>
      <c r="I3602" s="322" t="s">
        <v>2574</v>
      </c>
      <c r="J3602" s="418"/>
      <c r="K3602" s="248"/>
      <c r="M3602" s="366"/>
    </row>
    <row r="3603" spans="1:13" x14ac:dyDescent="0.25">
      <c r="A3603" s="308">
        <v>45686</v>
      </c>
      <c r="B3603" s="416">
        <v>1146737</v>
      </c>
      <c r="C3603" s="413" t="str">
        <f>IFERROR(INDEX(Table14[],MATCH($B3603,Table14[SAPNo],0),3),"")</f>
        <v>1613 CT418 18-60</v>
      </c>
      <c r="D3603" s="420" t="s">
        <v>12</v>
      </c>
      <c r="E3603" s="421">
        <v>6</v>
      </c>
      <c r="F3603" s="580"/>
      <c r="G3603" s="417" t="s">
        <v>2575</v>
      </c>
      <c r="H3603" s="598">
        <v>14254502</v>
      </c>
      <c r="I3603" s="322" t="s">
        <v>2576</v>
      </c>
      <c r="J3603" s="418"/>
      <c r="K3603" s="248"/>
      <c r="M3603" s="366"/>
    </row>
    <row r="3604" spans="1:13" x14ac:dyDescent="0.25">
      <c r="A3604" s="308">
        <v>45686</v>
      </c>
      <c r="B3604" s="416">
        <v>418525</v>
      </c>
      <c r="C3604" s="413" t="str">
        <f>IFERROR(INDEX(Table14[],MATCH($B3604,Table14[SAPNo],0),3),"")</f>
        <v>Drop In 1308 CT31   (B)</v>
      </c>
      <c r="D3604" s="420" t="s">
        <v>12</v>
      </c>
      <c r="E3604" s="421">
        <v>4</v>
      </c>
      <c r="F3604" s="580"/>
      <c r="G3604" s="417" t="s">
        <v>2575</v>
      </c>
      <c r="H3604" s="598">
        <v>14254502</v>
      </c>
      <c r="I3604" s="322" t="s">
        <v>2576</v>
      </c>
      <c r="J3604" s="418"/>
      <c r="K3604" s="248"/>
      <c r="M3604" s="366"/>
    </row>
    <row r="3605" spans="1:13" x14ac:dyDescent="0.25">
      <c r="A3605" s="308">
        <v>45691</v>
      </c>
      <c r="B3605" s="416">
        <v>418525</v>
      </c>
      <c r="C3605" s="413" t="str">
        <f>IFERROR(INDEX(Table14[],MATCH($B3605,Table14[SAPNo],0),3),"")</f>
        <v>Drop In 1308 CT31   (B)</v>
      </c>
      <c r="D3605" s="420" t="s">
        <v>12</v>
      </c>
      <c r="E3605" s="421">
        <v>5</v>
      </c>
      <c r="F3605" s="580"/>
      <c r="G3605" s="417" t="s">
        <v>2586</v>
      </c>
      <c r="H3605" s="598" t="s">
        <v>2587</v>
      </c>
      <c r="I3605" s="322" t="s">
        <v>2179</v>
      </c>
      <c r="J3605" s="418"/>
      <c r="K3605" s="248"/>
      <c r="M3605" s="366"/>
    </row>
    <row r="3606" spans="1:13" x14ac:dyDescent="0.25">
      <c r="A3606" s="308">
        <v>45691</v>
      </c>
      <c r="B3606" s="416">
        <v>1146737</v>
      </c>
      <c r="C3606" s="413" t="str">
        <f>IFERROR(INDEX(Table14[],MATCH($B3606,Table14[SAPNo],0),3),"")</f>
        <v>1613 CT418 18-60</v>
      </c>
      <c r="D3606" s="420" t="s">
        <v>12</v>
      </c>
      <c r="E3606" s="421">
        <v>6</v>
      </c>
      <c r="F3606" s="580"/>
      <c r="G3606" s="417" t="s">
        <v>2586</v>
      </c>
      <c r="H3606" s="598" t="s">
        <v>2587</v>
      </c>
      <c r="I3606" s="322" t="s">
        <v>2179</v>
      </c>
      <c r="J3606" s="418"/>
      <c r="K3606" s="248"/>
      <c r="M3606" s="366"/>
    </row>
    <row r="3607" spans="1:13" x14ac:dyDescent="0.25">
      <c r="A3607" s="308">
        <v>45691</v>
      </c>
      <c r="B3607" s="416">
        <v>1271790</v>
      </c>
      <c r="C3607" s="413" t="str">
        <f>IFERROR(INDEX(Table14[],MATCH($B3607,Table14[SAPNo],0),3),"")</f>
        <v xml:space="preserve">1613 CT170 18-60 </v>
      </c>
      <c r="D3607" s="420" t="s">
        <v>12</v>
      </c>
      <c r="E3607" s="421">
        <v>3</v>
      </c>
      <c r="F3607" s="580"/>
      <c r="G3607" s="417" t="s">
        <v>2586</v>
      </c>
      <c r="H3607" s="598" t="s">
        <v>2587</v>
      </c>
      <c r="I3607" s="322" t="s">
        <v>2179</v>
      </c>
      <c r="J3607" s="418"/>
      <c r="K3607" s="248"/>
      <c r="M3607" s="366"/>
    </row>
    <row r="3608" spans="1:13" x14ac:dyDescent="0.25">
      <c r="A3608" s="320">
        <v>45686</v>
      </c>
      <c r="B3608" s="419">
        <v>1220554</v>
      </c>
      <c r="C3608" s="413" t="str">
        <f>IFERROR(INDEX(Table14[],MATCH($B3608,Table14[SAPNo],0),3),"")</f>
        <v xml:space="preserve">1618 CT182 U-60 Carbide </v>
      </c>
      <c r="D3608" s="420" t="s">
        <v>12</v>
      </c>
      <c r="E3608" s="421">
        <v>10</v>
      </c>
      <c r="F3608" s="580"/>
      <c r="G3608" s="420" t="s">
        <v>2572</v>
      </c>
      <c r="H3608" s="599" t="s">
        <v>2514</v>
      </c>
      <c r="I3608" s="322" t="s">
        <v>2514</v>
      </c>
      <c r="J3608" s="421"/>
      <c r="K3608" s="422"/>
      <c r="M3608" s="366"/>
    </row>
    <row r="3609" spans="1:13" x14ac:dyDescent="0.25">
      <c r="A3609" s="308">
        <v>45687</v>
      </c>
      <c r="B3609" s="416">
        <v>1100696</v>
      </c>
      <c r="C3609" s="413" t="str">
        <f>IFERROR(INDEX(Table14[],MATCH($B3609,Table14[SAPNo],0),3),"")</f>
        <v>Round 1313 CT418  10C (S)</v>
      </c>
      <c r="D3609" s="420" t="s">
        <v>12</v>
      </c>
      <c r="E3609" s="421">
        <v>1</v>
      </c>
      <c r="F3609" s="421"/>
      <c r="G3609" s="417">
        <v>20241153</v>
      </c>
      <c r="H3609" s="598" t="s">
        <v>2578</v>
      </c>
      <c r="I3609" s="322" t="s">
        <v>1307</v>
      </c>
      <c r="J3609" s="418"/>
      <c r="K3609" s="248"/>
      <c r="M3609" s="422"/>
    </row>
    <row r="3610" spans="1:13" x14ac:dyDescent="0.25">
      <c r="A3610" s="308">
        <v>45694</v>
      </c>
      <c r="B3610" s="416">
        <v>1146737</v>
      </c>
      <c r="C3610" s="413" t="str">
        <f>IFERROR(INDEX(Table14[],MATCH($B3610,Table14[SAPNo],0),3),"")</f>
        <v>1613 CT418 18-60</v>
      </c>
      <c r="D3610" s="420" t="s">
        <v>12</v>
      </c>
      <c r="E3610" s="421">
        <v>1</v>
      </c>
      <c r="F3610" s="580"/>
      <c r="G3610" s="417" t="s">
        <v>2586</v>
      </c>
      <c r="H3610" s="598" t="s">
        <v>2587</v>
      </c>
      <c r="I3610" s="322" t="s">
        <v>2179</v>
      </c>
      <c r="J3610" s="418"/>
      <c r="K3610" s="248"/>
      <c r="M3610" s="366"/>
    </row>
    <row r="3611" spans="1:13" x14ac:dyDescent="0.25">
      <c r="A3611" s="308">
        <v>45687</v>
      </c>
      <c r="B3611" s="416">
        <v>1078377</v>
      </c>
      <c r="C3611" s="413" t="str">
        <f>IFERROR(INDEX(Table14[],MATCH($B3611,Table14[SAPNo],0),3),"")</f>
        <v>13MM CT221 R1</v>
      </c>
      <c r="D3611" s="420" t="s">
        <v>12</v>
      </c>
      <c r="E3611" s="421">
        <v>1</v>
      </c>
      <c r="F3611" s="580"/>
      <c r="G3611" s="417" t="s">
        <v>2579</v>
      </c>
      <c r="H3611" s="598">
        <v>14254498</v>
      </c>
      <c r="I3611" s="322" t="s">
        <v>2576</v>
      </c>
      <c r="J3611" s="418"/>
      <c r="K3611" s="248"/>
      <c r="M3611" s="366"/>
    </row>
    <row r="3612" spans="1:13" x14ac:dyDescent="0.25">
      <c r="A3612" s="308">
        <v>45687</v>
      </c>
      <c r="B3612" s="416">
        <v>1271790</v>
      </c>
      <c r="C3612" s="413" t="str">
        <f>IFERROR(INDEX(Table14[],MATCH($B3612,Table14[SAPNo],0),3),"")</f>
        <v xml:space="preserve">1613 CT170 18-60 </v>
      </c>
      <c r="D3612" s="420" t="s">
        <v>12</v>
      </c>
      <c r="E3612" s="421">
        <v>2</v>
      </c>
      <c r="F3612" s="580"/>
      <c r="G3612" s="417" t="s">
        <v>2579</v>
      </c>
      <c r="H3612" s="598">
        <v>14254498</v>
      </c>
      <c r="I3612" s="322" t="s">
        <v>2576</v>
      </c>
      <c r="J3612" s="418"/>
      <c r="K3612" s="248"/>
      <c r="M3612" s="366"/>
    </row>
    <row r="3613" spans="1:13" x14ac:dyDescent="0.25">
      <c r="A3613" s="308">
        <v>45687</v>
      </c>
      <c r="B3613" s="416">
        <v>1146737</v>
      </c>
      <c r="C3613" s="413" t="str">
        <f>IFERROR(INDEX(Table14[],MATCH($B3613,Table14[SAPNo],0),3),"")</f>
        <v>1613 CT418 18-60</v>
      </c>
      <c r="D3613" s="420" t="s">
        <v>12</v>
      </c>
      <c r="E3613" s="421">
        <v>6</v>
      </c>
      <c r="F3613" s="580"/>
      <c r="G3613" s="417" t="s">
        <v>2579</v>
      </c>
      <c r="H3613" s="598">
        <v>14254498</v>
      </c>
      <c r="I3613" s="322" t="s">
        <v>2576</v>
      </c>
      <c r="J3613" s="418"/>
      <c r="K3613" s="248"/>
      <c r="M3613" s="366"/>
    </row>
    <row r="3614" spans="1:13" x14ac:dyDescent="0.25">
      <c r="A3614" s="308">
        <v>45687</v>
      </c>
      <c r="B3614" s="416">
        <v>1288783</v>
      </c>
      <c r="C3614" s="413" t="str">
        <f>IFERROR(INDEX(Table14[],MATCH($B3614,Table14[SAPNo],0),3),"")</f>
        <v>1613 CT179 18-60</v>
      </c>
      <c r="D3614" s="420" t="s">
        <v>12</v>
      </c>
      <c r="E3614" s="421">
        <v>4</v>
      </c>
      <c r="F3614" s="580"/>
      <c r="G3614" s="417" t="s">
        <v>2579</v>
      </c>
      <c r="H3614" s="598">
        <v>14254498</v>
      </c>
      <c r="I3614" s="322" t="s">
        <v>2576</v>
      </c>
      <c r="J3614" s="418"/>
      <c r="K3614" s="248"/>
      <c r="M3614" s="366"/>
    </row>
    <row r="3615" spans="1:13" x14ac:dyDescent="0.25">
      <c r="A3615" s="308">
        <v>45687</v>
      </c>
      <c r="B3615" s="416">
        <v>418525</v>
      </c>
      <c r="C3615" s="413" t="str">
        <f>IFERROR(INDEX(Table14[],MATCH($B3615,Table14[SAPNo],0),3),"")</f>
        <v>Drop In 1308 CT31   (B)</v>
      </c>
      <c r="D3615" s="420" t="s">
        <v>12</v>
      </c>
      <c r="E3615" s="421">
        <v>6</v>
      </c>
      <c r="F3615" s="580"/>
      <c r="G3615" s="417" t="s">
        <v>2579</v>
      </c>
      <c r="H3615" s="598">
        <v>14254498</v>
      </c>
      <c r="I3615" s="322" t="s">
        <v>2576</v>
      </c>
      <c r="J3615" s="418"/>
      <c r="K3615" s="248"/>
      <c r="M3615" s="366"/>
    </row>
    <row r="3616" spans="1:13" x14ac:dyDescent="0.25">
      <c r="A3616" s="308">
        <v>45688</v>
      </c>
      <c r="B3616" s="416">
        <v>1209333</v>
      </c>
      <c r="C3616" s="413" t="str">
        <f>IFERROR(INDEX(Table14[],MATCH($B3616,Table14[SAPNo],0),3),"")</f>
        <v>1613 CT147G U</v>
      </c>
      <c r="D3616" s="420" t="s">
        <v>12</v>
      </c>
      <c r="E3616" s="421">
        <v>12</v>
      </c>
      <c r="F3616" s="580"/>
      <c r="G3616" s="417" t="s">
        <v>2580</v>
      </c>
      <c r="H3616" s="598">
        <v>14293153</v>
      </c>
      <c r="I3616" s="322" t="s">
        <v>2277</v>
      </c>
      <c r="J3616" s="418"/>
      <c r="K3616" s="248"/>
      <c r="M3616" s="366"/>
    </row>
    <row r="3617" spans="1:13" x14ac:dyDescent="0.25">
      <c r="A3617" s="308">
        <v>45688</v>
      </c>
      <c r="B3617" s="416">
        <v>625854</v>
      </c>
      <c r="C3617" s="413" t="str">
        <f>IFERROR(INDEX(Table14[],MATCH($B3617,Table14[SAPNo],0),3),"")</f>
        <v>Carbide IA 1318    (C)</v>
      </c>
      <c r="D3617" s="420" t="s">
        <v>12</v>
      </c>
      <c r="E3617" s="421">
        <v>6</v>
      </c>
      <c r="F3617" s="580"/>
      <c r="G3617" s="417" t="s">
        <v>2580</v>
      </c>
      <c r="H3617" s="598">
        <v>14293153</v>
      </c>
      <c r="I3617" s="322" t="s">
        <v>2277</v>
      </c>
      <c r="J3617" s="418"/>
      <c r="K3617" s="248"/>
      <c r="M3617" s="366"/>
    </row>
    <row r="3618" spans="1:13" x14ac:dyDescent="0.25">
      <c r="A3618" s="308">
        <v>45688</v>
      </c>
      <c r="B3618" s="416">
        <v>1146737</v>
      </c>
      <c r="C3618" s="413" t="str">
        <f>IFERROR(INDEX(Table14[],MATCH($B3618,Table14[SAPNo],0),3),"")</f>
        <v>1613 CT418 18-60</v>
      </c>
      <c r="D3618" s="420" t="s">
        <v>12</v>
      </c>
      <c r="E3618" s="421">
        <v>6</v>
      </c>
      <c r="F3618" s="580"/>
      <c r="G3618" s="417" t="s">
        <v>2580</v>
      </c>
      <c r="H3618" s="598">
        <v>14293153</v>
      </c>
      <c r="I3618" s="322" t="s">
        <v>2277</v>
      </c>
      <c r="J3618" s="418"/>
      <c r="K3618" s="248"/>
      <c r="M3618" s="366"/>
    </row>
    <row r="3619" spans="1:13" x14ac:dyDescent="0.25">
      <c r="A3619" s="308">
        <v>45688</v>
      </c>
      <c r="B3619" s="416">
        <v>418525</v>
      </c>
      <c r="C3619" s="413" t="str">
        <f>IFERROR(INDEX(Table14[],MATCH($B3619,Table14[SAPNo],0),3),"")</f>
        <v>Drop In 1308 CT31   (B)</v>
      </c>
      <c r="D3619" s="420" t="s">
        <v>12</v>
      </c>
      <c r="E3619" s="421">
        <v>6</v>
      </c>
      <c r="F3619" s="580"/>
      <c r="G3619" s="417" t="s">
        <v>2580</v>
      </c>
      <c r="H3619" s="598">
        <v>14293153</v>
      </c>
      <c r="I3619" s="322" t="s">
        <v>2277</v>
      </c>
      <c r="J3619" s="418"/>
      <c r="K3619" s="248"/>
      <c r="M3619" s="366"/>
    </row>
    <row r="3620" spans="1:13" x14ac:dyDescent="0.25">
      <c r="A3620" s="308">
        <v>45688</v>
      </c>
      <c r="B3620" s="416">
        <v>1208601</v>
      </c>
      <c r="C3620" s="413" t="str">
        <f>IFERROR(INDEX(Table14[],MATCH($B3620,Table14[SAPNo],0),3),"")</f>
        <v>1613 CT418 U-60</v>
      </c>
      <c r="D3620" s="420" t="s">
        <v>12</v>
      </c>
      <c r="E3620" s="421">
        <v>13</v>
      </c>
      <c r="F3620" s="580"/>
      <c r="G3620" s="417" t="s">
        <v>2580</v>
      </c>
      <c r="H3620" s="598">
        <v>14293153</v>
      </c>
      <c r="I3620" s="322" t="s">
        <v>2277</v>
      </c>
      <c r="J3620" s="418"/>
      <c r="K3620" s="248"/>
      <c r="M3620" s="366"/>
    </row>
    <row r="3621" spans="1:13" x14ac:dyDescent="0.25">
      <c r="A3621" s="308">
        <v>45688</v>
      </c>
      <c r="B3621" s="416">
        <v>625854</v>
      </c>
      <c r="C3621" s="413" t="str">
        <f>IFERROR(INDEX(Table14[],MATCH($B3621,Table14[SAPNo],0),3),"")</f>
        <v>Carbide IA 1318    (C)</v>
      </c>
      <c r="D3621" s="420" t="s">
        <v>12</v>
      </c>
      <c r="E3621" s="421">
        <v>6</v>
      </c>
      <c r="F3621" s="580"/>
      <c r="G3621" s="417" t="s">
        <v>2581</v>
      </c>
      <c r="H3621" s="598">
        <v>14204325</v>
      </c>
      <c r="I3621" s="322" t="s">
        <v>2277</v>
      </c>
      <c r="J3621" s="418"/>
      <c r="K3621" s="248"/>
      <c r="M3621" s="366"/>
    </row>
    <row r="3622" spans="1:13" x14ac:dyDescent="0.25">
      <c r="A3622" s="308">
        <v>45688</v>
      </c>
      <c r="B3622" s="416">
        <v>1208601</v>
      </c>
      <c r="C3622" s="413" t="str">
        <f>IFERROR(INDEX(Table14[],MATCH($B3622,Table14[SAPNo],0),3),"")</f>
        <v>1613 CT418 U-60</v>
      </c>
      <c r="D3622" s="420" t="s">
        <v>12</v>
      </c>
      <c r="E3622" s="421">
        <v>13</v>
      </c>
      <c r="F3622" s="580"/>
      <c r="G3622" s="417" t="s">
        <v>2581</v>
      </c>
      <c r="H3622" s="598">
        <v>14204325</v>
      </c>
      <c r="I3622" s="322" t="s">
        <v>2277</v>
      </c>
      <c r="J3622" s="418"/>
      <c r="K3622" s="248"/>
      <c r="M3622" s="366"/>
    </row>
    <row r="3623" spans="1:13" x14ac:dyDescent="0.25">
      <c r="A3623" s="308">
        <v>45688</v>
      </c>
      <c r="B3623" s="416">
        <v>1146737</v>
      </c>
      <c r="C3623" s="413" t="str">
        <f>IFERROR(INDEX(Table14[],MATCH($B3623,Table14[SAPNo],0),3),"")</f>
        <v>1613 CT418 18-60</v>
      </c>
      <c r="D3623" s="420" t="s">
        <v>12</v>
      </c>
      <c r="E3623" s="421">
        <v>6</v>
      </c>
      <c r="F3623" s="580"/>
      <c r="G3623" s="417" t="s">
        <v>2581</v>
      </c>
      <c r="H3623" s="598">
        <v>14204325</v>
      </c>
      <c r="I3623" s="322" t="s">
        <v>2277</v>
      </c>
      <c r="J3623" s="418"/>
      <c r="K3623" s="248"/>
      <c r="M3623" s="366"/>
    </row>
    <row r="3624" spans="1:13" x14ac:dyDescent="0.25">
      <c r="A3624" s="308">
        <v>45688</v>
      </c>
      <c r="B3624" s="416">
        <v>418525</v>
      </c>
      <c r="C3624" s="413" t="str">
        <f>IFERROR(INDEX(Table14[],MATCH($B3624,Table14[SAPNo],0),3),"")</f>
        <v>Drop In 1308 CT31   (B)</v>
      </c>
      <c r="D3624" s="420" t="s">
        <v>12</v>
      </c>
      <c r="E3624" s="421">
        <v>6</v>
      </c>
      <c r="F3624" s="580"/>
      <c r="G3624" s="417" t="s">
        <v>2581</v>
      </c>
      <c r="H3624" s="598">
        <v>14204325</v>
      </c>
      <c r="I3624" s="322" t="s">
        <v>2277</v>
      </c>
      <c r="J3624" s="418"/>
      <c r="K3624" s="248"/>
      <c r="M3624" s="366"/>
    </row>
    <row r="3625" spans="1:13" x14ac:dyDescent="0.25">
      <c r="A3625" s="308">
        <v>45688</v>
      </c>
      <c r="B3625" s="416">
        <v>1209333</v>
      </c>
      <c r="C3625" s="413" t="str">
        <f>IFERROR(INDEX(Table14[],MATCH($B3625,Table14[SAPNo],0),3),"")</f>
        <v>1613 CT147G U</v>
      </c>
      <c r="D3625" s="420" t="s">
        <v>12</v>
      </c>
      <c r="E3625" s="421">
        <v>12</v>
      </c>
      <c r="F3625" s="580"/>
      <c r="G3625" s="417" t="s">
        <v>2581</v>
      </c>
      <c r="H3625" s="598">
        <v>14204325</v>
      </c>
      <c r="I3625" s="322" t="s">
        <v>2277</v>
      </c>
      <c r="J3625" s="418"/>
      <c r="K3625" s="248"/>
      <c r="M3625" s="366"/>
    </row>
    <row r="3626" spans="1:13" x14ac:dyDescent="0.25">
      <c r="A3626" s="308">
        <v>45690</v>
      </c>
      <c r="B3626" s="416">
        <v>1130217</v>
      </c>
      <c r="C3626" s="413" t="str">
        <f>IFERROR(INDEX(Table14[],MATCH($B3626,Table14[SAPNo],0),3),"")</f>
        <v>Round 1010 CT182   10C (S)</v>
      </c>
      <c r="D3626" s="420" t="s">
        <v>12</v>
      </c>
      <c r="E3626" s="421">
        <v>1</v>
      </c>
      <c r="F3626" s="580"/>
      <c r="G3626" s="417">
        <v>20251014</v>
      </c>
      <c r="H3626" s="598" t="s">
        <v>2582</v>
      </c>
      <c r="I3626" s="322" t="s">
        <v>2529</v>
      </c>
      <c r="J3626" s="418"/>
      <c r="K3626" s="248"/>
      <c r="M3626" s="366"/>
    </row>
    <row r="3627" spans="1:13" x14ac:dyDescent="0.25">
      <c r="A3627" s="308">
        <v>45690</v>
      </c>
      <c r="B3627" s="416">
        <v>1100696</v>
      </c>
      <c r="C3627" s="413" t="str">
        <f>IFERROR(INDEX(Table14[],MATCH($B3627,Table14[SAPNo],0),3),"")</f>
        <v>Round 1313 CT418  10C (S)</v>
      </c>
      <c r="D3627" s="420" t="s">
        <v>12</v>
      </c>
      <c r="E3627" s="421">
        <v>1</v>
      </c>
      <c r="F3627" s="580"/>
      <c r="G3627" s="417">
        <v>20251016</v>
      </c>
      <c r="H3627" s="598" t="s">
        <v>2583</v>
      </c>
      <c r="I3627" s="322" t="s">
        <v>2449</v>
      </c>
      <c r="J3627" s="418"/>
      <c r="K3627" s="248"/>
      <c r="M3627" s="366"/>
    </row>
    <row r="3628" spans="1:13" x14ac:dyDescent="0.25">
      <c r="A3628" s="308">
        <v>45690</v>
      </c>
      <c r="B3628" s="416">
        <v>418525</v>
      </c>
      <c r="C3628" s="413" t="str">
        <f>IFERROR(INDEX(Table14[],MATCH($B3628,Table14[SAPNo],0),3),"")</f>
        <v>Drop In 1308 CT31   (B)</v>
      </c>
      <c r="D3628" s="420" t="s">
        <v>12</v>
      </c>
      <c r="E3628" s="421">
        <v>2</v>
      </c>
      <c r="F3628" s="580"/>
      <c r="G3628" s="417">
        <v>20251016</v>
      </c>
      <c r="H3628" s="598" t="s">
        <v>2583</v>
      </c>
      <c r="I3628" s="322" t="s">
        <v>2449</v>
      </c>
      <c r="J3628" s="418"/>
      <c r="K3628" s="248"/>
      <c r="M3628" s="366"/>
    </row>
    <row r="3629" spans="1:13" x14ac:dyDescent="0.25">
      <c r="A3629" s="308">
        <v>45690</v>
      </c>
      <c r="B3629" s="416">
        <v>1244299</v>
      </c>
      <c r="C3629" s="413" t="str">
        <f>IFERROR(INDEX(Table14[],MATCH($B3629,Table14[SAPNo],0),3),"")</f>
        <v>1313 CT147CV4 U</v>
      </c>
      <c r="D3629" s="420" t="s">
        <v>12</v>
      </c>
      <c r="E3629" s="421">
        <v>1</v>
      </c>
      <c r="F3629" s="580"/>
      <c r="G3629" s="417">
        <v>20251016</v>
      </c>
      <c r="H3629" s="598" t="s">
        <v>2583</v>
      </c>
      <c r="I3629" s="322" t="s">
        <v>2449</v>
      </c>
      <c r="J3629" s="418"/>
      <c r="K3629" s="248"/>
      <c r="M3629" s="366"/>
    </row>
    <row r="3630" spans="1:13" x14ac:dyDescent="0.25">
      <c r="A3630" s="308">
        <v>45690</v>
      </c>
      <c r="B3630" s="416">
        <v>1146737</v>
      </c>
      <c r="C3630" s="413" t="str">
        <f>IFERROR(INDEX(Table14[],MATCH($B3630,Table14[SAPNo],0),3),"")</f>
        <v>1613 CT418 18-60</v>
      </c>
      <c r="D3630" s="420" t="s">
        <v>12</v>
      </c>
      <c r="E3630" s="421">
        <v>6</v>
      </c>
      <c r="F3630" s="580"/>
      <c r="G3630" s="417" t="s">
        <v>2584</v>
      </c>
      <c r="H3630" s="598">
        <v>14204324</v>
      </c>
      <c r="I3630" s="322" t="s">
        <v>2277</v>
      </c>
      <c r="J3630" s="418"/>
      <c r="K3630" s="248"/>
      <c r="M3630" s="366"/>
    </row>
    <row r="3631" spans="1:13" x14ac:dyDescent="0.25">
      <c r="A3631" s="308">
        <v>45690</v>
      </c>
      <c r="B3631" s="416">
        <v>1208601</v>
      </c>
      <c r="C3631" s="413" t="str">
        <f>IFERROR(INDEX(Table14[],MATCH($B3631,Table14[SAPNo],0),3),"")</f>
        <v>1613 CT418 U-60</v>
      </c>
      <c r="D3631" s="420" t="s">
        <v>12</v>
      </c>
      <c r="E3631" s="421">
        <v>13</v>
      </c>
      <c r="F3631" s="580"/>
      <c r="G3631" s="417" t="s">
        <v>2584</v>
      </c>
      <c r="H3631" s="598">
        <v>14204324</v>
      </c>
      <c r="I3631" s="322" t="s">
        <v>2277</v>
      </c>
      <c r="J3631" s="418"/>
      <c r="K3631" s="248"/>
      <c r="M3631" s="366"/>
    </row>
    <row r="3632" spans="1:13" x14ac:dyDescent="0.25">
      <c r="A3632" s="308">
        <v>45690</v>
      </c>
      <c r="B3632" s="416">
        <v>1209333</v>
      </c>
      <c r="C3632" s="413" t="str">
        <f>IFERROR(INDEX(Table14[],MATCH($B3632,Table14[SAPNo],0),3),"")</f>
        <v>1613 CT147G U</v>
      </c>
      <c r="D3632" s="420" t="s">
        <v>12</v>
      </c>
      <c r="E3632" s="421">
        <v>12</v>
      </c>
      <c r="F3632" s="580"/>
      <c r="G3632" s="417" t="s">
        <v>2584</v>
      </c>
      <c r="H3632" s="598">
        <v>14204324</v>
      </c>
      <c r="I3632" s="322" t="s">
        <v>2277</v>
      </c>
      <c r="J3632" s="418"/>
      <c r="K3632" s="248"/>
      <c r="M3632" s="366"/>
    </row>
    <row r="3633" spans="1:15" x14ac:dyDescent="0.25">
      <c r="A3633" s="308">
        <v>45690</v>
      </c>
      <c r="B3633" s="416">
        <v>418525</v>
      </c>
      <c r="C3633" s="413" t="str">
        <f>IFERROR(INDEX(Table14[],MATCH($B3633,Table14[SAPNo],0),3),"")</f>
        <v>Drop In 1308 CT31   (B)</v>
      </c>
      <c r="D3633" s="420" t="s">
        <v>12</v>
      </c>
      <c r="E3633" s="421">
        <v>6</v>
      </c>
      <c r="F3633" s="580"/>
      <c r="G3633" s="417" t="s">
        <v>2584</v>
      </c>
      <c r="H3633" s="598">
        <v>14204324</v>
      </c>
      <c r="I3633" s="322" t="s">
        <v>2277</v>
      </c>
      <c r="J3633" s="418"/>
      <c r="K3633" s="248"/>
      <c r="M3633" s="366"/>
    </row>
    <row r="3634" spans="1:15" x14ac:dyDescent="0.25">
      <c r="A3634" s="320">
        <v>45690</v>
      </c>
      <c r="B3634" s="419">
        <v>625854</v>
      </c>
      <c r="C3634" s="413" t="str">
        <f>IFERROR(INDEX(Table14[],MATCH($B3634,Table14[SAPNo],0),3),"")</f>
        <v>Carbide IA 1318    (C)</v>
      </c>
      <c r="D3634" s="420" t="s">
        <v>12</v>
      </c>
      <c r="E3634" s="421">
        <v>6</v>
      </c>
      <c r="F3634" s="580"/>
      <c r="G3634" s="420" t="s">
        <v>2584</v>
      </c>
      <c r="H3634" s="599">
        <v>14204324</v>
      </c>
      <c r="I3634" s="322" t="s">
        <v>2277</v>
      </c>
      <c r="J3634" s="421"/>
      <c r="K3634" s="422"/>
      <c r="M3634" s="366"/>
    </row>
    <row r="3635" spans="1:15" x14ac:dyDescent="0.25">
      <c r="A3635" s="308">
        <v>45690</v>
      </c>
      <c r="B3635" s="416">
        <v>1220554</v>
      </c>
      <c r="C3635" s="413" t="str">
        <f>IFERROR(INDEX(Table14[],MATCH($B3635,Table14[SAPNo],0),3),"")</f>
        <v xml:space="preserve">1618 CT182 U-60 Carbide </v>
      </c>
      <c r="D3635" s="420" t="s">
        <v>12</v>
      </c>
      <c r="E3635" s="421">
        <v>23</v>
      </c>
      <c r="F3635" s="421"/>
      <c r="G3635" s="417" t="s">
        <v>2572</v>
      </c>
      <c r="H3635" s="598" t="s">
        <v>2514</v>
      </c>
      <c r="I3635" s="322" t="s">
        <v>2514</v>
      </c>
      <c r="J3635" s="418"/>
      <c r="K3635" s="248"/>
      <c r="M3635" s="422"/>
    </row>
    <row r="3636" spans="1:15" x14ac:dyDescent="0.25">
      <c r="A3636" s="308">
        <v>45694</v>
      </c>
      <c r="B3636" s="416">
        <v>1101509</v>
      </c>
      <c r="C3636" s="413" t="str">
        <f>IFERROR(INDEX(Table14[],MATCH($B3636,Table14[SAPNo],0),3),"")</f>
        <v>Short IA 8    (C)</v>
      </c>
      <c r="D3636" s="420" t="s">
        <v>12</v>
      </c>
      <c r="E3636" s="421"/>
      <c r="F3636" s="421">
        <v>10</v>
      </c>
      <c r="G3636" s="417" t="s">
        <v>2513</v>
      </c>
      <c r="H3636" s="598"/>
      <c r="I3636" s="322"/>
      <c r="J3636" s="418" t="s">
        <v>979</v>
      </c>
      <c r="K3636" s="248"/>
      <c r="M3636" s="422"/>
      <c r="O3636">
        <v>10</v>
      </c>
    </row>
    <row r="3637" spans="1:15" x14ac:dyDescent="0.25">
      <c r="A3637" s="308">
        <v>45694</v>
      </c>
      <c r="B3637" s="416">
        <v>1136984</v>
      </c>
      <c r="C3637" s="413" t="str">
        <f>IFERROR(INDEX(Table14[],MATCH($B3637,Table14[SAPNo],0),3),"")</f>
        <v>DBLMCHT 1313 CT182DM  10C (S)</v>
      </c>
      <c r="D3637" s="420" t="s">
        <v>12</v>
      </c>
      <c r="E3637" s="421"/>
      <c r="F3637" s="580">
        <v>14</v>
      </c>
      <c r="G3637" s="417" t="s">
        <v>2513</v>
      </c>
      <c r="H3637" s="598"/>
      <c r="I3637" s="322"/>
      <c r="J3637" s="418" t="s">
        <v>979</v>
      </c>
      <c r="K3637" s="248"/>
      <c r="M3637" s="366"/>
      <c r="O3637">
        <v>14</v>
      </c>
    </row>
    <row r="3638" spans="1:15" x14ac:dyDescent="0.25">
      <c r="A3638" s="308">
        <v>45694</v>
      </c>
      <c r="B3638" s="416">
        <v>1146346</v>
      </c>
      <c r="C3638" s="413" t="str">
        <f>IFERROR(INDEX(Table14[],MATCH($B3638,Table14[SAPNo],0),3),"")</f>
        <v>1313 CT418 18-60</v>
      </c>
      <c r="D3638" s="420" t="s">
        <v>12</v>
      </c>
      <c r="E3638" s="421"/>
      <c r="F3638" s="580">
        <v>55</v>
      </c>
      <c r="G3638" s="417" t="s">
        <v>2513</v>
      </c>
      <c r="H3638" s="598"/>
      <c r="I3638" s="322"/>
      <c r="J3638" s="418" t="s">
        <v>979</v>
      </c>
      <c r="K3638" s="248"/>
      <c r="M3638" s="366"/>
      <c r="O3638">
        <v>55</v>
      </c>
    </row>
    <row r="3639" spans="1:15" x14ac:dyDescent="0.25">
      <c r="A3639" s="308">
        <v>45694</v>
      </c>
      <c r="B3639" s="416">
        <v>1146737</v>
      </c>
      <c r="C3639" s="413" t="str">
        <f>IFERROR(INDEX(Table14[],MATCH($B3639,Table14[SAPNo],0),3),"")</f>
        <v>1613 CT418 18-60</v>
      </c>
      <c r="D3639" s="420" t="s">
        <v>12</v>
      </c>
      <c r="E3639" s="421"/>
      <c r="F3639" s="580">
        <v>50</v>
      </c>
      <c r="G3639" s="417" t="s">
        <v>2513</v>
      </c>
      <c r="H3639" s="598"/>
      <c r="I3639" s="322"/>
      <c r="J3639" s="418" t="s">
        <v>979</v>
      </c>
      <c r="K3639" s="248"/>
      <c r="M3639" s="366"/>
      <c r="O3639">
        <v>50</v>
      </c>
    </row>
    <row r="3640" spans="1:15" x14ac:dyDescent="0.25">
      <c r="A3640" s="308">
        <v>45694</v>
      </c>
      <c r="B3640" s="416">
        <v>1186963</v>
      </c>
      <c r="C3640" s="413" t="str">
        <f>IFERROR(INDEX(Table14[],MATCH($B3640,Table14[SAPNo],0),3),"")</f>
        <v>1313 CT182H 10C</v>
      </c>
      <c r="D3640" s="420" t="s">
        <v>12</v>
      </c>
      <c r="E3640" s="421"/>
      <c r="F3640" s="580">
        <v>2</v>
      </c>
      <c r="G3640" s="417" t="s">
        <v>2513</v>
      </c>
      <c r="H3640" s="598"/>
      <c r="I3640" s="322"/>
      <c r="J3640" s="418" t="s">
        <v>974</v>
      </c>
      <c r="K3640" s="248"/>
      <c r="M3640" s="366"/>
      <c r="O3640">
        <v>2</v>
      </c>
    </row>
    <row r="3641" spans="1:15" x14ac:dyDescent="0.25">
      <c r="A3641" s="308">
        <v>45694</v>
      </c>
      <c r="B3641" s="416">
        <v>1201518</v>
      </c>
      <c r="C3641" s="413" t="str">
        <f>IFERROR(INDEX(Table14[],MATCH($B3641,Table14[SAPNo],0),3),"")</f>
        <v>12MM WC­MAT404 NA</v>
      </c>
      <c r="D3641" s="420" t="s">
        <v>12</v>
      </c>
      <c r="E3641" s="421"/>
      <c r="F3641" s="580">
        <v>10</v>
      </c>
      <c r="G3641" s="417" t="s">
        <v>2513</v>
      </c>
      <c r="H3641" s="598"/>
      <c r="I3641" s="322"/>
      <c r="J3641" s="418" t="s">
        <v>979</v>
      </c>
      <c r="K3641" s="248"/>
      <c r="M3641" s="366"/>
      <c r="O3641">
        <v>10</v>
      </c>
    </row>
    <row r="3642" spans="1:15" x14ac:dyDescent="0.25">
      <c r="A3642" s="308">
        <v>45694</v>
      </c>
      <c r="B3642" s="416">
        <v>1208601</v>
      </c>
      <c r="C3642" s="413" t="str">
        <f>IFERROR(INDEX(Table14[],MATCH($B3642,Table14[SAPNo],0),3),"")</f>
        <v>1613 CT418 U-60</v>
      </c>
      <c r="D3642" s="420" t="s">
        <v>12</v>
      </c>
      <c r="E3642" s="421"/>
      <c r="F3642" s="580">
        <v>45</v>
      </c>
      <c r="G3642" s="417" t="s">
        <v>2513</v>
      </c>
      <c r="H3642" s="598"/>
      <c r="I3642" s="322"/>
      <c r="J3642" s="418" t="s">
        <v>979</v>
      </c>
      <c r="K3642" s="248"/>
      <c r="M3642" s="366"/>
      <c r="O3642">
        <v>45</v>
      </c>
    </row>
    <row r="3643" spans="1:15" x14ac:dyDescent="0.25">
      <c r="A3643" s="308">
        <v>45694</v>
      </c>
      <c r="B3643" s="416">
        <v>1228501</v>
      </c>
      <c r="C3643" s="413" t="str">
        <f>IFERROR(INDEX(Table14[],MATCH($B3643,Table14[SAPNo],0),3),"")</f>
        <v>1618 CT182 U-60 stator</v>
      </c>
      <c r="D3643" s="420" t="s">
        <v>12</v>
      </c>
      <c r="E3643" s="421"/>
      <c r="F3643" s="580">
        <v>100</v>
      </c>
      <c r="G3643" s="417" t="s">
        <v>2513</v>
      </c>
      <c r="H3643" s="598"/>
      <c r="I3643" s="322"/>
      <c r="J3643" s="418" t="s">
        <v>979</v>
      </c>
      <c r="K3643" s="248"/>
      <c r="M3643" s="366"/>
      <c r="O3643">
        <v>100</v>
      </c>
    </row>
    <row r="3644" spans="1:15" x14ac:dyDescent="0.25">
      <c r="A3644" s="308">
        <v>45694</v>
      </c>
      <c r="B3644" s="416">
        <v>1228502</v>
      </c>
      <c r="C3644" s="413" t="str">
        <f>IFERROR(INDEX(Table14[],MATCH($B3644,Table14[SAPNo],0),3),"")</f>
        <v>1618 CT182 U-60 Rotor</v>
      </c>
      <c r="D3644" s="420" t="s">
        <v>12</v>
      </c>
      <c r="E3644" s="421"/>
      <c r="F3644" s="580">
        <v>30</v>
      </c>
      <c r="G3644" s="417" t="s">
        <v>2513</v>
      </c>
      <c r="H3644" s="598"/>
      <c r="I3644" s="322"/>
      <c r="J3644" s="418" t="s">
        <v>979</v>
      </c>
      <c r="K3644" s="248"/>
      <c r="M3644" s="366"/>
      <c r="O3644">
        <v>30</v>
      </c>
    </row>
    <row r="3645" spans="1:15" x14ac:dyDescent="0.25">
      <c r="A3645" s="308">
        <v>45694</v>
      </c>
      <c r="B3645" s="416">
        <v>1228503</v>
      </c>
      <c r="C3645" s="413" t="str">
        <f>IFERROR(INDEX(Table14[],MATCH($B3645,Table14[SAPNo],0),3),"")</f>
        <v>1618 CT182 U-60 Ring</v>
      </c>
      <c r="D3645" s="420" t="s">
        <v>12</v>
      </c>
      <c r="E3645" s="421"/>
      <c r="F3645" s="580">
        <v>100</v>
      </c>
      <c r="G3645" s="417" t="s">
        <v>2513</v>
      </c>
      <c r="H3645" s="598"/>
      <c r="I3645" s="322"/>
      <c r="J3645" s="418" t="s">
        <v>979</v>
      </c>
      <c r="K3645" s="248"/>
      <c r="M3645" s="366"/>
      <c r="O3645">
        <v>100</v>
      </c>
    </row>
    <row r="3646" spans="1:15" x14ac:dyDescent="0.25">
      <c r="A3646" s="308">
        <v>45694</v>
      </c>
      <c r="B3646" s="416">
        <v>1255773</v>
      </c>
      <c r="C3646" s="413" t="str">
        <f>IFERROR(INDEX(Table14[],MATCH($B3646,Table14[SAPNo],0),3),"")</f>
        <v>1613 CT154 U­60</v>
      </c>
      <c r="D3646" s="420" t="s">
        <v>12</v>
      </c>
      <c r="E3646" s="421"/>
      <c r="F3646" s="580">
        <v>26</v>
      </c>
      <c r="G3646" s="417" t="s">
        <v>2513</v>
      </c>
      <c r="H3646" s="598"/>
      <c r="I3646" s="322"/>
      <c r="J3646" s="418" t="s">
        <v>979</v>
      </c>
      <c r="K3646" s="248"/>
      <c r="M3646" s="366"/>
      <c r="O3646">
        <v>26</v>
      </c>
    </row>
    <row r="3647" spans="1:15" x14ac:dyDescent="0.25">
      <c r="A3647" s="308">
        <v>45694</v>
      </c>
      <c r="B3647" s="416">
        <v>179734</v>
      </c>
      <c r="C3647" s="413" t="str">
        <f>IFERROR(INDEX(Table14[],MATCH($B3647,Table14[SAPNo],0),3),"")</f>
        <v>Long IPA 13    (C)</v>
      </c>
      <c r="D3647" s="420" t="s">
        <v>12</v>
      </c>
      <c r="E3647" s="421"/>
      <c r="F3647" s="580">
        <v>65</v>
      </c>
      <c r="G3647" s="417" t="s">
        <v>2513</v>
      </c>
      <c r="H3647" s="598"/>
      <c r="I3647" s="322"/>
      <c r="J3647" s="418" t="s">
        <v>979</v>
      </c>
      <c r="K3647" s="248"/>
      <c r="M3647" s="366"/>
      <c r="O3647">
        <v>65</v>
      </c>
    </row>
    <row r="3648" spans="1:15" x14ac:dyDescent="0.25">
      <c r="A3648" s="308">
        <v>45694</v>
      </c>
      <c r="B3648" s="416">
        <v>2002235</v>
      </c>
      <c r="C3648" s="413" t="str">
        <f>IFERROR(INDEX(Table14[],MATCH($B3648,Table14[SAPNo],0),3),"")</f>
        <v>1613 CT189 18-60</v>
      </c>
      <c r="D3648" s="420" t="s">
        <v>12</v>
      </c>
      <c r="E3648" s="421"/>
      <c r="F3648" s="580">
        <v>30</v>
      </c>
      <c r="G3648" s="417" t="s">
        <v>2513</v>
      </c>
      <c r="H3648" s="598"/>
      <c r="I3648" s="322"/>
      <c r="J3648" s="418" t="s">
        <v>976</v>
      </c>
      <c r="K3648" s="248"/>
      <c r="M3648" s="366"/>
      <c r="O3648">
        <v>30</v>
      </c>
    </row>
    <row r="3649" spans="1:15" x14ac:dyDescent="0.25">
      <c r="A3649" s="308">
        <v>45694</v>
      </c>
      <c r="B3649" s="416">
        <v>410851</v>
      </c>
      <c r="C3649" s="413" t="str">
        <f>IFERROR(INDEX(Table14[],MATCH($B3649,Table14[SAPNo],0),3),"")</f>
        <v>PDC Dome 1308 CT31   (B)</v>
      </c>
      <c r="D3649" s="420" t="s">
        <v>12</v>
      </c>
      <c r="E3649" s="421"/>
      <c r="F3649" s="580">
        <v>100</v>
      </c>
      <c r="G3649" s="417" t="s">
        <v>2513</v>
      </c>
      <c r="H3649" s="598"/>
      <c r="I3649" s="322"/>
      <c r="J3649" s="418" t="s">
        <v>979</v>
      </c>
      <c r="K3649" s="248"/>
      <c r="M3649" s="366"/>
      <c r="O3649">
        <v>100</v>
      </c>
    </row>
    <row r="3650" spans="1:15" x14ac:dyDescent="0.25">
      <c r="A3650" s="308">
        <v>45694</v>
      </c>
      <c r="B3650" s="416">
        <v>418525</v>
      </c>
      <c r="C3650" s="413" t="str">
        <f>IFERROR(INDEX(Table14[],MATCH($B3650,Table14[SAPNo],0),3),"")</f>
        <v>Drop In 1308 CT31   (B)</v>
      </c>
      <c r="D3650" s="420" t="s">
        <v>12</v>
      </c>
      <c r="E3650" s="421"/>
      <c r="F3650" s="580">
        <v>185</v>
      </c>
      <c r="G3650" s="417" t="s">
        <v>2513</v>
      </c>
      <c r="H3650" s="598"/>
      <c r="I3650" s="322"/>
      <c r="J3650" s="418" t="s">
        <v>979</v>
      </c>
      <c r="K3650" s="248"/>
      <c r="M3650" s="366"/>
      <c r="O3650">
        <v>185</v>
      </c>
    </row>
    <row r="3651" spans="1:15" x14ac:dyDescent="0.25">
      <c r="A3651" s="308">
        <v>45694</v>
      </c>
      <c r="B3651" s="416">
        <v>717748</v>
      </c>
      <c r="C3651" s="413" t="str">
        <f>IFERROR(INDEX(Table14[],MATCH($B3651,Table14[SAPNo],0),3),"")</f>
        <v>Round 1010 CT200  0.018" (B)</v>
      </c>
      <c r="D3651" s="420" t="s">
        <v>12</v>
      </c>
      <c r="E3651" s="421"/>
      <c r="F3651" s="580">
        <v>179</v>
      </c>
      <c r="G3651" s="417" t="s">
        <v>2513</v>
      </c>
      <c r="H3651" s="598"/>
      <c r="I3651" s="322"/>
      <c r="J3651" s="418" t="s">
        <v>979</v>
      </c>
      <c r="K3651" s="248"/>
      <c r="M3651" s="366"/>
      <c r="O3651">
        <v>179</v>
      </c>
    </row>
    <row r="3652" spans="1:15" x14ac:dyDescent="0.25">
      <c r="A3652" s="308">
        <v>45694</v>
      </c>
      <c r="B3652" s="416">
        <v>717751</v>
      </c>
      <c r="C3652" s="413" t="str">
        <f>IFERROR(INDEX(Table14[],MATCH($B3652,Table14[SAPNo],0),3),"")</f>
        <v>Round 1308 CT200  0.018" (B)</v>
      </c>
      <c r="D3652" s="420" t="s">
        <v>12</v>
      </c>
      <c r="E3652" s="421"/>
      <c r="F3652" s="580">
        <v>97</v>
      </c>
      <c r="G3652" s="417" t="s">
        <v>2513</v>
      </c>
      <c r="H3652" s="598"/>
      <c r="I3652" s="322"/>
      <c r="J3652" s="418" t="s">
        <v>979</v>
      </c>
      <c r="K3652" s="248"/>
      <c r="M3652" s="366"/>
      <c r="O3652">
        <v>97</v>
      </c>
    </row>
    <row r="3653" spans="1:15" x14ac:dyDescent="0.25">
      <c r="A3653" s="308">
        <v>45694</v>
      </c>
      <c r="B3653" s="416">
        <v>773384</v>
      </c>
      <c r="C3653" s="413" t="str">
        <f>IFERROR(INDEX(Table14[],MATCH($B3653,Table14[SAPNo],0),3),"")</f>
        <v>Round 1005 CT200  0.018" (B)</v>
      </c>
      <c r="D3653" s="420" t="s">
        <v>12</v>
      </c>
      <c r="E3653" s="421"/>
      <c r="F3653" s="580">
        <v>20</v>
      </c>
      <c r="G3653" s="417" t="s">
        <v>2513</v>
      </c>
      <c r="H3653" s="598"/>
      <c r="I3653" s="322"/>
      <c r="J3653" s="418" t="s">
        <v>979</v>
      </c>
      <c r="K3653" s="248"/>
      <c r="M3653" s="366"/>
      <c r="O3653">
        <v>20</v>
      </c>
    </row>
    <row r="3654" spans="1:15" x14ac:dyDescent="0.25">
      <c r="A3654" s="308">
        <v>45694</v>
      </c>
      <c r="B3654" s="416">
        <v>871781</v>
      </c>
      <c r="C3654" s="413" t="str">
        <f>IFERROR(INDEX(Table14[],MATCH($B3654,Table14[SAPNo],0),3),"")</f>
        <v>Round 1313 CT200  0.018" (B)</v>
      </c>
      <c r="D3654" s="420" t="s">
        <v>12</v>
      </c>
      <c r="E3654" s="421"/>
      <c r="F3654" s="580">
        <v>279</v>
      </c>
      <c r="G3654" s="417" t="s">
        <v>2513</v>
      </c>
      <c r="H3654" s="598"/>
      <c r="I3654" s="322"/>
      <c r="J3654" s="418" t="s">
        <v>979</v>
      </c>
      <c r="K3654" s="248"/>
      <c r="M3654" s="366"/>
      <c r="O3654">
        <v>279</v>
      </c>
    </row>
    <row r="3655" spans="1:15" x14ac:dyDescent="0.25">
      <c r="A3655" s="320">
        <v>45694</v>
      </c>
      <c r="B3655" s="419">
        <v>882800</v>
      </c>
      <c r="C3655" s="413" t="str">
        <f>IFERROR(INDEX(Table14[],MATCH($B3655,Table14[SAPNo],0),3),"")</f>
        <v>Round 0808 CT80  0.018" (B)</v>
      </c>
      <c r="D3655" s="420" t="s">
        <v>12</v>
      </c>
      <c r="E3655" s="421"/>
      <c r="F3655" s="580">
        <v>14</v>
      </c>
      <c r="G3655" s="420" t="s">
        <v>2513</v>
      </c>
      <c r="H3655" s="599"/>
      <c r="I3655" s="322"/>
      <c r="J3655" s="421" t="s">
        <v>979</v>
      </c>
      <c r="K3655" s="422"/>
      <c r="M3655" s="366"/>
      <c r="O3655">
        <v>14</v>
      </c>
    </row>
    <row r="3656" spans="1:15" x14ac:dyDescent="0.25">
      <c r="A3656" s="320">
        <v>45697</v>
      </c>
      <c r="B3656" s="419">
        <v>1220554</v>
      </c>
      <c r="C3656" s="413" t="str">
        <f>IFERROR(INDEX(Table14[],MATCH($B3656,Table14[SAPNo],0),3),"")</f>
        <v xml:space="preserve">1618 CT182 U-60 Carbide </v>
      </c>
      <c r="D3656" s="420" t="s">
        <v>12</v>
      </c>
      <c r="E3656" s="421"/>
      <c r="F3656" s="421">
        <v>100</v>
      </c>
      <c r="G3656" s="420" t="s">
        <v>2513</v>
      </c>
      <c r="H3656" s="599"/>
      <c r="I3656" s="322"/>
      <c r="J3656" s="421" t="s">
        <v>979</v>
      </c>
      <c r="K3656" s="422"/>
      <c r="M3656" s="422"/>
      <c r="O3656">
        <v>100</v>
      </c>
    </row>
    <row r="3657" spans="1:15" x14ac:dyDescent="0.25">
      <c r="A3657" s="308">
        <v>45691</v>
      </c>
      <c r="B3657" s="416">
        <v>1100696</v>
      </c>
      <c r="C3657" s="413" t="str">
        <f>IFERROR(INDEX(Table14[],MATCH($B3657,Table14[SAPNo],0),3),"")</f>
        <v>Round 1313 CT418  10C (S)</v>
      </c>
      <c r="D3657" s="420" t="s">
        <v>12</v>
      </c>
      <c r="E3657" s="421">
        <v>6</v>
      </c>
      <c r="F3657" s="421"/>
      <c r="G3657" s="417">
        <v>20251010</v>
      </c>
      <c r="H3657" s="598" t="s">
        <v>2585</v>
      </c>
      <c r="I3657" s="322" t="s">
        <v>2441</v>
      </c>
      <c r="J3657" s="418"/>
      <c r="K3657" s="248"/>
      <c r="M3657" s="422"/>
    </row>
    <row r="3658" spans="1:15" x14ac:dyDescent="0.25">
      <c r="A3658" s="308">
        <v>45691</v>
      </c>
      <c r="B3658" s="416">
        <v>418525</v>
      </c>
      <c r="C3658" s="413" t="str">
        <f>IFERROR(INDEX(Table14[],MATCH($B3658,Table14[SAPNo],0),3),"")</f>
        <v>Drop In 1308 CT31   (B)</v>
      </c>
      <c r="D3658" s="420" t="s">
        <v>12</v>
      </c>
      <c r="E3658" s="421">
        <v>2</v>
      </c>
      <c r="F3658" s="580"/>
      <c r="G3658" s="417">
        <v>20251010</v>
      </c>
      <c r="H3658" s="598" t="s">
        <v>2585</v>
      </c>
      <c r="I3658" s="322" t="s">
        <v>2441</v>
      </c>
      <c r="J3658" s="418"/>
      <c r="K3658" s="248"/>
      <c r="M3658" s="366"/>
    </row>
    <row r="3659" spans="1:15" x14ac:dyDescent="0.25">
      <c r="A3659" s="308">
        <v>45686</v>
      </c>
      <c r="B3659" s="416">
        <v>1271790</v>
      </c>
      <c r="C3659" s="413" t="str">
        <f>IFERROR(INDEX(Table14[],MATCH($B3659,Table14[SAPNo],0),3),"")</f>
        <v xml:space="preserve">1613 CT170 18-60 </v>
      </c>
      <c r="D3659" s="420" t="s">
        <v>12</v>
      </c>
      <c r="E3659" s="421">
        <v>2</v>
      </c>
      <c r="F3659" s="580"/>
      <c r="G3659" s="417" t="s">
        <v>2577</v>
      </c>
      <c r="H3659" s="598">
        <v>14204332</v>
      </c>
      <c r="I3659" s="322" t="s">
        <v>2136</v>
      </c>
      <c r="J3659" s="418"/>
      <c r="K3659" s="248"/>
      <c r="M3659" s="366"/>
    </row>
    <row r="3660" spans="1:15" x14ac:dyDescent="0.25">
      <c r="A3660" s="308">
        <v>45686</v>
      </c>
      <c r="B3660" s="416">
        <v>1146737</v>
      </c>
      <c r="C3660" s="413" t="str">
        <f>IFERROR(INDEX(Table14[],MATCH($B3660,Table14[SAPNo],0),3),"")</f>
        <v>1613 CT418 18-60</v>
      </c>
      <c r="D3660" s="420" t="s">
        <v>12</v>
      </c>
      <c r="E3660" s="421">
        <v>6</v>
      </c>
      <c r="F3660" s="580"/>
      <c r="G3660" s="417" t="s">
        <v>2577</v>
      </c>
      <c r="H3660" s="598">
        <v>14204332</v>
      </c>
      <c r="I3660" s="322" t="s">
        <v>2136</v>
      </c>
      <c r="J3660" s="418"/>
      <c r="K3660" s="248"/>
      <c r="M3660" s="366"/>
    </row>
    <row r="3661" spans="1:15" x14ac:dyDescent="0.25">
      <c r="A3661" s="308">
        <v>45686</v>
      </c>
      <c r="B3661" s="416">
        <v>418525</v>
      </c>
      <c r="C3661" s="413" t="str">
        <f>IFERROR(INDEX(Table14[],MATCH($B3661,Table14[SAPNo],0),3),"")</f>
        <v>Drop In 1308 CT31   (B)</v>
      </c>
      <c r="D3661" s="420" t="s">
        <v>12</v>
      </c>
      <c r="E3661" s="421">
        <v>5</v>
      </c>
      <c r="F3661" s="580"/>
      <c r="G3661" s="417" t="s">
        <v>2577</v>
      </c>
      <c r="H3661" s="598">
        <v>14204332</v>
      </c>
      <c r="I3661" s="322" t="s">
        <v>2136</v>
      </c>
      <c r="J3661" s="418"/>
      <c r="K3661" s="248"/>
      <c r="M3661" s="366"/>
    </row>
    <row r="3662" spans="1:15" x14ac:dyDescent="0.25">
      <c r="A3662" s="308">
        <v>45687</v>
      </c>
      <c r="B3662" s="416">
        <v>1271790</v>
      </c>
      <c r="C3662" s="413" t="str">
        <f>IFERROR(INDEX(Table14[],MATCH($B3662,Table14[SAPNo],0),3),"")</f>
        <v xml:space="preserve">1613 CT170 18-60 </v>
      </c>
      <c r="D3662" s="420" t="s">
        <v>12</v>
      </c>
      <c r="E3662" s="421">
        <v>1</v>
      </c>
      <c r="F3662" s="580"/>
      <c r="G3662" s="417" t="s">
        <v>2577</v>
      </c>
      <c r="H3662" s="598">
        <v>14204332</v>
      </c>
      <c r="I3662" s="322" t="s">
        <v>2136</v>
      </c>
      <c r="J3662" s="418"/>
      <c r="K3662" s="248"/>
      <c r="M3662" s="366"/>
    </row>
    <row r="3663" spans="1:15" x14ac:dyDescent="0.25">
      <c r="A3663" s="308">
        <v>45691</v>
      </c>
      <c r="B3663" s="416">
        <v>1146737</v>
      </c>
      <c r="C3663" s="413" t="str">
        <f>IFERROR(INDEX(Table14[],MATCH($B3663,Table14[SAPNo],0),3),"")</f>
        <v>1613 CT418 18-60</v>
      </c>
      <c r="D3663" s="420" t="s">
        <v>12</v>
      </c>
      <c r="E3663" s="421">
        <v>6</v>
      </c>
      <c r="F3663" s="580"/>
      <c r="G3663" s="417" t="s">
        <v>2588</v>
      </c>
      <c r="H3663" s="598" t="s">
        <v>2589</v>
      </c>
      <c r="I3663" s="322" t="s">
        <v>2254</v>
      </c>
      <c r="J3663" s="418"/>
      <c r="K3663" s="248"/>
      <c r="M3663" s="366"/>
    </row>
    <row r="3664" spans="1:15" x14ac:dyDescent="0.25">
      <c r="A3664" s="308">
        <v>45691</v>
      </c>
      <c r="B3664" s="416">
        <v>1078377</v>
      </c>
      <c r="C3664" s="413" t="str">
        <f>IFERROR(INDEX(Table14[],MATCH($B3664,Table14[SAPNo],0),3),"")</f>
        <v>13MM CT221 R1</v>
      </c>
      <c r="D3664" s="420" t="s">
        <v>12</v>
      </c>
      <c r="E3664" s="421">
        <v>2</v>
      </c>
      <c r="F3664" s="580"/>
      <c r="G3664" s="417" t="s">
        <v>2588</v>
      </c>
      <c r="H3664" s="598" t="s">
        <v>2589</v>
      </c>
      <c r="I3664" s="322" t="s">
        <v>2254</v>
      </c>
      <c r="J3664" s="418"/>
      <c r="K3664" s="248"/>
      <c r="M3664" s="366"/>
    </row>
    <row r="3665" spans="1:13" x14ac:dyDescent="0.25">
      <c r="A3665" s="308">
        <v>45691</v>
      </c>
      <c r="B3665" s="416">
        <v>1271790</v>
      </c>
      <c r="C3665" s="413" t="str">
        <f>IFERROR(INDEX(Table14[],MATCH($B3665,Table14[SAPNo],0),3),"")</f>
        <v xml:space="preserve">1613 CT170 18-60 </v>
      </c>
      <c r="D3665" s="420" t="s">
        <v>12</v>
      </c>
      <c r="E3665" s="421">
        <v>2</v>
      </c>
      <c r="F3665" s="580"/>
      <c r="G3665" s="417" t="s">
        <v>2588</v>
      </c>
      <c r="H3665" s="598" t="s">
        <v>2589</v>
      </c>
      <c r="I3665" s="322" t="s">
        <v>2254</v>
      </c>
      <c r="J3665" s="418"/>
      <c r="K3665" s="248"/>
      <c r="M3665" s="366"/>
    </row>
    <row r="3666" spans="1:13" x14ac:dyDescent="0.25">
      <c r="A3666" s="308">
        <v>45692</v>
      </c>
      <c r="B3666" s="416">
        <v>418525</v>
      </c>
      <c r="C3666" s="413" t="str">
        <f>IFERROR(INDEX(Table14[],MATCH($B3666,Table14[SAPNo],0),3),"")</f>
        <v>Drop In 1308 CT31   (B)</v>
      </c>
      <c r="D3666" s="420" t="s">
        <v>12</v>
      </c>
      <c r="E3666" s="421">
        <v>1</v>
      </c>
      <c r="F3666" s="580"/>
      <c r="G3666" s="417">
        <v>20251015</v>
      </c>
      <c r="H3666" s="598">
        <v>14190155</v>
      </c>
      <c r="I3666" s="322" t="s">
        <v>2590</v>
      </c>
      <c r="J3666" s="418"/>
      <c r="K3666" s="248"/>
      <c r="M3666" s="366"/>
    </row>
    <row r="3667" spans="1:13" x14ac:dyDescent="0.25">
      <c r="A3667" s="308">
        <v>45692</v>
      </c>
      <c r="B3667" s="416">
        <v>1100696</v>
      </c>
      <c r="C3667" s="413" t="str">
        <f>IFERROR(INDEX(Table14[],MATCH($B3667,Table14[SAPNo],0),3),"")</f>
        <v>Round 1313 CT418  10C (S)</v>
      </c>
      <c r="D3667" s="420" t="s">
        <v>12</v>
      </c>
      <c r="E3667" s="421">
        <v>1</v>
      </c>
      <c r="F3667" s="580"/>
      <c r="G3667" s="417">
        <v>20251015</v>
      </c>
      <c r="H3667" s="598">
        <v>14190155</v>
      </c>
      <c r="I3667" s="322" t="s">
        <v>2590</v>
      </c>
      <c r="J3667" s="418"/>
      <c r="K3667" s="248"/>
      <c r="M3667" s="366"/>
    </row>
    <row r="3668" spans="1:13" x14ac:dyDescent="0.25">
      <c r="A3668" s="308">
        <v>45692</v>
      </c>
      <c r="B3668" s="416">
        <v>1130217</v>
      </c>
      <c r="C3668" s="413" t="str">
        <f>IFERROR(INDEX(Table14[],MATCH($B3668,Table14[SAPNo],0),3),"")</f>
        <v>Round 1010 CT182   10C (S)</v>
      </c>
      <c r="D3668" s="420" t="s">
        <v>12</v>
      </c>
      <c r="E3668" s="421">
        <v>1</v>
      </c>
      <c r="F3668" s="580"/>
      <c r="G3668" s="417">
        <v>20251017</v>
      </c>
      <c r="H3668" s="598" t="s">
        <v>2591</v>
      </c>
      <c r="I3668" s="322" t="s">
        <v>1069</v>
      </c>
      <c r="J3668" s="418"/>
      <c r="K3668" s="248"/>
      <c r="M3668" s="366"/>
    </row>
    <row r="3669" spans="1:13" x14ac:dyDescent="0.25">
      <c r="A3669" s="308">
        <v>45692</v>
      </c>
      <c r="B3669" s="416">
        <v>1272937</v>
      </c>
      <c r="C3669" s="413" t="str">
        <f>IFERROR(INDEX(Table14[],MATCH($B3669,Table14[SAPNo],0),3),"")</f>
        <v>1313 CT436 18-60</v>
      </c>
      <c r="D3669" s="420" t="s">
        <v>12</v>
      </c>
      <c r="E3669" s="421">
        <v>11</v>
      </c>
      <c r="F3669" s="580"/>
      <c r="G3669" s="417" t="s">
        <v>2592</v>
      </c>
      <c r="H3669" s="598">
        <v>14247164</v>
      </c>
      <c r="I3669" s="322" t="s">
        <v>2593</v>
      </c>
      <c r="J3669" s="418"/>
      <c r="K3669" s="248"/>
      <c r="M3669" s="366"/>
    </row>
    <row r="3670" spans="1:13" x14ac:dyDescent="0.25">
      <c r="A3670" s="308">
        <v>45692</v>
      </c>
      <c r="B3670" s="416">
        <v>1100696</v>
      </c>
      <c r="C3670" s="413" t="str">
        <f>IFERROR(INDEX(Table14[],MATCH($B3670,Table14[SAPNo],0),3),"")</f>
        <v>Round 1313 CT418  10C (S)</v>
      </c>
      <c r="D3670" s="420" t="s">
        <v>12</v>
      </c>
      <c r="E3670" s="421">
        <v>12</v>
      </c>
      <c r="F3670" s="580"/>
      <c r="G3670" s="417" t="s">
        <v>2592</v>
      </c>
      <c r="H3670" s="598">
        <v>14247164</v>
      </c>
      <c r="I3670" s="322" t="s">
        <v>2593</v>
      </c>
      <c r="J3670" s="418"/>
      <c r="K3670" s="248"/>
      <c r="M3670" s="366"/>
    </row>
    <row r="3671" spans="1:13" x14ac:dyDescent="0.25">
      <c r="A3671" s="308">
        <v>45692</v>
      </c>
      <c r="B3671" s="416">
        <v>418525</v>
      </c>
      <c r="C3671" s="413" t="str">
        <f>IFERROR(INDEX(Table14[],MATCH($B3671,Table14[SAPNo],0),3),"")</f>
        <v>Drop In 1308 CT31   (B)</v>
      </c>
      <c r="D3671" s="420" t="s">
        <v>12</v>
      </c>
      <c r="E3671" s="421">
        <v>10</v>
      </c>
      <c r="F3671" s="580"/>
      <c r="G3671" s="417" t="s">
        <v>2592</v>
      </c>
      <c r="H3671" s="598">
        <v>14247164</v>
      </c>
      <c r="I3671" s="322" t="s">
        <v>2593</v>
      </c>
      <c r="J3671" s="418"/>
      <c r="K3671" s="248"/>
      <c r="M3671" s="366"/>
    </row>
    <row r="3672" spans="1:13" x14ac:dyDescent="0.25">
      <c r="A3672" s="308">
        <v>45692</v>
      </c>
      <c r="B3672" s="416">
        <v>717748</v>
      </c>
      <c r="C3672" s="413" t="str">
        <f>IFERROR(INDEX(Table14[],MATCH($B3672,Table14[SAPNo],0),3),"")</f>
        <v>Round 1010 CT200  0.018" (B)</v>
      </c>
      <c r="D3672" s="420" t="s">
        <v>12</v>
      </c>
      <c r="E3672" s="421">
        <v>2</v>
      </c>
      <c r="F3672" s="580"/>
      <c r="G3672" s="417" t="s">
        <v>2594</v>
      </c>
      <c r="H3672" s="598" t="s">
        <v>2595</v>
      </c>
      <c r="I3672" s="322" t="s">
        <v>2362</v>
      </c>
      <c r="J3672" s="418"/>
      <c r="K3672" s="248"/>
      <c r="M3672" s="366"/>
    </row>
    <row r="3673" spans="1:13" x14ac:dyDescent="0.25">
      <c r="A3673" s="308">
        <v>45693</v>
      </c>
      <c r="B3673" s="416">
        <v>1100696</v>
      </c>
      <c r="C3673" s="413" t="str">
        <f>IFERROR(INDEX(Table14[],MATCH($B3673,Table14[SAPNo],0),3),"")</f>
        <v>Round 1313 CT418  10C (S)</v>
      </c>
      <c r="D3673" s="420" t="s">
        <v>12</v>
      </c>
      <c r="E3673" s="421">
        <v>1</v>
      </c>
      <c r="F3673" s="580"/>
      <c r="G3673" s="417">
        <v>20251010</v>
      </c>
      <c r="H3673" s="598" t="s">
        <v>2585</v>
      </c>
      <c r="I3673" s="322" t="s">
        <v>2441</v>
      </c>
      <c r="J3673" s="418"/>
      <c r="K3673" s="248"/>
      <c r="M3673" s="366"/>
    </row>
    <row r="3674" spans="1:13" x14ac:dyDescent="0.25">
      <c r="A3674" s="308">
        <v>45694</v>
      </c>
      <c r="B3674" s="416">
        <v>717748</v>
      </c>
      <c r="C3674" s="413" t="str">
        <f>IFERROR(INDEX(Table14[],MATCH($B3674,Table14[SAPNo],0),3),"")</f>
        <v>Round 1010 CT200  0.018" (B)</v>
      </c>
      <c r="D3674" s="420" t="s">
        <v>12</v>
      </c>
      <c r="E3674" s="421">
        <v>3</v>
      </c>
      <c r="F3674" s="580"/>
      <c r="G3674" s="417">
        <v>20251019</v>
      </c>
      <c r="H3674" s="598" t="s">
        <v>2596</v>
      </c>
      <c r="I3674" s="322" t="s">
        <v>1069</v>
      </c>
      <c r="J3674" s="418"/>
      <c r="K3674" s="248"/>
      <c r="M3674" s="366"/>
    </row>
    <row r="3675" spans="1:13" x14ac:dyDescent="0.25">
      <c r="A3675" s="308">
        <v>45694</v>
      </c>
      <c r="B3675" s="416">
        <v>418525</v>
      </c>
      <c r="C3675" s="413" t="str">
        <f>IFERROR(INDEX(Table14[],MATCH($B3675,Table14[SAPNo],0),3),"")</f>
        <v>Drop In 1308 CT31   (B)</v>
      </c>
      <c r="D3675" s="420" t="s">
        <v>12</v>
      </c>
      <c r="E3675" s="421">
        <v>2</v>
      </c>
      <c r="F3675" s="580"/>
      <c r="G3675" s="417">
        <v>20251022</v>
      </c>
      <c r="H3675" s="598" t="s">
        <v>2597</v>
      </c>
      <c r="I3675" s="322" t="s">
        <v>2196</v>
      </c>
      <c r="J3675" s="418"/>
      <c r="K3675" s="248"/>
      <c r="M3675" s="366"/>
    </row>
    <row r="3676" spans="1:13" x14ac:dyDescent="0.25">
      <c r="A3676" s="308">
        <v>45694</v>
      </c>
      <c r="B3676" s="416">
        <v>1272309</v>
      </c>
      <c r="C3676" s="413" t="str">
        <f>IFERROR(INDEX(Table14[],MATCH($B3676,Table14[SAPNo],0),3),"")</f>
        <v>1313 CT170T U</v>
      </c>
      <c r="D3676" s="420" t="s">
        <v>12</v>
      </c>
      <c r="E3676" s="421">
        <v>4</v>
      </c>
      <c r="F3676" s="580"/>
      <c r="G3676" s="417">
        <v>20251022</v>
      </c>
      <c r="H3676" s="598" t="s">
        <v>2597</v>
      </c>
      <c r="I3676" s="322" t="s">
        <v>2196</v>
      </c>
      <c r="J3676" s="418"/>
      <c r="K3676" s="248"/>
      <c r="M3676" s="366"/>
    </row>
    <row r="3677" spans="1:13" x14ac:dyDescent="0.25">
      <c r="A3677" s="308">
        <v>45694</v>
      </c>
      <c r="B3677" s="416">
        <v>1100696</v>
      </c>
      <c r="C3677" s="413" t="str">
        <f>IFERROR(INDEX(Table14[],MATCH($B3677,Table14[SAPNo],0),3),"")</f>
        <v>Round 1313 CT418  10C (S)</v>
      </c>
      <c r="D3677" s="420" t="s">
        <v>12</v>
      </c>
      <c r="E3677" s="421">
        <v>12</v>
      </c>
      <c r="F3677" s="580"/>
      <c r="G3677" s="417">
        <v>20251022</v>
      </c>
      <c r="H3677" s="598" t="s">
        <v>2597</v>
      </c>
      <c r="I3677" s="322" t="s">
        <v>2196</v>
      </c>
      <c r="J3677" s="418"/>
      <c r="K3677" s="248"/>
      <c r="M3677" s="366"/>
    </row>
    <row r="3678" spans="1:13" x14ac:dyDescent="0.25">
      <c r="A3678" s="308">
        <v>45694</v>
      </c>
      <c r="B3678" s="416">
        <v>717748</v>
      </c>
      <c r="C3678" s="413" t="str">
        <f>IFERROR(INDEX(Table14[],MATCH($B3678,Table14[SAPNo],0),3),"")</f>
        <v>Round 1010 CT200  0.018" (B)</v>
      </c>
      <c r="D3678" s="420" t="s">
        <v>12</v>
      </c>
      <c r="E3678" s="421">
        <v>2</v>
      </c>
      <c r="F3678" s="580"/>
      <c r="G3678" s="417">
        <v>20251023</v>
      </c>
      <c r="H3678" s="598" t="s">
        <v>2598</v>
      </c>
      <c r="I3678" s="322" t="s">
        <v>1069</v>
      </c>
      <c r="J3678" s="418"/>
      <c r="K3678" s="248"/>
      <c r="M3678" s="366"/>
    </row>
    <row r="3679" spans="1:13" x14ac:dyDescent="0.25">
      <c r="A3679" s="308">
        <v>45691</v>
      </c>
      <c r="B3679" s="416">
        <v>418525</v>
      </c>
      <c r="C3679" s="413" t="str">
        <f>IFERROR(INDEX(Table14[],MATCH($B3679,Table14[SAPNo],0),3),"")</f>
        <v>Drop In 1308 CT31   (B)</v>
      </c>
      <c r="D3679" s="420" t="s">
        <v>12</v>
      </c>
      <c r="E3679" s="421">
        <v>6</v>
      </c>
      <c r="F3679" s="580"/>
      <c r="G3679" s="417" t="s">
        <v>2588</v>
      </c>
      <c r="H3679" s="598" t="s">
        <v>2589</v>
      </c>
      <c r="I3679" s="322" t="s">
        <v>2254</v>
      </c>
      <c r="J3679" s="418"/>
      <c r="K3679" s="248"/>
      <c r="M3679" s="366"/>
    </row>
    <row r="3680" spans="1:13" x14ac:dyDescent="0.25">
      <c r="A3680" s="308">
        <v>45694</v>
      </c>
      <c r="B3680" s="416">
        <v>1146737</v>
      </c>
      <c r="C3680" s="413" t="str">
        <f>IFERROR(INDEX(Table14[],MATCH($B3680,Table14[SAPNo],0),3),"")</f>
        <v>1613 CT418 18-60</v>
      </c>
      <c r="D3680" s="420" t="s">
        <v>12</v>
      </c>
      <c r="E3680" s="421">
        <v>6</v>
      </c>
      <c r="F3680" s="580"/>
      <c r="G3680" s="417" t="s">
        <v>2599</v>
      </c>
      <c r="H3680" s="598">
        <v>14190171</v>
      </c>
      <c r="I3680" s="322" t="s">
        <v>2600</v>
      </c>
      <c r="J3680" s="418"/>
      <c r="K3680" s="248"/>
      <c r="M3680" s="366"/>
    </row>
    <row r="3681" spans="1:13" x14ac:dyDescent="0.25">
      <c r="A3681" s="308">
        <v>45694</v>
      </c>
      <c r="B3681" s="416">
        <v>418525</v>
      </c>
      <c r="C3681" s="413" t="str">
        <f>IFERROR(INDEX(Table14[],MATCH($B3681,Table14[SAPNo],0),3),"")</f>
        <v>Drop In 1308 CT31   (B)</v>
      </c>
      <c r="D3681" s="420" t="s">
        <v>12</v>
      </c>
      <c r="E3681" s="421">
        <v>6</v>
      </c>
      <c r="F3681" s="580"/>
      <c r="G3681" s="417" t="s">
        <v>2599</v>
      </c>
      <c r="H3681" s="598">
        <v>14190171</v>
      </c>
      <c r="I3681" s="322" t="s">
        <v>2600</v>
      </c>
      <c r="J3681" s="418"/>
      <c r="K3681" s="248"/>
      <c r="M3681" s="366"/>
    </row>
    <row r="3682" spans="1:13" x14ac:dyDescent="0.25">
      <c r="A3682" s="308">
        <v>45694</v>
      </c>
      <c r="B3682" s="416">
        <v>1146737</v>
      </c>
      <c r="C3682" s="413" t="str">
        <f>IFERROR(INDEX(Table14[],MATCH($B3682,Table14[SAPNo],0),3),"")</f>
        <v>1613 CT418 18-60</v>
      </c>
      <c r="D3682" s="420" t="s">
        <v>12</v>
      </c>
      <c r="E3682" s="421">
        <v>6</v>
      </c>
      <c r="F3682" s="580"/>
      <c r="G3682" s="417" t="s">
        <v>2601</v>
      </c>
      <c r="H3682" s="598" t="s">
        <v>2602</v>
      </c>
      <c r="I3682" s="322" t="s">
        <v>2179</v>
      </c>
      <c r="J3682" s="418"/>
      <c r="K3682" s="248"/>
      <c r="M3682" s="366"/>
    </row>
    <row r="3683" spans="1:13" x14ac:dyDescent="0.25">
      <c r="A3683" s="308">
        <v>45694</v>
      </c>
      <c r="B3683" s="416">
        <v>418525</v>
      </c>
      <c r="C3683" s="413" t="str">
        <f>IFERROR(INDEX(Table14[],MATCH($B3683,Table14[SAPNo],0),3),"")</f>
        <v>Drop In 1308 CT31   (B)</v>
      </c>
      <c r="D3683" s="420" t="s">
        <v>12</v>
      </c>
      <c r="E3683" s="421">
        <v>6</v>
      </c>
      <c r="F3683" s="580"/>
      <c r="G3683" s="417" t="s">
        <v>2601</v>
      </c>
      <c r="H3683" s="598" t="s">
        <v>2602</v>
      </c>
      <c r="I3683" s="322" t="s">
        <v>2179</v>
      </c>
      <c r="J3683" s="418"/>
      <c r="K3683" s="248"/>
      <c r="M3683" s="366"/>
    </row>
    <row r="3684" spans="1:13" x14ac:dyDescent="0.25">
      <c r="A3684" s="308">
        <v>45694</v>
      </c>
      <c r="B3684" s="416">
        <v>1271790</v>
      </c>
      <c r="C3684" s="413" t="str">
        <f>IFERROR(INDEX(Table14[],MATCH($B3684,Table14[SAPNo],0),3),"")</f>
        <v xml:space="preserve">1613 CT170 18-60 </v>
      </c>
      <c r="D3684" s="420" t="s">
        <v>12</v>
      </c>
      <c r="E3684" s="421">
        <v>1</v>
      </c>
      <c r="F3684" s="580"/>
      <c r="G3684" s="417" t="s">
        <v>2601</v>
      </c>
      <c r="H3684" s="598" t="s">
        <v>2602</v>
      </c>
      <c r="I3684" s="322" t="s">
        <v>2179</v>
      </c>
      <c r="J3684" s="418"/>
      <c r="K3684" s="248"/>
      <c r="M3684" s="366"/>
    </row>
    <row r="3685" spans="1:13" x14ac:dyDescent="0.25">
      <c r="A3685" s="320">
        <v>45694</v>
      </c>
      <c r="B3685" s="419">
        <v>717748</v>
      </c>
      <c r="C3685" s="413" t="str">
        <f>IFERROR(INDEX(Table14[],MATCH($B3685,Table14[SAPNo],0),3),"")</f>
        <v>Round 1010 CT200  0.018" (B)</v>
      </c>
      <c r="D3685" s="420" t="s">
        <v>12</v>
      </c>
      <c r="E3685" s="421">
        <v>1</v>
      </c>
      <c r="F3685" s="580"/>
      <c r="G3685" s="420" t="s">
        <v>2603</v>
      </c>
      <c r="H3685" s="599" t="s">
        <v>2604</v>
      </c>
      <c r="I3685" s="322" t="s">
        <v>1069</v>
      </c>
      <c r="J3685" s="421"/>
      <c r="K3685" s="422"/>
      <c r="M3685" s="366"/>
    </row>
    <row r="3686" spans="1:13" x14ac:dyDescent="0.25">
      <c r="A3686" s="308">
        <v>45698</v>
      </c>
      <c r="B3686" s="416">
        <v>1146737</v>
      </c>
      <c r="C3686" s="413" t="str">
        <f>IFERROR(INDEX(Table14[],MATCH($B3686,Table14[SAPNo],0),3),"")</f>
        <v>1613 CT418 18-60</v>
      </c>
      <c r="D3686" s="420" t="s">
        <v>12</v>
      </c>
      <c r="E3686" s="421">
        <v>9</v>
      </c>
      <c r="F3686" s="421"/>
      <c r="G3686" s="417" t="s">
        <v>2605</v>
      </c>
      <c r="H3686" s="598">
        <v>14293154</v>
      </c>
      <c r="I3686" s="322" t="s">
        <v>2606</v>
      </c>
      <c r="J3686" s="418"/>
      <c r="K3686" s="248"/>
      <c r="M3686" s="422"/>
    </row>
    <row r="3687" spans="1:13" x14ac:dyDescent="0.25">
      <c r="A3687" s="308">
        <v>45698</v>
      </c>
      <c r="B3687" s="416">
        <v>1208601</v>
      </c>
      <c r="C3687" s="413" t="str">
        <f>IFERROR(INDEX(Table14[],MATCH($B3687,Table14[SAPNo],0),3),"")</f>
        <v>1613 CT418 U-60</v>
      </c>
      <c r="D3687" s="420" t="s">
        <v>12</v>
      </c>
      <c r="E3687" s="421">
        <v>15</v>
      </c>
      <c r="F3687" s="580"/>
      <c r="G3687" s="417" t="s">
        <v>2605</v>
      </c>
      <c r="H3687" s="598">
        <v>14293154</v>
      </c>
      <c r="I3687" s="322" t="s">
        <v>2606</v>
      </c>
      <c r="J3687" s="418"/>
      <c r="K3687" s="248"/>
      <c r="M3687" s="366"/>
    </row>
    <row r="3688" spans="1:13" x14ac:dyDescent="0.25">
      <c r="A3688" s="308">
        <v>45698</v>
      </c>
      <c r="B3688" s="416">
        <v>1271790</v>
      </c>
      <c r="C3688" s="413" t="str">
        <f>IFERROR(INDEX(Table14[],MATCH($B3688,Table14[SAPNo],0),3),"")</f>
        <v xml:space="preserve">1613 CT170 18-60 </v>
      </c>
      <c r="D3688" s="420" t="s">
        <v>12</v>
      </c>
      <c r="E3688" s="421">
        <v>13</v>
      </c>
      <c r="F3688" s="580"/>
      <c r="G3688" s="417" t="s">
        <v>2605</v>
      </c>
      <c r="H3688" s="598">
        <v>14293154</v>
      </c>
      <c r="I3688" s="322" t="s">
        <v>2606</v>
      </c>
      <c r="J3688" s="418"/>
      <c r="K3688" s="248"/>
      <c r="M3688" s="366"/>
    </row>
    <row r="3689" spans="1:13" x14ac:dyDescent="0.25">
      <c r="A3689" s="308">
        <v>45698</v>
      </c>
      <c r="B3689" s="416">
        <v>1296685</v>
      </c>
      <c r="C3689" s="413" t="str">
        <f>IFERROR(INDEX(Table14[],MATCH($B3689,Table14[SAPNo],0),3),"")</f>
        <v>1613 CT179R U</v>
      </c>
      <c r="D3689" s="420" t="s">
        <v>12</v>
      </c>
      <c r="E3689" s="421">
        <v>42</v>
      </c>
      <c r="F3689" s="580"/>
      <c r="G3689" s="417" t="s">
        <v>2605</v>
      </c>
      <c r="H3689" s="598">
        <v>14293154</v>
      </c>
      <c r="I3689" s="322" t="s">
        <v>2606</v>
      </c>
      <c r="J3689" s="418"/>
      <c r="K3689" s="248"/>
      <c r="M3689" s="366"/>
    </row>
    <row r="3690" spans="1:13" x14ac:dyDescent="0.25">
      <c r="A3690" s="308">
        <v>45698</v>
      </c>
      <c r="B3690" s="416">
        <v>179734</v>
      </c>
      <c r="C3690" s="413" t="str">
        <f>IFERROR(INDEX(Table14[],MATCH($B3690,Table14[SAPNo],0),3),"")</f>
        <v>Long IPA 13    (C)</v>
      </c>
      <c r="D3690" s="420" t="s">
        <v>12</v>
      </c>
      <c r="E3690" s="421">
        <v>22</v>
      </c>
      <c r="F3690" s="580"/>
      <c r="G3690" s="417" t="s">
        <v>2605</v>
      </c>
      <c r="H3690" s="598">
        <v>14293154</v>
      </c>
      <c r="I3690" s="322" t="s">
        <v>2606</v>
      </c>
      <c r="J3690" s="418"/>
      <c r="K3690" s="248"/>
      <c r="M3690" s="366"/>
    </row>
    <row r="3691" spans="1:13" x14ac:dyDescent="0.25">
      <c r="A3691" s="308">
        <v>45698</v>
      </c>
      <c r="B3691" s="416">
        <v>410851</v>
      </c>
      <c r="C3691" s="413" t="str">
        <f>IFERROR(INDEX(Table14[],MATCH($B3691,Table14[SAPNo],0),3),"")</f>
        <v>PDC Dome 1308 CT31   (B)</v>
      </c>
      <c r="D3691" s="420" t="s">
        <v>12</v>
      </c>
      <c r="E3691" s="421">
        <v>28</v>
      </c>
      <c r="F3691" s="580"/>
      <c r="G3691" s="417" t="s">
        <v>2605</v>
      </c>
      <c r="H3691" s="598">
        <v>14293154</v>
      </c>
      <c r="I3691" s="322" t="s">
        <v>2606</v>
      </c>
      <c r="J3691" s="418"/>
      <c r="K3691" s="248"/>
      <c r="M3691" s="366"/>
    </row>
    <row r="3692" spans="1:13" x14ac:dyDescent="0.25">
      <c r="A3692" s="308">
        <v>45698</v>
      </c>
      <c r="B3692" s="416">
        <v>418525</v>
      </c>
      <c r="C3692" s="413" t="str">
        <f>IFERROR(INDEX(Table14[],MATCH($B3692,Table14[SAPNo],0),3),"")</f>
        <v>Drop In 1308 CT31   (B)</v>
      </c>
      <c r="D3692" s="420" t="s">
        <v>12</v>
      </c>
      <c r="E3692" s="421">
        <v>7</v>
      </c>
      <c r="F3692" s="580"/>
      <c r="G3692" s="417" t="s">
        <v>2605</v>
      </c>
      <c r="H3692" s="598">
        <v>14293154</v>
      </c>
      <c r="I3692" s="322" t="s">
        <v>2606</v>
      </c>
      <c r="J3692" s="418"/>
      <c r="K3692" s="248"/>
      <c r="M3692" s="366"/>
    </row>
    <row r="3693" spans="1:13" x14ac:dyDescent="0.25">
      <c r="A3693" s="308">
        <v>45698</v>
      </c>
      <c r="B3693" s="416">
        <v>871781</v>
      </c>
      <c r="C3693" s="413" t="str">
        <f>IFERROR(INDEX(Table14[],MATCH($B3693,Table14[SAPNo],0),3),"")</f>
        <v>Round 1313 CT200  0.018" (B)</v>
      </c>
      <c r="D3693" s="420" t="s">
        <v>12</v>
      </c>
      <c r="E3693" s="421">
        <v>42</v>
      </c>
      <c r="F3693" s="580"/>
      <c r="G3693" s="417" t="s">
        <v>2605</v>
      </c>
      <c r="H3693" s="598">
        <v>14293154</v>
      </c>
      <c r="I3693" s="322" t="s">
        <v>2606</v>
      </c>
      <c r="J3693" s="418"/>
      <c r="K3693" s="248"/>
      <c r="M3693" s="366"/>
    </row>
    <row r="3694" spans="1:13" x14ac:dyDescent="0.25">
      <c r="A3694" s="308">
        <v>45698</v>
      </c>
      <c r="B3694" s="416">
        <v>562195</v>
      </c>
      <c r="C3694" s="413" t="str">
        <f>IFERROR(INDEX(Table14[],MATCH($B3694,Table14[SAPNo],0),3),"")</f>
        <v>TBO 13MM 0.012R</v>
      </c>
      <c r="D3694" s="420" t="s">
        <v>12</v>
      </c>
      <c r="E3694" s="421">
        <v>5</v>
      </c>
      <c r="F3694" s="580"/>
      <c r="G3694" s="417" t="s">
        <v>2601</v>
      </c>
      <c r="H3694" s="598" t="s">
        <v>2602</v>
      </c>
      <c r="I3694" s="322" t="s">
        <v>2179</v>
      </c>
      <c r="J3694" s="418"/>
      <c r="K3694" s="248"/>
      <c r="M3694" s="366"/>
    </row>
    <row r="3695" spans="1:13" x14ac:dyDescent="0.25">
      <c r="A3695" s="308">
        <v>45699</v>
      </c>
      <c r="B3695" s="416">
        <v>1146737</v>
      </c>
      <c r="C3695" s="413" t="str">
        <f>IFERROR(INDEX(Table14[],MATCH($B3695,Table14[SAPNo],0),3),"")</f>
        <v>1613 CT418 18-60</v>
      </c>
      <c r="D3695" s="420" t="s">
        <v>12</v>
      </c>
      <c r="E3695" s="421">
        <v>9</v>
      </c>
      <c r="F3695" s="580"/>
      <c r="G3695" s="417" t="s">
        <v>2607</v>
      </c>
      <c r="H3695" s="598">
        <v>14305481</v>
      </c>
      <c r="I3695" s="322" t="s">
        <v>2574</v>
      </c>
      <c r="J3695" s="418"/>
      <c r="K3695" s="248"/>
      <c r="M3695" s="366"/>
    </row>
    <row r="3696" spans="1:13" x14ac:dyDescent="0.25">
      <c r="A3696" s="308">
        <v>45699</v>
      </c>
      <c r="B3696" s="416">
        <v>1199265</v>
      </c>
      <c r="C3696" s="413" t="str">
        <f>IFERROR(INDEX(Table14[],MATCH($B3696,Table14[SAPNo],0),3),"")</f>
        <v>1613 CT158 18C</v>
      </c>
      <c r="D3696" s="420" t="s">
        <v>12</v>
      </c>
      <c r="E3696" s="421">
        <v>35</v>
      </c>
      <c r="F3696" s="580"/>
      <c r="G3696" s="417" t="s">
        <v>2607</v>
      </c>
      <c r="H3696" s="598">
        <v>14305481</v>
      </c>
      <c r="I3696" s="322" t="s">
        <v>2574</v>
      </c>
      <c r="J3696" s="418"/>
      <c r="K3696" s="248"/>
      <c r="M3696" s="366"/>
    </row>
    <row r="3697" spans="1:13" x14ac:dyDescent="0.25">
      <c r="A3697" s="308">
        <v>45699</v>
      </c>
      <c r="B3697" s="416">
        <v>1100759</v>
      </c>
      <c r="C3697" s="413" t="str">
        <f>IFERROR(INDEX(Table14[],MATCH($B3697,Table14[SAPNo],0),3),"")</f>
        <v>1913 CT421 0.018"</v>
      </c>
      <c r="D3697" s="420" t="s">
        <v>12</v>
      </c>
      <c r="E3697" s="421">
        <v>24</v>
      </c>
      <c r="F3697" s="580"/>
      <c r="G3697" s="417" t="s">
        <v>2607</v>
      </c>
      <c r="H3697" s="598">
        <v>14305481</v>
      </c>
      <c r="I3697" s="322" t="s">
        <v>2574</v>
      </c>
      <c r="J3697" s="418"/>
      <c r="K3697" s="248"/>
      <c r="M3697" s="366"/>
    </row>
    <row r="3698" spans="1:13" x14ac:dyDescent="0.25">
      <c r="A3698" s="308">
        <v>45699</v>
      </c>
      <c r="B3698" s="416">
        <v>871781</v>
      </c>
      <c r="C3698" s="413" t="str">
        <f>IFERROR(INDEX(Table14[],MATCH($B3698,Table14[SAPNo],0),3),"")</f>
        <v>Round 1313 CT200  0.018" (B)</v>
      </c>
      <c r="D3698" s="420" t="s">
        <v>12</v>
      </c>
      <c r="E3698" s="421">
        <v>8</v>
      </c>
      <c r="F3698" s="580"/>
      <c r="G3698" s="417" t="s">
        <v>2607</v>
      </c>
      <c r="H3698" s="598">
        <v>14305481</v>
      </c>
      <c r="I3698" s="322" t="s">
        <v>2574</v>
      </c>
      <c r="J3698" s="418"/>
      <c r="K3698" s="248"/>
      <c r="M3698" s="366"/>
    </row>
    <row r="3699" spans="1:13" x14ac:dyDescent="0.25">
      <c r="A3699" s="308">
        <v>45699</v>
      </c>
      <c r="B3699" s="416">
        <v>1100755</v>
      </c>
      <c r="C3699" s="413" t="str">
        <f>IFERROR(INDEX(Table14[],MATCH($B3699,Table14[SAPNo],0),3),"")</f>
        <v>Round 1613 CT421  0.018" (S)</v>
      </c>
      <c r="D3699" s="420" t="s">
        <v>12</v>
      </c>
      <c r="E3699" s="421">
        <v>34</v>
      </c>
      <c r="F3699" s="580"/>
      <c r="G3699" s="417" t="s">
        <v>2607</v>
      </c>
      <c r="H3699" s="598">
        <v>14305481</v>
      </c>
      <c r="I3699" s="322" t="s">
        <v>2574</v>
      </c>
      <c r="J3699" s="418"/>
      <c r="K3699" s="248"/>
      <c r="M3699" s="366"/>
    </row>
    <row r="3700" spans="1:13" x14ac:dyDescent="0.25">
      <c r="A3700" s="308">
        <v>45699</v>
      </c>
      <c r="B3700" s="416">
        <v>1130197</v>
      </c>
      <c r="C3700" s="413" t="str">
        <f>IFERROR(INDEX(Table14[],MATCH($B3700,Table14[SAPNo],0),3),"")</f>
        <v>Round 1608 CT182  0.018" (S)</v>
      </c>
      <c r="D3700" s="420" t="s">
        <v>12</v>
      </c>
      <c r="E3700" s="421">
        <v>8</v>
      </c>
      <c r="F3700" s="580"/>
      <c r="G3700" s="417" t="s">
        <v>2607</v>
      </c>
      <c r="H3700" s="598">
        <v>14305481</v>
      </c>
      <c r="I3700" s="322" t="s">
        <v>2574</v>
      </c>
      <c r="J3700" s="418"/>
      <c r="K3700" s="248"/>
      <c r="M3700" s="366"/>
    </row>
    <row r="3701" spans="1:13" x14ac:dyDescent="0.25">
      <c r="A3701" s="308">
        <v>45700</v>
      </c>
      <c r="B3701" s="416">
        <v>418525</v>
      </c>
      <c r="C3701" s="413" t="str">
        <f>IFERROR(INDEX(Table14[],MATCH($B3701,Table14[SAPNo],0),3),"")</f>
        <v>Drop In 1308 CT31   (B)</v>
      </c>
      <c r="D3701" s="420" t="s">
        <v>12</v>
      </c>
      <c r="E3701" s="421">
        <v>5</v>
      </c>
      <c r="F3701" s="580"/>
      <c r="G3701" s="417">
        <v>20251020</v>
      </c>
      <c r="H3701" s="598" t="s">
        <v>2608</v>
      </c>
      <c r="I3701" s="322" t="s">
        <v>1746</v>
      </c>
      <c r="J3701" s="418"/>
      <c r="K3701" s="248"/>
      <c r="M3701" s="366"/>
    </row>
    <row r="3702" spans="1:13" x14ac:dyDescent="0.25">
      <c r="A3702" s="308">
        <v>45700</v>
      </c>
      <c r="B3702" s="416">
        <v>1100696</v>
      </c>
      <c r="C3702" s="413" t="str">
        <f>IFERROR(INDEX(Table14[],MATCH($B3702,Table14[SAPNo],0),3),"")</f>
        <v>Round 1313 CT418  10C (S)</v>
      </c>
      <c r="D3702" s="420" t="s">
        <v>12</v>
      </c>
      <c r="E3702" s="421">
        <v>7</v>
      </c>
      <c r="F3702" s="580"/>
      <c r="G3702" s="417" t="s">
        <v>2607</v>
      </c>
      <c r="H3702" s="598">
        <v>14305481</v>
      </c>
      <c r="I3702" s="322" t="s">
        <v>2574</v>
      </c>
      <c r="J3702" s="418"/>
      <c r="K3702" s="248"/>
      <c r="M3702" s="366"/>
    </row>
    <row r="3703" spans="1:13" x14ac:dyDescent="0.25">
      <c r="A3703" s="308">
        <v>45701</v>
      </c>
      <c r="B3703" s="416">
        <v>418525</v>
      </c>
      <c r="C3703" s="413" t="str">
        <f>IFERROR(INDEX(Table14[],MATCH($B3703,Table14[SAPNo],0),3),"")</f>
        <v>Drop In 1308 CT31   (B)</v>
      </c>
      <c r="D3703" s="420" t="s">
        <v>12</v>
      </c>
      <c r="E3703" s="421">
        <v>10</v>
      </c>
      <c r="F3703" s="580"/>
      <c r="G3703" s="417">
        <v>20251021</v>
      </c>
      <c r="H3703" s="598" t="s">
        <v>2609</v>
      </c>
      <c r="I3703" s="322" t="s">
        <v>2090</v>
      </c>
      <c r="J3703" s="418"/>
      <c r="K3703" s="248"/>
      <c r="M3703" s="366"/>
    </row>
    <row r="3704" spans="1:13" x14ac:dyDescent="0.25">
      <c r="A3704" s="308">
        <v>45701</v>
      </c>
      <c r="B3704" s="416">
        <v>1266910</v>
      </c>
      <c r="C3704" s="413" t="str">
        <f>IFERROR(INDEX(Table14[],MATCH($B3704,Table14[SAPNo],0),3),"")</f>
        <v/>
      </c>
      <c r="D3704" s="420" t="s">
        <v>12</v>
      </c>
      <c r="E3704" s="421">
        <v>1</v>
      </c>
      <c r="F3704" s="580"/>
      <c r="G3704" s="417">
        <v>20251021</v>
      </c>
      <c r="H3704" s="598" t="s">
        <v>2609</v>
      </c>
      <c r="I3704" s="322" t="s">
        <v>2090</v>
      </c>
      <c r="J3704" s="418"/>
      <c r="K3704" s="248"/>
      <c r="M3704" s="366"/>
    </row>
    <row r="3705" spans="1:13" x14ac:dyDescent="0.25">
      <c r="A3705" s="308">
        <v>45701</v>
      </c>
      <c r="B3705" s="416">
        <v>1100696</v>
      </c>
      <c r="C3705" s="413" t="str">
        <f>IFERROR(INDEX(Table14[],MATCH($B3705,Table14[SAPNo],0),3),"")</f>
        <v>Round 1313 CT418  10C (S)</v>
      </c>
      <c r="D3705" s="420" t="s">
        <v>12</v>
      </c>
      <c r="E3705" s="421">
        <v>5</v>
      </c>
      <c r="F3705" s="580"/>
      <c r="G3705" s="417">
        <v>20251021</v>
      </c>
      <c r="H3705" s="598" t="s">
        <v>2609</v>
      </c>
      <c r="I3705" s="322" t="s">
        <v>2090</v>
      </c>
      <c r="J3705" s="418"/>
      <c r="K3705" s="248"/>
      <c r="M3705" s="366"/>
    </row>
    <row r="3706" spans="1:13" x14ac:dyDescent="0.25">
      <c r="A3706" s="308">
        <v>45701</v>
      </c>
      <c r="B3706" s="416">
        <v>729687</v>
      </c>
      <c r="C3706" s="413" t="str">
        <f>IFERROR(INDEX(Table14[],MATCH($B3706,Table14[SAPNo],0),3),"")</f>
        <v>Round 1613 CT82  10C (S)</v>
      </c>
      <c r="D3706" s="420" t="s">
        <v>11</v>
      </c>
      <c r="E3706" s="421">
        <v>4</v>
      </c>
      <c r="F3706" s="580"/>
      <c r="G3706" s="417">
        <v>20251024</v>
      </c>
      <c r="H3706" s="598">
        <v>13111874</v>
      </c>
      <c r="I3706" s="322" t="s">
        <v>2610</v>
      </c>
      <c r="J3706" s="418"/>
      <c r="K3706" s="248"/>
      <c r="M3706" s="366"/>
    </row>
    <row r="3707" spans="1:13" x14ac:dyDescent="0.25">
      <c r="A3707" s="308">
        <v>45701</v>
      </c>
      <c r="B3707" s="416">
        <v>703670</v>
      </c>
      <c r="C3707" s="413" t="str">
        <f>IFERROR(INDEX(Table14[],MATCH($B3707,Table14[SAPNo],0),3),"")</f>
        <v>Round 1313 CT200  10C (B)</v>
      </c>
      <c r="D3707" s="420" t="s">
        <v>11</v>
      </c>
      <c r="E3707" s="421">
        <v>2</v>
      </c>
      <c r="F3707" s="580"/>
      <c r="G3707" s="417">
        <v>20251024</v>
      </c>
      <c r="H3707" s="598">
        <v>13111874</v>
      </c>
      <c r="I3707" s="322" t="s">
        <v>2610</v>
      </c>
      <c r="J3707" s="418"/>
      <c r="K3707" s="248"/>
      <c r="M3707" s="366"/>
    </row>
    <row r="3708" spans="1:13" x14ac:dyDescent="0.25">
      <c r="A3708" s="308">
        <v>45701</v>
      </c>
      <c r="B3708" s="416">
        <v>418525</v>
      </c>
      <c r="C3708" s="413" t="str">
        <f>IFERROR(INDEX(Table14[],MATCH($B3708,Table14[SAPNo],0),3),"")</f>
        <v>Drop In 1308 CT31   (B)</v>
      </c>
      <c r="D3708" s="420" t="s">
        <v>12</v>
      </c>
      <c r="E3708" s="421">
        <v>12</v>
      </c>
      <c r="F3708" s="580"/>
      <c r="G3708" s="417">
        <v>20251024</v>
      </c>
      <c r="H3708" s="598">
        <v>13111874</v>
      </c>
      <c r="I3708" s="322" t="s">
        <v>2610</v>
      </c>
      <c r="J3708" s="418"/>
      <c r="K3708" s="248"/>
      <c r="M3708" s="366"/>
    </row>
    <row r="3709" spans="1:13" x14ac:dyDescent="0.25">
      <c r="A3709" s="308">
        <v>45704</v>
      </c>
      <c r="B3709" s="416">
        <v>717748</v>
      </c>
      <c r="C3709" s="413" t="str">
        <f>IFERROR(INDEX(Table14[],MATCH($B3709,Table14[SAPNo],0),3),"")</f>
        <v>Round 1010 CT200  0.018" (B)</v>
      </c>
      <c r="D3709" s="420" t="s">
        <v>12</v>
      </c>
      <c r="E3709" s="421">
        <v>23</v>
      </c>
      <c r="F3709" s="580"/>
      <c r="G3709" s="417" t="s">
        <v>2611</v>
      </c>
      <c r="H3709" s="598">
        <v>14320423</v>
      </c>
      <c r="I3709" s="322" t="s">
        <v>2522</v>
      </c>
      <c r="J3709" s="418"/>
      <c r="K3709" s="248"/>
      <c r="M3709" s="366"/>
    </row>
    <row r="3710" spans="1:13" x14ac:dyDescent="0.25">
      <c r="A3710" s="308">
        <v>45704</v>
      </c>
      <c r="B3710" s="416">
        <v>882800</v>
      </c>
      <c r="C3710" s="413" t="str">
        <f>IFERROR(INDEX(Table14[],MATCH($B3710,Table14[SAPNo],0),3),"")</f>
        <v>Round 0808 CT80  0.018" (B)</v>
      </c>
      <c r="D3710" s="420" t="s">
        <v>12</v>
      </c>
      <c r="E3710" s="421">
        <v>10</v>
      </c>
      <c r="F3710" s="580"/>
      <c r="G3710" s="417" t="s">
        <v>2611</v>
      </c>
      <c r="H3710" s="598">
        <v>14320423</v>
      </c>
      <c r="I3710" s="322" t="s">
        <v>2522</v>
      </c>
      <c r="J3710" s="418"/>
      <c r="K3710" s="248"/>
      <c r="M3710" s="366"/>
    </row>
    <row r="3711" spans="1:13" x14ac:dyDescent="0.25">
      <c r="A3711" s="308">
        <v>45704</v>
      </c>
      <c r="B3711" s="416">
        <v>773384</v>
      </c>
      <c r="C3711" s="413" t="str">
        <f>IFERROR(INDEX(Table14[],MATCH($B3711,Table14[SAPNo],0),3),"")</f>
        <v>Round 1005 CT200  0.018" (B)</v>
      </c>
      <c r="D3711" s="420" t="s">
        <v>12</v>
      </c>
      <c r="E3711" s="421">
        <v>10</v>
      </c>
      <c r="F3711" s="580"/>
      <c r="G3711" s="417" t="s">
        <v>2611</v>
      </c>
      <c r="H3711" s="598">
        <v>14320423</v>
      </c>
      <c r="I3711" s="322" t="s">
        <v>2522</v>
      </c>
      <c r="J3711" s="418"/>
      <c r="K3711" s="248"/>
      <c r="M3711" s="366"/>
    </row>
    <row r="3712" spans="1:13" x14ac:dyDescent="0.25">
      <c r="A3712" s="308">
        <v>45705</v>
      </c>
      <c r="B3712" s="416">
        <v>729687</v>
      </c>
      <c r="C3712" s="413" t="str">
        <f>IFERROR(INDEX(Table14[],MATCH($B3712,Table14[SAPNo],0),3),"")</f>
        <v>Round 1613 CT82  10C (S)</v>
      </c>
      <c r="D3712" s="420" t="s">
        <v>12</v>
      </c>
      <c r="E3712" s="421">
        <v>1</v>
      </c>
      <c r="F3712" s="580"/>
      <c r="G3712" s="417">
        <v>20251024</v>
      </c>
      <c r="H3712" s="598">
        <v>13111874</v>
      </c>
      <c r="I3712" s="322" t="s">
        <v>2610</v>
      </c>
      <c r="J3712" s="418"/>
      <c r="K3712" s="248"/>
      <c r="M3712" s="366"/>
    </row>
    <row r="3713" spans="1:13" x14ac:dyDescent="0.25">
      <c r="A3713" s="308">
        <v>45705</v>
      </c>
      <c r="B3713" s="416">
        <v>1130219</v>
      </c>
      <c r="C3713" s="413" t="str">
        <f>IFERROR(INDEX(Table14[],MATCH($B3713,Table14[SAPNo],0),3),"")</f>
        <v>Round 1313 CT182  10C (S)</v>
      </c>
      <c r="D3713" s="420" t="s">
        <v>12</v>
      </c>
      <c r="E3713" s="421">
        <v>2</v>
      </c>
      <c r="F3713" s="580"/>
      <c r="G3713" s="417">
        <v>20251024</v>
      </c>
      <c r="H3713" s="598">
        <v>13111874</v>
      </c>
      <c r="I3713" s="322" t="s">
        <v>2610</v>
      </c>
      <c r="J3713" s="418"/>
      <c r="K3713" s="248"/>
      <c r="M3713" s="366"/>
    </row>
    <row r="3714" spans="1:13" x14ac:dyDescent="0.25">
      <c r="A3714" s="308">
        <v>45705</v>
      </c>
      <c r="B3714" s="416">
        <v>1100696</v>
      </c>
      <c r="C3714" s="413" t="str">
        <f>IFERROR(INDEX(Table14[],MATCH($B3714,Table14[SAPNo],0),3),"")</f>
        <v>Round 1313 CT418  10C (S)</v>
      </c>
      <c r="D3714" s="420" t="s">
        <v>12</v>
      </c>
      <c r="E3714" s="421">
        <v>8</v>
      </c>
      <c r="F3714" s="580"/>
      <c r="G3714" s="417" t="s">
        <v>2612</v>
      </c>
      <c r="H3714" s="598">
        <v>13433066</v>
      </c>
      <c r="I3714" s="322" t="s">
        <v>2613</v>
      </c>
      <c r="J3714" s="418"/>
      <c r="K3714" s="248"/>
      <c r="M3714" s="366"/>
    </row>
    <row r="3715" spans="1:13" x14ac:dyDescent="0.25">
      <c r="A3715" s="308">
        <v>45705</v>
      </c>
      <c r="B3715" s="416">
        <v>1146346</v>
      </c>
      <c r="C3715" s="413" t="str">
        <f>IFERROR(INDEX(Table14[],MATCH($B3715,Table14[SAPNo],0),3),"")</f>
        <v>1313 CT418 18-60</v>
      </c>
      <c r="D3715" s="420" t="s">
        <v>12</v>
      </c>
      <c r="E3715" s="421">
        <v>3</v>
      </c>
      <c r="F3715" s="580"/>
      <c r="G3715" s="417" t="s">
        <v>2612</v>
      </c>
      <c r="H3715" s="598">
        <v>13433066</v>
      </c>
      <c r="I3715" s="322" t="s">
        <v>2613</v>
      </c>
      <c r="J3715" s="418"/>
      <c r="K3715" s="248"/>
      <c r="M3715" s="366"/>
    </row>
    <row r="3716" spans="1:13" x14ac:dyDescent="0.25">
      <c r="A3716" s="308">
        <v>45705</v>
      </c>
      <c r="B3716" s="416">
        <v>418525</v>
      </c>
      <c r="C3716" s="413" t="str">
        <f>IFERROR(INDEX(Table14[],MATCH($B3716,Table14[SAPNo],0),3),"")</f>
        <v>Drop In 1308 CT31   (B)</v>
      </c>
      <c r="D3716" s="420" t="s">
        <v>12</v>
      </c>
      <c r="E3716" s="421">
        <v>10</v>
      </c>
      <c r="F3716" s="580"/>
      <c r="G3716" s="417" t="s">
        <v>2612</v>
      </c>
      <c r="H3716" s="598">
        <v>13433066</v>
      </c>
      <c r="I3716" s="322" t="s">
        <v>2613</v>
      </c>
      <c r="J3716" s="418"/>
      <c r="K3716" s="248"/>
      <c r="M3716" s="366"/>
    </row>
    <row r="3717" spans="1:13" x14ac:dyDescent="0.25">
      <c r="A3717" s="308">
        <v>45706</v>
      </c>
      <c r="B3717" s="416">
        <v>418525</v>
      </c>
      <c r="C3717" s="413" t="str">
        <f>IFERROR(INDEX(Table14[],MATCH($B3717,Table14[SAPNo],0),3),"")</f>
        <v>Drop In 1308 CT31   (B)</v>
      </c>
      <c r="D3717" s="420" t="s">
        <v>12</v>
      </c>
      <c r="E3717" s="421">
        <v>5</v>
      </c>
      <c r="F3717" s="580"/>
      <c r="G3717" s="417" t="s">
        <v>2614</v>
      </c>
      <c r="H3717" s="598" t="s">
        <v>2615</v>
      </c>
      <c r="I3717" s="322" t="s">
        <v>2616</v>
      </c>
      <c r="J3717" s="418"/>
      <c r="K3717" s="248"/>
      <c r="M3717" s="366"/>
    </row>
    <row r="3718" spans="1:13" x14ac:dyDescent="0.25">
      <c r="A3718" s="308">
        <v>45706</v>
      </c>
      <c r="B3718" s="416">
        <v>647435</v>
      </c>
      <c r="C3718" s="413" t="str">
        <f>IFERROR(INDEX(Table14[],MATCH($B3718,Table14[SAPNo],0),3),"")</f>
        <v>Round 1608 CT200  0.018" (B)</v>
      </c>
      <c r="D3718" s="420" t="s">
        <v>12</v>
      </c>
      <c r="E3718" s="421">
        <v>6</v>
      </c>
      <c r="F3718" s="580"/>
      <c r="G3718" s="417" t="s">
        <v>2614</v>
      </c>
      <c r="H3718" s="598" t="s">
        <v>2615</v>
      </c>
      <c r="I3718" s="322" t="s">
        <v>2616</v>
      </c>
      <c r="J3718" s="418"/>
      <c r="K3718" s="248"/>
      <c r="M3718" s="366"/>
    </row>
    <row r="3719" spans="1:13" x14ac:dyDescent="0.25">
      <c r="A3719" s="308">
        <v>45706</v>
      </c>
      <c r="B3719" s="416">
        <v>1130198</v>
      </c>
      <c r="C3719" s="413" t="str">
        <f>IFERROR(INDEX(Table14[],MATCH($B3719,Table14[SAPNo],0),3),"")</f>
        <v>Round 1613 CT182  0.018" (S)</v>
      </c>
      <c r="D3719" s="420" t="s">
        <v>1072</v>
      </c>
      <c r="E3719" s="421">
        <v>9</v>
      </c>
      <c r="F3719" s="580"/>
      <c r="G3719" s="417" t="s">
        <v>2614</v>
      </c>
      <c r="H3719" s="598" t="s">
        <v>2615</v>
      </c>
      <c r="I3719" s="322" t="s">
        <v>2616</v>
      </c>
      <c r="J3719" s="418"/>
      <c r="K3719" s="248"/>
      <c r="M3719" s="366"/>
    </row>
    <row r="3720" spans="1:13" x14ac:dyDescent="0.25">
      <c r="A3720" s="308">
        <v>45706</v>
      </c>
      <c r="B3720" s="416">
        <v>418525</v>
      </c>
      <c r="C3720" s="413" t="str">
        <f>IFERROR(INDEX(Table14[],MATCH($B3720,Table14[SAPNo],0),3),"")</f>
        <v>Drop In 1308 CT31   (B)</v>
      </c>
      <c r="D3720" s="420" t="s">
        <v>12</v>
      </c>
      <c r="E3720" s="421">
        <v>10</v>
      </c>
      <c r="F3720" s="580"/>
      <c r="G3720" s="417" t="s">
        <v>2617</v>
      </c>
      <c r="H3720" s="598" t="s">
        <v>2618</v>
      </c>
      <c r="I3720" s="322" t="s">
        <v>2619</v>
      </c>
      <c r="J3720" s="418"/>
      <c r="K3720" s="248"/>
      <c r="M3720" s="366"/>
    </row>
    <row r="3721" spans="1:13" x14ac:dyDescent="0.25">
      <c r="A3721" s="308">
        <v>45706</v>
      </c>
      <c r="B3721" s="416">
        <v>1100696</v>
      </c>
      <c r="C3721" s="413" t="str">
        <f>IFERROR(INDEX(Table14[],MATCH($B3721,Table14[SAPNo],0),3),"")</f>
        <v>Round 1313 CT418  10C (S)</v>
      </c>
      <c r="D3721" s="420" t="s">
        <v>12</v>
      </c>
      <c r="E3721" s="421">
        <v>8</v>
      </c>
      <c r="F3721" s="580"/>
      <c r="G3721" s="417" t="s">
        <v>2617</v>
      </c>
      <c r="H3721" s="598" t="s">
        <v>2618</v>
      </c>
      <c r="I3721" s="322" t="s">
        <v>2619</v>
      </c>
      <c r="J3721" s="418"/>
      <c r="K3721" s="248"/>
      <c r="M3721" s="366"/>
    </row>
    <row r="3722" spans="1:13" x14ac:dyDescent="0.25">
      <c r="A3722" s="308">
        <v>45706</v>
      </c>
      <c r="B3722" s="416">
        <v>703670</v>
      </c>
      <c r="C3722" s="413" t="str">
        <f>IFERROR(INDEX(Table14[],MATCH($B3722,Table14[SAPNo],0),3),"")</f>
        <v>Round 1313 CT200  10C (B)</v>
      </c>
      <c r="D3722" s="420" t="s">
        <v>12</v>
      </c>
      <c r="E3722" s="421">
        <v>3</v>
      </c>
      <c r="F3722" s="580"/>
      <c r="G3722" s="417" t="s">
        <v>2617</v>
      </c>
      <c r="H3722" s="598" t="s">
        <v>2618</v>
      </c>
      <c r="I3722" s="322" t="s">
        <v>2619</v>
      </c>
      <c r="J3722" s="418"/>
      <c r="K3722" s="248"/>
      <c r="M3722" s="366"/>
    </row>
    <row r="3723" spans="1:13" x14ac:dyDescent="0.25">
      <c r="A3723" s="308">
        <v>45706</v>
      </c>
      <c r="B3723" s="416">
        <v>418525</v>
      </c>
      <c r="C3723" s="413" t="str">
        <f>IFERROR(INDEX(Table14[],MATCH($B3723,Table14[SAPNo],0),3),"")</f>
        <v>Drop In 1308 CT31   (B)</v>
      </c>
      <c r="D3723" s="420" t="s">
        <v>12</v>
      </c>
      <c r="E3723" s="421">
        <v>12</v>
      </c>
      <c r="F3723" s="580"/>
      <c r="G3723" s="417" t="s">
        <v>2620</v>
      </c>
      <c r="H3723" s="598" t="s">
        <v>2621</v>
      </c>
      <c r="I3723" s="322" t="s">
        <v>2622</v>
      </c>
      <c r="J3723" s="418"/>
      <c r="K3723" s="248"/>
      <c r="M3723" s="366"/>
    </row>
    <row r="3724" spans="1:13" x14ac:dyDescent="0.25">
      <c r="A3724" s="308">
        <v>45706</v>
      </c>
      <c r="B3724" s="416">
        <v>1130197</v>
      </c>
      <c r="C3724" s="413" t="str">
        <f>IFERROR(INDEX(Table14[],MATCH($B3724,Table14[SAPNo],0),3),"")</f>
        <v>Round 1608 CT182  0.018" (S)</v>
      </c>
      <c r="D3724" s="420" t="s">
        <v>12</v>
      </c>
      <c r="E3724" s="421">
        <v>4</v>
      </c>
      <c r="F3724" s="580"/>
      <c r="G3724" s="417" t="s">
        <v>2620</v>
      </c>
      <c r="H3724" s="598" t="s">
        <v>2621</v>
      </c>
      <c r="I3724" s="322" t="s">
        <v>2622</v>
      </c>
      <c r="J3724" s="418"/>
      <c r="K3724" s="248"/>
      <c r="M3724" s="366"/>
    </row>
    <row r="3725" spans="1:13" x14ac:dyDescent="0.25">
      <c r="A3725" s="308">
        <v>45706</v>
      </c>
      <c r="B3725" s="416">
        <v>1130198</v>
      </c>
      <c r="C3725" s="413" t="str">
        <f>IFERROR(INDEX(Table14[],MATCH($B3725,Table14[SAPNo],0),3),"")</f>
        <v>Round 1613 CT182  0.018" (S)</v>
      </c>
      <c r="D3725" s="420" t="s">
        <v>1072</v>
      </c>
      <c r="E3725" s="421">
        <v>7</v>
      </c>
      <c r="F3725" s="580"/>
      <c r="G3725" s="417" t="s">
        <v>2620</v>
      </c>
      <c r="H3725" s="598" t="s">
        <v>2621</v>
      </c>
      <c r="I3725" s="322" t="s">
        <v>2622</v>
      </c>
      <c r="J3725" s="418"/>
      <c r="K3725" s="248"/>
      <c r="M3725" s="366"/>
    </row>
    <row r="3726" spans="1:13" x14ac:dyDescent="0.25">
      <c r="A3726" s="308">
        <v>45706</v>
      </c>
      <c r="B3726" s="416">
        <v>1100696</v>
      </c>
      <c r="C3726" s="413" t="str">
        <f>IFERROR(INDEX(Table14[],MATCH($B3726,Table14[SAPNo],0),3),"")</f>
        <v>Round 1313 CT418  10C (S)</v>
      </c>
      <c r="D3726" s="420" t="s">
        <v>12</v>
      </c>
      <c r="E3726" s="421">
        <v>1</v>
      </c>
      <c r="F3726" s="580"/>
      <c r="G3726" s="417" t="s">
        <v>2612</v>
      </c>
      <c r="H3726" s="598">
        <v>13433066</v>
      </c>
      <c r="I3726" s="322" t="s">
        <v>2613</v>
      </c>
      <c r="J3726" s="418"/>
      <c r="K3726" s="248"/>
      <c r="M3726" s="366"/>
    </row>
    <row r="3727" spans="1:13" x14ac:dyDescent="0.25">
      <c r="A3727" s="308">
        <v>45706</v>
      </c>
      <c r="B3727" s="416">
        <v>1130197</v>
      </c>
      <c r="C3727" s="413" t="str">
        <f>IFERROR(INDEX(Table14[],MATCH($B3727,Table14[SAPNo],0),3),"")</f>
        <v>Round 1608 CT182  0.018" (S)</v>
      </c>
      <c r="D3727" s="420" t="s">
        <v>12</v>
      </c>
      <c r="E3727" s="421">
        <v>1</v>
      </c>
      <c r="F3727" s="580"/>
      <c r="G3727" s="417" t="s">
        <v>2623</v>
      </c>
      <c r="H3727" s="598">
        <v>13460770</v>
      </c>
      <c r="I3727" s="322" t="s">
        <v>2622</v>
      </c>
      <c r="J3727" s="418"/>
      <c r="K3727" s="248"/>
      <c r="M3727" s="366"/>
    </row>
    <row r="3728" spans="1:13" x14ac:dyDescent="0.25">
      <c r="A3728" s="308">
        <v>45706</v>
      </c>
      <c r="B3728" s="416">
        <v>418525</v>
      </c>
      <c r="C3728" s="413" t="str">
        <f>IFERROR(INDEX(Table14[],MATCH($B3728,Table14[SAPNo],0),3),"")</f>
        <v>Drop In 1308 CT31   (B)</v>
      </c>
      <c r="D3728" s="420" t="s">
        <v>12</v>
      </c>
      <c r="E3728" s="421">
        <v>12</v>
      </c>
      <c r="F3728" s="580"/>
      <c r="G3728" s="417" t="s">
        <v>2623</v>
      </c>
      <c r="H3728" s="598">
        <v>13460770</v>
      </c>
      <c r="I3728" s="322" t="s">
        <v>2622</v>
      </c>
      <c r="J3728" s="418"/>
      <c r="K3728" s="248"/>
      <c r="M3728" s="366"/>
    </row>
    <row r="3729" spans="1:13" x14ac:dyDescent="0.25">
      <c r="A3729" s="308">
        <v>45706</v>
      </c>
      <c r="B3729" s="416">
        <v>1130198</v>
      </c>
      <c r="C3729" s="413" t="str">
        <f>IFERROR(INDEX(Table14[],MATCH($B3729,Table14[SAPNo],0),3),"")</f>
        <v>Round 1613 CT182  0.018" (S)</v>
      </c>
      <c r="D3729" s="420" t="s">
        <v>1072</v>
      </c>
      <c r="E3729" s="421">
        <v>2</v>
      </c>
      <c r="F3729" s="580"/>
      <c r="G3729" s="417" t="s">
        <v>2623</v>
      </c>
      <c r="H3729" s="598">
        <v>13460770</v>
      </c>
      <c r="I3729" s="322" t="s">
        <v>2622</v>
      </c>
      <c r="J3729" s="418"/>
      <c r="K3729" s="248"/>
      <c r="M3729" s="366"/>
    </row>
    <row r="3730" spans="1:13" x14ac:dyDescent="0.25">
      <c r="A3730" s="308">
        <v>45706</v>
      </c>
      <c r="B3730" s="416">
        <v>418525</v>
      </c>
      <c r="C3730" s="413" t="str">
        <f>IFERROR(INDEX(Table14[],MATCH($B3730,Table14[SAPNo],0),3),"")</f>
        <v>Drop In 1308 CT31   (B)</v>
      </c>
      <c r="D3730" s="420" t="s">
        <v>12</v>
      </c>
      <c r="E3730" s="421">
        <v>6</v>
      </c>
      <c r="F3730" s="580"/>
      <c r="G3730" s="417" t="s">
        <v>2624</v>
      </c>
      <c r="H3730" s="598">
        <v>13593355</v>
      </c>
      <c r="I3730" s="322" t="s">
        <v>2625</v>
      </c>
      <c r="J3730" s="418"/>
      <c r="K3730" s="248"/>
      <c r="M3730" s="366"/>
    </row>
    <row r="3731" spans="1:13" x14ac:dyDescent="0.25">
      <c r="A3731" s="308">
        <v>45706</v>
      </c>
      <c r="B3731" s="416">
        <v>1130198</v>
      </c>
      <c r="C3731" s="413" t="str">
        <f>IFERROR(INDEX(Table14[],MATCH($B3731,Table14[SAPNo],0),3),"")</f>
        <v>Round 1613 CT182  0.018" (S)</v>
      </c>
      <c r="D3731" s="420" t="s">
        <v>1072</v>
      </c>
      <c r="E3731" s="421">
        <v>20</v>
      </c>
      <c r="F3731" s="580"/>
      <c r="G3731" s="417" t="s">
        <v>2624</v>
      </c>
      <c r="H3731" s="598">
        <v>13593355</v>
      </c>
      <c r="I3731" s="322" t="s">
        <v>2625</v>
      </c>
      <c r="J3731" s="418"/>
      <c r="K3731" s="248"/>
      <c r="M3731" s="366"/>
    </row>
    <row r="3732" spans="1:13" x14ac:dyDescent="0.25">
      <c r="A3732" s="308">
        <v>45706</v>
      </c>
      <c r="B3732" s="416">
        <v>647435</v>
      </c>
      <c r="C3732" s="413" t="str">
        <f>IFERROR(INDEX(Table14[],MATCH($B3732,Table14[SAPNo],0),3),"")</f>
        <v>Round 1608 CT200  0.018" (B)</v>
      </c>
      <c r="D3732" s="420" t="s">
        <v>12</v>
      </c>
      <c r="E3732" s="421">
        <v>1</v>
      </c>
      <c r="F3732" s="580"/>
      <c r="G3732" s="417" t="s">
        <v>2626</v>
      </c>
      <c r="H3732" s="598">
        <v>13607749</v>
      </c>
      <c r="I3732" s="322" t="s">
        <v>2627</v>
      </c>
      <c r="J3732" s="418"/>
      <c r="K3732" s="248"/>
      <c r="M3732" s="366"/>
    </row>
    <row r="3733" spans="1:13" x14ac:dyDescent="0.25">
      <c r="A3733" s="308">
        <v>45706</v>
      </c>
      <c r="B3733" s="416">
        <v>418525</v>
      </c>
      <c r="C3733" s="413" t="str">
        <f>IFERROR(INDEX(Table14[],MATCH($B3733,Table14[SAPNo],0),3),"")</f>
        <v>Drop In 1308 CT31   (B)</v>
      </c>
      <c r="D3733" s="420" t="s">
        <v>12</v>
      </c>
      <c r="E3733" s="421">
        <v>6</v>
      </c>
      <c r="F3733" s="580"/>
      <c r="G3733" s="417" t="s">
        <v>2626</v>
      </c>
      <c r="H3733" s="598">
        <v>13607749</v>
      </c>
      <c r="I3733" s="322" t="s">
        <v>2627</v>
      </c>
      <c r="J3733" s="418"/>
      <c r="K3733" s="248"/>
      <c r="M3733" s="366"/>
    </row>
    <row r="3734" spans="1:13" x14ac:dyDescent="0.25">
      <c r="A3734" s="308">
        <v>45706</v>
      </c>
      <c r="B3734" s="416">
        <v>1130198</v>
      </c>
      <c r="C3734" s="413" t="str">
        <f>IFERROR(INDEX(Table14[],MATCH($B3734,Table14[SAPNo],0),3),"")</f>
        <v>Round 1613 CT182  0.018" (S)</v>
      </c>
      <c r="D3734" s="420" t="s">
        <v>1072</v>
      </c>
      <c r="E3734" s="421">
        <v>3</v>
      </c>
      <c r="F3734" s="580"/>
      <c r="G3734" s="417" t="s">
        <v>2626</v>
      </c>
      <c r="H3734" s="598">
        <v>13607749</v>
      </c>
      <c r="I3734" s="322" t="s">
        <v>2627</v>
      </c>
      <c r="J3734" s="418"/>
      <c r="K3734" s="248"/>
      <c r="M3734" s="366"/>
    </row>
    <row r="3735" spans="1:13" x14ac:dyDescent="0.25">
      <c r="A3735" s="308">
        <v>45706</v>
      </c>
      <c r="B3735" s="416">
        <v>1130197</v>
      </c>
      <c r="C3735" s="413" t="str">
        <f>IFERROR(INDEX(Table14[],MATCH($B3735,Table14[SAPNo],0),3),"")</f>
        <v>Round 1608 CT182  0.018" (S)</v>
      </c>
      <c r="D3735" s="420" t="s">
        <v>12</v>
      </c>
      <c r="E3735" s="421">
        <v>3</v>
      </c>
      <c r="F3735" s="580"/>
      <c r="G3735" s="417" t="s">
        <v>2628</v>
      </c>
      <c r="H3735" s="598">
        <v>13685076</v>
      </c>
      <c r="I3735" s="322" t="s">
        <v>2629</v>
      </c>
      <c r="J3735" s="418"/>
      <c r="K3735" s="248"/>
      <c r="M3735" s="366"/>
    </row>
    <row r="3736" spans="1:13" x14ac:dyDescent="0.25">
      <c r="A3736" s="308">
        <v>45706</v>
      </c>
      <c r="B3736" s="416">
        <v>1039060</v>
      </c>
      <c r="C3736" s="413" t="str">
        <f>IFERROR(INDEX(Table14[],MATCH($B3736,Table14[SAPNo],0),3),"")</f>
        <v>Round 1613 CT138  0.018" (S)</v>
      </c>
      <c r="D3736" s="420" t="s">
        <v>12</v>
      </c>
      <c r="E3736" s="421">
        <v>1</v>
      </c>
      <c r="F3736" s="580"/>
      <c r="G3736" s="417" t="s">
        <v>2628</v>
      </c>
      <c r="H3736" s="598">
        <v>13685076</v>
      </c>
      <c r="I3736" s="322" t="s">
        <v>2629</v>
      </c>
      <c r="J3736" s="418"/>
      <c r="K3736" s="248"/>
      <c r="M3736" s="366"/>
    </row>
    <row r="3737" spans="1:13" x14ac:dyDescent="0.25">
      <c r="A3737" s="308">
        <v>45706</v>
      </c>
      <c r="B3737" s="416">
        <v>1163820</v>
      </c>
      <c r="C3737" s="413" t="str">
        <f>IFERROR(INDEX(Table14[],MATCH($B3737,Table14[SAPNo],0),3),"")</f>
        <v>1613 CT156 0.018"</v>
      </c>
      <c r="D3737" s="420" t="s">
        <v>12</v>
      </c>
      <c r="E3737" s="421">
        <v>4</v>
      </c>
      <c r="F3737" s="580"/>
      <c r="G3737" s="417" t="s">
        <v>2628</v>
      </c>
      <c r="H3737" s="598">
        <v>13685076</v>
      </c>
      <c r="I3737" s="322" t="s">
        <v>2629</v>
      </c>
      <c r="J3737" s="418"/>
      <c r="K3737" s="248"/>
      <c r="M3737" s="366"/>
    </row>
    <row r="3738" spans="1:13" x14ac:dyDescent="0.25">
      <c r="A3738" s="308">
        <v>45706</v>
      </c>
      <c r="B3738" s="416">
        <v>418525</v>
      </c>
      <c r="C3738" s="413" t="str">
        <f>IFERROR(INDEX(Table14[],MATCH($B3738,Table14[SAPNo],0),3),"")</f>
        <v>Drop In 1308 CT31   (B)</v>
      </c>
      <c r="D3738" s="420" t="s">
        <v>12</v>
      </c>
      <c r="E3738" s="421">
        <v>4</v>
      </c>
      <c r="F3738" s="580"/>
      <c r="G3738" s="417" t="s">
        <v>2628</v>
      </c>
      <c r="H3738" s="598">
        <v>13685076</v>
      </c>
      <c r="I3738" s="322" t="s">
        <v>2629</v>
      </c>
      <c r="J3738" s="418"/>
      <c r="K3738" s="248"/>
      <c r="M3738" s="366"/>
    </row>
    <row r="3739" spans="1:13" x14ac:dyDescent="0.25">
      <c r="A3739" s="308">
        <v>45706</v>
      </c>
      <c r="B3739" s="416">
        <v>1130198</v>
      </c>
      <c r="C3739" s="413" t="str">
        <f>IFERROR(INDEX(Table14[],MATCH($B3739,Table14[SAPNo],0),3),"")</f>
        <v>Round 1613 CT182  0.018" (S)</v>
      </c>
      <c r="D3739" s="420" t="s">
        <v>1072</v>
      </c>
      <c r="E3739" s="421">
        <v>3</v>
      </c>
      <c r="F3739" s="580"/>
      <c r="G3739" s="417" t="s">
        <v>2628</v>
      </c>
      <c r="H3739" s="598">
        <v>13685076</v>
      </c>
      <c r="I3739" s="322" t="s">
        <v>2629</v>
      </c>
      <c r="J3739" s="418"/>
      <c r="K3739" s="248"/>
      <c r="M3739" s="366"/>
    </row>
    <row r="3740" spans="1:13" x14ac:dyDescent="0.25">
      <c r="A3740" s="308">
        <v>45707</v>
      </c>
      <c r="B3740" s="416">
        <v>418525</v>
      </c>
      <c r="C3740" s="413" t="str">
        <f>IFERROR(INDEX(Table14[],MATCH($B3740,Table14[SAPNo],0),3),"")</f>
        <v>Drop In 1308 CT31   (B)</v>
      </c>
      <c r="D3740" s="420" t="s">
        <v>12</v>
      </c>
      <c r="E3740" s="421">
        <v>6</v>
      </c>
      <c r="F3740" s="580"/>
      <c r="G3740" s="417" t="s">
        <v>2630</v>
      </c>
      <c r="H3740" s="598" t="s">
        <v>2631</v>
      </c>
      <c r="I3740" s="322" t="s">
        <v>2616</v>
      </c>
      <c r="J3740" s="418"/>
      <c r="K3740" s="248"/>
      <c r="M3740" s="366"/>
    </row>
    <row r="3741" spans="1:13" x14ac:dyDescent="0.25">
      <c r="A3741" s="308">
        <v>45707</v>
      </c>
      <c r="B3741" s="416">
        <v>647435</v>
      </c>
      <c r="C3741" s="413" t="str">
        <f>IFERROR(INDEX(Table14[],MATCH($B3741,Table14[SAPNo],0),3),"")</f>
        <v>Round 1608 CT200  0.018" (B)</v>
      </c>
      <c r="D3741" s="420" t="s">
        <v>12</v>
      </c>
      <c r="E3741" s="421">
        <v>8</v>
      </c>
      <c r="F3741" s="580"/>
      <c r="G3741" s="417" t="s">
        <v>2630</v>
      </c>
      <c r="H3741" s="598" t="s">
        <v>2631</v>
      </c>
      <c r="I3741" s="322" t="s">
        <v>2616</v>
      </c>
      <c r="J3741" s="418"/>
      <c r="K3741" s="248"/>
      <c r="M3741" s="366"/>
    </row>
    <row r="3742" spans="1:13" x14ac:dyDescent="0.25">
      <c r="A3742" s="308">
        <v>45707</v>
      </c>
      <c r="B3742" s="416">
        <v>1130198</v>
      </c>
      <c r="C3742" s="413" t="str">
        <f>IFERROR(INDEX(Table14[],MATCH($B3742,Table14[SAPNo],0),3),"")</f>
        <v>Round 1613 CT182  0.018" (S)</v>
      </c>
      <c r="D3742" s="420" t="s">
        <v>1072</v>
      </c>
      <c r="E3742" s="421">
        <v>13</v>
      </c>
      <c r="F3742" s="580"/>
      <c r="G3742" s="417" t="s">
        <v>2630</v>
      </c>
      <c r="H3742" s="598" t="s">
        <v>2631</v>
      </c>
      <c r="I3742" s="322" t="s">
        <v>2616</v>
      </c>
      <c r="J3742" s="418"/>
      <c r="K3742" s="248"/>
      <c r="M3742" s="366"/>
    </row>
    <row r="3743" spans="1:13" x14ac:dyDescent="0.25">
      <c r="A3743" s="308">
        <v>45707</v>
      </c>
      <c r="B3743" s="416">
        <v>1130196</v>
      </c>
      <c r="C3743" s="413" t="str">
        <f>IFERROR(INDEX(Table14[],MATCH($B3743,Table14[SAPNo],0),3),"")</f>
        <v>Round 1313 CT182  0.018" (S)</v>
      </c>
      <c r="D3743" s="420" t="s">
        <v>12</v>
      </c>
      <c r="E3743" s="421">
        <v>5</v>
      </c>
      <c r="F3743" s="580"/>
      <c r="G3743" s="417" t="s">
        <v>2632</v>
      </c>
      <c r="H3743" s="598">
        <v>13433561</v>
      </c>
      <c r="I3743" s="322" t="s">
        <v>1382</v>
      </c>
      <c r="J3743" s="418"/>
      <c r="K3743" s="248"/>
      <c r="M3743" s="366"/>
    </row>
    <row r="3744" spans="1:13" x14ac:dyDescent="0.25">
      <c r="A3744" s="308">
        <v>45707</v>
      </c>
      <c r="B3744" s="416">
        <v>418525</v>
      </c>
      <c r="C3744" s="413" t="str">
        <f>IFERROR(INDEX(Table14[],MATCH($B3744,Table14[SAPNo],0),3),"")</f>
        <v>Drop In 1308 CT31   (B)</v>
      </c>
      <c r="D3744" s="420" t="s">
        <v>12</v>
      </c>
      <c r="E3744" s="421">
        <v>3</v>
      </c>
      <c r="F3744" s="580"/>
      <c r="G3744" s="417" t="s">
        <v>2632</v>
      </c>
      <c r="H3744" s="598">
        <v>13433561</v>
      </c>
      <c r="I3744" s="322" t="s">
        <v>1382</v>
      </c>
      <c r="J3744" s="418"/>
      <c r="K3744" s="248"/>
      <c r="M3744" s="366"/>
    </row>
    <row r="3745" spans="1:13" x14ac:dyDescent="0.25">
      <c r="A3745" s="308">
        <v>45707</v>
      </c>
      <c r="B3745" s="416">
        <v>729689</v>
      </c>
      <c r="C3745" s="413" t="str">
        <f>IFERROR(INDEX(Table14[],MATCH($B3745,Table14[SAPNo],0),3),"")</f>
        <v>Round 1313 CT82  0.018" (S)</v>
      </c>
      <c r="D3745" s="420" t="s">
        <v>12</v>
      </c>
      <c r="E3745" s="421">
        <v>2</v>
      </c>
      <c r="F3745" s="580"/>
      <c r="G3745" s="417" t="s">
        <v>2632</v>
      </c>
      <c r="H3745" s="598">
        <v>13433561</v>
      </c>
      <c r="I3745" s="322" t="s">
        <v>1382</v>
      </c>
      <c r="J3745" s="418"/>
      <c r="K3745" s="248"/>
      <c r="M3745" s="366"/>
    </row>
    <row r="3746" spans="1:13" x14ac:dyDescent="0.25">
      <c r="A3746" s="308">
        <v>45707</v>
      </c>
      <c r="B3746" s="416">
        <v>1130196</v>
      </c>
      <c r="C3746" s="413" t="str">
        <f>IFERROR(INDEX(Table14[],MATCH($B3746,Table14[SAPNo],0),3),"")</f>
        <v>Round 1313 CT182  0.018" (S)</v>
      </c>
      <c r="D3746" s="420" t="s">
        <v>1072</v>
      </c>
      <c r="E3746" s="421">
        <v>1</v>
      </c>
      <c r="F3746" s="580"/>
      <c r="G3746" s="417" t="s">
        <v>2632</v>
      </c>
      <c r="H3746" s="598">
        <v>13433561</v>
      </c>
      <c r="I3746" s="322" t="s">
        <v>1382</v>
      </c>
      <c r="J3746" s="418"/>
      <c r="K3746" s="248"/>
      <c r="M3746" s="366"/>
    </row>
    <row r="3747" spans="1:13" x14ac:dyDescent="0.25">
      <c r="A3747" s="308">
        <v>45707</v>
      </c>
      <c r="B3747" s="416">
        <v>1039036</v>
      </c>
      <c r="C3747" s="413" t="str">
        <f>IFERROR(INDEX(Table14[],MATCH($B3747,Table14[SAPNo],0),3),"")</f>
        <v>Round 1313 CT138  0.018" (S)</v>
      </c>
      <c r="D3747" s="420" t="s">
        <v>1072</v>
      </c>
      <c r="E3747" s="421">
        <v>2</v>
      </c>
      <c r="F3747" s="580"/>
      <c r="G3747" s="417" t="s">
        <v>2632</v>
      </c>
      <c r="H3747" s="598">
        <v>13433561</v>
      </c>
      <c r="I3747" s="322" t="s">
        <v>1382</v>
      </c>
      <c r="J3747" s="418"/>
      <c r="K3747" s="248"/>
      <c r="M3747" s="366"/>
    </row>
    <row r="3748" spans="1:13" x14ac:dyDescent="0.25">
      <c r="A3748" s="308">
        <v>45707</v>
      </c>
      <c r="B3748" s="416">
        <v>418525</v>
      </c>
      <c r="C3748" s="413" t="str">
        <f>IFERROR(INDEX(Table14[],MATCH($B3748,Table14[SAPNo],0),3),"")</f>
        <v>Drop In 1308 CT31   (B)</v>
      </c>
      <c r="D3748" s="420" t="s">
        <v>12</v>
      </c>
      <c r="E3748" s="421">
        <v>3</v>
      </c>
      <c r="F3748" s="580"/>
      <c r="G3748" s="417" t="s">
        <v>2633</v>
      </c>
      <c r="H3748" s="598">
        <v>13461224</v>
      </c>
      <c r="I3748" s="322" t="s">
        <v>1382</v>
      </c>
      <c r="J3748" s="418"/>
      <c r="K3748" s="248"/>
      <c r="M3748" s="366"/>
    </row>
    <row r="3749" spans="1:13" x14ac:dyDescent="0.25">
      <c r="A3749" s="308">
        <v>45707</v>
      </c>
      <c r="B3749" s="416">
        <v>745576</v>
      </c>
      <c r="C3749" s="413" t="str">
        <f>IFERROR(INDEX(Table14[],MATCH($B3749,Table14[SAPNo],0),3),"")</f>
        <v>Round 1913 CT82  0.018" (S)</v>
      </c>
      <c r="D3749" s="420" t="s">
        <v>8</v>
      </c>
      <c r="E3749" s="421">
        <v>0</v>
      </c>
      <c r="F3749" s="580"/>
      <c r="G3749" s="417" t="s">
        <v>2633</v>
      </c>
      <c r="H3749" s="598">
        <v>13461224</v>
      </c>
      <c r="I3749" s="322" t="s">
        <v>1382</v>
      </c>
      <c r="J3749" s="418"/>
      <c r="K3749" s="248" t="s">
        <v>2634</v>
      </c>
      <c r="M3749" s="366"/>
    </row>
    <row r="3750" spans="1:13" x14ac:dyDescent="0.25">
      <c r="A3750" s="308">
        <v>45707</v>
      </c>
      <c r="B3750" s="416">
        <v>1039036</v>
      </c>
      <c r="C3750" s="413" t="str">
        <f>IFERROR(INDEX(Table14[],MATCH($B3750,Table14[SAPNo],0),3),"")</f>
        <v>Round 1313 CT138  0.018" (S)</v>
      </c>
      <c r="D3750" s="420" t="s">
        <v>1072</v>
      </c>
      <c r="E3750" s="421">
        <v>11</v>
      </c>
      <c r="F3750" s="580"/>
      <c r="G3750" s="417" t="s">
        <v>2633</v>
      </c>
      <c r="H3750" s="598">
        <v>13461224</v>
      </c>
      <c r="I3750" s="322" t="s">
        <v>1382</v>
      </c>
      <c r="J3750" s="418"/>
      <c r="K3750" s="248"/>
      <c r="M3750" s="366"/>
    </row>
    <row r="3751" spans="1:13" x14ac:dyDescent="0.25">
      <c r="A3751" s="308">
        <v>45714</v>
      </c>
      <c r="B3751" s="416">
        <v>1271790</v>
      </c>
      <c r="C3751" s="413" t="str">
        <f>IFERROR(INDEX(Table14[],MATCH($B3751,Table14[SAPNo],0),3),"")</f>
        <v xml:space="preserve">1613 CT170 18-60 </v>
      </c>
      <c r="D3751" s="420" t="s">
        <v>12</v>
      </c>
      <c r="E3751" s="421">
        <v>1</v>
      </c>
      <c r="F3751" s="580"/>
      <c r="G3751" s="417" t="s">
        <v>2649</v>
      </c>
      <c r="H3751" s="598" t="s">
        <v>2650</v>
      </c>
      <c r="I3751" s="322" t="s">
        <v>2179</v>
      </c>
      <c r="J3751" s="418"/>
      <c r="K3751" s="248"/>
      <c r="M3751" s="366"/>
    </row>
    <row r="3752" spans="1:13" x14ac:dyDescent="0.25">
      <c r="A3752" s="308">
        <v>45714</v>
      </c>
      <c r="B3752" s="416">
        <v>418525</v>
      </c>
      <c r="C3752" s="413" t="str">
        <f>IFERROR(INDEX(Table14[],MATCH($B3752,Table14[SAPNo],0),3),"")</f>
        <v>Drop In 1308 CT31   (B)</v>
      </c>
      <c r="D3752" s="420" t="s">
        <v>12</v>
      </c>
      <c r="E3752" s="421">
        <v>6</v>
      </c>
      <c r="F3752" s="580"/>
      <c r="G3752" s="417" t="s">
        <v>2649</v>
      </c>
      <c r="H3752" s="598" t="s">
        <v>2650</v>
      </c>
      <c r="I3752" s="322" t="s">
        <v>2179</v>
      </c>
      <c r="J3752" s="418"/>
      <c r="K3752" s="248"/>
      <c r="M3752" s="366"/>
    </row>
    <row r="3753" spans="1:13" x14ac:dyDescent="0.25">
      <c r="A3753" s="308">
        <v>45718</v>
      </c>
      <c r="B3753" s="416">
        <v>1208601</v>
      </c>
      <c r="C3753" s="413" t="str">
        <f>IFERROR(INDEX(Table14[],MATCH($B3753,Table14[SAPNo],0),3),"")</f>
        <v>1613 CT418 U-60</v>
      </c>
      <c r="D3753" s="420" t="s">
        <v>12</v>
      </c>
      <c r="E3753" s="421">
        <v>1</v>
      </c>
      <c r="F3753" s="580"/>
      <c r="G3753" s="417" t="s">
        <v>2649</v>
      </c>
      <c r="H3753" s="598" t="s">
        <v>2650</v>
      </c>
      <c r="I3753" s="322" t="s">
        <v>2179</v>
      </c>
      <c r="J3753" s="418"/>
      <c r="K3753" s="248"/>
      <c r="M3753" s="366"/>
    </row>
    <row r="3754" spans="1:13" x14ac:dyDescent="0.25">
      <c r="A3754" s="308">
        <v>45714</v>
      </c>
      <c r="B3754" s="416">
        <v>1208601</v>
      </c>
      <c r="C3754" s="413" t="str">
        <f>IFERROR(INDEX(Table14[],MATCH($B3754,Table14[SAPNo],0),3),"")</f>
        <v>1613 CT418 U-60</v>
      </c>
      <c r="D3754" s="420" t="s">
        <v>12</v>
      </c>
      <c r="E3754" s="421">
        <v>1</v>
      </c>
      <c r="F3754" s="580"/>
      <c r="G3754" s="417" t="s">
        <v>2651</v>
      </c>
      <c r="H3754" s="598" t="s">
        <v>2514</v>
      </c>
      <c r="I3754" s="322" t="s">
        <v>2514</v>
      </c>
      <c r="J3754" s="418"/>
      <c r="K3754" s="248"/>
      <c r="M3754" s="366"/>
    </row>
    <row r="3755" spans="1:13" x14ac:dyDescent="0.25">
      <c r="A3755" s="308">
        <v>45708</v>
      </c>
      <c r="B3755" s="416">
        <v>1130197</v>
      </c>
      <c r="C3755" s="413" t="str">
        <f>IFERROR(INDEX(Table14[],MATCH($B3755,Table14[SAPNo],0),3),"")</f>
        <v>Round 1608 CT182  0.018" (S)</v>
      </c>
      <c r="D3755" s="420" t="s">
        <v>12</v>
      </c>
      <c r="E3755" s="421">
        <v>9</v>
      </c>
      <c r="F3755" s="580"/>
      <c r="G3755" s="417" t="s">
        <v>2636</v>
      </c>
      <c r="H3755" s="598" t="s">
        <v>2637</v>
      </c>
      <c r="I3755" s="322" t="s">
        <v>2240</v>
      </c>
      <c r="J3755" s="418"/>
      <c r="K3755" s="248"/>
      <c r="M3755" s="366"/>
    </row>
    <row r="3756" spans="1:13" x14ac:dyDescent="0.25">
      <c r="A3756" s="308">
        <v>45708</v>
      </c>
      <c r="B3756" s="416">
        <v>418525</v>
      </c>
      <c r="C3756" s="413" t="str">
        <f>IFERROR(INDEX(Table14[],MATCH($B3756,Table14[SAPNo],0),3),"")</f>
        <v>Drop In 1308 CT31   (B)</v>
      </c>
      <c r="D3756" s="420" t="s">
        <v>12</v>
      </c>
      <c r="E3756" s="421">
        <v>12</v>
      </c>
      <c r="F3756" s="580"/>
      <c r="G3756" s="417" t="s">
        <v>2636</v>
      </c>
      <c r="H3756" s="598" t="s">
        <v>2637</v>
      </c>
      <c r="I3756" s="322" t="s">
        <v>2240</v>
      </c>
      <c r="J3756" s="418"/>
      <c r="K3756" s="248"/>
      <c r="M3756" s="366"/>
    </row>
    <row r="3757" spans="1:13" x14ac:dyDescent="0.25">
      <c r="A3757" s="308">
        <v>45708</v>
      </c>
      <c r="B3757" s="416">
        <v>1130198</v>
      </c>
      <c r="C3757" s="413" t="str">
        <f>IFERROR(INDEX(Table14[],MATCH($B3757,Table14[SAPNo],0),3),"")</f>
        <v>Round 1613 CT182  0.018" (S)</v>
      </c>
      <c r="D3757" s="420" t="s">
        <v>1072</v>
      </c>
      <c r="E3757" s="421">
        <v>19</v>
      </c>
      <c r="F3757" s="580"/>
      <c r="G3757" s="417" t="s">
        <v>2636</v>
      </c>
      <c r="H3757" s="598" t="s">
        <v>2637</v>
      </c>
      <c r="I3757" s="322" t="s">
        <v>2240</v>
      </c>
      <c r="J3757" s="418"/>
      <c r="K3757" s="248"/>
      <c r="M3757" s="366"/>
    </row>
    <row r="3758" spans="1:13" x14ac:dyDescent="0.25">
      <c r="A3758" s="308">
        <v>45708</v>
      </c>
      <c r="B3758" s="416">
        <v>1100696</v>
      </c>
      <c r="C3758" s="413" t="str">
        <f>IFERROR(INDEX(Table14[],MATCH($B3758,Table14[SAPNo],0),3),"")</f>
        <v>Round 1313 CT418  10C (S)</v>
      </c>
      <c r="D3758" s="420" t="s">
        <v>12</v>
      </c>
      <c r="E3758" s="421">
        <v>1</v>
      </c>
      <c r="F3758" s="580"/>
      <c r="G3758" s="417" t="s">
        <v>2617</v>
      </c>
      <c r="H3758" s="598" t="s">
        <v>2618</v>
      </c>
      <c r="I3758" s="322" t="s">
        <v>2619</v>
      </c>
      <c r="J3758" s="418"/>
      <c r="K3758" s="248"/>
      <c r="M3758" s="366"/>
    </row>
    <row r="3759" spans="1:13" x14ac:dyDescent="0.25">
      <c r="A3759" s="308">
        <v>45708</v>
      </c>
      <c r="B3759" s="416">
        <v>871781</v>
      </c>
      <c r="C3759" s="413" t="str">
        <f>IFERROR(INDEX(Table14[],MATCH($B3759,Table14[SAPNo],0),3),"")</f>
        <v>Round 1313 CT200  0.018" (B)</v>
      </c>
      <c r="D3759" s="420" t="s">
        <v>12</v>
      </c>
      <c r="E3759" s="421">
        <v>1</v>
      </c>
      <c r="F3759" s="580"/>
      <c r="G3759" s="417" t="s">
        <v>2632</v>
      </c>
      <c r="H3759" s="598">
        <v>13433561</v>
      </c>
      <c r="I3759" s="322" t="s">
        <v>1382</v>
      </c>
      <c r="J3759" s="418"/>
      <c r="K3759" s="248"/>
      <c r="M3759" s="366"/>
    </row>
    <row r="3760" spans="1:13" x14ac:dyDescent="0.25">
      <c r="A3760" s="308">
        <v>45708</v>
      </c>
      <c r="B3760" s="416">
        <v>1130198</v>
      </c>
      <c r="C3760" s="413" t="str">
        <f>IFERROR(INDEX(Table14[],MATCH($B3760,Table14[SAPNo],0),3),"")</f>
        <v>Round 1613 CT182  0.018" (S)</v>
      </c>
      <c r="D3760" s="420" t="s">
        <v>1072</v>
      </c>
      <c r="E3760" s="421">
        <v>1</v>
      </c>
      <c r="F3760" s="580"/>
      <c r="G3760" s="417" t="s">
        <v>2623</v>
      </c>
      <c r="H3760" s="598">
        <v>13460770</v>
      </c>
      <c r="I3760" s="322" t="s">
        <v>2622</v>
      </c>
      <c r="J3760" s="418"/>
      <c r="K3760" s="248"/>
      <c r="M3760" s="366"/>
    </row>
    <row r="3761" spans="1:13" x14ac:dyDescent="0.25">
      <c r="A3761" s="308">
        <v>45708</v>
      </c>
      <c r="B3761" s="416">
        <v>418525</v>
      </c>
      <c r="C3761" s="413" t="str">
        <f>IFERROR(INDEX(Table14[],MATCH($B3761,Table14[SAPNo],0),3),"")</f>
        <v>Drop In 1308 CT31   (B)</v>
      </c>
      <c r="D3761" s="420" t="s">
        <v>12</v>
      </c>
      <c r="E3761" s="421">
        <v>2</v>
      </c>
      <c r="F3761" s="580"/>
      <c r="G3761" s="417" t="s">
        <v>2638</v>
      </c>
      <c r="H3761" s="598">
        <v>13593140</v>
      </c>
      <c r="I3761" s="322" t="s">
        <v>2639</v>
      </c>
      <c r="J3761" s="418"/>
      <c r="K3761" s="248"/>
      <c r="M3761" s="366"/>
    </row>
    <row r="3762" spans="1:13" x14ac:dyDescent="0.25">
      <c r="A3762" s="308">
        <v>45708</v>
      </c>
      <c r="B3762" s="416">
        <v>647435</v>
      </c>
      <c r="C3762" s="413" t="str">
        <f>IFERROR(INDEX(Table14[],MATCH($B3762,Table14[SAPNo],0),3),"")</f>
        <v>Round 1608 CT200  0.018" (B)</v>
      </c>
      <c r="D3762" s="420" t="s">
        <v>12</v>
      </c>
      <c r="E3762" s="421">
        <v>1</v>
      </c>
      <c r="F3762" s="580"/>
      <c r="G3762" s="417" t="s">
        <v>2638</v>
      </c>
      <c r="H3762" s="598">
        <v>13593140</v>
      </c>
      <c r="I3762" s="322" t="s">
        <v>2639</v>
      </c>
      <c r="J3762" s="418"/>
      <c r="K3762" s="248"/>
      <c r="M3762" s="366"/>
    </row>
    <row r="3763" spans="1:13" x14ac:dyDescent="0.25">
      <c r="A3763" s="320">
        <v>45708</v>
      </c>
      <c r="B3763" s="419">
        <v>1130198</v>
      </c>
      <c r="C3763" s="413" t="str">
        <f>IFERROR(INDEX(Table14[],MATCH($B3763,Table14[SAPNo],0),3),"")</f>
        <v>Round 1613 CT182  0.018" (S)</v>
      </c>
      <c r="D3763" s="420" t="s">
        <v>1072</v>
      </c>
      <c r="E3763" s="421">
        <v>7</v>
      </c>
      <c r="F3763" s="580"/>
      <c r="G3763" s="420" t="s">
        <v>2638</v>
      </c>
      <c r="H3763" s="599">
        <v>13593140</v>
      </c>
      <c r="I3763" s="322" t="s">
        <v>2639</v>
      </c>
      <c r="J3763" s="421"/>
      <c r="K3763" s="422"/>
      <c r="M3763" s="366"/>
    </row>
    <row r="3764" spans="1:13" x14ac:dyDescent="0.25">
      <c r="A3764" s="308">
        <v>45708</v>
      </c>
      <c r="B3764" s="416">
        <v>1100696</v>
      </c>
      <c r="C3764" s="413" t="str">
        <f>IFERROR(INDEX(Table14[],MATCH($B3764,Table14[SAPNo],0),3),"")</f>
        <v>Round 1313 CT418  10C (S)</v>
      </c>
      <c r="D3764" s="420" t="s">
        <v>12</v>
      </c>
      <c r="E3764" s="421"/>
      <c r="F3764" s="421">
        <v>5</v>
      </c>
      <c r="G3764" s="417" t="s">
        <v>2270</v>
      </c>
      <c r="H3764" s="598">
        <v>14247165</v>
      </c>
      <c r="I3764" s="322" t="s">
        <v>2640</v>
      </c>
      <c r="J3764" s="418"/>
      <c r="K3764" s="248"/>
      <c r="M3764" s="422"/>
    </row>
    <row r="3765" spans="1:13" x14ac:dyDescent="0.25">
      <c r="A3765" s="308">
        <v>45708</v>
      </c>
      <c r="B3765" s="416">
        <v>1101509</v>
      </c>
      <c r="C3765" s="413" t="str">
        <f>IFERROR(INDEX(Table14[],MATCH($B3765,Table14[SAPNo],0),3),"")</f>
        <v>Short IA 8    (C)</v>
      </c>
      <c r="D3765" s="420" t="s">
        <v>12</v>
      </c>
      <c r="E3765" s="421"/>
      <c r="F3765" s="580">
        <v>5</v>
      </c>
      <c r="G3765" s="417" t="s">
        <v>2270</v>
      </c>
      <c r="H3765" s="598">
        <v>14247165</v>
      </c>
      <c r="I3765" s="322" t="s">
        <v>2640</v>
      </c>
      <c r="J3765" s="418"/>
      <c r="K3765" s="248"/>
      <c r="M3765" s="366"/>
    </row>
    <row r="3766" spans="1:13" x14ac:dyDescent="0.25">
      <c r="A3766" s="308">
        <v>45708</v>
      </c>
      <c r="B3766" s="416">
        <v>1104083</v>
      </c>
      <c r="C3766" s="413" t="str">
        <f>IFERROR(INDEX(Table14[],MATCH($B3766,Table14[SAPNo],0),3),"")</f>
        <v>1313 CT144H  10C (S)</v>
      </c>
      <c r="D3766" s="420" t="s">
        <v>12</v>
      </c>
      <c r="E3766" s="421"/>
      <c r="F3766" s="580">
        <v>1</v>
      </c>
      <c r="G3766" s="417" t="s">
        <v>2270</v>
      </c>
      <c r="H3766" s="598">
        <v>14247165</v>
      </c>
      <c r="I3766" s="322" t="s">
        <v>2640</v>
      </c>
      <c r="J3766" s="418"/>
      <c r="K3766" s="248"/>
      <c r="M3766" s="366"/>
    </row>
    <row r="3767" spans="1:13" x14ac:dyDescent="0.25">
      <c r="A3767" s="308">
        <v>45708</v>
      </c>
      <c r="B3767" s="416">
        <v>1136984</v>
      </c>
      <c r="C3767" s="413" t="str">
        <f>IFERROR(INDEX(Table14[],MATCH($B3767,Table14[SAPNo],0),3),"")</f>
        <v>DBLMCHT 1313 CT182DM  10C (S)</v>
      </c>
      <c r="D3767" s="420" t="s">
        <v>1072</v>
      </c>
      <c r="E3767" s="421"/>
      <c r="F3767" s="580">
        <v>13</v>
      </c>
      <c r="G3767" s="417" t="s">
        <v>2270</v>
      </c>
      <c r="H3767" s="598">
        <v>14247165</v>
      </c>
      <c r="I3767" s="322" t="s">
        <v>2640</v>
      </c>
      <c r="J3767" s="418"/>
      <c r="K3767" s="248"/>
      <c r="M3767" s="366"/>
    </row>
    <row r="3768" spans="1:13" x14ac:dyDescent="0.25">
      <c r="A3768" s="308">
        <v>45708</v>
      </c>
      <c r="B3768" s="416">
        <v>1136984</v>
      </c>
      <c r="C3768" s="413" t="str">
        <f>IFERROR(INDEX(Table14[],MATCH($B3768,Table14[SAPNo],0),3),"")</f>
        <v>DBLMCHT 1313 CT182DM  10C (S)</v>
      </c>
      <c r="D3768" s="420" t="s">
        <v>12</v>
      </c>
      <c r="E3768" s="421"/>
      <c r="F3768" s="580">
        <v>1</v>
      </c>
      <c r="G3768" s="417" t="s">
        <v>2513</v>
      </c>
      <c r="H3768" s="598"/>
      <c r="I3768" s="322"/>
      <c r="J3768" s="418" t="s">
        <v>979</v>
      </c>
      <c r="K3768" s="248"/>
      <c r="M3768" s="366"/>
    </row>
    <row r="3769" spans="1:13" x14ac:dyDescent="0.25">
      <c r="A3769" s="308">
        <v>45708</v>
      </c>
      <c r="B3769" s="416">
        <v>1146346</v>
      </c>
      <c r="C3769" s="413" t="str">
        <f>IFERROR(INDEX(Table14[],MATCH($B3769,Table14[SAPNo],0),3),"")</f>
        <v>1313 CT418 18-60</v>
      </c>
      <c r="D3769" s="420" t="s">
        <v>12</v>
      </c>
      <c r="E3769" s="421"/>
      <c r="F3769" s="580">
        <v>5</v>
      </c>
      <c r="G3769" s="417" t="s">
        <v>2270</v>
      </c>
      <c r="H3769" s="598">
        <v>14247165</v>
      </c>
      <c r="I3769" s="322" t="s">
        <v>2640</v>
      </c>
      <c r="J3769" s="418"/>
      <c r="K3769" s="248"/>
      <c r="M3769" s="366"/>
    </row>
    <row r="3770" spans="1:13" x14ac:dyDescent="0.25">
      <c r="A3770" s="308">
        <v>45708</v>
      </c>
      <c r="B3770" s="416">
        <v>1228501</v>
      </c>
      <c r="C3770" s="413" t="str">
        <f>IFERROR(INDEX(Table14[],MATCH($B3770,Table14[SAPNo],0),3),"")</f>
        <v>1618 CT182 U-60 stator</v>
      </c>
      <c r="D3770" s="420" t="s">
        <v>12</v>
      </c>
      <c r="E3770" s="421"/>
      <c r="F3770" s="580">
        <v>10</v>
      </c>
      <c r="G3770" s="417" t="s">
        <v>1608</v>
      </c>
      <c r="H3770" s="598">
        <v>14127557</v>
      </c>
      <c r="I3770" s="322" t="s">
        <v>1275</v>
      </c>
      <c r="J3770" s="418"/>
      <c r="K3770" s="248"/>
      <c r="M3770" s="366"/>
    </row>
    <row r="3771" spans="1:13" x14ac:dyDescent="0.25">
      <c r="A3771" s="308">
        <v>45708</v>
      </c>
      <c r="B3771" s="416">
        <v>1261319</v>
      </c>
      <c r="C3771" s="413" t="str">
        <f>IFERROR(INDEX(Table14[],MATCH($B3771,Table14[SAPNo],0),3),"")</f>
        <v>1308 CT155 U-60</v>
      </c>
      <c r="D3771" s="420" t="s">
        <v>12</v>
      </c>
      <c r="E3771" s="421"/>
      <c r="F3771" s="580">
        <v>23</v>
      </c>
      <c r="G3771" s="417" t="s">
        <v>1608</v>
      </c>
      <c r="H3771" s="598">
        <v>14127557</v>
      </c>
      <c r="I3771" s="322" t="s">
        <v>1275</v>
      </c>
      <c r="J3771" s="418"/>
      <c r="K3771" s="248"/>
      <c r="M3771" s="366"/>
    </row>
    <row r="3772" spans="1:13" x14ac:dyDescent="0.25">
      <c r="A3772" s="308">
        <v>45708</v>
      </c>
      <c r="B3772" s="416">
        <v>1261321</v>
      </c>
      <c r="C3772" s="413" t="str">
        <f>IFERROR(INDEX(Table14[],MATCH($B3772,Table14[SAPNo],0),3),"")</f>
        <v>1613 CT155 U-60</v>
      </c>
      <c r="D3772" s="420" t="s">
        <v>12</v>
      </c>
      <c r="E3772" s="421"/>
      <c r="F3772" s="580">
        <v>4</v>
      </c>
      <c r="G3772" s="417" t="s">
        <v>1608</v>
      </c>
      <c r="H3772" s="598">
        <v>14127557</v>
      </c>
      <c r="I3772" s="322" t="s">
        <v>1275</v>
      </c>
      <c r="J3772" s="418"/>
      <c r="K3772" s="248"/>
      <c r="M3772" s="366"/>
    </row>
    <row r="3773" spans="1:13" x14ac:dyDescent="0.25">
      <c r="A3773" s="308">
        <v>45708</v>
      </c>
      <c r="B3773" s="416">
        <v>2002299</v>
      </c>
      <c r="C3773" s="413" t="str">
        <f>IFERROR(INDEX(Table14[],MATCH($B3773,Table14[SAPNo],0),3),"")</f>
        <v>1613 CT187 U-60</v>
      </c>
      <c r="D3773" s="420" t="s">
        <v>12</v>
      </c>
      <c r="E3773" s="421"/>
      <c r="F3773" s="580">
        <v>45</v>
      </c>
      <c r="G3773" s="417" t="s">
        <v>2513</v>
      </c>
      <c r="H3773" s="598"/>
      <c r="I3773" s="322"/>
      <c r="J3773" s="418" t="s">
        <v>979</v>
      </c>
      <c r="K3773" s="248"/>
      <c r="M3773" s="366"/>
    </row>
    <row r="3774" spans="1:13" x14ac:dyDescent="0.25">
      <c r="A3774" s="308">
        <v>45708</v>
      </c>
      <c r="B3774" s="416">
        <v>418525</v>
      </c>
      <c r="C3774" s="413" t="str">
        <f>IFERROR(INDEX(Table14[],MATCH($B3774,Table14[SAPNo],0),3),"")</f>
        <v>Drop In 1308 CT31   (B)</v>
      </c>
      <c r="D3774" s="420" t="s">
        <v>12</v>
      </c>
      <c r="E3774" s="421"/>
      <c r="F3774" s="580">
        <v>6</v>
      </c>
      <c r="G3774" s="417" t="s">
        <v>2270</v>
      </c>
      <c r="H3774" s="598">
        <v>14247165</v>
      </c>
      <c r="I3774" s="322" t="s">
        <v>2640</v>
      </c>
      <c r="J3774" s="418"/>
      <c r="K3774" s="248"/>
      <c r="M3774" s="366"/>
    </row>
    <row r="3775" spans="1:13" x14ac:dyDescent="0.25">
      <c r="A3775" s="320">
        <v>45708</v>
      </c>
      <c r="B3775" s="419">
        <v>871781</v>
      </c>
      <c r="C3775" s="413" t="str">
        <f>IFERROR(INDEX(Table14[],MATCH($B3775,Table14[SAPNo],0),3),"")</f>
        <v>Round 1313 CT200  0.018" (B)</v>
      </c>
      <c r="D3775" s="420" t="s">
        <v>12</v>
      </c>
      <c r="E3775" s="421"/>
      <c r="F3775" s="580">
        <v>6</v>
      </c>
      <c r="G3775" s="420" t="s">
        <v>1608</v>
      </c>
      <c r="H3775" s="599">
        <v>14127557</v>
      </c>
      <c r="I3775" s="322" t="s">
        <v>1275</v>
      </c>
      <c r="J3775" s="421"/>
      <c r="K3775" s="422"/>
      <c r="M3775" s="366"/>
    </row>
    <row r="3776" spans="1:13" x14ac:dyDescent="0.25">
      <c r="A3776" s="308">
        <v>45712</v>
      </c>
      <c r="B3776" s="416">
        <v>1100696</v>
      </c>
      <c r="C3776" s="413" t="str">
        <f>IFERROR(INDEX(Table14[],MATCH($B3776,Table14[SAPNo],0),3),"")</f>
        <v>Round 1313 CT418  10C (S)</v>
      </c>
      <c r="D3776" s="420" t="s">
        <v>12</v>
      </c>
      <c r="E3776" s="421">
        <v>7</v>
      </c>
      <c r="F3776" s="421"/>
      <c r="G3776" s="417">
        <v>20251025</v>
      </c>
      <c r="H3776" s="598" t="s">
        <v>2641</v>
      </c>
      <c r="I3776" s="322" t="s">
        <v>1781</v>
      </c>
      <c r="J3776" s="418"/>
      <c r="K3776" s="248"/>
      <c r="M3776" s="422"/>
    </row>
    <row r="3777" spans="1:13" x14ac:dyDescent="0.25">
      <c r="A3777" s="308">
        <v>45712</v>
      </c>
      <c r="B3777" s="416">
        <v>1244299</v>
      </c>
      <c r="C3777" s="413" t="str">
        <f>IFERROR(INDEX(Table14[],MATCH($B3777,Table14[SAPNo],0),3),"")</f>
        <v>1313 CT147CV4 U</v>
      </c>
      <c r="D3777" s="420" t="s">
        <v>12</v>
      </c>
      <c r="E3777" s="421">
        <v>2</v>
      </c>
      <c r="F3777" s="580"/>
      <c r="G3777" s="417">
        <v>20251025</v>
      </c>
      <c r="H3777" s="598" t="s">
        <v>2641</v>
      </c>
      <c r="I3777" s="322" t="s">
        <v>1781</v>
      </c>
      <c r="J3777" s="418"/>
      <c r="K3777" s="248"/>
      <c r="M3777" s="366"/>
    </row>
    <row r="3778" spans="1:13" x14ac:dyDescent="0.25">
      <c r="A3778" s="308">
        <v>45712</v>
      </c>
      <c r="B3778" s="416">
        <v>1100696</v>
      </c>
      <c r="C3778" s="413" t="str">
        <f>IFERROR(INDEX(Table14[],MATCH($B3778,Table14[SAPNo],0),3),"")</f>
        <v>Round 1313 CT418  10C (S)</v>
      </c>
      <c r="D3778" s="420" t="s">
        <v>12</v>
      </c>
      <c r="E3778" s="421">
        <v>8</v>
      </c>
      <c r="F3778" s="580"/>
      <c r="G3778" s="417">
        <v>20251026</v>
      </c>
      <c r="H3778" s="598" t="s">
        <v>2642</v>
      </c>
      <c r="I3778" s="322" t="s">
        <v>2410</v>
      </c>
      <c r="J3778" s="418"/>
      <c r="K3778" s="248"/>
      <c r="M3778" s="366"/>
    </row>
    <row r="3779" spans="1:13" x14ac:dyDescent="0.25">
      <c r="A3779" s="308">
        <v>45712</v>
      </c>
      <c r="B3779" s="416">
        <v>418525</v>
      </c>
      <c r="C3779" s="413" t="str">
        <f>IFERROR(INDEX(Table14[],MATCH($B3779,Table14[SAPNo],0),3),"")</f>
        <v>Drop In 1308 CT31   (B)</v>
      </c>
      <c r="D3779" s="420" t="s">
        <v>12</v>
      </c>
      <c r="E3779" s="421">
        <v>1</v>
      </c>
      <c r="F3779" s="580"/>
      <c r="G3779" s="417">
        <v>20251026</v>
      </c>
      <c r="H3779" s="598" t="s">
        <v>2642</v>
      </c>
      <c r="I3779" s="322" t="s">
        <v>2410</v>
      </c>
      <c r="J3779" s="418"/>
      <c r="K3779" s="248"/>
      <c r="M3779" s="366"/>
    </row>
    <row r="3780" spans="1:13" x14ac:dyDescent="0.25">
      <c r="A3780" s="308">
        <v>45712</v>
      </c>
      <c r="B3780" s="416">
        <v>1050703</v>
      </c>
      <c r="C3780" s="413" t="str">
        <f>IFERROR(INDEX(Table14[],MATCH($B3780,Table14[SAPNo],0),3),"")</f>
        <v>1318 CT221 R1</v>
      </c>
      <c r="D3780" s="420" t="s">
        <v>12</v>
      </c>
      <c r="E3780" s="421">
        <v>15</v>
      </c>
      <c r="F3780" s="580"/>
      <c r="G3780" s="417" t="s">
        <v>2643</v>
      </c>
      <c r="H3780" s="598">
        <v>14254501</v>
      </c>
      <c r="I3780" s="322" t="s">
        <v>2555</v>
      </c>
      <c r="J3780" s="418"/>
      <c r="K3780" s="248"/>
      <c r="M3780" s="366"/>
    </row>
    <row r="3781" spans="1:13" x14ac:dyDescent="0.25">
      <c r="A3781" s="308">
        <v>45712</v>
      </c>
      <c r="B3781" s="416">
        <v>1146737</v>
      </c>
      <c r="C3781" s="413" t="str">
        <f>IFERROR(INDEX(Table14[],MATCH($B3781,Table14[SAPNo],0),3),"")</f>
        <v>1613 CT418 18-60</v>
      </c>
      <c r="D3781" s="420" t="s">
        <v>12</v>
      </c>
      <c r="E3781" s="421">
        <v>6</v>
      </c>
      <c r="F3781" s="580"/>
      <c r="G3781" s="417" t="s">
        <v>2643</v>
      </c>
      <c r="H3781" s="598">
        <v>14254501</v>
      </c>
      <c r="I3781" s="322" t="s">
        <v>2555</v>
      </c>
      <c r="J3781" s="418"/>
      <c r="K3781" s="248"/>
      <c r="M3781" s="366"/>
    </row>
    <row r="3782" spans="1:13" x14ac:dyDescent="0.25">
      <c r="A3782" s="308">
        <v>45712</v>
      </c>
      <c r="B3782" s="416">
        <v>1208601</v>
      </c>
      <c r="C3782" s="413" t="str">
        <f>IFERROR(INDEX(Table14[],MATCH($B3782,Table14[SAPNo],0),3),"")</f>
        <v>1613 CT418 U-60</v>
      </c>
      <c r="D3782" s="420" t="s">
        <v>12</v>
      </c>
      <c r="E3782" s="421">
        <v>8</v>
      </c>
      <c r="F3782" s="580"/>
      <c r="G3782" s="417" t="s">
        <v>2643</v>
      </c>
      <c r="H3782" s="598">
        <v>14254501</v>
      </c>
      <c r="I3782" s="322" t="s">
        <v>2555</v>
      </c>
      <c r="J3782" s="418"/>
      <c r="K3782" s="248"/>
      <c r="M3782" s="366"/>
    </row>
    <row r="3783" spans="1:13" x14ac:dyDescent="0.25">
      <c r="A3783" s="308">
        <v>45712</v>
      </c>
      <c r="B3783" s="416">
        <v>1271790</v>
      </c>
      <c r="C3783" s="413" t="str">
        <f>IFERROR(INDEX(Table14[],MATCH($B3783,Table14[SAPNo],0),3),"")</f>
        <v xml:space="preserve">1613 CT170 18-60 </v>
      </c>
      <c r="D3783" s="420" t="s">
        <v>12</v>
      </c>
      <c r="E3783" s="421">
        <v>17</v>
      </c>
      <c r="F3783" s="580"/>
      <c r="G3783" s="417" t="s">
        <v>2643</v>
      </c>
      <c r="H3783" s="598">
        <v>14254501</v>
      </c>
      <c r="I3783" s="322" t="s">
        <v>2555</v>
      </c>
      <c r="J3783" s="418"/>
      <c r="K3783" s="248"/>
      <c r="M3783" s="366"/>
    </row>
    <row r="3784" spans="1:13" x14ac:dyDescent="0.25">
      <c r="A3784" s="308">
        <v>45712</v>
      </c>
      <c r="B3784" s="416">
        <v>418525</v>
      </c>
      <c r="C3784" s="413" t="str">
        <f>IFERROR(INDEX(Table14[],MATCH($B3784,Table14[SAPNo],0),3),"")</f>
        <v>Drop In 1308 CT31   (B)</v>
      </c>
      <c r="D3784" s="420" t="s">
        <v>12</v>
      </c>
      <c r="E3784" s="421">
        <v>6</v>
      </c>
      <c r="F3784" s="580"/>
      <c r="G3784" s="417" t="s">
        <v>2643</v>
      </c>
      <c r="H3784" s="598">
        <v>14254501</v>
      </c>
      <c r="I3784" s="322" t="s">
        <v>2555</v>
      </c>
      <c r="J3784" s="418"/>
      <c r="K3784" s="248"/>
      <c r="M3784" s="366"/>
    </row>
    <row r="3785" spans="1:13" x14ac:dyDescent="0.25">
      <c r="A3785" s="308">
        <v>45707</v>
      </c>
      <c r="B3785" s="416">
        <v>1146737</v>
      </c>
      <c r="C3785" s="413" t="str">
        <f>IFERROR(INDEX(Table14[],MATCH($B3785,Table14[SAPNo],0),3),"")</f>
        <v>1613 CT418 18-60</v>
      </c>
      <c r="D3785" s="420" t="s">
        <v>12</v>
      </c>
      <c r="E3785" s="421">
        <v>2</v>
      </c>
      <c r="F3785" s="580"/>
      <c r="G3785" s="417" t="s">
        <v>2635</v>
      </c>
      <c r="H3785" s="598">
        <v>14293153</v>
      </c>
      <c r="I3785" s="322" t="s">
        <v>2277</v>
      </c>
      <c r="J3785" s="418"/>
      <c r="K3785" s="248"/>
      <c r="M3785" s="366"/>
    </row>
    <row r="3786" spans="1:13" x14ac:dyDescent="0.25">
      <c r="A3786" s="308">
        <v>45712</v>
      </c>
      <c r="B3786" s="416">
        <v>717748</v>
      </c>
      <c r="C3786" s="413" t="str">
        <f>IFERROR(INDEX(Table14[],MATCH($B3786,Table14[SAPNo],0),3),"")</f>
        <v>Round 1010 CT200  0.018" (B)</v>
      </c>
      <c r="D3786" s="420" t="s">
        <v>12</v>
      </c>
      <c r="E3786" s="421">
        <v>4</v>
      </c>
      <c r="F3786" s="580"/>
      <c r="G3786" s="417" t="s">
        <v>2645</v>
      </c>
      <c r="H3786" s="598" t="s">
        <v>2646</v>
      </c>
      <c r="I3786" s="322" t="s">
        <v>1069</v>
      </c>
      <c r="J3786" s="418"/>
      <c r="K3786" s="248"/>
      <c r="M3786" s="366"/>
    </row>
    <row r="3787" spans="1:13" x14ac:dyDescent="0.25">
      <c r="A3787" s="308">
        <v>45714</v>
      </c>
      <c r="B3787" s="416">
        <v>1261319</v>
      </c>
      <c r="C3787" s="413" t="str">
        <f>IFERROR(INDEX(Table14[],MATCH($B3787,Table14[SAPNo],0),3),"")</f>
        <v>1308 CT155 U-60</v>
      </c>
      <c r="D3787" s="420" t="s">
        <v>12</v>
      </c>
      <c r="E3787" s="421">
        <v>32</v>
      </c>
      <c r="F3787" s="580"/>
      <c r="G3787" s="417" t="s">
        <v>2647</v>
      </c>
      <c r="H3787" s="598" t="s">
        <v>2514</v>
      </c>
      <c r="I3787" s="322" t="s">
        <v>2514</v>
      </c>
      <c r="J3787" s="418"/>
      <c r="K3787" s="248"/>
      <c r="M3787" s="366"/>
    </row>
    <row r="3788" spans="1:13" x14ac:dyDescent="0.25">
      <c r="A3788" s="308">
        <v>45714</v>
      </c>
      <c r="B3788" s="416">
        <v>1100696</v>
      </c>
      <c r="C3788" s="413" t="str">
        <f>IFERROR(INDEX(Table14[],MATCH($B3788,Table14[SAPNo],0),3),"")</f>
        <v>Round 1313 CT418  10C (S)</v>
      </c>
      <c r="D3788" s="420" t="s">
        <v>12</v>
      </c>
      <c r="E3788" s="421">
        <v>7</v>
      </c>
      <c r="F3788" s="580"/>
      <c r="G3788" s="417">
        <v>20251027</v>
      </c>
      <c r="H3788" s="598">
        <v>14247164</v>
      </c>
      <c r="I3788" s="322" t="s">
        <v>2648</v>
      </c>
      <c r="J3788" s="418"/>
      <c r="K3788" s="248"/>
      <c r="M3788" s="366"/>
    </row>
    <row r="3789" spans="1:13" x14ac:dyDescent="0.25">
      <c r="A3789" s="308">
        <v>45707</v>
      </c>
      <c r="B3789" s="416">
        <v>418525</v>
      </c>
      <c r="C3789" s="413" t="str">
        <f>IFERROR(INDEX(Table14[],MATCH($B3789,Table14[SAPNo],0),3),"")</f>
        <v>Drop In 1308 CT31   (B)</v>
      </c>
      <c r="D3789" s="420" t="s">
        <v>12</v>
      </c>
      <c r="E3789" s="421">
        <v>5</v>
      </c>
      <c r="F3789" s="580"/>
      <c r="G3789" s="417" t="s">
        <v>2635</v>
      </c>
      <c r="H3789" s="598">
        <v>14293153</v>
      </c>
      <c r="I3789" s="322" t="s">
        <v>2277</v>
      </c>
      <c r="J3789" s="418"/>
      <c r="K3789" s="248"/>
      <c r="M3789" s="366"/>
    </row>
    <row r="3790" spans="1:13" x14ac:dyDescent="0.25">
      <c r="A3790" s="308">
        <v>45707</v>
      </c>
      <c r="B3790" s="416">
        <v>625854</v>
      </c>
      <c r="C3790" s="413" t="str">
        <f>IFERROR(INDEX(Table14[],MATCH($B3790,Table14[SAPNo],0),3),"")</f>
        <v>Carbide IA 1318    (C)</v>
      </c>
      <c r="D3790" s="420" t="s">
        <v>12</v>
      </c>
      <c r="E3790" s="421">
        <v>6</v>
      </c>
      <c r="F3790" s="580"/>
      <c r="G3790" s="417" t="s">
        <v>2635</v>
      </c>
      <c r="H3790" s="598">
        <v>14293153</v>
      </c>
      <c r="I3790" s="322" t="s">
        <v>2277</v>
      </c>
      <c r="J3790" s="418"/>
      <c r="K3790" s="248"/>
      <c r="M3790" s="366"/>
    </row>
    <row r="3791" spans="1:13" x14ac:dyDescent="0.25">
      <c r="A3791" s="308">
        <v>45707</v>
      </c>
      <c r="B3791" s="416">
        <v>1209333</v>
      </c>
      <c r="C3791" s="413" t="str">
        <f>IFERROR(INDEX(Table14[],MATCH($B3791,Table14[SAPNo],0),3),"")</f>
        <v>1613 CT147G U</v>
      </c>
      <c r="D3791" s="420" t="s">
        <v>12</v>
      </c>
      <c r="E3791" s="421">
        <v>1</v>
      </c>
      <c r="F3791" s="580"/>
      <c r="G3791" s="417" t="s">
        <v>2635</v>
      </c>
      <c r="H3791" s="598">
        <v>14293153</v>
      </c>
      <c r="I3791" s="322" t="s">
        <v>2277</v>
      </c>
      <c r="J3791" s="418"/>
      <c r="K3791" s="248"/>
      <c r="M3791" s="366"/>
    </row>
    <row r="3792" spans="1:13" x14ac:dyDescent="0.25">
      <c r="A3792" s="308">
        <v>45712</v>
      </c>
      <c r="B3792" s="416">
        <v>1146737</v>
      </c>
      <c r="C3792" s="413" t="str">
        <f>IFERROR(INDEX(Table14[],MATCH($B3792,Table14[SAPNo],0),3),"")</f>
        <v>1613 CT418 18-60</v>
      </c>
      <c r="D3792" s="420" t="s">
        <v>12</v>
      </c>
      <c r="E3792" s="421">
        <v>1</v>
      </c>
      <c r="F3792" s="580"/>
      <c r="G3792" s="417" t="s">
        <v>2644</v>
      </c>
      <c r="H3792" s="598" t="s">
        <v>2514</v>
      </c>
      <c r="I3792" s="322" t="s">
        <v>2514</v>
      </c>
      <c r="J3792" s="418"/>
      <c r="K3792" s="248"/>
      <c r="M3792" s="366"/>
    </row>
    <row r="3793" spans="1:13" x14ac:dyDescent="0.25">
      <c r="A3793" s="308">
        <v>45714</v>
      </c>
      <c r="B3793" s="416">
        <v>418525</v>
      </c>
      <c r="C3793" s="413" t="str">
        <f>IFERROR(INDEX(Table14[],MATCH($B3793,Table14[SAPNo],0),3),"")</f>
        <v>Drop In 1308 CT31   (B)</v>
      </c>
      <c r="D3793" s="420" t="s">
        <v>12</v>
      </c>
      <c r="E3793" s="421">
        <v>2</v>
      </c>
      <c r="F3793" s="580"/>
      <c r="G3793" s="417" t="s">
        <v>2652</v>
      </c>
      <c r="H3793" s="598" t="s">
        <v>2653</v>
      </c>
      <c r="I3793" s="322" t="s">
        <v>2136</v>
      </c>
      <c r="J3793" s="418"/>
      <c r="K3793" s="248"/>
      <c r="M3793" s="366"/>
    </row>
    <row r="3794" spans="1:13" x14ac:dyDescent="0.25">
      <c r="A3794" s="308">
        <v>45714</v>
      </c>
      <c r="B3794" s="416">
        <v>1050703</v>
      </c>
      <c r="C3794" s="413" t="str">
        <f>IFERROR(INDEX(Table14[],MATCH($B3794,Table14[SAPNo],0),3),"")</f>
        <v>1318 CT221 R1</v>
      </c>
      <c r="D3794" s="420" t="s">
        <v>12</v>
      </c>
      <c r="E3794" s="421">
        <v>2</v>
      </c>
      <c r="F3794" s="580"/>
      <c r="G3794" s="417" t="s">
        <v>2652</v>
      </c>
      <c r="H3794" s="598" t="s">
        <v>2653</v>
      </c>
      <c r="I3794" s="322" t="s">
        <v>2136</v>
      </c>
      <c r="J3794" s="418"/>
      <c r="K3794" s="248"/>
      <c r="M3794" s="366"/>
    </row>
    <row r="3795" spans="1:13" x14ac:dyDescent="0.25">
      <c r="A3795" s="308">
        <v>45714</v>
      </c>
      <c r="B3795" s="416">
        <v>418525</v>
      </c>
      <c r="C3795" s="413" t="str">
        <f>IFERROR(INDEX(Table14[],MATCH($B3795,Table14[SAPNo],0),3),"")</f>
        <v>Drop In 1308 CT31   (B)</v>
      </c>
      <c r="D3795" s="420" t="s">
        <v>12</v>
      </c>
      <c r="E3795" s="421">
        <v>4</v>
      </c>
      <c r="F3795" s="580"/>
      <c r="G3795" s="417" t="s">
        <v>2654</v>
      </c>
      <c r="H3795" s="598">
        <v>14204330</v>
      </c>
      <c r="I3795" s="322" t="s">
        <v>1273</v>
      </c>
      <c r="J3795" s="418"/>
      <c r="K3795" s="248"/>
      <c r="M3795" s="366"/>
    </row>
    <row r="3796" spans="1:13" x14ac:dyDescent="0.25">
      <c r="A3796" s="308">
        <v>45715</v>
      </c>
      <c r="B3796" s="416">
        <v>418525</v>
      </c>
      <c r="C3796" s="413" t="str">
        <f>IFERROR(INDEX(Table14[],MATCH($B3796,Table14[SAPNo],0),3),"")</f>
        <v>Drop In 1308 CT31   (B)</v>
      </c>
      <c r="D3796" s="420" t="s">
        <v>12</v>
      </c>
      <c r="E3796" s="421">
        <v>2</v>
      </c>
      <c r="F3796" s="580"/>
      <c r="G3796" s="417">
        <v>20251028</v>
      </c>
      <c r="H3796" s="598" t="s">
        <v>2655</v>
      </c>
      <c r="I3796" s="322" t="s">
        <v>2441</v>
      </c>
      <c r="J3796" s="418"/>
      <c r="K3796" s="248"/>
      <c r="M3796" s="366"/>
    </row>
    <row r="3797" spans="1:13" x14ac:dyDescent="0.25">
      <c r="A3797" s="308">
        <v>45715</v>
      </c>
      <c r="B3797" s="416">
        <v>1100696</v>
      </c>
      <c r="C3797" s="413" t="str">
        <f>IFERROR(INDEX(Table14[],MATCH($B3797,Table14[SAPNo],0),3),"")</f>
        <v>Round 1313 CT418  10C (S)</v>
      </c>
      <c r="D3797" s="420" t="s">
        <v>12</v>
      </c>
      <c r="E3797" s="421">
        <v>5</v>
      </c>
      <c r="F3797" s="580"/>
      <c r="G3797" s="417">
        <v>20251028</v>
      </c>
      <c r="H3797" s="598" t="s">
        <v>2655</v>
      </c>
      <c r="I3797" s="322" t="s">
        <v>2441</v>
      </c>
      <c r="J3797" s="418"/>
      <c r="K3797" s="248"/>
      <c r="M3797" s="366"/>
    </row>
    <row r="3798" spans="1:13" x14ac:dyDescent="0.25">
      <c r="A3798" s="308">
        <v>45715</v>
      </c>
      <c r="B3798" s="416">
        <v>1100696</v>
      </c>
      <c r="C3798" s="413" t="str">
        <f>IFERROR(INDEX(Table14[],MATCH($B3798,Table14[SAPNo],0),3),"")</f>
        <v>Round 1313 CT418  10C (S)</v>
      </c>
      <c r="D3798" s="420" t="s">
        <v>12</v>
      </c>
      <c r="E3798" s="421">
        <v>4</v>
      </c>
      <c r="F3798" s="580"/>
      <c r="G3798" s="417">
        <v>20251029</v>
      </c>
      <c r="H3798" s="598" t="s">
        <v>2656</v>
      </c>
      <c r="I3798" s="322" t="s">
        <v>2449</v>
      </c>
      <c r="J3798" s="418"/>
      <c r="K3798" s="248"/>
      <c r="M3798" s="366"/>
    </row>
    <row r="3799" spans="1:13" x14ac:dyDescent="0.25">
      <c r="A3799" s="308">
        <v>45715</v>
      </c>
      <c r="B3799" s="416">
        <v>1244299</v>
      </c>
      <c r="C3799" s="413" t="str">
        <f>IFERROR(INDEX(Table14[],MATCH($B3799,Table14[SAPNo],0),3),"")</f>
        <v>1313 CT147CV4 U</v>
      </c>
      <c r="D3799" s="420" t="s">
        <v>12</v>
      </c>
      <c r="E3799" s="421">
        <v>4</v>
      </c>
      <c r="F3799" s="580"/>
      <c r="G3799" s="417">
        <v>20251029</v>
      </c>
      <c r="H3799" s="598" t="s">
        <v>2656</v>
      </c>
      <c r="I3799" s="322" t="s">
        <v>2449</v>
      </c>
      <c r="J3799" s="418"/>
      <c r="K3799" s="248"/>
      <c r="M3799" s="366"/>
    </row>
    <row r="3800" spans="1:13" x14ac:dyDescent="0.25">
      <c r="A3800" s="308">
        <v>45715</v>
      </c>
      <c r="B3800" s="416">
        <v>1100696</v>
      </c>
      <c r="C3800" s="413" t="str">
        <f>IFERROR(INDEX(Table14[],MATCH($B3800,Table14[SAPNo],0),3),"")</f>
        <v>Round 1313 CT418  10C (S)</v>
      </c>
      <c r="D3800" s="420" t="s">
        <v>12</v>
      </c>
      <c r="E3800" s="421">
        <v>1</v>
      </c>
      <c r="F3800" s="580"/>
      <c r="G3800" s="417">
        <v>20251032</v>
      </c>
      <c r="H3800" s="598" t="s">
        <v>2657</v>
      </c>
      <c r="I3800" s="322" t="s">
        <v>2590</v>
      </c>
      <c r="J3800" s="418"/>
      <c r="K3800" s="248"/>
      <c r="M3800" s="366"/>
    </row>
    <row r="3801" spans="1:13" x14ac:dyDescent="0.25">
      <c r="A3801" s="308">
        <v>45715</v>
      </c>
      <c r="B3801" s="416">
        <v>1288721</v>
      </c>
      <c r="C3801" s="413" t="str">
        <f>IFERROR(INDEX(Table14[],MATCH($B3801,Table14[SAPNo],0),3),"")</f>
        <v>1613 CT176 0.018</v>
      </c>
      <c r="D3801" s="420" t="s">
        <v>12</v>
      </c>
      <c r="E3801" s="421">
        <v>1</v>
      </c>
      <c r="F3801" s="580"/>
      <c r="G3801" s="417" t="s">
        <v>2658</v>
      </c>
      <c r="H3801" s="598">
        <v>14155385</v>
      </c>
      <c r="I3801" s="322" t="s">
        <v>2659</v>
      </c>
      <c r="J3801" s="418"/>
      <c r="K3801" s="248"/>
      <c r="M3801" s="366"/>
    </row>
    <row r="3802" spans="1:13" x14ac:dyDescent="0.25">
      <c r="A3802" s="308">
        <v>45715</v>
      </c>
      <c r="B3802" s="416">
        <v>1263823</v>
      </c>
      <c r="C3802" s="413" t="str">
        <f>IFERROR(INDEX(Table14[],MATCH($B3802,Table14[SAPNo],0),3),"")</f>
        <v>1613 CT170R U</v>
      </c>
      <c r="D3802" s="420" t="s">
        <v>12</v>
      </c>
      <c r="E3802" s="421">
        <v>1</v>
      </c>
      <c r="F3802" s="580"/>
      <c r="G3802" s="417" t="s">
        <v>2658</v>
      </c>
      <c r="H3802" s="598">
        <v>14155385</v>
      </c>
      <c r="I3802" s="322" t="s">
        <v>2659</v>
      </c>
      <c r="J3802" s="418"/>
      <c r="K3802" s="248"/>
      <c r="M3802" s="366"/>
    </row>
    <row r="3803" spans="1:13" x14ac:dyDescent="0.25">
      <c r="A3803" s="308">
        <v>45714</v>
      </c>
      <c r="B3803" s="416">
        <v>1146737</v>
      </c>
      <c r="C3803" s="413" t="str">
        <f>IFERROR(INDEX(Table14[],MATCH($B3803,Table14[SAPNo],0),3),"")</f>
        <v>1613 CT418 18-60</v>
      </c>
      <c r="D3803" s="420" t="s">
        <v>12</v>
      </c>
      <c r="E3803" s="421">
        <v>2</v>
      </c>
      <c r="F3803" s="580"/>
      <c r="G3803" s="417" t="s">
        <v>2654</v>
      </c>
      <c r="H3803" s="598">
        <v>14204330</v>
      </c>
      <c r="I3803" s="322" t="s">
        <v>1273</v>
      </c>
      <c r="J3803" s="418"/>
      <c r="K3803" s="248"/>
      <c r="M3803" s="366"/>
    </row>
    <row r="3804" spans="1:13" x14ac:dyDescent="0.25">
      <c r="A3804" s="320">
        <v>45715</v>
      </c>
      <c r="B3804" s="419">
        <v>717748</v>
      </c>
      <c r="C3804" s="413" t="str">
        <f>IFERROR(INDEX(Table14[],MATCH($B3804,Table14[SAPNo],0),3),"")</f>
        <v>Round 1010 CT200  0.018" (B)</v>
      </c>
      <c r="D3804" s="420" t="s">
        <v>12</v>
      </c>
      <c r="E3804" s="421">
        <v>4</v>
      </c>
      <c r="F3804" s="580"/>
      <c r="G3804" s="420" t="s">
        <v>2660</v>
      </c>
      <c r="H3804" s="599" t="s">
        <v>2661</v>
      </c>
      <c r="I3804" s="322" t="s">
        <v>2362</v>
      </c>
      <c r="J3804" s="421"/>
      <c r="K3804" s="422"/>
      <c r="M3804" s="366"/>
    </row>
    <row r="3805" spans="1:13" x14ac:dyDescent="0.25">
      <c r="A3805" s="308">
        <v>45719</v>
      </c>
      <c r="B3805" s="416">
        <v>1078377</v>
      </c>
      <c r="C3805" s="413" t="str">
        <f>IFERROR(INDEX(Table14[],MATCH($B3805,Table14[SAPNo],0),3),"")</f>
        <v>13MM CT221 R1</v>
      </c>
      <c r="D3805" s="420" t="s">
        <v>12</v>
      </c>
      <c r="E3805" s="421"/>
      <c r="F3805" s="421">
        <v>90</v>
      </c>
      <c r="G3805" s="417" t="s">
        <v>2513</v>
      </c>
      <c r="H3805" s="598"/>
      <c r="I3805" s="322"/>
      <c r="J3805" s="418" t="s">
        <v>990</v>
      </c>
      <c r="K3805" s="248"/>
      <c r="M3805" s="422"/>
    </row>
    <row r="3806" spans="1:13" x14ac:dyDescent="0.25">
      <c r="A3806" s="308">
        <v>45719</v>
      </c>
      <c r="B3806" s="416">
        <v>1146737</v>
      </c>
      <c r="C3806" s="413" t="str">
        <f>IFERROR(INDEX(Table14[],MATCH($B3806,Table14[SAPNo],0),3),"")</f>
        <v>1613 CT418 18-60</v>
      </c>
      <c r="D3806" s="420" t="s">
        <v>12</v>
      </c>
      <c r="E3806" s="421"/>
      <c r="F3806" s="580">
        <v>50</v>
      </c>
      <c r="G3806" s="417" t="s">
        <v>2513</v>
      </c>
      <c r="H3806" s="598"/>
      <c r="I3806" s="322"/>
      <c r="J3806" s="418" t="s">
        <v>990</v>
      </c>
      <c r="K3806" s="248"/>
      <c r="M3806" s="366"/>
    </row>
    <row r="3807" spans="1:13" x14ac:dyDescent="0.25">
      <c r="A3807" s="308">
        <v>45719</v>
      </c>
      <c r="B3807" s="416">
        <v>1200972</v>
      </c>
      <c r="C3807" s="413" t="str">
        <f>IFERROR(INDEX(Table14[],MATCH($B3807,Table14[SAPNo],0),3),"")</f>
        <v xml:space="preserve">8MM WC-MAT400 </v>
      </c>
      <c r="D3807" s="420" t="s">
        <v>12</v>
      </c>
      <c r="E3807" s="421"/>
      <c r="F3807" s="580">
        <v>25</v>
      </c>
      <c r="G3807" s="417" t="s">
        <v>2513</v>
      </c>
      <c r="H3807" s="598"/>
      <c r="I3807" s="322"/>
      <c r="J3807" s="418" t="s">
        <v>990</v>
      </c>
      <c r="K3807" s="248"/>
      <c r="M3807" s="366"/>
    </row>
    <row r="3808" spans="1:13" x14ac:dyDescent="0.25">
      <c r="A3808" s="308">
        <v>45719</v>
      </c>
      <c r="B3808" s="416">
        <v>1201518</v>
      </c>
      <c r="C3808" s="413" t="str">
        <f>IFERROR(INDEX(Table14[],MATCH($B3808,Table14[SAPNo],0),3),"")</f>
        <v>12MM WC­MAT404 NA</v>
      </c>
      <c r="D3808" s="420" t="s">
        <v>12</v>
      </c>
      <c r="E3808" s="421"/>
      <c r="F3808" s="580">
        <v>20</v>
      </c>
      <c r="G3808" s="417" t="s">
        <v>2513</v>
      </c>
      <c r="H3808" s="598"/>
      <c r="I3808" s="322"/>
      <c r="J3808" s="418" t="s">
        <v>996</v>
      </c>
      <c r="K3808" s="248"/>
      <c r="M3808" s="366"/>
    </row>
    <row r="3809" spans="1:13" x14ac:dyDescent="0.25">
      <c r="A3809" s="308">
        <v>45719</v>
      </c>
      <c r="B3809" s="416">
        <v>1228502</v>
      </c>
      <c r="C3809" s="413" t="str">
        <f>IFERROR(INDEX(Table14[],MATCH($B3809,Table14[SAPNo],0),3),"")</f>
        <v>1618 CT182 U-60 Rotor</v>
      </c>
      <c r="D3809" s="420" t="s">
        <v>12</v>
      </c>
      <c r="E3809" s="421"/>
      <c r="F3809" s="580">
        <v>30</v>
      </c>
      <c r="G3809" s="417" t="s">
        <v>2513</v>
      </c>
      <c r="H3809" s="598"/>
      <c r="I3809" s="322"/>
      <c r="J3809" s="418" t="s">
        <v>990</v>
      </c>
      <c r="K3809" s="248"/>
      <c r="M3809" s="366"/>
    </row>
    <row r="3810" spans="1:13" x14ac:dyDescent="0.25">
      <c r="A3810" s="308">
        <v>45719</v>
      </c>
      <c r="B3810" s="416">
        <v>1263929</v>
      </c>
      <c r="C3810" s="413" t="str">
        <f>IFERROR(INDEX(Table14[],MATCH($B3810,Table14[SAPNo],0),3),"")</f>
        <v>1613 CT437 18-60</v>
      </c>
      <c r="D3810" s="420" t="s">
        <v>12</v>
      </c>
      <c r="E3810" s="421"/>
      <c r="F3810" s="580">
        <v>109</v>
      </c>
      <c r="G3810" s="417" t="s">
        <v>2513</v>
      </c>
      <c r="H3810" s="598"/>
      <c r="I3810" s="322"/>
      <c r="J3810" s="418" t="s">
        <v>990</v>
      </c>
      <c r="K3810" s="248"/>
      <c r="M3810" s="366"/>
    </row>
    <row r="3811" spans="1:13" x14ac:dyDescent="0.25">
      <c r="A3811" s="308">
        <v>45719</v>
      </c>
      <c r="B3811" s="416">
        <v>1282369</v>
      </c>
      <c r="C3811" s="413" t="str">
        <f>IFERROR(INDEX(Table14[],MATCH($B3811,Table14[SAPNo],0),3),"")</f>
        <v>1313 CT436Mv3 U-60</v>
      </c>
      <c r="D3811" s="420" t="s">
        <v>12</v>
      </c>
      <c r="E3811" s="421"/>
      <c r="F3811" s="580">
        <v>26</v>
      </c>
      <c r="G3811" s="417" t="s">
        <v>2513</v>
      </c>
      <c r="H3811" s="598"/>
      <c r="I3811" s="322"/>
      <c r="J3811" s="418" t="s">
        <v>977</v>
      </c>
      <c r="K3811" s="248"/>
      <c r="M3811" s="366"/>
    </row>
    <row r="3812" spans="1:13" x14ac:dyDescent="0.25">
      <c r="A3812" s="308">
        <v>45719</v>
      </c>
      <c r="B3812" s="416">
        <v>1282369</v>
      </c>
      <c r="C3812" s="413" t="str">
        <f>IFERROR(INDEX(Table14[],MATCH($B3812,Table14[SAPNo],0),3),"")</f>
        <v>1313 CT436Mv3 U-60</v>
      </c>
      <c r="D3812" s="420" t="s">
        <v>12</v>
      </c>
      <c r="E3812" s="421"/>
      <c r="F3812" s="580">
        <v>13</v>
      </c>
      <c r="G3812" s="417" t="s">
        <v>2513</v>
      </c>
      <c r="H3812" s="598"/>
      <c r="I3812" s="322"/>
      <c r="J3812" s="418" t="s">
        <v>990</v>
      </c>
      <c r="K3812" s="248"/>
      <c r="M3812" s="366"/>
    </row>
    <row r="3813" spans="1:13" x14ac:dyDescent="0.25">
      <c r="A3813" s="308">
        <v>45719</v>
      </c>
      <c r="B3813" s="416">
        <v>179734</v>
      </c>
      <c r="C3813" s="413" t="str">
        <f>IFERROR(INDEX(Table14[],MATCH($B3813,Table14[SAPNo],0),3),"")</f>
        <v>Long IPA 13    (C)</v>
      </c>
      <c r="D3813" s="420" t="s">
        <v>12</v>
      </c>
      <c r="E3813" s="421"/>
      <c r="F3813" s="580">
        <v>22</v>
      </c>
      <c r="G3813" s="417" t="s">
        <v>2513</v>
      </c>
      <c r="H3813" s="598"/>
      <c r="I3813" s="322"/>
      <c r="J3813" s="418" t="s">
        <v>990</v>
      </c>
      <c r="K3813" s="248"/>
      <c r="M3813" s="366"/>
    </row>
    <row r="3814" spans="1:13" x14ac:dyDescent="0.25">
      <c r="A3814" s="308">
        <v>45719</v>
      </c>
      <c r="B3814" s="416">
        <v>2000450</v>
      </c>
      <c r="C3814" s="413" t="str">
        <f>IFERROR(INDEX(Table14[],MATCH($B3814,Table14[SAPNo],0),3),"")</f>
        <v>1313 MV3 U-60</v>
      </c>
      <c r="D3814" s="420" t="s">
        <v>12</v>
      </c>
      <c r="E3814" s="421"/>
      <c r="F3814" s="580">
        <v>22</v>
      </c>
      <c r="G3814" s="417" t="s">
        <v>2513</v>
      </c>
      <c r="H3814" s="598"/>
      <c r="I3814" s="322"/>
      <c r="J3814" s="418" t="s">
        <v>979</v>
      </c>
      <c r="K3814" s="248"/>
      <c r="M3814" s="366"/>
    </row>
    <row r="3815" spans="1:13" x14ac:dyDescent="0.25">
      <c r="A3815" s="308">
        <v>45719</v>
      </c>
      <c r="B3815" s="416">
        <v>2002243</v>
      </c>
      <c r="C3815" s="413" t="str">
        <f>IFERROR(INDEX(Table14[],MATCH($B3815,Table14[SAPNo],0),3),"")</f>
        <v>1308 CT188 U-60</v>
      </c>
      <c r="D3815" s="420" t="s">
        <v>12</v>
      </c>
      <c r="E3815" s="421"/>
      <c r="F3815" s="580">
        <v>37</v>
      </c>
      <c r="G3815" s="417" t="s">
        <v>2513</v>
      </c>
      <c r="H3815" s="598"/>
      <c r="I3815" s="322"/>
      <c r="J3815" s="418" t="s">
        <v>990</v>
      </c>
      <c r="K3815" s="248"/>
      <c r="M3815" s="366"/>
    </row>
    <row r="3816" spans="1:13" x14ac:dyDescent="0.25">
      <c r="A3816" s="308">
        <v>45719</v>
      </c>
      <c r="B3816" s="416">
        <v>2002299</v>
      </c>
      <c r="C3816" s="413" t="str">
        <f>IFERROR(INDEX(Table14[],MATCH($B3816,Table14[SAPNo],0),3),"")</f>
        <v>1613 CT187 U-60</v>
      </c>
      <c r="D3816" s="420" t="s">
        <v>12</v>
      </c>
      <c r="E3816" s="421"/>
      <c r="F3816" s="580">
        <v>5</v>
      </c>
      <c r="G3816" s="417" t="s">
        <v>2513</v>
      </c>
      <c r="H3816" s="598"/>
      <c r="I3816" s="322"/>
      <c r="J3816" s="418" t="s">
        <v>990</v>
      </c>
      <c r="K3816" s="248"/>
      <c r="M3816" s="366"/>
    </row>
    <row r="3817" spans="1:13" x14ac:dyDescent="0.25">
      <c r="A3817" s="308">
        <v>45719</v>
      </c>
      <c r="B3817" s="416">
        <v>410851</v>
      </c>
      <c r="C3817" s="413" t="str">
        <f>IFERROR(INDEX(Table14[],MATCH($B3817,Table14[SAPNo],0),3),"")</f>
        <v>PDC Dome 1308 CT31   (B)</v>
      </c>
      <c r="D3817" s="420" t="s">
        <v>12</v>
      </c>
      <c r="E3817" s="421"/>
      <c r="F3817" s="580">
        <v>36</v>
      </c>
      <c r="G3817" s="417" t="s">
        <v>2513</v>
      </c>
      <c r="H3817" s="598"/>
      <c r="I3817" s="322"/>
      <c r="J3817" s="418" t="s">
        <v>990</v>
      </c>
      <c r="K3817" s="248"/>
      <c r="M3817" s="366"/>
    </row>
    <row r="3818" spans="1:13" x14ac:dyDescent="0.25">
      <c r="A3818" s="308">
        <v>45719</v>
      </c>
      <c r="B3818" s="416">
        <v>418525</v>
      </c>
      <c r="C3818" s="413" t="str">
        <f>IFERROR(INDEX(Table14[],MATCH($B3818,Table14[SAPNo],0),3),"")</f>
        <v>Drop In 1308 CT31   (B)</v>
      </c>
      <c r="D3818" s="420" t="s">
        <v>12</v>
      </c>
      <c r="E3818" s="421"/>
      <c r="F3818" s="580">
        <v>83</v>
      </c>
      <c r="G3818" s="417" t="s">
        <v>2513</v>
      </c>
      <c r="H3818" s="598"/>
      <c r="I3818" s="322"/>
      <c r="J3818" s="418" t="s">
        <v>990</v>
      </c>
      <c r="K3818" s="248"/>
      <c r="M3818" s="366"/>
    </row>
    <row r="3819" spans="1:13" x14ac:dyDescent="0.25">
      <c r="A3819" s="308">
        <v>45719</v>
      </c>
      <c r="B3819" s="416">
        <v>653400</v>
      </c>
      <c r="C3819" s="413" t="str">
        <f>IFERROR(INDEX(Table14[],MATCH($B3819,Table14[SAPNo],0),3),"")</f>
        <v>13MM WC­MAT404 NA</v>
      </c>
      <c r="D3819" s="420" t="s">
        <v>12</v>
      </c>
      <c r="E3819" s="421"/>
      <c r="F3819" s="580">
        <v>10</v>
      </c>
      <c r="G3819" s="417" t="s">
        <v>2513</v>
      </c>
      <c r="H3819" s="598"/>
      <c r="I3819" s="322"/>
      <c r="J3819" s="418" t="s">
        <v>990</v>
      </c>
      <c r="K3819" s="248"/>
      <c r="M3819" s="366"/>
    </row>
    <row r="3820" spans="1:13" x14ac:dyDescent="0.25">
      <c r="A3820" s="308">
        <v>45719</v>
      </c>
      <c r="B3820" s="416">
        <v>717748</v>
      </c>
      <c r="C3820" s="413" t="str">
        <f>IFERROR(INDEX(Table14[],MATCH($B3820,Table14[SAPNo],0),3),"")</f>
        <v>Round 1010 CT200  0.018" (B)</v>
      </c>
      <c r="D3820" s="420" t="s">
        <v>12</v>
      </c>
      <c r="E3820" s="421"/>
      <c r="F3820" s="580">
        <v>20</v>
      </c>
      <c r="G3820" s="417" t="s">
        <v>2513</v>
      </c>
      <c r="H3820" s="598"/>
      <c r="I3820" s="322"/>
      <c r="J3820" s="418" t="s">
        <v>990</v>
      </c>
      <c r="K3820" s="248"/>
      <c r="M3820" s="366"/>
    </row>
    <row r="3821" spans="1:13" x14ac:dyDescent="0.25">
      <c r="A3821" s="308">
        <v>45719</v>
      </c>
      <c r="B3821" s="416">
        <v>773384</v>
      </c>
      <c r="C3821" s="413" t="str">
        <f>IFERROR(INDEX(Table14[],MATCH($B3821,Table14[SAPNo],0),3),"")</f>
        <v>Round 1005 CT200  0.018" (B)</v>
      </c>
      <c r="D3821" s="420" t="s">
        <v>12</v>
      </c>
      <c r="E3821" s="421"/>
      <c r="F3821" s="580">
        <v>10</v>
      </c>
      <c r="G3821" s="417" t="s">
        <v>2513</v>
      </c>
      <c r="H3821" s="598"/>
      <c r="I3821" s="322"/>
      <c r="J3821" s="418" t="s">
        <v>990</v>
      </c>
      <c r="K3821" s="248"/>
      <c r="M3821" s="366"/>
    </row>
    <row r="3822" spans="1:13" x14ac:dyDescent="0.25">
      <c r="A3822" s="320">
        <v>45719</v>
      </c>
      <c r="B3822" s="419">
        <v>871781</v>
      </c>
      <c r="C3822" s="413" t="str">
        <f>IFERROR(INDEX(Table14[],MATCH($B3822,Table14[SAPNo],0),3),"")</f>
        <v>Round 1313 CT200  0.018" (B)</v>
      </c>
      <c r="D3822" s="420" t="s">
        <v>12</v>
      </c>
      <c r="E3822" s="421"/>
      <c r="F3822" s="580">
        <v>80</v>
      </c>
      <c r="G3822" s="420" t="s">
        <v>2513</v>
      </c>
      <c r="H3822" s="599"/>
      <c r="I3822" s="322"/>
      <c r="J3822" s="421" t="s">
        <v>990</v>
      </c>
      <c r="K3822" s="422"/>
      <c r="M3822" s="366"/>
    </row>
    <row r="3823" spans="1:13" x14ac:dyDescent="0.25">
      <c r="A3823" s="308">
        <v>45717</v>
      </c>
      <c r="B3823" s="416">
        <v>717748</v>
      </c>
      <c r="C3823" s="413" t="str">
        <f>IFERROR(INDEX(Table14[],MATCH($B3823,Table14[SAPNo],0),3),"")</f>
        <v>Round 1010 CT200  0.018" (B)</v>
      </c>
      <c r="D3823" s="420" t="s">
        <v>12</v>
      </c>
      <c r="E3823" s="421">
        <v>2</v>
      </c>
      <c r="F3823" s="421"/>
      <c r="G3823" s="417">
        <v>20251030</v>
      </c>
      <c r="H3823" s="598" t="s">
        <v>2662</v>
      </c>
      <c r="I3823" s="322" t="s">
        <v>2529</v>
      </c>
      <c r="J3823" s="418"/>
      <c r="K3823" s="248"/>
      <c r="M3823" s="422"/>
    </row>
    <row r="3824" spans="1:13" x14ac:dyDescent="0.25">
      <c r="A3824" s="308">
        <v>45718</v>
      </c>
      <c r="B3824" s="416">
        <v>717748</v>
      </c>
      <c r="C3824" s="413" t="str">
        <f>IFERROR(INDEX(Table14[],MATCH($B3824,Table14[SAPNo],0),3),"")</f>
        <v>Round 1010 CT200  0.018" (B)</v>
      </c>
      <c r="D3824" s="420" t="s">
        <v>12</v>
      </c>
      <c r="E3824" s="421">
        <v>2</v>
      </c>
      <c r="F3824" s="580"/>
      <c r="G3824" s="417">
        <v>20251031</v>
      </c>
      <c r="H3824" s="598" t="s">
        <v>2663</v>
      </c>
      <c r="I3824" s="322" t="s">
        <v>1069</v>
      </c>
      <c r="J3824" s="418"/>
      <c r="K3824" s="248"/>
      <c r="M3824" s="366"/>
    </row>
    <row r="3825" spans="1:13" x14ac:dyDescent="0.25">
      <c r="A3825" s="308">
        <v>45718</v>
      </c>
      <c r="B3825" s="416">
        <v>717748</v>
      </c>
      <c r="C3825" s="413" t="str">
        <f>IFERROR(INDEX(Table14[],MATCH($B3825,Table14[SAPNo],0),3),"")</f>
        <v>Round 1010 CT200  0.018" (B)</v>
      </c>
      <c r="D3825" s="420" t="s">
        <v>12</v>
      </c>
      <c r="E3825" s="421">
        <v>3</v>
      </c>
      <c r="F3825" s="580"/>
      <c r="G3825" s="417">
        <v>20251033</v>
      </c>
      <c r="H3825" s="598" t="s">
        <v>2664</v>
      </c>
      <c r="I3825" s="322" t="s">
        <v>1069</v>
      </c>
      <c r="J3825" s="418"/>
      <c r="K3825" s="248"/>
      <c r="M3825" s="366"/>
    </row>
    <row r="3826" spans="1:13" x14ac:dyDescent="0.25">
      <c r="A3826" s="308">
        <v>45715</v>
      </c>
      <c r="B3826" s="416">
        <v>1271790</v>
      </c>
      <c r="C3826" s="413" t="str">
        <f>IFERROR(INDEX(Table14[],MATCH($B3826,Table14[SAPNo],0),3),"")</f>
        <v xml:space="preserve">1613 CT170 18-60 </v>
      </c>
      <c r="D3826" s="420" t="s">
        <v>12</v>
      </c>
      <c r="E3826" s="421">
        <v>2</v>
      </c>
      <c r="F3826" s="580"/>
      <c r="G3826" s="417" t="s">
        <v>2654</v>
      </c>
      <c r="H3826" s="598">
        <v>14204330</v>
      </c>
      <c r="I3826" s="322" t="s">
        <v>1273</v>
      </c>
      <c r="J3826" s="418"/>
      <c r="K3826" s="248"/>
      <c r="M3826" s="366"/>
    </row>
    <row r="3827" spans="1:13" x14ac:dyDescent="0.25">
      <c r="A3827" s="308">
        <v>45719</v>
      </c>
      <c r="B3827" s="416">
        <v>1100696</v>
      </c>
      <c r="C3827" s="413" t="str">
        <f>IFERROR(INDEX(Table14[],MATCH($B3827,Table14[SAPNo],0),3),"")</f>
        <v>Round 1313 CT418  10C (S)</v>
      </c>
      <c r="D3827" s="420" t="s">
        <v>12</v>
      </c>
      <c r="E3827" s="421">
        <v>2</v>
      </c>
      <c r="F3827" s="580"/>
      <c r="G3827" s="417">
        <v>20251034</v>
      </c>
      <c r="H3827" s="598" t="s">
        <v>2665</v>
      </c>
      <c r="I3827" s="322" t="s">
        <v>1746</v>
      </c>
      <c r="J3827" s="418"/>
      <c r="K3827" s="248"/>
      <c r="M3827" s="366"/>
    </row>
    <row r="3828" spans="1:13" x14ac:dyDescent="0.25">
      <c r="A3828" s="308">
        <v>45719</v>
      </c>
      <c r="B3828" s="416">
        <v>717748</v>
      </c>
      <c r="C3828" s="413" t="str">
        <f>IFERROR(INDEX(Table14[],MATCH($B3828,Table14[SAPNo],0),3),"")</f>
        <v>Round 1010 CT200  0.018" (B)</v>
      </c>
      <c r="D3828" s="420" t="s">
        <v>12</v>
      </c>
      <c r="E3828" s="421">
        <v>19</v>
      </c>
      <c r="F3828" s="580"/>
      <c r="G3828" s="417" t="s">
        <v>2666</v>
      </c>
      <c r="H3828" s="598">
        <v>14293147</v>
      </c>
      <c r="I3828" s="322" t="s">
        <v>2362</v>
      </c>
      <c r="J3828" s="418"/>
      <c r="K3828" s="248"/>
      <c r="M3828" s="366"/>
    </row>
    <row r="3829" spans="1:13" x14ac:dyDescent="0.25">
      <c r="A3829" s="308">
        <v>45719</v>
      </c>
      <c r="B3829" s="416">
        <v>717748</v>
      </c>
      <c r="C3829" s="413" t="str">
        <f>IFERROR(INDEX(Table14[],MATCH($B3829,Table14[SAPNo],0),3),"")</f>
        <v>Round 1010 CT200  0.018" (B)</v>
      </c>
      <c r="D3829" s="420" t="s">
        <v>12</v>
      </c>
      <c r="E3829" s="421">
        <v>19</v>
      </c>
      <c r="F3829" s="580"/>
      <c r="G3829" s="417" t="s">
        <v>2667</v>
      </c>
      <c r="H3829" s="598">
        <v>14304768</v>
      </c>
      <c r="I3829" s="322" t="s">
        <v>2668</v>
      </c>
      <c r="J3829" s="418"/>
      <c r="K3829" s="248"/>
      <c r="M3829" s="366"/>
    </row>
    <row r="3830" spans="1:13" x14ac:dyDescent="0.25">
      <c r="A3830" s="308">
        <v>45719</v>
      </c>
      <c r="B3830" s="416">
        <v>717748</v>
      </c>
      <c r="C3830" s="413" t="str">
        <f>IFERROR(INDEX(Table14[],MATCH($B3830,Table14[SAPNo],0),3),"")</f>
        <v>Round 1010 CT200  0.018" (B)</v>
      </c>
      <c r="D3830" s="420" t="s">
        <v>12</v>
      </c>
      <c r="E3830" s="421">
        <v>1</v>
      </c>
      <c r="F3830" s="580"/>
      <c r="G3830" s="417" t="s">
        <v>2660</v>
      </c>
      <c r="H3830" s="598" t="s">
        <v>2661</v>
      </c>
      <c r="I3830" s="322" t="s">
        <v>2362</v>
      </c>
      <c r="J3830" s="418"/>
      <c r="K3830" s="248"/>
      <c r="M3830" s="366"/>
    </row>
    <row r="3831" spans="1:13" x14ac:dyDescent="0.25">
      <c r="A3831" s="308">
        <v>45720</v>
      </c>
      <c r="B3831" s="416">
        <v>871781</v>
      </c>
      <c r="C3831" s="413" t="str">
        <f>IFERROR(INDEX(Table14[],MATCH($B3831,Table14[SAPNo],0),3),"")</f>
        <v>Round 1313 CT200  0.018" (B)</v>
      </c>
      <c r="D3831" s="420" t="s">
        <v>12</v>
      </c>
      <c r="E3831" s="421">
        <v>8</v>
      </c>
      <c r="F3831" s="580"/>
      <c r="G3831" s="417" t="s">
        <v>2669</v>
      </c>
      <c r="H3831" s="598">
        <v>14305479</v>
      </c>
      <c r="I3831" s="322" t="s">
        <v>1299</v>
      </c>
      <c r="J3831" s="418"/>
      <c r="K3831" s="248"/>
      <c r="M3831" s="366"/>
    </row>
    <row r="3832" spans="1:13" x14ac:dyDescent="0.25">
      <c r="A3832" s="308">
        <v>45720</v>
      </c>
      <c r="B3832" s="416">
        <v>1100755</v>
      </c>
      <c r="C3832" s="413" t="str">
        <f>IFERROR(INDEX(Table14[],MATCH($B3832,Table14[SAPNo],0),3),"")</f>
        <v>Round 1613 CT421  0.018" (S)</v>
      </c>
      <c r="D3832" s="420" t="s">
        <v>12</v>
      </c>
      <c r="E3832" s="421">
        <v>9</v>
      </c>
      <c r="F3832" s="580"/>
      <c r="G3832" s="417" t="s">
        <v>2669</v>
      </c>
      <c r="H3832" s="598">
        <v>14305479</v>
      </c>
      <c r="I3832" s="322" t="s">
        <v>1299</v>
      </c>
      <c r="J3832" s="418"/>
      <c r="K3832" s="248"/>
      <c r="M3832" s="366"/>
    </row>
    <row r="3833" spans="1:13" x14ac:dyDescent="0.25">
      <c r="A3833" s="308">
        <v>45720</v>
      </c>
      <c r="B3833" s="416">
        <v>1100759</v>
      </c>
      <c r="C3833" s="413" t="str">
        <f>IFERROR(INDEX(Table14[],MATCH($B3833,Table14[SAPNo],0),3),"")</f>
        <v>1913 CT421 0.018"</v>
      </c>
      <c r="D3833" s="420" t="s">
        <v>12</v>
      </c>
      <c r="E3833" s="421">
        <v>48</v>
      </c>
      <c r="F3833" s="580"/>
      <c r="G3833" s="417" t="s">
        <v>2669</v>
      </c>
      <c r="H3833" s="598">
        <v>14305479</v>
      </c>
      <c r="I3833" s="322" t="s">
        <v>1299</v>
      </c>
      <c r="J3833" s="418"/>
      <c r="K3833" s="248"/>
      <c r="M3833" s="366"/>
    </row>
    <row r="3834" spans="1:13" x14ac:dyDescent="0.25">
      <c r="A3834" s="308">
        <v>45720</v>
      </c>
      <c r="B3834" s="416">
        <v>708306</v>
      </c>
      <c r="C3834" s="413" t="str">
        <f>IFERROR(INDEX(Table14[],MATCH($B3834,Table14[SAPNo],0),3),"")</f>
        <v>Round 1913 CT200  0.018" (B)</v>
      </c>
      <c r="D3834" s="420" t="s">
        <v>12</v>
      </c>
      <c r="E3834" s="421">
        <v>34</v>
      </c>
      <c r="F3834" s="580"/>
      <c r="G3834" s="417" t="s">
        <v>2669</v>
      </c>
      <c r="H3834" s="598">
        <v>14305479</v>
      </c>
      <c r="I3834" s="322" t="s">
        <v>1299</v>
      </c>
      <c r="J3834" s="418"/>
      <c r="K3834" s="248"/>
      <c r="M3834" s="366"/>
    </row>
    <row r="3835" spans="1:13" x14ac:dyDescent="0.25">
      <c r="A3835" s="308">
        <v>45720</v>
      </c>
      <c r="B3835" s="416">
        <v>871781</v>
      </c>
      <c r="C3835" s="413" t="str">
        <f>IFERROR(INDEX(Table14[],MATCH($B3835,Table14[SAPNo],0),3),"")</f>
        <v>Round 1313 CT200  0.018" (B)</v>
      </c>
      <c r="D3835" s="420" t="s">
        <v>12</v>
      </c>
      <c r="E3835" s="421">
        <v>6</v>
      </c>
      <c r="F3835" s="580"/>
      <c r="G3835" s="417" t="s">
        <v>2670</v>
      </c>
      <c r="H3835" s="598">
        <v>14304777</v>
      </c>
      <c r="I3835" s="322" t="s">
        <v>2671</v>
      </c>
      <c r="J3835" s="418"/>
      <c r="K3835" s="248"/>
      <c r="M3835" s="366"/>
    </row>
    <row r="3836" spans="1:13" x14ac:dyDescent="0.25">
      <c r="A3836" s="308">
        <v>45720</v>
      </c>
      <c r="B3836" s="416">
        <v>1163820</v>
      </c>
      <c r="C3836" s="413" t="str">
        <f>IFERROR(INDEX(Table14[],MATCH($B3836,Table14[SAPNo],0),3),"")</f>
        <v>1613 CT156 0.018"</v>
      </c>
      <c r="D3836" s="420" t="s">
        <v>12</v>
      </c>
      <c r="E3836" s="421">
        <v>33</v>
      </c>
      <c r="F3836" s="580"/>
      <c r="G3836" s="417" t="s">
        <v>2670</v>
      </c>
      <c r="H3836" s="598">
        <v>14304777</v>
      </c>
      <c r="I3836" s="322" t="s">
        <v>2671</v>
      </c>
      <c r="J3836" s="418"/>
      <c r="K3836" s="248"/>
      <c r="M3836" s="366"/>
    </row>
    <row r="3837" spans="1:13" x14ac:dyDescent="0.25">
      <c r="A3837" s="308">
        <v>45720</v>
      </c>
      <c r="B3837" s="416">
        <v>643738</v>
      </c>
      <c r="C3837" s="413" t="str">
        <f>IFERROR(INDEX(Table14[],MATCH($B3837,Table14[SAPNo],0),3),"")</f>
        <v>Round 1608 CT70  0.018" (S)</v>
      </c>
      <c r="D3837" s="420" t="s">
        <v>8</v>
      </c>
      <c r="E3837" s="421">
        <v>23</v>
      </c>
      <c r="F3837" s="580"/>
      <c r="G3837" s="417" t="s">
        <v>2670</v>
      </c>
      <c r="H3837" s="598">
        <v>14304777</v>
      </c>
      <c r="I3837" s="322" t="s">
        <v>2671</v>
      </c>
      <c r="J3837" s="418"/>
      <c r="K3837" s="248"/>
      <c r="M3837" s="366"/>
    </row>
    <row r="3838" spans="1:13" x14ac:dyDescent="0.25">
      <c r="A3838" s="308">
        <v>45721</v>
      </c>
      <c r="B3838" s="416">
        <v>2002299</v>
      </c>
      <c r="C3838" s="413" t="str">
        <f>IFERROR(INDEX(Table14[],MATCH($B3838,Table14[SAPNo],0),3),"")</f>
        <v>1613 CT187 U-60</v>
      </c>
      <c r="D3838" s="420" t="s">
        <v>12</v>
      </c>
      <c r="E3838" s="421">
        <v>1</v>
      </c>
      <c r="F3838" s="580"/>
      <c r="G3838" s="417" t="s">
        <v>2672</v>
      </c>
      <c r="H3838" s="598">
        <v>14293151</v>
      </c>
      <c r="I3838" s="322" t="s">
        <v>2673</v>
      </c>
      <c r="J3838" s="418"/>
      <c r="K3838" s="248"/>
      <c r="M3838" s="366"/>
    </row>
    <row r="3839" spans="1:13" x14ac:dyDescent="0.25">
      <c r="A3839" s="308">
        <v>45721</v>
      </c>
      <c r="B3839" s="416">
        <v>1228502</v>
      </c>
      <c r="C3839" s="413" t="str">
        <f>IFERROR(INDEX(Table14[],MATCH($B3839,Table14[SAPNo],0),3),"")</f>
        <v>1618 CT182 U-60 Rotor</v>
      </c>
      <c r="D3839" s="420" t="s">
        <v>12</v>
      </c>
      <c r="E3839" s="421">
        <v>10</v>
      </c>
      <c r="F3839" s="580"/>
      <c r="G3839" s="417" t="s">
        <v>2672</v>
      </c>
      <c r="H3839" s="598">
        <v>14293151</v>
      </c>
      <c r="I3839" s="322" t="s">
        <v>2673</v>
      </c>
      <c r="J3839" s="418"/>
      <c r="K3839" s="248"/>
      <c r="M3839" s="366"/>
    </row>
    <row r="3840" spans="1:13" x14ac:dyDescent="0.25">
      <c r="A3840" s="308">
        <v>45721</v>
      </c>
      <c r="B3840" s="416">
        <v>1228501</v>
      </c>
      <c r="C3840" s="413" t="str">
        <f>IFERROR(INDEX(Table14[],MATCH($B3840,Table14[SAPNo],0),3),"")</f>
        <v>1618 CT182 U-60 stator</v>
      </c>
      <c r="D3840" s="420" t="s">
        <v>12</v>
      </c>
      <c r="E3840" s="421">
        <v>10</v>
      </c>
      <c r="F3840" s="580"/>
      <c r="G3840" s="417" t="s">
        <v>2672</v>
      </c>
      <c r="H3840" s="598">
        <v>14293151</v>
      </c>
      <c r="I3840" s="322" t="s">
        <v>2673</v>
      </c>
      <c r="J3840" s="418"/>
      <c r="K3840" s="248"/>
      <c r="M3840" s="366"/>
    </row>
    <row r="3841" spans="1:13" x14ac:dyDescent="0.25">
      <c r="A3841" s="308">
        <v>45721</v>
      </c>
      <c r="B3841" s="416">
        <v>1228503</v>
      </c>
      <c r="C3841" s="413" t="str">
        <f>IFERROR(INDEX(Table14[],MATCH($B3841,Table14[SAPNo],0),3),"")</f>
        <v>1618 CT182 U-60 Ring</v>
      </c>
      <c r="D3841" s="420" t="s">
        <v>12</v>
      </c>
      <c r="E3841" s="421">
        <v>10</v>
      </c>
      <c r="F3841" s="580"/>
      <c r="G3841" s="417" t="s">
        <v>2672</v>
      </c>
      <c r="H3841" s="598">
        <v>14293151</v>
      </c>
      <c r="I3841" s="322" t="s">
        <v>2673</v>
      </c>
      <c r="J3841" s="418"/>
      <c r="K3841" s="248"/>
      <c r="M3841" s="366"/>
    </row>
    <row r="3842" spans="1:13" x14ac:dyDescent="0.25">
      <c r="A3842" s="308">
        <v>45721</v>
      </c>
      <c r="B3842" s="416">
        <v>1261319</v>
      </c>
      <c r="C3842" s="413" t="str">
        <f>IFERROR(INDEX(Table14[],MATCH($B3842,Table14[SAPNo],0),3),"")</f>
        <v>1308 CT155 U-60</v>
      </c>
      <c r="D3842" s="420" t="s">
        <v>12</v>
      </c>
      <c r="E3842" s="421">
        <v>15</v>
      </c>
      <c r="F3842" s="580"/>
      <c r="G3842" s="417" t="s">
        <v>2672</v>
      </c>
      <c r="H3842" s="598">
        <v>14293151</v>
      </c>
      <c r="I3842" s="322" t="s">
        <v>2673</v>
      </c>
      <c r="J3842" s="418"/>
      <c r="K3842" s="248"/>
      <c r="M3842" s="366"/>
    </row>
    <row r="3843" spans="1:13" x14ac:dyDescent="0.25">
      <c r="A3843" s="308">
        <v>45721</v>
      </c>
      <c r="B3843" s="416">
        <v>1261320</v>
      </c>
      <c r="C3843" s="413" t="str">
        <f>IFERROR(INDEX(Table14[],MATCH($B3843,Table14[SAPNo],0),3),"")</f>
        <v>1313 CT155 U-60</v>
      </c>
      <c r="D3843" s="420" t="s">
        <v>12</v>
      </c>
      <c r="E3843" s="421">
        <v>6</v>
      </c>
      <c r="F3843" s="580"/>
      <c r="G3843" s="417" t="s">
        <v>2672</v>
      </c>
      <c r="H3843" s="598">
        <v>14293151</v>
      </c>
      <c r="I3843" s="322" t="s">
        <v>2673</v>
      </c>
      <c r="J3843" s="418"/>
      <c r="K3843" s="248"/>
      <c r="M3843" s="366"/>
    </row>
    <row r="3844" spans="1:13" x14ac:dyDescent="0.25">
      <c r="A3844" s="308">
        <v>45721</v>
      </c>
      <c r="B3844" s="416">
        <v>2002243</v>
      </c>
      <c r="C3844" s="413" t="str">
        <f>IFERROR(INDEX(Table14[],MATCH($B3844,Table14[SAPNo],0),3),"")</f>
        <v>1308 CT188 U-60</v>
      </c>
      <c r="D3844" s="420" t="s">
        <v>12</v>
      </c>
      <c r="E3844" s="421">
        <v>9</v>
      </c>
      <c r="F3844" s="580"/>
      <c r="G3844" s="417" t="s">
        <v>2672</v>
      </c>
      <c r="H3844" s="598">
        <v>14293151</v>
      </c>
      <c r="I3844" s="322" t="s">
        <v>2673</v>
      </c>
      <c r="J3844" s="418"/>
      <c r="K3844" s="248"/>
      <c r="M3844" s="366"/>
    </row>
    <row r="3845" spans="1:13" x14ac:dyDescent="0.25">
      <c r="A3845" s="308">
        <v>45721</v>
      </c>
      <c r="B3845" s="416">
        <v>871781</v>
      </c>
      <c r="C3845" s="413" t="str">
        <f>IFERROR(INDEX(Table14[],MATCH($B3845,Table14[SAPNo],0),3),"")</f>
        <v>Round 1313 CT200  0.018" (B)</v>
      </c>
      <c r="D3845" s="420" t="s">
        <v>12</v>
      </c>
      <c r="E3845" s="421">
        <v>6</v>
      </c>
      <c r="F3845" s="580"/>
      <c r="G3845" s="417" t="s">
        <v>2672</v>
      </c>
      <c r="H3845" s="598">
        <v>14293151</v>
      </c>
      <c r="I3845" s="322" t="s">
        <v>2673</v>
      </c>
      <c r="J3845" s="418"/>
      <c r="K3845" s="248"/>
      <c r="M3845" s="366"/>
    </row>
    <row r="3846" spans="1:13" x14ac:dyDescent="0.25">
      <c r="A3846" s="320">
        <v>45721</v>
      </c>
      <c r="B3846" s="419">
        <v>1261321</v>
      </c>
      <c r="C3846" s="413" t="str">
        <f>IFERROR(INDEX(Table14[],MATCH($B3846,Table14[SAPNo],0),3),"")</f>
        <v>1613 CT155 U-60</v>
      </c>
      <c r="D3846" s="420" t="s">
        <v>12</v>
      </c>
      <c r="E3846" s="421">
        <v>3</v>
      </c>
      <c r="F3846" s="580"/>
      <c r="G3846" s="420" t="s">
        <v>2672</v>
      </c>
      <c r="H3846" s="599">
        <v>14293151</v>
      </c>
      <c r="I3846" s="322" t="s">
        <v>2673</v>
      </c>
      <c r="J3846" s="421"/>
      <c r="K3846" s="422"/>
      <c r="M3846" s="366"/>
    </row>
    <row r="3847" spans="1:13" x14ac:dyDescent="0.25">
      <c r="A3847" s="308">
        <v>45721</v>
      </c>
      <c r="B3847" s="419">
        <v>1220554</v>
      </c>
      <c r="C3847" s="413" t="str">
        <f>IFERROR(INDEX(Table14[],MATCH($B3847,Table14[SAPNo],0),3),"")</f>
        <v xml:space="preserve">1618 CT182 U-60 Carbide </v>
      </c>
      <c r="D3847" s="420" t="s">
        <v>12</v>
      </c>
      <c r="E3847" s="421">
        <v>10</v>
      </c>
      <c r="F3847" s="421"/>
      <c r="G3847" s="417" t="s">
        <v>2672</v>
      </c>
      <c r="H3847" s="599">
        <v>14293151</v>
      </c>
      <c r="I3847" s="322" t="s">
        <v>2673</v>
      </c>
      <c r="J3847" s="421"/>
      <c r="K3847" s="422"/>
      <c r="M3847" s="422"/>
    </row>
    <row r="3848" spans="1:13" x14ac:dyDescent="0.25">
      <c r="A3848" s="308">
        <v>45725</v>
      </c>
      <c r="B3848" s="416">
        <v>1078377</v>
      </c>
      <c r="C3848" s="413" t="str">
        <f>IFERROR(INDEX(Table14[],MATCH($B3848,Table14[SAPNo],0),3),"")</f>
        <v>13MM CT221 R1</v>
      </c>
      <c r="D3848" s="420" t="s">
        <v>12</v>
      </c>
      <c r="E3848" s="421"/>
      <c r="F3848" s="421">
        <v>162</v>
      </c>
      <c r="G3848" s="420" t="s">
        <v>2513</v>
      </c>
      <c r="H3848" s="598"/>
      <c r="I3848" s="322"/>
      <c r="J3848" s="303" t="s">
        <v>989</v>
      </c>
      <c r="K3848" s="248"/>
      <c r="M3848" s="422"/>
    </row>
    <row r="3849" spans="1:13" x14ac:dyDescent="0.25">
      <c r="A3849" s="308">
        <v>45725</v>
      </c>
      <c r="B3849" s="416">
        <v>1208601</v>
      </c>
      <c r="C3849" s="413" t="str">
        <f>IFERROR(INDEX(Table14[],MATCH($B3849,Table14[SAPNo],0),3),"")</f>
        <v>1613 CT418 U-60</v>
      </c>
      <c r="D3849" s="420" t="s">
        <v>12</v>
      </c>
      <c r="E3849" s="421"/>
      <c r="F3849" s="580">
        <v>100</v>
      </c>
      <c r="G3849" s="420" t="s">
        <v>2513</v>
      </c>
      <c r="H3849" s="598"/>
      <c r="I3849" s="322"/>
      <c r="J3849" s="303" t="s">
        <v>989</v>
      </c>
      <c r="K3849" s="248"/>
      <c r="M3849" s="366"/>
    </row>
    <row r="3850" spans="1:13" x14ac:dyDescent="0.25">
      <c r="A3850" s="308">
        <v>45725</v>
      </c>
      <c r="B3850" s="416">
        <v>1209333</v>
      </c>
      <c r="C3850" s="413" t="str">
        <f>IFERROR(INDEX(Table14[],MATCH($B3850,Table14[SAPNo],0),3),"")</f>
        <v>1613 CT147G U</v>
      </c>
      <c r="D3850" s="420" t="s">
        <v>12</v>
      </c>
      <c r="E3850" s="421"/>
      <c r="F3850" s="580">
        <v>68</v>
      </c>
      <c r="G3850" s="420" t="s">
        <v>2513</v>
      </c>
      <c r="H3850" s="598"/>
      <c r="I3850" s="322"/>
      <c r="J3850" s="303" t="s">
        <v>989</v>
      </c>
      <c r="K3850" s="248"/>
      <c r="M3850" s="366"/>
    </row>
    <row r="3851" spans="1:13" x14ac:dyDescent="0.25">
      <c r="A3851" s="308">
        <v>45725</v>
      </c>
      <c r="B3851" s="416">
        <v>1274176</v>
      </c>
      <c r="C3851" s="413" t="str">
        <f>IFERROR(INDEX(Table14[],MATCH($B3851,Table14[SAPNo],0),3),"")</f>
        <v>1613 CT172 18-60</v>
      </c>
      <c r="D3851" s="420" t="s">
        <v>12</v>
      </c>
      <c r="E3851" s="421"/>
      <c r="F3851" s="580">
        <v>1</v>
      </c>
      <c r="G3851" s="420" t="s">
        <v>2513</v>
      </c>
      <c r="H3851" s="598"/>
      <c r="I3851" s="322"/>
      <c r="J3851" s="303" t="s">
        <v>989</v>
      </c>
      <c r="K3851" s="248"/>
      <c r="M3851" s="366"/>
    </row>
    <row r="3852" spans="1:13" x14ac:dyDescent="0.25">
      <c r="A3852" s="308">
        <v>45725</v>
      </c>
      <c r="B3852" s="416">
        <v>1282370</v>
      </c>
      <c r="C3852" s="413" t="str">
        <f>IFERROR(INDEX(Table14[],MATCH($B3852,Table14[SAPNo],0),3),"")</f>
        <v>1613 CT436Mv3 U-60</v>
      </c>
      <c r="D3852" s="420" t="s">
        <v>12</v>
      </c>
      <c r="E3852" s="421"/>
      <c r="F3852" s="580">
        <v>40</v>
      </c>
      <c r="G3852" s="420" t="s">
        <v>2513</v>
      </c>
      <c r="H3852" s="598"/>
      <c r="I3852" s="322"/>
      <c r="J3852" s="303" t="s">
        <v>989</v>
      </c>
      <c r="K3852" s="248"/>
      <c r="M3852" s="366"/>
    </row>
    <row r="3853" spans="1:13" x14ac:dyDescent="0.25">
      <c r="A3853" s="308">
        <v>45725</v>
      </c>
      <c r="B3853" s="416">
        <v>1288783</v>
      </c>
      <c r="C3853" s="413" t="str">
        <f>IFERROR(INDEX(Table14[],MATCH($B3853,Table14[SAPNo],0),3),"")</f>
        <v>1613 CT179 18-60</v>
      </c>
      <c r="D3853" s="420" t="s">
        <v>12</v>
      </c>
      <c r="E3853" s="421"/>
      <c r="F3853" s="580">
        <v>64</v>
      </c>
      <c r="G3853" s="420" t="s">
        <v>2513</v>
      </c>
      <c r="H3853" s="598"/>
      <c r="I3853" s="322"/>
      <c r="J3853" s="303" t="s">
        <v>989</v>
      </c>
      <c r="K3853" s="248"/>
      <c r="M3853" s="366"/>
    </row>
    <row r="3854" spans="1:13" x14ac:dyDescent="0.25">
      <c r="A3854" s="308">
        <v>45725</v>
      </c>
      <c r="B3854" s="416">
        <v>1293118</v>
      </c>
      <c r="C3854" s="413" t="str">
        <f>IFERROR(INDEX(Table14[],MATCH($B3854,Table14[SAPNo],0),3),"")</f>
        <v>0808 CT158NL 0.018"</v>
      </c>
      <c r="D3854" s="420" t="s">
        <v>12</v>
      </c>
      <c r="E3854" s="421"/>
      <c r="F3854" s="580">
        <v>20</v>
      </c>
      <c r="G3854" s="420" t="s">
        <v>2513</v>
      </c>
      <c r="H3854" s="598"/>
      <c r="I3854" s="322"/>
      <c r="J3854" s="303" t="s">
        <v>990</v>
      </c>
      <c r="K3854" s="248"/>
      <c r="M3854" s="366"/>
    </row>
    <row r="3855" spans="1:13" x14ac:dyDescent="0.25">
      <c r="A3855" s="308">
        <v>45725</v>
      </c>
      <c r="B3855" s="416">
        <v>2000450</v>
      </c>
      <c r="C3855" s="413" t="str">
        <f>IFERROR(INDEX(Table14[],MATCH($B3855,Table14[SAPNo],0),3),"")</f>
        <v>1313 MV3 U-60</v>
      </c>
      <c r="D3855" s="420" t="s">
        <v>12</v>
      </c>
      <c r="E3855" s="421"/>
      <c r="F3855" s="580">
        <v>8</v>
      </c>
      <c r="G3855" s="420" t="s">
        <v>2513</v>
      </c>
      <c r="H3855" s="598"/>
      <c r="I3855" s="322"/>
      <c r="J3855" s="303" t="s">
        <v>979</v>
      </c>
      <c r="K3855" s="248"/>
      <c r="M3855" s="366"/>
    </row>
    <row r="3856" spans="1:13" x14ac:dyDescent="0.25">
      <c r="A3856" s="308">
        <v>45725</v>
      </c>
      <c r="B3856" s="416">
        <v>2002244</v>
      </c>
      <c r="C3856" s="413" t="str">
        <f>IFERROR(INDEX(Table14[],MATCH($B3856,Table14[SAPNo],0),3),"")</f>
        <v>1313 CT188 Uc-60</v>
      </c>
      <c r="D3856" s="420" t="s">
        <v>12</v>
      </c>
      <c r="E3856" s="421"/>
      <c r="F3856" s="580">
        <v>60</v>
      </c>
      <c r="G3856" s="420" t="s">
        <v>2513</v>
      </c>
      <c r="H3856" s="598"/>
      <c r="I3856" s="322"/>
      <c r="J3856" s="303" t="s">
        <v>999</v>
      </c>
      <c r="K3856" s="248"/>
      <c r="M3856" s="366"/>
    </row>
    <row r="3857" spans="1:13" x14ac:dyDescent="0.25">
      <c r="A3857" s="308">
        <v>45725</v>
      </c>
      <c r="B3857" s="416">
        <v>2002299</v>
      </c>
      <c r="C3857" s="413" t="str">
        <f>IFERROR(INDEX(Table14[],MATCH($B3857,Table14[SAPNo],0),3),"")</f>
        <v>1613 CT187 U-60</v>
      </c>
      <c r="D3857" s="420" t="s">
        <v>12</v>
      </c>
      <c r="E3857" s="421"/>
      <c r="F3857" s="580">
        <v>32</v>
      </c>
      <c r="G3857" s="420" t="s">
        <v>2513</v>
      </c>
      <c r="H3857" s="598"/>
      <c r="I3857" s="322"/>
      <c r="J3857" s="303" t="s">
        <v>990</v>
      </c>
      <c r="K3857" s="248"/>
      <c r="M3857" s="366"/>
    </row>
    <row r="3858" spans="1:13" x14ac:dyDescent="0.25">
      <c r="A3858" s="320">
        <v>45725</v>
      </c>
      <c r="B3858" s="419">
        <v>2004484</v>
      </c>
      <c r="C3858" s="413" t="str">
        <f>IFERROR(INDEX(Table14[],MATCH($B3858,Table14[SAPNo],0),3),"")</f>
        <v>1308 CT187 U-60</v>
      </c>
      <c r="D3858" s="420" t="s">
        <v>12</v>
      </c>
      <c r="E3858" s="421"/>
      <c r="F3858" s="580">
        <v>20</v>
      </c>
      <c r="G3858" s="420" t="s">
        <v>2513</v>
      </c>
      <c r="H3858" s="599"/>
      <c r="I3858" s="322"/>
      <c r="J3858" s="303" t="s">
        <v>979</v>
      </c>
      <c r="K3858" s="422"/>
      <c r="M3858" s="366"/>
    </row>
    <row r="3859" spans="1:13" x14ac:dyDescent="0.25">
      <c r="A3859" s="308">
        <v>45724</v>
      </c>
      <c r="B3859" s="416">
        <v>1100759</v>
      </c>
      <c r="C3859" s="413" t="str">
        <f>IFERROR(INDEX(Table14[],MATCH($B3859,Table14[SAPNo],0),3),"")</f>
        <v>1913 CT421 0.018"</v>
      </c>
      <c r="D3859" s="420" t="s">
        <v>12</v>
      </c>
      <c r="E3859" s="421">
        <v>4</v>
      </c>
      <c r="F3859" s="421"/>
      <c r="G3859" s="417" t="s">
        <v>2674</v>
      </c>
      <c r="H3859" s="598" t="s">
        <v>2675</v>
      </c>
      <c r="I3859" s="322" t="s">
        <v>2676</v>
      </c>
      <c r="J3859" s="418"/>
      <c r="K3859" s="248"/>
      <c r="M3859" s="422"/>
    </row>
    <row r="3860" spans="1:13" x14ac:dyDescent="0.25">
      <c r="A3860" s="308">
        <v>45724</v>
      </c>
      <c r="B3860" s="416">
        <v>1130200</v>
      </c>
      <c r="C3860" s="413" t="str">
        <f>IFERROR(INDEX(Table14[],MATCH($B3860,Table14[SAPNo],0),3),"")</f>
        <v>Round 1913 CT182  0.018" (S)</v>
      </c>
      <c r="D3860" s="420" t="s">
        <v>12</v>
      </c>
      <c r="E3860" s="421">
        <v>1</v>
      </c>
      <c r="F3860" s="580"/>
      <c r="G3860" s="417" t="s">
        <v>2674</v>
      </c>
      <c r="H3860" s="598" t="s">
        <v>2675</v>
      </c>
      <c r="I3860" s="322" t="s">
        <v>2676</v>
      </c>
      <c r="J3860" s="418"/>
      <c r="K3860" s="248"/>
      <c r="M3860" s="366"/>
    </row>
    <row r="3861" spans="1:13" x14ac:dyDescent="0.25">
      <c r="A3861" s="308">
        <v>45724</v>
      </c>
      <c r="B3861" s="416">
        <v>1039064</v>
      </c>
      <c r="C3861" s="413" t="str">
        <f>IFERROR(INDEX(Table14[],MATCH($B3861,Table14[SAPNo],0),3),"")</f>
        <v>Round 1913 CT138 TSP V 0.018" (S)</v>
      </c>
      <c r="D3861" s="420" t="s">
        <v>12</v>
      </c>
      <c r="E3861" s="421">
        <v>7</v>
      </c>
      <c r="F3861" s="580"/>
      <c r="G3861" s="417" t="s">
        <v>2674</v>
      </c>
      <c r="H3861" s="598" t="s">
        <v>2675</v>
      </c>
      <c r="I3861" s="322" t="s">
        <v>2676</v>
      </c>
      <c r="J3861" s="418"/>
      <c r="K3861" s="248"/>
      <c r="M3861" s="366"/>
    </row>
    <row r="3862" spans="1:13" x14ac:dyDescent="0.25">
      <c r="A3862" s="308">
        <v>45724</v>
      </c>
      <c r="B3862" s="416">
        <v>983152</v>
      </c>
      <c r="C3862" s="413" t="str">
        <f>IFERROR(INDEX(Table14[],MATCH($B3862,Table14[SAPNo],0),3),"")</f>
        <v>Round 1913 CT216  0.018" (S)</v>
      </c>
      <c r="D3862" s="420" t="s">
        <v>12</v>
      </c>
      <c r="E3862" s="421">
        <v>14</v>
      </c>
      <c r="F3862" s="580"/>
      <c r="G3862" s="417" t="s">
        <v>2674</v>
      </c>
      <c r="H3862" s="598" t="s">
        <v>2675</v>
      </c>
      <c r="I3862" s="322" t="s">
        <v>2676</v>
      </c>
      <c r="J3862" s="418"/>
      <c r="K3862" s="248"/>
      <c r="M3862" s="366"/>
    </row>
    <row r="3863" spans="1:13" x14ac:dyDescent="0.25">
      <c r="A3863" s="308">
        <v>45724</v>
      </c>
      <c r="B3863" s="416">
        <v>418525</v>
      </c>
      <c r="C3863" s="413" t="str">
        <f>IFERROR(INDEX(Table14[],MATCH($B3863,Table14[SAPNo],0),3),"")</f>
        <v>Drop In 1308 CT31   (B)</v>
      </c>
      <c r="D3863" s="420" t="s">
        <v>12</v>
      </c>
      <c r="E3863" s="421">
        <v>4</v>
      </c>
      <c r="F3863" s="580"/>
      <c r="G3863" s="417" t="s">
        <v>2674</v>
      </c>
      <c r="H3863" s="598" t="s">
        <v>2675</v>
      </c>
      <c r="I3863" s="322" t="s">
        <v>2676</v>
      </c>
      <c r="J3863" s="418"/>
      <c r="K3863" s="248"/>
      <c r="M3863" s="366"/>
    </row>
    <row r="3864" spans="1:13" x14ac:dyDescent="0.25">
      <c r="A3864" s="308">
        <v>45724</v>
      </c>
      <c r="B3864" s="416">
        <v>745576</v>
      </c>
      <c r="C3864" s="413" t="str">
        <f>IFERROR(INDEX(Table14[],MATCH($B3864,Table14[SAPNo],0),3),"")</f>
        <v>Round 1913 CT82  0.018" (S)</v>
      </c>
      <c r="D3864" s="420" t="s">
        <v>8</v>
      </c>
      <c r="E3864" s="421">
        <v>14</v>
      </c>
      <c r="F3864" s="580"/>
      <c r="G3864" s="417" t="s">
        <v>2674</v>
      </c>
      <c r="H3864" s="598" t="s">
        <v>2675</v>
      </c>
      <c r="I3864" s="322" t="s">
        <v>2676</v>
      </c>
      <c r="J3864" s="418"/>
      <c r="K3864" s="248"/>
      <c r="M3864" s="366"/>
    </row>
    <row r="3865" spans="1:13" x14ac:dyDescent="0.25">
      <c r="A3865" s="308">
        <v>45724</v>
      </c>
      <c r="B3865" s="416">
        <v>729691</v>
      </c>
      <c r="C3865" s="413" t="str">
        <f>IFERROR(INDEX(Table14[],MATCH($B3865,Table14[SAPNo],0),3),"")</f>
        <v>Round 1613 CT82  0.018" (S)</v>
      </c>
      <c r="D3865" s="420" t="s">
        <v>8</v>
      </c>
      <c r="E3865" s="421">
        <v>2</v>
      </c>
      <c r="F3865" s="580"/>
      <c r="G3865" s="417" t="s">
        <v>2674</v>
      </c>
      <c r="H3865" s="598" t="s">
        <v>2675</v>
      </c>
      <c r="I3865" s="322" t="s">
        <v>2676</v>
      </c>
      <c r="J3865" s="418"/>
      <c r="K3865" s="248"/>
      <c r="M3865" s="366"/>
    </row>
    <row r="3866" spans="1:13" x14ac:dyDescent="0.25">
      <c r="A3866" s="308">
        <v>45724</v>
      </c>
      <c r="B3866" s="416">
        <v>1130198</v>
      </c>
      <c r="C3866" s="413" t="str">
        <f>IFERROR(INDEX(Table14[],MATCH($B3866,Table14[SAPNo],0),3),"")</f>
        <v>Round 1613 CT182  0.018" (S)</v>
      </c>
      <c r="D3866" s="420" t="s">
        <v>1072</v>
      </c>
      <c r="E3866" s="421">
        <v>1</v>
      </c>
      <c r="F3866" s="580"/>
      <c r="G3866" s="417" t="s">
        <v>2677</v>
      </c>
      <c r="H3866" s="598">
        <v>13448293</v>
      </c>
      <c r="I3866" s="322" t="s">
        <v>2213</v>
      </c>
      <c r="J3866" s="418"/>
      <c r="K3866" s="248"/>
      <c r="M3866" s="366"/>
    </row>
    <row r="3867" spans="1:13" x14ac:dyDescent="0.25">
      <c r="A3867" s="308">
        <v>45724</v>
      </c>
      <c r="B3867" s="416">
        <v>418525</v>
      </c>
      <c r="C3867" s="413" t="str">
        <f>IFERROR(INDEX(Table14[],MATCH($B3867,Table14[SAPNo],0),3),"")</f>
        <v>Drop In 1308 CT31   (B)</v>
      </c>
      <c r="D3867" s="420" t="s">
        <v>12</v>
      </c>
      <c r="E3867" s="421">
        <v>4</v>
      </c>
      <c r="F3867" s="580"/>
      <c r="G3867" s="417" t="s">
        <v>2677</v>
      </c>
      <c r="H3867" s="598">
        <v>13448293</v>
      </c>
      <c r="I3867" s="322" t="s">
        <v>2213</v>
      </c>
      <c r="J3867" s="418"/>
      <c r="K3867" s="248"/>
      <c r="M3867" s="366"/>
    </row>
    <row r="3868" spans="1:13" x14ac:dyDescent="0.25">
      <c r="A3868" s="308">
        <v>45724</v>
      </c>
      <c r="B3868" s="416">
        <v>708306</v>
      </c>
      <c r="C3868" s="413" t="str">
        <f>IFERROR(INDEX(Table14[],MATCH($B3868,Table14[SAPNo],0),3),"")</f>
        <v>Round 1913 CT200  0.018" (B)</v>
      </c>
      <c r="D3868" s="420" t="s">
        <v>12</v>
      </c>
      <c r="E3868" s="421">
        <v>15</v>
      </c>
      <c r="F3868" s="580"/>
      <c r="G3868" s="417" t="s">
        <v>2677</v>
      </c>
      <c r="H3868" s="598">
        <v>13448293</v>
      </c>
      <c r="I3868" s="322" t="s">
        <v>2213</v>
      </c>
      <c r="J3868" s="418"/>
      <c r="K3868" s="248"/>
      <c r="M3868" s="366"/>
    </row>
    <row r="3869" spans="1:13" x14ac:dyDescent="0.25">
      <c r="A3869" s="308">
        <v>45724</v>
      </c>
      <c r="B3869" s="416">
        <v>1100759</v>
      </c>
      <c r="C3869" s="413" t="str">
        <f>IFERROR(INDEX(Table14[],MATCH($B3869,Table14[SAPNo],0),3),"")</f>
        <v>1913 CT421 0.018"</v>
      </c>
      <c r="D3869" s="420" t="s">
        <v>12</v>
      </c>
      <c r="E3869" s="421">
        <v>24</v>
      </c>
      <c r="F3869" s="580"/>
      <c r="G3869" s="417" t="s">
        <v>2677</v>
      </c>
      <c r="H3869" s="598">
        <v>13448293</v>
      </c>
      <c r="I3869" s="322" t="s">
        <v>2213</v>
      </c>
      <c r="J3869" s="418"/>
      <c r="K3869" s="248"/>
      <c r="M3869" s="366"/>
    </row>
    <row r="3870" spans="1:13" x14ac:dyDescent="0.25">
      <c r="A3870" s="308">
        <v>45724</v>
      </c>
      <c r="B3870" s="416">
        <v>871781</v>
      </c>
      <c r="C3870" s="413" t="str">
        <f>IFERROR(INDEX(Table14[],MATCH($B3870,Table14[SAPNo],0),3),"")</f>
        <v>Round 1313 CT200  0.018" (B)</v>
      </c>
      <c r="D3870" s="420" t="s">
        <v>12</v>
      </c>
      <c r="E3870" s="421">
        <v>1</v>
      </c>
      <c r="F3870" s="580"/>
      <c r="G3870" s="417" t="s">
        <v>2677</v>
      </c>
      <c r="H3870" s="598">
        <v>13448293</v>
      </c>
      <c r="I3870" s="322" t="s">
        <v>2213</v>
      </c>
      <c r="J3870" s="418"/>
      <c r="K3870" s="248"/>
      <c r="M3870" s="366"/>
    </row>
    <row r="3871" spans="1:13" x14ac:dyDescent="0.25">
      <c r="A3871" s="308">
        <v>45724</v>
      </c>
      <c r="B3871" s="416">
        <v>418525</v>
      </c>
      <c r="C3871" s="413" t="str">
        <f>IFERROR(INDEX(Table14[],MATCH($B3871,Table14[SAPNo],0),3),"")</f>
        <v>Drop In 1308 CT31   (B)</v>
      </c>
      <c r="D3871" s="420" t="s">
        <v>12</v>
      </c>
      <c r="E3871" s="421">
        <v>4</v>
      </c>
      <c r="F3871" s="580"/>
      <c r="G3871" s="417" t="s">
        <v>2678</v>
      </c>
      <c r="H3871" s="598">
        <v>14204329</v>
      </c>
      <c r="I3871" s="322" t="s">
        <v>2679</v>
      </c>
      <c r="J3871" s="418"/>
      <c r="K3871" s="248"/>
      <c r="M3871" s="366"/>
    </row>
    <row r="3872" spans="1:13" x14ac:dyDescent="0.25">
      <c r="A3872" s="308">
        <v>45724</v>
      </c>
      <c r="B3872" s="416">
        <v>1050703</v>
      </c>
      <c r="C3872" s="413" t="str">
        <f>IFERROR(INDEX(Table14[],MATCH($B3872,Table14[SAPNo],0),3),"")</f>
        <v>1318 CT221 R1</v>
      </c>
      <c r="D3872" s="420" t="s">
        <v>12</v>
      </c>
      <c r="E3872" s="421">
        <v>1</v>
      </c>
      <c r="F3872" s="580"/>
      <c r="G3872" s="417" t="s">
        <v>2678</v>
      </c>
      <c r="H3872" s="598">
        <v>14204329</v>
      </c>
      <c r="I3872" s="322" t="s">
        <v>2679</v>
      </c>
      <c r="J3872" s="418"/>
      <c r="K3872" s="248"/>
      <c r="M3872" s="366"/>
    </row>
    <row r="3873" spans="1:13" x14ac:dyDescent="0.25">
      <c r="A3873" s="308">
        <v>45725</v>
      </c>
      <c r="B3873" s="416">
        <v>647435</v>
      </c>
      <c r="C3873" s="413" t="str">
        <f>IFERROR(INDEX(Table14[],MATCH($B3873,Table14[SAPNo],0),3),"")</f>
        <v>Round 1608 CT200  0.018" (B)</v>
      </c>
      <c r="D3873" s="420" t="s">
        <v>12</v>
      </c>
      <c r="E3873" s="421">
        <v>3</v>
      </c>
      <c r="F3873" s="580"/>
      <c r="G3873" s="417" t="s">
        <v>2680</v>
      </c>
      <c r="H3873" s="598">
        <v>13401008</v>
      </c>
      <c r="I3873" s="322" t="s">
        <v>2681</v>
      </c>
      <c r="J3873" s="418"/>
      <c r="K3873" s="248"/>
      <c r="M3873" s="366"/>
    </row>
    <row r="3874" spans="1:13" x14ac:dyDescent="0.25">
      <c r="A3874" s="308">
        <v>45725</v>
      </c>
      <c r="B3874" s="416">
        <v>418525</v>
      </c>
      <c r="C3874" s="413" t="str">
        <f>IFERROR(INDEX(Table14[],MATCH($B3874,Table14[SAPNo],0),3),"")</f>
        <v>Drop In 1308 CT31   (B)</v>
      </c>
      <c r="D3874" s="420" t="s">
        <v>12</v>
      </c>
      <c r="E3874" s="421">
        <v>5</v>
      </c>
      <c r="F3874" s="580"/>
      <c r="G3874" s="417" t="s">
        <v>2680</v>
      </c>
      <c r="H3874" s="598">
        <v>13401008</v>
      </c>
      <c r="I3874" s="322" t="s">
        <v>2681</v>
      </c>
      <c r="J3874" s="418"/>
      <c r="K3874" s="248"/>
      <c r="M3874" s="366"/>
    </row>
    <row r="3875" spans="1:13" x14ac:dyDescent="0.25">
      <c r="A3875" s="308">
        <v>45725</v>
      </c>
      <c r="B3875" s="416">
        <v>1130198</v>
      </c>
      <c r="C3875" s="413" t="str">
        <f>IFERROR(INDEX(Table14[],MATCH($B3875,Table14[SAPNo],0),3),"")</f>
        <v>Round 1613 CT182  0.018" (S)</v>
      </c>
      <c r="D3875" s="420" t="s">
        <v>1072</v>
      </c>
      <c r="E3875" s="421">
        <v>6</v>
      </c>
      <c r="F3875" s="580"/>
      <c r="G3875" s="417" t="s">
        <v>2680</v>
      </c>
      <c r="H3875" s="598">
        <v>13401008</v>
      </c>
      <c r="I3875" s="322" t="s">
        <v>2681</v>
      </c>
      <c r="J3875" s="418"/>
      <c r="K3875" s="248"/>
      <c r="M3875" s="366"/>
    </row>
    <row r="3876" spans="1:13" x14ac:dyDescent="0.25">
      <c r="A3876" s="308">
        <v>45725</v>
      </c>
      <c r="B3876" s="416">
        <v>2004484</v>
      </c>
      <c r="C3876" s="413" t="str">
        <f>IFERROR(INDEX(Table14[],MATCH($B3876,Table14[SAPNo],0),3),"")</f>
        <v>1308 CT187 U-60</v>
      </c>
      <c r="D3876" s="420" t="s">
        <v>12</v>
      </c>
      <c r="E3876" s="421">
        <v>9</v>
      </c>
      <c r="F3876" s="580"/>
      <c r="G3876" s="417" t="s">
        <v>2682</v>
      </c>
      <c r="H3876" s="598">
        <v>14293152</v>
      </c>
      <c r="I3876" s="322" t="s">
        <v>2673</v>
      </c>
      <c r="J3876" s="418"/>
      <c r="K3876" s="248"/>
      <c r="M3876" s="366"/>
    </row>
    <row r="3877" spans="1:13" x14ac:dyDescent="0.25">
      <c r="A3877" s="308">
        <v>45725</v>
      </c>
      <c r="B3877" s="416">
        <v>1228502</v>
      </c>
      <c r="C3877" s="413" t="str">
        <f>IFERROR(INDEX(Table14[],MATCH($B3877,Table14[SAPNo],0),3),"")</f>
        <v>1618 CT182 U-60 Rotor</v>
      </c>
      <c r="D3877" s="420" t="s">
        <v>12</v>
      </c>
      <c r="E3877" s="421">
        <v>10</v>
      </c>
      <c r="F3877" s="580"/>
      <c r="G3877" s="417" t="s">
        <v>2682</v>
      </c>
      <c r="H3877" s="598">
        <v>14293152</v>
      </c>
      <c r="I3877" s="322" t="s">
        <v>2673</v>
      </c>
      <c r="J3877" s="418"/>
      <c r="K3877" s="248"/>
      <c r="M3877" s="366"/>
    </row>
    <row r="3878" spans="1:13" x14ac:dyDescent="0.25">
      <c r="A3878" s="308">
        <v>45725</v>
      </c>
      <c r="B3878" s="416">
        <v>1228501</v>
      </c>
      <c r="C3878" s="413" t="str">
        <f>IFERROR(INDEX(Table14[],MATCH($B3878,Table14[SAPNo],0),3),"")</f>
        <v>1618 CT182 U-60 stator</v>
      </c>
      <c r="D3878" s="420" t="s">
        <v>12</v>
      </c>
      <c r="E3878" s="421">
        <v>10</v>
      </c>
      <c r="F3878" s="580"/>
      <c r="G3878" s="417" t="s">
        <v>2682</v>
      </c>
      <c r="H3878" s="598">
        <v>14293152</v>
      </c>
      <c r="I3878" s="322" t="s">
        <v>2673</v>
      </c>
      <c r="J3878" s="418"/>
      <c r="K3878" s="248"/>
      <c r="M3878" s="366"/>
    </row>
    <row r="3879" spans="1:13" x14ac:dyDescent="0.25">
      <c r="A3879" s="308">
        <v>45725</v>
      </c>
      <c r="B3879" s="416">
        <v>1228503</v>
      </c>
      <c r="C3879" s="413" t="str">
        <f>IFERROR(INDEX(Table14[],MATCH($B3879,Table14[SAPNo],0),3),"")</f>
        <v>1618 CT182 U-60 Ring</v>
      </c>
      <c r="D3879" s="420" t="s">
        <v>12</v>
      </c>
      <c r="E3879" s="421">
        <v>10</v>
      </c>
      <c r="F3879" s="580"/>
      <c r="G3879" s="417" t="s">
        <v>2682</v>
      </c>
      <c r="H3879" s="598">
        <v>14293152</v>
      </c>
      <c r="I3879" s="322" t="s">
        <v>2673</v>
      </c>
      <c r="J3879" s="418"/>
      <c r="K3879" s="248"/>
      <c r="M3879" s="366"/>
    </row>
    <row r="3880" spans="1:13" x14ac:dyDescent="0.25">
      <c r="A3880" s="308">
        <v>45725</v>
      </c>
      <c r="B3880" s="416">
        <v>1261319</v>
      </c>
      <c r="C3880" s="413" t="str">
        <f>IFERROR(INDEX(Table14[],MATCH($B3880,Table14[SAPNo],0),3),"")</f>
        <v>1308 CT155 U-60</v>
      </c>
      <c r="D3880" s="420" t="s">
        <v>12</v>
      </c>
      <c r="E3880" s="421">
        <v>15</v>
      </c>
      <c r="F3880" s="580"/>
      <c r="G3880" s="417" t="s">
        <v>2682</v>
      </c>
      <c r="H3880" s="598">
        <v>14293152</v>
      </c>
      <c r="I3880" s="322" t="s">
        <v>2673</v>
      </c>
      <c r="J3880" s="418"/>
      <c r="K3880" s="248"/>
      <c r="M3880" s="366"/>
    </row>
    <row r="3881" spans="1:13" x14ac:dyDescent="0.25">
      <c r="A3881" s="308">
        <v>45725</v>
      </c>
      <c r="B3881" s="416">
        <v>1261320</v>
      </c>
      <c r="C3881" s="413" t="str">
        <f>IFERROR(INDEX(Table14[],MATCH($B3881,Table14[SAPNo],0),3),"")</f>
        <v>1313 CT155 U-60</v>
      </c>
      <c r="D3881" s="420" t="s">
        <v>12</v>
      </c>
      <c r="E3881" s="421">
        <v>6</v>
      </c>
      <c r="F3881" s="580"/>
      <c r="G3881" s="417" t="s">
        <v>2682</v>
      </c>
      <c r="H3881" s="598">
        <v>14293152</v>
      </c>
      <c r="I3881" s="322" t="s">
        <v>2673</v>
      </c>
      <c r="J3881" s="418"/>
      <c r="K3881" s="248"/>
      <c r="M3881" s="366"/>
    </row>
    <row r="3882" spans="1:13" x14ac:dyDescent="0.25">
      <c r="A3882" s="308">
        <v>45725</v>
      </c>
      <c r="B3882" s="416">
        <v>2002299</v>
      </c>
      <c r="C3882" s="413" t="str">
        <f>IFERROR(INDEX(Table14[],MATCH($B3882,Table14[SAPNo],0),3),"")</f>
        <v>1613 CT187 U-60</v>
      </c>
      <c r="D3882" s="420" t="s">
        <v>12</v>
      </c>
      <c r="E3882" s="421">
        <v>1</v>
      </c>
      <c r="F3882" s="580"/>
      <c r="G3882" s="417" t="s">
        <v>2682</v>
      </c>
      <c r="H3882" s="598">
        <v>14293152</v>
      </c>
      <c r="I3882" s="322" t="s">
        <v>2673</v>
      </c>
      <c r="J3882" s="418"/>
      <c r="K3882" s="248"/>
      <c r="M3882" s="366"/>
    </row>
    <row r="3883" spans="1:13" x14ac:dyDescent="0.25">
      <c r="A3883" s="308">
        <v>45725</v>
      </c>
      <c r="B3883" s="416">
        <v>871781</v>
      </c>
      <c r="C3883" s="413" t="str">
        <f>IFERROR(INDEX(Table14[],MATCH($B3883,Table14[SAPNo],0),3),"")</f>
        <v>Round 1313 CT200  0.018" (B)</v>
      </c>
      <c r="D3883" s="420" t="s">
        <v>12</v>
      </c>
      <c r="E3883" s="421">
        <v>6</v>
      </c>
      <c r="F3883" s="580"/>
      <c r="G3883" s="417" t="s">
        <v>2682</v>
      </c>
      <c r="H3883" s="598">
        <v>14293152</v>
      </c>
      <c r="I3883" s="322" t="s">
        <v>2673</v>
      </c>
      <c r="J3883" s="418"/>
      <c r="K3883" s="248"/>
      <c r="M3883" s="366"/>
    </row>
    <row r="3884" spans="1:13" x14ac:dyDescent="0.25">
      <c r="A3884" s="308">
        <v>45725</v>
      </c>
      <c r="B3884" s="416">
        <v>1261321</v>
      </c>
      <c r="C3884" s="413" t="str">
        <f>IFERROR(INDEX(Table14[],MATCH($B3884,Table14[SAPNo],0),3),"")</f>
        <v>1613 CT155 U-60</v>
      </c>
      <c r="D3884" s="420" t="s">
        <v>12</v>
      </c>
      <c r="E3884" s="421">
        <v>3</v>
      </c>
      <c r="F3884" s="580"/>
      <c r="G3884" s="417" t="s">
        <v>2682</v>
      </c>
      <c r="H3884" s="598">
        <v>14293152</v>
      </c>
      <c r="I3884" s="322" t="s">
        <v>2673</v>
      </c>
      <c r="J3884" s="418"/>
      <c r="K3884" s="248"/>
      <c r="M3884" s="366"/>
    </row>
    <row r="3885" spans="1:13" x14ac:dyDescent="0.25">
      <c r="A3885" s="320">
        <v>45725</v>
      </c>
      <c r="B3885" s="419">
        <v>1220554</v>
      </c>
      <c r="C3885" s="413" t="str">
        <f>IFERROR(INDEX(Table14[],MATCH($B3885,Table14[SAPNo],0),3),"")</f>
        <v xml:space="preserve">1618 CT182 U-60 Carbide </v>
      </c>
      <c r="D3885" s="420" t="s">
        <v>12</v>
      </c>
      <c r="E3885" s="421">
        <v>10</v>
      </c>
      <c r="F3885" s="580"/>
      <c r="G3885" s="420" t="s">
        <v>2682</v>
      </c>
      <c r="H3885" s="599">
        <v>14293152</v>
      </c>
      <c r="I3885" s="322" t="s">
        <v>2673</v>
      </c>
      <c r="J3885" s="421"/>
      <c r="K3885" s="422"/>
      <c r="M3885" s="366"/>
    </row>
    <row r="3886" spans="1:13" x14ac:dyDescent="0.25">
      <c r="A3886" s="320">
        <v>45725</v>
      </c>
      <c r="B3886" s="416">
        <v>717748</v>
      </c>
      <c r="C3886" s="413" t="str">
        <f>IFERROR(INDEX(Table14[],MATCH($B3886,Table14[SAPNo],0),3),"")</f>
        <v>Round 1010 CT200  0.018" (B)</v>
      </c>
      <c r="D3886" s="420" t="s">
        <v>12</v>
      </c>
      <c r="E3886" s="421">
        <v>3</v>
      </c>
      <c r="F3886" s="421"/>
      <c r="G3886" s="417" t="s">
        <v>2683</v>
      </c>
      <c r="H3886" s="598" t="s">
        <v>2684</v>
      </c>
      <c r="I3886" s="322" t="s">
        <v>1069</v>
      </c>
      <c r="J3886" s="418"/>
      <c r="K3886" s="248"/>
      <c r="M3886" s="422"/>
    </row>
    <row r="3887" spans="1:13" x14ac:dyDescent="0.25">
      <c r="A3887" s="308">
        <v>45726</v>
      </c>
      <c r="B3887" s="416">
        <v>717748</v>
      </c>
      <c r="C3887" s="413" t="str">
        <f>IFERROR(INDEX(Table14[],MATCH($B3887,Table14[SAPNo],0),3),"")</f>
        <v>Round 1010 CT200  0.018" (B)</v>
      </c>
      <c r="D3887" s="420" t="s">
        <v>12</v>
      </c>
      <c r="E3887" s="421">
        <v>3</v>
      </c>
      <c r="F3887" s="421"/>
      <c r="G3887" s="417">
        <v>20251037</v>
      </c>
      <c r="H3887" s="598" t="s">
        <v>2685</v>
      </c>
      <c r="I3887" s="322" t="s">
        <v>1069</v>
      </c>
      <c r="J3887" s="418"/>
      <c r="K3887" s="248"/>
      <c r="M3887" s="422"/>
    </row>
    <row r="3888" spans="1:13" x14ac:dyDescent="0.25">
      <c r="A3888" s="308">
        <v>45726</v>
      </c>
      <c r="B3888" s="416">
        <v>983152</v>
      </c>
      <c r="C3888" s="413" t="str">
        <f>IFERROR(INDEX(Table14[],MATCH($B3888,Table14[SAPNo],0),3),"")</f>
        <v>Round 1913 CT216  0.018" (S)</v>
      </c>
      <c r="D3888" s="420" t="s">
        <v>12</v>
      </c>
      <c r="E3888" s="421">
        <v>1</v>
      </c>
      <c r="F3888" s="580"/>
      <c r="G3888" s="417" t="s">
        <v>2674</v>
      </c>
      <c r="H3888" s="598" t="s">
        <v>2675</v>
      </c>
      <c r="I3888" s="322" t="s">
        <v>2676</v>
      </c>
      <c r="J3888" s="418"/>
      <c r="K3888" s="248"/>
      <c r="M3888" s="366"/>
    </row>
    <row r="3889" spans="1:13" x14ac:dyDescent="0.25">
      <c r="A3889" s="308">
        <v>45726</v>
      </c>
      <c r="B3889" s="416">
        <v>1100759</v>
      </c>
      <c r="C3889" s="413" t="str">
        <f>IFERROR(INDEX(Table14[],MATCH($B3889,Table14[SAPNo],0),3),"")</f>
        <v>1913 CT421 0.018"</v>
      </c>
      <c r="D3889" s="420" t="s">
        <v>12</v>
      </c>
      <c r="E3889" s="421">
        <v>2</v>
      </c>
      <c r="F3889" s="580"/>
      <c r="G3889" s="417" t="s">
        <v>2674</v>
      </c>
      <c r="H3889" s="598" t="s">
        <v>2675</v>
      </c>
      <c r="I3889" s="322" t="s">
        <v>2676</v>
      </c>
      <c r="J3889" s="418"/>
      <c r="K3889" s="248"/>
      <c r="M3889" s="366"/>
    </row>
    <row r="3890" spans="1:13" x14ac:dyDescent="0.25">
      <c r="A3890" s="308">
        <v>45726</v>
      </c>
      <c r="B3890" s="416">
        <v>708306</v>
      </c>
      <c r="C3890" s="413" t="str">
        <f>IFERROR(INDEX(Table14[],MATCH($B3890,Table14[SAPNo],0),3),"")</f>
        <v>Round 1913 CT200  0.018" (B)</v>
      </c>
      <c r="D3890" s="420" t="s">
        <v>12</v>
      </c>
      <c r="E3890" s="421">
        <v>2</v>
      </c>
      <c r="F3890" s="580"/>
      <c r="G3890" s="417" t="s">
        <v>2677</v>
      </c>
      <c r="H3890" s="598">
        <v>13448293</v>
      </c>
      <c r="I3890" s="322" t="s">
        <v>2213</v>
      </c>
      <c r="J3890" s="418"/>
      <c r="K3890" s="248"/>
      <c r="M3890" s="366"/>
    </row>
    <row r="3891" spans="1:13" x14ac:dyDescent="0.25">
      <c r="A3891" s="308">
        <v>45726</v>
      </c>
      <c r="B3891" s="416">
        <v>1100759</v>
      </c>
      <c r="C3891" s="413" t="str">
        <f>IFERROR(INDEX(Table14[],MATCH($B3891,Table14[SAPNo],0),3),"")</f>
        <v>1913 CT421 0.018"</v>
      </c>
      <c r="D3891" s="420" t="s">
        <v>12</v>
      </c>
      <c r="E3891" s="421">
        <v>1</v>
      </c>
      <c r="F3891" s="580"/>
      <c r="G3891" s="417" t="s">
        <v>2677</v>
      </c>
      <c r="H3891" s="598">
        <v>13448293</v>
      </c>
      <c r="I3891" s="322" t="s">
        <v>2213</v>
      </c>
      <c r="J3891" s="418"/>
      <c r="K3891" s="248"/>
      <c r="M3891" s="366"/>
    </row>
    <row r="3892" spans="1:13" x14ac:dyDescent="0.25">
      <c r="A3892" s="308">
        <v>45726</v>
      </c>
      <c r="B3892" s="416">
        <v>717748</v>
      </c>
      <c r="C3892" s="413" t="str">
        <f>IFERROR(INDEX(Table14[],MATCH($B3892,Table14[SAPNo],0),3),"")</f>
        <v>Round 1010 CT200  0.018" (B)</v>
      </c>
      <c r="D3892" s="420" t="s">
        <v>12</v>
      </c>
      <c r="E3892" s="421">
        <v>3</v>
      </c>
      <c r="F3892" s="580"/>
      <c r="G3892" s="417" t="s">
        <v>2686</v>
      </c>
      <c r="H3892" s="598" t="s">
        <v>2687</v>
      </c>
      <c r="I3892" s="322" t="s">
        <v>1069</v>
      </c>
      <c r="J3892" s="418"/>
      <c r="K3892" s="248"/>
      <c r="M3892" s="366"/>
    </row>
    <row r="3893" spans="1:13" x14ac:dyDescent="0.25">
      <c r="A3893" s="308">
        <v>45726</v>
      </c>
      <c r="B3893" s="416">
        <v>717748</v>
      </c>
      <c r="C3893" s="413" t="str">
        <f>IFERROR(INDEX(Table14[],MATCH($B3893,Table14[SAPNo],0),3),"")</f>
        <v>Round 1010 CT200  0.018" (B)</v>
      </c>
      <c r="D3893" s="420" t="s">
        <v>12</v>
      </c>
      <c r="E3893" s="421">
        <v>1</v>
      </c>
      <c r="F3893" s="580"/>
      <c r="G3893" s="417" t="s">
        <v>2688</v>
      </c>
      <c r="H3893" s="598" t="s">
        <v>2689</v>
      </c>
      <c r="I3893" s="322" t="s">
        <v>2362</v>
      </c>
      <c r="J3893" s="418"/>
      <c r="K3893" s="248"/>
      <c r="M3893" s="366"/>
    </row>
    <row r="3894" spans="1:13" x14ac:dyDescent="0.25">
      <c r="A3894" s="308">
        <v>45728</v>
      </c>
      <c r="B3894" s="416">
        <v>1261319</v>
      </c>
      <c r="C3894" s="413" t="str">
        <f>IFERROR(INDEX(Table14[],MATCH($B3894,Table14[SAPNo],0),3),"")</f>
        <v>1308 CT155 U-60</v>
      </c>
      <c r="D3894" s="420" t="s">
        <v>12</v>
      </c>
      <c r="E3894" s="421">
        <v>36</v>
      </c>
      <c r="F3894" s="580"/>
      <c r="G3894" s="417" t="s">
        <v>2690</v>
      </c>
      <c r="H3894" s="598" t="s">
        <v>2691</v>
      </c>
      <c r="I3894" s="322" t="s">
        <v>2692</v>
      </c>
      <c r="J3894" s="418"/>
      <c r="K3894" s="248"/>
      <c r="M3894" s="366"/>
    </row>
    <row r="3895" spans="1:13" x14ac:dyDescent="0.25">
      <c r="A3895" s="308">
        <v>45728</v>
      </c>
      <c r="B3895" s="416">
        <v>1220688</v>
      </c>
      <c r="C3895" s="413" t="str">
        <f>IFERROR(INDEX(Table14[],MATCH($B3895,Table14[SAPNo],0),3),"")</f>
        <v>1005 CT155 U-60</v>
      </c>
      <c r="D3895" s="420" t="s">
        <v>12</v>
      </c>
      <c r="E3895" s="421">
        <v>4</v>
      </c>
      <c r="F3895" s="580"/>
      <c r="G3895" s="417" t="s">
        <v>2690</v>
      </c>
      <c r="H3895" s="598" t="s">
        <v>2691</v>
      </c>
      <c r="I3895" s="322" t="s">
        <v>2692</v>
      </c>
      <c r="J3895" s="418"/>
      <c r="K3895" s="248"/>
      <c r="M3895" s="366"/>
    </row>
    <row r="3896" spans="1:13" x14ac:dyDescent="0.25">
      <c r="A3896" s="308">
        <v>45728</v>
      </c>
      <c r="B3896" s="416">
        <v>418525</v>
      </c>
      <c r="C3896" s="413" t="str">
        <f>IFERROR(INDEX(Table14[],MATCH($B3896,Table14[SAPNo],0),3),"")</f>
        <v>Drop In 1308 CT31   (B)</v>
      </c>
      <c r="D3896" s="420" t="s">
        <v>12</v>
      </c>
      <c r="E3896" s="421">
        <v>8</v>
      </c>
      <c r="F3896" s="580"/>
      <c r="G3896" s="417" t="s">
        <v>2690</v>
      </c>
      <c r="H3896" s="598" t="s">
        <v>2691</v>
      </c>
      <c r="I3896" s="322" t="s">
        <v>2692</v>
      </c>
      <c r="J3896" s="418"/>
      <c r="K3896" s="248"/>
      <c r="M3896" s="366"/>
    </row>
    <row r="3897" spans="1:13" x14ac:dyDescent="0.25">
      <c r="A3897" s="308">
        <v>45728</v>
      </c>
      <c r="B3897" s="416">
        <v>1220688</v>
      </c>
      <c r="C3897" s="413" t="str">
        <f>IFERROR(INDEX(Table14[],MATCH($B3897,Table14[SAPNo],0),3),"")</f>
        <v>1005 CT155 U-60</v>
      </c>
      <c r="D3897" s="420" t="s">
        <v>12</v>
      </c>
      <c r="E3897" s="421">
        <v>4</v>
      </c>
      <c r="F3897" s="580"/>
      <c r="G3897" s="417" t="s">
        <v>2693</v>
      </c>
      <c r="H3897" s="598" t="s">
        <v>2691</v>
      </c>
      <c r="I3897" s="322" t="s">
        <v>2692</v>
      </c>
      <c r="J3897" s="418"/>
      <c r="K3897" s="248"/>
      <c r="M3897" s="366"/>
    </row>
    <row r="3898" spans="1:13" x14ac:dyDescent="0.25">
      <c r="A3898" s="308">
        <v>45728</v>
      </c>
      <c r="B3898" s="416">
        <v>1261319</v>
      </c>
      <c r="C3898" s="413" t="str">
        <f>IFERROR(INDEX(Table14[],MATCH($B3898,Table14[SAPNo],0),3),"")</f>
        <v>1308 CT155 U-60</v>
      </c>
      <c r="D3898" s="420" t="s">
        <v>12</v>
      </c>
      <c r="E3898" s="421">
        <v>36</v>
      </c>
      <c r="F3898" s="580"/>
      <c r="G3898" s="417" t="s">
        <v>2693</v>
      </c>
      <c r="H3898" s="598" t="s">
        <v>2691</v>
      </c>
      <c r="I3898" s="322" t="s">
        <v>2692</v>
      </c>
      <c r="J3898" s="418"/>
      <c r="K3898" s="248"/>
      <c r="M3898" s="366"/>
    </row>
    <row r="3899" spans="1:13" x14ac:dyDescent="0.25">
      <c r="A3899" s="308">
        <v>45728</v>
      </c>
      <c r="B3899" s="416">
        <v>418525</v>
      </c>
      <c r="C3899" s="413" t="str">
        <f>IFERROR(INDEX(Table14[],MATCH($B3899,Table14[SAPNo],0),3),"")</f>
        <v>Drop In 1308 CT31   (B)</v>
      </c>
      <c r="D3899" s="420" t="s">
        <v>12</v>
      </c>
      <c r="E3899" s="421">
        <v>3</v>
      </c>
      <c r="F3899" s="580"/>
      <c r="G3899" s="417" t="s">
        <v>2693</v>
      </c>
      <c r="H3899" s="598" t="s">
        <v>2691</v>
      </c>
      <c r="I3899" s="322" t="s">
        <v>2692</v>
      </c>
      <c r="J3899" s="418"/>
      <c r="K3899" s="248"/>
      <c r="M3899" s="366"/>
    </row>
    <row r="3900" spans="1:13" x14ac:dyDescent="0.25">
      <c r="A3900" s="308">
        <v>45728</v>
      </c>
      <c r="B3900" s="416">
        <v>1100696</v>
      </c>
      <c r="C3900" s="413" t="str">
        <f>IFERROR(INDEX(Table14[],MATCH($B3900,Table14[SAPNo],0),3),"")</f>
        <v>Round 1313 CT418  10C (S)</v>
      </c>
      <c r="D3900" s="420" t="s">
        <v>12</v>
      </c>
      <c r="E3900" s="421">
        <v>5</v>
      </c>
      <c r="F3900" s="580"/>
      <c r="G3900" s="417">
        <v>20251035</v>
      </c>
      <c r="H3900" s="598" t="s">
        <v>2694</v>
      </c>
      <c r="I3900" s="322" t="s">
        <v>2090</v>
      </c>
      <c r="J3900" s="418"/>
      <c r="K3900" s="248"/>
      <c r="M3900" s="366"/>
    </row>
    <row r="3901" spans="1:13" x14ac:dyDescent="0.25">
      <c r="A3901" s="308">
        <v>45728</v>
      </c>
      <c r="B3901" s="416">
        <v>1208601</v>
      </c>
      <c r="C3901" s="413" t="str">
        <f>IFERROR(INDEX(Table14[],MATCH($B3901,Table14[SAPNo],0),3),"")</f>
        <v>1613 CT418 U-60</v>
      </c>
      <c r="D3901" s="420" t="s">
        <v>12</v>
      </c>
      <c r="E3901" s="421">
        <v>1</v>
      </c>
      <c r="F3901" s="580"/>
      <c r="G3901" s="417" t="s">
        <v>2695</v>
      </c>
      <c r="H3901" s="598" t="s">
        <v>2696</v>
      </c>
      <c r="I3901" s="322" t="s">
        <v>2179</v>
      </c>
      <c r="J3901" s="418"/>
      <c r="K3901" s="248"/>
      <c r="M3901" s="366"/>
    </row>
    <row r="3902" spans="1:13" x14ac:dyDescent="0.25">
      <c r="A3902" s="308">
        <v>45728</v>
      </c>
      <c r="B3902" s="416">
        <v>418525</v>
      </c>
      <c r="C3902" s="413" t="str">
        <f>IFERROR(INDEX(Table14[],MATCH($B3902,Table14[SAPNo],0),3),"")</f>
        <v>Drop In 1308 CT31   (B)</v>
      </c>
      <c r="D3902" s="420" t="s">
        <v>12</v>
      </c>
      <c r="E3902" s="421">
        <v>6</v>
      </c>
      <c r="F3902" s="580"/>
      <c r="G3902" s="417" t="s">
        <v>2695</v>
      </c>
      <c r="H3902" s="598" t="s">
        <v>2696</v>
      </c>
      <c r="I3902" s="322" t="s">
        <v>2179</v>
      </c>
      <c r="J3902" s="418"/>
      <c r="K3902" s="248"/>
      <c r="M3902" s="366"/>
    </row>
    <row r="3903" spans="1:13" x14ac:dyDescent="0.25">
      <c r="A3903" s="308">
        <v>45728</v>
      </c>
      <c r="B3903" s="416">
        <v>1050703</v>
      </c>
      <c r="C3903" s="413" t="str">
        <f>IFERROR(INDEX(Table14[],MATCH($B3903,Table14[SAPNo],0),3),"")</f>
        <v>1318 CT221 R1</v>
      </c>
      <c r="D3903" s="420" t="s">
        <v>12</v>
      </c>
      <c r="E3903" s="421">
        <v>6</v>
      </c>
      <c r="F3903" s="580"/>
      <c r="G3903" s="417" t="s">
        <v>2695</v>
      </c>
      <c r="H3903" s="598" t="s">
        <v>2696</v>
      </c>
      <c r="I3903" s="322" t="s">
        <v>2179</v>
      </c>
      <c r="J3903" s="418"/>
      <c r="K3903" s="248"/>
      <c r="M3903" s="366"/>
    </row>
    <row r="3904" spans="1:13" x14ac:dyDescent="0.25">
      <c r="A3904" s="308">
        <v>45728</v>
      </c>
      <c r="B3904" s="416">
        <v>1271790</v>
      </c>
      <c r="C3904" s="413" t="str">
        <f>IFERROR(INDEX(Table14[],MATCH($B3904,Table14[SAPNo],0),3),"")</f>
        <v xml:space="preserve">1613 CT170 18-60 </v>
      </c>
      <c r="D3904" s="420" t="s">
        <v>12</v>
      </c>
      <c r="E3904" s="421">
        <v>1</v>
      </c>
      <c r="F3904" s="580"/>
      <c r="G3904" s="417" t="s">
        <v>2695</v>
      </c>
      <c r="H3904" s="598" t="s">
        <v>2696</v>
      </c>
      <c r="I3904" s="322" t="s">
        <v>2179</v>
      </c>
      <c r="J3904" s="418"/>
      <c r="K3904" s="248"/>
      <c r="M3904" s="366"/>
    </row>
    <row r="3905" spans="1:13" x14ac:dyDescent="0.25">
      <c r="A3905" s="308">
        <v>45728</v>
      </c>
      <c r="B3905" s="416">
        <v>1146737</v>
      </c>
      <c r="C3905" s="413" t="str">
        <f>IFERROR(INDEX(Table14[],MATCH($B3905,Table14[SAPNo],0),3),"")</f>
        <v>1613 CT418 18-60</v>
      </c>
      <c r="D3905" s="420" t="s">
        <v>12</v>
      </c>
      <c r="E3905" s="421">
        <v>6</v>
      </c>
      <c r="F3905" s="580"/>
      <c r="G3905" s="417" t="s">
        <v>2695</v>
      </c>
      <c r="H3905" s="598" t="s">
        <v>2696</v>
      </c>
      <c r="I3905" s="322" t="s">
        <v>2179</v>
      </c>
      <c r="J3905" s="418"/>
      <c r="K3905" s="248"/>
      <c r="M3905" s="366"/>
    </row>
    <row r="3906" spans="1:13" x14ac:dyDescent="0.25">
      <c r="A3906" s="308">
        <v>45728</v>
      </c>
      <c r="B3906" s="416">
        <v>1146737</v>
      </c>
      <c r="C3906" s="413" t="str">
        <f>IFERROR(INDEX(Table14[],MATCH($B3906,Table14[SAPNo],0),3),"")</f>
        <v>1613 CT418 18-60</v>
      </c>
      <c r="D3906" s="420" t="s">
        <v>12</v>
      </c>
      <c r="E3906" s="421">
        <v>6</v>
      </c>
      <c r="F3906" s="580"/>
      <c r="G3906" s="417" t="s">
        <v>2697</v>
      </c>
      <c r="H3906" s="598">
        <v>14144630</v>
      </c>
      <c r="I3906" s="322" t="s">
        <v>1273</v>
      </c>
      <c r="J3906" s="418"/>
      <c r="K3906" s="248"/>
      <c r="M3906" s="366"/>
    </row>
    <row r="3907" spans="1:13" x14ac:dyDescent="0.25">
      <c r="A3907" s="308">
        <v>45728</v>
      </c>
      <c r="B3907" s="416">
        <v>717748</v>
      </c>
      <c r="C3907" s="413" t="str">
        <f>IFERROR(INDEX(Table14[],MATCH($B3907,Table14[SAPNo],0),3),"")</f>
        <v>Round 1010 CT200  0.018" (B)</v>
      </c>
      <c r="D3907" s="420" t="s">
        <v>12</v>
      </c>
      <c r="E3907" s="421">
        <v>5</v>
      </c>
      <c r="F3907" s="580"/>
      <c r="G3907" s="417" t="s">
        <v>2686</v>
      </c>
      <c r="H3907" s="598" t="s">
        <v>2687</v>
      </c>
      <c r="I3907" s="322" t="s">
        <v>1069</v>
      </c>
      <c r="J3907" s="418"/>
      <c r="K3907" s="248"/>
      <c r="M3907" s="366"/>
    </row>
    <row r="3908" spans="1:13" x14ac:dyDescent="0.25">
      <c r="A3908" s="320">
        <v>45728</v>
      </c>
      <c r="B3908" s="419">
        <v>717748</v>
      </c>
      <c r="C3908" s="413" t="str">
        <f>IFERROR(INDEX(Table14[],MATCH($B3908,Table14[SAPNo],0),3),"")</f>
        <v>Round 1010 CT200  0.018" (B)</v>
      </c>
      <c r="D3908" s="420" t="s">
        <v>12</v>
      </c>
      <c r="E3908" s="421">
        <v>3</v>
      </c>
      <c r="F3908" s="580"/>
      <c r="G3908" s="420" t="s">
        <v>2688</v>
      </c>
      <c r="H3908" s="599" t="s">
        <v>2689</v>
      </c>
      <c r="I3908" s="322" t="s">
        <v>2362</v>
      </c>
      <c r="J3908" s="421"/>
      <c r="K3908" s="422"/>
      <c r="M3908" s="366"/>
    </row>
    <row r="3909" spans="1:13" x14ac:dyDescent="0.25">
      <c r="A3909" s="308">
        <v>45729</v>
      </c>
      <c r="B3909" s="416">
        <v>1146737</v>
      </c>
      <c r="C3909" s="413" t="str">
        <f>IFERROR(INDEX(Table14[],MATCH($B3909,Table14[SAPNo],0),3),"")</f>
        <v>1613 CT418 18-60</v>
      </c>
      <c r="D3909" s="420" t="s">
        <v>12</v>
      </c>
      <c r="E3909" s="421">
        <v>9</v>
      </c>
      <c r="F3909" s="421"/>
      <c r="G3909" s="417" t="s">
        <v>2698</v>
      </c>
      <c r="H3909" s="598">
        <v>14293155</v>
      </c>
      <c r="I3909" s="322" t="s">
        <v>1378</v>
      </c>
      <c r="J3909" s="418"/>
      <c r="K3909" s="248"/>
      <c r="M3909" s="422"/>
    </row>
    <row r="3910" spans="1:13" x14ac:dyDescent="0.25">
      <c r="A3910" s="308">
        <v>45729</v>
      </c>
      <c r="B3910" s="416">
        <v>1208601</v>
      </c>
      <c r="C3910" s="413" t="str">
        <f>IFERROR(INDEX(Table14[],MATCH($B3910,Table14[SAPNo],0),3),"")</f>
        <v>1613 CT418 U-60</v>
      </c>
      <c r="D3910" s="420" t="s">
        <v>12</v>
      </c>
      <c r="E3910" s="421">
        <v>15</v>
      </c>
      <c r="F3910" s="580"/>
      <c r="G3910" s="417" t="s">
        <v>2698</v>
      </c>
      <c r="H3910" s="598">
        <v>14293155</v>
      </c>
      <c r="I3910" s="322" t="s">
        <v>1378</v>
      </c>
      <c r="J3910" s="418"/>
      <c r="K3910" s="248"/>
      <c r="M3910" s="366"/>
    </row>
    <row r="3911" spans="1:13" x14ac:dyDescent="0.25">
      <c r="A3911" s="308">
        <v>45729</v>
      </c>
      <c r="B3911" s="416">
        <v>871781</v>
      </c>
      <c r="C3911" s="413" t="str">
        <f>IFERROR(INDEX(Table14[],MATCH($B3911,Table14[SAPNo],0),3),"")</f>
        <v>Round 1313 CT200  0.018" (B)</v>
      </c>
      <c r="D3911" s="420" t="s">
        <v>12</v>
      </c>
      <c r="E3911" s="421">
        <v>42</v>
      </c>
      <c r="F3911" s="580"/>
      <c r="G3911" s="417" t="s">
        <v>2698</v>
      </c>
      <c r="H3911" s="598">
        <v>14293155</v>
      </c>
      <c r="I3911" s="322" t="s">
        <v>1378</v>
      </c>
      <c r="J3911" s="418"/>
      <c r="K3911" s="248"/>
      <c r="M3911" s="366"/>
    </row>
    <row r="3912" spans="1:13" x14ac:dyDescent="0.25">
      <c r="A3912" s="308">
        <v>45729</v>
      </c>
      <c r="B3912" s="416">
        <v>1271790</v>
      </c>
      <c r="C3912" s="413" t="str">
        <f>IFERROR(INDEX(Table14[],MATCH($B3912,Table14[SAPNo],0),3),"")</f>
        <v xml:space="preserve">1613 CT170 18-60 </v>
      </c>
      <c r="D3912" s="420" t="s">
        <v>12</v>
      </c>
      <c r="E3912" s="421">
        <v>13</v>
      </c>
      <c r="F3912" s="580"/>
      <c r="G3912" s="417" t="s">
        <v>2698</v>
      </c>
      <c r="H3912" s="598">
        <v>14293155</v>
      </c>
      <c r="I3912" s="322" t="s">
        <v>1378</v>
      </c>
      <c r="J3912" s="418"/>
      <c r="K3912" s="248"/>
      <c r="M3912" s="366"/>
    </row>
    <row r="3913" spans="1:13" x14ac:dyDescent="0.25">
      <c r="A3913" s="308">
        <v>45729</v>
      </c>
      <c r="B3913" s="416">
        <v>418525</v>
      </c>
      <c r="C3913" s="413" t="str">
        <f>IFERROR(INDEX(Table14[],MATCH($B3913,Table14[SAPNo],0),3),"")</f>
        <v>Drop In 1308 CT31   (B)</v>
      </c>
      <c r="D3913" s="420" t="s">
        <v>12</v>
      </c>
      <c r="E3913" s="421">
        <v>7</v>
      </c>
      <c r="F3913" s="580"/>
      <c r="G3913" s="417" t="s">
        <v>2698</v>
      </c>
      <c r="H3913" s="598">
        <v>14293155</v>
      </c>
      <c r="I3913" s="322" t="s">
        <v>1378</v>
      </c>
      <c r="J3913" s="418"/>
      <c r="K3913" s="248"/>
      <c r="M3913" s="366"/>
    </row>
    <row r="3914" spans="1:13" x14ac:dyDescent="0.25">
      <c r="A3914" s="308">
        <v>45729</v>
      </c>
      <c r="B3914" s="416">
        <v>410851</v>
      </c>
      <c r="C3914" s="413" t="str">
        <f>IFERROR(INDEX(Table14[],MATCH($B3914,Table14[SAPNo],0),3),"")</f>
        <v>PDC Dome 1308 CT31   (B)</v>
      </c>
      <c r="D3914" s="420" t="s">
        <v>12</v>
      </c>
      <c r="E3914" s="421">
        <v>28</v>
      </c>
      <c r="F3914" s="580"/>
      <c r="G3914" s="417" t="s">
        <v>2698</v>
      </c>
      <c r="H3914" s="598">
        <v>14293155</v>
      </c>
      <c r="I3914" s="322" t="s">
        <v>1378</v>
      </c>
      <c r="J3914" s="418"/>
      <c r="K3914" s="248"/>
      <c r="M3914" s="366"/>
    </row>
    <row r="3915" spans="1:13" x14ac:dyDescent="0.25">
      <c r="A3915" s="308">
        <v>45729</v>
      </c>
      <c r="B3915" s="416">
        <v>179734</v>
      </c>
      <c r="C3915" s="413" t="str">
        <f>IFERROR(INDEX(Table14[],MATCH($B3915,Table14[SAPNo],0),3),"")</f>
        <v>Long IPA 13    (C)</v>
      </c>
      <c r="D3915" s="420" t="s">
        <v>12</v>
      </c>
      <c r="E3915" s="421">
        <v>22</v>
      </c>
      <c r="F3915" s="580"/>
      <c r="G3915" s="417" t="s">
        <v>2698</v>
      </c>
      <c r="H3915" s="598">
        <v>14293155</v>
      </c>
      <c r="I3915" s="322" t="s">
        <v>1378</v>
      </c>
      <c r="J3915" s="418"/>
      <c r="K3915" s="248"/>
      <c r="M3915" s="366"/>
    </row>
    <row r="3916" spans="1:13" x14ac:dyDescent="0.25">
      <c r="A3916" s="308">
        <v>45729</v>
      </c>
      <c r="B3916" s="416">
        <v>1296685</v>
      </c>
      <c r="C3916" s="413" t="str">
        <f>IFERROR(INDEX(Table14[],MATCH($B3916,Table14[SAPNo],0),3),"")</f>
        <v>1613 CT179R U</v>
      </c>
      <c r="D3916" s="420" t="s">
        <v>12</v>
      </c>
      <c r="E3916" s="421">
        <v>42</v>
      </c>
      <c r="F3916" s="580"/>
      <c r="G3916" s="417" t="s">
        <v>2698</v>
      </c>
      <c r="H3916" s="598">
        <v>14293155</v>
      </c>
      <c r="I3916" s="322" t="s">
        <v>1378</v>
      </c>
      <c r="J3916" s="418"/>
      <c r="K3916" s="248"/>
      <c r="M3916" s="366"/>
    </row>
    <row r="3917" spans="1:13" x14ac:dyDescent="0.25">
      <c r="A3917" s="308">
        <v>45729</v>
      </c>
      <c r="B3917" s="416">
        <v>1208601</v>
      </c>
      <c r="C3917" s="413" t="str">
        <f>IFERROR(INDEX(Table14[],MATCH($B3917,Table14[SAPNo],0),3),"")</f>
        <v>1613 CT418 U-60</v>
      </c>
      <c r="D3917" s="420" t="s">
        <v>12</v>
      </c>
      <c r="E3917" s="421">
        <v>8</v>
      </c>
      <c r="F3917" s="580"/>
      <c r="G3917" s="417" t="s">
        <v>2699</v>
      </c>
      <c r="H3917" s="598">
        <v>14340872</v>
      </c>
      <c r="I3917" s="322" t="s">
        <v>1273</v>
      </c>
      <c r="J3917" s="418"/>
      <c r="K3917" s="248"/>
      <c r="M3917" s="366"/>
    </row>
    <row r="3918" spans="1:13" x14ac:dyDescent="0.25">
      <c r="A3918" s="308">
        <v>45729</v>
      </c>
      <c r="B3918" s="416">
        <v>1078377</v>
      </c>
      <c r="C3918" s="413" t="str">
        <f>IFERROR(INDEX(Table14[],MATCH($B3918,Table14[SAPNo],0),3),"")</f>
        <v>13MM CT221 R1</v>
      </c>
      <c r="D3918" s="420" t="s">
        <v>12</v>
      </c>
      <c r="E3918" s="421">
        <v>15</v>
      </c>
      <c r="F3918" s="580"/>
      <c r="G3918" s="417" t="s">
        <v>2699</v>
      </c>
      <c r="H3918" s="598">
        <v>14340872</v>
      </c>
      <c r="I3918" s="322" t="s">
        <v>1273</v>
      </c>
      <c r="J3918" s="418"/>
      <c r="K3918" s="248"/>
      <c r="M3918" s="366"/>
    </row>
    <row r="3919" spans="1:13" x14ac:dyDescent="0.25">
      <c r="A3919" s="308">
        <v>45729</v>
      </c>
      <c r="B3919" s="416">
        <v>1271790</v>
      </c>
      <c r="C3919" s="413" t="str">
        <f>IFERROR(INDEX(Table14[],MATCH($B3919,Table14[SAPNo],0),3),"")</f>
        <v xml:space="preserve">1613 CT170 18-60 </v>
      </c>
      <c r="D3919" s="420" t="s">
        <v>12</v>
      </c>
      <c r="E3919" s="421">
        <v>17</v>
      </c>
      <c r="F3919" s="580"/>
      <c r="G3919" s="417" t="s">
        <v>2699</v>
      </c>
      <c r="H3919" s="598">
        <v>14340872</v>
      </c>
      <c r="I3919" s="322" t="s">
        <v>1273</v>
      </c>
      <c r="J3919" s="418"/>
      <c r="K3919" s="248"/>
      <c r="M3919" s="366"/>
    </row>
    <row r="3920" spans="1:13" x14ac:dyDescent="0.25">
      <c r="A3920" s="308">
        <v>45729</v>
      </c>
      <c r="B3920" s="416">
        <v>1146737</v>
      </c>
      <c r="C3920" s="413" t="str">
        <f>IFERROR(INDEX(Table14[],MATCH($B3920,Table14[SAPNo],0),3),"")</f>
        <v>1613 CT418 18-60</v>
      </c>
      <c r="D3920" s="420" t="s">
        <v>12</v>
      </c>
      <c r="E3920" s="421">
        <v>6</v>
      </c>
      <c r="F3920" s="580"/>
      <c r="G3920" s="417" t="s">
        <v>2699</v>
      </c>
      <c r="H3920" s="598">
        <v>14340872</v>
      </c>
      <c r="I3920" s="322" t="s">
        <v>1273</v>
      </c>
      <c r="J3920" s="418"/>
      <c r="K3920" s="248"/>
      <c r="M3920" s="366"/>
    </row>
    <row r="3921" spans="1:13" x14ac:dyDescent="0.25">
      <c r="A3921" s="308">
        <v>45729</v>
      </c>
      <c r="B3921" s="416">
        <v>418525</v>
      </c>
      <c r="C3921" s="413" t="str">
        <f>IFERROR(INDEX(Table14[],MATCH($B3921,Table14[SAPNo],0),3),"")</f>
        <v>Drop In 1308 CT31   (B)</v>
      </c>
      <c r="D3921" s="420" t="s">
        <v>12</v>
      </c>
      <c r="E3921" s="421">
        <v>6</v>
      </c>
      <c r="F3921" s="580"/>
      <c r="G3921" s="417" t="s">
        <v>2699</v>
      </c>
      <c r="H3921" s="598">
        <v>14340872</v>
      </c>
      <c r="I3921" s="322" t="s">
        <v>1273</v>
      </c>
      <c r="J3921" s="418"/>
      <c r="K3921" s="248"/>
      <c r="M3921" s="366"/>
    </row>
    <row r="3922" spans="1:13" x14ac:dyDescent="0.25">
      <c r="A3922" s="308">
        <v>45729</v>
      </c>
      <c r="B3922" s="416">
        <v>1146737</v>
      </c>
      <c r="C3922" s="413" t="str">
        <f>IFERROR(INDEX(Table14[],MATCH($B3922,Table14[SAPNo],0),3),"")</f>
        <v>1613 CT418 18-60</v>
      </c>
      <c r="D3922" s="420" t="s">
        <v>12</v>
      </c>
      <c r="E3922" s="421">
        <v>6</v>
      </c>
      <c r="F3922" s="580"/>
      <c r="G3922" s="417" t="s">
        <v>2700</v>
      </c>
      <c r="H3922" s="598">
        <v>14336286</v>
      </c>
      <c r="I3922" s="322" t="s">
        <v>2311</v>
      </c>
      <c r="J3922" s="418"/>
      <c r="K3922" s="248"/>
      <c r="M3922" s="366"/>
    </row>
    <row r="3923" spans="1:13" x14ac:dyDescent="0.25">
      <c r="A3923" s="308">
        <v>45729</v>
      </c>
      <c r="B3923" s="416">
        <v>1078377</v>
      </c>
      <c r="C3923" s="413" t="str">
        <f>IFERROR(INDEX(Table14[],MATCH($B3923,Table14[SAPNo],0),3),"")</f>
        <v>13MM CT221 R1</v>
      </c>
      <c r="D3923" s="420" t="s">
        <v>12</v>
      </c>
      <c r="E3923" s="421">
        <v>15</v>
      </c>
      <c r="F3923" s="580"/>
      <c r="G3923" s="417" t="s">
        <v>2700</v>
      </c>
      <c r="H3923" s="598">
        <v>14336286</v>
      </c>
      <c r="I3923" s="322" t="s">
        <v>2311</v>
      </c>
      <c r="J3923" s="418"/>
      <c r="K3923" s="248"/>
      <c r="M3923" s="366"/>
    </row>
    <row r="3924" spans="1:13" x14ac:dyDescent="0.25">
      <c r="A3924" s="308">
        <v>45729</v>
      </c>
      <c r="B3924" s="416">
        <v>1271790</v>
      </c>
      <c r="C3924" s="413" t="str">
        <f>IFERROR(INDEX(Table14[],MATCH($B3924,Table14[SAPNo],0),3),"")</f>
        <v xml:space="preserve">1613 CT170 18-60 </v>
      </c>
      <c r="D3924" s="420" t="s">
        <v>12</v>
      </c>
      <c r="E3924" s="421">
        <v>17</v>
      </c>
      <c r="F3924" s="580"/>
      <c r="G3924" s="417" t="s">
        <v>2700</v>
      </c>
      <c r="H3924" s="598">
        <v>14336286</v>
      </c>
      <c r="I3924" s="322" t="s">
        <v>2311</v>
      </c>
      <c r="J3924" s="418"/>
      <c r="K3924" s="248"/>
      <c r="M3924" s="366"/>
    </row>
    <row r="3925" spans="1:13" x14ac:dyDescent="0.25">
      <c r="A3925" s="308">
        <v>45729</v>
      </c>
      <c r="B3925" s="416">
        <v>418525</v>
      </c>
      <c r="C3925" s="413" t="str">
        <f>IFERROR(INDEX(Table14[],MATCH($B3925,Table14[SAPNo],0),3),"")</f>
        <v>Drop In 1308 CT31   (B)</v>
      </c>
      <c r="D3925" s="420" t="s">
        <v>12</v>
      </c>
      <c r="E3925" s="421">
        <v>6</v>
      </c>
      <c r="F3925" s="580"/>
      <c r="G3925" s="417" t="s">
        <v>2700</v>
      </c>
      <c r="H3925" s="598">
        <v>14336286</v>
      </c>
      <c r="I3925" s="322" t="s">
        <v>2311</v>
      </c>
      <c r="J3925" s="418"/>
      <c r="K3925" s="248"/>
      <c r="M3925" s="366"/>
    </row>
    <row r="3926" spans="1:13" x14ac:dyDescent="0.25">
      <c r="A3926" s="308">
        <v>45729</v>
      </c>
      <c r="B3926" s="416">
        <v>1208601</v>
      </c>
      <c r="C3926" s="413" t="str">
        <f>IFERROR(INDEX(Table14[],MATCH($B3926,Table14[SAPNo],0),3),"")</f>
        <v>1613 CT418 U-60</v>
      </c>
      <c r="D3926" s="420" t="s">
        <v>12</v>
      </c>
      <c r="E3926" s="421">
        <v>8</v>
      </c>
      <c r="F3926" s="580"/>
      <c r="G3926" s="417" t="s">
        <v>2700</v>
      </c>
      <c r="H3926" s="598">
        <v>14336286</v>
      </c>
      <c r="I3926" s="322" t="s">
        <v>2311</v>
      </c>
      <c r="J3926" s="418"/>
      <c r="K3926" s="248"/>
      <c r="M3926" s="366"/>
    </row>
    <row r="3927" spans="1:13" x14ac:dyDescent="0.25">
      <c r="A3927" s="308">
        <v>45730</v>
      </c>
      <c r="B3927" s="416">
        <v>1146737</v>
      </c>
      <c r="C3927" s="413" t="str">
        <f>IFERROR(INDEX(Table14[],MATCH($B3927,Table14[SAPNo],0),3),"")</f>
        <v>1613 CT418 18-60</v>
      </c>
      <c r="D3927" s="420" t="s">
        <v>12</v>
      </c>
      <c r="E3927" s="421">
        <v>6</v>
      </c>
      <c r="F3927" s="580"/>
      <c r="G3927" s="417" t="s">
        <v>2701</v>
      </c>
      <c r="H3927" s="598">
        <v>14340873</v>
      </c>
      <c r="I3927" s="322" t="s">
        <v>2136</v>
      </c>
      <c r="J3927" s="418"/>
      <c r="K3927" s="248"/>
      <c r="M3927" s="366"/>
    </row>
    <row r="3928" spans="1:13" x14ac:dyDescent="0.25">
      <c r="A3928" s="308">
        <v>45730</v>
      </c>
      <c r="B3928" s="416">
        <v>1078377</v>
      </c>
      <c r="C3928" s="413" t="str">
        <f>IFERROR(INDEX(Table14[],MATCH($B3928,Table14[SAPNo],0),3),"")</f>
        <v>13MM CT221 R1</v>
      </c>
      <c r="D3928" s="420" t="s">
        <v>12</v>
      </c>
      <c r="E3928" s="421">
        <v>15</v>
      </c>
      <c r="F3928" s="580"/>
      <c r="G3928" s="417" t="s">
        <v>2701</v>
      </c>
      <c r="H3928" s="598">
        <v>14340873</v>
      </c>
      <c r="I3928" s="322" t="s">
        <v>2136</v>
      </c>
      <c r="J3928" s="418"/>
      <c r="K3928" s="248"/>
      <c r="M3928" s="366"/>
    </row>
    <row r="3929" spans="1:13" x14ac:dyDescent="0.25">
      <c r="A3929" s="308">
        <v>45730</v>
      </c>
      <c r="B3929" s="416">
        <v>1208601</v>
      </c>
      <c r="C3929" s="413" t="str">
        <f>IFERROR(INDEX(Table14[],MATCH($B3929,Table14[SAPNo],0),3),"")</f>
        <v>1613 CT418 U-60</v>
      </c>
      <c r="D3929" s="420" t="s">
        <v>12</v>
      </c>
      <c r="E3929" s="421">
        <v>8</v>
      </c>
      <c r="F3929" s="580"/>
      <c r="G3929" s="417" t="s">
        <v>2701</v>
      </c>
      <c r="H3929" s="598">
        <v>14340873</v>
      </c>
      <c r="I3929" s="322" t="s">
        <v>2136</v>
      </c>
      <c r="J3929" s="418"/>
      <c r="K3929" s="248"/>
      <c r="M3929" s="366"/>
    </row>
    <row r="3930" spans="1:13" x14ac:dyDescent="0.25">
      <c r="A3930" s="308">
        <v>45730</v>
      </c>
      <c r="B3930" s="416">
        <v>418525</v>
      </c>
      <c r="C3930" s="413" t="str">
        <f>IFERROR(INDEX(Table14[],MATCH($B3930,Table14[SAPNo],0),3),"")</f>
        <v>Drop In 1308 CT31   (B)</v>
      </c>
      <c r="D3930" s="420" t="s">
        <v>12</v>
      </c>
      <c r="E3930" s="421">
        <v>6</v>
      </c>
      <c r="F3930" s="580"/>
      <c r="G3930" s="417" t="s">
        <v>2701</v>
      </c>
      <c r="H3930" s="598">
        <v>14340873</v>
      </c>
      <c r="I3930" s="322" t="s">
        <v>2136</v>
      </c>
      <c r="J3930" s="418"/>
      <c r="K3930" s="248"/>
      <c r="M3930" s="366"/>
    </row>
    <row r="3931" spans="1:13" x14ac:dyDescent="0.25">
      <c r="A3931" s="308">
        <v>45730</v>
      </c>
      <c r="B3931" s="416">
        <v>1271790</v>
      </c>
      <c r="C3931" s="413" t="str">
        <f>IFERROR(INDEX(Table14[],MATCH($B3931,Table14[SAPNo],0),3),"")</f>
        <v xml:space="preserve">1613 CT170 18-60 </v>
      </c>
      <c r="D3931" s="420" t="s">
        <v>12</v>
      </c>
      <c r="E3931" s="421">
        <v>17</v>
      </c>
      <c r="F3931" s="580"/>
      <c r="G3931" s="417" t="s">
        <v>2701</v>
      </c>
      <c r="H3931" s="598">
        <v>14340873</v>
      </c>
      <c r="I3931" s="322" t="s">
        <v>2136</v>
      </c>
      <c r="J3931" s="418"/>
      <c r="K3931" s="248"/>
      <c r="M3931" s="366"/>
    </row>
    <row r="3932" spans="1:13" x14ac:dyDescent="0.25">
      <c r="A3932" s="308">
        <v>45730</v>
      </c>
      <c r="B3932" s="416">
        <v>1271790</v>
      </c>
      <c r="C3932" s="413" t="str">
        <f>IFERROR(INDEX(Table14[],MATCH($B3932,Table14[SAPNo],0),3),"")</f>
        <v xml:space="preserve">1613 CT170 18-60 </v>
      </c>
      <c r="D3932" s="420" t="s">
        <v>12</v>
      </c>
      <c r="E3932" s="421">
        <v>17</v>
      </c>
      <c r="F3932" s="580"/>
      <c r="G3932" s="417" t="s">
        <v>2702</v>
      </c>
      <c r="H3932" s="598">
        <v>14340874</v>
      </c>
      <c r="I3932" s="322" t="s">
        <v>2136</v>
      </c>
      <c r="J3932" s="418"/>
      <c r="K3932" s="248"/>
      <c r="M3932" s="366"/>
    </row>
    <row r="3933" spans="1:13" x14ac:dyDescent="0.25">
      <c r="A3933" s="308">
        <v>45730</v>
      </c>
      <c r="B3933" s="416">
        <v>1078377</v>
      </c>
      <c r="C3933" s="413" t="str">
        <f>IFERROR(INDEX(Table14[],MATCH($B3933,Table14[SAPNo],0),3),"")</f>
        <v>13MM CT221 R1</v>
      </c>
      <c r="D3933" s="420" t="s">
        <v>12</v>
      </c>
      <c r="E3933" s="421">
        <v>15</v>
      </c>
      <c r="F3933" s="580"/>
      <c r="G3933" s="417" t="s">
        <v>2702</v>
      </c>
      <c r="H3933" s="598">
        <v>14340874</v>
      </c>
      <c r="I3933" s="322" t="s">
        <v>2136</v>
      </c>
      <c r="J3933" s="418"/>
      <c r="K3933" s="248"/>
      <c r="M3933" s="366"/>
    </row>
    <row r="3934" spans="1:13" x14ac:dyDescent="0.25">
      <c r="A3934" s="308">
        <v>45730</v>
      </c>
      <c r="B3934" s="416">
        <v>1146737</v>
      </c>
      <c r="C3934" s="413" t="str">
        <f>IFERROR(INDEX(Table14[],MATCH($B3934,Table14[SAPNo],0),3),"")</f>
        <v>1613 CT418 18-60</v>
      </c>
      <c r="D3934" s="420" t="s">
        <v>12</v>
      </c>
      <c r="E3934" s="421">
        <v>6</v>
      </c>
      <c r="F3934" s="580"/>
      <c r="G3934" s="417" t="s">
        <v>2702</v>
      </c>
      <c r="H3934" s="598">
        <v>14340874</v>
      </c>
      <c r="I3934" s="322" t="s">
        <v>2136</v>
      </c>
      <c r="J3934" s="418"/>
      <c r="K3934" s="248"/>
      <c r="M3934" s="366"/>
    </row>
    <row r="3935" spans="1:13" x14ac:dyDescent="0.25">
      <c r="A3935" s="308">
        <v>45730</v>
      </c>
      <c r="B3935" s="416">
        <v>1208601</v>
      </c>
      <c r="C3935" s="413" t="str">
        <f>IFERROR(INDEX(Table14[],MATCH($B3935,Table14[SAPNo],0),3),"")</f>
        <v>1613 CT418 U-60</v>
      </c>
      <c r="D3935" s="420" t="s">
        <v>12</v>
      </c>
      <c r="E3935" s="421">
        <v>8</v>
      </c>
      <c r="F3935" s="580"/>
      <c r="G3935" s="417" t="s">
        <v>2702</v>
      </c>
      <c r="H3935" s="598">
        <v>14340874</v>
      </c>
      <c r="I3935" s="322" t="s">
        <v>2136</v>
      </c>
      <c r="J3935" s="418"/>
      <c r="K3935" s="248"/>
      <c r="M3935" s="366"/>
    </row>
    <row r="3936" spans="1:13" x14ac:dyDescent="0.25">
      <c r="A3936" s="308">
        <v>45730</v>
      </c>
      <c r="B3936" s="416">
        <v>418525</v>
      </c>
      <c r="C3936" s="413" t="str">
        <f>IFERROR(INDEX(Table14[],MATCH($B3936,Table14[SAPNo],0),3),"")</f>
        <v>Drop In 1308 CT31   (B)</v>
      </c>
      <c r="D3936" s="420" t="s">
        <v>12</v>
      </c>
      <c r="E3936" s="421">
        <v>6</v>
      </c>
      <c r="F3936" s="580"/>
      <c r="G3936" s="417" t="s">
        <v>2702</v>
      </c>
      <c r="H3936" s="598">
        <v>14340874</v>
      </c>
      <c r="I3936" s="322" t="s">
        <v>2136</v>
      </c>
      <c r="J3936" s="418"/>
      <c r="K3936" s="248"/>
      <c r="M3936" s="366"/>
    </row>
    <row r="3937" spans="1:13" x14ac:dyDescent="0.25">
      <c r="A3937" s="308">
        <v>45730</v>
      </c>
      <c r="B3937" s="416">
        <v>1078377</v>
      </c>
      <c r="C3937" s="413" t="str">
        <f>IFERROR(INDEX(Table14[],MATCH($B3937,Table14[SAPNo],0),3),"")</f>
        <v>13MM CT221 R1</v>
      </c>
      <c r="D3937" s="420" t="s">
        <v>12</v>
      </c>
      <c r="E3937" s="421">
        <v>15</v>
      </c>
      <c r="F3937" s="580"/>
      <c r="G3937" s="417" t="s">
        <v>2703</v>
      </c>
      <c r="H3937" s="598">
        <v>14336287</v>
      </c>
      <c r="I3937" s="322" t="s">
        <v>2179</v>
      </c>
      <c r="J3937" s="418"/>
      <c r="K3937" s="248"/>
      <c r="M3937" s="366"/>
    </row>
    <row r="3938" spans="1:13" x14ac:dyDescent="0.25">
      <c r="A3938" s="308">
        <v>45730</v>
      </c>
      <c r="B3938" s="416">
        <v>1146737</v>
      </c>
      <c r="C3938" s="413" t="str">
        <f>IFERROR(INDEX(Table14[],MATCH($B3938,Table14[SAPNo],0),3),"")</f>
        <v>1613 CT418 18-60</v>
      </c>
      <c r="D3938" s="420" t="s">
        <v>12</v>
      </c>
      <c r="E3938" s="421">
        <v>6</v>
      </c>
      <c r="F3938" s="580"/>
      <c r="G3938" s="417" t="s">
        <v>2703</v>
      </c>
      <c r="H3938" s="598">
        <v>14336287</v>
      </c>
      <c r="I3938" s="322" t="s">
        <v>2179</v>
      </c>
      <c r="J3938" s="418"/>
      <c r="K3938" s="248"/>
      <c r="M3938" s="366"/>
    </row>
    <row r="3939" spans="1:13" x14ac:dyDescent="0.25">
      <c r="A3939" s="308">
        <v>45730</v>
      </c>
      <c r="B3939" s="416">
        <v>1208601</v>
      </c>
      <c r="C3939" s="413" t="str">
        <f>IFERROR(INDEX(Table14[],MATCH($B3939,Table14[SAPNo],0),3),"")</f>
        <v>1613 CT418 U-60</v>
      </c>
      <c r="D3939" s="420" t="s">
        <v>12</v>
      </c>
      <c r="E3939" s="421">
        <v>8</v>
      </c>
      <c r="F3939" s="580"/>
      <c r="G3939" s="417" t="s">
        <v>2703</v>
      </c>
      <c r="H3939" s="598">
        <v>14336287</v>
      </c>
      <c r="I3939" s="322" t="s">
        <v>2179</v>
      </c>
      <c r="J3939" s="418"/>
      <c r="K3939" s="248"/>
      <c r="M3939" s="366"/>
    </row>
    <row r="3940" spans="1:13" x14ac:dyDescent="0.25">
      <c r="A3940" s="308">
        <v>45730</v>
      </c>
      <c r="B3940" s="416">
        <v>1271790</v>
      </c>
      <c r="C3940" s="413" t="str">
        <f>IFERROR(INDEX(Table14[],MATCH($B3940,Table14[SAPNo],0),3),"")</f>
        <v xml:space="preserve">1613 CT170 18-60 </v>
      </c>
      <c r="D3940" s="420" t="s">
        <v>12</v>
      </c>
      <c r="E3940" s="421">
        <v>17</v>
      </c>
      <c r="F3940" s="580"/>
      <c r="G3940" s="417" t="s">
        <v>2703</v>
      </c>
      <c r="H3940" s="598">
        <v>14336287</v>
      </c>
      <c r="I3940" s="322" t="s">
        <v>2179</v>
      </c>
      <c r="J3940" s="418"/>
      <c r="K3940" s="248"/>
      <c r="M3940" s="366"/>
    </row>
    <row r="3941" spans="1:13" x14ac:dyDescent="0.25">
      <c r="A3941" s="308">
        <v>45730</v>
      </c>
      <c r="B3941" s="416">
        <v>418525</v>
      </c>
      <c r="C3941" s="413" t="str">
        <f>IFERROR(INDEX(Table14[],MATCH($B3941,Table14[SAPNo],0),3),"")</f>
        <v>Drop In 1308 CT31   (B)</v>
      </c>
      <c r="D3941" s="420" t="s">
        <v>12</v>
      </c>
      <c r="E3941" s="421">
        <v>6</v>
      </c>
      <c r="F3941" s="580"/>
      <c r="G3941" s="417" t="s">
        <v>2703</v>
      </c>
      <c r="H3941" s="598">
        <v>14336287</v>
      </c>
      <c r="I3941" s="322" t="s">
        <v>2179</v>
      </c>
      <c r="J3941" s="418"/>
      <c r="K3941" s="248"/>
      <c r="M3941" s="366"/>
    </row>
    <row r="3942" spans="1:13" x14ac:dyDescent="0.25">
      <c r="A3942" s="308">
        <v>45730</v>
      </c>
      <c r="B3942" s="416">
        <v>1146737</v>
      </c>
      <c r="C3942" s="413" t="str">
        <f>IFERROR(INDEX(Table14[],MATCH($B3942,Table14[SAPNo],0),3),"")</f>
        <v>1613 CT418 18-60</v>
      </c>
      <c r="D3942" s="420" t="s">
        <v>12</v>
      </c>
      <c r="E3942" s="421">
        <v>6</v>
      </c>
      <c r="F3942" s="580"/>
      <c r="G3942" s="417" t="s">
        <v>2704</v>
      </c>
      <c r="H3942" s="598">
        <v>14337192</v>
      </c>
      <c r="I3942" s="322" t="s">
        <v>2136</v>
      </c>
      <c r="J3942" s="418"/>
      <c r="K3942" s="248"/>
      <c r="M3942" s="366"/>
    </row>
    <row r="3943" spans="1:13" x14ac:dyDescent="0.25">
      <c r="A3943" s="308">
        <v>45730</v>
      </c>
      <c r="B3943" s="416">
        <v>1271790</v>
      </c>
      <c r="C3943" s="413" t="str">
        <f>IFERROR(INDEX(Table14[],MATCH($B3943,Table14[SAPNo],0),3),"")</f>
        <v xml:space="preserve">1613 CT170 18-60 </v>
      </c>
      <c r="D3943" s="420" t="s">
        <v>12</v>
      </c>
      <c r="E3943" s="421">
        <v>17</v>
      </c>
      <c r="F3943" s="580"/>
      <c r="G3943" s="417" t="s">
        <v>2704</v>
      </c>
      <c r="H3943" s="598">
        <v>14337192</v>
      </c>
      <c r="I3943" s="322" t="s">
        <v>2136</v>
      </c>
      <c r="J3943" s="418"/>
      <c r="K3943" s="248"/>
      <c r="M3943" s="366"/>
    </row>
    <row r="3944" spans="1:13" x14ac:dyDescent="0.25">
      <c r="A3944" s="308">
        <v>45730</v>
      </c>
      <c r="B3944" s="416">
        <v>1078377</v>
      </c>
      <c r="C3944" s="413" t="str">
        <f>IFERROR(INDEX(Table14[],MATCH($B3944,Table14[SAPNo],0),3),"")</f>
        <v>13MM CT221 R1</v>
      </c>
      <c r="D3944" s="420" t="s">
        <v>12</v>
      </c>
      <c r="E3944" s="421">
        <v>15</v>
      </c>
      <c r="F3944" s="580"/>
      <c r="G3944" s="417" t="s">
        <v>2704</v>
      </c>
      <c r="H3944" s="598">
        <v>14337192</v>
      </c>
      <c r="I3944" s="322" t="s">
        <v>2136</v>
      </c>
      <c r="J3944" s="418"/>
      <c r="K3944" s="248"/>
      <c r="M3944" s="366"/>
    </row>
    <row r="3945" spans="1:13" x14ac:dyDescent="0.25">
      <c r="A3945" s="308">
        <v>45730</v>
      </c>
      <c r="B3945" s="416">
        <v>418525</v>
      </c>
      <c r="C3945" s="413" t="str">
        <f>IFERROR(INDEX(Table14[],MATCH($B3945,Table14[SAPNo],0),3),"")</f>
        <v>Drop In 1308 CT31   (B)</v>
      </c>
      <c r="D3945" s="420" t="s">
        <v>12</v>
      </c>
      <c r="E3945" s="421">
        <v>6</v>
      </c>
      <c r="F3945" s="580"/>
      <c r="G3945" s="417" t="s">
        <v>2704</v>
      </c>
      <c r="H3945" s="598">
        <v>14337192</v>
      </c>
      <c r="I3945" s="322" t="s">
        <v>2136</v>
      </c>
      <c r="J3945" s="418"/>
      <c r="K3945" s="248"/>
      <c r="M3945" s="366"/>
    </row>
    <row r="3946" spans="1:13" x14ac:dyDescent="0.25">
      <c r="A3946" s="308">
        <v>45730</v>
      </c>
      <c r="B3946" s="416">
        <v>1208601</v>
      </c>
      <c r="C3946" s="413" t="str">
        <f>IFERROR(INDEX(Table14[],MATCH($B3946,Table14[SAPNo],0),3),"")</f>
        <v>1613 CT418 U-60</v>
      </c>
      <c r="D3946" s="420" t="s">
        <v>12</v>
      </c>
      <c r="E3946" s="421">
        <v>8</v>
      </c>
      <c r="F3946" s="580"/>
      <c r="G3946" s="417" t="s">
        <v>2704</v>
      </c>
      <c r="H3946" s="598">
        <v>14337192</v>
      </c>
      <c r="I3946" s="322" t="s">
        <v>2136</v>
      </c>
      <c r="J3946" s="418"/>
      <c r="K3946" s="248"/>
      <c r="M3946" s="366"/>
    </row>
    <row r="3947" spans="1:13" x14ac:dyDescent="0.25">
      <c r="A3947" s="308">
        <v>45732</v>
      </c>
      <c r="B3947" s="416">
        <v>1146346</v>
      </c>
      <c r="C3947" s="413" t="str">
        <f>IFERROR(INDEX(Table14[],MATCH($B3947,Table14[SAPNo],0),3),"")</f>
        <v>1313 CT418 18-60</v>
      </c>
      <c r="D3947" s="420" t="s">
        <v>12</v>
      </c>
      <c r="E3947" s="421">
        <v>12</v>
      </c>
      <c r="F3947" s="580"/>
      <c r="G3947" s="417" t="s">
        <v>2705</v>
      </c>
      <c r="H3947" s="598">
        <v>14273428</v>
      </c>
      <c r="I3947" s="322" t="s">
        <v>2640</v>
      </c>
      <c r="J3947" s="418"/>
      <c r="K3947" s="248"/>
      <c r="M3947" s="366"/>
    </row>
    <row r="3948" spans="1:13" x14ac:dyDescent="0.25">
      <c r="A3948" s="308">
        <v>45732</v>
      </c>
      <c r="B3948" s="416">
        <v>1104083</v>
      </c>
      <c r="C3948" s="413" t="str">
        <f>IFERROR(INDEX(Table14[],MATCH($B3948,Table14[SAPNo],0),3),"")</f>
        <v>1313 CT144H  10C (S)</v>
      </c>
      <c r="D3948" s="420" t="s">
        <v>12</v>
      </c>
      <c r="E3948" s="421">
        <v>1</v>
      </c>
      <c r="F3948" s="580"/>
      <c r="G3948" s="417" t="s">
        <v>2705</v>
      </c>
      <c r="H3948" s="598">
        <v>14273428</v>
      </c>
      <c r="I3948" s="322" t="s">
        <v>2640</v>
      </c>
      <c r="J3948" s="418"/>
      <c r="K3948" s="248"/>
      <c r="M3948" s="366"/>
    </row>
    <row r="3949" spans="1:13" x14ac:dyDescent="0.25">
      <c r="A3949" s="308">
        <v>45732</v>
      </c>
      <c r="B3949" s="416">
        <v>1101509</v>
      </c>
      <c r="C3949" s="413" t="str">
        <f>IFERROR(INDEX(Table14[],MATCH($B3949,Table14[SAPNo],0),3),"")</f>
        <v>Short IA 8    (C)</v>
      </c>
      <c r="D3949" s="420" t="s">
        <v>12</v>
      </c>
      <c r="E3949" s="421">
        <v>5</v>
      </c>
      <c r="F3949" s="580"/>
      <c r="G3949" s="417" t="s">
        <v>2705</v>
      </c>
      <c r="H3949" s="598">
        <v>14273428</v>
      </c>
      <c r="I3949" s="322" t="s">
        <v>2640</v>
      </c>
      <c r="J3949" s="418"/>
      <c r="K3949" s="248"/>
      <c r="M3949" s="366"/>
    </row>
    <row r="3950" spans="1:13" x14ac:dyDescent="0.25">
      <c r="A3950" s="308">
        <v>45732</v>
      </c>
      <c r="B3950" s="416">
        <v>1282369</v>
      </c>
      <c r="C3950" s="413" t="str">
        <f>IFERROR(INDEX(Table14[],MATCH($B3950,Table14[SAPNo],0),3),"")</f>
        <v>1313 CT436Mv3 U-60</v>
      </c>
      <c r="D3950" s="420" t="s">
        <v>12</v>
      </c>
      <c r="E3950" s="421">
        <v>13</v>
      </c>
      <c r="F3950" s="580"/>
      <c r="G3950" s="417" t="s">
        <v>2705</v>
      </c>
      <c r="H3950" s="598">
        <v>14273428</v>
      </c>
      <c r="I3950" s="322" t="s">
        <v>2640</v>
      </c>
      <c r="J3950" s="418"/>
      <c r="K3950" s="248"/>
      <c r="M3950" s="366"/>
    </row>
    <row r="3951" spans="1:13" x14ac:dyDescent="0.25">
      <c r="A3951" s="320">
        <v>45732</v>
      </c>
      <c r="B3951" s="419">
        <v>418525</v>
      </c>
      <c r="C3951" s="413" t="str">
        <f>IFERROR(INDEX(Table14[],MATCH($B3951,Table14[SAPNo],0),3),"")</f>
        <v>Drop In 1308 CT31   (B)</v>
      </c>
      <c r="D3951" s="420" t="s">
        <v>12</v>
      </c>
      <c r="E3951" s="421">
        <v>6</v>
      </c>
      <c r="F3951" s="580"/>
      <c r="G3951" s="420" t="s">
        <v>2705</v>
      </c>
      <c r="H3951" s="599">
        <v>14273428</v>
      </c>
      <c r="I3951" s="322" t="s">
        <v>2640</v>
      </c>
      <c r="J3951" s="418"/>
      <c r="K3951" s="422"/>
      <c r="M3951" s="366"/>
    </row>
    <row r="3952" spans="1:13" x14ac:dyDescent="0.25">
      <c r="A3952" s="308">
        <v>45733</v>
      </c>
      <c r="B3952" s="416">
        <v>1100739</v>
      </c>
      <c r="C3952" s="413" t="str">
        <f>IFERROR(INDEX(Table14[],MATCH($B3952,Table14[SAPNo],0),3),"")</f>
        <v>1608 CT418 0.018"</v>
      </c>
      <c r="D3952" s="420" t="s">
        <v>12</v>
      </c>
      <c r="E3952" s="421"/>
      <c r="F3952" s="421">
        <v>10</v>
      </c>
      <c r="G3952" s="417" t="s">
        <v>2513</v>
      </c>
      <c r="H3952" s="598"/>
      <c r="I3952" s="322"/>
      <c r="J3952" s="303" t="s">
        <v>987</v>
      </c>
      <c r="K3952" s="248"/>
      <c r="M3952" s="422"/>
    </row>
    <row r="3953" spans="1:13" x14ac:dyDescent="0.25">
      <c r="A3953" s="308">
        <v>45733</v>
      </c>
      <c r="B3953" s="416">
        <v>1209333</v>
      </c>
      <c r="C3953" s="413" t="str">
        <f>IFERROR(INDEX(Table14[],MATCH($B3953,Table14[SAPNo],0),3),"")</f>
        <v>1613 CT147G U</v>
      </c>
      <c r="D3953" s="420" t="s">
        <v>12</v>
      </c>
      <c r="E3953" s="421"/>
      <c r="F3953" s="580">
        <v>2</v>
      </c>
      <c r="G3953" s="417" t="s">
        <v>2513</v>
      </c>
      <c r="H3953" s="598"/>
      <c r="I3953" s="322"/>
      <c r="J3953" s="303" t="s">
        <v>989</v>
      </c>
      <c r="K3953" s="248"/>
      <c r="M3953" s="366"/>
    </row>
    <row r="3954" spans="1:13" x14ac:dyDescent="0.25">
      <c r="A3954" s="308">
        <v>45733</v>
      </c>
      <c r="B3954" s="416">
        <v>1263929</v>
      </c>
      <c r="C3954" s="413" t="str">
        <f>IFERROR(INDEX(Table14[],MATCH($B3954,Table14[SAPNo],0),3),"")</f>
        <v>1613 CT437 18-60</v>
      </c>
      <c r="D3954" s="420" t="s">
        <v>12</v>
      </c>
      <c r="E3954" s="421"/>
      <c r="F3954" s="580">
        <v>86</v>
      </c>
      <c r="G3954" s="417" t="s">
        <v>2513</v>
      </c>
      <c r="H3954" s="598"/>
      <c r="I3954" s="322"/>
      <c r="J3954" s="303" t="s">
        <v>990</v>
      </c>
      <c r="K3954" s="248"/>
      <c r="M3954" s="366"/>
    </row>
    <row r="3955" spans="1:13" x14ac:dyDescent="0.25">
      <c r="A3955" s="308">
        <v>45733</v>
      </c>
      <c r="B3955" s="416">
        <v>1282370</v>
      </c>
      <c r="C3955" s="413" t="str">
        <f>IFERROR(INDEX(Table14[],MATCH($B3955,Table14[SAPNo],0),3),"")</f>
        <v>1613 CT436Mv3 U-60</v>
      </c>
      <c r="D3955" s="420" t="s">
        <v>12</v>
      </c>
      <c r="E3955" s="421"/>
      <c r="F3955" s="580">
        <v>10</v>
      </c>
      <c r="G3955" s="417" t="s">
        <v>2513</v>
      </c>
      <c r="H3955" s="598"/>
      <c r="I3955" s="322"/>
      <c r="J3955" s="303" t="s">
        <v>989</v>
      </c>
      <c r="K3955" s="248"/>
      <c r="M3955" s="366"/>
    </row>
    <row r="3956" spans="1:13" x14ac:dyDescent="0.25">
      <c r="A3956" s="308">
        <v>45733</v>
      </c>
      <c r="B3956" s="416">
        <v>1288783</v>
      </c>
      <c r="C3956" s="413" t="str">
        <f>IFERROR(INDEX(Table14[],MATCH($B3956,Table14[SAPNo],0),3),"")</f>
        <v>1613 CT179 18-60</v>
      </c>
      <c r="D3956" s="420" t="s">
        <v>12</v>
      </c>
      <c r="E3956" s="421"/>
      <c r="F3956" s="580">
        <v>11</v>
      </c>
      <c r="G3956" s="417" t="s">
        <v>2513</v>
      </c>
      <c r="H3956" s="598"/>
      <c r="I3956" s="322"/>
      <c r="J3956" s="303" t="s">
        <v>989</v>
      </c>
      <c r="K3956" s="248"/>
      <c r="M3956" s="366"/>
    </row>
    <row r="3957" spans="1:13" x14ac:dyDescent="0.25">
      <c r="A3957" s="308">
        <v>45733</v>
      </c>
      <c r="B3957" s="416">
        <v>1293118</v>
      </c>
      <c r="C3957" s="413" t="str">
        <f>IFERROR(INDEX(Table14[],MATCH($B3957,Table14[SAPNo],0),3),"")</f>
        <v>0808 CT158NL 0.018"</v>
      </c>
      <c r="D3957" s="420" t="s">
        <v>12</v>
      </c>
      <c r="E3957" s="421"/>
      <c r="F3957" s="580">
        <v>35</v>
      </c>
      <c r="G3957" s="417" t="s">
        <v>2513</v>
      </c>
      <c r="H3957" s="598"/>
      <c r="I3957" s="322"/>
      <c r="J3957" s="303" t="s">
        <v>979</v>
      </c>
      <c r="K3957" s="248"/>
      <c r="M3957" s="366"/>
    </row>
    <row r="3958" spans="1:13" x14ac:dyDescent="0.25">
      <c r="A3958" s="320">
        <v>45733</v>
      </c>
      <c r="B3958" s="419">
        <v>2001155</v>
      </c>
      <c r="C3958" s="413" t="str">
        <f>IFERROR(INDEX(Table14[],MATCH($B3958,Table14[SAPNo],0),3),"")</f>
        <v>1313 CT179T U-60</v>
      </c>
      <c r="D3958" s="420" t="s">
        <v>12</v>
      </c>
      <c r="E3958" s="421"/>
      <c r="F3958" s="580">
        <v>14</v>
      </c>
      <c r="G3958" s="417" t="s">
        <v>2513</v>
      </c>
      <c r="H3958" s="599"/>
      <c r="I3958" s="322"/>
      <c r="J3958" s="303" t="s">
        <v>987</v>
      </c>
      <c r="K3958" s="422"/>
      <c r="M3958" s="366"/>
    </row>
    <row r="3959" spans="1:13" x14ac:dyDescent="0.25">
      <c r="A3959" s="320">
        <v>45733</v>
      </c>
      <c r="B3959" s="419">
        <v>1220554</v>
      </c>
      <c r="C3959" s="413" t="str">
        <f>IFERROR(INDEX(Table14[],MATCH($B3959,Table14[SAPNo],0),3),"")</f>
        <v xml:space="preserve">1618 CT182 U-60 Carbide </v>
      </c>
      <c r="D3959" s="420" t="s">
        <v>12</v>
      </c>
      <c r="E3959" s="421"/>
      <c r="F3959" s="421">
        <v>65</v>
      </c>
      <c r="G3959" s="417" t="s">
        <v>2513</v>
      </c>
      <c r="H3959" s="599"/>
      <c r="I3959" s="322"/>
      <c r="J3959" s="303" t="s">
        <v>989</v>
      </c>
      <c r="K3959" s="422"/>
      <c r="M3959" s="422"/>
    </row>
    <row r="3960" spans="1:13" x14ac:dyDescent="0.25">
      <c r="A3960" s="308">
        <v>45734</v>
      </c>
      <c r="B3960" s="416">
        <v>1100696</v>
      </c>
      <c r="C3960" s="413" t="str">
        <f>IFERROR(INDEX(Table14[],MATCH($B3960,Table14[SAPNo],0),3),"")</f>
        <v>Round 1313 CT418  10C (S)</v>
      </c>
      <c r="D3960" s="420" t="s">
        <v>11</v>
      </c>
      <c r="E3960" s="421"/>
      <c r="F3960" s="421">
        <v>9</v>
      </c>
      <c r="G3960" s="420">
        <v>20241153</v>
      </c>
      <c r="H3960" s="598" t="s">
        <v>2578</v>
      </c>
      <c r="I3960" s="322" t="s">
        <v>1307</v>
      </c>
      <c r="J3960" s="418"/>
      <c r="K3960" s="248"/>
      <c r="M3960" s="422"/>
    </row>
    <row r="3961" spans="1:13" x14ac:dyDescent="0.25">
      <c r="A3961" s="308">
        <v>45734</v>
      </c>
      <c r="B3961" s="416">
        <v>1145493</v>
      </c>
      <c r="C3961" s="413" t="str">
        <f>IFERROR(INDEX(Table14[],MATCH($B3961,Table14[SAPNo],0),3),"")</f>
        <v>Round 1313 CT427  10C (S)</v>
      </c>
      <c r="D3961" s="420" t="s">
        <v>11</v>
      </c>
      <c r="E3961" s="421"/>
      <c r="F3961" s="580">
        <v>2</v>
      </c>
      <c r="G3961" s="420">
        <v>20241153</v>
      </c>
      <c r="H3961" s="598" t="s">
        <v>2578</v>
      </c>
      <c r="I3961" s="322" t="s">
        <v>1307</v>
      </c>
      <c r="J3961" s="418"/>
      <c r="K3961" s="248"/>
      <c r="M3961" s="366"/>
    </row>
    <row r="3962" spans="1:13" x14ac:dyDescent="0.25">
      <c r="A3962" s="308">
        <v>45734</v>
      </c>
      <c r="B3962" s="416">
        <v>703670</v>
      </c>
      <c r="C3962" s="413" t="str">
        <f>IFERROR(INDEX(Table14[],MATCH($B3962,Table14[SAPNo],0),3),"")</f>
        <v>Round 1313 CT200  10C (B)</v>
      </c>
      <c r="D3962" s="420" t="s">
        <v>11</v>
      </c>
      <c r="E3962" s="421"/>
      <c r="F3962" s="580">
        <v>3</v>
      </c>
      <c r="G3962" s="420">
        <v>20241153</v>
      </c>
      <c r="H3962" s="598" t="s">
        <v>2578</v>
      </c>
      <c r="I3962" s="322" t="s">
        <v>1307</v>
      </c>
      <c r="J3962" s="418"/>
      <c r="K3962" s="248"/>
      <c r="M3962" s="366"/>
    </row>
    <row r="3963" spans="1:13" x14ac:dyDescent="0.25">
      <c r="A3963" s="308">
        <v>45734</v>
      </c>
      <c r="B3963" s="416">
        <v>871781</v>
      </c>
      <c r="C3963" s="413" t="str">
        <f>IFERROR(INDEX(Table14[],MATCH($B3963,Table14[SAPNo],0),3),"")</f>
        <v>Round 1313 CT200  0.018" (B)</v>
      </c>
      <c r="D3963" s="420" t="s">
        <v>11</v>
      </c>
      <c r="E3963" s="421"/>
      <c r="F3963" s="580">
        <v>6</v>
      </c>
      <c r="G3963" s="420">
        <v>20241153</v>
      </c>
      <c r="H3963" s="598" t="s">
        <v>2578</v>
      </c>
      <c r="I3963" s="322" t="s">
        <v>1307</v>
      </c>
      <c r="J3963" s="418"/>
      <c r="K3963" s="248"/>
      <c r="M3963" s="366"/>
    </row>
    <row r="3964" spans="1:13" x14ac:dyDescent="0.25">
      <c r="A3964" s="320">
        <v>45734</v>
      </c>
      <c r="B3964" s="419">
        <v>907609</v>
      </c>
      <c r="C3964" s="413" t="str">
        <f>IFERROR(INDEX(Table14[],MATCH($B3964,Table14[SAPNo],0),3),"")</f>
        <v>Round 1313 CT125 GEDB 10C (S)</v>
      </c>
      <c r="D3964" s="420" t="s">
        <v>11</v>
      </c>
      <c r="E3964" s="421"/>
      <c r="F3964" s="580">
        <v>8</v>
      </c>
      <c r="G3964" s="420">
        <v>20241153</v>
      </c>
      <c r="H3964" s="599" t="s">
        <v>2578</v>
      </c>
      <c r="I3964" s="322" t="s">
        <v>1307</v>
      </c>
      <c r="J3964" s="421"/>
      <c r="K3964" s="422"/>
      <c r="M3964" s="366"/>
    </row>
    <row r="3965" spans="1:13" x14ac:dyDescent="0.25">
      <c r="A3965" s="308">
        <v>45736</v>
      </c>
      <c r="B3965" s="416">
        <v>1130219</v>
      </c>
      <c r="C3965" s="413" t="str">
        <f>IFERROR(INDEX(Table14[],MATCH($B3965,Table14[SAPNo],0),3),"")</f>
        <v>Round 1313 CT182  10C (S)</v>
      </c>
      <c r="D3965" s="420" t="s">
        <v>12</v>
      </c>
      <c r="E3965" s="421">
        <v>1</v>
      </c>
      <c r="F3965" s="421"/>
      <c r="G3965" s="417">
        <v>20251042</v>
      </c>
      <c r="H3965" s="598" t="s">
        <v>2706</v>
      </c>
      <c r="I3965" s="322" t="s">
        <v>2610</v>
      </c>
      <c r="J3965" s="418"/>
      <c r="K3965" s="248"/>
      <c r="M3965" s="422"/>
    </row>
    <row r="3966" spans="1:13" x14ac:dyDescent="0.25">
      <c r="A3966" s="308">
        <v>45736</v>
      </c>
      <c r="B3966" s="416">
        <v>418525</v>
      </c>
      <c r="C3966" s="413" t="str">
        <f>IFERROR(INDEX(Table14[],MATCH($B3966,Table14[SAPNo],0),3),"")</f>
        <v>Drop In 1308 CT31   (B)</v>
      </c>
      <c r="D3966" s="420" t="s">
        <v>12</v>
      </c>
      <c r="E3966" s="421">
        <v>7</v>
      </c>
      <c r="F3966" s="580"/>
      <c r="G3966" s="417">
        <v>20251042</v>
      </c>
      <c r="H3966" s="598" t="s">
        <v>2706</v>
      </c>
      <c r="I3966" s="322" t="s">
        <v>2610</v>
      </c>
      <c r="J3966" s="418"/>
      <c r="K3966" s="248"/>
      <c r="M3966" s="366"/>
    </row>
    <row r="3967" spans="1:13" x14ac:dyDescent="0.25">
      <c r="A3967" s="308">
        <v>45736</v>
      </c>
      <c r="B3967" s="416">
        <v>729687</v>
      </c>
      <c r="C3967" s="413" t="str">
        <f>IFERROR(INDEX(Table14[],MATCH($B3967,Table14[SAPNo],0),3),"")</f>
        <v>Round 1613 CT82  10C (S)</v>
      </c>
      <c r="D3967" s="420" t="s">
        <v>11</v>
      </c>
      <c r="E3967" s="421">
        <v>9</v>
      </c>
      <c r="F3967" s="580"/>
      <c r="G3967" s="417">
        <v>20251042</v>
      </c>
      <c r="H3967" s="598" t="s">
        <v>2706</v>
      </c>
      <c r="I3967" s="322" t="s">
        <v>2610</v>
      </c>
      <c r="J3967" s="418"/>
      <c r="K3967" s="248"/>
      <c r="M3967" s="366"/>
    </row>
    <row r="3968" spans="1:13" x14ac:dyDescent="0.25">
      <c r="A3968" s="308">
        <v>45736</v>
      </c>
      <c r="B3968" s="416">
        <v>703670</v>
      </c>
      <c r="C3968" s="413" t="str">
        <f>IFERROR(INDEX(Table14[],MATCH($B3968,Table14[SAPNo],0),3),"")</f>
        <v>Round 1313 CT200  10C (B)</v>
      </c>
      <c r="D3968" s="420" t="s">
        <v>11</v>
      </c>
      <c r="E3968" s="421">
        <v>3</v>
      </c>
      <c r="F3968" s="580"/>
      <c r="G3968" s="417">
        <v>20251042</v>
      </c>
      <c r="H3968" s="598" t="s">
        <v>2706</v>
      </c>
      <c r="I3968" s="322" t="s">
        <v>2610</v>
      </c>
      <c r="J3968" s="418"/>
      <c r="K3968" s="248"/>
      <c r="M3968" s="366"/>
    </row>
    <row r="3969" spans="1:13" x14ac:dyDescent="0.25">
      <c r="A3969" s="308">
        <v>45736</v>
      </c>
      <c r="B3969" s="416">
        <v>1100696</v>
      </c>
      <c r="C3969" s="413" t="str">
        <f>IFERROR(INDEX(Table14[],MATCH($B3969,Table14[SAPNo],0),3),"")</f>
        <v>Round 1313 CT418  10C (S)</v>
      </c>
      <c r="D3969" s="420" t="s">
        <v>11</v>
      </c>
      <c r="E3969" s="421">
        <v>6</v>
      </c>
      <c r="F3969" s="580"/>
      <c r="G3969" s="417">
        <v>20251043</v>
      </c>
      <c r="H3969" s="598" t="s">
        <v>2707</v>
      </c>
      <c r="I3969" s="322" t="s">
        <v>2196</v>
      </c>
      <c r="J3969" s="418"/>
      <c r="K3969" s="248"/>
      <c r="M3969" s="366"/>
    </row>
    <row r="3970" spans="1:13" x14ac:dyDescent="0.25">
      <c r="A3970" s="308">
        <v>45736</v>
      </c>
      <c r="B3970" s="416">
        <v>717748</v>
      </c>
      <c r="C3970" s="413" t="str">
        <f>IFERROR(INDEX(Table14[],MATCH($B3970,Table14[SAPNo],0),3),"")</f>
        <v>Round 1010 CT200  0.018" (B)</v>
      </c>
      <c r="D3970" s="420" t="s">
        <v>12</v>
      </c>
      <c r="E3970" s="421">
        <v>3</v>
      </c>
      <c r="F3970" s="580"/>
      <c r="G3970" s="417">
        <v>20251044</v>
      </c>
      <c r="H3970" s="598" t="s">
        <v>2708</v>
      </c>
      <c r="I3970" s="322" t="s">
        <v>1069</v>
      </c>
      <c r="J3970" s="418"/>
      <c r="K3970" s="248"/>
      <c r="M3970" s="366"/>
    </row>
    <row r="3971" spans="1:13" x14ac:dyDescent="0.25">
      <c r="A3971" s="308">
        <v>45736</v>
      </c>
      <c r="B3971" s="416">
        <v>717748</v>
      </c>
      <c r="C3971" s="413" t="str">
        <f>IFERROR(INDEX(Table14[],MATCH($B3971,Table14[SAPNo],0),3),"")</f>
        <v>Round 1010 CT200  0.018" (B)</v>
      </c>
      <c r="D3971" s="420" t="s">
        <v>12</v>
      </c>
      <c r="E3971" s="421">
        <v>7</v>
      </c>
      <c r="F3971" s="580"/>
      <c r="G3971" s="417">
        <v>20251045</v>
      </c>
      <c r="H3971" s="598" t="s">
        <v>2709</v>
      </c>
      <c r="I3971" s="322" t="s">
        <v>1069</v>
      </c>
      <c r="J3971" s="418"/>
      <c r="K3971" s="248"/>
      <c r="M3971" s="366"/>
    </row>
    <row r="3972" spans="1:13" x14ac:dyDescent="0.25">
      <c r="A3972" s="308">
        <v>45736</v>
      </c>
      <c r="B3972" s="416">
        <v>418525</v>
      </c>
      <c r="C3972" s="413" t="str">
        <f>IFERROR(INDEX(Table14[],MATCH($B3972,Table14[SAPNo],0),3),"")</f>
        <v>Drop In 1308 CT31   (B)</v>
      </c>
      <c r="D3972" s="420" t="s">
        <v>12</v>
      </c>
      <c r="E3972" s="421">
        <v>1</v>
      </c>
      <c r="F3972" s="580"/>
      <c r="G3972" s="417" t="s">
        <v>2710</v>
      </c>
      <c r="H3972" s="598">
        <v>14144634</v>
      </c>
      <c r="I3972" s="322" t="s">
        <v>2711</v>
      </c>
      <c r="J3972" s="418"/>
      <c r="K3972" s="248"/>
      <c r="M3972" s="366"/>
    </row>
    <row r="3973" spans="1:13" x14ac:dyDescent="0.25">
      <c r="A3973" s="308">
        <v>45736</v>
      </c>
      <c r="B3973" s="416">
        <v>1146737</v>
      </c>
      <c r="C3973" s="413" t="str">
        <f>IFERROR(INDEX(Table14[],MATCH($B3973,Table14[SAPNo],0),3),"")</f>
        <v>1613 CT418 18-60</v>
      </c>
      <c r="D3973" s="420" t="s">
        <v>12</v>
      </c>
      <c r="E3973" s="421">
        <v>1</v>
      </c>
      <c r="F3973" s="580"/>
      <c r="G3973" s="417" t="s">
        <v>2710</v>
      </c>
      <c r="H3973" s="598">
        <v>14144634</v>
      </c>
      <c r="I3973" s="322" t="s">
        <v>2711</v>
      </c>
      <c r="J3973" s="418"/>
      <c r="K3973" s="248"/>
      <c r="M3973" s="366"/>
    </row>
    <row r="3974" spans="1:13" x14ac:dyDescent="0.25">
      <c r="A3974" s="308">
        <v>45739</v>
      </c>
      <c r="B3974" s="416">
        <v>2013726</v>
      </c>
      <c r="C3974" s="413" t="str">
        <f>IFERROR(INDEX(Table14[],MATCH($B3974,Table14[SAPNo],0),3),"")</f>
        <v>1913 CT172 18-60</v>
      </c>
      <c r="D3974" s="420" t="s">
        <v>12</v>
      </c>
      <c r="E3974" s="421">
        <v>18</v>
      </c>
      <c r="F3974" s="580"/>
      <c r="G3974" s="417" t="s">
        <v>2712</v>
      </c>
      <c r="H3974" s="598">
        <v>14210784</v>
      </c>
      <c r="I3974" s="322" t="s">
        <v>1299</v>
      </c>
      <c r="J3974" s="418"/>
      <c r="K3974" s="248"/>
      <c r="M3974" s="366"/>
    </row>
    <row r="3975" spans="1:13" x14ac:dyDescent="0.25">
      <c r="A3975" s="308">
        <v>45739</v>
      </c>
      <c r="B3975" s="416">
        <v>2001060</v>
      </c>
      <c r="C3975" s="413" t="str">
        <f>IFERROR(INDEX(Table14[],MATCH($B3975,Table14[SAPNo],0),3),"")</f>
        <v>1613 CT179T U-60</v>
      </c>
      <c r="D3975" s="420" t="s">
        <v>12</v>
      </c>
      <c r="E3975" s="421">
        <v>10</v>
      </c>
      <c r="F3975" s="580"/>
      <c r="G3975" s="417" t="s">
        <v>2713</v>
      </c>
      <c r="H3975" s="598">
        <v>14336417</v>
      </c>
      <c r="I3975" s="322" t="s">
        <v>2714</v>
      </c>
      <c r="J3975" s="418"/>
      <c r="K3975" s="248"/>
      <c r="M3975" s="366"/>
    </row>
    <row r="3976" spans="1:13" x14ac:dyDescent="0.25">
      <c r="A3976" s="308">
        <v>45739</v>
      </c>
      <c r="B3976" s="416">
        <v>1146346</v>
      </c>
      <c r="C3976" s="413" t="str">
        <f>IFERROR(INDEX(Table14[],MATCH($B3976,Table14[SAPNo],0),3),"")</f>
        <v>1313 CT418 18-60</v>
      </c>
      <c r="D3976" s="420" t="s">
        <v>12</v>
      </c>
      <c r="E3976" s="421">
        <v>15</v>
      </c>
      <c r="F3976" s="580"/>
      <c r="G3976" s="417" t="s">
        <v>2713</v>
      </c>
      <c r="H3976" s="598">
        <v>14336417</v>
      </c>
      <c r="I3976" s="322" t="s">
        <v>2714</v>
      </c>
      <c r="J3976" s="418"/>
      <c r="K3976" s="248"/>
      <c r="M3976" s="366"/>
    </row>
    <row r="3977" spans="1:13" x14ac:dyDescent="0.25">
      <c r="A3977" s="308">
        <v>45739</v>
      </c>
      <c r="B3977" s="416">
        <v>1146737</v>
      </c>
      <c r="C3977" s="413" t="str">
        <f>IFERROR(INDEX(Table14[],MATCH($B3977,Table14[SAPNo],0),3),"")</f>
        <v>1613 CT418 18-60</v>
      </c>
      <c r="D3977" s="420" t="s">
        <v>12</v>
      </c>
      <c r="E3977" s="421">
        <v>5</v>
      </c>
      <c r="F3977" s="580"/>
      <c r="G3977" s="417" t="s">
        <v>2713</v>
      </c>
      <c r="H3977" s="598">
        <v>14336417</v>
      </c>
      <c r="I3977" s="322" t="s">
        <v>2714</v>
      </c>
      <c r="J3977" s="418"/>
      <c r="K3977" s="248"/>
      <c r="M3977" s="366"/>
    </row>
    <row r="3978" spans="1:13" x14ac:dyDescent="0.25">
      <c r="A3978" s="308">
        <v>45739</v>
      </c>
      <c r="B3978" s="416">
        <v>1208601</v>
      </c>
      <c r="C3978" s="413" t="str">
        <f>IFERROR(INDEX(Table14[],MATCH($B3978,Table14[SAPNo],0),3),"")</f>
        <v>1613 CT418 U-60</v>
      </c>
      <c r="D3978" s="420" t="s">
        <v>12</v>
      </c>
      <c r="E3978" s="421">
        <v>8</v>
      </c>
      <c r="F3978" s="580"/>
      <c r="G3978" s="417" t="s">
        <v>2713</v>
      </c>
      <c r="H3978" s="598">
        <v>14336417</v>
      </c>
      <c r="I3978" s="322" t="s">
        <v>2714</v>
      </c>
      <c r="J3978" s="418"/>
      <c r="K3978" s="248"/>
      <c r="M3978" s="366"/>
    </row>
    <row r="3979" spans="1:13" x14ac:dyDescent="0.25">
      <c r="A3979" s="308">
        <v>45739</v>
      </c>
      <c r="B3979" s="416">
        <v>1288783</v>
      </c>
      <c r="C3979" s="413" t="str">
        <f>IFERROR(INDEX(Table14[],MATCH($B3979,Table14[SAPNo],0),3),"")</f>
        <v>1613 CT179 18-60</v>
      </c>
      <c r="D3979" s="420" t="s">
        <v>12</v>
      </c>
      <c r="E3979" s="421">
        <v>5</v>
      </c>
      <c r="F3979" s="580"/>
      <c r="G3979" s="417" t="s">
        <v>2713</v>
      </c>
      <c r="H3979" s="598">
        <v>14336417</v>
      </c>
      <c r="I3979" s="322" t="s">
        <v>2714</v>
      </c>
      <c r="J3979" s="418"/>
      <c r="K3979" s="248"/>
      <c r="M3979" s="366"/>
    </row>
    <row r="3980" spans="1:13" x14ac:dyDescent="0.25">
      <c r="A3980" s="308">
        <v>45739</v>
      </c>
      <c r="B3980" s="416">
        <v>1130197</v>
      </c>
      <c r="C3980" s="413" t="str">
        <f>IFERROR(INDEX(Table14[],MATCH($B3980,Table14[SAPNo],0),3),"")</f>
        <v>Round 1608 CT182  0.018" (S)</v>
      </c>
      <c r="D3980" s="420" t="s">
        <v>12</v>
      </c>
      <c r="E3980" s="421">
        <v>1</v>
      </c>
      <c r="F3980" s="580"/>
      <c r="G3980" s="417" t="s">
        <v>2715</v>
      </c>
      <c r="H3980" s="598">
        <v>14304775</v>
      </c>
      <c r="I3980" s="322" t="s">
        <v>2716</v>
      </c>
      <c r="J3980" s="418"/>
      <c r="K3980" s="248"/>
      <c r="M3980" s="366"/>
    </row>
    <row r="3981" spans="1:13" x14ac:dyDescent="0.25">
      <c r="A3981" s="308">
        <v>45739</v>
      </c>
      <c r="B3981" s="416">
        <v>871781</v>
      </c>
      <c r="C3981" s="413" t="str">
        <f>IFERROR(INDEX(Table14[],MATCH($B3981,Table14[SAPNo],0),3),"")</f>
        <v>Round 1313 CT200  0.018" (B)</v>
      </c>
      <c r="D3981" s="420" t="s">
        <v>12</v>
      </c>
      <c r="E3981" s="421">
        <v>6</v>
      </c>
      <c r="F3981" s="580"/>
      <c r="G3981" s="417" t="s">
        <v>2715</v>
      </c>
      <c r="H3981" s="598">
        <v>14304775</v>
      </c>
      <c r="I3981" s="322" t="s">
        <v>2716</v>
      </c>
      <c r="J3981" s="418"/>
      <c r="K3981" s="248"/>
      <c r="M3981" s="366"/>
    </row>
    <row r="3982" spans="1:13" x14ac:dyDescent="0.25">
      <c r="A3982" s="308">
        <v>45739</v>
      </c>
      <c r="B3982" s="416">
        <v>647435</v>
      </c>
      <c r="C3982" s="413" t="str">
        <f>IFERROR(INDEX(Table14[],MATCH($B3982,Table14[SAPNo],0),3),"")</f>
        <v>Round 1608 CT200  0.018" (B)</v>
      </c>
      <c r="D3982" s="420" t="s">
        <v>12</v>
      </c>
      <c r="E3982" s="421">
        <v>22</v>
      </c>
      <c r="F3982" s="580"/>
      <c r="G3982" s="417" t="s">
        <v>2715</v>
      </c>
      <c r="H3982" s="598">
        <v>14304775</v>
      </c>
      <c r="I3982" s="322" t="s">
        <v>2716</v>
      </c>
      <c r="J3982" s="418"/>
      <c r="K3982" s="248"/>
      <c r="M3982" s="366"/>
    </row>
    <row r="3983" spans="1:13" x14ac:dyDescent="0.25">
      <c r="A3983" s="320">
        <v>45739</v>
      </c>
      <c r="B3983" s="419">
        <v>1255773</v>
      </c>
      <c r="C3983" s="413" t="str">
        <f>IFERROR(INDEX(Table14[],MATCH($B3983,Table14[SAPNo],0),3),"")</f>
        <v>1613 CT154 U­60</v>
      </c>
      <c r="D3983" s="420" t="s">
        <v>12</v>
      </c>
      <c r="E3983" s="421">
        <v>33</v>
      </c>
      <c r="F3983" s="580"/>
      <c r="G3983" s="420" t="s">
        <v>2715</v>
      </c>
      <c r="H3983" s="599">
        <v>14304775</v>
      </c>
      <c r="I3983" s="322" t="s">
        <v>2716</v>
      </c>
      <c r="J3983" s="421"/>
      <c r="K3983" s="422"/>
      <c r="M3983" s="366"/>
    </row>
    <row r="3984" spans="1:13" x14ac:dyDescent="0.25">
      <c r="A3984" s="308">
        <v>45739</v>
      </c>
      <c r="B3984" s="416">
        <v>1078377</v>
      </c>
      <c r="C3984" s="413" t="str">
        <f>IFERROR(INDEX(Table14[],MATCH($B3984,Table14[SAPNo],0),3),"")</f>
        <v>13MM CT221 R1</v>
      </c>
      <c r="D3984" s="420" t="s">
        <v>12</v>
      </c>
      <c r="E3984" s="421"/>
      <c r="F3984" s="421">
        <v>85</v>
      </c>
      <c r="G3984" s="417" t="s">
        <v>2513</v>
      </c>
      <c r="H3984" s="598"/>
      <c r="I3984" s="322"/>
      <c r="J3984" s="303" t="s">
        <v>998</v>
      </c>
      <c r="K3984" s="248"/>
      <c r="M3984" s="422"/>
    </row>
    <row r="3985" spans="1:13" x14ac:dyDescent="0.25">
      <c r="A3985" s="308">
        <v>45739</v>
      </c>
      <c r="B3985" s="416">
        <v>1146737</v>
      </c>
      <c r="C3985" s="413" t="str">
        <f>IFERROR(INDEX(Table14[],MATCH($B3985,Table14[SAPNo],0),3),"")</f>
        <v>1613 CT418 18-60</v>
      </c>
      <c r="D3985" s="420" t="s">
        <v>12</v>
      </c>
      <c r="E3985" s="421"/>
      <c r="F3985" s="580">
        <v>150</v>
      </c>
      <c r="G3985" s="417" t="s">
        <v>2513</v>
      </c>
      <c r="H3985" s="598"/>
      <c r="I3985" s="322"/>
      <c r="J3985" s="303" t="s">
        <v>998</v>
      </c>
      <c r="K3985" s="248"/>
      <c r="M3985" s="366"/>
    </row>
    <row r="3986" spans="1:13" x14ac:dyDescent="0.25">
      <c r="A3986" s="308">
        <v>45739</v>
      </c>
      <c r="B3986" s="416">
        <v>1199261</v>
      </c>
      <c r="C3986" s="413" t="str">
        <f>IFERROR(INDEX(Table14[],MATCH($B3986,Table14[SAPNo],0),3),"")</f>
        <v>1010 CT158 0.018"</v>
      </c>
      <c r="D3986" s="420" t="s">
        <v>12</v>
      </c>
      <c r="E3986" s="421"/>
      <c r="F3986" s="580">
        <v>11</v>
      </c>
      <c r="G3986" s="417" t="s">
        <v>2513</v>
      </c>
      <c r="H3986" s="598"/>
      <c r="I3986" s="322"/>
      <c r="J3986" s="303" t="s">
        <v>998</v>
      </c>
      <c r="K3986" s="248"/>
      <c r="M3986" s="366"/>
    </row>
    <row r="3987" spans="1:13" x14ac:dyDescent="0.25">
      <c r="A3987" s="308">
        <v>45739</v>
      </c>
      <c r="B3987" s="416">
        <v>1208601</v>
      </c>
      <c r="C3987" s="413" t="str">
        <f>IFERROR(INDEX(Table14[],MATCH($B3987,Table14[SAPNo],0),3),"")</f>
        <v>1613 CT418 U-60</v>
      </c>
      <c r="D3987" s="420" t="s">
        <v>12</v>
      </c>
      <c r="E3987" s="421"/>
      <c r="F3987" s="580">
        <v>100</v>
      </c>
      <c r="G3987" s="417" t="s">
        <v>2513</v>
      </c>
      <c r="H3987" s="598"/>
      <c r="I3987" s="322"/>
      <c r="J3987" s="303" t="s">
        <v>998</v>
      </c>
      <c r="K3987" s="248"/>
      <c r="M3987" s="366"/>
    </row>
    <row r="3988" spans="1:13" x14ac:dyDescent="0.25">
      <c r="A3988" s="308">
        <v>45739</v>
      </c>
      <c r="B3988" s="416">
        <v>1274176</v>
      </c>
      <c r="C3988" s="413" t="str">
        <f>IFERROR(INDEX(Table14[],MATCH($B3988,Table14[SAPNo],0),3),"")</f>
        <v>1613 CT172 18-60</v>
      </c>
      <c r="D3988" s="420" t="s">
        <v>12</v>
      </c>
      <c r="E3988" s="421"/>
      <c r="F3988" s="580">
        <v>12</v>
      </c>
      <c r="G3988" s="417" t="s">
        <v>2513</v>
      </c>
      <c r="H3988" s="598"/>
      <c r="I3988" s="322"/>
      <c r="J3988" s="303" t="s">
        <v>989</v>
      </c>
      <c r="K3988" s="248"/>
      <c r="M3988" s="366"/>
    </row>
    <row r="3989" spans="1:13" x14ac:dyDescent="0.25">
      <c r="A3989" s="308">
        <v>45739</v>
      </c>
      <c r="B3989" s="416">
        <v>1288783</v>
      </c>
      <c r="C3989" s="413" t="str">
        <f>IFERROR(INDEX(Table14[],MATCH($B3989,Table14[SAPNo],0),3),"")</f>
        <v>1613 CT179 18-60</v>
      </c>
      <c r="D3989" s="420" t="s">
        <v>12</v>
      </c>
      <c r="E3989" s="421"/>
      <c r="F3989" s="580">
        <v>150</v>
      </c>
      <c r="G3989" s="417" t="s">
        <v>2513</v>
      </c>
      <c r="H3989" s="598"/>
      <c r="I3989" s="322"/>
      <c r="J3989" s="303" t="s">
        <v>998</v>
      </c>
      <c r="K3989" s="248"/>
      <c r="M3989" s="366"/>
    </row>
    <row r="3990" spans="1:13" x14ac:dyDescent="0.25">
      <c r="A3990" s="308">
        <v>45739</v>
      </c>
      <c r="B3990" s="416">
        <v>1293118</v>
      </c>
      <c r="C3990" s="413" t="str">
        <f>IFERROR(INDEX(Table14[],MATCH($B3990,Table14[SAPNo],0),3),"")</f>
        <v>0808 CT158NL 0.018"</v>
      </c>
      <c r="D3990" s="420" t="s">
        <v>12</v>
      </c>
      <c r="E3990" s="421"/>
      <c r="F3990" s="580">
        <v>20</v>
      </c>
      <c r="G3990" s="417" t="s">
        <v>2513</v>
      </c>
      <c r="H3990" s="598"/>
      <c r="I3990" s="322"/>
      <c r="J3990" s="303" t="s">
        <v>998</v>
      </c>
      <c r="K3990" s="248"/>
      <c r="M3990" s="366"/>
    </row>
    <row r="3991" spans="1:13" x14ac:dyDescent="0.25">
      <c r="A3991" s="308">
        <v>45739</v>
      </c>
      <c r="B3991" s="416">
        <v>2001060</v>
      </c>
      <c r="C3991" s="413" t="str">
        <f>IFERROR(INDEX(Table14[],MATCH($B3991,Table14[SAPNo],0),3),"")</f>
        <v>1613 CT179T U-60</v>
      </c>
      <c r="D3991" s="420" t="s">
        <v>12</v>
      </c>
      <c r="E3991" s="421"/>
      <c r="F3991" s="580">
        <v>40</v>
      </c>
      <c r="G3991" s="417" t="s">
        <v>2513</v>
      </c>
      <c r="H3991" s="598"/>
      <c r="I3991" s="322"/>
      <c r="J3991" s="303" t="s">
        <v>987</v>
      </c>
      <c r="K3991" s="248"/>
      <c r="M3991" s="366"/>
    </row>
    <row r="3992" spans="1:13" x14ac:dyDescent="0.25">
      <c r="A3992" s="308">
        <v>45739</v>
      </c>
      <c r="B3992" s="416">
        <v>2002243</v>
      </c>
      <c r="C3992" s="413" t="str">
        <f>IFERROR(INDEX(Table14[],MATCH($B3992,Table14[SAPNo],0),3),"")</f>
        <v>1308 CT188 U-60</v>
      </c>
      <c r="D3992" s="420" t="s">
        <v>12</v>
      </c>
      <c r="E3992" s="421"/>
      <c r="F3992" s="580">
        <v>19</v>
      </c>
      <c r="G3992" s="417" t="s">
        <v>2513</v>
      </c>
      <c r="H3992" s="598"/>
      <c r="I3992" s="322"/>
      <c r="J3992" s="303" t="s">
        <v>967</v>
      </c>
      <c r="K3992" s="248"/>
      <c r="M3992" s="366"/>
    </row>
    <row r="3993" spans="1:13" x14ac:dyDescent="0.25">
      <c r="A3993" s="308">
        <v>45739</v>
      </c>
      <c r="B3993" s="416">
        <v>2013726</v>
      </c>
      <c r="C3993" s="413" t="str">
        <f>IFERROR(INDEX(Table14[],MATCH($B3993,Table14[SAPNo],0),3),"")</f>
        <v>1913 CT172 18-60</v>
      </c>
      <c r="D3993" s="420" t="s">
        <v>12</v>
      </c>
      <c r="E3993" s="421"/>
      <c r="F3993" s="580">
        <v>35</v>
      </c>
      <c r="G3993" s="417" t="s">
        <v>2513</v>
      </c>
      <c r="H3993" s="598"/>
      <c r="I3993" s="322"/>
      <c r="J3993" s="303" t="s">
        <v>983</v>
      </c>
      <c r="K3993" s="248"/>
      <c r="M3993" s="366"/>
    </row>
    <row r="3994" spans="1:13" x14ac:dyDescent="0.25">
      <c r="A3994" s="308">
        <v>45739</v>
      </c>
      <c r="B3994" s="416">
        <v>418525</v>
      </c>
      <c r="C3994" s="413" t="str">
        <f>IFERROR(INDEX(Table14[],MATCH($B3994,Table14[SAPNo],0),3),"")</f>
        <v>Drop In 1308 CT31   (B)</v>
      </c>
      <c r="D3994" s="420" t="s">
        <v>12</v>
      </c>
      <c r="E3994" s="421"/>
      <c r="F3994" s="580">
        <v>273</v>
      </c>
      <c r="G3994" s="417" t="s">
        <v>2513</v>
      </c>
      <c r="H3994" s="598"/>
      <c r="I3994" s="322"/>
      <c r="J3994" s="303" t="s">
        <v>998</v>
      </c>
      <c r="K3994" s="248"/>
      <c r="M3994" s="366"/>
    </row>
    <row r="3995" spans="1:13" x14ac:dyDescent="0.25">
      <c r="A3995" s="308">
        <v>45739</v>
      </c>
      <c r="B3995" s="416">
        <v>717748</v>
      </c>
      <c r="C3995" s="413" t="str">
        <f>IFERROR(INDEX(Table14[],MATCH($B3995,Table14[SAPNo],0),3),"")</f>
        <v>Round 1010 CT200  0.018" (B)</v>
      </c>
      <c r="D3995" s="420" t="s">
        <v>12</v>
      </c>
      <c r="E3995" s="421"/>
      <c r="F3995" s="580">
        <v>130</v>
      </c>
      <c r="G3995" s="417" t="s">
        <v>2513</v>
      </c>
      <c r="H3995" s="598"/>
      <c r="I3995" s="322"/>
      <c r="J3995" s="303" t="s">
        <v>998</v>
      </c>
      <c r="K3995" s="248"/>
      <c r="M3995" s="366"/>
    </row>
    <row r="3996" spans="1:13" x14ac:dyDescent="0.25">
      <c r="A3996" s="308">
        <v>45739</v>
      </c>
      <c r="B3996" s="416">
        <v>717751</v>
      </c>
      <c r="C3996" s="413" t="str">
        <f>IFERROR(INDEX(Table14[],MATCH($B3996,Table14[SAPNo],0),3),"")</f>
        <v>Round 1308 CT200  0.018" (B)</v>
      </c>
      <c r="D3996" s="420" t="s">
        <v>12</v>
      </c>
      <c r="E3996" s="421"/>
      <c r="F3996" s="580">
        <v>20</v>
      </c>
      <c r="G3996" s="417" t="s">
        <v>2513</v>
      </c>
      <c r="H3996" s="598"/>
      <c r="I3996" s="322"/>
      <c r="J3996" s="303" t="s">
        <v>998</v>
      </c>
      <c r="K3996" s="248"/>
      <c r="M3996" s="366"/>
    </row>
    <row r="3997" spans="1:13" x14ac:dyDescent="0.25">
      <c r="A3997" s="308">
        <v>45739</v>
      </c>
      <c r="B3997" s="416">
        <v>773384</v>
      </c>
      <c r="C3997" s="413" t="str">
        <f>IFERROR(INDEX(Table14[],MATCH($B3997,Table14[SAPNo],0),3),"")</f>
        <v>Round 1005 CT200  0.018" (B)</v>
      </c>
      <c r="D3997" s="420" t="s">
        <v>12</v>
      </c>
      <c r="E3997" s="421"/>
      <c r="F3997" s="580">
        <v>55</v>
      </c>
      <c r="G3997" s="417" t="s">
        <v>2513</v>
      </c>
      <c r="H3997" s="598"/>
      <c r="I3997" s="322"/>
      <c r="J3997" s="303" t="s">
        <v>998</v>
      </c>
      <c r="K3997" s="248"/>
      <c r="M3997" s="366"/>
    </row>
    <row r="3998" spans="1:13" x14ac:dyDescent="0.25">
      <c r="A3998" s="320">
        <v>45739</v>
      </c>
      <c r="B3998" s="419">
        <v>871781</v>
      </c>
      <c r="C3998" s="413" t="str">
        <f>IFERROR(INDEX(Table14[],MATCH($B3998,Table14[SAPNo],0),3),"")</f>
        <v>Round 1313 CT200  0.018" (B)</v>
      </c>
      <c r="D3998" s="420" t="s">
        <v>12</v>
      </c>
      <c r="E3998" s="421"/>
      <c r="F3998" s="580">
        <v>30</v>
      </c>
      <c r="G3998" s="417" t="s">
        <v>2513</v>
      </c>
      <c r="H3998" s="599"/>
      <c r="I3998" s="322"/>
      <c r="J3998" s="303" t="s">
        <v>998</v>
      </c>
      <c r="K3998" s="422"/>
      <c r="M3998" s="366"/>
    </row>
    <row r="3999" spans="1:13" x14ac:dyDescent="0.25">
      <c r="A3999" s="308">
        <v>45740</v>
      </c>
      <c r="B3999" s="416">
        <v>871781</v>
      </c>
      <c r="C3999" s="413" t="str">
        <f>IFERROR(INDEX(Table14[],MATCH($B3999,Table14[SAPNo],0),3),"")</f>
        <v>Round 1313 CT200  0.018" (B)</v>
      </c>
      <c r="D3999" s="420" t="s">
        <v>12</v>
      </c>
      <c r="E3999" s="421">
        <v>6</v>
      </c>
      <c r="F3999" s="421"/>
      <c r="G3999" s="417" t="s">
        <v>2717</v>
      </c>
      <c r="H3999" s="598">
        <v>14346619</v>
      </c>
      <c r="I3999" s="322" t="s">
        <v>2718</v>
      </c>
      <c r="J3999" s="418"/>
      <c r="K3999" s="248"/>
      <c r="M3999" s="422"/>
    </row>
    <row r="4000" spans="1:13" x14ac:dyDescent="0.25">
      <c r="A4000" s="308">
        <v>45740</v>
      </c>
      <c r="B4000" s="416">
        <v>2001060</v>
      </c>
      <c r="C4000" s="413" t="str">
        <f>IFERROR(INDEX(Table14[],MATCH($B4000,Table14[SAPNo],0),3),"")</f>
        <v>1613 CT179T U-60</v>
      </c>
      <c r="D4000" s="420" t="s">
        <v>12</v>
      </c>
      <c r="E4000" s="421">
        <v>12</v>
      </c>
      <c r="F4000" s="580"/>
      <c r="G4000" s="417" t="s">
        <v>2717</v>
      </c>
      <c r="H4000" s="598">
        <v>14346619</v>
      </c>
      <c r="I4000" s="322" t="s">
        <v>2718</v>
      </c>
      <c r="J4000" s="418"/>
      <c r="K4000" s="248"/>
      <c r="M4000" s="366"/>
    </row>
    <row r="4001" spans="1:13" x14ac:dyDescent="0.25">
      <c r="A4001" s="308">
        <v>45740</v>
      </c>
      <c r="B4001" s="416">
        <v>1288783</v>
      </c>
      <c r="C4001" s="413" t="str">
        <f>IFERROR(INDEX(Table14[],MATCH($B4001,Table14[SAPNo],0),3),"")</f>
        <v>1613 CT179 18-60</v>
      </c>
      <c r="D4001" s="420" t="s">
        <v>12</v>
      </c>
      <c r="E4001" s="421">
        <v>5</v>
      </c>
      <c r="F4001" s="580"/>
      <c r="G4001" s="417" t="s">
        <v>2717</v>
      </c>
      <c r="H4001" s="598">
        <v>14346619</v>
      </c>
      <c r="I4001" s="322" t="s">
        <v>2718</v>
      </c>
      <c r="J4001" s="418"/>
      <c r="K4001" s="248"/>
      <c r="M4001" s="366"/>
    </row>
    <row r="4002" spans="1:13" x14ac:dyDescent="0.25">
      <c r="A4002" s="308">
        <v>45740</v>
      </c>
      <c r="B4002" s="416">
        <v>1208601</v>
      </c>
      <c r="C4002" s="413" t="str">
        <f>IFERROR(INDEX(Table14[],MATCH($B4002,Table14[SAPNo],0),3),"")</f>
        <v>1613 CT418 U-60</v>
      </c>
      <c r="D4002" s="420" t="s">
        <v>12</v>
      </c>
      <c r="E4002" s="421">
        <v>8</v>
      </c>
      <c r="F4002" s="580"/>
      <c r="G4002" s="417" t="s">
        <v>2717</v>
      </c>
      <c r="H4002" s="598">
        <v>14346619</v>
      </c>
      <c r="I4002" s="322" t="s">
        <v>2718</v>
      </c>
      <c r="J4002" s="418"/>
      <c r="K4002" s="248"/>
      <c r="M4002" s="366"/>
    </row>
    <row r="4003" spans="1:13" x14ac:dyDescent="0.25">
      <c r="A4003" s="308">
        <v>45740</v>
      </c>
      <c r="B4003" s="416">
        <v>1146737</v>
      </c>
      <c r="C4003" s="413" t="str">
        <f>IFERROR(INDEX(Table14[],MATCH($B4003,Table14[SAPNo],0),3),"")</f>
        <v>1613 CT418 18-60</v>
      </c>
      <c r="D4003" s="420" t="s">
        <v>12</v>
      </c>
      <c r="E4003" s="421">
        <v>6</v>
      </c>
      <c r="F4003" s="580"/>
      <c r="G4003" s="417" t="s">
        <v>2717</v>
      </c>
      <c r="H4003" s="598">
        <v>14346619</v>
      </c>
      <c r="I4003" s="322" t="s">
        <v>2718</v>
      </c>
      <c r="J4003" s="418"/>
      <c r="K4003" s="248"/>
      <c r="M4003" s="366"/>
    </row>
    <row r="4004" spans="1:13" x14ac:dyDescent="0.25">
      <c r="A4004" s="308">
        <v>45740</v>
      </c>
      <c r="B4004" s="416">
        <v>1134752</v>
      </c>
      <c r="C4004" s="413" t="str">
        <f>IFERROR(INDEX(Table14[],MATCH($B4004,Table14[SAPNo],0),3),"")</f>
        <v>Round 1308 CT182  0.018" (S)</v>
      </c>
      <c r="D4004" s="420" t="s">
        <v>12</v>
      </c>
      <c r="E4004" s="421">
        <v>12</v>
      </c>
      <c r="F4004" s="580"/>
      <c r="G4004" s="417" t="s">
        <v>2717</v>
      </c>
      <c r="H4004" s="598">
        <v>14346619</v>
      </c>
      <c r="I4004" s="322" t="s">
        <v>2718</v>
      </c>
      <c r="J4004" s="418"/>
      <c r="K4004" s="248"/>
      <c r="M4004" s="366"/>
    </row>
    <row r="4005" spans="1:13" x14ac:dyDescent="0.25">
      <c r="A4005" s="308">
        <v>45740</v>
      </c>
      <c r="B4005" s="416">
        <v>1130197</v>
      </c>
      <c r="C4005" s="413" t="str">
        <f>IFERROR(INDEX(Table14[],MATCH($B4005,Table14[SAPNo],0),3),"")</f>
        <v>Round 1608 CT182  0.018" (S)</v>
      </c>
      <c r="D4005" s="420" t="s">
        <v>12</v>
      </c>
      <c r="E4005" s="421">
        <v>6</v>
      </c>
      <c r="F4005" s="580"/>
      <c r="G4005" s="417" t="s">
        <v>2717</v>
      </c>
      <c r="H4005" s="598">
        <v>14346619</v>
      </c>
      <c r="I4005" s="322" t="s">
        <v>2718</v>
      </c>
      <c r="J4005" s="418"/>
      <c r="K4005" s="248"/>
      <c r="M4005" s="366"/>
    </row>
    <row r="4006" spans="1:13" x14ac:dyDescent="0.25">
      <c r="A4006" s="308">
        <v>45743</v>
      </c>
      <c r="B4006" s="416">
        <v>1078377</v>
      </c>
      <c r="C4006" s="413" t="str">
        <f>IFERROR(INDEX(Table14[],MATCH($B4006,Table14[SAPNo],0),3),"")</f>
        <v>13MM CT221 R1</v>
      </c>
      <c r="D4006" s="420" t="s">
        <v>12</v>
      </c>
      <c r="E4006" s="421">
        <v>2</v>
      </c>
      <c r="F4006" s="580"/>
      <c r="G4006" s="417" t="s">
        <v>2731</v>
      </c>
      <c r="H4006" s="598">
        <v>14211931</v>
      </c>
      <c r="I4006" s="322" t="s">
        <v>2311</v>
      </c>
      <c r="J4006" s="418"/>
      <c r="K4006" s="248"/>
      <c r="M4006" s="366"/>
    </row>
    <row r="4007" spans="1:13" x14ac:dyDescent="0.25">
      <c r="A4007" s="308">
        <v>45743</v>
      </c>
      <c r="B4007" s="416">
        <v>1271790</v>
      </c>
      <c r="C4007" s="413" t="str">
        <f>IFERROR(INDEX(Table14[],MATCH($B4007,Table14[SAPNo],0),3),"")</f>
        <v xml:space="preserve">1613 CT170 18-60 </v>
      </c>
      <c r="D4007" s="420" t="s">
        <v>12</v>
      </c>
      <c r="E4007" s="421">
        <v>1</v>
      </c>
      <c r="F4007" s="580"/>
      <c r="G4007" s="417" t="s">
        <v>2731</v>
      </c>
      <c r="H4007" s="598">
        <v>14211931</v>
      </c>
      <c r="I4007" s="322" t="s">
        <v>2311</v>
      </c>
      <c r="J4007" s="418"/>
      <c r="K4007" s="248"/>
      <c r="M4007" s="366"/>
    </row>
    <row r="4008" spans="1:13" x14ac:dyDescent="0.25">
      <c r="A4008" s="320">
        <v>45741</v>
      </c>
      <c r="B4008" s="419">
        <v>418525</v>
      </c>
      <c r="C4008" s="413" t="str">
        <f>IFERROR(INDEX(Table14[],MATCH($B4008,Table14[SAPNo],0),3),"")</f>
        <v>Drop In 1308 CT31   (B)</v>
      </c>
      <c r="D4008" s="420" t="s">
        <v>12</v>
      </c>
      <c r="E4008" s="421">
        <v>6</v>
      </c>
      <c r="F4008" s="580"/>
      <c r="G4008" s="420" t="s">
        <v>2719</v>
      </c>
      <c r="H4008" s="599">
        <v>14254497</v>
      </c>
      <c r="I4008" s="322" t="s">
        <v>2720</v>
      </c>
      <c r="J4008" s="421"/>
      <c r="K4008" s="422"/>
      <c r="M4008" s="366"/>
    </row>
    <row r="4009" spans="1:13" x14ac:dyDescent="0.25">
      <c r="A4009" s="320">
        <v>45741</v>
      </c>
      <c r="B4009" s="419">
        <v>1100759</v>
      </c>
      <c r="C4009" s="413" t="str">
        <f>IFERROR(INDEX(Table14[],MATCH($B4009,Table14[SAPNo],0),3),"")</f>
        <v>1913 CT421 0.018"</v>
      </c>
      <c r="D4009" s="420" t="s">
        <v>1072</v>
      </c>
      <c r="E4009" s="421"/>
      <c r="F4009" s="421">
        <v>18</v>
      </c>
      <c r="G4009" s="420" t="s">
        <v>2712</v>
      </c>
      <c r="H4009" s="599">
        <v>14210784</v>
      </c>
      <c r="I4009" s="322" t="s">
        <v>1299</v>
      </c>
      <c r="J4009" s="421"/>
      <c r="K4009" s="422"/>
      <c r="M4009" s="422"/>
    </row>
    <row r="4010" spans="1:13" x14ac:dyDescent="0.25">
      <c r="A4010" s="308">
        <v>45742</v>
      </c>
      <c r="B4010" s="416">
        <v>1201518</v>
      </c>
      <c r="C4010" s="413" t="str">
        <f>IFERROR(INDEX(Table14[],MATCH($B4010,Table14[SAPNo],0),3),"")</f>
        <v>12MM WC­MAT404 NA</v>
      </c>
      <c r="D4010" s="420" t="s">
        <v>12</v>
      </c>
      <c r="E4010" s="421">
        <v>12</v>
      </c>
      <c r="F4010" s="421"/>
      <c r="G4010" s="417" t="s">
        <v>2721</v>
      </c>
      <c r="H4010" s="598">
        <v>14345123</v>
      </c>
      <c r="I4010" s="322" t="s">
        <v>2722</v>
      </c>
      <c r="J4010" s="418"/>
      <c r="K4010" s="248"/>
      <c r="M4010" s="422"/>
    </row>
    <row r="4011" spans="1:13" x14ac:dyDescent="0.25">
      <c r="A4011" s="308">
        <v>45742</v>
      </c>
      <c r="B4011" s="416">
        <v>871781</v>
      </c>
      <c r="C4011" s="413" t="str">
        <f>IFERROR(INDEX(Table14[],MATCH($B4011,Table14[SAPNo],0),3),"")</f>
        <v>Round 1313 CT200  0.018" (B)</v>
      </c>
      <c r="D4011" s="420" t="s">
        <v>12</v>
      </c>
      <c r="E4011" s="421">
        <v>6</v>
      </c>
      <c r="F4011" s="580"/>
      <c r="G4011" s="417" t="s">
        <v>2721</v>
      </c>
      <c r="H4011" s="598">
        <v>14345123</v>
      </c>
      <c r="I4011" s="322" t="s">
        <v>2722</v>
      </c>
      <c r="J4011" s="418"/>
      <c r="K4011" s="248"/>
      <c r="M4011" s="366"/>
    </row>
    <row r="4012" spans="1:13" x14ac:dyDescent="0.25">
      <c r="A4012" s="308">
        <v>45742</v>
      </c>
      <c r="B4012" s="416">
        <v>1146737</v>
      </c>
      <c r="C4012" s="413" t="str">
        <f>IFERROR(INDEX(Table14[],MATCH($B4012,Table14[SAPNo],0),3),"")</f>
        <v>1613 CT418 18-60</v>
      </c>
      <c r="D4012" s="420" t="s">
        <v>12</v>
      </c>
      <c r="E4012" s="421">
        <v>22</v>
      </c>
      <c r="F4012" s="580"/>
      <c r="G4012" s="417" t="s">
        <v>2721</v>
      </c>
      <c r="H4012" s="598">
        <v>14345123</v>
      </c>
      <c r="I4012" s="322" t="s">
        <v>2722</v>
      </c>
      <c r="J4012" s="418"/>
      <c r="K4012" s="248"/>
      <c r="M4012" s="366"/>
    </row>
    <row r="4013" spans="1:13" x14ac:dyDescent="0.25">
      <c r="A4013" s="308">
        <v>45742</v>
      </c>
      <c r="B4013" s="416">
        <v>1263929</v>
      </c>
      <c r="C4013" s="413" t="str">
        <f>IFERROR(INDEX(Table14[],MATCH($B4013,Table14[SAPNo],0),3),"")</f>
        <v>1613 CT437 18-60</v>
      </c>
      <c r="D4013" s="420" t="s">
        <v>12</v>
      </c>
      <c r="E4013" s="421">
        <v>34</v>
      </c>
      <c r="F4013" s="580"/>
      <c r="G4013" s="417" t="s">
        <v>2721</v>
      </c>
      <c r="H4013" s="598">
        <v>14345123</v>
      </c>
      <c r="I4013" s="322" t="s">
        <v>2722</v>
      </c>
      <c r="J4013" s="418"/>
      <c r="K4013" s="248"/>
      <c r="M4013" s="366"/>
    </row>
    <row r="4014" spans="1:13" x14ac:dyDescent="0.25">
      <c r="A4014" s="308">
        <v>45742</v>
      </c>
      <c r="B4014" s="416">
        <v>1130197</v>
      </c>
      <c r="C4014" s="413" t="str">
        <f>IFERROR(INDEX(Table14[],MATCH($B4014,Table14[SAPNo],0),3),"")</f>
        <v>Round 1608 CT182  0.018" (S)</v>
      </c>
      <c r="D4014" s="420" t="s">
        <v>12</v>
      </c>
      <c r="E4014" s="421">
        <v>28</v>
      </c>
      <c r="F4014" s="580"/>
      <c r="G4014" s="417" t="s">
        <v>2721</v>
      </c>
      <c r="H4014" s="598">
        <v>14345123</v>
      </c>
      <c r="I4014" s="322" t="s">
        <v>2722</v>
      </c>
      <c r="J4014" s="418"/>
      <c r="K4014" s="248"/>
      <c r="M4014" s="366"/>
    </row>
    <row r="4015" spans="1:13" x14ac:dyDescent="0.25">
      <c r="A4015" s="308">
        <v>45742</v>
      </c>
      <c r="B4015" s="416">
        <v>871781</v>
      </c>
      <c r="C4015" s="413" t="str">
        <f>IFERROR(INDEX(Table14[],MATCH($B4015,Table14[SAPNo],0),3),"")</f>
        <v>Round 1313 CT200  0.018" (B)</v>
      </c>
      <c r="D4015" s="420" t="s">
        <v>12</v>
      </c>
      <c r="E4015" s="421">
        <v>1</v>
      </c>
      <c r="F4015" s="580"/>
      <c r="G4015" s="417" t="s">
        <v>2721</v>
      </c>
      <c r="H4015" s="598">
        <v>14345123</v>
      </c>
      <c r="I4015" s="322" t="s">
        <v>2722</v>
      </c>
      <c r="J4015" s="418"/>
      <c r="K4015" s="248"/>
      <c r="M4015" s="366"/>
    </row>
    <row r="4016" spans="1:13" x14ac:dyDescent="0.25">
      <c r="A4016" s="308">
        <v>45742</v>
      </c>
      <c r="B4016" s="416">
        <v>1146737</v>
      </c>
      <c r="C4016" s="413" t="str">
        <f>IFERROR(INDEX(Table14[],MATCH($B4016,Table14[SAPNo],0),3),"")</f>
        <v>1613 CT418 18-60</v>
      </c>
      <c r="D4016" s="420" t="s">
        <v>12</v>
      </c>
      <c r="E4016" s="421">
        <v>2</v>
      </c>
      <c r="F4016" s="580"/>
      <c r="G4016" s="417" t="s">
        <v>2721</v>
      </c>
      <c r="H4016" s="598">
        <v>14345123</v>
      </c>
      <c r="I4016" s="322" t="s">
        <v>2722</v>
      </c>
      <c r="J4016" s="418"/>
      <c r="K4016" s="248"/>
      <c r="M4016" s="366"/>
    </row>
    <row r="4017" spans="1:13" x14ac:dyDescent="0.25">
      <c r="A4017" s="308">
        <v>45743</v>
      </c>
      <c r="B4017" s="416">
        <v>1100696</v>
      </c>
      <c r="C4017" s="413" t="str">
        <f>IFERROR(INDEX(Table14[],MATCH($B4017,Table14[SAPNo],0),3),"")</f>
        <v>Round 1313 CT418  10C (S)</v>
      </c>
      <c r="D4017" s="420" t="s">
        <v>12</v>
      </c>
      <c r="E4017" s="421">
        <v>1</v>
      </c>
      <c r="F4017" s="580"/>
      <c r="G4017" s="417">
        <v>20251046</v>
      </c>
      <c r="H4017" s="598" t="s">
        <v>2723</v>
      </c>
      <c r="I4017" s="322" t="s">
        <v>1746</v>
      </c>
      <c r="J4017" s="418"/>
      <c r="K4017" s="248"/>
      <c r="M4017" s="366"/>
    </row>
    <row r="4018" spans="1:13" x14ac:dyDescent="0.25">
      <c r="A4018" s="308">
        <v>45743</v>
      </c>
      <c r="B4018" s="416">
        <v>717748</v>
      </c>
      <c r="C4018" s="413" t="str">
        <f>IFERROR(INDEX(Table14[],MATCH($B4018,Table14[SAPNo],0),3),"")</f>
        <v>Round 1010 CT200  0.018" (B)</v>
      </c>
      <c r="D4018" s="420" t="s">
        <v>12</v>
      </c>
      <c r="E4018" s="421">
        <v>9</v>
      </c>
      <c r="F4018" s="580"/>
      <c r="G4018" s="417">
        <v>20251047</v>
      </c>
      <c r="H4018" s="598" t="s">
        <v>2724</v>
      </c>
      <c r="I4018" s="322" t="s">
        <v>1069</v>
      </c>
      <c r="J4018" s="418"/>
      <c r="K4018" s="248"/>
      <c r="M4018" s="366"/>
    </row>
    <row r="4019" spans="1:13" x14ac:dyDescent="0.25">
      <c r="A4019" s="308">
        <v>45743</v>
      </c>
      <c r="B4019" s="416">
        <v>1272937</v>
      </c>
      <c r="C4019" s="413" t="str">
        <f>IFERROR(INDEX(Table14[],MATCH($B4019,Table14[SAPNo],0),3),"")</f>
        <v>1313 CT436 18-60</v>
      </c>
      <c r="D4019" s="420" t="s">
        <v>12</v>
      </c>
      <c r="E4019" s="421">
        <v>4</v>
      </c>
      <c r="F4019" s="580"/>
      <c r="G4019" s="417">
        <v>20251048</v>
      </c>
      <c r="H4019" s="598" t="s">
        <v>2725</v>
      </c>
      <c r="I4019" s="322" t="s">
        <v>2648</v>
      </c>
      <c r="J4019" s="418"/>
      <c r="K4019" s="248"/>
      <c r="M4019" s="366"/>
    </row>
    <row r="4020" spans="1:13" x14ac:dyDescent="0.25">
      <c r="A4020" s="308">
        <v>45743</v>
      </c>
      <c r="B4020" s="416">
        <v>1100696</v>
      </c>
      <c r="C4020" s="413" t="str">
        <f>IFERROR(INDEX(Table14[],MATCH($B4020,Table14[SAPNo],0),3),"")</f>
        <v>Round 1313 CT418  10C (S)</v>
      </c>
      <c r="D4020" s="420" t="s">
        <v>12</v>
      </c>
      <c r="E4020" s="421">
        <v>2</v>
      </c>
      <c r="F4020" s="580"/>
      <c r="G4020" s="417">
        <v>20251048</v>
      </c>
      <c r="H4020" s="598" t="s">
        <v>2725</v>
      </c>
      <c r="I4020" s="322" t="s">
        <v>2648</v>
      </c>
      <c r="J4020" s="418"/>
      <c r="K4020" s="248"/>
      <c r="M4020" s="366"/>
    </row>
    <row r="4021" spans="1:13" x14ac:dyDescent="0.25">
      <c r="A4021" s="308">
        <v>45743</v>
      </c>
      <c r="B4021" s="416">
        <v>717748</v>
      </c>
      <c r="C4021" s="413" t="str">
        <f>IFERROR(INDEX(Table14[],MATCH($B4021,Table14[SAPNo],0),3),"")</f>
        <v>Round 1010 CT200  0.018" (B)</v>
      </c>
      <c r="D4021" s="420" t="s">
        <v>12</v>
      </c>
      <c r="E4021" s="421">
        <v>5</v>
      </c>
      <c r="F4021" s="580"/>
      <c r="G4021" s="417">
        <v>20251049</v>
      </c>
      <c r="H4021" s="598" t="s">
        <v>2726</v>
      </c>
      <c r="I4021" s="322" t="s">
        <v>2529</v>
      </c>
      <c r="J4021" s="418"/>
      <c r="K4021" s="248"/>
      <c r="M4021" s="366"/>
    </row>
    <row r="4022" spans="1:13" x14ac:dyDescent="0.25">
      <c r="A4022" s="308">
        <v>45743</v>
      </c>
      <c r="B4022" s="416">
        <v>1100696</v>
      </c>
      <c r="C4022" s="413" t="str">
        <f>IFERROR(INDEX(Table14[],MATCH($B4022,Table14[SAPNo],0),3),"")</f>
        <v>Round 1313 CT418  10C (S)</v>
      </c>
      <c r="D4022" s="420" t="s">
        <v>12</v>
      </c>
      <c r="E4022" s="421">
        <v>1</v>
      </c>
      <c r="F4022" s="580"/>
      <c r="G4022" s="417">
        <v>20251050</v>
      </c>
      <c r="H4022" s="598" t="s">
        <v>2727</v>
      </c>
      <c r="I4022" s="322" t="s">
        <v>2590</v>
      </c>
      <c r="J4022" s="418"/>
      <c r="K4022" s="248"/>
      <c r="M4022" s="366"/>
    </row>
    <row r="4023" spans="1:13" x14ac:dyDescent="0.25">
      <c r="A4023" s="308">
        <v>45743</v>
      </c>
      <c r="B4023" s="416">
        <v>1146346</v>
      </c>
      <c r="C4023" s="413" t="str">
        <f>IFERROR(INDEX(Table14[],MATCH($B4023,Table14[SAPNo],0),3),"")</f>
        <v>1313 CT418 18-60</v>
      </c>
      <c r="D4023" s="420" t="s">
        <v>12</v>
      </c>
      <c r="E4023" s="421">
        <v>1</v>
      </c>
      <c r="F4023" s="580"/>
      <c r="G4023" s="417">
        <v>20251050</v>
      </c>
      <c r="H4023" s="598" t="s">
        <v>2727</v>
      </c>
      <c r="I4023" s="322" t="s">
        <v>2590</v>
      </c>
      <c r="J4023" s="418"/>
      <c r="K4023" s="248"/>
      <c r="M4023" s="366"/>
    </row>
    <row r="4024" spans="1:13" x14ac:dyDescent="0.25">
      <c r="A4024" s="308">
        <v>45743</v>
      </c>
      <c r="B4024" s="416">
        <v>418525</v>
      </c>
      <c r="C4024" s="413" t="str">
        <f>IFERROR(INDEX(Table14[],MATCH($B4024,Table14[SAPNo],0),3),"")</f>
        <v>Drop In 1308 CT31   (B)</v>
      </c>
      <c r="D4024" s="420" t="s">
        <v>12</v>
      </c>
      <c r="E4024" s="421">
        <v>6</v>
      </c>
      <c r="F4024" s="580"/>
      <c r="G4024" s="417">
        <v>20251050</v>
      </c>
      <c r="H4024" s="598" t="s">
        <v>2727</v>
      </c>
      <c r="I4024" s="322" t="s">
        <v>2590</v>
      </c>
      <c r="J4024" s="418"/>
      <c r="K4024" s="248"/>
      <c r="M4024" s="366"/>
    </row>
    <row r="4025" spans="1:13" x14ac:dyDescent="0.25">
      <c r="A4025" s="308">
        <v>45743</v>
      </c>
      <c r="B4025" s="416">
        <v>1078377</v>
      </c>
      <c r="C4025" s="413" t="str">
        <f>IFERROR(INDEX(Table14[],MATCH($B4025,Table14[SAPNo],0),3),"")</f>
        <v>13MM CT221 R1</v>
      </c>
      <c r="D4025" s="420" t="s">
        <v>12</v>
      </c>
      <c r="E4025" s="421">
        <v>15</v>
      </c>
      <c r="F4025" s="580"/>
      <c r="G4025" s="417" t="s">
        <v>2728</v>
      </c>
      <c r="H4025" s="598">
        <v>14340868</v>
      </c>
      <c r="I4025" s="322" t="s">
        <v>2729</v>
      </c>
      <c r="J4025" s="418"/>
      <c r="K4025" s="248"/>
      <c r="M4025" s="366"/>
    </row>
    <row r="4026" spans="1:13" x14ac:dyDescent="0.25">
      <c r="A4026" s="308">
        <v>45743</v>
      </c>
      <c r="B4026" s="416">
        <v>1146737</v>
      </c>
      <c r="C4026" s="413" t="str">
        <f>IFERROR(INDEX(Table14[],MATCH($B4026,Table14[SAPNo],0),3),"")</f>
        <v>1613 CT418 18-60</v>
      </c>
      <c r="D4026" s="420" t="s">
        <v>12</v>
      </c>
      <c r="E4026" s="421">
        <v>6</v>
      </c>
      <c r="F4026" s="580"/>
      <c r="G4026" s="417" t="s">
        <v>2728</v>
      </c>
      <c r="H4026" s="598">
        <v>14340868</v>
      </c>
      <c r="I4026" s="322" t="s">
        <v>2729</v>
      </c>
      <c r="J4026" s="418"/>
      <c r="K4026" s="248"/>
      <c r="M4026" s="366"/>
    </row>
    <row r="4027" spans="1:13" x14ac:dyDescent="0.25">
      <c r="A4027" s="308">
        <v>45743</v>
      </c>
      <c r="B4027" s="416">
        <v>1271790</v>
      </c>
      <c r="C4027" s="413" t="str">
        <f>IFERROR(INDEX(Table14[],MATCH($B4027,Table14[SAPNo],0),3),"")</f>
        <v xml:space="preserve">1613 CT170 18-60 </v>
      </c>
      <c r="D4027" s="420" t="s">
        <v>12</v>
      </c>
      <c r="E4027" s="421">
        <v>17</v>
      </c>
      <c r="F4027" s="580"/>
      <c r="G4027" s="417" t="s">
        <v>2728</v>
      </c>
      <c r="H4027" s="598">
        <v>14340868</v>
      </c>
      <c r="I4027" s="322" t="s">
        <v>2729</v>
      </c>
      <c r="J4027" s="418"/>
      <c r="K4027" s="248"/>
      <c r="M4027" s="366"/>
    </row>
    <row r="4028" spans="1:13" x14ac:dyDescent="0.25">
      <c r="A4028" s="308">
        <v>45743</v>
      </c>
      <c r="B4028" s="416">
        <v>1208601</v>
      </c>
      <c r="C4028" s="413" t="str">
        <f>IFERROR(INDEX(Table14[],MATCH($B4028,Table14[SAPNo],0),3),"")</f>
        <v>1613 CT418 U-60</v>
      </c>
      <c r="D4028" s="420" t="s">
        <v>12</v>
      </c>
      <c r="E4028" s="421">
        <v>8</v>
      </c>
      <c r="F4028" s="580"/>
      <c r="G4028" s="417" t="s">
        <v>2728</v>
      </c>
      <c r="H4028" s="598">
        <v>14340868</v>
      </c>
      <c r="I4028" s="322" t="s">
        <v>2729</v>
      </c>
      <c r="J4028" s="418"/>
      <c r="K4028" s="248"/>
      <c r="M4028" s="366"/>
    </row>
    <row r="4029" spans="1:13" x14ac:dyDescent="0.25">
      <c r="A4029" s="308">
        <v>45743</v>
      </c>
      <c r="B4029" s="416">
        <v>418525</v>
      </c>
      <c r="C4029" s="413" t="str">
        <f>IFERROR(INDEX(Table14[],MATCH($B4029,Table14[SAPNo],0),3),"")</f>
        <v>Drop In 1308 CT31   (B)</v>
      </c>
      <c r="D4029" s="420" t="s">
        <v>12</v>
      </c>
      <c r="E4029" s="421">
        <v>6</v>
      </c>
      <c r="F4029" s="580"/>
      <c r="G4029" s="417" t="s">
        <v>2728</v>
      </c>
      <c r="H4029" s="598">
        <v>14340868</v>
      </c>
      <c r="I4029" s="322" t="s">
        <v>2729</v>
      </c>
      <c r="J4029" s="418"/>
      <c r="K4029" s="248"/>
      <c r="M4029" s="366"/>
    </row>
    <row r="4030" spans="1:13" x14ac:dyDescent="0.25">
      <c r="A4030" s="308">
        <v>45743</v>
      </c>
      <c r="B4030" s="416">
        <v>1078377</v>
      </c>
      <c r="C4030" s="413" t="str">
        <f>IFERROR(INDEX(Table14[],MATCH($B4030,Table14[SAPNo],0),3),"")</f>
        <v>13MM CT221 R1</v>
      </c>
      <c r="D4030" s="420" t="s">
        <v>12</v>
      </c>
      <c r="E4030" s="421">
        <v>15</v>
      </c>
      <c r="F4030" s="580"/>
      <c r="G4030" s="417" t="s">
        <v>2730</v>
      </c>
      <c r="H4030" s="598">
        <v>14340869</v>
      </c>
      <c r="I4030" s="322" t="s">
        <v>2729</v>
      </c>
      <c r="J4030" s="418"/>
      <c r="K4030" s="248"/>
      <c r="M4030" s="366"/>
    </row>
    <row r="4031" spans="1:13" x14ac:dyDescent="0.25">
      <c r="A4031" s="308">
        <v>45743</v>
      </c>
      <c r="B4031" s="416">
        <v>418525</v>
      </c>
      <c r="C4031" s="413" t="str">
        <f>IFERROR(INDEX(Table14[],MATCH($B4031,Table14[SAPNo],0),3),"")</f>
        <v>Drop In 1308 CT31   (B)</v>
      </c>
      <c r="D4031" s="420" t="s">
        <v>12</v>
      </c>
      <c r="E4031" s="421">
        <v>6</v>
      </c>
      <c r="F4031" s="580"/>
      <c r="G4031" s="417" t="s">
        <v>2730</v>
      </c>
      <c r="H4031" s="598">
        <v>14340869</v>
      </c>
      <c r="I4031" s="322" t="s">
        <v>2729</v>
      </c>
      <c r="J4031" s="418"/>
      <c r="K4031" s="248"/>
      <c r="M4031" s="366"/>
    </row>
    <row r="4032" spans="1:13" x14ac:dyDescent="0.25">
      <c r="A4032" s="308">
        <v>45743</v>
      </c>
      <c r="B4032" s="416">
        <v>1146737</v>
      </c>
      <c r="C4032" s="413" t="str">
        <f>IFERROR(INDEX(Table14[],MATCH($B4032,Table14[SAPNo],0),3),"")</f>
        <v>1613 CT418 18-60</v>
      </c>
      <c r="D4032" s="420" t="s">
        <v>12</v>
      </c>
      <c r="E4032" s="421">
        <v>6</v>
      </c>
      <c r="F4032" s="580"/>
      <c r="G4032" s="417" t="s">
        <v>2730</v>
      </c>
      <c r="H4032" s="598">
        <v>14340869</v>
      </c>
      <c r="I4032" s="322" t="s">
        <v>2729</v>
      </c>
      <c r="J4032" s="418"/>
      <c r="K4032" s="248"/>
      <c r="M4032" s="366"/>
    </row>
    <row r="4033" spans="1:13" x14ac:dyDescent="0.25">
      <c r="A4033" s="308">
        <v>45743</v>
      </c>
      <c r="B4033" s="416">
        <v>1208601</v>
      </c>
      <c r="C4033" s="413" t="str">
        <f>IFERROR(INDEX(Table14[],MATCH($B4033,Table14[SAPNo],0),3),"")</f>
        <v>1613 CT418 U-60</v>
      </c>
      <c r="D4033" s="420" t="s">
        <v>12</v>
      </c>
      <c r="E4033" s="421">
        <v>8</v>
      </c>
      <c r="F4033" s="580"/>
      <c r="G4033" s="417" t="s">
        <v>2730</v>
      </c>
      <c r="H4033" s="598">
        <v>14340869</v>
      </c>
      <c r="I4033" s="322" t="s">
        <v>2729</v>
      </c>
      <c r="J4033" s="418"/>
      <c r="K4033" s="248"/>
      <c r="M4033" s="366"/>
    </row>
    <row r="4034" spans="1:13" x14ac:dyDescent="0.25">
      <c r="A4034" s="308">
        <v>45743</v>
      </c>
      <c r="B4034" s="416">
        <v>1271790</v>
      </c>
      <c r="C4034" s="413" t="str">
        <f>IFERROR(INDEX(Table14[],MATCH($B4034,Table14[SAPNo],0),3),"")</f>
        <v xml:space="preserve">1613 CT170 18-60 </v>
      </c>
      <c r="D4034" s="420" t="s">
        <v>12</v>
      </c>
      <c r="E4034" s="421">
        <v>17</v>
      </c>
      <c r="F4034" s="580"/>
      <c r="G4034" s="417" t="s">
        <v>2730</v>
      </c>
      <c r="H4034" s="598">
        <v>14340869</v>
      </c>
      <c r="I4034" s="322" t="s">
        <v>2729</v>
      </c>
      <c r="J4034" s="418"/>
      <c r="K4034" s="248"/>
      <c r="M4034" s="366"/>
    </row>
    <row r="4035" spans="1:13" x14ac:dyDescent="0.25">
      <c r="A4035" s="308">
        <v>45741</v>
      </c>
      <c r="B4035" s="416">
        <v>1146737</v>
      </c>
      <c r="C4035" s="413" t="str">
        <f>IFERROR(INDEX(Table14[],MATCH($B4035,Table14[SAPNo],0),3),"")</f>
        <v>1613 CT418 18-60</v>
      </c>
      <c r="D4035" s="420" t="s">
        <v>12</v>
      </c>
      <c r="E4035" s="421">
        <v>6</v>
      </c>
      <c r="F4035" s="580"/>
      <c r="G4035" s="417" t="s">
        <v>2719</v>
      </c>
      <c r="H4035" s="598">
        <v>14254497</v>
      </c>
      <c r="I4035" s="322" t="s">
        <v>2720</v>
      </c>
      <c r="J4035" s="418"/>
      <c r="K4035" s="248"/>
      <c r="M4035" s="366"/>
    </row>
    <row r="4036" spans="1:13" x14ac:dyDescent="0.25">
      <c r="A4036" s="308">
        <v>45741</v>
      </c>
      <c r="B4036" s="416">
        <v>1078377</v>
      </c>
      <c r="C4036" s="413" t="str">
        <f>IFERROR(INDEX(Table14[],MATCH($B4036,Table14[SAPNo],0),3),"")</f>
        <v>13MM CT221 R1</v>
      </c>
      <c r="D4036" s="420" t="s">
        <v>12</v>
      </c>
      <c r="E4036" s="421">
        <v>2</v>
      </c>
      <c r="F4036" s="580"/>
      <c r="G4036" s="417" t="s">
        <v>2719</v>
      </c>
      <c r="H4036" s="598">
        <v>14254497</v>
      </c>
      <c r="I4036" s="322" t="s">
        <v>2720</v>
      </c>
      <c r="J4036" s="418"/>
      <c r="K4036" s="248"/>
      <c r="M4036" s="366"/>
    </row>
    <row r="4037" spans="1:13" x14ac:dyDescent="0.25">
      <c r="A4037" s="308">
        <v>45743</v>
      </c>
      <c r="B4037" s="416">
        <v>1146737</v>
      </c>
      <c r="C4037" s="413" t="str">
        <f>IFERROR(INDEX(Table14[],MATCH($B4037,Table14[SAPNo],0),3),"")</f>
        <v>1613 CT418 18-60</v>
      </c>
      <c r="D4037" s="420" t="s">
        <v>12</v>
      </c>
      <c r="E4037" s="421">
        <v>6</v>
      </c>
      <c r="F4037" s="580"/>
      <c r="G4037" s="417" t="s">
        <v>2732</v>
      </c>
      <c r="H4037" s="598">
        <v>14254500</v>
      </c>
      <c r="I4037" s="322" t="s">
        <v>2311</v>
      </c>
      <c r="J4037" s="418"/>
      <c r="K4037" s="248"/>
      <c r="M4037" s="366"/>
    </row>
    <row r="4038" spans="1:13" x14ac:dyDescent="0.25">
      <c r="A4038" s="308">
        <v>45743</v>
      </c>
      <c r="B4038" s="416">
        <v>418525</v>
      </c>
      <c r="C4038" s="413" t="str">
        <f>IFERROR(INDEX(Table14[],MATCH($B4038,Table14[SAPNo],0),3),"")</f>
        <v>Drop In 1308 CT31   (B)</v>
      </c>
      <c r="D4038" s="420" t="s">
        <v>12</v>
      </c>
      <c r="E4038" s="421">
        <v>6</v>
      </c>
      <c r="F4038" s="580"/>
      <c r="G4038" s="417" t="s">
        <v>2732</v>
      </c>
      <c r="H4038" s="598">
        <v>14254500</v>
      </c>
      <c r="I4038" s="322" t="s">
        <v>2311</v>
      </c>
      <c r="J4038" s="418"/>
      <c r="K4038" s="248"/>
      <c r="M4038" s="366"/>
    </row>
    <row r="4039" spans="1:13" x14ac:dyDescent="0.25">
      <c r="A4039" s="308">
        <v>45747</v>
      </c>
      <c r="B4039" s="416">
        <v>1134752</v>
      </c>
      <c r="C4039" s="413" t="str">
        <f>IFERROR(INDEX(Table14[],MATCH($B4039,Table14[SAPNo],0),3),"")</f>
        <v>Round 1308 CT182  0.018" (S)</v>
      </c>
      <c r="D4039" s="420" t="s">
        <v>12</v>
      </c>
      <c r="E4039" s="421">
        <v>16</v>
      </c>
      <c r="F4039" s="580"/>
      <c r="G4039" s="417" t="s">
        <v>2733</v>
      </c>
      <c r="H4039" s="598">
        <v>14288929</v>
      </c>
      <c r="I4039" s="322" t="s">
        <v>2526</v>
      </c>
      <c r="J4039" s="418"/>
      <c r="K4039" s="248"/>
      <c r="M4039" s="366"/>
    </row>
    <row r="4040" spans="1:13" x14ac:dyDescent="0.25">
      <c r="A4040" s="308">
        <v>45747</v>
      </c>
      <c r="B4040" s="416">
        <v>1126402</v>
      </c>
      <c r="C4040" s="413" t="str">
        <f>IFERROR(INDEX(Table14[],MATCH($B4040,Table14[SAPNo],0),3),"")</f>
        <v>1613 CT421 16-60</v>
      </c>
      <c r="D4040" s="420" t="s">
        <v>12</v>
      </c>
      <c r="E4040" s="421">
        <v>10</v>
      </c>
      <c r="F4040" s="580"/>
      <c r="G4040" s="417" t="s">
        <v>2733</v>
      </c>
      <c r="H4040" s="598">
        <v>14288929</v>
      </c>
      <c r="I4040" s="322" t="s">
        <v>2526</v>
      </c>
      <c r="J4040" s="418"/>
      <c r="K4040" s="248"/>
      <c r="M4040" s="366"/>
    </row>
    <row r="4041" spans="1:13" x14ac:dyDescent="0.25">
      <c r="A4041" s="308">
        <v>45747</v>
      </c>
      <c r="B4041" s="416">
        <v>1290837</v>
      </c>
      <c r="C4041" s="413" t="str">
        <f>IFERROR(INDEX(Table14[],MATCH($B4041,Table14[SAPNo],0),3),"")</f>
        <v>1613 CT184R U</v>
      </c>
      <c r="D4041" s="420" t="s">
        <v>12</v>
      </c>
      <c r="E4041" s="421">
        <v>16</v>
      </c>
      <c r="F4041" s="580"/>
      <c r="G4041" s="417" t="s">
        <v>2733</v>
      </c>
      <c r="H4041" s="598">
        <v>14288929</v>
      </c>
      <c r="I4041" s="322" t="s">
        <v>2526</v>
      </c>
      <c r="J4041" s="418"/>
      <c r="K4041" s="248"/>
      <c r="M4041" s="366"/>
    </row>
    <row r="4042" spans="1:13" x14ac:dyDescent="0.25">
      <c r="A4042" s="308">
        <v>45747</v>
      </c>
      <c r="B4042" s="416">
        <v>1146737</v>
      </c>
      <c r="C4042" s="413" t="str">
        <f>IFERROR(INDEX(Table14[],MATCH($B4042,Table14[SAPNo],0),3),"")</f>
        <v>1613 CT418 18-60</v>
      </c>
      <c r="D4042" s="420" t="s">
        <v>12</v>
      </c>
      <c r="E4042" s="421">
        <v>7</v>
      </c>
      <c r="F4042" s="580"/>
      <c r="G4042" s="417" t="s">
        <v>2733</v>
      </c>
      <c r="H4042" s="598">
        <v>14288929</v>
      </c>
      <c r="I4042" s="322" t="s">
        <v>2526</v>
      </c>
      <c r="J4042" s="418"/>
      <c r="K4042" s="248"/>
      <c r="M4042" s="366"/>
    </row>
    <row r="4043" spans="1:13" x14ac:dyDescent="0.25">
      <c r="A4043" s="320">
        <v>45747</v>
      </c>
      <c r="B4043" s="419">
        <v>871781</v>
      </c>
      <c r="C4043" s="413" t="str">
        <f>IFERROR(INDEX(Table14[],MATCH($B4043,Table14[SAPNo],0),3),"")</f>
        <v>Round 1313 CT200  0.018" (B)</v>
      </c>
      <c r="D4043" s="420" t="s">
        <v>12</v>
      </c>
      <c r="E4043" s="421">
        <v>6</v>
      </c>
      <c r="F4043" s="580"/>
      <c r="G4043" s="420" t="s">
        <v>2733</v>
      </c>
      <c r="H4043" s="599">
        <v>14288929</v>
      </c>
      <c r="I4043" s="322" t="s">
        <v>2526</v>
      </c>
      <c r="J4043" s="421"/>
      <c r="K4043" s="422"/>
      <c r="M4043" s="366"/>
    </row>
    <row r="4044" spans="1:13" x14ac:dyDescent="0.25">
      <c r="A4044" s="308">
        <v>45748</v>
      </c>
      <c r="B4044" s="416">
        <v>1271790</v>
      </c>
      <c r="C4044" s="413" t="str">
        <f>IFERROR(INDEX(Table14[],MATCH($B4044,Table14[SAPNo],0),3),"")</f>
        <v xml:space="preserve">1613 CT170 18-60 </v>
      </c>
      <c r="D4044" s="420" t="s">
        <v>12</v>
      </c>
      <c r="E4044" s="421">
        <v>2</v>
      </c>
      <c r="F4044" s="421"/>
      <c r="G4044" s="417" t="s">
        <v>2734</v>
      </c>
      <c r="H4044" s="598">
        <v>14254501</v>
      </c>
      <c r="I4044" s="322" t="s">
        <v>2720</v>
      </c>
      <c r="J4044" s="418"/>
      <c r="K4044" s="248"/>
      <c r="M4044" s="422"/>
    </row>
    <row r="4045" spans="1:13" x14ac:dyDescent="0.25">
      <c r="A4045" s="308">
        <v>45748</v>
      </c>
      <c r="B4045" s="416">
        <v>418525</v>
      </c>
      <c r="C4045" s="413" t="str">
        <f>IFERROR(INDEX(Table14[],MATCH($B4045,Table14[SAPNo],0),3),"")</f>
        <v>Drop In 1308 CT31   (B)</v>
      </c>
      <c r="D4045" s="420" t="s">
        <v>12</v>
      </c>
      <c r="E4045" s="421">
        <v>6</v>
      </c>
      <c r="F4045" s="580"/>
      <c r="G4045" s="417" t="s">
        <v>2734</v>
      </c>
      <c r="H4045" s="598">
        <v>14254501</v>
      </c>
      <c r="I4045" s="322" t="s">
        <v>2720</v>
      </c>
      <c r="J4045" s="418"/>
      <c r="K4045" s="248"/>
      <c r="M4045" s="366"/>
    </row>
    <row r="4046" spans="1:13" x14ac:dyDescent="0.25">
      <c r="A4046" s="308">
        <v>45748</v>
      </c>
      <c r="B4046" s="416">
        <v>1146737</v>
      </c>
      <c r="C4046" s="413" t="str">
        <f>IFERROR(INDEX(Table14[],MATCH($B4046,Table14[SAPNo],0),3),"")</f>
        <v>1613 CT418 18-60</v>
      </c>
      <c r="D4046" s="420" t="s">
        <v>12</v>
      </c>
      <c r="E4046" s="421">
        <v>6</v>
      </c>
      <c r="F4046" s="580"/>
      <c r="G4046" s="417" t="s">
        <v>2734</v>
      </c>
      <c r="H4046" s="598">
        <v>14254501</v>
      </c>
      <c r="I4046" s="322" t="s">
        <v>2720</v>
      </c>
      <c r="J4046" s="418"/>
      <c r="K4046" s="248"/>
      <c r="M4046" s="366"/>
    </row>
    <row r="4047" spans="1:13" x14ac:dyDescent="0.25">
      <c r="A4047" s="308">
        <v>45753</v>
      </c>
      <c r="B4047" s="416">
        <v>1263929</v>
      </c>
      <c r="C4047" s="413" t="str">
        <f>IFERROR(INDEX(Table14[],MATCH($B4047,Table14[SAPNo],0),3),"")</f>
        <v>1613 CT437 18-60</v>
      </c>
      <c r="D4047" s="420" t="s">
        <v>12</v>
      </c>
      <c r="E4047" s="421">
        <v>36</v>
      </c>
      <c r="F4047" s="580"/>
      <c r="G4047" s="417" t="s">
        <v>2735</v>
      </c>
      <c r="H4047" s="598">
        <v>14305489</v>
      </c>
      <c r="I4047" s="322" t="s">
        <v>2736</v>
      </c>
      <c r="J4047" s="418"/>
      <c r="K4047" s="248"/>
      <c r="M4047" s="366"/>
    </row>
    <row r="4048" spans="1:13" x14ac:dyDescent="0.25">
      <c r="A4048" s="308">
        <v>45753</v>
      </c>
      <c r="B4048" s="416">
        <v>1126402</v>
      </c>
      <c r="C4048" s="413" t="str">
        <f>IFERROR(INDEX(Table14[],MATCH($B4048,Table14[SAPNo],0),3),"")</f>
        <v>1613 CT421 16-60</v>
      </c>
      <c r="D4048" s="420" t="s">
        <v>12</v>
      </c>
      <c r="E4048" s="421">
        <v>56</v>
      </c>
      <c r="F4048" s="580"/>
      <c r="G4048" s="417" t="s">
        <v>2735</v>
      </c>
      <c r="H4048" s="598">
        <v>14305489</v>
      </c>
      <c r="I4048" s="322" t="s">
        <v>2736</v>
      </c>
      <c r="J4048" s="418"/>
      <c r="K4048" s="248"/>
      <c r="M4048" s="366"/>
    </row>
    <row r="4049" spans="1:13" x14ac:dyDescent="0.25">
      <c r="A4049" s="308">
        <v>45753</v>
      </c>
      <c r="B4049" s="416">
        <v>418525</v>
      </c>
      <c r="C4049" s="413" t="str">
        <f>IFERROR(INDEX(Table14[],MATCH($B4049,Table14[SAPNo],0),3),"")</f>
        <v>Drop In 1308 CT31   (B)</v>
      </c>
      <c r="D4049" s="420" t="s">
        <v>12</v>
      </c>
      <c r="E4049" s="421">
        <v>8</v>
      </c>
      <c r="F4049" s="580"/>
      <c r="G4049" s="417" t="s">
        <v>2735</v>
      </c>
      <c r="H4049" s="598">
        <v>14305489</v>
      </c>
      <c r="I4049" s="322" t="s">
        <v>2736</v>
      </c>
      <c r="J4049" s="418"/>
      <c r="K4049" s="248"/>
      <c r="M4049" s="366"/>
    </row>
    <row r="4050" spans="1:13" x14ac:dyDescent="0.25">
      <c r="A4050" s="308">
        <v>45753</v>
      </c>
      <c r="B4050" s="416">
        <v>1130198</v>
      </c>
      <c r="C4050" s="413" t="str">
        <f>IFERROR(INDEX(Table14[],MATCH($B4050,Table14[SAPNo],0),3),"")</f>
        <v>Round 1613 CT182  0.018" (S)</v>
      </c>
      <c r="D4050" s="420" t="s">
        <v>1072</v>
      </c>
      <c r="E4050" s="421">
        <v>55</v>
      </c>
      <c r="F4050" s="580"/>
      <c r="G4050" s="417" t="s">
        <v>2735</v>
      </c>
      <c r="H4050" s="598">
        <v>14305489</v>
      </c>
      <c r="I4050" s="322" t="s">
        <v>2736</v>
      </c>
      <c r="J4050" s="418"/>
      <c r="K4050" s="248"/>
      <c r="M4050" s="366"/>
    </row>
    <row r="4051" spans="1:13" x14ac:dyDescent="0.25">
      <c r="A4051" s="308">
        <v>45753</v>
      </c>
      <c r="B4051" s="416">
        <v>1271790</v>
      </c>
      <c r="C4051" s="413" t="str">
        <f>IFERROR(INDEX(Table14[],MATCH($B4051,Table14[SAPNo],0),3),"")</f>
        <v xml:space="preserve">1613 CT170 18-60 </v>
      </c>
      <c r="D4051" s="420" t="s">
        <v>12</v>
      </c>
      <c r="E4051" s="421">
        <v>4</v>
      </c>
      <c r="F4051" s="580"/>
      <c r="G4051" s="417" t="s">
        <v>2734</v>
      </c>
      <c r="H4051" s="598">
        <v>14254501</v>
      </c>
      <c r="I4051" s="322" t="s">
        <v>2720</v>
      </c>
      <c r="J4051" s="418"/>
      <c r="K4051" s="248"/>
      <c r="M4051" s="366"/>
    </row>
    <row r="4052" spans="1:13" x14ac:dyDescent="0.25">
      <c r="A4052" s="308">
        <v>45754</v>
      </c>
      <c r="B4052" s="416">
        <v>1263929</v>
      </c>
      <c r="C4052" s="413" t="str">
        <f>IFERROR(INDEX(Table14[],MATCH($B4052,Table14[SAPNo],0),3),"")</f>
        <v>1613 CT437 18-60</v>
      </c>
      <c r="D4052" s="420" t="s">
        <v>12</v>
      </c>
      <c r="E4052" s="421">
        <v>2</v>
      </c>
      <c r="F4052" s="580"/>
      <c r="G4052" s="417" t="s">
        <v>2735</v>
      </c>
      <c r="H4052" s="598">
        <v>14305489</v>
      </c>
      <c r="I4052" s="322" t="s">
        <v>2736</v>
      </c>
      <c r="J4052" s="418"/>
      <c r="K4052" s="248"/>
      <c r="M4052" s="366"/>
    </row>
    <row r="4053" spans="1:13" x14ac:dyDescent="0.25">
      <c r="A4053" s="308">
        <v>45754</v>
      </c>
      <c r="B4053" s="416">
        <v>418525</v>
      </c>
      <c r="C4053" s="413" t="str">
        <f>IFERROR(INDEX(Table14[],MATCH($B4053,Table14[SAPNo],0),3),"")</f>
        <v>Drop In 1308 CT31   (B)</v>
      </c>
      <c r="D4053" s="420" t="s">
        <v>12</v>
      </c>
      <c r="E4053" s="421">
        <v>4</v>
      </c>
      <c r="F4053" s="580"/>
      <c r="G4053" s="417" t="s">
        <v>2737</v>
      </c>
      <c r="H4053" s="598">
        <v>14336287</v>
      </c>
      <c r="I4053" s="322" t="s">
        <v>2311</v>
      </c>
      <c r="J4053" s="418"/>
      <c r="K4053" s="248"/>
      <c r="M4053" s="366"/>
    </row>
    <row r="4054" spans="1:13" x14ac:dyDescent="0.25">
      <c r="A4054" s="308">
        <v>45754</v>
      </c>
      <c r="B4054" s="416">
        <v>1146737</v>
      </c>
      <c r="C4054" s="413" t="str">
        <f>IFERROR(INDEX(Table14[],MATCH($B4054,Table14[SAPNo],0),3),"")</f>
        <v>1613 CT418 18-60</v>
      </c>
      <c r="D4054" s="420" t="s">
        <v>12</v>
      </c>
      <c r="E4054" s="421">
        <v>6</v>
      </c>
      <c r="F4054" s="580"/>
      <c r="G4054" s="417" t="s">
        <v>2737</v>
      </c>
      <c r="H4054" s="598">
        <v>14336287</v>
      </c>
      <c r="I4054" s="322" t="s">
        <v>2311</v>
      </c>
      <c r="J4054" s="418"/>
      <c r="K4054" s="248"/>
      <c r="M4054" s="366"/>
    </row>
    <row r="4055" spans="1:13" x14ac:dyDescent="0.25">
      <c r="A4055" s="308">
        <v>45754</v>
      </c>
      <c r="B4055" s="416">
        <v>418525</v>
      </c>
      <c r="C4055" s="413" t="str">
        <f>IFERROR(INDEX(Table14[],MATCH($B4055,Table14[SAPNo],0),3),"")</f>
        <v>Drop In 1308 CT31   (B)</v>
      </c>
      <c r="D4055" s="420" t="s">
        <v>12</v>
      </c>
      <c r="E4055" s="421">
        <v>6</v>
      </c>
      <c r="F4055" s="580"/>
      <c r="G4055" s="417" t="s">
        <v>2738</v>
      </c>
      <c r="H4055" s="598">
        <v>14340874</v>
      </c>
      <c r="I4055" s="322" t="s">
        <v>2136</v>
      </c>
      <c r="J4055" s="418"/>
      <c r="K4055" s="248"/>
      <c r="M4055" s="366"/>
    </row>
    <row r="4056" spans="1:13" x14ac:dyDescent="0.25">
      <c r="A4056" s="308">
        <v>45754</v>
      </c>
      <c r="B4056" s="416">
        <v>1146737</v>
      </c>
      <c r="C4056" s="413" t="str">
        <f>IFERROR(INDEX(Table14[],MATCH($B4056,Table14[SAPNo],0),3),"")</f>
        <v>1613 CT418 18-60</v>
      </c>
      <c r="D4056" s="420" t="s">
        <v>12</v>
      </c>
      <c r="E4056" s="421">
        <v>6</v>
      </c>
      <c r="F4056" s="580"/>
      <c r="G4056" s="417" t="s">
        <v>2738</v>
      </c>
      <c r="H4056" s="598">
        <v>14340874</v>
      </c>
      <c r="I4056" s="322" t="s">
        <v>2136</v>
      </c>
      <c r="J4056" s="418"/>
      <c r="K4056" s="248"/>
      <c r="M4056" s="366"/>
    </row>
    <row r="4057" spans="1:13" x14ac:dyDescent="0.25">
      <c r="A4057" s="308">
        <v>45755</v>
      </c>
      <c r="B4057" s="416">
        <v>2013726</v>
      </c>
      <c r="C4057" s="413" t="str">
        <f>IFERROR(INDEX(Table14[],MATCH($B4057,Table14[SAPNo],0),3),"")</f>
        <v>1913 CT172 18-60</v>
      </c>
      <c r="D4057" s="420" t="s">
        <v>12</v>
      </c>
      <c r="E4057" s="421">
        <v>17</v>
      </c>
      <c r="F4057" s="580"/>
      <c r="G4057" s="417" t="s">
        <v>2739</v>
      </c>
      <c r="H4057" s="598">
        <v>14210781</v>
      </c>
      <c r="I4057" s="322" t="s">
        <v>2740</v>
      </c>
      <c r="J4057" s="418"/>
      <c r="K4057" s="248"/>
      <c r="M4057" s="366"/>
    </row>
    <row r="4058" spans="1:13" x14ac:dyDescent="0.25">
      <c r="A4058" s="308">
        <v>45755</v>
      </c>
      <c r="B4058" s="416">
        <v>1078377</v>
      </c>
      <c r="C4058" s="413" t="str">
        <f>IFERROR(INDEX(Table14[],MATCH($B4058,Table14[SAPNo],0),3),"")</f>
        <v>13MM CT221 R1</v>
      </c>
      <c r="D4058" s="420" t="s">
        <v>12</v>
      </c>
      <c r="E4058" s="421">
        <v>15</v>
      </c>
      <c r="F4058" s="580"/>
      <c r="G4058" s="417" t="s">
        <v>2741</v>
      </c>
      <c r="H4058" s="598">
        <v>14336288</v>
      </c>
      <c r="I4058" s="322" t="s">
        <v>2742</v>
      </c>
      <c r="J4058" s="418"/>
      <c r="K4058" s="248"/>
      <c r="M4058" s="366"/>
    </row>
    <row r="4059" spans="1:13" x14ac:dyDescent="0.25">
      <c r="A4059" s="308">
        <v>45755</v>
      </c>
      <c r="B4059" s="416">
        <v>1208601</v>
      </c>
      <c r="C4059" s="413" t="str">
        <f>IFERROR(INDEX(Table14[],MATCH($B4059,Table14[SAPNo],0),3),"")</f>
        <v>1613 CT418 U-60</v>
      </c>
      <c r="D4059" s="420" t="s">
        <v>12</v>
      </c>
      <c r="E4059" s="421">
        <v>8</v>
      </c>
      <c r="F4059" s="580"/>
      <c r="G4059" s="417" t="s">
        <v>2741</v>
      </c>
      <c r="H4059" s="598">
        <v>14336288</v>
      </c>
      <c r="I4059" s="322" t="s">
        <v>2742</v>
      </c>
      <c r="J4059" s="418"/>
      <c r="K4059" s="248"/>
      <c r="M4059" s="366"/>
    </row>
    <row r="4060" spans="1:13" x14ac:dyDescent="0.25">
      <c r="A4060" s="308">
        <v>45755</v>
      </c>
      <c r="B4060" s="416">
        <v>1146737</v>
      </c>
      <c r="C4060" s="413" t="str">
        <f>IFERROR(INDEX(Table14[],MATCH($B4060,Table14[SAPNo],0),3),"")</f>
        <v>1613 CT418 18-60</v>
      </c>
      <c r="D4060" s="420" t="s">
        <v>12</v>
      </c>
      <c r="E4060" s="421">
        <v>6</v>
      </c>
      <c r="F4060" s="580"/>
      <c r="G4060" s="417" t="s">
        <v>2741</v>
      </c>
      <c r="H4060" s="598">
        <v>14336288</v>
      </c>
      <c r="I4060" s="322" t="s">
        <v>2742</v>
      </c>
      <c r="J4060" s="418"/>
      <c r="K4060" s="248"/>
      <c r="M4060" s="366"/>
    </row>
    <row r="4061" spans="1:13" x14ac:dyDescent="0.25">
      <c r="A4061" s="308">
        <v>45755</v>
      </c>
      <c r="B4061" s="416">
        <v>1271790</v>
      </c>
      <c r="C4061" s="413" t="str">
        <f>IFERROR(INDEX(Table14[],MATCH($B4061,Table14[SAPNo],0),3),"")</f>
        <v xml:space="preserve">1613 CT170 18-60 </v>
      </c>
      <c r="D4061" s="420" t="s">
        <v>12</v>
      </c>
      <c r="E4061" s="421">
        <v>17</v>
      </c>
      <c r="F4061" s="580"/>
      <c r="G4061" s="417" t="s">
        <v>2741</v>
      </c>
      <c r="H4061" s="598">
        <v>14336288</v>
      </c>
      <c r="I4061" s="322" t="s">
        <v>2742</v>
      </c>
      <c r="J4061" s="418"/>
      <c r="K4061" s="248"/>
      <c r="M4061" s="366"/>
    </row>
    <row r="4062" spans="1:13" x14ac:dyDescent="0.25">
      <c r="A4062" s="308">
        <v>45755</v>
      </c>
      <c r="B4062" s="416">
        <v>418525</v>
      </c>
      <c r="C4062" s="413" t="str">
        <f>IFERROR(INDEX(Table14[],MATCH($B4062,Table14[SAPNo],0),3),"")</f>
        <v>Drop In 1308 CT31   (B)</v>
      </c>
      <c r="D4062" s="420" t="s">
        <v>12</v>
      </c>
      <c r="E4062" s="421">
        <v>6</v>
      </c>
      <c r="F4062" s="580"/>
      <c r="G4062" s="417" t="s">
        <v>2741</v>
      </c>
      <c r="H4062" s="598">
        <v>14336288</v>
      </c>
      <c r="I4062" s="322" t="s">
        <v>2742</v>
      </c>
      <c r="J4062" s="418"/>
      <c r="K4062" s="248"/>
      <c r="M4062" s="366"/>
    </row>
    <row r="4063" spans="1:13" x14ac:dyDescent="0.25">
      <c r="A4063" s="308">
        <v>45756</v>
      </c>
      <c r="B4063" s="416">
        <v>1208601</v>
      </c>
      <c r="C4063" s="413" t="str">
        <f>IFERROR(INDEX(Table14[],MATCH($B4063,Table14[SAPNo],0),3),"")</f>
        <v>1613 CT418 U-60</v>
      </c>
      <c r="D4063" s="420" t="s">
        <v>12</v>
      </c>
      <c r="E4063" s="421">
        <v>8</v>
      </c>
      <c r="F4063" s="580"/>
      <c r="G4063" s="417" t="s">
        <v>2743</v>
      </c>
      <c r="H4063" s="598">
        <v>14337190</v>
      </c>
      <c r="I4063" s="322" t="s">
        <v>2679</v>
      </c>
      <c r="J4063" s="418"/>
      <c r="K4063" s="248"/>
      <c r="M4063" s="366"/>
    </row>
    <row r="4064" spans="1:13" x14ac:dyDescent="0.25">
      <c r="A4064" s="308">
        <v>45756</v>
      </c>
      <c r="B4064" s="416">
        <v>418525</v>
      </c>
      <c r="C4064" s="413" t="str">
        <f>IFERROR(INDEX(Table14[],MATCH($B4064,Table14[SAPNo],0),3),"")</f>
        <v>Drop In 1308 CT31   (B)</v>
      </c>
      <c r="D4064" s="420" t="s">
        <v>12</v>
      </c>
      <c r="E4064" s="421">
        <v>6</v>
      </c>
      <c r="F4064" s="580"/>
      <c r="G4064" s="417" t="s">
        <v>2743</v>
      </c>
      <c r="H4064" s="598">
        <v>14337190</v>
      </c>
      <c r="I4064" s="322" t="s">
        <v>2679</v>
      </c>
      <c r="J4064" s="418"/>
      <c r="K4064" s="248"/>
      <c r="M4064" s="366"/>
    </row>
    <row r="4065" spans="1:13" x14ac:dyDescent="0.25">
      <c r="A4065" s="308">
        <v>45756</v>
      </c>
      <c r="B4065" s="416">
        <v>1078377</v>
      </c>
      <c r="C4065" s="413" t="str">
        <f>IFERROR(INDEX(Table14[],MATCH($B4065,Table14[SAPNo],0),3),"")</f>
        <v>13MM CT221 R1</v>
      </c>
      <c r="D4065" s="420" t="s">
        <v>12</v>
      </c>
      <c r="E4065" s="421">
        <v>15</v>
      </c>
      <c r="F4065" s="580"/>
      <c r="G4065" s="417" t="s">
        <v>2743</v>
      </c>
      <c r="H4065" s="598">
        <v>14337190</v>
      </c>
      <c r="I4065" s="322" t="s">
        <v>2679</v>
      </c>
      <c r="J4065" s="418"/>
      <c r="K4065" s="248"/>
      <c r="M4065" s="366"/>
    </row>
    <row r="4066" spans="1:13" x14ac:dyDescent="0.25">
      <c r="A4066" s="308">
        <v>45756</v>
      </c>
      <c r="B4066" s="416">
        <v>1271790</v>
      </c>
      <c r="C4066" s="413" t="str">
        <f>IFERROR(INDEX(Table14[],MATCH($B4066,Table14[SAPNo],0),3),"")</f>
        <v xml:space="preserve">1613 CT170 18-60 </v>
      </c>
      <c r="D4066" s="420" t="s">
        <v>12</v>
      </c>
      <c r="E4066" s="421">
        <v>17</v>
      </c>
      <c r="F4066" s="580"/>
      <c r="G4066" s="417" t="s">
        <v>2743</v>
      </c>
      <c r="H4066" s="598">
        <v>14337190</v>
      </c>
      <c r="I4066" s="322" t="s">
        <v>2679</v>
      </c>
      <c r="J4066" s="418"/>
      <c r="K4066" s="248"/>
      <c r="M4066" s="366"/>
    </row>
    <row r="4067" spans="1:13" x14ac:dyDescent="0.25">
      <c r="A4067" s="308">
        <v>45756</v>
      </c>
      <c r="B4067" s="416">
        <v>1146737</v>
      </c>
      <c r="C4067" s="413" t="str">
        <f>IFERROR(INDEX(Table14[],MATCH($B4067,Table14[SAPNo],0),3),"")</f>
        <v>1613 CT418 18-60</v>
      </c>
      <c r="D4067" s="420" t="s">
        <v>12</v>
      </c>
      <c r="E4067" s="421">
        <v>6</v>
      </c>
      <c r="F4067" s="580"/>
      <c r="G4067" s="417" t="s">
        <v>2743</v>
      </c>
      <c r="H4067" s="598">
        <v>14337190</v>
      </c>
      <c r="I4067" s="322" t="s">
        <v>2679</v>
      </c>
      <c r="J4067" s="418"/>
      <c r="K4067" s="248"/>
      <c r="M4067" s="366"/>
    </row>
    <row r="4068" spans="1:13" x14ac:dyDescent="0.25">
      <c r="A4068" s="308">
        <v>45756</v>
      </c>
      <c r="B4068" s="416">
        <v>418525</v>
      </c>
      <c r="C4068" s="413" t="str">
        <f>IFERROR(INDEX(Table14[],MATCH($B4068,Table14[SAPNo],0),3),"")</f>
        <v>Drop In 1308 CT31   (B)</v>
      </c>
      <c r="D4068" s="420" t="s">
        <v>12</v>
      </c>
      <c r="E4068" s="421">
        <v>6</v>
      </c>
      <c r="F4068" s="580"/>
      <c r="G4068" s="417" t="s">
        <v>2744</v>
      </c>
      <c r="H4068" s="598">
        <v>14337191</v>
      </c>
      <c r="I4068" s="322" t="s">
        <v>2679</v>
      </c>
      <c r="J4068" s="418"/>
      <c r="K4068" s="248"/>
      <c r="M4068" s="366"/>
    </row>
    <row r="4069" spans="1:13" x14ac:dyDescent="0.25">
      <c r="A4069" s="308">
        <v>45756</v>
      </c>
      <c r="B4069" s="416">
        <v>1078377</v>
      </c>
      <c r="C4069" s="413" t="str">
        <f>IFERROR(INDEX(Table14[],MATCH($B4069,Table14[SAPNo],0),3),"")</f>
        <v>13MM CT221 R1</v>
      </c>
      <c r="D4069" s="420" t="s">
        <v>12</v>
      </c>
      <c r="E4069" s="421">
        <v>15</v>
      </c>
      <c r="F4069" s="580"/>
      <c r="G4069" s="417" t="s">
        <v>2744</v>
      </c>
      <c r="H4069" s="598">
        <v>14337191</v>
      </c>
      <c r="I4069" s="322" t="s">
        <v>2679</v>
      </c>
      <c r="J4069" s="418"/>
      <c r="K4069" s="248"/>
      <c r="M4069" s="366"/>
    </row>
    <row r="4070" spans="1:13" x14ac:dyDescent="0.25">
      <c r="A4070" s="308">
        <v>45756</v>
      </c>
      <c r="B4070" s="416">
        <v>1146737</v>
      </c>
      <c r="C4070" s="413" t="str">
        <f>IFERROR(INDEX(Table14[],MATCH($B4070,Table14[SAPNo],0),3),"")</f>
        <v>1613 CT418 18-60</v>
      </c>
      <c r="D4070" s="420" t="s">
        <v>12</v>
      </c>
      <c r="E4070" s="421">
        <v>6</v>
      </c>
      <c r="F4070" s="580"/>
      <c r="G4070" s="417" t="s">
        <v>2744</v>
      </c>
      <c r="H4070" s="598">
        <v>14337191</v>
      </c>
      <c r="I4070" s="322" t="s">
        <v>2679</v>
      </c>
      <c r="J4070" s="418"/>
      <c r="K4070" s="248"/>
      <c r="M4070" s="366"/>
    </row>
    <row r="4071" spans="1:13" x14ac:dyDescent="0.25">
      <c r="A4071" s="308">
        <v>45756</v>
      </c>
      <c r="B4071" s="416">
        <v>1271790</v>
      </c>
      <c r="C4071" s="413" t="str">
        <f>IFERROR(INDEX(Table14[],MATCH($B4071,Table14[SAPNo],0),3),"")</f>
        <v xml:space="preserve">1613 CT170 18-60 </v>
      </c>
      <c r="D4071" s="420" t="s">
        <v>12</v>
      </c>
      <c r="E4071" s="421">
        <v>17</v>
      </c>
      <c r="F4071" s="580"/>
      <c r="G4071" s="417" t="s">
        <v>2744</v>
      </c>
      <c r="H4071" s="598">
        <v>14337191</v>
      </c>
      <c r="I4071" s="322" t="s">
        <v>2679</v>
      </c>
      <c r="J4071" s="418"/>
      <c r="K4071" s="248"/>
      <c r="M4071" s="366"/>
    </row>
    <row r="4072" spans="1:13" x14ac:dyDescent="0.25">
      <c r="A4072" s="308">
        <v>45756</v>
      </c>
      <c r="B4072" s="416">
        <v>1208601</v>
      </c>
      <c r="C4072" s="413" t="str">
        <f>IFERROR(INDEX(Table14[],MATCH($B4072,Table14[SAPNo],0),3),"")</f>
        <v>1613 CT418 U-60</v>
      </c>
      <c r="D4072" s="420" t="s">
        <v>12</v>
      </c>
      <c r="E4072" s="421">
        <v>8</v>
      </c>
      <c r="F4072" s="580"/>
      <c r="G4072" s="417" t="s">
        <v>2744</v>
      </c>
      <c r="H4072" s="598">
        <v>14337191</v>
      </c>
      <c r="I4072" s="322" t="s">
        <v>2679</v>
      </c>
      <c r="J4072" s="418"/>
      <c r="K4072" s="248"/>
      <c r="M4072" s="366"/>
    </row>
    <row r="4073" spans="1:13" x14ac:dyDescent="0.25">
      <c r="A4073" s="308">
        <v>45756</v>
      </c>
      <c r="B4073" s="416">
        <v>1271790</v>
      </c>
      <c r="C4073" s="413" t="str">
        <f>IFERROR(INDEX(Table14[],MATCH($B4073,Table14[SAPNo],0),3),"")</f>
        <v xml:space="preserve">1613 CT170 18-60 </v>
      </c>
      <c r="D4073" s="420" t="s">
        <v>12</v>
      </c>
      <c r="E4073" s="421">
        <v>17</v>
      </c>
      <c r="F4073" s="580"/>
      <c r="G4073" s="417" t="s">
        <v>2745</v>
      </c>
      <c r="H4073" s="598">
        <v>14340871</v>
      </c>
      <c r="I4073" s="322" t="s">
        <v>2742</v>
      </c>
      <c r="J4073" s="418"/>
      <c r="K4073" s="248"/>
      <c r="M4073" s="366"/>
    </row>
    <row r="4074" spans="1:13" x14ac:dyDescent="0.25">
      <c r="A4074" s="308">
        <v>45756</v>
      </c>
      <c r="B4074" s="416">
        <v>418525</v>
      </c>
      <c r="C4074" s="413" t="str">
        <f>IFERROR(INDEX(Table14[],MATCH($B4074,Table14[SAPNo],0),3),"")</f>
        <v>Drop In 1308 CT31   (B)</v>
      </c>
      <c r="D4074" s="420" t="s">
        <v>12</v>
      </c>
      <c r="E4074" s="421">
        <v>6</v>
      </c>
      <c r="F4074" s="580"/>
      <c r="G4074" s="417" t="s">
        <v>2745</v>
      </c>
      <c r="H4074" s="598">
        <v>14340871</v>
      </c>
      <c r="I4074" s="322" t="s">
        <v>2742</v>
      </c>
      <c r="J4074" s="418"/>
      <c r="K4074" s="248"/>
      <c r="M4074" s="366"/>
    </row>
    <row r="4075" spans="1:13" x14ac:dyDescent="0.25">
      <c r="A4075" s="308">
        <v>45756</v>
      </c>
      <c r="B4075" s="416">
        <v>1146737</v>
      </c>
      <c r="C4075" s="413" t="str">
        <f>IFERROR(INDEX(Table14[],MATCH($B4075,Table14[SAPNo],0),3),"")</f>
        <v>1613 CT418 18-60</v>
      </c>
      <c r="D4075" s="420" t="s">
        <v>12</v>
      </c>
      <c r="E4075" s="421">
        <v>6</v>
      </c>
      <c r="F4075" s="580"/>
      <c r="G4075" s="417" t="s">
        <v>2745</v>
      </c>
      <c r="H4075" s="598">
        <v>14340871</v>
      </c>
      <c r="I4075" s="322" t="s">
        <v>2742</v>
      </c>
      <c r="J4075" s="418"/>
      <c r="K4075" s="248"/>
      <c r="M4075" s="366"/>
    </row>
    <row r="4076" spans="1:13" x14ac:dyDescent="0.25">
      <c r="A4076" s="308">
        <v>45756</v>
      </c>
      <c r="B4076" s="416">
        <v>1208601</v>
      </c>
      <c r="C4076" s="413" t="str">
        <f>IFERROR(INDEX(Table14[],MATCH($B4076,Table14[SAPNo],0),3),"")</f>
        <v>1613 CT418 U-60</v>
      </c>
      <c r="D4076" s="420" t="s">
        <v>12</v>
      </c>
      <c r="E4076" s="421">
        <v>8</v>
      </c>
      <c r="F4076" s="580"/>
      <c r="G4076" s="417" t="s">
        <v>2745</v>
      </c>
      <c r="H4076" s="598">
        <v>14340871</v>
      </c>
      <c r="I4076" s="322" t="s">
        <v>2742</v>
      </c>
      <c r="J4076" s="418"/>
      <c r="K4076" s="248"/>
      <c r="M4076" s="366"/>
    </row>
    <row r="4077" spans="1:13" x14ac:dyDescent="0.25">
      <c r="A4077" s="308">
        <v>45756</v>
      </c>
      <c r="B4077" s="416">
        <v>1078377</v>
      </c>
      <c r="C4077" s="413" t="str">
        <f>IFERROR(INDEX(Table14[],MATCH($B4077,Table14[SAPNo],0),3),"")</f>
        <v>13MM CT221 R1</v>
      </c>
      <c r="D4077" s="420" t="s">
        <v>12</v>
      </c>
      <c r="E4077" s="421">
        <v>15</v>
      </c>
      <c r="F4077" s="580"/>
      <c r="G4077" s="417" t="s">
        <v>2745</v>
      </c>
      <c r="H4077" s="598">
        <v>14340871</v>
      </c>
      <c r="I4077" s="322" t="s">
        <v>2742</v>
      </c>
      <c r="J4077" s="418"/>
      <c r="K4077" s="248"/>
      <c r="M4077" s="366"/>
    </row>
    <row r="4078" spans="1:13" x14ac:dyDescent="0.25">
      <c r="A4078" s="308">
        <v>45756</v>
      </c>
      <c r="B4078" s="416">
        <v>1296685</v>
      </c>
      <c r="C4078" s="413" t="str">
        <f>IFERROR(INDEX(Table14[],MATCH($B4078,Table14[SAPNo],0),3),"")</f>
        <v>1613 CT179R U</v>
      </c>
      <c r="D4078" s="420" t="s">
        <v>12</v>
      </c>
      <c r="E4078" s="421">
        <v>42</v>
      </c>
      <c r="F4078" s="580"/>
      <c r="G4078" s="417" t="s">
        <v>2746</v>
      </c>
      <c r="H4078" s="598">
        <v>14320856</v>
      </c>
      <c r="I4078" s="322" t="s">
        <v>2606</v>
      </c>
      <c r="J4078" s="418"/>
      <c r="K4078" s="248"/>
      <c r="M4078" s="366"/>
    </row>
    <row r="4079" spans="1:13" x14ac:dyDescent="0.25">
      <c r="A4079" s="308">
        <v>45756</v>
      </c>
      <c r="B4079" s="416">
        <v>871781</v>
      </c>
      <c r="C4079" s="413" t="str">
        <f>IFERROR(INDEX(Table14[],MATCH($B4079,Table14[SAPNo],0),3),"")</f>
        <v>Round 1313 CT200  0.018" (B)</v>
      </c>
      <c r="D4079" s="420" t="s">
        <v>12</v>
      </c>
      <c r="E4079" s="421">
        <v>42</v>
      </c>
      <c r="F4079" s="580"/>
      <c r="G4079" s="417" t="s">
        <v>2746</v>
      </c>
      <c r="H4079" s="598">
        <v>14320856</v>
      </c>
      <c r="I4079" s="322" t="s">
        <v>2606</v>
      </c>
      <c r="J4079" s="418"/>
      <c r="K4079" s="248"/>
      <c r="M4079" s="366"/>
    </row>
    <row r="4080" spans="1:13" x14ac:dyDescent="0.25">
      <c r="A4080" s="308">
        <v>45756</v>
      </c>
      <c r="B4080" s="416">
        <v>1271790</v>
      </c>
      <c r="C4080" s="413" t="str">
        <f>IFERROR(INDEX(Table14[],MATCH($B4080,Table14[SAPNo],0),3),"")</f>
        <v xml:space="preserve">1613 CT170 18-60 </v>
      </c>
      <c r="D4080" s="420" t="s">
        <v>12</v>
      </c>
      <c r="E4080" s="421">
        <v>13</v>
      </c>
      <c r="F4080" s="580"/>
      <c r="G4080" s="417" t="s">
        <v>2746</v>
      </c>
      <c r="H4080" s="598">
        <v>14320856</v>
      </c>
      <c r="I4080" s="322" t="s">
        <v>2606</v>
      </c>
      <c r="J4080" s="418"/>
      <c r="K4080" s="248"/>
      <c r="M4080" s="366"/>
    </row>
    <row r="4081" spans="1:13" x14ac:dyDescent="0.25">
      <c r="A4081" s="308">
        <v>45756</v>
      </c>
      <c r="B4081" s="416">
        <v>410851</v>
      </c>
      <c r="C4081" s="413" t="str">
        <f>IFERROR(INDEX(Table14[],MATCH($B4081,Table14[SAPNo],0),3),"")</f>
        <v>PDC Dome 1308 CT31   (B)</v>
      </c>
      <c r="D4081" s="420" t="s">
        <v>12</v>
      </c>
      <c r="E4081" s="421">
        <v>28</v>
      </c>
      <c r="F4081" s="580"/>
      <c r="G4081" s="417" t="s">
        <v>2746</v>
      </c>
      <c r="H4081" s="598">
        <v>14320856</v>
      </c>
      <c r="I4081" s="322" t="s">
        <v>2606</v>
      </c>
      <c r="J4081" s="418"/>
      <c r="K4081" s="248"/>
      <c r="M4081" s="366"/>
    </row>
    <row r="4082" spans="1:13" x14ac:dyDescent="0.25">
      <c r="A4082" s="308">
        <v>45756</v>
      </c>
      <c r="B4082" s="416">
        <v>418525</v>
      </c>
      <c r="C4082" s="413" t="str">
        <f>IFERROR(INDEX(Table14[],MATCH($B4082,Table14[SAPNo],0),3),"")</f>
        <v>Drop In 1308 CT31   (B)</v>
      </c>
      <c r="D4082" s="420" t="s">
        <v>12</v>
      </c>
      <c r="E4082" s="421">
        <v>7</v>
      </c>
      <c r="F4082" s="580"/>
      <c r="G4082" s="417" t="s">
        <v>2746</v>
      </c>
      <c r="H4082" s="598">
        <v>14320856</v>
      </c>
      <c r="I4082" s="322" t="s">
        <v>2606</v>
      </c>
      <c r="J4082" s="418"/>
      <c r="K4082" s="248"/>
      <c r="M4082" s="366"/>
    </row>
    <row r="4083" spans="1:13" x14ac:dyDescent="0.25">
      <c r="A4083" s="308">
        <v>45756</v>
      </c>
      <c r="B4083" s="416">
        <v>1146737</v>
      </c>
      <c r="C4083" s="413" t="str">
        <f>IFERROR(INDEX(Table14[],MATCH($B4083,Table14[SAPNo],0),3),"")</f>
        <v>1613 CT418 18-60</v>
      </c>
      <c r="D4083" s="420" t="s">
        <v>12</v>
      </c>
      <c r="E4083" s="421">
        <v>9</v>
      </c>
      <c r="F4083" s="580"/>
      <c r="G4083" s="417" t="s">
        <v>2746</v>
      </c>
      <c r="H4083" s="598">
        <v>14320856</v>
      </c>
      <c r="I4083" s="322" t="s">
        <v>2606</v>
      </c>
      <c r="J4083" s="418"/>
      <c r="K4083" s="248"/>
      <c r="M4083" s="366"/>
    </row>
    <row r="4084" spans="1:13" x14ac:dyDescent="0.25">
      <c r="A4084" s="308">
        <v>45756</v>
      </c>
      <c r="B4084" s="416">
        <v>179734</v>
      </c>
      <c r="C4084" s="413" t="str">
        <f>IFERROR(INDEX(Table14[],MATCH($B4084,Table14[SAPNo],0),3),"")</f>
        <v>Long IPA 13    (C)</v>
      </c>
      <c r="D4084" s="420" t="s">
        <v>12</v>
      </c>
      <c r="E4084" s="421">
        <v>22</v>
      </c>
      <c r="F4084" s="580"/>
      <c r="G4084" s="417" t="s">
        <v>2746</v>
      </c>
      <c r="H4084" s="598">
        <v>14320856</v>
      </c>
      <c r="I4084" s="322" t="s">
        <v>2606</v>
      </c>
      <c r="J4084" s="418"/>
      <c r="K4084" s="248"/>
      <c r="M4084" s="366"/>
    </row>
    <row r="4085" spans="1:13" x14ac:dyDescent="0.25">
      <c r="A4085" s="320">
        <v>45756</v>
      </c>
      <c r="B4085" s="419">
        <v>1208601</v>
      </c>
      <c r="C4085" s="413" t="str">
        <f>IFERROR(INDEX(Table14[],MATCH($B4085,Table14[SAPNo],0),3),"")</f>
        <v>1613 CT418 U-60</v>
      </c>
      <c r="D4085" s="420" t="s">
        <v>12</v>
      </c>
      <c r="E4085" s="421">
        <v>15</v>
      </c>
      <c r="F4085" s="580"/>
      <c r="G4085" s="420" t="s">
        <v>2746</v>
      </c>
      <c r="H4085" s="599">
        <v>14320856</v>
      </c>
      <c r="I4085" s="322" t="s">
        <v>2606</v>
      </c>
      <c r="J4085" s="421"/>
      <c r="K4085" s="422"/>
      <c r="M4085" s="366"/>
    </row>
    <row r="4086" spans="1:13" x14ac:dyDescent="0.25">
      <c r="A4086" s="308">
        <v>45754</v>
      </c>
      <c r="B4086" s="416">
        <v>1078377</v>
      </c>
      <c r="C4086" s="413" t="str">
        <f>IFERROR(INDEX(Table14[],MATCH($B4086,Table14[SAPNo],0),3),"")</f>
        <v>13MM CT221 R1</v>
      </c>
      <c r="D4086" s="420" t="s">
        <v>12</v>
      </c>
      <c r="E4086" s="421"/>
      <c r="F4086" s="421">
        <v>28</v>
      </c>
      <c r="G4086" s="417" t="s">
        <v>2513</v>
      </c>
      <c r="H4086" s="598"/>
      <c r="I4086" s="322"/>
      <c r="J4086" s="303" t="s">
        <v>989</v>
      </c>
      <c r="K4086" s="248"/>
      <c r="M4086" s="422"/>
    </row>
    <row r="4087" spans="1:13" x14ac:dyDescent="0.25">
      <c r="A4087" s="308">
        <v>45754</v>
      </c>
      <c r="B4087" s="416">
        <v>1274176</v>
      </c>
      <c r="C4087" s="413" t="str">
        <f>IFERROR(INDEX(Table14[],MATCH($B4087,Table14[SAPNo],0),3),"")</f>
        <v>1613 CT172 18-60</v>
      </c>
      <c r="D4087" s="420" t="s">
        <v>12</v>
      </c>
      <c r="E4087" s="421"/>
      <c r="F4087" s="580">
        <v>27</v>
      </c>
      <c r="G4087" s="417" t="s">
        <v>2513</v>
      </c>
      <c r="H4087" s="598"/>
      <c r="I4087" s="322"/>
      <c r="J4087" s="303" t="s">
        <v>989</v>
      </c>
      <c r="K4087" s="248"/>
      <c r="M4087" s="366"/>
    </row>
    <row r="4088" spans="1:13" x14ac:dyDescent="0.25">
      <c r="A4088" s="308">
        <v>45754</v>
      </c>
      <c r="B4088" s="416">
        <v>1293118</v>
      </c>
      <c r="C4088" s="413" t="str">
        <f>IFERROR(INDEX(Table14[],MATCH($B4088,Table14[SAPNo],0),3),"")</f>
        <v>0808 CT158NL 0.018"</v>
      </c>
      <c r="D4088" s="420" t="s">
        <v>12</v>
      </c>
      <c r="E4088" s="421"/>
      <c r="F4088" s="580">
        <v>28</v>
      </c>
      <c r="G4088" s="417" t="s">
        <v>2513</v>
      </c>
      <c r="H4088" s="598"/>
      <c r="I4088" s="322"/>
      <c r="J4088" s="303" t="s">
        <v>998</v>
      </c>
      <c r="K4088" s="248"/>
      <c r="M4088" s="366"/>
    </row>
    <row r="4089" spans="1:13" x14ac:dyDescent="0.25">
      <c r="A4089" s="308">
        <v>45754</v>
      </c>
      <c r="B4089" s="416">
        <v>2002243</v>
      </c>
      <c r="C4089" s="413" t="str">
        <f>IFERROR(INDEX(Table14[],MATCH($B4089,Table14[SAPNo],0),3),"")</f>
        <v>1308 CT188 U-60</v>
      </c>
      <c r="D4089" s="420" t="s">
        <v>12</v>
      </c>
      <c r="E4089" s="421"/>
      <c r="F4089" s="580">
        <v>18</v>
      </c>
      <c r="G4089" s="417" t="s">
        <v>2513</v>
      </c>
      <c r="H4089" s="598"/>
      <c r="I4089" s="322"/>
      <c r="J4089" s="303" t="s">
        <v>967</v>
      </c>
      <c r="K4089" s="248"/>
      <c r="M4089" s="366"/>
    </row>
    <row r="4090" spans="1:13" x14ac:dyDescent="0.25">
      <c r="A4090" s="308">
        <v>45754</v>
      </c>
      <c r="B4090" s="416">
        <v>2002243</v>
      </c>
      <c r="C4090" s="413" t="str">
        <f>IFERROR(INDEX(Table14[],MATCH($B4090,Table14[SAPNo],0),3),"")</f>
        <v>1308 CT188 U-60</v>
      </c>
      <c r="D4090" s="420" t="s">
        <v>12</v>
      </c>
      <c r="E4090" s="421"/>
      <c r="F4090" s="580">
        <v>13</v>
      </c>
      <c r="G4090" s="417" t="s">
        <v>2513</v>
      </c>
      <c r="H4090" s="598"/>
      <c r="I4090" s="322"/>
      <c r="J4090" s="303" t="s">
        <v>990</v>
      </c>
      <c r="K4090" s="248"/>
      <c r="M4090" s="366"/>
    </row>
    <row r="4091" spans="1:13" x14ac:dyDescent="0.25">
      <c r="A4091" s="308">
        <v>45755</v>
      </c>
      <c r="B4091" s="416">
        <v>1078377</v>
      </c>
      <c r="C4091" s="413" t="str">
        <f>IFERROR(INDEX(Table14[],MATCH($B4091,Table14[SAPNo],0),3),"")</f>
        <v>13MM CT221 R1</v>
      </c>
      <c r="D4091" s="420" t="s">
        <v>12</v>
      </c>
      <c r="E4091" s="421"/>
      <c r="F4091" s="580">
        <v>10</v>
      </c>
      <c r="G4091" s="417" t="s">
        <v>2513</v>
      </c>
      <c r="H4091" s="598"/>
      <c r="I4091" s="322"/>
      <c r="J4091" s="303" t="s">
        <v>989</v>
      </c>
      <c r="K4091" s="248"/>
      <c r="M4091" s="366"/>
    </row>
    <row r="4092" spans="1:13" x14ac:dyDescent="0.25">
      <c r="A4092" s="308">
        <v>45755</v>
      </c>
      <c r="B4092" s="416">
        <v>1078377</v>
      </c>
      <c r="C4092" s="413" t="str">
        <f>IFERROR(INDEX(Table14[],MATCH($B4092,Table14[SAPNo],0),3),"")</f>
        <v>13MM CT221 R1</v>
      </c>
      <c r="D4092" s="420" t="s">
        <v>12</v>
      </c>
      <c r="E4092" s="421"/>
      <c r="F4092" s="580">
        <v>15</v>
      </c>
      <c r="G4092" s="417" t="s">
        <v>2513</v>
      </c>
      <c r="H4092" s="598"/>
      <c r="I4092" s="322"/>
      <c r="J4092" s="303" t="s">
        <v>998</v>
      </c>
      <c r="K4092" s="248"/>
      <c r="M4092" s="366"/>
    </row>
    <row r="4093" spans="1:13" x14ac:dyDescent="0.25">
      <c r="A4093" s="308">
        <v>45755</v>
      </c>
      <c r="B4093" s="416">
        <v>1199261</v>
      </c>
      <c r="C4093" s="413" t="str">
        <f>IFERROR(INDEX(Table14[],MATCH($B4093,Table14[SAPNo],0),3),"")</f>
        <v>1010 CT158 0.018"</v>
      </c>
      <c r="D4093" s="420" t="s">
        <v>12</v>
      </c>
      <c r="E4093" s="421"/>
      <c r="F4093" s="580">
        <v>19</v>
      </c>
      <c r="G4093" s="417" t="s">
        <v>2513</v>
      </c>
      <c r="H4093" s="598"/>
      <c r="I4093" s="322"/>
      <c r="J4093" s="303" t="s">
        <v>998</v>
      </c>
      <c r="K4093" s="248"/>
      <c r="M4093" s="366"/>
    </row>
    <row r="4094" spans="1:13" x14ac:dyDescent="0.25">
      <c r="A4094" s="308">
        <v>45755</v>
      </c>
      <c r="B4094" s="416">
        <v>1230916</v>
      </c>
      <c r="C4094" s="413" t="str">
        <f>IFERROR(INDEX(Table14[],MATCH($B4094,Table14[SAPNo],0),3),"")</f>
        <v>1005 CT158 0.018"</v>
      </c>
      <c r="D4094" s="420" t="s">
        <v>12</v>
      </c>
      <c r="E4094" s="421"/>
      <c r="F4094" s="580">
        <v>30</v>
      </c>
      <c r="G4094" s="417" t="s">
        <v>2513</v>
      </c>
      <c r="H4094" s="598"/>
      <c r="I4094" s="322"/>
      <c r="J4094" s="303" t="s">
        <v>998</v>
      </c>
      <c r="K4094" s="248"/>
      <c r="M4094" s="366"/>
    </row>
    <row r="4095" spans="1:13" x14ac:dyDescent="0.25">
      <c r="A4095" s="308">
        <v>45755</v>
      </c>
      <c r="B4095" s="416">
        <v>1293118</v>
      </c>
      <c r="C4095" s="413" t="str">
        <f>IFERROR(INDEX(Table14[],MATCH($B4095,Table14[SAPNo],0),3),"")</f>
        <v>0808 CT158NL 0.018"</v>
      </c>
      <c r="D4095" s="420" t="s">
        <v>12</v>
      </c>
      <c r="E4095" s="421"/>
      <c r="F4095" s="580">
        <v>1</v>
      </c>
      <c r="G4095" s="417" t="s">
        <v>2513</v>
      </c>
      <c r="H4095" s="598"/>
      <c r="I4095" s="322"/>
      <c r="J4095" s="303" t="s">
        <v>979</v>
      </c>
      <c r="K4095" s="248"/>
      <c r="M4095" s="366"/>
    </row>
    <row r="4096" spans="1:13" x14ac:dyDescent="0.25">
      <c r="A4096" s="308">
        <v>45755</v>
      </c>
      <c r="B4096" s="416">
        <v>1293118</v>
      </c>
      <c r="C4096" s="413" t="str">
        <f>IFERROR(INDEX(Table14[],MATCH($B4096,Table14[SAPNo],0),3),"")</f>
        <v>0808 CT158NL 0.018"</v>
      </c>
      <c r="D4096" s="420" t="s">
        <v>12</v>
      </c>
      <c r="E4096" s="421"/>
      <c r="F4096" s="580">
        <v>32</v>
      </c>
      <c r="G4096" s="417" t="s">
        <v>2513</v>
      </c>
      <c r="H4096" s="598"/>
      <c r="I4096" s="322"/>
      <c r="J4096" s="303" t="s">
        <v>998</v>
      </c>
      <c r="K4096" s="248"/>
      <c r="M4096" s="366"/>
    </row>
    <row r="4097" spans="1:13" x14ac:dyDescent="0.25">
      <c r="A4097" s="308">
        <v>45755</v>
      </c>
      <c r="B4097" s="416">
        <v>2002299</v>
      </c>
      <c r="C4097" s="413" t="str">
        <f>IFERROR(INDEX(Table14[],MATCH($B4097,Table14[SAPNo],0),3),"")</f>
        <v>1613 CT187 U-60</v>
      </c>
      <c r="D4097" s="420" t="s">
        <v>12</v>
      </c>
      <c r="E4097" s="421"/>
      <c r="F4097" s="580">
        <v>3</v>
      </c>
      <c r="G4097" s="417" t="s">
        <v>2513</v>
      </c>
      <c r="H4097" s="598"/>
      <c r="I4097" s="322"/>
      <c r="J4097" s="303" t="s">
        <v>990</v>
      </c>
      <c r="K4097" s="248"/>
      <c r="M4097" s="366"/>
    </row>
    <row r="4098" spans="1:13" x14ac:dyDescent="0.25">
      <c r="A4098" s="320">
        <v>45755</v>
      </c>
      <c r="B4098" s="419">
        <v>2013726</v>
      </c>
      <c r="C4098" s="413" t="str">
        <f>IFERROR(INDEX(Table14[],MATCH($B4098,Table14[SAPNo],0),3),"")</f>
        <v>1913 CT172 18-60</v>
      </c>
      <c r="D4098" s="420" t="s">
        <v>12</v>
      </c>
      <c r="E4098" s="421"/>
      <c r="F4098" s="580">
        <v>100</v>
      </c>
      <c r="G4098" s="417" t="s">
        <v>2513</v>
      </c>
      <c r="H4098" s="599"/>
      <c r="I4098" s="322"/>
      <c r="J4098" s="303" t="s">
        <v>983</v>
      </c>
      <c r="K4098" s="422"/>
      <c r="M4098" s="366"/>
    </row>
    <row r="4099" spans="1:13" x14ac:dyDescent="0.25">
      <c r="A4099" s="308">
        <v>45757</v>
      </c>
      <c r="B4099" s="416">
        <v>717748</v>
      </c>
      <c r="C4099" s="413" t="str">
        <f>IFERROR(INDEX(Table14[],MATCH($B4099,Table14[SAPNo],0),3),"")</f>
        <v>Round 1010 CT200  0.018" (B)</v>
      </c>
      <c r="D4099" s="420" t="s">
        <v>12</v>
      </c>
      <c r="E4099" s="421">
        <v>8</v>
      </c>
      <c r="F4099" s="421"/>
      <c r="G4099" s="417">
        <v>20251051</v>
      </c>
      <c r="H4099" s="598" t="s">
        <v>2747</v>
      </c>
      <c r="I4099" s="322" t="s">
        <v>1069</v>
      </c>
      <c r="J4099" s="418"/>
      <c r="K4099" s="248"/>
      <c r="M4099" s="422"/>
    </row>
    <row r="4100" spans="1:13" x14ac:dyDescent="0.25">
      <c r="A4100" s="308">
        <v>45757</v>
      </c>
      <c r="B4100" s="416">
        <v>1146737</v>
      </c>
      <c r="C4100" s="413" t="str">
        <f>IFERROR(INDEX(Table14[],MATCH($B4100,Table14[SAPNo],0),3),"")</f>
        <v>1613 CT418 18-60</v>
      </c>
      <c r="D4100" s="420" t="s">
        <v>12</v>
      </c>
      <c r="E4100" s="421">
        <v>6</v>
      </c>
      <c r="F4100" s="580"/>
      <c r="G4100" s="417" t="s">
        <v>2748</v>
      </c>
      <c r="H4100" s="598">
        <v>14336286</v>
      </c>
      <c r="I4100" s="322" t="s">
        <v>2311</v>
      </c>
      <c r="J4100" s="418"/>
      <c r="K4100" s="248"/>
      <c r="M4100" s="366"/>
    </row>
    <row r="4101" spans="1:13" x14ac:dyDescent="0.25">
      <c r="A4101" s="308">
        <v>45757</v>
      </c>
      <c r="B4101" s="416">
        <v>418525</v>
      </c>
      <c r="C4101" s="413" t="str">
        <f>IFERROR(INDEX(Table14[],MATCH($B4101,Table14[SAPNo],0),3),"")</f>
        <v>Drop In 1308 CT31   (B)</v>
      </c>
      <c r="D4101" s="420" t="s">
        <v>12</v>
      </c>
      <c r="E4101" s="421">
        <v>6</v>
      </c>
      <c r="F4101" s="580"/>
      <c r="G4101" s="417" t="s">
        <v>2748</v>
      </c>
      <c r="H4101" s="598">
        <v>14336286</v>
      </c>
      <c r="I4101" s="322" t="s">
        <v>2311</v>
      </c>
      <c r="J4101" s="418"/>
      <c r="K4101" s="248"/>
      <c r="M4101" s="366"/>
    </row>
    <row r="4102" spans="1:13" x14ac:dyDescent="0.25">
      <c r="A4102" s="308">
        <v>45760</v>
      </c>
      <c r="B4102" s="416">
        <v>871781</v>
      </c>
      <c r="C4102" s="413" t="str">
        <f>IFERROR(INDEX(Table14[],MATCH($B4102,Table14[SAPNo],0),3),"")</f>
        <v>Round 1313 CT200  0.018" (B)</v>
      </c>
      <c r="D4102" s="420" t="s">
        <v>12</v>
      </c>
      <c r="E4102" s="421">
        <v>6</v>
      </c>
      <c r="F4102" s="580"/>
      <c r="G4102" s="417" t="s">
        <v>2749</v>
      </c>
      <c r="H4102" s="598">
        <v>14336413</v>
      </c>
      <c r="I4102" s="322" t="s">
        <v>2750</v>
      </c>
      <c r="J4102" s="418"/>
      <c r="K4102" s="248"/>
      <c r="M4102" s="366"/>
    </row>
    <row r="4103" spans="1:13" x14ac:dyDescent="0.25">
      <c r="A4103" s="308">
        <v>45760</v>
      </c>
      <c r="B4103" s="416">
        <v>1101509</v>
      </c>
      <c r="C4103" s="413" t="str">
        <f>IFERROR(INDEX(Table14[],MATCH($B4103,Table14[SAPNo],0),3),"")</f>
        <v>Short IA 8    (C)</v>
      </c>
      <c r="D4103" s="420" t="s">
        <v>12</v>
      </c>
      <c r="E4103" s="421">
        <v>5</v>
      </c>
      <c r="F4103" s="580"/>
      <c r="G4103" s="417" t="s">
        <v>2749</v>
      </c>
      <c r="H4103" s="598">
        <v>14336413</v>
      </c>
      <c r="I4103" s="322" t="s">
        <v>2750</v>
      </c>
      <c r="J4103" s="418"/>
      <c r="K4103" s="248"/>
      <c r="M4103" s="366"/>
    </row>
    <row r="4104" spans="1:13" x14ac:dyDescent="0.25">
      <c r="A4104" s="308">
        <v>45760</v>
      </c>
      <c r="B4104" s="416">
        <v>1146346</v>
      </c>
      <c r="C4104" s="413" t="str">
        <f>IFERROR(INDEX(Table14[],MATCH($B4104,Table14[SAPNo],0),3),"")</f>
        <v>1313 CT418 18-60</v>
      </c>
      <c r="D4104" s="420" t="s">
        <v>12</v>
      </c>
      <c r="E4104" s="421">
        <v>12</v>
      </c>
      <c r="F4104" s="580"/>
      <c r="G4104" s="417" t="s">
        <v>2749</v>
      </c>
      <c r="H4104" s="598">
        <v>14336413</v>
      </c>
      <c r="I4104" s="322" t="s">
        <v>2750</v>
      </c>
      <c r="J4104" s="418"/>
      <c r="K4104" s="248"/>
      <c r="M4104" s="366"/>
    </row>
    <row r="4105" spans="1:13" x14ac:dyDescent="0.25">
      <c r="A4105" s="308">
        <v>45760</v>
      </c>
      <c r="B4105" s="416">
        <v>1282369</v>
      </c>
      <c r="C4105" s="413" t="str">
        <f>IFERROR(INDEX(Table14[],MATCH($B4105,Table14[SAPNo],0),3),"")</f>
        <v>1313 CT436Mv3 U-60</v>
      </c>
      <c r="D4105" s="420" t="s">
        <v>12</v>
      </c>
      <c r="E4105" s="421">
        <v>13</v>
      </c>
      <c r="F4105" s="580"/>
      <c r="G4105" s="417" t="s">
        <v>2749</v>
      </c>
      <c r="H4105" s="598">
        <v>14336413</v>
      </c>
      <c r="I4105" s="322" t="s">
        <v>2750</v>
      </c>
      <c r="J4105" s="418"/>
      <c r="K4105" s="248"/>
      <c r="M4105" s="366"/>
    </row>
    <row r="4106" spans="1:13" x14ac:dyDescent="0.25">
      <c r="A4106" s="308">
        <v>45760</v>
      </c>
      <c r="B4106" s="416">
        <v>1186963</v>
      </c>
      <c r="C4106" s="413" t="str">
        <f>IFERROR(INDEX(Table14[],MATCH($B4106,Table14[SAPNo],0),3),"")</f>
        <v>1313 CT182H 10C</v>
      </c>
      <c r="D4106" s="420" t="s">
        <v>12</v>
      </c>
      <c r="E4106" s="421">
        <v>1</v>
      </c>
      <c r="F4106" s="580"/>
      <c r="G4106" s="417" t="s">
        <v>2749</v>
      </c>
      <c r="H4106" s="598">
        <v>14336413</v>
      </c>
      <c r="I4106" s="322" t="s">
        <v>2750</v>
      </c>
      <c r="J4106" s="418"/>
      <c r="K4106" s="248"/>
      <c r="M4106" s="366"/>
    </row>
    <row r="4107" spans="1:13" x14ac:dyDescent="0.25">
      <c r="A4107" s="308">
        <v>45760</v>
      </c>
      <c r="B4107" s="416">
        <v>1228502</v>
      </c>
      <c r="C4107" s="413" t="str">
        <f>IFERROR(INDEX(Table14[],MATCH($B4107,Table14[SAPNo],0),3),"")</f>
        <v>1618 CT182 U-60 Rotor</v>
      </c>
      <c r="D4107" s="420" t="s">
        <v>12</v>
      </c>
      <c r="E4107" s="421">
        <v>14</v>
      </c>
      <c r="F4107" s="580"/>
      <c r="G4107" s="417" t="s">
        <v>2751</v>
      </c>
      <c r="H4107" s="598">
        <v>14273433</v>
      </c>
      <c r="I4107" s="322" t="s">
        <v>2752</v>
      </c>
      <c r="J4107" s="418"/>
      <c r="K4107" s="248"/>
      <c r="M4107" s="366"/>
    </row>
    <row r="4108" spans="1:13" x14ac:dyDescent="0.25">
      <c r="A4108" s="308">
        <v>45760</v>
      </c>
      <c r="B4108" s="416">
        <v>1100755</v>
      </c>
      <c r="C4108" s="413" t="str">
        <f>IFERROR(INDEX(Table14[],MATCH($B4108,Table14[SAPNo],0),3),"")</f>
        <v>Round 1613 CT421  0.018" (S)</v>
      </c>
      <c r="D4108" s="420" t="s">
        <v>12</v>
      </c>
      <c r="E4108" s="421">
        <v>7</v>
      </c>
      <c r="F4108" s="580"/>
      <c r="G4108" s="417" t="s">
        <v>2751</v>
      </c>
      <c r="H4108" s="598">
        <v>14273433</v>
      </c>
      <c r="I4108" s="322" t="s">
        <v>2752</v>
      </c>
      <c r="J4108" s="418"/>
      <c r="K4108" s="248"/>
      <c r="M4108" s="366"/>
    </row>
    <row r="4109" spans="1:13" x14ac:dyDescent="0.25">
      <c r="A4109" s="308">
        <v>45760</v>
      </c>
      <c r="B4109" s="416">
        <v>1201518</v>
      </c>
      <c r="C4109" s="413" t="str">
        <f>IFERROR(INDEX(Table14[],MATCH($B4109,Table14[SAPNo],0),3),"")</f>
        <v>12MM WC­MAT404 NA</v>
      </c>
      <c r="D4109" s="420" t="s">
        <v>12</v>
      </c>
      <c r="E4109" s="421">
        <v>3</v>
      </c>
      <c r="F4109" s="580"/>
      <c r="G4109" s="417" t="s">
        <v>2751</v>
      </c>
      <c r="H4109" s="598">
        <v>14273433</v>
      </c>
      <c r="I4109" s="322" t="s">
        <v>2752</v>
      </c>
      <c r="J4109" s="418"/>
      <c r="K4109" s="248"/>
      <c r="M4109" s="366"/>
    </row>
    <row r="4110" spans="1:13" x14ac:dyDescent="0.25">
      <c r="A4110" s="308">
        <v>45760</v>
      </c>
      <c r="B4110" s="416">
        <v>1220554</v>
      </c>
      <c r="C4110" s="413" t="str">
        <f>IFERROR(INDEX(Table14[],MATCH($B4110,Table14[SAPNo],0),3),"")</f>
        <v xml:space="preserve">1618 CT182 U-60 Carbide </v>
      </c>
      <c r="D4110" s="420" t="s">
        <v>12</v>
      </c>
      <c r="E4110" s="421">
        <v>14</v>
      </c>
      <c r="F4110" s="580"/>
      <c r="G4110" s="417" t="s">
        <v>2751</v>
      </c>
      <c r="H4110" s="598">
        <v>14273433</v>
      </c>
      <c r="I4110" s="322" t="s">
        <v>2752</v>
      </c>
      <c r="J4110" s="418"/>
      <c r="K4110" s="248"/>
      <c r="M4110" s="366"/>
    </row>
    <row r="4111" spans="1:13" x14ac:dyDescent="0.25">
      <c r="A4111" s="308">
        <v>45760</v>
      </c>
      <c r="B4111" s="416">
        <v>1228501</v>
      </c>
      <c r="C4111" s="413" t="str">
        <f>IFERROR(INDEX(Table14[],MATCH($B4111,Table14[SAPNo],0),3),"")</f>
        <v>1618 CT182 U-60 stator</v>
      </c>
      <c r="D4111" s="420" t="s">
        <v>12</v>
      </c>
      <c r="E4111" s="421">
        <v>14</v>
      </c>
      <c r="F4111" s="580"/>
      <c r="G4111" s="417" t="s">
        <v>2751</v>
      </c>
      <c r="H4111" s="598">
        <v>14273433</v>
      </c>
      <c r="I4111" s="322" t="s">
        <v>2752</v>
      </c>
      <c r="J4111" s="418"/>
      <c r="K4111" s="248"/>
      <c r="M4111" s="366"/>
    </row>
    <row r="4112" spans="1:13" x14ac:dyDescent="0.25">
      <c r="A4112" s="308">
        <v>45760</v>
      </c>
      <c r="B4112" s="416">
        <v>871781</v>
      </c>
      <c r="C4112" s="413" t="str">
        <f>IFERROR(INDEX(Table14[],MATCH($B4112,Table14[SAPNo],0),3),"")</f>
        <v>Round 1313 CT200  0.018" (B)</v>
      </c>
      <c r="D4112" s="420" t="s">
        <v>12</v>
      </c>
      <c r="E4112" s="421">
        <v>6</v>
      </c>
      <c r="F4112" s="580"/>
      <c r="G4112" s="417" t="s">
        <v>2751</v>
      </c>
      <c r="H4112" s="598">
        <v>14273433</v>
      </c>
      <c r="I4112" s="322" t="s">
        <v>2752</v>
      </c>
      <c r="J4112" s="418"/>
      <c r="K4112" s="248"/>
      <c r="M4112" s="366"/>
    </row>
    <row r="4113" spans="1:13" x14ac:dyDescent="0.25">
      <c r="A4113" s="308">
        <v>45760</v>
      </c>
      <c r="B4113" s="416">
        <v>1228503</v>
      </c>
      <c r="C4113" s="413" t="str">
        <f>IFERROR(INDEX(Table14[],MATCH($B4113,Table14[SAPNo],0),3),"")</f>
        <v>1618 CT182 U-60 Ring</v>
      </c>
      <c r="D4113" s="420" t="s">
        <v>12</v>
      </c>
      <c r="E4113" s="421">
        <v>14</v>
      </c>
      <c r="F4113" s="580"/>
      <c r="G4113" s="417" t="s">
        <v>2751</v>
      </c>
      <c r="H4113" s="598">
        <v>14273433</v>
      </c>
      <c r="I4113" s="322" t="s">
        <v>2752</v>
      </c>
      <c r="J4113" s="418"/>
      <c r="K4113" s="248"/>
      <c r="M4113" s="366"/>
    </row>
    <row r="4114" spans="1:13" x14ac:dyDescent="0.25">
      <c r="A4114" s="308">
        <v>45760</v>
      </c>
      <c r="B4114" s="416">
        <v>1255773</v>
      </c>
      <c r="C4114" s="413" t="str">
        <f>IFERROR(INDEX(Table14[],MATCH($B4114,Table14[SAPNo],0),3),"")</f>
        <v>1613 CT154 U­60</v>
      </c>
      <c r="D4114" s="420" t="s">
        <v>12</v>
      </c>
      <c r="E4114" s="421">
        <v>20</v>
      </c>
      <c r="F4114" s="580"/>
      <c r="G4114" s="417" t="s">
        <v>2751</v>
      </c>
      <c r="H4114" s="598">
        <v>14273433</v>
      </c>
      <c r="I4114" s="322" t="s">
        <v>2752</v>
      </c>
      <c r="J4114" s="418"/>
      <c r="K4114" s="248"/>
      <c r="M4114" s="366"/>
    </row>
    <row r="4115" spans="1:13" x14ac:dyDescent="0.25">
      <c r="A4115" s="308">
        <v>45760</v>
      </c>
      <c r="B4115" s="416">
        <v>1261319</v>
      </c>
      <c r="C4115" s="413" t="str">
        <f>IFERROR(INDEX(Table14[],MATCH($B4115,Table14[SAPNo],0),3),"")</f>
        <v>1308 CT155 U-60</v>
      </c>
      <c r="D4115" s="420" t="s">
        <v>12</v>
      </c>
      <c r="E4115" s="421">
        <v>22</v>
      </c>
      <c r="F4115" s="580"/>
      <c r="G4115" s="417" t="s">
        <v>2751</v>
      </c>
      <c r="H4115" s="598">
        <v>14273433</v>
      </c>
      <c r="I4115" s="322" t="s">
        <v>2752</v>
      </c>
      <c r="J4115" s="418"/>
      <c r="K4115" s="248"/>
      <c r="M4115" s="366"/>
    </row>
    <row r="4116" spans="1:13" x14ac:dyDescent="0.25">
      <c r="A4116" s="308">
        <v>45760</v>
      </c>
      <c r="B4116" s="416">
        <v>1078377</v>
      </c>
      <c r="C4116" s="413" t="str">
        <f>IFERROR(INDEX(Table14[],MATCH($B4116,Table14[SAPNo],0),3),"")</f>
        <v>13MM CT221 R1</v>
      </c>
      <c r="D4116" s="420" t="s">
        <v>12</v>
      </c>
      <c r="E4116" s="421">
        <v>15</v>
      </c>
      <c r="F4116" s="580"/>
      <c r="G4116" s="417" t="s">
        <v>2753</v>
      </c>
      <c r="H4116" s="598">
        <v>14353143</v>
      </c>
      <c r="I4116" s="322" t="s">
        <v>1273</v>
      </c>
      <c r="J4116" s="418"/>
      <c r="K4116" s="248"/>
      <c r="M4116" s="366"/>
    </row>
    <row r="4117" spans="1:13" x14ac:dyDescent="0.25">
      <c r="A4117" s="308">
        <v>45760</v>
      </c>
      <c r="B4117" s="416">
        <v>1208601</v>
      </c>
      <c r="C4117" s="413" t="str">
        <f>IFERROR(INDEX(Table14[],MATCH($B4117,Table14[SAPNo],0),3),"")</f>
        <v>1613 CT418 U-60</v>
      </c>
      <c r="D4117" s="420" t="s">
        <v>12</v>
      </c>
      <c r="E4117" s="421">
        <v>8</v>
      </c>
      <c r="F4117" s="580"/>
      <c r="G4117" s="417" t="s">
        <v>2753</v>
      </c>
      <c r="H4117" s="598">
        <v>14353143</v>
      </c>
      <c r="I4117" s="322" t="s">
        <v>1273</v>
      </c>
      <c r="J4117" s="418"/>
      <c r="K4117" s="248"/>
      <c r="M4117" s="366"/>
    </row>
    <row r="4118" spans="1:13" x14ac:dyDescent="0.25">
      <c r="A4118" s="308">
        <v>45760</v>
      </c>
      <c r="B4118" s="416">
        <v>1271790</v>
      </c>
      <c r="C4118" s="413" t="str">
        <f>IFERROR(INDEX(Table14[],MATCH($B4118,Table14[SAPNo],0),3),"")</f>
        <v xml:space="preserve">1613 CT170 18-60 </v>
      </c>
      <c r="D4118" s="420" t="s">
        <v>12</v>
      </c>
      <c r="E4118" s="421">
        <v>17</v>
      </c>
      <c r="F4118" s="580"/>
      <c r="G4118" s="417" t="s">
        <v>2753</v>
      </c>
      <c r="H4118" s="598">
        <v>14353143</v>
      </c>
      <c r="I4118" s="322" t="s">
        <v>1273</v>
      </c>
      <c r="J4118" s="418"/>
      <c r="K4118" s="248"/>
      <c r="M4118" s="366"/>
    </row>
    <row r="4119" spans="1:13" x14ac:dyDescent="0.25">
      <c r="A4119" s="308">
        <v>45760</v>
      </c>
      <c r="B4119" s="416">
        <v>1146737</v>
      </c>
      <c r="C4119" s="413" t="str">
        <f>IFERROR(INDEX(Table14[],MATCH($B4119,Table14[SAPNo],0),3),"")</f>
        <v>1613 CT418 18-60</v>
      </c>
      <c r="D4119" s="420" t="s">
        <v>12</v>
      </c>
      <c r="E4119" s="421">
        <v>6</v>
      </c>
      <c r="F4119" s="580"/>
      <c r="G4119" s="417" t="s">
        <v>2753</v>
      </c>
      <c r="H4119" s="598">
        <v>14353143</v>
      </c>
      <c r="I4119" s="322" t="s">
        <v>1273</v>
      </c>
      <c r="J4119" s="418"/>
      <c r="K4119" s="248"/>
      <c r="M4119" s="366"/>
    </row>
    <row r="4120" spans="1:13" x14ac:dyDescent="0.25">
      <c r="A4120" s="308">
        <v>45760</v>
      </c>
      <c r="B4120" s="416">
        <v>418525</v>
      </c>
      <c r="C4120" s="413" t="str">
        <f>IFERROR(INDEX(Table14[],MATCH($B4120,Table14[SAPNo],0),3),"")</f>
        <v>Drop In 1308 CT31   (B)</v>
      </c>
      <c r="D4120" s="420" t="s">
        <v>12</v>
      </c>
      <c r="E4120" s="421">
        <v>6</v>
      </c>
      <c r="F4120" s="580"/>
      <c r="G4120" s="417" t="s">
        <v>2753</v>
      </c>
      <c r="H4120" s="598">
        <v>14353143</v>
      </c>
      <c r="I4120" s="322" t="s">
        <v>1273</v>
      </c>
      <c r="J4120" s="418"/>
      <c r="K4120" s="248"/>
      <c r="M4120" s="366"/>
    </row>
    <row r="4121" spans="1:13" x14ac:dyDescent="0.25">
      <c r="A4121" s="308">
        <v>45760</v>
      </c>
      <c r="B4121" s="416">
        <v>1271790</v>
      </c>
      <c r="C4121" s="413" t="str">
        <f>IFERROR(INDEX(Table14[],MATCH($B4121,Table14[SAPNo],0),3),"")</f>
        <v xml:space="preserve">1613 CT170 18-60 </v>
      </c>
      <c r="D4121" s="420" t="s">
        <v>12</v>
      </c>
      <c r="E4121" s="421">
        <v>17</v>
      </c>
      <c r="F4121" s="580"/>
      <c r="G4121" s="417" t="s">
        <v>2754</v>
      </c>
      <c r="H4121" s="598">
        <v>14353148</v>
      </c>
      <c r="I4121" s="322" t="s">
        <v>2729</v>
      </c>
      <c r="J4121" s="418"/>
      <c r="K4121" s="248"/>
      <c r="M4121" s="366"/>
    </row>
    <row r="4122" spans="1:13" x14ac:dyDescent="0.25">
      <c r="A4122" s="308">
        <v>45760</v>
      </c>
      <c r="B4122" s="416">
        <v>1146737</v>
      </c>
      <c r="C4122" s="413" t="str">
        <f>IFERROR(INDEX(Table14[],MATCH($B4122,Table14[SAPNo],0),3),"")</f>
        <v>1613 CT418 18-60</v>
      </c>
      <c r="D4122" s="420" t="s">
        <v>12</v>
      </c>
      <c r="E4122" s="421">
        <v>6</v>
      </c>
      <c r="F4122" s="580"/>
      <c r="G4122" s="417" t="s">
        <v>2754</v>
      </c>
      <c r="H4122" s="598">
        <v>14353148</v>
      </c>
      <c r="I4122" s="322" t="s">
        <v>2729</v>
      </c>
      <c r="J4122" s="418"/>
      <c r="K4122" s="248"/>
      <c r="M4122" s="366"/>
    </row>
    <row r="4123" spans="1:13" x14ac:dyDescent="0.25">
      <c r="A4123" s="308">
        <v>45760</v>
      </c>
      <c r="B4123" s="416">
        <v>418525</v>
      </c>
      <c r="C4123" s="413" t="str">
        <f>IFERROR(INDEX(Table14[],MATCH($B4123,Table14[SAPNo],0),3),"")</f>
        <v>Drop In 1308 CT31   (B)</v>
      </c>
      <c r="D4123" s="420" t="s">
        <v>12</v>
      </c>
      <c r="E4123" s="421">
        <v>6</v>
      </c>
      <c r="F4123" s="580"/>
      <c r="G4123" s="417" t="s">
        <v>2754</v>
      </c>
      <c r="H4123" s="598">
        <v>14353148</v>
      </c>
      <c r="I4123" s="322" t="s">
        <v>2729</v>
      </c>
      <c r="J4123" s="418"/>
      <c r="K4123" s="248"/>
      <c r="M4123" s="366"/>
    </row>
    <row r="4124" spans="1:13" x14ac:dyDescent="0.25">
      <c r="A4124" s="308">
        <v>45760</v>
      </c>
      <c r="B4124" s="416">
        <v>1078377</v>
      </c>
      <c r="C4124" s="413" t="str">
        <f>IFERROR(INDEX(Table14[],MATCH($B4124,Table14[SAPNo],0),3),"")</f>
        <v>13MM CT221 R1</v>
      </c>
      <c r="D4124" s="420" t="s">
        <v>12</v>
      </c>
      <c r="E4124" s="421">
        <v>15</v>
      </c>
      <c r="F4124" s="580"/>
      <c r="G4124" s="417" t="s">
        <v>2754</v>
      </c>
      <c r="H4124" s="598">
        <v>14353148</v>
      </c>
      <c r="I4124" s="322" t="s">
        <v>2729</v>
      </c>
      <c r="J4124" s="418"/>
      <c r="K4124" s="248"/>
      <c r="M4124" s="366"/>
    </row>
    <row r="4125" spans="1:13" x14ac:dyDescent="0.25">
      <c r="A4125" s="320">
        <v>45760</v>
      </c>
      <c r="B4125" s="419">
        <v>1208601</v>
      </c>
      <c r="C4125" s="413" t="str">
        <f>IFERROR(INDEX(Table14[],MATCH($B4125,Table14[SAPNo],0),3),"")</f>
        <v>1613 CT418 U-60</v>
      </c>
      <c r="D4125" s="420" t="s">
        <v>12</v>
      </c>
      <c r="E4125" s="421">
        <v>8</v>
      </c>
      <c r="F4125" s="580"/>
      <c r="G4125" s="420" t="s">
        <v>2754</v>
      </c>
      <c r="H4125" s="599">
        <v>14353148</v>
      </c>
      <c r="I4125" s="322" t="s">
        <v>2729</v>
      </c>
      <c r="J4125" s="421"/>
      <c r="K4125" s="422"/>
      <c r="M4125" s="366"/>
    </row>
    <row r="4126" spans="1:13" x14ac:dyDescent="0.25">
      <c r="A4126" s="308">
        <v>45762</v>
      </c>
      <c r="B4126" s="416">
        <v>1100759</v>
      </c>
      <c r="C4126" s="413" t="str">
        <f>IFERROR(INDEX(Table14[],MATCH($B4126,Table14[SAPNo],0),3),"")</f>
        <v>1913 CT421 0.018"</v>
      </c>
      <c r="D4126" s="420" t="s">
        <v>1072</v>
      </c>
      <c r="E4126" s="421"/>
      <c r="F4126" s="421">
        <v>17</v>
      </c>
      <c r="G4126" s="417" t="s">
        <v>2739</v>
      </c>
      <c r="H4126" s="598">
        <v>14210781</v>
      </c>
      <c r="I4126" s="322" t="s">
        <v>2740</v>
      </c>
      <c r="J4126" s="418"/>
      <c r="K4126" s="248"/>
      <c r="M4126" s="422"/>
    </row>
    <row r="4127" spans="1:13" x14ac:dyDescent="0.25">
      <c r="A4127" s="320">
        <v>45762</v>
      </c>
      <c r="B4127" s="419">
        <v>2013726</v>
      </c>
      <c r="C4127" s="413" t="str">
        <f>IFERROR(INDEX(Table14[],MATCH($B4127,Table14[SAPNo],0),3),"")</f>
        <v>1913 CT172 18-60</v>
      </c>
      <c r="D4127" s="420" t="s">
        <v>12</v>
      </c>
      <c r="E4127" s="421"/>
      <c r="F4127" s="580">
        <v>15</v>
      </c>
      <c r="G4127" s="420" t="s">
        <v>2513</v>
      </c>
      <c r="H4127" s="599"/>
      <c r="I4127" s="322"/>
      <c r="J4127" s="303" t="s">
        <v>983</v>
      </c>
      <c r="K4127" s="422"/>
      <c r="M4127" s="366"/>
    </row>
    <row r="4128" spans="1:13" x14ac:dyDescent="0.25">
      <c r="A4128" s="308">
        <v>45761</v>
      </c>
      <c r="B4128" s="416">
        <v>1100696</v>
      </c>
      <c r="C4128" s="413" t="str">
        <f>IFERROR(INDEX(Table14[],MATCH($B4128,Table14[SAPNo],0),3),"")</f>
        <v>Round 1313 CT418  10C (S)</v>
      </c>
      <c r="D4128" s="420" t="s">
        <v>11</v>
      </c>
      <c r="E4128" s="421">
        <v>1</v>
      </c>
      <c r="F4128" s="421"/>
      <c r="G4128" s="417">
        <v>20251052</v>
      </c>
      <c r="H4128" s="598" t="s">
        <v>2755</v>
      </c>
      <c r="I4128" s="322" t="s">
        <v>2441</v>
      </c>
      <c r="J4128" s="418"/>
      <c r="K4128" s="248"/>
      <c r="M4128" s="422"/>
    </row>
    <row r="4129" spans="1:13" x14ac:dyDescent="0.25">
      <c r="A4129" s="308">
        <v>45762</v>
      </c>
      <c r="B4129" s="416">
        <v>1244299</v>
      </c>
      <c r="C4129" s="413" t="str">
        <f>IFERROR(INDEX(Table14[],MATCH($B4129,Table14[SAPNo],0),3),"")</f>
        <v>1313 CT147CV4 U</v>
      </c>
      <c r="D4129" s="420" t="s">
        <v>12</v>
      </c>
      <c r="E4129" s="421">
        <v>1</v>
      </c>
      <c r="F4129" s="580"/>
      <c r="G4129" s="417">
        <v>20251053</v>
      </c>
      <c r="H4129" s="598" t="s">
        <v>2756</v>
      </c>
      <c r="I4129" s="322" t="s">
        <v>1746</v>
      </c>
      <c r="J4129" s="418"/>
      <c r="K4129" s="248"/>
      <c r="M4129" s="366"/>
    </row>
    <row r="4130" spans="1:13" x14ac:dyDescent="0.25">
      <c r="A4130" s="308">
        <v>45762</v>
      </c>
      <c r="B4130" s="416">
        <v>1100696</v>
      </c>
      <c r="C4130" s="413" t="str">
        <f>IFERROR(INDEX(Table14[],MATCH($B4130,Table14[SAPNo],0),3),"")</f>
        <v>Round 1313 CT418  10C (S)</v>
      </c>
      <c r="D4130" s="420" t="s">
        <v>11</v>
      </c>
      <c r="E4130" s="421">
        <v>2</v>
      </c>
      <c r="F4130" s="580"/>
      <c r="G4130" s="417">
        <v>20251053</v>
      </c>
      <c r="H4130" s="598" t="s">
        <v>2756</v>
      </c>
      <c r="I4130" s="322" t="s">
        <v>1746</v>
      </c>
      <c r="J4130" s="418"/>
      <c r="K4130" s="248"/>
      <c r="M4130" s="366"/>
    </row>
    <row r="4131" spans="1:13" x14ac:dyDescent="0.25">
      <c r="A4131" s="308">
        <v>45762</v>
      </c>
      <c r="B4131" s="416">
        <v>871781</v>
      </c>
      <c r="C4131" s="413" t="str">
        <f>IFERROR(INDEX(Table14[],MATCH($B4131,Table14[SAPNo],0),3),"")</f>
        <v>Round 1313 CT200  0.018" (B)</v>
      </c>
      <c r="D4131" s="420" t="s">
        <v>12</v>
      </c>
      <c r="E4131" s="421">
        <v>42</v>
      </c>
      <c r="F4131" s="580"/>
      <c r="G4131" s="417" t="s">
        <v>2757</v>
      </c>
      <c r="H4131" s="598">
        <v>14320854</v>
      </c>
      <c r="I4131" s="322" t="s">
        <v>2758</v>
      </c>
      <c r="J4131" s="418"/>
      <c r="K4131" s="248"/>
      <c r="M4131" s="366"/>
    </row>
    <row r="4132" spans="1:13" x14ac:dyDescent="0.25">
      <c r="A4132" s="308">
        <v>45762</v>
      </c>
      <c r="B4132" s="416">
        <v>418525</v>
      </c>
      <c r="C4132" s="413" t="str">
        <f>IFERROR(INDEX(Table14[],MATCH($B4132,Table14[SAPNo],0),3),"")</f>
        <v>Drop In 1308 CT31   (B)</v>
      </c>
      <c r="D4132" s="420" t="s">
        <v>12</v>
      </c>
      <c r="E4132" s="421">
        <v>7</v>
      </c>
      <c r="F4132" s="580"/>
      <c r="G4132" s="417" t="s">
        <v>2757</v>
      </c>
      <c r="H4132" s="598">
        <v>14320854</v>
      </c>
      <c r="I4132" s="322" t="s">
        <v>2758</v>
      </c>
      <c r="J4132" s="418"/>
      <c r="K4132" s="248"/>
      <c r="M4132" s="366"/>
    </row>
    <row r="4133" spans="1:13" x14ac:dyDescent="0.25">
      <c r="A4133" s="308">
        <v>45762</v>
      </c>
      <c r="B4133" s="416">
        <v>410851</v>
      </c>
      <c r="C4133" s="413" t="str">
        <f>IFERROR(INDEX(Table14[],MATCH($B4133,Table14[SAPNo],0),3),"")</f>
        <v>PDC Dome 1308 CT31   (B)</v>
      </c>
      <c r="D4133" s="420" t="s">
        <v>12</v>
      </c>
      <c r="E4133" s="421">
        <v>28</v>
      </c>
      <c r="F4133" s="580"/>
      <c r="G4133" s="417" t="s">
        <v>2757</v>
      </c>
      <c r="H4133" s="598">
        <v>14320854</v>
      </c>
      <c r="I4133" s="322" t="s">
        <v>2758</v>
      </c>
      <c r="J4133" s="418"/>
      <c r="K4133" s="248"/>
      <c r="M4133" s="366"/>
    </row>
    <row r="4134" spans="1:13" x14ac:dyDescent="0.25">
      <c r="A4134" s="308">
        <v>45762</v>
      </c>
      <c r="B4134" s="416">
        <v>179734</v>
      </c>
      <c r="C4134" s="413" t="str">
        <f>IFERROR(INDEX(Table14[],MATCH($B4134,Table14[SAPNo],0),3),"")</f>
        <v>Long IPA 13    (C)</v>
      </c>
      <c r="D4134" s="420" t="s">
        <v>12</v>
      </c>
      <c r="E4134" s="421">
        <v>22</v>
      </c>
      <c r="F4134" s="580"/>
      <c r="G4134" s="417" t="s">
        <v>2757</v>
      </c>
      <c r="H4134" s="598">
        <v>14320854</v>
      </c>
      <c r="I4134" s="322" t="s">
        <v>2758</v>
      </c>
      <c r="J4134" s="418"/>
      <c r="K4134" s="248"/>
      <c r="M4134" s="366"/>
    </row>
    <row r="4135" spans="1:13" x14ac:dyDescent="0.25">
      <c r="A4135" s="308">
        <v>45762</v>
      </c>
      <c r="B4135" s="416">
        <v>1219562</v>
      </c>
      <c r="C4135" s="413" t="str">
        <f>IFERROR(INDEX(Table14[],MATCH($B4135,Table14[SAPNo],0),3),"")</f>
        <v>1613 CT147R U</v>
      </c>
      <c r="D4135" s="420" t="s">
        <v>12</v>
      </c>
      <c r="E4135" s="421">
        <v>42</v>
      </c>
      <c r="F4135" s="580"/>
      <c r="G4135" s="417" t="s">
        <v>2757</v>
      </c>
      <c r="H4135" s="598">
        <v>14320854</v>
      </c>
      <c r="I4135" s="322" t="s">
        <v>2758</v>
      </c>
      <c r="J4135" s="418"/>
      <c r="K4135" s="248"/>
      <c r="M4135" s="366"/>
    </row>
    <row r="4136" spans="1:13" x14ac:dyDescent="0.25">
      <c r="A4136" s="308">
        <v>45762</v>
      </c>
      <c r="B4136" s="416">
        <v>1208601</v>
      </c>
      <c r="C4136" s="413" t="str">
        <f>IFERROR(INDEX(Table14[],MATCH($B4136,Table14[SAPNo],0),3),"")</f>
        <v>1613 CT418 U-60</v>
      </c>
      <c r="D4136" s="420" t="s">
        <v>12</v>
      </c>
      <c r="E4136" s="421">
        <v>15</v>
      </c>
      <c r="F4136" s="580"/>
      <c r="G4136" s="417" t="s">
        <v>2757</v>
      </c>
      <c r="H4136" s="598">
        <v>14320854</v>
      </c>
      <c r="I4136" s="322" t="s">
        <v>2758</v>
      </c>
      <c r="J4136" s="418"/>
      <c r="K4136" s="248"/>
      <c r="M4136" s="366"/>
    </row>
    <row r="4137" spans="1:13" x14ac:dyDescent="0.25">
      <c r="A4137" s="308">
        <v>45762</v>
      </c>
      <c r="B4137" s="416">
        <v>1130198</v>
      </c>
      <c r="C4137" s="413" t="str">
        <f>IFERROR(INDEX(Table14[],MATCH($B4137,Table14[SAPNo],0),3),"")</f>
        <v>Round 1613 CT182  0.018" (S)</v>
      </c>
      <c r="D4137" s="420" t="s">
        <v>1072</v>
      </c>
      <c r="E4137" s="421">
        <v>22</v>
      </c>
      <c r="F4137" s="580"/>
      <c r="G4137" s="417" t="s">
        <v>2757</v>
      </c>
      <c r="H4137" s="598">
        <v>14320854</v>
      </c>
      <c r="I4137" s="322" t="s">
        <v>2758</v>
      </c>
      <c r="J4137" s="418"/>
      <c r="K4137" s="248"/>
      <c r="M4137" s="366"/>
    </row>
    <row r="4138" spans="1:13" x14ac:dyDescent="0.25">
      <c r="A4138" s="320">
        <v>45762</v>
      </c>
      <c r="B4138" s="419">
        <v>717748</v>
      </c>
      <c r="C4138" s="413" t="str">
        <f>IFERROR(INDEX(Table14[],MATCH($B4138,Table14[SAPNo],0),3),"")</f>
        <v>Round 1010 CT200  0.018" (B)</v>
      </c>
      <c r="D4138" s="420" t="s">
        <v>12</v>
      </c>
      <c r="E4138" s="421">
        <v>6</v>
      </c>
      <c r="F4138" s="580"/>
      <c r="G4138" s="420" t="s">
        <v>2759</v>
      </c>
      <c r="H4138" s="599" t="s">
        <v>2760</v>
      </c>
      <c r="I4138" s="322" t="s">
        <v>2362</v>
      </c>
      <c r="J4138" s="421"/>
      <c r="K4138" s="422"/>
      <c r="M4138" s="366"/>
    </row>
    <row r="4139" spans="1:13" x14ac:dyDescent="0.25">
      <c r="A4139" s="320">
        <v>45763</v>
      </c>
      <c r="B4139" s="419">
        <v>971055</v>
      </c>
      <c r="C4139" s="413" t="str">
        <f>IFERROR(INDEX(Table14[],MATCH($B4139,Table14[SAPNo],0),3),"")</f>
        <v>MED Bullet 10.5 CT217 MBL 0.018" (B)</v>
      </c>
      <c r="D4139" s="420" t="s">
        <v>11</v>
      </c>
      <c r="E4139" s="421">
        <v>1</v>
      </c>
      <c r="F4139" s="421"/>
      <c r="G4139" s="420" t="s">
        <v>2761</v>
      </c>
      <c r="H4139" s="599"/>
      <c r="I4139" s="322"/>
      <c r="J4139" s="421"/>
      <c r="K4139" s="422"/>
      <c r="M4139" s="422"/>
    </row>
    <row r="4140" spans="1:13" x14ac:dyDescent="0.25">
      <c r="A4140" s="320">
        <v>45763</v>
      </c>
      <c r="B4140" s="419">
        <v>1134752</v>
      </c>
      <c r="C4140" s="413" t="str">
        <f>IFERROR(INDEX(Table14[],MATCH($B4140,Table14[SAPNo],0),3),"")</f>
        <v>Round 1308 CT182  0.018" (S)</v>
      </c>
      <c r="D4140" s="420" t="s">
        <v>8</v>
      </c>
      <c r="E4140" s="421"/>
      <c r="F4140" s="421">
        <v>3</v>
      </c>
      <c r="G4140" s="420" t="s">
        <v>2761</v>
      </c>
      <c r="H4140" s="599"/>
      <c r="I4140" s="322"/>
      <c r="J4140" s="421"/>
      <c r="K4140" s="422"/>
      <c r="M4140" s="422"/>
    </row>
    <row r="4141" spans="1:13" x14ac:dyDescent="0.25">
      <c r="A4141" s="320">
        <v>45763</v>
      </c>
      <c r="B4141" s="419">
        <v>871781</v>
      </c>
      <c r="C4141" s="413" t="str">
        <f>IFERROR(INDEX(Table14[],MATCH($B4141,Table14[SAPNo],0),3),"")</f>
        <v>Round 1313 CT200  0.018" (B)</v>
      </c>
      <c r="D4141" s="420" t="s">
        <v>12</v>
      </c>
      <c r="E4141" s="421">
        <v>5</v>
      </c>
      <c r="F4141" s="421"/>
      <c r="G4141" s="420" t="s">
        <v>2761</v>
      </c>
      <c r="H4141" s="599"/>
      <c r="I4141" s="322"/>
      <c r="J4141" s="421"/>
      <c r="K4141" s="422"/>
      <c r="M4141" s="422"/>
    </row>
    <row r="4142" spans="1:13" x14ac:dyDescent="0.25">
      <c r="A4142" s="320">
        <v>45763</v>
      </c>
      <c r="B4142" s="416">
        <v>1208601</v>
      </c>
      <c r="C4142" s="413" t="str">
        <f>IFERROR(INDEX(Table14[],MATCH($B4142,Table14[SAPNo],0),3),"")</f>
        <v>1613 CT418 U-60</v>
      </c>
      <c r="D4142" s="420" t="s">
        <v>12</v>
      </c>
      <c r="E4142" s="421">
        <v>2</v>
      </c>
      <c r="F4142" s="421"/>
      <c r="G4142" s="420" t="s">
        <v>2761</v>
      </c>
      <c r="H4142" s="598"/>
      <c r="I4142" s="322"/>
      <c r="J4142" s="418"/>
      <c r="K4142" s="248"/>
      <c r="M4142" s="422"/>
    </row>
    <row r="4143" spans="1:13" x14ac:dyDescent="0.25">
      <c r="A4143" s="320">
        <v>45763</v>
      </c>
      <c r="B4143" s="419">
        <v>1146737</v>
      </c>
      <c r="C4143" s="413" t="str">
        <f>IFERROR(INDEX(Table14[],MATCH($B4143,Table14[SAPNo],0),3),"")</f>
        <v>1613 CT418 18-60</v>
      </c>
      <c r="D4143" s="420" t="s">
        <v>12</v>
      </c>
      <c r="E4143" s="421">
        <v>12</v>
      </c>
      <c r="F4143" s="580"/>
      <c r="G4143" s="420" t="s">
        <v>2761</v>
      </c>
      <c r="H4143" s="599"/>
      <c r="I4143" s="322"/>
      <c r="J4143" s="421"/>
      <c r="K4143" s="422"/>
      <c r="M4143" s="366"/>
    </row>
    <row r="4144" spans="1:13" x14ac:dyDescent="0.25">
      <c r="A4144" s="320">
        <v>45763</v>
      </c>
      <c r="B4144" s="419">
        <v>729687</v>
      </c>
      <c r="C4144" s="413" t="str">
        <f>IFERROR(INDEX(Table14[],MATCH($B4144,Table14[SAPNo],0),3),"")</f>
        <v>Round 1613 CT82  10C (S)</v>
      </c>
      <c r="D4144" s="420" t="s">
        <v>12</v>
      </c>
      <c r="E4144" s="421"/>
      <c r="F4144" s="421">
        <v>1</v>
      </c>
      <c r="G4144" s="420" t="s">
        <v>2761</v>
      </c>
      <c r="H4144" s="599"/>
      <c r="I4144" s="322"/>
      <c r="J4144" s="421"/>
      <c r="K4144" s="422"/>
      <c r="M4144" s="422"/>
    </row>
    <row r="4145" spans="1:13" x14ac:dyDescent="0.25">
      <c r="A4145" s="320">
        <v>45763</v>
      </c>
      <c r="B4145" s="419">
        <v>418525</v>
      </c>
      <c r="C4145" s="413" t="str">
        <f>IFERROR(INDEX(Table14[],MATCH($B4145,Table14[SAPNo],0),3),"")</f>
        <v>Drop In 1308 CT31   (B)</v>
      </c>
      <c r="D4145" s="420" t="s">
        <v>12</v>
      </c>
      <c r="E4145" s="421"/>
      <c r="F4145" s="421">
        <v>1</v>
      </c>
      <c r="G4145" s="420" t="s">
        <v>2761</v>
      </c>
      <c r="H4145" s="599"/>
      <c r="I4145" s="322"/>
      <c r="J4145" s="421"/>
      <c r="K4145" s="422"/>
      <c r="M4145" s="422"/>
    </row>
    <row r="4146" spans="1:13" x14ac:dyDescent="0.25">
      <c r="A4146" s="320">
        <v>45763</v>
      </c>
      <c r="B4146" s="419">
        <v>708306</v>
      </c>
      <c r="C4146" s="413" t="str">
        <f>IFERROR(INDEX(Table14[],MATCH($B4146,Table14[SAPNo],0),3),"")</f>
        <v>Round 1913 CT200  0.018" (B)</v>
      </c>
      <c r="D4146" s="420" t="s">
        <v>12</v>
      </c>
      <c r="E4146" s="421"/>
      <c r="F4146" s="421">
        <v>1</v>
      </c>
      <c r="G4146" s="420" t="s">
        <v>2761</v>
      </c>
      <c r="H4146" s="599"/>
      <c r="I4146" s="322"/>
      <c r="J4146" s="421"/>
      <c r="K4146" s="422"/>
      <c r="M4146" s="422"/>
    </row>
    <row r="4147" spans="1:13" x14ac:dyDescent="0.25">
      <c r="A4147" s="320">
        <v>45763</v>
      </c>
      <c r="B4147" s="419">
        <v>647436</v>
      </c>
      <c r="C4147" s="413" t="str">
        <f>IFERROR(INDEX(Table14[],MATCH($B4147,Table14[SAPNo],0),3),"")</f>
        <v>Round 1613 CT200  0.018" (B)</v>
      </c>
      <c r="D4147" s="420" t="s">
        <v>12</v>
      </c>
      <c r="E4147" s="421">
        <v>2</v>
      </c>
      <c r="F4147" s="421"/>
      <c r="G4147" s="420" t="s">
        <v>2761</v>
      </c>
      <c r="H4147" s="599"/>
      <c r="I4147" s="322"/>
      <c r="J4147" s="421"/>
      <c r="K4147" s="422"/>
      <c r="M4147" s="422"/>
    </row>
    <row r="4148" spans="1:13" x14ac:dyDescent="0.25">
      <c r="A4148" s="320">
        <v>45763</v>
      </c>
      <c r="B4148" s="419">
        <v>1100696</v>
      </c>
      <c r="C4148" s="413" t="str">
        <f>IFERROR(INDEX(Table14[],MATCH($B4148,Table14[SAPNo],0),3),"")</f>
        <v>Round 1313 CT418  10C (S)</v>
      </c>
      <c r="D4148" s="420" t="s">
        <v>12</v>
      </c>
      <c r="E4148" s="421">
        <v>5</v>
      </c>
      <c r="F4148" s="421"/>
      <c r="G4148" s="420" t="s">
        <v>2761</v>
      </c>
      <c r="H4148" s="599"/>
      <c r="I4148" s="322"/>
      <c r="J4148" s="421"/>
      <c r="K4148" s="422"/>
      <c r="M4148" s="422"/>
    </row>
    <row r="4149" spans="1:13" x14ac:dyDescent="0.25">
      <c r="A4149" s="320">
        <v>45763</v>
      </c>
      <c r="B4149" s="419">
        <v>1130198</v>
      </c>
      <c r="C4149" s="413" t="str">
        <f>IFERROR(INDEX(Table14[],MATCH($B4149,Table14[SAPNo],0),3),"")</f>
        <v>Round 1613 CT182  0.018" (S)</v>
      </c>
      <c r="D4149" s="420" t="s">
        <v>1072</v>
      </c>
      <c r="E4149" s="421"/>
      <c r="F4149" s="421">
        <v>3</v>
      </c>
      <c r="G4149" s="420" t="s">
        <v>2761</v>
      </c>
      <c r="H4149" s="599"/>
      <c r="I4149" s="322"/>
      <c r="J4149" s="421"/>
      <c r="K4149" s="422"/>
      <c r="M4149" s="422"/>
    </row>
    <row r="4150" spans="1:13" x14ac:dyDescent="0.25">
      <c r="A4150" s="320">
        <v>45763</v>
      </c>
      <c r="B4150" s="419">
        <v>1130219</v>
      </c>
      <c r="C4150" s="413" t="str">
        <f>IFERROR(INDEX(Table14[],MATCH($B4150,Table14[SAPNo],0),3),"")</f>
        <v>Round 1313 CT182  10C (S)</v>
      </c>
      <c r="D4150" s="420" t="s">
        <v>12</v>
      </c>
      <c r="E4150" s="421"/>
      <c r="F4150" s="421">
        <v>1</v>
      </c>
      <c r="G4150" s="420" t="s">
        <v>2761</v>
      </c>
      <c r="H4150" s="599"/>
      <c r="I4150" s="322"/>
      <c r="J4150" s="421"/>
      <c r="K4150" s="422"/>
      <c r="M4150" s="422"/>
    </row>
    <row r="4151" spans="1:13" x14ac:dyDescent="0.25">
      <c r="A4151" s="320">
        <v>45763</v>
      </c>
      <c r="B4151" s="419">
        <v>1244299</v>
      </c>
      <c r="C4151" s="413" t="str">
        <f>IFERROR(INDEX(Table14[],MATCH($B4151,Table14[SAPNo],0),3),"")</f>
        <v>1313 CT147CV4 U</v>
      </c>
      <c r="D4151" s="420" t="s">
        <v>12</v>
      </c>
      <c r="E4151" s="421">
        <v>1</v>
      </c>
      <c r="F4151" s="421"/>
      <c r="G4151" s="420" t="s">
        <v>2761</v>
      </c>
      <c r="H4151" s="599"/>
      <c r="I4151" s="322"/>
      <c r="J4151" s="421"/>
      <c r="K4151" s="422"/>
      <c r="M4151" s="422"/>
    </row>
    <row r="4152" spans="1:13" x14ac:dyDescent="0.25">
      <c r="A4152" s="320">
        <v>45763</v>
      </c>
      <c r="B4152" s="419">
        <v>1271790</v>
      </c>
      <c r="C4152" s="413" t="str">
        <f>IFERROR(INDEX(Table14[],MATCH($B4152,Table14[SAPNo],0),3),"")</f>
        <v xml:space="preserve">1613 CT170 18-60 </v>
      </c>
      <c r="D4152" s="420" t="s">
        <v>12</v>
      </c>
      <c r="E4152" s="421">
        <v>2</v>
      </c>
      <c r="F4152" s="421"/>
      <c r="G4152" s="420" t="s">
        <v>2761</v>
      </c>
      <c r="H4152" s="599"/>
      <c r="I4152" s="322"/>
      <c r="J4152" s="421"/>
      <c r="K4152" s="422"/>
      <c r="M4152" s="422"/>
    </row>
    <row r="4153" spans="1:13" x14ac:dyDescent="0.25">
      <c r="A4153" s="320">
        <v>45731</v>
      </c>
      <c r="B4153" s="419">
        <v>418525</v>
      </c>
      <c r="C4153" s="413" t="str">
        <f>IFERROR(INDEX(Table14[],MATCH($B4153,Table14[SAPNo],0),3),"")</f>
        <v>Drop In 1308 CT31   (B)</v>
      </c>
      <c r="D4153" s="420" t="s">
        <v>12</v>
      </c>
      <c r="E4153" s="421">
        <v>8</v>
      </c>
      <c r="F4153" s="421"/>
      <c r="G4153" s="420" t="s">
        <v>2762</v>
      </c>
      <c r="H4153" s="599">
        <v>14305488</v>
      </c>
      <c r="I4153" s="322" t="s">
        <v>2763</v>
      </c>
      <c r="J4153" s="421"/>
      <c r="K4153" s="422"/>
      <c r="M4153" s="422"/>
    </row>
    <row r="4154" spans="1:13" x14ac:dyDescent="0.25">
      <c r="A4154" s="320">
        <v>45731</v>
      </c>
      <c r="B4154" s="419">
        <v>1263929</v>
      </c>
      <c r="C4154" s="413" t="str">
        <f>IFERROR(INDEX(Table14[],MATCH($B4154,Table14[SAPNo],0),3),"")</f>
        <v>1613 CT437 18-60</v>
      </c>
      <c r="D4154" s="420" t="s">
        <v>12</v>
      </c>
      <c r="E4154" s="421">
        <v>36</v>
      </c>
      <c r="F4154" s="421"/>
      <c r="G4154" s="420" t="s">
        <v>2762</v>
      </c>
      <c r="H4154" s="599">
        <v>14305488</v>
      </c>
      <c r="I4154" s="322" t="s">
        <v>2763</v>
      </c>
      <c r="J4154" s="421"/>
      <c r="K4154" s="422"/>
      <c r="M4154" s="422"/>
    </row>
    <row r="4155" spans="1:13" x14ac:dyDescent="0.25">
      <c r="A4155" s="320">
        <v>45731</v>
      </c>
      <c r="B4155" s="419">
        <v>1126402</v>
      </c>
      <c r="C4155" s="413" t="str">
        <f>IFERROR(INDEX(Table14[],MATCH($B4155,Table14[SAPNo],0),3),"")</f>
        <v>1613 CT421 16-60</v>
      </c>
      <c r="D4155" s="420" t="s">
        <v>12</v>
      </c>
      <c r="E4155" s="421">
        <v>56</v>
      </c>
      <c r="F4155" s="421"/>
      <c r="G4155" s="420" t="s">
        <v>2762</v>
      </c>
      <c r="H4155" s="599">
        <v>14305488</v>
      </c>
      <c r="I4155" s="322" t="s">
        <v>2763</v>
      </c>
      <c r="J4155" s="421"/>
      <c r="K4155" s="422"/>
      <c r="M4155" s="422"/>
    </row>
    <row r="4156" spans="1:13" x14ac:dyDescent="0.25">
      <c r="A4156" s="320">
        <v>45731</v>
      </c>
      <c r="B4156" s="419">
        <v>1130198</v>
      </c>
      <c r="C4156" s="413" t="str">
        <f>IFERROR(INDEX(Table14[],MATCH($B4156,Table14[SAPNo],0),3),"")</f>
        <v>Round 1613 CT182  0.018" (S)</v>
      </c>
      <c r="D4156" s="420" t="s">
        <v>1072</v>
      </c>
      <c r="E4156" s="421">
        <v>55</v>
      </c>
      <c r="F4156" s="421"/>
      <c r="G4156" s="420" t="s">
        <v>2762</v>
      </c>
      <c r="H4156" s="599">
        <v>14305488</v>
      </c>
      <c r="I4156" s="322" t="s">
        <v>2763</v>
      </c>
      <c r="J4156" s="421"/>
      <c r="K4156" s="422"/>
      <c r="M4156" s="422"/>
    </row>
    <row r="4157" spans="1:13" x14ac:dyDescent="0.25">
      <c r="A4157" s="308">
        <v>45763</v>
      </c>
      <c r="B4157" s="416">
        <v>1208601</v>
      </c>
      <c r="C4157" s="413" t="str">
        <f>IFERROR(INDEX(Table14[],MATCH($B4157,Table14[SAPNo],0),3),"")</f>
        <v>1613 CT418 U-60</v>
      </c>
      <c r="D4157" s="420" t="s">
        <v>12</v>
      </c>
      <c r="E4157" s="421">
        <v>8</v>
      </c>
      <c r="F4157" s="421"/>
      <c r="G4157" s="417" t="s">
        <v>2764</v>
      </c>
      <c r="H4157" s="598">
        <v>14353145</v>
      </c>
      <c r="I4157" s="322" t="s">
        <v>1273</v>
      </c>
      <c r="J4157" s="418"/>
      <c r="K4157" s="248"/>
      <c r="M4157" s="422"/>
    </row>
    <row r="4158" spans="1:13" x14ac:dyDescent="0.25">
      <c r="A4158" s="308">
        <v>45763</v>
      </c>
      <c r="B4158" s="416">
        <v>1146737</v>
      </c>
      <c r="C4158" s="413" t="str">
        <f>IFERROR(INDEX(Table14[],MATCH($B4158,Table14[SAPNo],0),3),"")</f>
        <v>1613 CT418 18-60</v>
      </c>
      <c r="D4158" s="420" t="s">
        <v>12</v>
      </c>
      <c r="E4158" s="421">
        <v>6</v>
      </c>
      <c r="F4158" s="580"/>
      <c r="G4158" s="417" t="s">
        <v>2764</v>
      </c>
      <c r="H4158" s="598">
        <v>14353145</v>
      </c>
      <c r="I4158" s="322" t="s">
        <v>1273</v>
      </c>
      <c r="J4158" s="418"/>
      <c r="K4158" s="248"/>
      <c r="M4158" s="366"/>
    </row>
    <row r="4159" spans="1:13" x14ac:dyDescent="0.25">
      <c r="A4159" s="308">
        <v>45763</v>
      </c>
      <c r="B4159" s="416">
        <v>418525</v>
      </c>
      <c r="C4159" s="413" t="str">
        <f>IFERROR(INDEX(Table14[],MATCH($B4159,Table14[SAPNo],0),3),"")</f>
        <v>Drop In 1308 CT31   (B)</v>
      </c>
      <c r="D4159" s="420" t="s">
        <v>12</v>
      </c>
      <c r="E4159" s="421">
        <v>6</v>
      </c>
      <c r="F4159" s="580"/>
      <c r="G4159" s="417" t="s">
        <v>2764</v>
      </c>
      <c r="H4159" s="598">
        <v>14353145</v>
      </c>
      <c r="I4159" s="322" t="s">
        <v>1273</v>
      </c>
      <c r="J4159" s="418"/>
      <c r="K4159" s="248"/>
      <c r="M4159" s="366"/>
    </row>
    <row r="4160" spans="1:13" x14ac:dyDescent="0.25">
      <c r="A4160" s="308">
        <v>45763</v>
      </c>
      <c r="B4160" s="416">
        <v>1078377</v>
      </c>
      <c r="C4160" s="413" t="str">
        <f>IFERROR(INDEX(Table14[],MATCH($B4160,Table14[SAPNo],0),3),"")</f>
        <v>13MM CT221 R1</v>
      </c>
      <c r="D4160" s="420" t="s">
        <v>12</v>
      </c>
      <c r="E4160" s="421">
        <v>15</v>
      </c>
      <c r="F4160" s="580"/>
      <c r="G4160" s="417" t="s">
        <v>2764</v>
      </c>
      <c r="H4160" s="598">
        <v>14353145</v>
      </c>
      <c r="I4160" s="322" t="s">
        <v>1273</v>
      </c>
      <c r="J4160" s="418"/>
      <c r="K4160" s="248"/>
      <c r="M4160" s="366"/>
    </row>
    <row r="4161" spans="1:13" x14ac:dyDescent="0.25">
      <c r="A4161" s="308">
        <v>45763</v>
      </c>
      <c r="B4161" s="416">
        <v>1271790</v>
      </c>
      <c r="C4161" s="413" t="str">
        <f>IFERROR(INDEX(Table14[],MATCH($B4161,Table14[SAPNo],0),3),"")</f>
        <v xml:space="preserve">1613 CT170 18-60 </v>
      </c>
      <c r="D4161" s="420" t="s">
        <v>12</v>
      </c>
      <c r="E4161" s="421">
        <v>17</v>
      </c>
      <c r="F4161" s="580"/>
      <c r="G4161" s="417" t="s">
        <v>2764</v>
      </c>
      <c r="H4161" s="598">
        <v>14353145</v>
      </c>
      <c r="I4161" s="322" t="s">
        <v>1273</v>
      </c>
      <c r="J4161" s="418"/>
      <c r="K4161" s="248"/>
      <c r="M4161" s="366"/>
    </row>
    <row r="4162" spans="1:13" x14ac:dyDescent="0.25">
      <c r="A4162" s="308">
        <v>45763</v>
      </c>
      <c r="B4162" s="416">
        <v>1078377</v>
      </c>
      <c r="C4162" s="413" t="str">
        <f>IFERROR(INDEX(Table14[],MATCH($B4162,Table14[SAPNo],0),3),"")</f>
        <v>13MM CT221 R1</v>
      </c>
      <c r="D4162" s="420" t="s">
        <v>12</v>
      </c>
      <c r="E4162" s="421">
        <v>15</v>
      </c>
      <c r="F4162" s="580"/>
      <c r="G4162" s="417" t="s">
        <v>2765</v>
      </c>
      <c r="H4162" s="598">
        <v>14340870</v>
      </c>
      <c r="I4162" s="322" t="s">
        <v>2729</v>
      </c>
      <c r="J4162" s="418"/>
      <c r="K4162" s="248"/>
      <c r="M4162" s="366"/>
    </row>
    <row r="4163" spans="1:13" x14ac:dyDescent="0.25">
      <c r="A4163" s="308">
        <v>45763</v>
      </c>
      <c r="B4163" s="416">
        <v>1146737</v>
      </c>
      <c r="C4163" s="413" t="str">
        <f>IFERROR(INDEX(Table14[],MATCH($B4163,Table14[SAPNo],0),3),"")</f>
        <v>1613 CT418 18-60</v>
      </c>
      <c r="D4163" s="420" t="s">
        <v>12</v>
      </c>
      <c r="E4163" s="421">
        <v>6</v>
      </c>
      <c r="F4163" s="580"/>
      <c r="G4163" s="417" t="s">
        <v>2765</v>
      </c>
      <c r="H4163" s="598">
        <v>14340870</v>
      </c>
      <c r="I4163" s="322" t="s">
        <v>2729</v>
      </c>
      <c r="J4163" s="418"/>
      <c r="K4163" s="248"/>
      <c r="M4163" s="366"/>
    </row>
    <row r="4164" spans="1:13" x14ac:dyDescent="0.25">
      <c r="A4164" s="308">
        <v>45763</v>
      </c>
      <c r="B4164" s="416">
        <v>1208601</v>
      </c>
      <c r="C4164" s="413" t="str">
        <f>IFERROR(INDEX(Table14[],MATCH($B4164,Table14[SAPNo],0),3),"")</f>
        <v>1613 CT418 U-60</v>
      </c>
      <c r="D4164" s="420" t="s">
        <v>12</v>
      </c>
      <c r="E4164" s="421">
        <v>8</v>
      </c>
      <c r="F4164" s="580"/>
      <c r="G4164" s="417" t="s">
        <v>2765</v>
      </c>
      <c r="H4164" s="598">
        <v>14340870</v>
      </c>
      <c r="I4164" s="322" t="s">
        <v>2729</v>
      </c>
      <c r="J4164" s="418"/>
      <c r="K4164" s="248"/>
      <c r="M4164" s="366"/>
    </row>
    <row r="4165" spans="1:13" x14ac:dyDescent="0.25">
      <c r="A4165" s="308">
        <v>45763</v>
      </c>
      <c r="B4165" s="416">
        <v>1271790</v>
      </c>
      <c r="C4165" s="413" t="str">
        <f>IFERROR(INDEX(Table14[],MATCH($B4165,Table14[SAPNo],0),3),"")</f>
        <v xml:space="preserve">1613 CT170 18-60 </v>
      </c>
      <c r="D4165" s="420" t="s">
        <v>12</v>
      </c>
      <c r="E4165" s="421">
        <v>17</v>
      </c>
      <c r="F4165" s="580"/>
      <c r="G4165" s="417" t="s">
        <v>2765</v>
      </c>
      <c r="H4165" s="598">
        <v>14340870</v>
      </c>
      <c r="I4165" s="322" t="s">
        <v>2729</v>
      </c>
      <c r="J4165" s="418"/>
      <c r="K4165" s="248"/>
      <c r="M4165" s="366"/>
    </row>
    <row r="4166" spans="1:13" x14ac:dyDescent="0.25">
      <c r="A4166" s="308">
        <v>45763</v>
      </c>
      <c r="B4166" s="416">
        <v>418525</v>
      </c>
      <c r="C4166" s="413" t="str">
        <f>IFERROR(INDEX(Table14[],MATCH($B4166,Table14[SAPNo],0),3),"")</f>
        <v>Drop In 1308 CT31   (B)</v>
      </c>
      <c r="D4166" s="420" t="s">
        <v>12</v>
      </c>
      <c r="E4166" s="421">
        <v>6</v>
      </c>
      <c r="F4166" s="580"/>
      <c r="G4166" s="417" t="s">
        <v>2765</v>
      </c>
      <c r="H4166" s="598">
        <v>14340870</v>
      </c>
      <c r="I4166" s="322" t="s">
        <v>2729</v>
      </c>
      <c r="J4166" s="418"/>
      <c r="K4166" s="248"/>
      <c r="M4166" s="366"/>
    </row>
    <row r="4167" spans="1:13" x14ac:dyDescent="0.25">
      <c r="A4167" s="308">
        <v>45763</v>
      </c>
      <c r="B4167" s="416">
        <v>1146737</v>
      </c>
      <c r="C4167" s="413" t="str">
        <f>IFERROR(INDEX(Table14[],MATCH($B4167,Table14[SAPNo],0),3),"")</f>
        <v>1613 CT418 18-60</v>
      </c>
      <c r="D4167" s="420" t="s">
        <v>12</v>
      </c>
      <c r="E4167" s="421">
        <v>6</v>
      </c>
      <c r="F4167" s="580"/>
      <c r="G4167" s="417" t="s">
        <v>2766</v>
      </c>
      <c r="H4167" s="598" t="s">
        <v>2767</v>
      </c>
      <c r="I4167" s="322" t="s">
        <v>2768</v>
      </c>
      <c r="J4167" s="418"/>
      <c r="K4167" s="248"/>
      <c r="M4167" s="366"/>
    </row>
    <row r="4168" spans="1:13" x14ac:dyDescent="0.25">
      <c r="A4168" s="308">
        <v>45763</v>
      </c>
      <c r="B4168" s="416">
        <v>418525</v>
      </c>
      <c r="C4168" s="413" t="str">
        <f>IFERROR(INDEX(Table14[],MATCH($B4168,Table14[SAPNo],0),3),"")</f>
        <v>Drop In 1308 CT31   (B)</v>
      </c>
      <c r="D4168" s="420" t="s">
        <v>12</v>
      </c>
      <c r="E4168" s="421">
        <v>2</v>
      </c>
      <c r="F4168" s="580"/>
      <c r="G4168" s="417" t="s">
        <v>2766</v>
      </c>
      <c r="H4168" s="598" t="s">
        <v>2767</v>
      </c>
      <c r="I4168" s="322" t="s">
        <v>2768</v>
      </c>
      <c r="J4168" s="418"/>
      <c r="K4168" s="248"/>
      <c r="M4168" s="366"/>
    </row>
    <row r="4169" spans="1:13" x14ac:dyDescent="0.25">
      <c r="A4169" s="308">
        <v>45763</v>
      </c>
      <c r="B4169" s="416">
        <v>1208601</v>
      </c>
      <c r="C4169" s="413" t="str">
        <f>IFERROR(INDEX(Table14[],MATCH($B4169,Table14[SAPNo],0),3),"")</f>
        <v>1613 CT418 U-60</v>
      </c>
      <c r="D4169" s="420" t="s">
        <v>12</v>
      </c>
      <c r="E4169" s="421">
        <v>1</v>
      </c>
      <c r="F4169" s="580"/>
      <c r="G4169" s="417" t="s">
        <v>2766</v>
      </c>
      <c r="H4169" s="598" t="s">
        <v>2767</v>
      </c>
      <c r="I4169" s="322" t="s">
        <v>2768</v>
      </c>
      <c r="J4169" s="418"/>
      <c r="K4169" s="248"/>
      <c r="M4169" s="366"/>
    </row>
    <row r="4170" spans="1:13" x14ac:dyDescent="0.25">
      <c r="A4170" s="308">
        <v>45763</v>
      </c>
      <c r="B4170" s="416">
        <v>1146737</v>
      </c>
      <c r="C4170" s="413" t="str">
        <f>IFERROR(INDEX(Table14[],MATCH($B4170,Table14[SAPNo],0),3),"")</f>
        <v>1613 CT418 18-60</v>
      </c>
      <c r="D4170" s="420" t="s">
        <v>12</v>
      </c>
      <c r="E4170" s="421">
        <v>6</v>
      </c>
      <c r="F4170" s="580"/>
      <c r="G4170" s="417" t="s">
        <v>2769</v>
      </c>
      <c r="H4170" s="598">
        <v>14340872</v>
      </c>
      <c r="I4170" s="322" t="s">
        <v>1273</v>
      </c>
      <c r="J4170" s="418"/>
      <c r="K4170" s="248"/>
      <c r="M4170" s="366"/>
    </row>
    <row r="4171" spans="1:13" x14ac:dyDescent="0.25">
      <c r="A4171" s="308">
        <v>45763</v>
      </c>
      <c r="B4171" s="416">
        <v>418525</v>
      </c>
      <c r="C4171" s="413" t="str">
        <f>IFERROR(INDEX(Table14[],MATCH($B4171,Table14[SAPNo],0),3),"")</f>
        <v>Drop In 1308 CT31   (B)</v>
      </c>
      <c r="D4171" s="420" t="s">
        <v>12</v>
      </c>
      <c r="E4171" s="421">
        <v>3</v>
      </c>
      <c r="F4171" s="580"/>
      <c r="G4171" s="417" t="s">
        <v>2769</v>
      </c>
      <c r="H4171" s="598">
        <v>14340872</v>
      </c>
      <c r="I4171" s="322" t="s">
        <v>1273</v>
      </c>
      <c r="J4171" s="418"/>
      <c r="K4171" s="248"/>
      <c r="M4171" s="366"/>
    </row>
    <row r="4172" spans="1:13" x14ac:dyDescent="0.25">
      <c r="A4172" s="308">
        <v>45763</v>
      </c>
      <c r="B4172" s="416">
        <v>1271790</v>
      </c>
      <c r="C4172" s="413" t="str">
        <f>IFERROR(INDEX(Table14[],MATCH($B4172,Table14[SAPNo],0),3),"")</f>
        <v xml:space="preserve">1613 CT170 18-60 </v>
      </c>
      <c r="D4172" s="420" t="s">
        <v>12</v>
      </c>
      <c r="E4172" s="421">
        <v>1</v>
      </c>
      <c r="F4172" s="580"/>
      <c r="G4172" s="417" t="s">
        <v>2770</v>
      </c>
      <c r="H4172" s="598" t="s">
        <v>2771</v>
      </c>
      <c r="I4172" s="322" t="s">
        <v>2679</v>
      </c>
      <c r="J4172" s="418"/>
      <c r="K4172" s="248"/>
      <c r="M4172" s="366"/>
    </row>
    <row r="4173" spans="1:13" x14ac:dyDescent="0.25">
      <c r="A4173" s="308">
        <v>45763</v>
      </c>
      <c r="B4173" s="416">
        <v>1146737</v>
      </c>
      <c r="C4173" s="413" t="str">
        <f>IFERROR(INDEX(Table14[],MATCH($B4173,Table14[SAPNo],0),3),"")</f>
        <v>1613 CT418 18-60</v>
      </c>
      <c r="D4173" s="420" t="s">
        <v>12</v>
      </c>
      <c r="E4173" s="421">
        <v>6</v>
      </c>
      <c r="F4173" s="580"/>
      <c r="G4173" s="417" t="s">
        <v>2770</v>
      </c>
      <c r="H4173" s="598" t="s">
        <v>2771</v>
      </c>
      <c r="I4173" s="322" t="s">
        <v>2679</v>
      </c>
      <c r="J4173" s="418"/>
      <c r="K4173" s="248"/>
      <c r="M4173" s="366"/>
    </row>
    <row r="4174" spans="1:13" x14ac:dyDescent="0.25">
      <c r="A4174" s="308">
        <v>45763</v>
      </c>
      <c r="B4174" s="416">
        <v>418525</v>
      </c>
      <c r="C4174" s="413" t="str">
        <f>IFERROR(INDEX(Table14[],MATCH($B4174,Table14[SAPNo],0),3),"")</f>
        <v>Drop In 1308 CT31   (B)</v>
      </c>
      <c r="D4174" s="420" t="s">
        <v>12</v>
      </c>
      <c r="E4174" s="421">
        <v>6</v>
      </c>
      <c r="F4174" s="580"/>
      <c r="G4174" s="417" t="s">
        <v>2770</v>
      </c>
      <c r="H4174" s="598" t="s">
        <v>2771</v>
      </c>
      <c r="I4174" s="322" t="s">
        <v>2679</v>
      </c>
      <c r="J4174" s="418"/>
      <c r="K4174" s="248"/>
      <c r="M4174" s="366"/>
    </row>
    <row r="4175" spans="1:13" x14ac:dyDescent="0.25">
      <c r="A4175" s="308">
        <v>45763</v>
      </c>
      <c r="B4175" s="416">
        <v>1078377</v>
      </c>
      <c r="C4175" s="413" t="str">
        <f>IFERROR(INDEX(Table14[],MATCH($B4175,Table14[SAPNo],0),3),"")</f>
        <v>13MM CT221 R1</v>
      </c>
      <c r="D4175" s="420" t="s">
        <v>12</v>
      </c>
      <c r="E4175" s="421">
        <v>2</v>
      </c>
      <c r="F4175" s="580"/>
      <c r="G4175" s="417" t="s">
        <v>2770</v>
      </c>
      <c r="H4175" s="598" t="s">
        <v>2771</v>
      </c>
      <c r="I4175" s="322" t="s">
        <v>2679</v>
      </c>
      <c r="J4175" s="418"/>
      <c r="K4175" s="248"/>
      <c r="M4175" s="366"/>
    </row>
    <row r="4176" spans="1:13" x14ac:dyDescent="0.25">
      <c r="A4176" s="308">
        <v>45763</v>
      </c>
      <c r="B4176" s="416">
        <v>1208601</v>
      </c>
      <c r="C4176" s="413" t="str">
        <f>IFERROR(INDEX(Table14[],MATCH($B4176,Table14[SAPNo],0),3),"")</f>
        <v>1613 CT418 U-60</v>
      </c>
      <c r="D4176" s="420" t="s">
        <v>12</v>
      </c>
      <c r="E4176" s="421">
        <v>1</v>
      </c>
      <c r="F4176" s="580"/>
      <c r="G4176" s="417" t="s">
        <v>2772</v>
      </c>
      <c r="H4176" s="598" t="s">
        <v>2773</v>
      </c>
      <c r="I4176" s="322" t="s">
        <v>2136</v>
      </c>
      <c r="J4176" s="418"/>
      <c r="K4176" s="248"/>
      <c r="M4176" s="366"/>
    </row>
    <row r="4177" spans="1:13" x14ac:dyDescent="0.25">
      <c r="A4177" s="308">
        <v>45763</v>
      </c>
      <c r="B4177" s="416">
        <v>1146737</v>
      </c>
      <c r="C4177" s="413" t="str">
        <f>IFERROR(INDEX(Table14[],MATCH($B4177,Table14[SAPNo],0),3),"")</f>
        <v>1613 CT418 18-60</v>
      </c>
      <c r="D4177" s="420" t="s">
        <v>12</v>
      </c>
      <c r="E4177" s="421">
        <v>6</v>
      </c>
      <c r="F4177" s="580"/>
      <c r="G4177" s="417" t="s">
        <v>2772</v>
      </c>
      <c r="H4177" s="598" t="s">
        <v>2773</v>
      </c>
      <c r="I4177" s="322" t="s">
        <v>2136</v>
      </c>
      <c r="J4177" s="418"/>
      <c r="K4177" s="248"/>
      <c r="M4177" s="366"/>
    </row>
    <row r="4178" spans="1:13" x14ac:dyDescent="0.25">
      <c r="A4178" s="308">
        <v>45763</v>
      </c>
      <c r="B4178" s="416">
        <v>1078377</v>
      </c>
      <c r="C4178" s="413" t="str">
        <f>IFERROR(INDEX(Table14[],MATCH($B4178,Table14[SAPNo],0),3),"")</f>
        <v>13MM CT221 R1</v>
      </c>
      <c r="D4178" s="420" t="s">
        <v>12</v>
      </c>
      <c r="E4178" s="421">
        <v>4</v>
      </c>
      <c r="F4178" s="580"/>
      <c r="G4178" s="417" t="s">
        <v>2772</v>
      </c>
      <c r="H4178" s="598" t="s">
        <v>2773</v>
      </c>
      <c r="I4178" s="322" t="s">
        <v>2136</v>
      </c>
      <c r="J4178" s="418"/>
      <c r="K4178" s="248"/>
      <c r="M4178" s="366"/>
    </row>
    <row r="4179" spans="1:13" x14ac:dyDescent="0.25">
      <c r="A4179" s="308">
        <v>45763</v>
      </c>
      <c r="B4179" s="416">
        <v>418525</v>
      </c>
      <c r="C4179" s="413" t="str">
        <f>IFERROR(INDEX(Table14[],MATCH($B4179,Table14[SAPNo],0),3),"")</f>
        <v>Drop In 1308 CT31   (B)</v>
      </c>
      <c r="D4179" s="420" t="s">
        <v>12</v>
      </c>
      <c r="E4179" s="421">
        <v>6</v>
      </c>
      <c r="F4179" s="580"/>
      <c r="G4179" s="417" t="s">
        <v>2772</v>
      </c>
      <c r="H4179" s="598" t="s">
        <v>2773</v>
      </c>
      <c r="I4179" s="322" t="s">
        <v>2136</v>
      </c>
      <c r="J4179" s="418"/>
      <c r="K4179" s="248"/>
      <c r="M4179" s="366"/>
    </row>
    <row r="4180" spans="1:13" x14ac:dyDescent="0.25">
      <c r="A4180" s="308">
        <v>45764</v>
      </c>
      <c r="B4180" s="416">
        <v>1100755</v>
      </c>
      <c r="C4180" s="413" t="str">
        <f>IFERROR(INDEX(Table14[],MATCH($B4180,Table14[SAPNo],0),3),"")</f>
        <v>Round 1613 CT421  0.018" (S)</v>
      </c>
      <c r="D4180" s="420" t="s">
        <v>12</v>
      </c>
      <c r="E4180" s="421">
        <v>30</v>
      </c>
      <c r="F4180" s="580"/>
      <c r="G4180" s="417" t="s">
        <v>2774</v>
      </c>
      <c r="H4180" s="598">
        <v>14247173</v>
      </c>
      <c r="I4180" s="322" t="s">
        <v>2541</v>
      </c>
      <c r="J4180" s="418"/>
      <c r="K4180" s="248"/>
      <c r="M4180" s="366"/>
    </row>
    <row r="4181" spans="1:13" x14ac:dyDescent="0.25">
      <c r="A4181" s="308">
        <v>45764</v>
      </c>
      <c r="B4181" s="416">
        <v>1146737</v>
      </c>
      <c r="C4181" s="413" t="str">
        <f>IFERROR(INDEX(Table14[],MATCH($B4181,Table14[SAPNo],0),3),"")</f>
        <v>1613 CT418 18-60</v>
      </c>
      <c r="D4181" s="420" t="s">
        <v>12</v>
      </c>
      <c r="E4181" s="421">
        <v>31</v>
      </c>
      <c r="F4181" s="580"/>
      <c r="G4181" s="417" t="s">
        <v>2774</v>
      </c>
      <c r="H4181" s="598">
        <v>14247173</v>
      </c>
      <c r="I4181" s="322" t="s">
        <v>2541</v>
      </c>
      <c r="J4181" s="418"/>
      <c r="K4181" s="248"/>
      <c r="M4181" s="366"/>
    </row>
    <row r="4182" spans="1:13" x14ac:dyDescent="0.25">
      <c r="A4182" s="308">
        <v>45764</v>
      </c>
      <c r="B4182" s="416">
        <v>418525</v>
      </c>
      <c r="C4182" s="413" t="str">
        <f>IFERROR(INDEX(Table14[],MATCH($B4182,Table14[SAPNo],0),3),"")</f>
        <v>Drop In 1308 CT31   (B)</v>
      </c>
      <c r="D4182" s="420" t="s">
        <v>12</v>
      </c>
      <c r="E4182" s="421">
        <v>6</v>
      </c>
      <c r="F4182" s="580"/>
      <c r="G4182" s="417" t="s">
        <v>2774</v>
      </c>
      <c r="H4182" s="598">
        <v>14247173</v>
      </c>
      <c r="I4182" s="322" t="s">
        <v>2541</v>
      </c>
      <c r="J4182" s="418"/>
      <c r="K4182" s="248"/>
      <c r="M4182" s="366"/>
    </row>
    <row r="4183" spans="1:13" x14ac:dyDescent="0.25">
      <c r="A4183" s="308">
        <v>45764</v>
      </c>
      <c r="B4183" s="416">
        <v>1209410</v>
      </c>
      <c r="C4183" s="413" t="str">
        <f>IFERROR(INDEX(Table14[],MATCH($B4183,Table14[SAPNo],0),3),"")</f>
        <v>1613 CT430MV3 U TBO</v>
      </c>
      <c r="D4183" s="420" t="s">
        <v>12</v>
      </c>
      <c r="E4183" s="421">
        <v>46</v>
      </c>
      <c r="F4183" s="580"/>
      <c r="G4183" s="417" t="s">
        <v>2774</v>
      </c>
      <c r="H4183" s="598">
        <v>14247173</v>
      </c>
      <c r="I4183" s="322" t="s">
        <v>2541</v>
      </c>
      <c r="J4183" s="418"/>
      <c r="K4183" s="248"/>
      <c r="M4183" s="366"/>
    </row>
    <row r="4184" spans="1:13" x14ac:dyDescent="0.25">
      <c r="A4184" s="320">
        <v>45764</v>
      </c>
      <c r="B4184" s="419">
        <v>625854</v>
      </c>
      <c r="C4184" s="413" t="str">
        <f>IFERROR(INDEX(Table14[],MATCH($B4184,Table14[SAPNo],0),3),"")</f>
        <v>Carbide IA 1318    (C)</v>
      </c>
      <c r="D4184" s="420" t="s">
        <v>12</v>
      </c>
      <c r="E4184" s="421">
        <v>17</v>
      </c>
      <c r="F4184" s="580"/>
      <c r="G4184" s="420" t="s">
        <v>2774</v>
      </c>
      <c r="H4184" s="599">
        <v>14247173</v>
      </c>
      <c r="I4184" s="322" t="s">
        <v>2541</v>
      </c>
      <c r="J4184" s="421"/>
      <c r="K4184" s="422"/>
      <c r="M4184" s="366"/>
    </row>
    <row r="4185" spans="1:13" x14ac:dyDescent="0.25">
      <c r="A4185" s="308">
        <v>45765</v>
      </c>
      <c r="B4185" s="416">
        <v>717748</v>
      </c>
      <c r="C4185" s="413" t="str">
        <f>IFERROR(INDEX(Table14[],MATCH($B4185,Table14[SAPNo],0),3),"")</f>
        <v>Round 1010 CT200  0.018" (B)</v>
      </c>
      <c r="D4185" s="420" t="s">
        <v>12</v>
      </c>
      <c r="E4185" s="421">
        <v>2</v>
      </c>
      <c r="F4185" s="421"/>
      <c r="G4185" s="417">
        <v>20251057</v>
      </c>
      <c r="H4185" s="598" t="s">
        <v>2775</v>
      </c>
      <c r="I4185" s="322" t="s">
        <v>1069</v>
      </c>
      <c r="J4185" s="418"/>
      <c r="K4185" s="248"/>
      <c r="M4185" s="422"/>
    </row>
    <row r="4186" spans="1:13" x14ac:dyDescent="0.25">
      <c r="A4186" s="308">
        <v>45765</v>
      </c>
      <c r="B4186" s="416">
        <v>418525</v>
      </c>
      <c r="C4186" s="413" t="str">
        <f>IFERROR(INDEX(Table14[],MATCH($B4186,Table14[SAPNo],0),3),"")</f>
        <v>Drop In 1308 CT31   (B)</v>
      </c>
      <c r="D4186" s="420" t="s">
        <v>12</v>
      </c>
      <c r="E4186" s="421">
        <v>8</v>
      </c>
      <c r="F4186" s="580"/>
      <c r="G4186" s="417" t="s">
        <v>2776</v>
      </c>
      <c r="H4186" s="598">
        <v>14320853</v>
      </c>
      <c r="I4186" s="322" t="s">
        <v>2777</v>
      </c>
      <c r="J4186" s="418"/>
      <c r="K4186" s="248"/>
      <c r="M4186" s="366"/>
    </row>
    <row r="4187" spans="1:13" x14ac:dyDescent="0.25">
      <c r="A4187" s="308">
        <v>45765</v>
      </c>
      <c r="B4187" s="416">
        <v>1146737</v>
      </c>
      <c r="C4187" s="413" t="str">
        <f>IFERROR(INDEX(Table14[],MATCH($B4187,Table14[SAPNo],0),3),"")</f>
        <v>1613 CT418 18-60</v>
      </c>
      <c r="D4187" s="420" t="s">
        <v>12</v>
      </c>
      <c r="E4187" s="421">
        <v>6</v>
      </c>
      <c r="F4187" s="580"/>
      <c r="G4187" s="417" t="s">
        <v>2776</v>
      </c>
      <c r="H4187" s="598">
        <v>14320853</v>
      </c>
      <c r="I4187" s="322" t="s">
        <v>2777</v>
      </c>
      <c r="J4187" s="418"/>
      <c r="K4187" s="248"/>
      <c r="M4187" s="366"/>
    </row>
    <row r="4188" spans="1:13" x14ac:dyDescent="0.25">
      <c r="A4188" s="308">
        <v>45765</v>
      </c>
      <c r="B4188" s="416">
        <v>1263929</v>
      </c>
      <c r="C4188" s="413" t="str">
        <f>IFERROR(INDEX(Table14[],MATCH($B4188,Table14[SAPNo],0),3),"")</f>
        <v>1613 CT437 18-60</v>
      </c>
      <c r="D4188" s="420" t="s">
        <v>12</v>
      </c>
      <c r="E4188" s="421">
        <v>86</v>
      </c>
      <c r="F4188" s="580"/>
      <c r="G4188" s="417" t="s">
        <v>2776</v>
      </c>
      <c r="H4188" s="598">
        <v>14320853</v>
      </c>
      <c r="I4188" s="322" t="s">
        <v>2777</v>
      </c>
      <c r="J4188" s="418"/>
      <c r="K4188" s="248"/>
      <c r="M4188" s="366"/>
    </row>
    <row r="4189" spans="1:13" x14ac:dyDescent="0.25">
      <c r="A4189" s="308">
        <v>45765</v>
      </c>
      <c r="B4189" s="416">
        <v>1130198</v>
      </c>
      <c r="C4189" s="413" t="str">
        <f>IFERROR(INDEX(Table14[],MATCH($B4189,Table14[SAPNo],0),3),"")</f>
        <v>Round 1613 CT182  0.018" (S)</v>
      </c>
      <c r="D4189" s="420" t="s">
        <v>1072</v>
      </c>
      <c r="E4189" s="421">
        <v>55</v>
      </c>
      <c r="F4189" s="580"/>
      <c r="G4189" s="417" t="s">
        <v>2778</v>
      </c>
      <c r="H4189" s="598">
        <v>14320853</v>
      </c>
      <c r="I4189" s="322" t="s">
        <v>2777</v>
      </c>
      <c r="J4189" s="418"/>
      <c r="K4189" s="248"/>
      <c r="M4189" s="366"/>
    </row>
    <row r="4190" spans="1:13" x14ac:dyDescent="0.25">
      <c r="A4190" s="308">
        <v>45765</v>
      </c>
      <c r="B4190" s="416">
        <v>1271790</v>
      </c>
      <c r="C4190" s="413" t="str">
        <f>IFERROR(INDEX(Table14[],MATCH($B4190,Table14[SAPNo],0),3),"")</f>
        <v xml:space="preserve">1613 CT170 18-60 </v>
      </c>
      <c r="D4190" s="420" t="s">
        <v>12</v>
      </c>
      <c r="E4190" s="421">
        <v>1</v>
      </c>
      <c r="F4190" s="580"/>
      <c r="G4190" s="417" t="s">
        <v>2772</v>
      </c>
      <c r="H4190" s="598" t="s">
        <v>2773</v>
      </c>
      <c r="I4190" s="322" t="s">
        <v>2136</v>
      </c>
      <c r="J4190" s="418"/>
      <c r="K4190" s="248"/>
      <c r="M4190" s="366"/>
    </row>
    <row r="4191" spans="1:13" x14ac:dyDescent="0.25">
      <c r="A4191" s="308">
        <v>45768</v>
      </c>
      <c r="B4191" s="416">
        <v>1146346</v>
      </c>
      <c r="C4191" s="413" t="str">
        <f>IFERROR(INDEX(Table14[],MATCH($B4191,Table14[SAPNo],0),3),"")</f>
        <v>1313 CT418 18-60</v>
      </c>
      <c r="D4191" s="420" t="s">
        <v>12</v>
      </c>
      <c r="E4191" s="421">
        <v>1</v>
      </c>
      <c r="F4191" s="580"/>
      <c r="G4191" s="417">
        <v>20251056</v>
      </c>
      <c r="H4191" s="598">
        <v>14228445</v>
      </c>
      <c r="I4191" s="322" t="s">
        <v>2779</v>
      </c>
      <c r="J4191" s="418"/>
      <c r="K4191" s="248"/>
      <c r="M4191" s="366"/>
    </row>
    <row r="4192" spans="1:13" x14ac:dyDescent="0.25">
      <c r="A4192" s="308">
        <v>45768</v>
      </c>
      <c r="B4192" s="416">
        <v>1293118</v>
      </c>
      <c r="C4192" s="413" t="str">
        <f>IFERROR(INDEX(Table14[],MATCH($B4192,Table14[SAPNo],0),3),"")</f>
        <v>0808 CT158NL 0.018"</v>
      </c>
      <c r="D4192" s="420" t="s">
        <v>12</v>
      </c>
      <c r="E4192" s="421">
        <v>10</v>
      </c>
      <c r="F4192" s="580"/>
      <c r="G4192" s="417" t="s">
        <v>2780</v>
      </c>
      <c r="H4192" s="598">
        <v>14336283</v>
      </c>
      <c r="I4192" s="322" t="s">
        <v>2522</v>
      </c>
      <c r="J4192" s="418"/>
      <c r="K4192" s="248"/>
      <c r="M4192" s="366"/>
    </row>
    <row r="4193" spans="1:13" x14ac:dyDescent="0.25">
      <c r="A4193" s="308">
        <v>45768</v>
      </c>
      <c r="B4193" s="416">
        <v>773384</v>
      </c>
      <c r="C4193" s="413" t="str">
        <f>IFERROR(INDEX(Table14[],MATCH($B4193,Table14[SAPNo],0),3),"")</f>
        <v>Round 1005 CT200  0.018" (B)</v>
      </c>
      <c r="D4193" s="420" t="s">
        <v>12</v>
      </c>
      <c r="E4193" s="421">
        <v>10</v>
      </c>
      <c r="F4193" s="580"/>
      <c r="G4193" s="417" t="s">
        <v>2780</v>
      </c>
      <c r="H4193" s="598">
        <v>14336283</v>
      </c>
      <c r="I4193" s="322" t="s">
        <v>2522</v>
      </c>
      <c r="J4193" s="418"/>
      <c r="K4193" s="248"/>
      <c r="M4193" s="366"/>
    </row>
    <row r="4194" spans="1:13" x14ac:dyDescent="0.25">
      <c r="A4194" s="308">
        <v>45768</v>
      </c>
      <c r="B4194" s="416">
        <v>717748</v>
      </c>
      <c r="C4194" s="413" t="str">
        <f>IFERROR(INDEX(Table14[],MATCH($B4194,Table14[SAPNo],0),3),"")</f>
        <v>Round 1010 CT200  0.018" (B)</v>
      </c>
      <c r="D4194" s="420" t="s">
        <v>12</v>
      </c>
      <c r="E4194" s="421">
        <v>23</v>
      </c>
      <c r="F4194" s="580"/>
      <c r="G4194" s="417" t="s">
        <v>2780</v>
      </c>
      <c r="H4194" s="598">
        <v>14336283</v>
      </c>
      <c r="I4194" s="322" t="s">
        <v>2522</v>
      </c>
      <c r="J4194" s="418"/>
      <c r="K4194" s="248"/>
      <c r="M4194" s="366"/>
    </row>
    <row r="4195" spans="1:13" x14ac:dyDescent="0.25">
      <c r="A4195" s="308">
        <v>45768</v>
      </c>
      <c r="B4195" s="416">
        <v>717748</v>
      </c>
      <c r="C4195" s="413" t="str">
        <f>IFERROR(INDEX(Table14[],MATCH($B4195,Table14[SAPNo],0),3),"")</f>
        <v>Round 1010 CT200  0.018" (B)</v>
      </c>
      <c r="D4195" s="420" t="s">
        <v>12</v>
      </c>
      <c r="E4195" s="421">
        <v>19</v>
      </c>
      <c r="F4195" s="580"/>
      <c r="G4195" s="417" t="s">
        <v>2781</v>
      </c>
      <c r="H4195" s="598">
        <v>14320851</v>
      </c>
      <c r="I4195" s="322" t="s">
        <v>2362</v>
      </c>
      <c r="J4195" s="418"/>
      <c r="K4195" s="248"/>
      <c r="M4195" s="366"/>
    </row>
    <row r="4196" spans="1:13" x14ac:dyDescent="0.25">
      <c r="A4196" s="308">
        <v>45768</v>
      </c>
      <c r="B4196" s="416">
        <v>717748</v>
      </c>
      <c r="C4196" s="413" t="str">
        <f>IFERROR(INDEX(Table14[],MATCH($B4196,Table14[SAPNo],0),3),"")</f>
        <v>Round 1010 CT200  0.018" (B)</v>
      </c>
      <c r="D4196" s="420" t="s">
        <v>12</v>
      </c>
      <c r="E4196" s="421">
        <v>1</v>
      </c>
      <c r="F4196" s="580"/>
      <c r="G4196" s="417" t="s">
        <v>2782</v>
      </c>
      <c r="H4196" s="598" t="s">
        <v>2783</v>
      </c>
      <c r="I4196" s="322" t="s">
        <v>2362</v>
      </c>
      <c r="J4196" s="418"/>
      <c r="K4196" s="248"/>
      <c r="M4196" s="366"/>
    </row>
    <row r="4197" spans="1:13" x14ac:dyDescent="0.25">
      <c r="A4197" s="308">
        <v>45768</v>
      </c>
      <c r="B4197" s="416">
        <v>717748</v>
      </c>
      <c r="C4197" s="413" t="str">
        <f>IFERROR(INDEX(Table14[],MATCH($B4197,Table14[SAPNo],0),3),"")</f>
        <v>Round 1010 CT200  0.018" (B)</v>
      </c>
      <c r="D4197" s="420" t="s">
        <v>12</v>
      </c>
      <c r="E4197" s="421">
        <v>9</v>
      </c>
      <c r="F4197" s="580"/>
      <c r="G4197" s="417" t="s">
        <v>2784</v>
      </c>
      <c r="H4197" s="598" t="s">
        <v>2785</v>
      </c>
      <c r="I4197" s="322" t="s">
        <v>1069</v>
      </c>
      <c r="J4197" s="418"/>
      <c r="K4197" s="248"/>
      <c r="M4197" s="366"/>
    </row>
    <row r="4198" spans="1:13" x14ac:dyDescent="0.25">
      <c r="A4198" s="308">
        <v>45768</v>
      </c>
      <c r="B4198" s="416">
        <v>717748</v>
      </c>
      <c r="C4198" s="413" t="str">
        <f>IFERROR(INDEX(Table14[],MATCH($B4198,Table14[SAPNo],0),3),"")</f>
        <v>Round 1010 CT200  0.018" (B)</v>
      </c>
      <c r="D4198" s="420" t="s">
        <v>12</v>
      </c>
      <c r="E4198" s="421">
        <v>1</v>
      </c>
      <c r="F4198" s="580"/>
      <c r="G4198" s="417" t="s">
        <v>2786</v>
      </c>
      <c r="H4198" s="598">
        <v>14304768</v>
      </c>
      <c r="I4198" s="322" t="s">
        <v>2362</v>
      </c>
      <c r="J4198" s="418"/>
      <c r="K4198" s="248"/>
      <c r="M4198" s="366"/>
    </row>
    <row r="4199" spans="1:13" x14ac:dyDescent="0.25">
      <c r="A4199" s="308">
        <v>45769</v>
      </c>
      <c r="B4199" s="416">
        <v>1146346</v>
      </c>
      <c r="C4199" s="413" t="str">
        <f>IFERROR(INDEX(Table14[],MATCH($B4199,Table14[SAPNo],0),3),"")</f>
        <v>1313 CT418 18-60</v>
      </c>
      <c r="D4199" s="420" t="s">
        <v>12</v>
      </c>
      <c r="E4199" s="421">
        <v>1</v>
      </c>
      <c r="F4199" s="580"/>
      <c r="G4199" s="417">
        <v>20251054</v>
      </c>
      <c r="H4199" s="598" t="s">
        <v>2787</v>
      </c>
      <c r="I4199" s="322" t="s">
        <v>1781</v>
      </c>
      <c r="J4199" s="418"/>
      <c r="K4199" s="248"/>
      <c r="M4199" s="366"/>
    </row>
    <row r="4200" spans="1:13" x14ac:dyDescent="0.25">
      <c r="A4200" s="320">
        <v>45769</v>
      </c>
      <c r="B4200" s="419">
        <v>1146346</v>
      </c>
      <c r="C4200" s="413" t="str">
        <f>IFERROR(INDEX(Table14[],MATCH($B4200,Table14[SAPNo],0),3),"")</f>
        <v>1313 CT418 18-60</v>
      </c>
      <c r="D4200" s="420" t="s">
        <v>12</v>
      </c>
      <c r="E4200" s="421">
        <v>6</v>
      </c>
      <c r="F4200" s="580"/>
      <c r="G4200" s="420">
        <v>20251055</v>
      </c>
      <c r="H4200" s="599" t="s">
        <v>2788</v>
      </c>
      <c r="I4200" s="322" t="s">
        <v>2449</v>
      </c>
      <c r="J4200" s="421"/>
      <c r="K4200" s="422"/>
      <c r="M4200" s="366"/>
    </row>
    <row r="4201" spans="1:13" x14ac:dyDescent="0.25">
      <c r="A4201" s="308">
        <v>45770</v>
      </c>
      <c r="B4201" s="416">
        <v>1078377</v>
      </c>
      <c r="C4201" s="413" t="str">
        <f>IFERROR(INDEX(Table14[],MATCH($B4201,Table14[SAPNo],0),3),"")</f>
        <v>13MM CT221 R1</v>
      </c>
      <c r="D4201" s="420" t="s">
        <v>12</v>
      </c>
      <c r="E4201" s="421"/>
      <c r="F4201" s="421">
        <v>72</v>
      </c>
      <c r="G4201" s="417" t="s">
        <v>2513</v>
      </c>
      <c r="H4201" s="598"/>
      <c r="I4201" s="322"/>
      <c r="J4201" s="418" t="s">
        <v>1002</v>
      </c>
      <c r="K4201" s="248"/>
      <c r="M4201" s="422"/>
    </row>
    <row r="4202" spans="1:13" x14ac:dyDescent="0.25">
      <c r="A4202" s="308">
        <v>45770</v>
      </c>
      <c r="B4202" s="416">
        <v>1100739</v>
      </c>
      <c r="C4202" s="413" t="str">
        <f>IFERROR(INDEX(Table14[],MATCH($B4202,Table14[SAPNo],0),3),"")</f>
        <v>1608 CT418 0.018"</v>
      </c>
      <c r="D4202" s="420" t="s">
        <v>12</v>
      </c>
      <c r="E4202" s="421"/>
      <c r="F4202" s="580">
        <v>6</v>
      </c>
      <c r="G4202" s="417" t="s">
        <v>2513</v>
      </c>
      <c r="H4202" s="598"/>
      <c r="I4202" s="322"/>
      <c r="J4202" s="418" t="s">
        <v>1002</v>
      </c>
      <c r="K4202" s="248"/>
      <c r="M4202" s="366"/>
    </row>
    <row r="4203" spans="1:13" x14ac:dyDescent="0.25">
      <c r="A4203" s="308">
        <v>45770</v>
      </c>
      <c r="B4203" s="416">
        <v>1146737</v>
      </c>
      <c r="C4203" s="413" t="str">
        <f>IFERROR(INDEX(Table14[],MATCH($B4203,Table14[SAPNo],0),3),"")</f>
        <v>1613 CT418 18-60</v>
      </c>
      <c r="D4203" s="420" t="s">
        <v>12</v>
      </c>
      <c r="E4203" s="421"/>
      <c r="F4203" s="580">
        <v>95</v>
      </c>
      <c r="G4203" s="417" t="s">
        <v>2513</v>
      </c>
      <c r="H4203" s="598"/>
      <c r="I4203" s="322"/>
      <c r="J4203" s="418" t="s">
        <v>1002</v>
      </c>
      <c r="K4203" s="248"/>
      <c r="M4203" s="366"/>
    </row>
    <row r="4204" spans="1:13" x14ac:dyDescent="0.25">
      <c r="A4204" s="308">
        <v>45770</v>
      </c>
      <c r="B4204" s="416">
        <v>1208601</v>
      </c>
      <c r="C4204" s="413" t="str">
        <f>IFERROR(INDEX(Table14[],MATCH($B4204,Table14[SAPNo],0),3),"")</f>
        <v>1613 CT418 U-60</v>
      </c>
      <c r="D4204" s="420" t="s">
        <v>12</v>
      </c>
      <c r="E4204" s="421"/>
      <c r="F4204" s="580">
        <v>120</v>
      </c>
      <c r="G4204" s="417" t="s">
        <v>2513</v>
      </c>
      <c r="H4204" s="598"/>
      <c r="I4204" s="322"/>
      <c r="J4204" s="418" t="s">
        <v>1002</v>
      </c>
      <c r="K4204" s="248"/>
      <c r="M4204" s="366"/>
    </row>
    <row r="4205" spans="1:13" x14ac:dyDescent="0.25">
      <c r="A4205" s="308">
        <v>45770</v>
      </c>
      <c r="B4205" s="416">
        <v>1228501</v>
      </c>
      <c r="C4205" s="413" t="str">
        <f>IFERROR(INDEX(Table14[],MATCH($B4205,Table14[SAPNo],0),3),"")</f>
        <v>1618 CT182 U-60 stator</v>
      </c>
      <c r="D4205" s="420" t="s">
        <v>12</v>
      </c>
      <c r="E4205" s="421"/>
      <c r="F4205" s="580">
        <v>50</v>
      </c>
      <c r="G4205" s="417" t="s">
        <v>2513</v>
      </c>
      <c r="H4205" s="598"/>
      <c r="I4205" s="322"/>
      <c r="J4205" s="418" t="s">
        <v>1002</v>
      </c>
      <c r="K4205" s="248"/>
      <c r="M4205" s="366"/>
    </row>
    <row r="4206" spans="1:13" x14ac:dyDescent="0.25">
      <c r="A4206" s="308">
        <v>45770</v>
      </c>
      <c r="B4206" s="416">
        <v>1228502</v>
      </c>
      <c r="C4206" s="413" t="str">
        <f>IFERROR(INDEX(Table14[],MATCH($B4206,Table14[SAPNo],0),3),"")</f>
        <v>1618 CT182 U-60 Rotor</v>
      </c>
      <c r="D4206" s="420" t="s">
        <v>12</v>
      </c>
      <c r="E4206" s="421"/>
      <c r="F4206" s="580">
        <v>50</v>
      </c>
      <c r="G4206" s="417" t="s">
        <v>2513</v>
      </c>
      <c r="H4206" s="598"/>
      <c r="I4206" s="322"/>
      <c r="J4206" s="418" t="s">
        <v>1002</v>
      </c>
      <c r="K4206" s="248"/>
      <c r="M4206" s="366"/>
    </row>
    <row r="4207" spans="1:13" x14ac:dyDescent="0.25">
      <c r="A4207" s="308">
        <v>45770</v>
      </c>
      <c r="B4207" s="416">
        <v>1228503</v>
      </c>
      <c r="C4207" s="413" t="str">
        <f>IFERROR(INDEX(Table14[],MATCH($B4207,Table14[SAPNo],0),3),"")</f>
        <v>1618 CT182 U-60 Ring</v>
      </c>
      <c r="D4207" s="420" t="s">
        <v>12</v>
      </c>
      <c r="E4207" s="421"/>
      <c r="F4207" s="580">
        <v>50</v>
      </c>
      <c r="G4207" s="417" t="s">
        <v>2513</v>
      </c>
      <c r="H4207" s="598"/>
      <c r="I4207" s="322"/>
      <c r="J4207" s="418" t="s">
        <v>1002</v>
      </c>
      <c r="K4207" s="248"/>
      <c r="M4207" s="366"/>
    </row>
    <row r="4208" spans="1:13" x14ac:dyDescent="0.25">
      <c r="A4208" s="308">
        <v>45770</v>
      </c>
      <c r="B4208" s="416">
        <v>1263929</v>
      </c>
      <c r="C4208" s="413" t="str">
        <f>IFERROR(INDEX(Table14[],MATCH($B4208,Table14[SAPNo],0),3),"")</f>
        <v>1613 CT437 18-60</v>
      </c>
      <c r="D4208" s="420" t="s">
        <v>12</v>
      </c>
      <c r="E4208" s="421"/>
      <c r="F4208" s="580">
        <v>100</v>
      </c>
      <c r="G4208" s="417" t="s">
        <v>2513</v>
      </c>
      <c r="H4208" s="598"/>
      <c r="I4208" s="322"/>
      <c r="J4208" s="418" t="s">
        <v>1002</v>
      </c>
      <c r="K4208" s="248"/>
      <c r="M4208" s="366"/>
    </row>
    <row r="4209" spans="1:13" x14ac:dyDescent="0.25">
      <c r="A4209" s="308">
        <v>45770</v>
      </c>
      <c r="B4209" s="416">
        <v>1282370</v>
      </c>
      <c r="C4209" s="413" t="str">
        <f>IFERROR(INDEX(Table14[],MATCH($B4209,Table14[SAPNo],0),3),"")</f>
        <v>1613 CT436Mv3 U-60</v>
      </c>
      <c r="D4209" s="420" t="s">
        <v>12</v>
      </c>
      <c r="E4209" s="421"/>
      <c r="F4209" s="580">
        <v>15</v>
      </c>
      <c r="G4209" s="417" t="s">
        <v>2513</v>
      </c>
      <c r="H4209" s="598"/>
      <c r="I4209" s="322"/>
      <c r="J4209" s="418" t="s">
        <v>1002</v>
      </c>
      <c r="K4209" s="248"/>
      <c r="M4209" s="366"/>
    </row>
    <row r="4210" spans="1:13" x14ac:dyDescent="0.25">
      <c r="A4210" s="308">
        <v>45770</v>
      </c>
      <c r="B4210" s="416">
        <v>1296685</v>
      </c>
      <c r="C4210" s="413" t="str">
        <f>IFERROR(INDEX(Table14[],MATCH($B4210,Table14[SAPNo],0),3),"")</f>
        <v>1613 CT179R U</v>
      </c>
      <c r="D4210" s="420" t="s">
        <v>12</v>
      </c>
      <c r="E4210" s="421"/>
      <c r="F4210" s="580">
        <v>40</v>
      </c>
      <c r="G4210" s="417" t="s">
        <v>2513</v>
      </c>
      <c r="H4210" s="598"/>
      <c r="I4210" s="322"/>
      <c r="J4210" s="418" t="s">
        <v>1002</v>
      </c>
      <c r="K4210" s="248"/>
      <c r="M4210" s="366"/>
    </row>
    <row r="4211" spans="1:13" x14ac:dyDescent="0.25">
      <c r="A4211" s="308">
        <v>45770</v>
      </c>
      <c r="B4211" s="416">
        <v>179734</v>
      </c>
      <c r="C4211" s="413" t="str">
        <f>IFERROR(INDEX(Table14[],MATCH($B4211,Table14[SAPNo],0),3),"")</f>
        <v>Long IPA 13    (C)</v>
      </c>
      <c r="D4211" s="420" t="s">
        <v>12</v>
      </c>
      <c r="E4211" s="421"/>
      <c r="F4211" s="580">
        <v>25</v>
      </c>
      <c r="G4211" s="417" t="s">
        <v>2513</v>
      </c>
      <c r="H4211" s="598"/>
      <c r="I4211" s="322"/>
      <c r="J4211" s="418" t="s">
        <v>1002</v>
      </c>
      <c r="K4211" s="248"/>
      <c r="M4211" s="366"/>
    </row>
    <row r="4212" spans="1:13" x14ac:dyDescent="0.25">
      <c r="A4212" s="308">
        <v>45770</v>
      </c>
      <c r="B4212" s="416">
        <v>2004484</v>
      </c>
      <c r="C4212" s="413" t="str">
        <f>IFERROR(INDEX(Table14[],MATCH($B4212,Table14[SAPNo],0),3),"")</f>
        <v>1308 CT187 U-60</v>
      </c>
      <c r="D4212" s="420" t="s">
        <v>12</v>
      </c>
      <c r="E4212" s="421"/>
      <c r="F4212" s="580">
        <v>18</v>
      </c>
      <c r="G4212" s="417" t="s">
        <v>2513</v>
      </c>
      <c r="H4212" s="598"/>
      <c r="I4212" s="322"/>
      <c r="J4212" s="418" t="s">
        <v>1002</v>
      </c>
      <c r="K4212" s="248"/>
      <c r="M4212" s="366"/>
    </row>
    <row r="4213" spans="1:13" x14ac:dyDescent="0.25">
      <c r="A4213" s="308">
        <v>45770</v>
      </c>
      <c r="B4213" s="416">
        <v>708306</v>
      </c>
      <c r="C4213" s="413" t="str">
        <f>IFERROR(INDEX(Table14[],MATCH($B4213,Table14[SAPNo],0),3),"")</f>
        <v>Round 1913 CT200  0.018" (B)</v>
      </c>
      <c r="D4213" s="420" t="s">
        <v>12</v>
      </c>
      <c r="E4213" s="421"/>
      <c r="F4213" s="580">
        <v>102</v>
      </c>
      <c r="G4213" s="417" t="s">
        <v>2513</v>
      </c>
      <c r="H4213" s="598"/>
      <c r="I4213" s="322"/>
      <c r="J4213" s="418" t="s">
        <v>1002</v>
      </c>
      <c r="K4213" s="248"/>
      <c r="M4213" s="366"/>
    </row>
    <row r="4214" spans="1:13" x14ac:dyDescent="0.25">
      <c r="A4214" s="320">
        <v>45770</v>
      </c>
      <c r="B4214" s="419">
        <v>871781</v>
      </c>
      <c r="C4214" s="413" t="str">
        <f>IFERROR(INDEX(Table14[],MATCH($B4214,Table14[SAPNo],0),3),"")</f>
        <v>Round 1313 CT200  0.018" (B)</v>
      </c>
      <c r="D4214" s="420" t="s">
        <v>12</v>
      </c>
      <c r="E4214" s="421"/>
      <c r="F4214" s="580">
        <v>80</v>
      </c>
      <c r="G4214" s="417" t="s">
        <v>2513</v>
      </c>
      <c r="H4214" s="599"/>
      <c r="I4214" s="322"/>
      <c r="J4214" s="421" t="s">
        <v>1002</v>
      </c>
      <c r="K4214" s="422"/>
      <c r="M4214" s="366"/>
    </row>
    <row r="4215" spans="1:13" x14ac:dyDescent="0.25">
      <c r="A4215" s="308">
        <v>45770</v>
      </c>
      <c r="B4215" s="416">
        <v>418525</v>
      </c>
      <c r="C4215" s="413" t="str">
        <f>IFERROR(INDEX(Table14[],MATCH($B4215,Table14[SAPNo],0),3),"")</f>
        <v>Drop In 1308 CT31   (B)</v>
      </c>
      <c r="D4215" s="420" t="s">
        <v>12</v>
      </c>
      <c r="E4215" s="421">
        <v>8</v>
      </c>
      <c r="F4215" s="421"/>
      <c r="G4215" s="417" t="s">
        <v>2789</v>
      </c>
      <c r="H4215" s="598">
        <v>14305487</v>
      </c>
      <c r="I4215" s="322" t="s">
        <v>1402</v>
      </c>
      <c r="J4215" s="418"/>
      <c r="K4215" s="248"/>
      <c r="M4215" s="422"/>
    </row>
    <row r="4216" spans="1:13" x14ac:dyDescent="0.25">
      <c r="A4216" s="308">
        <v>45770</v>
      </c>
      <c r="B4216" s="416">
        <v>1130198</v>
      </c>
      <c r="C4216" s="413" t="str">
        <f>IFERROR(INDEX(Table14[],MATCH($B4216,Table14[SAPNo],0),3),"")</f>
        <v>Round 1613 CT182  0.018" (S)</v>
      </c>
      <c r="D4216" s="420" t="s">
        <v>1072</v>
      </c>
      <c r="E4216" s="421">
        <v>147</v>
      </c>
      <c r="F4216" s="580"/>
      <c r="G4216" s="417" t="s">
        <v>2790</v>
      </c>
      <c r="H4216" s="598">
        <v>14305487</v>
      </c>
      <c r="I4216" s="322" t="s">
        <v>1402</v>
      </c>
      <c r="J4216" s="418"/>
      <c r="K4216" s="248"/>
      <c r="M4216" s="366"/>
    </row>
    <row r="4217" spans="1:13" x14ac:dyDescent="0.25">
      <c r="A4217" s="308">
        <v>45770</v>
      </c>
      <c r="B4217" s="416">
        <v>418525</v>
      </c>
      <c r="C4217" s="413" t="str">
        <f>IFERROR(INDEX(Table14[],MATCH($B4217,Table14[SAPNo],0),3),"")</f>
        <v>Drop In 1308 CT31   (B)</v>
      </c>
      <c r="D4217" s="420" t="s">
        <v>12</v>
      </c>
      <c r="E4217" s="421">
        <v>6</v>
      </c>
      <c r="F4217" s="580"/>
      <c r="G4217" s="417" t="s">
        <v>2791</v>
      </c>
      <c r="H4217" s="598" t="s">
        <v>2792</v>
      </c>
      <c r="I4217" s="322" t="s">
        <v>2136</v>
      </c>
      <c r="J4217" s="418"/>
      <c r="K4217" s="248"/>
      <c r="M4217" s="366"/>
    </row>
    <row r="4218" spans="1:13" x14ac:dyDescent="0.25">
      <c r="A4218" s="308">
        <v>45770</v>
      </c>
      <c r="B4218" s="416">
        <v>1146737</v>
      </c>
      <c r="C4218" s="413" t="str">
        <f>IFERROR(INDEX(Table14[],MATCH($B4218,Table14[SAPNo],0),3),"")</f>
        <v>1613 CT418 18-60</v>
      </c>
      <c r="D4218" s="420" t="s">
        <v>12</v>
      </c>
      <c r="E4218" s="421">
        <v>6</v>
      </c>
      <c r="F4218" s="580"/>
      <c r="G4218" s="417" t="s">
        <v>2791</v>
      </c>
      <c r="H4218" s="598" t="s">
        <v>2792</v>
      </c>
      <c r="I4218" s="322" t="s">
        <v>2136</v>
      </c>
      <c r="J4218" s="418"/>
      <c r="K4218" s="248"/>
      <c r="M4218" s="366"/>
    </row>
    <row r="4219" spans="1:13" x14ac:dyDescent="0.25">
      <c r="A4219" s="308">
        <v>45770</v>
      </c>
      <c r="B4219" s="416">
        <v>418525</v>
      </c>
      <c r="C4219" s="413" t="str">
        <f>IFERROR(INDEX(Table14[],MATCH($B4219,Table14[SAPNo],0),3),"")</f>
        <v>Drop In 1308 CT31   (B)</v>
      </c>
      <c r="D4219" s="420" t="s">
        <v>12</v>
      </c>
      <c r="E4219" s="421">
        <v>4</v>
      </c>
      <c r="F4219" s="580"/>
      <c r="G4219" s="417" t="s">
        <v>2793</v>
      </c>
      <c r="H4219" s="598">
        <v>14340873</v>
      </c>
      <c r="I4219" s="322" t="s">
        <v>2136</v>
      </c>
      <c r="J4219" s="418"/>
      <c r="K4219" s="248"/>
      <c r="M4219" s="366"/>
    </row>
    <row r="4220" spans="1:13" x14ac:dyDescent="0.25">
      <c r="A4220" s="308">
        <v>45770</v>
      </c>
      <c r="B4220" s="416">
        <v>1146737</v>
      </c>
      <c r="C4220" s="413" t="str">
        <f>IFERROR(INDEX(Table14[],MATCH($B4220,Table14[SAPNo],0),3),"")</f>
        <v>1613 CT418 18-60</v>
      </c>
      <c r="D4220" s="420" t="s">
        <v>12</v>
      </c>
      <c r="E4220" s="421">
        <v>6</v>
      </c>
      <c r="F4220" s="580"/>
      <c r="G4220" s="417" t="s">
        <v>2793</v>
      </c>
      <c r="H4220" s="598">
        <v>14340873</v>
      </c>
      <c r="I4220" s="322" t="s">
        <v>2136</v>
      </c>
      <c r="J4220" s="418"/>
      <c r="K4220" s="248"/>
      <c r="M4220" s="366"/>
    </row>
    <row r="4221" spans="1:13" x14ac:dyDescent="0.25">
      <c r="A4221" s="308">
        <v>45771</v>
      </c>
      <c r="B4221" s="416">
        <v>418525</v>
      </c>
      <c r="C4221" s="413" t="str">
        <f>IFERROR(INDEX(Table14[],MATCH($B4221,Table14[SAPNo],0),3),"")</f>
        <v>Drop In 1308 CT31   (B)</v>
      </c>
      <c r="D4221" s="420" t="s">
        <v>12</v>
      </c>
      <c r="E4221" s="421">
        <v>6</v>
      </c>
      <c r="F4221" s="580"/>
      <c r="G4221" s="417" t="s">
        <v>2794</v>
      </c>
      <c r="H4221" s="598">
        <v>14353149</v>
      </c>
      <c r="I4221" s="322" t="s">
        <v>2555</v>
      </c>
      <c r="J4221" s="418"/>
      <c r="K4221" s="248"/>
      <c r="M4221" s="366"/>
    </row>
    <row r="4222" spans="1:13" x14ac:dyDescent="0.25">
      <c r="A4222" s="308">
        <v>45771</v>
      </c>
      <c r="B4222" s="416">
        <v>1288783</v>
      </c>
      <c r="C4222" s="413" t="str">
        <f>IFERROR(INDEX(Table14[],MATCH($B4222,Table14[SAPNo],0),3),"")</f>
        <v>1613 CT179 18-60</v>
      </c>
      <c r="D4222" s="420" t="s">
        <v>12</v>
      </c>
      <c r="E4222" s="421">
        <v>17</v>
      </c>
      <c r="F4222" s="580"/>
      <c r="G4222" s="417" t="s">
        <v>2794</v>
      </c>
      <c r="H4222" s="598">
        <v>14353149</v>
      </c>
      <c r="I4222" s="322" t="s">
        <v>2555</v>
      </c>
      <c r="J4222" s="418"/>
      <c r="K4222" s="248"/>
      <c r="M4222" s="366"/>
    </row>
    <row r="4223" spans="1:13" x14ac:dyDescent="0.25">
      <c r="A4223" s="308">
        <v>45771</v>
      </c>
      <c r="B4223" s="416">
        <v>1208601</v>
      </c>
      <c r="C4223" s="413" t="str">
        <f>IFERROR(INDEX(Table14[],MATCH($B4223,Table14[SAPNo],0),3),"")</f>
        <v>1613 CT418 U-60</v>
      </c>
      <c r="D4223" s="420" t="s">
        <v>12</v>
      </c>
      <c r="E4223" s="421">
        <v>8</v>
      </c>
      <c r="F4223" s="580"/>
      <c r="G4223" s="417" t="s">
        <v>2794</v>
      </c>
      <c r="H4223" s="598">
        <v>14353149</v>
      </c>
      <c r="I4223" s="322" t="s">
        <v>2555</v>
      </c>
      <c r="J4223" s="418"/>
      <c r="K4223" s="248"/>
      <c r="M4223" s="366"/>
    </row>
    <row r="4224" spans="1:13" x14ac:dyDescent="0.25">
      <c r="A4224" s="308">
        <v>45771</v>
      </c>
      <c r="B4224" s="416">
        <v>1146737</v>
      </c>
      <c r="C4224" s="413" t="str">
        <f>IFERROR(INDEX(Table14[],MATCH($B4224,Table14[SAPNo],0),3),"")</f>
        <v>1613 CT418 18-60</v>
      </c>
      <c r="D4224" s="420" t="s">
        <v>12</v>
      </c>
      <c r="E4224" s="421">
        <v>6</v>
      </c>
      <c r="F4224" s="580"/>
      <c r="G4224" s="417" t="s">
        <v>2794</v>
      </c>
      <c r="H4224" s="598">
        <v>14353149</v>
      </c>
      <c r="I4224" s="322" t="s">
        <v>2555</v>
      </c>
      <c r="J4224" s="418"/>
      <c r="K4224" s="248"/>
      <c r="M4224" s="366"/>
    </row>
    <row r="4225" spans="1:13" x14ac:dyDescent="0.25">
      <c r="A4225" s="320">
        <v>45771</v>
      </c>
      <c r="B4225" s="419">
        <v>1078377</v>
      </c>
      <c r="C4225" s="413" t="str">
        <f>IFERROR(INDEX(Table14[],MATCH($B4225,Table14[SAPNo],0),3),"")</f>
        <v>13MM CT221 R1</v>
      </c>
      <c r="D4225" s="420" t="s">
        <v>12</v>
      </c>
      <c r="E4225" s="421">
        <v>15</v>
      </c>
      <c r="F4225" s="580"/>
      <c r="G4225" s="420" t="s">
        <v>2794</v>
      </c>
      <c r="H4225" s="599">
        <v>14353149</v>
      </c>
      <c r="I4225" s="322" t="s">
        <v>2555</v>
      </c>
      <c r="J4225" s="421"/>
      <c r="K4225" s="422"/>
      <c r="M4225" s="366"/>
    </row>
    <row r="4226" spans="1:13" x14ac:dyDescent="0.25">
      <c r="A4226" s="320">
        <v>45771</v>
      </c>
      <c r="B4226" s="419">
        <v>717748</v>
      </c>
      <c r="C4226" s="413" t="str">
        <f>IFERROR(INDEX(Table14[],MATCH($B4226,Table14[SAPNo],0),3),"")</f>
        <v>Round 1010 CT200  0.018" (B)</v>
      </c>
      <c r="D4226" s="420" t="s">
        <v>12</v>
      </c>
      <c r="E4226" s="421">
        <v>6</v>
      </c>
      <c r="F4226" s="421"/>
      <c r="G4226" s="417">
        <v>20251058</v>
      </c>
      <c r="H4226" s="599" t="s">
        <v>2795</v>
      </c>
      <c r="I4226" s="322" t="s">
        <v>1069</v>
      </c>
      <c r="J4226" s="421"/>
      <c r="K4226" s="422"/>
      <c r="M4226" s="422"/>
    </row>
    <row r="4227" spans="1:13" x14ac:dyDescent="0.25">
      <c r="A4227" s="308">
        <v>45771</v>
      </c>
      <c r="B4227" s="416">
        <v>871781</v>
      </c>
      <c r="C4227" s="413" t="str">
        <f>IFERROR(INDEX(Table14[],MATCH($B4227,Table14[SAPNo],0),3),"")</f>
        <v>Round 1313 CT200  0.018" (B)</v>
      </c>
      <c r="D4227" s="420" t="s">
        <v>12</v>
      </c>
      <c r="E4227" s="421">
        <v>3</v>
      </c>
      <c r="F4227" s="421"/>
      <c r="G4227" s="417" t="s">
        <v>2796</v>
      </c>
      <c r="H4227" s="598">
        <v>14336417</v>
      </c>
      <c r="I4227" s="322" t="s">
        <v>2714</v>
      </c>
      <c r="J4227" s="418"/>
      <c r="K4227" s="248"/>
      <c r="M4227" s="422"/>
    </row>
    <row r="4228" spans="1:13" x14ac:dyDescent="0.25">
      <c r="A4228" s="308">
        <v>45771</v>
      </c>
      <c r="B4228" s="416">
        <v>2001060</v>
      </c>
      <c r="C4228" s="413" t="str">
        <f>IFERROR(INDEX(Table14[],MATCH($B4228,Table14[SAPNo],0),3),"")</f>
        <v>1613 CT179T U-60</v>
      </c>
      <c r="D4228" s="420" t="s">
        <v>12</v>
      </c>
      <c r="E4228" s="421">
        <v>1</v>
      </c>
      <c r="F4228" s="580"/>
      <c r="G4228" s="417" t="s">
        <v>2796</v>
      </c>
      <c r="H4228" s="598">
        <v>14336417</v>
      </c>
      <c r="I4228" s="322" t="s">
        <v>2714</v>
      </c>
      <c r="J4228" s="418"/>
      <c r="K4228" s="248"/>
      <c r="M4228" s="366"/>
    </row>
    <row r="4229" spans="1:13" x14ac:dyDescent="0.25">
      <c r="A4229" s="308">
        <v>45771</v>
      </c>
      <c r="B4229" s="416">
        <v>1146737</v>
      </c>
      <c r="C4229" s="413" t="str">
        <f>IFERROR(INDEX(Table14[],MATCH($B4229,Table14[SAPNo],0),3),"")</f>
        <v>1613 CT418 18-60</v>
      </c>
      <c r="D4229" s="420" t="s">
        <v>12</v>
      </c>
      <c r="E4229" s="421">
        <v>1</v>
      </c>
      <c r="F4229" s="580"/>
      <c r="G4229" s="417" t="s">
        <v>2796</v>
      </c>
      <c r="H4229" s="598">
        <v>14336417</v>
      </c>
      <c r="I4229" s="322" t="s">
        <v>2714</v>
      </c>
      <c r="J4229" s="418"/>
      <c r="K4229" s="248"/>
      <c r="M4229" s="366"/>
    </row>
    <row r="4230" spans="1:13" x14ac:dyDescent="0.25">
      <c r="A4230" s="320">
        <v>45771</v>
      </c>
      <c r="B4230" s="419">
        <v>1146346</v>
      </c>
      <c r="C4230" s="413" t="str">
        <f>IFERROR(INDEX(Table14[],MATCH($B4230,Table14[SAPNo],0),3),"")</f>
        <v>1313 CT418 18-60</v>
      </c>
      <c r="D4230" s="420" t="s">
        <v>12</v>
      </c>
      <c r="E4230" s="421">
        <v>1</v>
      </c>
      <c r="F4230" s="580"/>
      <c r="G4230" s="420" t="s">
        <v>2796</v>
      </c>
      <c r="H4230" s="599">
        <v>14336417</v>
      </c>
      <c r="I4230" s="322" t="s">
        <v>2714</v>
      </c>
      <c r="J4230" s="421"/>
      <c r="K4230" s="422"/>
      <c r="M4230" s="366"/>
    </row>
    <row r="4231" spans="1:13" x14ac:dyDescent="0.25">
      <c r="A4231" s="308">
        <v>45772</v>
      </c>
      <c r="B4231" s="416">
        <v>2001060</v>
      </c>
      <c r="C4231" s="413" t="str">
        <f>IFERROR(INDEX(Table14[],MATCH($B4231,Table14[SAPNo],0),3),"")</f>
        <v>1613 CT179T U-60</v>
      </c>
      <c r="D4231" s="420" t="s">
        <v>12</v>
      </c>
      <c r="E4231" s="421">
        <v>1</v>
      </c>
      <c r="F4231" s="421"/>
      <c r="G4231" s="417" t="s">
        <v>2797</v>
      </c>
      <c r="H4231" s="598">
        <v>14346619</v>
      </c>
      <c r="I4231" s="322" t="s">
        <v>2798</v>
      </c>
      <c r="J4231" s="418"/>
      <c r="K4231" s="248"/>
      <c r="M4231" s="422"/>
    </row>
    <row r="4232" spans="1:13" x14ac:dyDescent="0.25">
      <c r="A4232" s="308">
        <v>45772</v>
      </c>
      <c r="B4232" s="416">
        <v>871781</v>
      </c>
      <c r="C4232" s="413" t="str">
        <f>IFERROR(INDEX(Table14[],MATCH($B4232,Table14[SAPNo],0),3),"")</f>
        <v>Round 1313 CT200  0.018" (B)</v>
      </c>
      <c r="D4232" s="420" t="s">
        <v>12</v>
      </c>
      <c r="E4232" s="421">
        <v>2</v>
      </c>
      <c r="F4232" s="580"/>
      <c r="G4232" s="417" t="s">
        <v>2797</v>
      </c>
      <c r="H4232" s="598">
        <v>14346619</v>
      </c>
      <c r="I4232" s="322" t="s">
        <v>2798</v>
      </c>
      <c r="J4232" s="418"/>
      <c r="K4232" s="248"/>
      <c r="M4232" s="366"/>
    </row>
    <row r="4233" spans="1:13" x14ac:dyDescent="0.25">
      <c r="A4233" s="308">
        <v>45772</v>
      </c>
      <c r="B4233" s="416">
        <v>1146737</v>
      </c>
      <c r="C4233" s="413" t="str">
        <f>IFERROR(INDEX(Table14[],MATCH($B4233,Table14[SAPNo],0),3),"")</f>
        <v>1613 CT418 18-60</v>
      </c>
      <c r="D4233" s="420" t="s">
        <v>12</v>
      </c>
      <c r="E4233" s="421">
        <v>2</v>
      </c>
      <c r="F4233" s="580"/>
      <c r="G4233" s="417" t="s">
        <v>2797</v>
      </c>
      <c r="H4233" s="598">
        <v>14346619</v>
      </c>
      <c r="I4233" s="322" t="s">
        <v>2798</v>
      </c>
      <c r="J4233" s="418"/>
      <c r="K4233" s="248"/>
      <c r="M4233" s="366"/>
    </row>
    <row r="4234" spans="1:13" x14ac:dyDescent="0.25">
      <c r="A4234" s="308">
        <v>45775</v>
      </c>
      <c r="B4234" s="416">
        <v>1146346</v>
      </c>
      <c r="C4234" s="413" t="str">
        <f>IFERROR(INDEX(Table14[],MATCH($B4234,Table14[SAPNo],0),3),"")</f>
        <v>1313 CT418 18-60</v>
      </c>
      <c r="D4234" s="420" t="s">
        <v>12</v>
      </c>
      <c r="E4234" s="421">
        <v>1</v>
      </c>
      <c r="F4234" s="580"/>
      <c r="G4234" s="417">
        <v>20251060</v>
      </c>
      <c r="H4234" s="598">
        <v>14247163</v>
      </c>
      <c r="I4234" s="322" t="s">
        <v>2590</v>
      </c>
      <c r="J4234" s="418"/>
      <c r="K4234" s="248"/>
      <c r="M4234" s="366"/>
    </row>
    <row r="4235" spans="1:13" x14ac:dyDescent="0.25">
      <c r="A4235" s="308">
        <v>45775</v>
      </c>
      <c r="B4235" s="416">
        <v>1146346</v>
      </c>
      <c r="C4235" s="413" t="str">
        <f>IFERROR(INDEX(Table14[],MATCH($B4235,Table14[SAPNo],0),3),"")</f>
        <v>1313 CT418 18-60</v>
      </c>
      <c r="D4235" s="420" t="s">
        <v>12</v>
      </c>
      <c r="E4235" s="421">
        <v>5</v>
      </c>
      <c r="F4235" s="580"/>
      <c r="G4235" s="417">
        <v>20251061</v>
      </c>
      <c r="H4235" s="598" t="s">
        <v>2799</v>
      </c>
      <c r="I4235" s="322" t="s">
        <v>2648</v>
      </c>
      <c r="J4235" s="418"/>
      <c r="K4235" s="248"/>
      <c r="M4235" s="366"/>
    </row>
    <row r="4236" spans="1:13" x14ac:dyDescent="0.25">
      <c r="A4236" s="308">
        <v>45776</v>
      </c>
      <c r="B4236" s="416">
        <v>2001060</v>
      </c>
      <c r="C4236" s="413" t="str">
        <f>IFERROR(INDEX(Table14[],MATCH($B4236,Table14[SAPNo],0),3),"")</f>
        <v>1613 CT179T U-60</v>
      </c>
      <c r="D4236" s="420" t="s">
        <v>12</v>
      </c>
      <c r="E4236" s="421">
        <v>1</v>
      </c>
      <c r="F4236" s="580"/>
      <c r="G4236" s="417" t="s">
        <v>2806</v>
      </c>
      <c r="H4236" s="598">
        <v>14346619</v>
      </c>
      <c r="I4236" s="322" t="s">
        <v>2798</v>
      </c>
      <c r="J4236" s="418"/>
      <c r="K4236" s="248"/>
      <c r="M4236" s="366"/>
    </row>
    <row r="4237" spans="1:13" x14ac:dyDescent="0.25">
      <c r="A4237" s="308">
        <v>45776</v>
      </c>
      <c r="B4237" s="416">
        <v>1271790</v>
      </c>
      <c r="C4237" s="413" t="str">
        <f>IFERROR(INDEX(Table14[],MATCH($B4237,Table14[SAPNo],0),3),"")</f>
        <v xml:space="preserve">1613 CT170 18-60 </v>
      </c>
      <c r="D4237" s="420" t="s">
        <v>12</v>
      </c>
      <c r="E4237" s="421">
        <v>1</v>
      </c>
      <c r="F4237" s="580"/>
      <c r="G4237" s="417" t="s">
        <v>2807</v>
      </c>
      <c r="H4237" s="598" t="s">
        <v>2808</v>
      </c>
      <c r="I4237" s="322" t="s">
        <v>1273</v>
      </c>
      <c r="J4237" s="418"/>
      <c r="K4237" s="248"/>
      <c r="M4237" s="366"/>
    </row>
    <row r="4238" spans="1:13" x14ac:dyDescent="0.25">
      <c r="A4238" s="308">
        <v>45776</v>
      </c>
      <c r="B4238" s="416">
        <v>418525</v>
      </c>
      <c r="C4238" s="413" t="str">
        <f>IFERROR(INDEX(Table14[],MATCH($B4238,Table14[SAPNo],0),3),"")</f>
        <v>Drop In 1308 CT31   (B)</v>
      </c>
      <c r="D4238" s="420" t="s">
        <v>12</v>
      </c>
      <c r="E4238" s="421">
        <v>2</v>
      </c>
      <c r="F4238" s="580"/>
      <c r="G4238" s="417" t="s">
        <v>2807</v>
      </c>
      <c r="H4238" s="598" t="s">
        <v>2808</v>
      </c>
      <c r="I4238" s="322" t="s">
        <v>1273</v>
      </c>
      <c r="J4238" s="418"/>
      <c r="K4238" s="248"/>
      <c r="M4238" s="366"/>
    </row>
    <row r="4239" spans="1:13" x14ac:dyDescent="0.25">
      <c r="A4239" s="308">
        <v>45776</v>
      </c>
      <c r="B4239" s="416">
        <v>1078377</v>
      </c>
      <c r="C4239" s="413" t="str">
        <f>IFERROR(INDEX(Table14[],MATCH($B4239,Table14[SAPNo],0),3),"")</f>
        <v>13MM CT221 R1</v>
      </c>
      <c r="D4239" s="420" t="s">
        <v>12</v>
      </c>
      <c r="E4239" s="421">
        <v>5</v>
      </c>
      <c r="F4239" s="580"/>
      <c r="G4239" s="417" t="s">
        <v>2807</v>
      </c>
      <c r="H4239" s="598" t="s">
        <v>2808</v>
      </c>
      <c r="I4239" s="322" t="s">
        <v>1273</v>
      </c>
      <c r="J4239" s="418"/>
      <c r="K4239" s="248"/>
      <c r="M4239" s="366"/>
    </row>
    <row r="4240" spans="1:13" x14ac:dyDescent="0.25">
      <c r="A4240" s="308">
        <v>45776</v>
      </c>
      <c r="B4240" s="416">
        <v>1146737</v>
      </c>
      <c r="C4240" s="413" t="str">
        <f>IFERROR(INDEX(Table14[],MATCH($B4240,Table14[SAPNo],0),3),"")</f>
        <v>1613 CT418 18-60</v>
      </c>
      <c r="D4240" s="420" t="s">
        <v>12</v>
      </c>
      <c r="E4240" s="421">
        <v>6</v>
      </c>
      <c r="F4240" s="580"/>
      <c r="G4240" s="417" t="s">
        <v>2807</v>
      </c>
      <c r="H4240" s="598" t="s">
        <v>2808</v>
      </c>
      <c r="I4240" s="322" t="s">
        <v>1273</v>
      </c>
      <c r="J4240" s="418"/>
      <c r="K4240" s="248"/>
      <c r="M4240" s="366"/>
    </row>
    <row r="4241" spans="1:13" x14ac:dyDescent="0.25">
      <c r="A4241" s="308">
        <v>45775</v>
      </c>
      <c r="B4241" s="416">
        <v>418525</v>
      </c>
      <c r="C4241" s="413" t="str">
        <f>IFERROR(INDEX(Table14[],MATCH($B4241,Table14[SAPNo],0),3),"")</f>
        <v>Drop In 1308 CT31   (B)</v>
      </c>
      <c r="D4241" s="420" t="s">
        <v>12</v>
      </c>
      <c r="E4241" s="421">
        <v>6</v>
      </c>
      <c r="F4241" s="580"/>
      <c r="G4241" s="417" t="s">
        <v>2800</v>
      </c>
      <c r="H4241" s="598" t="s">
        <v>2801</v>
      </c>
      <c r="I4241" s="322" t="s">
        <v>2311</v>
      </c>
      <c r="J4241" s="418"/>
      <c r="K4241" s="248"/>
      <c r="M4241" s="366"/>
    </row>
    <row r="4242" spans="1:13" x14ac:dyDescent="0.25">
      <c r="A4242" s="308">
        <v>45775</v>
      </c>
      <c r="B4242" s="416">
        <v>1271790</v>
      </c>
      <c r="C4242" s="413" t="str">
        <f>IFERROR(INDEX(Table14[],MATCH($B4242,Table14[SAPNo],0),3),"")</f>
        <v xml:space="preserve">1613 CT170 18-60 </v>
      </c>
      <c r="D4242" s="420" t="s">
        <v>12</v>
      </c>
      <c r="E4242" s="421">
        <v>3</v>
      </c>
      <c r="F4242" s="580"/>
      <c r="G4242" s="417" t="s">
        <v>2800</v>
      </c>
      <c r="H4242" s="598" t="s">
        <v>2801</v>
      </c>
      <c r="I4242" s="322" t="s">
        <v>2311</v>
      </c>
      <c r="J4242" s="418"/>
      <c r="K4242" s="248"/>
      <c r="M4242" s="366"/>
    </row>
    <row r="4243" spans="1:13" x14ac:dyDescent="0.25">
      <c r="A4243" s="308">
        <v>45775</v>
      </c>
      <c r="B4243" s="416">
        <v>1146737</v>
      </c>
      <c r="C4243" s="413" t="str">
        <f>IFERROR(INDEX(Table14[],MATCH($B4243,Table14[SAPNo],0),3),"")</f>
        <v>1613 CT418 18-60</v>
      </c>
      <c r="D4243" s="420" t="s">
        <v>12</v>
      </c>
      <c r="E4243" s="421">
        <v>6</v>
      </c>
      <c r="F4243" s="580"/>
      <c r="G4243" s="417" t="s">
        <v>2800</v>
      </c>
      <c r="H4243" s="598" t="s">
        <v>2801</v>
      </c>
      <c r="I4243" s="322" t="s">
        <v>2311</v>
      </c>
      <c r="J4243" s="418"/>
      <c r="K4243" s="248"/>
      <c r="M4243" s="366"/>
    </row>
    <row r="4244" spans="1:13" x14ac:dyDescent="0.25">
      <c r="A4244" s="308">
        <v>45778</v>
      </c>
      <c r="B4244" s="416">
        <v>1271790</v>
      </c>
      <c r="C4244" s="413" t="str">
        <f>IFERROR(INDEX(Table14[],MATCH($B4244,Table14[SAPNo],0),3),"")</f>
        <v xml:space="preserve">1613 CT170 18-60 </v>
      </c>
      <c r="D4244" s="420" t="s">
        <v>12</v>
      </c>
      <c r="E4244" s="421">
        <v>2</v>
      </c>
      <c r="F4244" s="580"/>
      <c r="G4244" s="417" t="s">
        <v>2800</v>
      </c>
      <c r="H4244" s="598" t="s">
        <v>2801</v>
      </c>
      <c r="I4244" s="322" t="s">
        <v>2311</v>
      </c>
      <c r="J4244" s="418"/>
      <c r="K4244" s="248"/>
      <c r="M4244" s="366"/>
    </row>
    <row r="4245" spans="1:13" x14ac:dyDescent="0.25">
      <c r="A4245" s="308">
        <v>45776</v>
      </c>
      <c r="B4245" s="416">
        <v>1228503</v>
      </c>
      <c r="C4245" s="413" t="str">
        <f>IFERROR(INDEX(Table14[],MATCH($B4245,Table14[SAPNo],0),3),"")</f>
        <v>1618 CT182 U-60 Ring</v>
      </c>
      <c r="D4245" s="420" t="s">
        <v>12</v>
      </c>
      <c r="E4245" s="421">
        <v>14</v>
      </c>
      <c r="F4245" s="580"/>
      <c r="G4245" s="417" t="s">
        <v>2805</v>
      </c>
      <c r="H4245" s="598">
        <v>14273434</v>
      </c>
      <c r="I4245" s="322" t="s">
        <v>2752</v>
      </c>
      <c r="J4245" s="418"/>
      <c r="K4245" s="248"/>
      <c r="M4245" s="366"/>
    </row>
    <row r="4246" spans="1:13" x14ac:dyDescent="0.25">
      <c r="A4246" s="308">
        <v>45776</v>
      </c>
      <c r="B4246" s="416">
        <v>1100755</v>
      </c>
      <c r="C4246" s="413" t="str">
        <f>IFERROR(INDEX(Table14[],MATCH($B4246,Table14[SAPNo],0),3),"")</f>
        <v>Round 1613 CT421  0.018" (S)</v>
      </c>
      <c r="D4246" s="420" t="s">
        <v>12</v>
      </c>
      <c r="E4246" s="421">
        <v>7</v>
      </c>
      <c r="F4246" s="580"/>
      <c r="G4246" s="417" t="s">
        <v>2805</v>
      </c>
      <c r="H4246" s="598">
        <v>14273434</v>
      </c>
      <c r="I4246" s="322" t="s">
        <v>2752</v>
      </c>
      <c r="J4246" s="418"/>
      <c r="K4246" s="248"/>
      <c r="M4246" s="366"/>
    </row>
    <row r="4247" spans="1:13" x14ac:dyDescent="0.25">
      <c r="A4247" s="308">
        <v>45776</v>
      </c>
      <c r="B4247" s="416">
        <v>1201518</v>
      </c>
      <c r="C4247" s="413" t="str">
        <f>IFERROR(INDEX(Table14[],MATCH($B4247,Table14[SAPNo],0),3),"")</f>
        <v>12MM WC­MAT404 NA</v>
      </c>
      <c r="D4247" s="420" t="s">
        <v>12</v>
      </c>
      <c r="E4247" s="421">
        <v>3</v>
      </c>
      <c r="F4247" s="580"/>
      <c r="G4247" s="417" t="s">
        <v>2805</v>
      </c>
      <c r="H4247" s="598">
        <v>14273434</v>
      </c>
      <c r="I4247" s="322" t="s">
        <v>2752</v>
      </c>
      <c r="J4247" s="418"/>
      <c r="K4247" s="248"/>
      <c r="M4247" s="366"/>
    </row>
    <row r="4248" spans="1:13" x14ac:dyDescent="0.25">
      <c r="A4248" s="308">
        <v>45776</v>
      </c>
      <c r="B4248" s="416">
        <v>1228502</v>
      </c>
      <c r="C4248" s="413" t="str">
        <f>IFERROR(INDEX(Table14[],MATCH($B4248,Table14[SAPNo],0),3),"")</f>
        <v>1618 CT182 U-60 Rotor</v>
      </c>
      <c r="D4248" s="420" t="s">
        <v>12</v>
      </c>
      <c r="E4248" s="421">
        <v>14</v>
      </c>
      <c r="F4248" s="580"/>
      <c r="G4248" s="417" t="s">
        <v>2805</v>
      </c>
      <c r="H4248" s="598">
        <v>14273434</v>
      </c>
      <c r="I4248" s="322" t="s">
        <v>2752</v>
      </c>
      <c r="J4248" s="418"/>
      <c r="K4248" s="248"/>
      <c r="M4248" s="366"/>
    </row>
    <row r="4249" spans="1:13" x14ac:dyDescent="0.25">
      <c r="A4249" s="308">
        <v>45776</v>
      </c>
      <c r="B4249" s="416">
        <v>1255773</v>
      </c>
      <c r="C4249" s="413" t="str">
        <f>IFERROR(INDEX(Table14[],MATCH($B4249,Table14[SAPNo],0),3),"")</f>
        <v>1613 CT154 U­60</v>
      </c>
      <c r="D4249" s="420" t="s">
        <v>12</v>
      </c>
      <c r="E4249" s="421">
        <v>20</v>
      </c>
      <c r="F4249" s="580"/>
      <c r="G4249" s="417" t="s">
        <v>2805</v>
      </c>
      <c r="H4249" s="598">
        <v>14273434</v>
      </c>
      <c r="I4249" s="322" t="s">
        <v>2752</v>
      </c>
      <c r="J4249" s="418"/>
      <c r="K4249" s="248"/>
      <c r="M4249" s="366"/>
    </row>
    <row r="4250" spans="1:13" x14ac:dyDescent="0.25">
      <c r="A4250" s="308">
        <v>45776</v>
      </c>
      <c r="B4250" s="416">
        <v>1261319</v>
      </c>
      <c r="C4250" s="413" t="str">
        <f>IFERROR(INDEX(Table14[],MATCH($B4250,Table14[SAPNo],0),3),"")</f>
        <v>1308 CT155 U-60</v>
      </c>
      <c r="D4250" s="420" t="s">
        <v>12</v>
      </c>
      <c r="E4250" s="421">
        <v>22</v>
      </c>
      <c r="F4250" s="580"/>
      <c r="G4250" s="417" t="s">
        <v>2805</v>
      </c>
      <c r="H4250" s="598">
        <v>14273434</v>
      </c>
      <c r="I4250" s="322" t="s">
        <v>2752</v>
      </c>
      <c r="J4250" s="418"/>
      <c r="K4250" s="248"/>
      <c r="M4250" s="366"/>
    </row>
    <row r="4251" spans="1:13" x14ac:dyDescent="0.25">
      <c r="A4251" s="308">
        <v>45776</v>
      </c>
      <c r="B4251" s="416">
        <v>871781</v>
      </c>
      <c r="C4251" s="413" t="str">
        <f>IFERROR(INDEX(Table14[],MATCH($B4251,Table14[SAPNo],0),3),"")</f>
        <v>Round 1313 CT200  0.018" (B)</v>
      </c>
      <c r="D4251" s="420" t="s">
        <v>12</v>
      </c>
      <c r="E4251" s="421">
        <v>6</v>
      </c>
      <c r="F4251" s="580"/>
      <c r="G4251" s="417" t="s">
        <v>2805</v>
      </c>
      <c r="H4251" s="598">
        <v>14273434</v>
      </c>
      <c r="I4251" s="322" t="s">
        <v>2752</v>
      </c>
      <c r="J4251" s="418"/>
      <c r="K4251" s="248"/>
      <c r="M4251" s="366"/>
    </row>
    <row r="4252" spans="1:13" x14ac:dyDescent="0.25">
      <c r="A4252" s="308">
        <v>45776</v>
      </c>
      <c r="B4252" s="416">
        <v>1220554</v>
      </c>
      <c r="C4252" s="413" t="str">
        <f>IFERROR(INDEX(Table14[],MATCH($B4252,Table14[SAPNo],0),3),"")</f>
        <v xml:space="preserve">1618 CT182 U-60 Carbide </v>
      </c>
      <c r="D4252" s="420" t="s">
        <v>12</v>
      </c>
      <c r="E4252" s="421">
        <v>14</v>
      </c>
      <c r="F4252" s="580"/>
      <c r="G4252" s="417" t="s">
        <v>2805</v>
      </c>
      <c r="H4252" s="598">
        <v>14273434</v>
      </c>
      <c r="I4252" s="322" t="s">
        <v>2752</v>
      </c>
      <c r="J4252" s="418"/>
      <c r="K4252" s="248"/>
      <c r="M4252" s="366"/>
    </row>
    <row r="4253" spans="1:13" x14ac:dyDescent="0.25">
      <c r="A4253" s="308">
        <v>45776</v>
      </c>
      <c r="B4253" s="416">
        <v>1228501</v>
      </c>
      <c r="C4253" s="413" t="str">
        <f>IFERROR(INDEX(Table14[],MATCH($B4253,Table14[SAPNo],0),3),"")</f>
        <v>1618 CT182 U-60 stator</v>
      </c>
      <c r="D4253" s="420" t="s">
        <v>12</v>
      </c>
      <c r="E4253" s="421">
        <v>14</v>
      </c>
      <c r="F4253" s="580"/>
      <c r="G4253" s="417" t="s">
        <v>2805</v>
      </c>
      <c r="H4253" s="598">
        <v>14273434</v>
      </c>
      <c r="I4253" s="322" t="s">
        <v>2752</v>
      </c>
      <c r="J4253" s="418"/>
      <c r="K4253" s="248"/>
      <c r="M4253" s="366"/>
    </row>
    <row r="4254" spans="1:13" x14ac:dyDescent="0.25">
      <c r="A4254" s="308">
        <v>45775</v>
      </c>
      <c r="B4254" s="416">
        <v>1146737</v>
      </c>
      <c r="C4254" s="413" t="str">
        <f>IFERROR(INDEX(Table14[],MATCH($B4254,Table14[SAPNo],0),3),"")</f>
        <v>1613 CT418 18-60</v>
      </c>
      <c r="D4254" s="420" t="s">
        <v>12</v>
      </c>
      <c r="E4254" s="421">
        <v>6</v>
      </c>
      <c r="F4254" s="580"/>
      <c r="G4254" s="417" t="s">
        <v>2802</v>
      </c>
      <c r="H4254" s="598">
        <v>14340869</v>
      </c>
      <c r="I4254" s="322" t="s">
        <v>2311</v>
      </c>
      <c r="J4254" s="418"/>
      <c r="K4254" s="248"/>
      <c r="M4254" s="366"/>
    </row>
    <row r="4255" spans="1:13" x14ac:dyDescent="0.25">
      <c r="A4255" s="308">
        <v>45775</v>
      </c>
      <c r="B4255" s="416">
        <v>418525</v>
      </c>
      <c r="C4255" s="413" t="str">
        <f>IFERROR(INDEX(Table14[],MATCH($B4255,Table14[SAPNo],0),3),"")</f>
        <v>Drop In 1308 CT31   (B)</v>
      </c>
      <c r="D4255" s="420" t="s">
        <v>12</v>
      </c>
      <c r="E4255" s="421">
        <v>6</v>
      </c>
      <c r="F4255" s="580"/>
      <c r="G4255" s="417" t="s">
        <v>2802</v>
      </c>
      <c r="H4255" s="598">
        <v>14340869</v>
      </c>
      <c r="I4255" s="322" t="s">
        <v>2311</v>
      </c>
      <c r="J4255" s="418"/>
      <c r="K4255" s="248"/>
      <c r="M4255" s="366"/>
    </row>
    <row r="4256" spans="1:13" x14ac:dyDescent="0.25">
      <c r="A4256" s="308">
        <v>45775</v>
      </c>
      <c r="B4256" s="416">
        <v>1146737</v>
      </c>
      <c r="C4256" s="413" t="str">
        <f>IFERROR(INDEX(Table14[],MATCH($B4256,Table14[SAPNo],0),3),"")</f>
        <v>1613 CT418 18-60</v>
      </c>
      <c r="D4256" s="420" t="s">
        <v>12</v>
      </c>
      <c r="E4256" s="421">
        <v>6</v>
      </c>
      <c r="F4256" s="580"/>
      <c r="G4256" s="417" t="s">
        <v>2803</v>
      </c>
      <c r="H4256" s="598">
        <v>14204333</v>
      </c>
      <c r="I4256" s="322" t="s">
        <v>1273</v>
      </c>
      <c r="J4256" s="418"/>
      <c r="K4256" s="248"/>
      <c r="M4256" s="366"/>
    </row>
    <row r="4257" spans="1:13" x14ac:dyDescent="0.25">
      <c r="A4257" s="308">
        <v>45775</v>
      </c>
      <c r="B4257" s="416">
        <v>418525</v>
      </c>
      <c r="C4257" s="413" t="str">
        <f>IFERROR(INDEX(Table14[],MATCH($B4257,Table14[SAPNo],0),3),"")</f>
        <v>Drop In 1308 CT31   (B)</v>
      </c>
      <c r="D4257" s="420" t="s">
        <v>12</v>
      </c>
      <c r="E4257" s="421">
        <v>6</v>
      </c>
      <c r="F4257" s="580"/>
      <c r="G4257" s="417" t="s">
        <v>2804</v>
      </c>
      <c r="H4257" s="598">
        <v>14340868</v>
      </c>
      <c r="I4257" s="322" t="s">
        <v>2311</v>
      </c>
      <c r="J4257" s="418"/>
      <c r="K4257" s="248"/>
      <c r="M4257" s="366"/>
    </row>
    <row r="4258" spans="1:13" x14ac:dyDescent="0.25">
      <c r="A4258" s="308">
        <v>45775</v>
      </c>
      <c r="B4258" s="416">
        <v>1078377</v>
      </c>
      <c r="C4258" s="413" t="str">
        <f>IFERROR(INDEX(Table14[],MATCH($B4258,Table14[SAPNo],0),3),"")</f>
        <v>13MM CT221 R1</v>
      </c>
      <c r="D4258" s="420" t="s">
        <v>12</v>
      </c>
      <c r="E4258" s="421">
        <v>1</v>
      </c>
      <c r="F4258" s="580"/>
      <c r="G4258" s="417" t="s">
        <v>2804</v>
      </c>
      <c r="H4258" s="598">
        <v>14340868</v>
      </c>
      <c r="I4258" s="322" t="s">
        <v>2311</v>
      </c>
      <c r="J4258" s="418"/>
      <c r="K4258" s="248"/>
      <c r="M4258" s="366"/>
    </row>
    <row r="4259" spans="1:13" x14ac:dyDescent="0.25">
      <c r="A4259" s="308">
        <v>45774</v>
      </c>
      <c r="B4259" s="416">
        <v>1039064</v>
      </c>
      <c r="C4259" s="413" t="str">
        <f>IFERROR(INDEX(Table14[],MATCH($B4259,Table14[SAPNo],0),3),"")</f>
        <v>Round 1913 CT138 TSP V 0.018" (S)</v>
      </c>
      <c r="D4259" s="420" t="s">
        <v>12</v>
      </c>
      <c r="E4259" s="421"/>
      <c r="F4259" s="580">
        <v>7</v>
      </c>
      <c r="G4259" s="417" t="s">
        <v>2809</v>
      </c>
      <c r="H4259" s="598" t="s">
        <v>2675</v>
      </c>
      <c r="I4259" s="322" t="s">
        <v>2676</v>
      </c>
      <c r="J4259" s="418"/>
      <c r="K4259" s="248"/>
      <c r="M4259" s="366"/>
    </row>
    <row r="4260" spans="1:13" x14ac:dyDescent="0.25">
      <c r="A4260" s="308">
        <v>45774</v>
      </c>
      <c r="B4260" s="416">
        <v>1100759</v>
      </c>
      <c r="C4260" s="413" t="str">
        <f>IFERROR(INDEX(Table14[],MATCH($B4260,Table14[SAPNo],0),3),"")</f>
        <v>1913 CT421 0.018"</v>
      </c>
      <c r="D4260" s="420" t="s">
        <v>12</v>
      </c>
      <c r="E4260" s="421"/>
      <c r="F4260" s="580">
        <v>3</v>
      </c>
      <c r="G4260" s="417" t="s">
        <v>2809</v>
      </c>
      <c r="H4260" s="598" t="s">
        <v>2675</v>
      </c>
      <c r="I4260" s="322" t="s">
        <v>2676</v>
      </c>
      <c r="J4260" s="418"/>
      <c r="K4260" s="248"/>
      <c r="M4260" s="366"/>
    </row>
    <row r="4261" spans="1:13" x14ac:dyDescent="0.25">
      <c r="A4261" s="308">
        <v>45774</v>
      </c>
      <c r="B4261" s="416">
        <v>1130200</v>
      </c>
      <c r="C4261" s="413" t="str">
        <f>IFERROR(INDEX(Table14[],MATCH($B4261,Table14[SAPNo],0),3),"")</f>
        <v>Round 1913 CT182  0.018" (S)</v>
      </c>
      <c r="D4261" s="420" t="s">
        <v>12</v>
      </c>
      <c r="E4261" s="421"/>
      <c r="F4261" s="580">
        <v>1</v>
      </c>
      <c r="G4261" s="417" t="s">
        <v>2809</v>
      </c>
      <c r="H4261" s="598" t="s">
        <v>2675</v>
      </c>
      <c r="I4261" s="322" t="s">
        <v>2676</v>
      </c>
      <c r="J4261" s="418"/>
      <c r="K4261" s="248"/>
      <c r="M4261" s="366"/>
    </row>
    <row r="4262" spans="1:13" x14ac:dyDescent="0.25">
      <c r="A4262" s="308">
        <v>45774</v>
      </c>
      <c r="B4262" s="416">
        <v>418525</v>
      </c>
      <c r="C4262" s="413" t="str">
        <f>IFERROR(INDEX(Table14[],MATCH($B4262,Table14[SAPNo],0),3),"")</f>
        <v>Drop In 1308 CT31   (B)</v>
      </c>
      <c r="D4262" s="420" t="s">
        <v>12</v>
      </c>
      <c r="E4262" s="421"/>
      <c r="F4262" s="580">
        <v>3</v>
      </c>
      <c r="G4262" s="417" t="s">
        <v>2809</v>
      </c>
      <c r="H4262" s="598" t="s">
        <v>2675</v>
      </c>
      <c r="I4262" s="322" t="s">
        <v>2676</v>
      </c>
      <c r="J4262" s="418"/>
      <c r="K4262" s="248"/>
      <c r="M4262" s="366"/>
    </row>
    <row r="4263" spans="1:13" x14ac:dyDescent="0.25">
      <c r="A4263" s="308">
        <v>45774</v>
      </c>
      <c r="B4263" s="416">
        <v>729691</v>
      </c>
      <c r="C4263" s="413" t="str">
        <f>IFERROR(INDEX(Table14[],MATCH($B4263,Table14[SAPNo],0),3),"")</f>
        <v>Round 1613 CT82  0.018" (S)</v>
      </c>
      <c r="D4263" s="420" t="s">
        <v>8</v>
      </c>
      <c r="E4263" s="421"/>
      <c r="F4263" s="580">
        <v>2</v>
      </c>
      <c r="G4263" s="417" t="s">
        <v>2810</v>
      </c>
      <c r="H4263" s="598" t="s">
        <v>2675</v>
      </c>
      <c r="I4263" s="322" t="s">
        <v>2676</v>
      </c>
      <c r="J4263" s="418"/>
      <c r="K4263" s="248"/>
      <c r="M4263" s="366"/>
    </row>
    <row r="4264" spans="1:13" x14ac:dyDescent="0.25">
      <c r="A4264" s="308">
        <v>45774</v>
      </c>
      <c r="B4264" s="416">
        <v>745576</v>
      </c>
      <c r="C4264" s="413" t="str">
        <f>IFERROR(INDEX(Table14[],MATCH($B4264,Table14[SAPNo],0),3),"")</f>
        <v>Round 1913 CT82  0.018" (S)</v>
      </c>
      <c r="D4264" s="420" t="s">
        <v>8</v>
      </c>
      <c r="E4264" s="421"/>
      <c r="F4264" s="580">
        <v>13</v>
      </c>
      <c r="G4264" s="417" t="s">
        <v>2810</v>
      </c>
      <c r="H4264" s="598" t="s">
        <v>2675</v>
      </c>
      <c r="I4264" s="322" t="s">
        <v>2676</v>
      </c>
      <c r="J4264" s="418"/>
      <c r="K4264" s="248"/>
      <c r="M4264" s="366"/>
    </row>
    <row r="4265" spans="1:13" x14ac:dyDescent="0.25">
      <c r="A4265" s="320">
        <v>45774</v>
      </c>
      <c r="B4265" s="419">
        <v>983152</v>
      </c>
      <c r="C4265" s="413" t="str">
        <f>IFERROR(INDEX(Table14[],MATCH($B4265,Table14[SAPNo],0),3),"")</f>
        <v>Round 1913 CT216  0.018" (S)</v>
      </c>
      <c r="D4265" s="420" t="s">
        <v>12</v>
      </c>
      <c r="E4265" s="421"/>
      <c r="F4265" s="580">
        <v>14</v>
      </c>
      <c r="G4265" s="420" t="s">
        <v>2809</v>
      </c>
      <c r="H4265" s="599" t="s">
        <v>2675</v>
      </c>
      <c r="I4265" s="322" t="s">
        <v>2676</v>
      </c>
      <c r="J4265" s="421"/>
      <c r="K4265" s="422"/>
      <c r="M4265" s="366"/>
    </row>
    <row r="4266" spans="1:13" x14ac:dyDescent="0.25">
      <c r="A4266" s="308">
        <v>45782</v>
      </c>
      <c r="B4266" s="416">
        <v>717748</v>
      </c>
      <c r="C4266" s="413" t="str">
        <f>IFERROR(INDEX(Table14[],MATCH($B4266,Table14[SAPNo],0),3),"")</f>
        <v>Round 1010 CT200  0.018" (B)</v>
      </c>
      <c r="D4266" s="420" t="s">
        <v>12</v>
      </c>
      <c r="E4266" s="421">
        <v>1</v>
      </c>
      <c r="F4266" s="421"/>
      <c r="G4266" s="417">
        <v>20251062</v>
      </c>
      <c r="H4266" s="598" t="s">
        <v>2811</v>
      </c>
      <c r="I4266" s="322" t="s">
        <v>1069</v>
      </c>
      <c r="J4266" s="418"/>
      <c r="K4266" s="248"/>
      <c r="M4266" s="422"/>
    </row>
    <row r="4267" spans="1:13" x14ac:dyDescent="0.25">
      <c r="A4267" s="308">
        <v>45781</v>
      </c>
      <c r="B4267" s="416">
        <v>871781</v>
      </c>
      <c r="C4267" s="413" t="str">
        <f>IFERROR(INDEX(Table14[],MATCH($B4267,Table14[SAPNo],0),3),"")</f>
        <v>Round 1313 CT200  0.018" (B)</v>
      </c>
      <c r="D4267" s="420" t="s">
        <v>12</v>
      </c>
      <c r="E4267" s="421">
        <v>6</v>
      </c>
      <c r="F4267" s="580"/>
      <c r="G4267" s="417" t="s">
        <v>2812</v>
      </c>
      <c r="H4267" s="598">
        <v>14304776</v>
      </c>
      <c r="I4267" s="322" t="s">
        <v>2813</v>
      </c>
      <c r="J4267" s="418"/>
      <c r="K4267" s="248"/>
      <c r="M4267" s="366"/>
    </row>
    <row r="4268" spans="1:13" x14ac:dyDescent="0.25">
      <c r="A4268" s="308">
        <v>45781</v>
      </c>
      <c r="B4268" s="416">
        <v>647435</v>
      </c>
      <c r="C4268" s="413" t="str">
        <f>IFERROR(INDEX(Table14[],MATCH($B4268,Table14[SAPNo],0),3),"")</f>
        <v>Round 1608 CT200  0.018" (B)</v>
      </c>
      <c r="D4268" s="420" t="s">
        <v>12</v>
      </c>
      <c r="E4268" s="421">
        <v>23</v>
      </c>
      <c r="F4268" s="580"/>
      <c r="G4268" s="417" t="s">
        <v>2812</v>
      </c>
      <c r="H4268" s="598">
        <v>14304776</v>
      </c>
      <c r="I4268" s="322" t="s">
        <v>2813</v>
      </c>
      <c r="J4268" s="418"/>
      <c r="K4268" s="248"/>
      <c r="M4268" s="366"/>
    </row>
    <row r="4269" spans="1:13" x14ac:dyDescent="0.25">
      <c r="A4269" s="308">
        <v>45781</v>
      </c>
      <c r="B4269" s="416">
        <v>1255773</v>
      </c>
      <c r="C4269" s="413" t="str">
        <f>IFERROR(INDEX(Table14[],MATCH($B4269,Table14[SAPNo],0),3),"")</f>
        <v>1613 CT154 U­60</v>
      </c>
      <c r="D4269" s="420" t="s">
        <v>12</v>
      </c>
      <c r="E4269" s="421">
        <v>27</v>
      </c>
      <c r="F4269" s="580"/>
      <c r="G4269" s="417" t="s">
        <v>2812</v>
      </c>
      <c r="H4269" s="598">
        <v>14304776</v>
      </c>
      <c r="I4269" s="322" t="s">
        <v>2813</v>
      </c>
      <c r="J4269" s="418"/>
      <c r="K4269" s="248"/>
      <c r="M4269" s="366"/>
    </row>
    <row r="4270" spans="1:13" x14ac:dyDescent="0.25">
      <c r="A4270" s="308">
        <v>45781</v>
      </c>
      <c r="B4270" s="416">
        <v>1130198</v>
      </c>
      <c r="C4270" s="413" t="str">
        <f>IFERROR(INDEX(Table14[],MATCH($B4270,Table14[SAPNo],0),3),"")</f>
        <v>Round 1613 CT182  0.018" (S)</v>
      </c>
      <c r="D4270" s="420" t="s">
        <v>1072</v>
      </c>
      <c r="E4270" s="421">
        <v>6</v>
      </c>
      <c r="F4270" s="580"/>
      <c r="G4270" s="417" t="s">
        <v>2812</v>
      </c>
      <c r="H4270" s="598">
        <v>14304776</v>
      </c>
      <c r="I4270" s="322" t="s">
        <v>2813</v>
      </c>
      <c r="J4270" s="418"/>
      <c r="K4270" s="248"/>
      <c r="M4270" s="366"/>
    </row>
    <row r="4271" spans="1:13" x14ac:dyDescent="0.25">
      <c r="A4271" s="308">
        <v>45781</v>
      </c>
      <c r="B4271" s="416">
        <v>976348</v>
      </c>
      <c r="C4271" s="413" t="str">
        <f>IFERROR(INDEX(Table14[],MATCH($B4271,Table14[SAPNo],0),3),"")</f>
        <v>Round 1308 CR45 Test Cutter 10C (T)</v>
      </c>
      <c r="D4271" s="420" t="s">
        <v>12</v>
      </c>
      <c r="E4271" s="421">
        <v>20</v>
      </c>
      <c r="F4271" s="580"/>
      <c r="G4271" s="417" t="s">
        <v>2814</v>
      </c>
      <c r="H4271" s="598">
        <v>14273437</v>
      </c>
      <c r="I4271" s="322" t="s">
        <v>2752</v>
      </c>
      <c r="J4271" s="418"/>
      <c r="K4271" s="248"/>
      <c r="M4271" s="366"/>
    </row>
    <row r="4272" spans="1:13" x14ac:dyDescent="0.25">
      <c r="A4272" s="308">
        <v>45781</v>
      </c>
      <c r="B4272" s="416">
        <v>871781</v>
      </c>
      <c r="C4272" s="413" t="str">
        <f>IFERROR(INDEX(Table14[],MATCH($B4272,Table14[SAPNo],0),3),"")</f>
        <v>Round 1313 CT200  0.018" (B)</v>
      </c>
      <c r="D4272" s="420" t="s">
        <v>12</v>
      </c>
      <c r="E4272" s="421">
        <v>6</v>
      </c>
      <c r="F4272" s="580"/>
      <c r="G4272" s="417" t="s">
        <v>2814</v>
      </c>
      <c r="H4272" s="598">
        <v>14273437</v>
      </c>
      <c r="I4272" s="322" t="s">
        <v>2752</v>
      </c>
      <c r="J4272" s="418"/>
      <c r="K4272" s="248"/>
      <c r="M4272" s="366"/>
    </row>
    <row r="4273" spans="1:13" x14ac:dyDescent="0.25">
      <c r="A4273" s="308">
        <v>45781</v>
      </c>
      <c r="B4273" s="416">
        <v>1255773</v>
      </c>
      <c r="C4273" s="413" t="str">
        <f>IFERROR(INDEX(Table14[],MATCH($B4273,Table14[SAPNo],0),3),"")</f>
        <v>1613 CT154 U­60</v>
      </c>
      <c r="D4273" s="420" t="s">
        <v>12</v>
      </c>
      <c r="E4273" s="421">
        <v>20</v>
      </c>
      <c r="F4273" s="580"/>
      <c r="G4273" s="417" t="s">
        <v>2814</v>
      </c>
      <c r="H4273" s="598">
        <v>14273437</v>
      </c>
      <c r="I4273" s="322" t="s">
        <v>2752</v>
      </c>
      <c r="J4273" s="418"/>
      <c r="K4273" s="248"/>
      <c r="M4273" s="366"/>
    </row>
    <row r="4274" spans="1:13" x14ac:dyDescent="0.25">
      <c r="A4274" s="308">
        <v>45781</v>
      </c>
      <c r="B4274" s="416">
        <v>1228503</v>
      </c>
      <c r="C4274" s="413" t="str">
        <f>IFERROR(INDEX(Table14[],MATCH($B4274,Table14[SAPNo],0),3),"")</f>
        <v>1618 CT182 U-60 Ring</v>
      </c>
      <c r="D4274" s="420" t="s">
        <v>12</v>
      </c>
      <c r="E4274" s="421">
        <v>14</v>
      </c>
      <c r="F4274" s="580"/>
      <c r="G4274" s="417" t="s">
        <v>2814</v>
      </c>
      <c r="H4274" s="598">
        <v>14273437</v>
      </c>
      <c r="I4274" s="322" t="s">
        <v>2752</v>
      </c>
      <c r="J4274" s="418"/>
      <c r="K4274" s="248"/>
      <c r="M4274" s="366"/>
    </row>
    <row r="4275" spans="1:13" x14ac:dyDescent="0.25">
      <c r="A4275" s="308">
        <v>45781</v>
      </c>
      <c r="B4275" s="416">
        <v>1228502</v>
      </c>
      <c r="C4275" s="413" t="str">
        <f>IFERROR(INDEX(Table14[],MATCH($B4275,Table14[SAPNo],0),3),"")</f>
        <v>1618 CT182 U-60 Rotor</v>
      </c>
      <c r="D4275" s="420" t="s">
        <v>12</v>
      </c>
      <c r="E4275" s="421">
        <v>14</v>
      </c>
      <c r="F4275" s="580"/>
      <c r="G4275" s="417" t="s">
        <v>2814</v>
      </c>
      <c r="H4275" s="598">
        <v>14273437</v>
      </c>
      <c r="I4275" s="322" t="s">
        <v>2752</v>
      </c>
      <c r="J4275" s="418"/>
      <c r="K4275" s="248"/>
      <c r="M4275" s="366"/>
    </row>
    <row r="4276" spans="1:13" x14ac:dyDescent="0.25">
      <c r="A4276" s="308">
        <v>45781</v>
      </c>
      <c r="B4276" s="416">
        <v>1228501</v>
      </c>
      <c r="C4276" s="413" t="str">
        <f>IFERROR(INDEX(Table14[],MATCH($B4276,Table14[SAPNo],0),3),"")</f>
        <v>1618 CT182 U-60 stator</v>
      </c>
      <c r="D4276" s="420" t="s">
        <v>12</v>
      </c>
      <c r="E4276" s="421">
        <v>14</v>
      </c>
      <c r="F4276" s="580"/>
      <c r="G4276" s="417" t="s">
        <v>2814</v>
      </c>
      <c r="H4276" s="598">
        <v>14273437</v>
      </c>
      <c r="I4276" s="322" t="s">
        <v>2752</v>
      </c>
      <c r="J4276" s="418"/>
      <c r="K4276" s="248"/>
      <c r="M4276" s="366"/>
    </row>
    <row r="4277" spans="1:13" x14ac:dyDescent="0.25">
      <c r="A4277" s="308">
        <v>45781</v>
      </c>
      <c r="B4277" s="416">
        <v>1220554</v>
      </c>
      <c r="C4277" s="413" t="str">
        <f>IFERROR(INDEX(Table14[],MATCH($B4277,Table14[SAPNo],0),3),"")</f>
        <v xml:space="preserve">1618 CT182 U-60 Carbide </v>
      </c>
      <c r="D4277" s="420" t="s">
        <v>12</v>
      </c>
      <c r="E4277" s="421">
        <v>14</v>
      </c>
      <c r="F4277" s="580"/>
      <c r="G4277" s="417" t="s">
        <v>2814</v>
      </c>
      <c r="H4277" s="598">
        <v>14273437</v>
      </c>
      <c r="I4277" s="322" t="s">
        <v>2752</v>
      </c>
      <c r="J4277" s="418"/>
      <c r="K4277" s="248"/>
      <c r="M4277" s="366"/>
    </row>
    <row r="4278" spans="1:13" x14ac:dyDescent="0.25">
      <c r="A4278" s="308">
        <v>45781</v>
      </c>
      <c r="B4278" s="416">
        <v>1201518</v>
      </c>
      <c r="C4278" s="413" t="str">
        <f>IFERROR(INDEX(Table14[],MATCH($B4278,Table14[SAPNo],0),3),"")</f>
        <v>12MM WC­MAT404 NA</v>
      </c>
      <c r="D4278" s="420" t="s">
        <v>12</v>
      </c>
      <c r="E4278" s="421">
        <v>3</v>
      </c>
      <c r="F4278" s="580"/>
      <c r="G4278" s="417" t="s">
        <v>2814</v>
      </c>
      <c r="H4278" s="598">
        <v>14273437</v>
      </c>
      <c r="I4278" s="322" t="s">
        <v>2752</v>
      </c>
      <c r="J4278" s="418"/>
      <c r="K4278" s="248"/>
      <c r="M4278" s="366"/>
    </row>
    <row r="4279" spans="1:13" x14ac:dyDescent="0.25">
      <c r="A4279" s="308">
        <v>45781</v>
      </c>
      <c r="B4279" s="416">
        <v>1104743</v>
      </c>
      <c r="C4279" s="413" t="str">
        <f>IFERROR(INDEX(Table14[],MATCH($B4279,Table14[SAPNo],0),3),"")</f>
        <v>Round 1308 CR45  10C (T)</v>
      </c>
      <c r="D4279" s="420" t="s">
        <v>12</v>
      </c>
      <c r="E4279" s="421">
        <v>2</v>
      </c>
      <c r="F4279" s="580"/>
      <c r="G4279" s="417" t="s">
        <v>2814</v>
      </c>
      <c r="H4279" s="598">
        <v>14273437</v>
      </c>
      <c r="I4279" s="322" t="s">
        <v>2752</v>
      </c>
      <c r="J4279" s="418"/>
      <c r="K4279" s="248"/>
      <c r="M4279" s="366"/>
    </row>
    <row r="4280" spans="1:13" x14ac:dyDescent="0.25">
      <c r="A4280" s="308">
        <v>45781</v>
      </c>
      <c r="B4280" s="416">
        <v>1100755</v>
      </c>
      <c r="C4280" s="413" t="str">
        <f>IFERROR(INDEX(Table14[],MATCH($B4280,Table14[SAPNo],0),3),"")</f>
        <v>Round 1613 CT421  0.018" (S)</v>
      </c>
      <c r="D4280" s="420" t="s">
        <v>12</v>
      </c>
      <c r="E4280" s="421">
        <v>7</v>
      </c>
      <c r="F4280" s="580"/>
      <c r="G4280" s="417" t="s">
        <v>2814</v>
      </c>
      <c r="H4280" s="598">
        <v>14273437</v>
      </c>
      <c r="I4280" s="322" t="s">
        <v>2752</v>
      </c>
      <c r="J4280" s="418"/>
      <c r="K4280" s="248"/>
      <c r="M4280" s="366"/>
    </row>
    <row r="4281" spans="1:13" x14ac:dyDescent="0.25">
      <c r="A4281" s="320">
        <v>45775</v>
      </c>
      <c r="B4281" s="419">
        <v>1146737</v>
      </c>
      <c r="C4281" s="413" t="str">
        <f>IFERROR(INDEX(Table14[],MATCH($B4281,Table14[SAPNo],0),3),"")</f>
        <v>1613 CT418 18-60</v>
      </c>
      <c r="D4281" s="420" t="s">
        <v>12</v>
      </c>
      <c r="E4281" s="421">
        <v>6</v>
      </c>
      <c r="F4281" s="580"/>
      <c r="G4281" s="420" t="s">
        <v>2804</v>
      </c>
      <c r="H4281" s="599">
        <v>14340868</v>
      </c>
      <c r="I4281" s="322" t="s">
        <v>2311</v>
      </c>
      <c r="J4281" s="421"/>
      <c r="K4281" s="422"/>
      <c r="M4281" s="366"/>
    </row>
    <row r="4282" spans="1:13" x14ac:dyDescent="0.25">
      <c r="A4282" s="308">
        <v>45783</v>
      </c>
      <c r="B4282" s="416">
        <v>1288721</v>
      </c>
      <c r="C4282" s="413" t="str">
        <f>IFERROR(INDEX(Table14[],MATCH($B4282,Table14[SAPNo],0),3),"")</f>
        <v>1613 CT176 0.018</v>
      </c>
      <c r="D4282" s="420" t="s">
        <v>10</v>
      </c>
      <c r="E4282" s="421"/>
      <c r="F4282" s="421">
        <v>7</v>
      </c>
      <c r="G4282" s="420" t="s">
        <v>2815</v>
      </c>
      <c r="H4282" s="598" t="s">
        <v>2514</v>
      </c>
      <c r="I4282" s="322" t="s">
        <v>2514</v>
      </c>
      <c r="J4282" s="418"/>
      <c r="K4282" s="248"/>
      <c r="M4282" s="422"/>
    </row>
    <row r="4283" spans="1:13" x14ac:dyDescent="0.25">
      <c r="A4283" s="308">
        <v>45783</v>
      </c>
      <c r="B4283" s="416">
        <v>1208601</v>
      </c>
      <c r="C4283" s="413" t="str">
        <f>IFERROR(INDEX(Table14[],MATCH($B4283,Table14[SAPNo],0),3),"")</f>
        <v>1613 CT418 U-60</v>
      </c>
      <c r="D4283" s="420" t="s">
        <v>10</v>
      </c>
      <c r="E4283" s="421"/>
      <c r="F4283" s="580">
        <v>18</v>
      </c>
      <c r="G4283" s="420" t="s">
        <v>2815</v>
      </c>
      <c r="H4283" s="598" t="s">
        <v>2514</v>
      </c>
      <c r="I4283" s="322" t="s">
        <v>2514</v>
      </c>
      <c r="J4283" s="418"/>
      <c r="K4283" s="248"/>
      <c r="M4283" s="366"/>
    </row>
    <row r="4284" spans="1:13" x14ac:dyDescent="0.25">
      <c r="A4284" s="308">
        <v>45783</v>
      </c>
      <c r="B4284" s="416">
        <v>1271790</v>
      </c>
      <c r="C4284" s="413" t="str">
        <f>IFERROR(INDEX(Table14[],MATCH($B4284,Table14[SAPNo],0),3),"")</f>
        <v xml:space="preserve">1613 CT170 18-60 </v>
      </c>
      <c r="D4284" s="420" t="s">
        <v>10</v>
      </c>
      <c r="E4284" s="421"/>
      <c r="F4284" s="580">
        <v>57</v>
      </c>
      <c r="G4284" s="420" t="s">
        <v>2815</v>
      </c>
      <c r="H4284" s="598" t="s">
        <v>2514</v>
      </c>
      <c r="I4284" s="322" t="s">
        <v>2514</v>
      </c>
      <c r="J4284" s="418"/>
      <c r="K4284" s="248"/>
      <c r="M4284" s="366"/>
    </row>
    <row r="4285" spans="1:13" x14ac:dyDescent="0.25">
      <c r="A4285" s="308">
        <v>45783</v>
      </c>
      <c r="B4285" s="416">
        <v>1078377</v>
      </c>
      <c r="C4285" s="413" t="str">
        <f>IFERROR(INDEX(Table14[],MATCH($B4285,Table14[SAPNo],0),3),"")</f>
        <v>13MM CT221 R1</v>
      </c>
      <c r="D4285" s="420" t="s">
        <v>10</v>
      </c>
      <c r="E4285" s="421"/>
      <c r="F4285" s="580">
        <v>34</v>
      </c>
      <c r="G4285" s="420" t="s">
        <v>2815</v>
      </c>
      <c r="H4285" s="598" t="s">
        <v>2514</v>
      </c>
      <c r="I4285" s="322" t="s">
        <v>2514</v>
      </c>
      <c r="J4285" s="418"/>
      <c r="K4285" s="248"/>
      <c r="M4285" s="366"/>
    </row>
    <row r="4286" spans="1:13" x14ac:dyDescent="0.25">
      <c r="A4286" s="320">
        <v>45783</v>
      </c>
      <c r="B4286" s="419">
        <v>1146737</v>
      </c>
      <c r="C4286" s="413" t="str">
        <f>IFERROR(INDEX(Table14[],MATCH($B4286,Table14[SAPNo],0),3),"")</f>
        <v>1613 CT418 18-60</v>
      </c>
      <c r="D4286" s="420" t="s">
        <v>10</v>
      </c>
      <c r="E4286" s="421"/>
      <c r="F4286" s="580">
        <v>96</v>
      </c>
      <c r="G4286" s="420" t="s">
        <v>2815</v>
      </c>
      <c r="H4286" s="599" t="s">
        <v>2514</v>
      </c>
      <c r="I4286" s="322" t="s">
        <v>2514</v>
      </c>
      <c r="J4286" s="421"/>
      <c r="K4286" s="422"/>
      <c r="M4286" s="366"/>
    </row>
    <row r="4287" spans="1:13" x14ac:dyDescent="0.25">
      <c r="A4287" s="320">
        <v>45785</v>
      </c>
      <c r="B4287" s="419">
        <v>1288783</v>
      </c>
      <c r="C4287" s="413" t="str">
        <f>IFERROR(INDEX(Table14[],MATCH($B4287,Table14[SAPNo],0),3),"")</f>
        <v>1613 CT179 18-60</v>
      </c>
      <c r="D4287" s="420" t="s">
        <v>12</v>
      </c>
      <c r="E4287" s="421"/>
      <c r="F4287" s="421">
        <v>250</v>
      </c>
      <c r="G4287" s="420" t="s">
        <v>2513</v>
      </c>
      <c r="H4287" s="599" t="s">
        <v>2514</v>
      </c>
      <c r="I4287" s="322" t="s">
        <v>103</v>
      </c>
      <c r="J4287" s="421" t="s">
        <v>1002</v>
      </c>
      <c r="K4287" s="422"/>
      <c r="M4287" s="422"/>
    </row>
    <row r="4288" spans="1:13" x14ac:dyDescent="0.25">
      <c r="A4288" s="308">
        <v>45796</v>
      </c>
      <c r="B4288" s="416">
        <v>1078377</v>
      </c>
      <c r="C4288" s="413" t="str">
        <f>IFERROR(INDEX(Table14[],MATCH($B4288,Table14[SAPNo],0),3),"")</f>
        <v>13MM CT221 R1</v>
      </c>
      <c r="D4288" s="420" t="s">
        <v>12</v>
      </c>
      <c r="E4288" s="421">
        <v>1</v>
      </c>
      <c r="F4288" s="421"/>
      <c r="G4288" s="417" t="s">
        <v>2804</v>
      </c>
      <c r="H4288" s="598">
        <v>14340868</v>
      </c>
      <c r="I4288" s="322" t="s">
        <v>2311</v>
      </c>
      <c r="J4288" s="418"/>
      <c r="K4288" s="248"/>
      <c r="M4288" s="422"/>
    </row>
    <row r="4289" spans="1:13" x14ac:dyDescent="0.25">
      <c r="A4289" s="308">
        <v>45796</v>
      </c>
      <c r="B4289" s="416">
        <v>1146737</v>
      </c>
      <c r="C4289" s="413" t="str">
        <f>IFERROR(INDEX(Table14[],MATCH($B4289,Table14[SAPNo],0),3),"")</f>
        <v>1613 CT418 18-60</v>
      </c>
      <c r="D4289" s="420" t="s">
        <v>12</v>
      </c>
      <c r="E4289" s="421">
        <v>6</v>
      </c>
      <c r="F4289" s="580"/>
      <c r="G4289" s="417" t="s">
        <v>2804</v>
      </c>
      <c r="H4289" s="598">
        <v>14340868</v>
      </c>
      <c r="I4289" s="322" t="s">
        <v>2311</v>
      </c>
      <c r="J4289" s="418"/>
      <c r="K4289" s="248"/>
      <c r="M4289" s="366"/>
    </row>
    <row r="4290" spans="1:13" x14ac:dyDescent="0.25">
      <c r="A4290" s="308">
        <v>45796</v>
      </c>
      <c r="B4290" s="416">
        <v>418525</v>
      </c>
      <c r="C4290" s="413" t="str">
        <f>IFERROR(INDEX(Table14[],MATCH($B4290,Table14[SAPNo],0),3),"")</f>
        <v>Drop In 1308 CT31   (B)</v>
      </c>
      <c r="D4290" s="420" t="s">
        <v>12</v>
      </c>
      <c r="E4290" s="421">
        <v>6</v>
      </c>
      <c r="F4290" s="580"/>
      <c r="G4290" s="417" t="s">
        <v>2804</v>
      </c>
      <c r="H4290" s="598">
        <v>14340868</v>
      </c>
      <c r="I4290" s="322" t="s">
        <v>2311</v>
      </c>
      <c r="J4290" s="418"/>
      <c r="K4290" s="248"/>
      <c r="M4290" s="366"/>
    </row>
    <row r="4291" spans="1:13" x14ac:dyDescent="0.25">
      <c r="A4291" s="308">
        <v>45785</v>
      </c>
      <c r="B4291" s="416">
        <v>2002243</v>
      </c>
      <c r="C4291" s="413" t="str">
        <f>IFERROR(INDEX(Table14[],MATCH($B4291,Table14[SAPNo],0),3),"")</f>
        <v>1308 CT188 U-60</v>
      </c>
      <c r="D4291" s="420" t="s">
        <v>12</v>
      </c>
      <c r="E4291" s="421">
        <v>32</v>
      </c>
      <c r="F4291" s="580"/>
      <c r="G4291" s="417" t="s">
        <v>2818</v>
      </c>
      <c r="H4291" s="598">
        <v>13862803</v>
      </c>
      <c r="I4291" s="322" t="s">
        <v>2819</v>
      </c>
      <c r="J4291" s="418"/>
      <c r="K4291" s="248"/>
      <c r="M4291" s="366"/>
    </row>
    <row r="4292" spans="1:13" x14ac:dyDescent="0.25">
      <c r="A4292" s="308">
        <v>45785</v>
      </c>
      <c r="B4292" s="416">
        <v>717748</v>
      </c>
      <c r="C4292" s="413" t="str">
        <f>IFERROR(INDEX(Table14[],MATCH($B4292,Table14[SAPNo],0),3),"")</f>
        <v>Round 1010 CT200  0.018" (B)</v>
      </c>
      <c r="D4292" s="420" t="s">
        <v>12</v>
      </c>
      <c r="E4292" s="421">
        <v>1</v>
      </c>
      <c r="F4292" s="580"/>
      <c r="G4292" s="417">
        <v>20251063</v>
      </c>
      <c r="H4292" s="598" t="s">
        <v>2820</v>
      </c>
      <c r="I4292" s="322" t="s">
        <v>2362</v>
      </c>
      <c r="J4292" s="418"/>
      <c r="K4292" s="248"/>
      <c r="M4292" s="366"/>
    </row>
    <row r="4293" spans="1:13" x14ac:dyDescent="0.25">
      <c r="A4293" s="308">
        <v>45788</v>
      </c>
      <c r="B4293" s="416">
        <v>1100694</v>
      </c>
      <c r="C4293" s="413" t="str">
        <f>IFERROR(INDEX(Table14[],MATCH($B4293,Table14[SAPNo],0),3),"")</f>
        <v xml:space="preserve">1308 CT418 10C </v>
      </c>
      <c r="D4293" s="420" t="s">
        <v>12</v>
      </c>
      <c r="E4293" s="421">
        <v>3</v>
      </c>
      <c r="F4293" s="580"/>
      <c r="G4293" s="417" t="s">
        <v>2821</v>
      </c>
      <c r="H4293" s="598">
        <v>14214806</v>
      </c>
      <c r="I4293" s="322" t="s">
        <v>2822</v>
      </c>
      <c r="J4293" s="418"/>
      <c r="K4293" s="248"/>
      <c r="M4293" s="366"/>
    </row>
    <row r="4294" spans="1:13" x14ac:dyDescent="0.25">
      <c r="A4294" s="308">
        <v>45788</v>
      </c>
      <c r="B4294" s="416">
        <v>1146346</v>
      </c>
      <c r="C4294" s="413" t="str">
        <f>IFERROR(INDEX(Table14[],MATCH($B4294,Table14[SAPNo],0),3),"")</f>
        <v>1313 CT418 18-60</v>
      </c>
      <c r="D4294" s="420" t="s">
        <v>12</v>
      </c>
      <c r="E4294" s="421">
        <v>6</v>
      </c>
      <c r="F4294" s="580"/>
      <c r="G4294" s="417" t="s">
        <v>2821</v>
      </c>
      <c r="H4294" s="598">
        <v>14214806</v>
      </c>
      <c r="I4294" s="322" t="s">
        <v>2822</v>
      </c>
      <c r="J4294" s="418"/>
      <c r="K4294" s="248"/>
      <c r="M4294" s="366"/>
    </row>
    <row r="4295" spans="1:13" x14ac:dyDescent="0.25">
      <c r="A4295" s="308">
        <v>45788</v>
      </c>
      <c r="B4295" s="416">
        <v>1152018</v>
      </c>
      <c r="C4295" s="413" t="str">
        <f>IFERROR(INDEX(Table14[],MATCH($B4295,Table14[SAPNo],0),3),"")</f>
        <v>1313 CT418 U</v>
      </c>
      <c r="D4295" s="420" t="s">
        <v>12</v>
      </c>
      <c r="E4295" s="421">
        <v>6</v>
      </c>
      <c r="F4295" s="580"/>
      <c r="G4295" s="417" t="s">
        <v>2821</v>
      </c>
      <c r="H4295" s="598">
        <v>14214806</v>
      </c>
      <c r="I4295" s="322" t="s">
        <v>2822</v>
      </c>
      <c r="J4295" s="418"/>
      <c r="K4295" s="248"/>
      <c r="M4295" s="366"/>
    </row>
    <row r="4296" spans="1:13" x14ac:dyDescent="0.25">
      <c r="A4296" s="308">
        <v>45788</v>
      </c>
      <c r="B4296" s="416">
        <v>2001155</v>
      </c>
      <c r="C4296" s="413" t="str">
        <f>IFERROR(INDEX(Table14[],MATCH($B4296,Table14[SAPNo],0),3),"")</f>
        <v>1313 CT179T U-60</v>
      </c>
      <c r="D4296" s="420" t="s">
        <v>12</v>
      </c>
      <c r="E4296" s="421">
        <v>12</v>
      </c>
      <c r="F4296" s="580"/>
      <c r="G4296" s="417" t="s">
        <v>2821</v>
      </c>
      <c r="H4296" s="598">
        <v>14214806</v>
      </c>
      <c r="I4296" s="322" t="s">
        <v>2822</v>
      </c>
      <c r="J4296" s="418"/>
      <c r="K4296" s="248"/>
      <c r="M4296" s="366"/>
    </row>
    <row r="4297" spans="1:13" x14ac:dyDescent="0.25">
      <c r="A4297" s="308">
        <v>45788</v>
      </c>
      <c r="B4297" s="416">
        <v>871781</v>
      </c>
      <c r="C4297" s="413" t="str">
        <f>IFERROR(INDEX(Table14[],MATCH($B4297,Table14[SAPNo],0),3),"")</f>
        <v>Round 1313 CT200  0.018" (B)</v>
      </c>
      <c r="D4297" s="420" t="s">
        <v>12</v>
      </c>
      <c r="E4297" s="421">
        <v>6</v>
      </c>
      <c r="F4297" s="580"/>
      <c r="G4297" s="417" t="s">
        <v>2821</v>
      </c>
      <c r="H4297" s="598">
        <v>14214806</v>
      </c>
      <c r="I4297" s="322" t="s">
        <v>2822</v>
      </c>
      <c r="J4297" s="418"/>
      <c r="K4297" s="248"/>
      <c r="M4297" s="366"/>
    </row>
    <row r="4298" spans="1:13" x14ac:dyDescent="0.25">
      <c r="A4298" s="308">
        <v>45788</v>
      </c>
      <c r="B4298" s="416">
        <v>410851</v>
      </c>
      <c r="C4298" s="413" t="str">
        <f>IFERROR(INDEX(Table14[],MATCH($B4298,Table14[SAPNo],0),3),"")</f>
        <v>PDC Dome 1308 CT31   (B)</v>
      </c>
      <c r="D4298" s="420" t="s">
        <v>12</v>
      </c>
      <c r="E4298" s="421">
        <v>5</v>
      </c>
      <c r="F4298" s="580"/>
      <c r="G4298" s="417" t="s">
        <v>2821</v>
      </c>
      <c r="H4298" s="598">
        <v>14214806</v>
      </c>
      <c r="I4298" s="322" t="s">
        <v>2822</v>
      </c>
      <c r="J4298" s="418"/>
      <c r="K4298" s="248"/>
      <c r="M4298" s="366"/>
    </row>
    <row r="4299" spans="1:13" x14ac:dyDescent="0.25">
      <c r="A4299" s="308">
        <v>45788</v>
      </c>
      <c r="B4299" s="416">
        <v>773383</v>
      </c>
      <c r="C4299" s="413" t="str">
        <f>IFERROR(INDEX(Table14[],MATCH($B4299,Table14[SAPNo],0),3),"")</f>
        <v>Round 1005 CT200  10C (B)</v>
      </c>
      <c r="D4299" s="420" t="s">
        <v>12</v>
      </c>
      <c r="E4299" s="421">
        <v>12</v>
      </c>
      <c r="F4299" s="580"/>
      <c r="G4299" s="417" t="s">
        <v>2821</v>
      </c>
      <c r="H4299" s="598">
        <v>14214806</v>
      </c>
      <c r="I4299" s="322" t="s">
        <v>2822</v>
      </c>
      <c r="J4299" s="418"/>
      <c r="K4299" s="248"/>
      <c r="M4299" s="366"/>
    </row>
    <row r="4300" spans="1:13" x14ac:dyDescent="0.25">
      <c r="A4300" s="308">
        <v>45788</v>
      </c>
      <c r="B4300" s="416">
        <v>179733</v>
      </c>
      <c r="C4300" s="413" t="str">
        <f>IFERROR(INDEX(Table14[],MATCH($B4300,Table14[SAPNo],0),3),"")</f>
        <v>Short IA 13    (C)</v>
      </c>
      <c r="D4300" s="420" t="s">
        <v>12</v>
      </c>
      <c r="E4300" s="421">
        <v>5</v>
      </c>
      <c r="F4300" s="580"/>
      <c r="G4300" s="417" t="s">
        <v>2821</v>
      </c>
      <c r="H4300" s="598">
        <v>14214806</v>
      </c>
      <c r="I4300" s="322" t="s">
        <v>2822</v>
      </c>
      <c r="J4300" s="418"/>
      <c r="K4300" s="248"/>
      <c r="M4300" s="366"/>
    </row>
    <row r="4301" spans="1:13" x14ac:dyDescent="0.25">
      <c r="A4301" s="308">
        <v>45789</v>
      </c>
      <c r="B4301" s="416">
        <v>1244299</v>
      </c>
      <c r="C4301" s="413" t="str">
        <f>IFERROR(INDEX(Table14[],MATCH($B4301,Table14[SAPNo],0),3),"")</f>
        <v>1313 CT147CV4 U</v>
      </c>
      <c r="D4301" s="420" t="s">
        <v>12</v>
      </c>
      <c r="E4301" s="421">
        <v>1</v>
      </c>
      <c r="F4301" s="580"/>
      <c r="G4301" s="417">
        <v>20251064</v>
      </c>
      <c r="H4301" s="598" t="s">
        <v>2823</v>
      </c>
      <c r="I4301" s="322" t="s">
        <v>1746</v>
      </c>
      <c r="J4301" s="418"/>
      <c r="K4301" s="248"/>
      <c r="M4301" s="366"/>
    </row>
    <row r="4302" spans="1:13" x14ac:dyDescent="0.25">
      <c r="A4302" s="308">
        <v>45789</v>
      </c>
      <c r="B4302" s="416">
        <v>1146346</v>
      </c>
      <c r="C4302" s="413" t="str">
        <f>IFERROR(INDEX(Table14[],MATCH($B4302,Table14[SAPNo],0),3),"")</f>
        <v>1313 CT418 18-60</v>
      </c>
      <c r="D4302" s="420" t="s">
        <v>12</v>
      </c>
      <c r="E4302" s="421">
        <v>3</v>
      </c>
      <c r="F4302" s="580"/>
      <c r="G4302" s="417">
        <v>20251064</v>
      </c>
      <c r="H4302" s="598" t="s">
        <v>2823</v>
      </c>
      <c r="I4302" s="322" t="s">
        <v>1746</v>
      </c>
      <c r="J4302" s="418"/>
      <c r="K4302" s="248"/>
      <c r="M4302" s="366"/>
    </row>
    <row r="4303" spans="1:13" x14ac:dyDescent="0.25">
      <c r="A4303" s="320">
        <v>45789</v>
      </c>
      <c r="B4303" s="419">
        <v>418525</v>
      </c>
      <c r="C4303" s="413" t="str">
        <f>IFERROR(INDEX(Table14[],MATCH($B4303,Table14[SAPNo],0),3),"")</f>
        <v>Drop In 1308 CT31   (B)</v>
      </c>
      <c r="D4303" s="420" t="s">
        <v>12</v>
      </c>
      <c r="E4303" s="421">
        <v>1</v>
      </c>
      <c r="F4303" s="580"/>
      <c r="G4303" s="420">
        <v>20251064</v>
      </c>
      <c r="H4303" s="599" t="s">
        <v>2823</v>
      </c>
      <c r="I4303" s="322" t="s">
        <v>1746</v>
      </c>
      <c r="J4303" s="421"/>
      <c r="K4303" s="422"/>
      <c r="M4303" s="366"/>
    </row>
    <row r="4304" spans="1:13" x14ac:dyDescent="0.25">
      <c r="A4304" s="308">
        <v>45790</v>
      </c>
      <c r="B4304" s="416">
        <v>1100696</v>
      </c>
      <c r="C4304" s="413" t="str">
        <f>IFERROR(INDEX(Table14[],MATCH($B4304,Table14[SAPNo],0),3),"")</f>
        <v>Round 1313 CT418  10C (S)</v>
      </c>
      <c r="D4304" s="420" t="s">
        <v>11</v>
      </c>
      <c r="E4304" s="421"/>
      <c r="F4304" s="421">
        <v>13</v>
      </c>
      <c r="G4304" s="417">
        <v>20221201</v>
      </c>
      <c r="H4304" s="598" t="s">
        <v>2824</v>
      </c>
      <c r="I4304" s="322" t="s">
        <v>2825</v>
      </c>
      <c r="J4304" s="418"/>
      <c r="K4304" s="248"/>
      <c r="M4304" s="422"/>
    </row>
    <row r="4305" spans="1:13" x14ac:dyDescent="0.25">
      <c r="A4305" s="308">
        <v>45790</v>
      </c>
      <c r="B4305" s="416">
        <v>703670</v>
      </c>
      <c r="C4305" s="413" t="str">
        <f>IFERROR(INDEX(Table14[],MATCH($B4305,Table14[SAPNo],0),3),"")</f>
        <v>Round 1313 CT200  10C (B)</v>
      </c>
      <c r="D4305" s="420" t="s">
        <v>11</v>
      </c>
      <c r="E4305" s="421"/>
      <c r="F4305" s="580">
        <v>2</v>
      </c>
      <c r="G4305" s="417">
        <v>20221201</v>
      </c>
      <c r="H4305" s="598" t="s">
        <v>2824</v>
      </c>
      <c r="I4305" s="322" t="s">
        <v>2825</v>
      </c>
      <c r="J4305" s="418"/>
      <c r="K4305" s="248"/>
      <c r="M4305" s="366"/>
    </row>
    <row r="4306" spans="1:13" x14ac:dyDescent="0.25">
      <c r="A4306" s="308">
        <v>45790</v>
      </c>
      <c r="B4306" s="416">
        <v>871781</v>
      </c>
      <c r="C4306" s="413" t="str">
        <f>IFERROR(INDEX(Table14[],MATCH($B4306,Table14[SAPNo],0),3),"")</f>
        <v>Round 1313 CT200  0.018" (B)</v>
      </c>
      <c r="D4306" s="420" t="s">
        <v>11</v>
      </c>
      <c r="E4306" s="421"/>
      <c r="F4306" s="580">
        <v>5</v>
      </c>
      <c r="G4306" s="417">
        <v>20221201</v>
      </c>
      <c r="H4306" s="598" t="s">
        <v>2824</v>
      </c>
      <c r="I4306" s="322" t="s">
        <v>2825</v>
      </c>
      <c r="J4306" s="418"/>
      <c r="K4306" s="248"/>
      <c r="M4306" s="366"/>
    </row>
    <row r="4307" spans="1:13" x14ac:dyDescent="0.25">
      <c r="A4307" s="308">
        <v>45790</v>
      </c>
      <c r="B4307" s="416">
        <v>1145493</v>
      </c>
      <c r="C4307" s="413" t="str">
        <f>IFERROR(INDEX(Table14[],MATCH($B4307,Table14[SAPNo],0),3),"")</f>
        <v>Round 1313 CT427  10C (S)</v>
      </c>
      <c r="D4307" s="420" t="s">
        <v>11</v>
      </c>
      <c r="E4307" s="421"/>
      <c r="F4307" s="580">
        <v>7</v>
      </c>
      <c r="G4307" s="417">
        <v>20221300</v>
      </c>
      <c r="H4307" s="598" t="s">
        <v>2826</v>
      </c>
      <c r="I4307" s="322" t="s">
        <v>1768</v>
      </c>
      <c r="J4307" s="418"/>
      <c r="K4307" s="248"/>
      <c r="M4307" s="366"/>
    </row>
    <row r="4308" spans="1:13" x14ac:dyDescent="0.25">
      <c r="A4308" s="308">
        <v>45790</v>
      </c>
      <c r="B4308" s="416">
        <v>1100696</v>
      </c>
      <c r="C4308" s="413" t="str">
        <f>IFERROR(INDEX(Table14[],MATCH($B4308,Table14[SAPNo],0),3),"")</f>
        <v>Round 1313 CT418  10C (S)</v>
      </c>
      <c r="D4308" s="420" t="s">
        <v>11</v>
      </c>
      <c r="E4308" s="421"/>
      <c r="F4308" s="580">
        <v>6</v>
      </c>
      <c r="G4308" s="417">
        <v>20251009</v>
      </c>
      <c r="H4308" s="598" t="s">
        <v>2827</v>
      </c>
      <c r="I4308" s="322" t="s">
        <v>1322</v>
      </c>
      <c r="J4308" s="418"/>
      <c r="K4308" s="248"/>
      <c r="M4308" s="366"/>
    </row>
    <row r="4309" spans="1:13" x14ac:dyDescent="0.25">
      <c r="A4309" s="308">
        <v>45790</v>
      </c>
      <c r="B4309" s="416">
        <v>1145493</v>
      </c>
      <c r="C4309" s="413" t="str">
        <f>IFERROR(INDEX(Table14[],MATCH($B4309,Table14[SAPNo],0),3),"")</f>
        <v>Round 1313 CT427  10C (S)</v>
      </c>
      <c r="D4309" s="420" t="s">
        <v>11</v>
      </c>
      <c r="E4309" s="421"/>
      <c r="F4309" s="580">
        <v>10</v>
      </c>
      <c r="G4309" s="417">
        <v>20251009</v>
      </c>
      <c r="H4309" s="598" t="s">
        <v>2827</v>
      </c>
      <c r="I4309" s="322" t="s">
        <v>1322</v>
      </c>
      <c r="J4309" s="418"/>
      <c r="K4309" s="248"/>
      <c r="M4309" s="366"/>
    </row>
    <row r="4310" spans="1:13" x14ac:dyDescent="0.25">
      <c r="A4310" s="308">
        <v>45790</v>
      </c>
      <c r="B4310" s="416">
        <v>1209332</v>
      </c>
      <c r="C4310" s="413" t="str">
        <f>IFERROR(INDEX(Table14[],MATCH($B4310,Table14[SAPNo],0),3),"")</f>
        <v>1313 CT147G U</v>
      </c>
      <c r="D4310" s="420" t="s">
        <v>11</v>
      </c>
      <c r="E4310" s="421"/>
      <c r="F4310" s="580">
        <v>5</v>
      </c>
      <c r="G4310" s="417">
        <v>20251009</v>
      </c>
      <c r="H4310" s="598" t="s">
        <v>2827</v>
      </c>
      <c r="I4310" s="322" t="s">
        <v>1322</v>
      </c>
      <c r="J4310" s="418"/>
      <c r="K4310" s="248"/>
      <c r="M4310" s="366"/>
    </row>
    <row r="4311" spans="1:13" x14ac:dyDescent="0.25">
      <c r="A4311" s="308">
        <v>45790</v>
      </c>
      <c r="B4311" s="416">
        <v>1244299</v>
      </c>
      <c r="C4311" s="413" t="str">
        <f>IFERROR(INDEX(Table14[],MATCH($B4311,Table14[SAPNo],0),3),"")</f>
        <v>1313 CT147CV4 U</v>
      </c>
      <c r="D4311" s="420" t="s">
        <v>11</v>
      </c>
      <c r="E4311" s="421"/>
      <c r="F4311" s="580">
        <v>2</v>
      </c>
      <c r="G4311" s="417">
        <v>20251009</v>
      </c>
      <c r="H4311" s="598" t="s">
        <v>2827</v>
      </c>
      <c r="I4311" s="322" t="s">
        <v>1322</v>
      </c>
      <c r="J4311" s="418"/>
      <c r="K4311" s="248"/>
      <c r="M4311" s="366"/>
    </row>
    <row r="4312" spans="1:13" x14ac:dyDescent="0.25">
      <c r="A4312" s="308">
        <v>45790</v>
      </c>
      <c r="B4312" s="416">
        <v>1145493</v>
      </c>
      <c r="C4312" s="413" t="str">
        <f>IFERROR(INDEX(Table14[],MATCH($B4312,Table14[SAPNo],0),3),"")</f>
        <v>Round 1313 CT427  10C (S)</v>
      </c>
      <c r="D4312" s="420" t="s">
        <v>11</v>
      </c>
      <c r="E4312" s="421"/>
      <c r="F4312" s="580">
        <v>9</v>
      </c>
      <c r="G4312" s="417">
        <v>20251018</v>
      </c>
      <c r="H4312" s="598" t="s">
        <v>2828</v>
      </c>
      <c r="I4312" s="322" t="s">
        <v>1781</v>
      </c>
      <c r="J4312" s="418"/>
      <c r="K4312" s="248"/>
      <c r="M4312" s="366"/>
    </row>
    <row r="4313" spans="1:13" x14ac:dyDescent="0.25">
      <c r="A4313" s="308">
        <v>45790</v>
      </c>
      <c r="B4313" s="416">
        <v>1209332</v>
      </c>
      <c r="C4313" s="413" t="str">
        <f>IFERROR(INDEX(Table14[],MATCH($B4313,Table14[SAPNo],0),3),"")</f>
        <v>1313 CT147G U</v>
      </c>
      <c r="D4313" s="420" t="s">
        <v>11</v>
      </c>
      <c r="E4313" s="421"/>
      <c r="F4313" s="580">
        <v>4</v>
      </c>
      <c r="G4313" s="417">
        <v>20251018</v>
      </c>
      <c r="H4313" s="598" t="s">
        <v>2828</v>
      </c>
      <c r="I4313" s="322" t="s">
        <v>1781</v>
      </c>
      <c r="J4313" s="418"/>
      <c r="K4313" s="248"/>
      <c r="M4313" s="366"/>
    </row>
    <row r="4314" spans="1:13" x14ac:dyDescent="0.25">
      <c r="A4314" s="308">
        <v>45790</v>
      </c>
      <c r="B4314" s="416">
        <v>1244299</v>
      </c>
      <c r="C4314" s="413" t="str">
        <f>IFERROR(INDEX(Table14[],MATCH($B4314,Table14[SAPNo],0),3),"")</f>
        <v>1313 CT147CV4 U</v>
      </c>
      <c r="D4314" s="420" t="s">
        <v>11</v>
      </c>
      <c r="E4314" s="421"/>
      <c r="F4314" s="580">
        <v>2</v>
      </c>
      <c r="G4314" s="417">
        <v>20251018</v>
      </c>
      <c r="H4314" s="598" t="s">
        <v>2828</v>
      </c>
      <c r="I4314" s="322" t="s">
        <v>1781</v>
      </c>
      <c r="J4314" s="418"/>
      <c r="K4314" s="248"/>
      <c r="M4314" s="366"/>
    </row>
    <row r="4315" spans="1:13" x14ac:dyDescent="0.25">
      <c r="A4315" s="308">
        <v>45790</v>
      </c>
      <c r="B4315" s="416">
        <v>717748</v>
      </c>
      <c r="C4315" s="413" t="str">
        <f>IFERROR(INDEX(Table14[],MATCH($B4315,Table14[SAPNo],0),3),"")</f>
        <v>Round 1010 CT200  0.018" (B)</v>
      </c>
      <c r="D4315" s="420" t="s">
        <v>11</v>
      </c>
      <c r="E4315" s="421"/>
      <c r="F4315" s="580">
        <v>6</v>
      </c>
      <c r="G4315" s="417">
        <v>20251036</v>
      </c>
      <c r="H4315" s="598" t="s">
        <v>2829</v>
      </c>
      <c r="I4315" s="322" t="s">
        <v>1069</v>
      </c>
      <c r="J4315" s="418"/>
      <c r="K4315" s="248"/>
      <c r="M4315" s="366"/>
    </row>
    <row r="4316" spans="1:13" x14ac:dyDescent="0.25">
      <c r="A4316" s="308">
        <v>45790</v>
      </c>
      <c r="B4316" s="416">
        <v>1100696</v>
      </c>
      <c r="C4316" s="413" t="str">
        <f>IFERROR(INDEX(Table14[],MATCH($B4316,Table14[SAPNo],0),3),"")</f>
        <v>Round 1313 CT418  10C (S)</v>
      </c>
      <c r="D4316" s="420" t="s">
        <v>11</v>
      </c>
      <c r="E4316" s="421"/>
      <c r="F4316" s="580">
        <v>12</v>
      </c>
      <c r="G4316" s="417">
        <v>20251039</v>
      </c>
      <c r="H4316" s="598" t="s">
        <v>2830</v>
      </c>
      <c r="I4316" s="322" t="s">
        <v>2410</v>
      </c>
      <c r="J4316" s="418"/>
      <c r="K4316" s="248"/>
      <c r="M4316" s="366"/>
    </row>
    <row r="4317" spans="1:13" x14ac:dyDescent="0.25">
      <c r="A4317" s="320">
        <v>45790</v>
      </c>
      <c r="B4317" s="419">
        <v>1219561</v>
      </c>
      <c r="C4317" s="413" t="str">
        <f>IFERROR(INDEX(Table14[],MATCH($B4317,Table14[SAPNo],0),3),"")</f>
        <v>1313 CT147R U</v>
      </c>
      <c r="D4317" s="420" t="s">
        <v>11</v>
      </c>
      <c r="E4317" s="421"/>
      <c r="F4317" s="580">
        <v>4</v>
      </c>
      <c r="G4317" s="420">
        <v>20251039</v>
      </c>
      <c r="H4317" s="599" t="s">
        <v>2830</v>
      </c>
      <c r="I4317" s="322" t="s">
        <v>2410</v>
      </c>
      <c r="J4317" s="421"/>
      <c r="K4317" s="422"/>
      <c r="M4317" s="366"/>
    </row>
    <row r="4318" spans="1:13" x14ac:dyDescent="0.25">
      <c r="A4318" s="308">
        <v>45790</v>
      </c>
      <c r="B4318" s="416">
        <v>418525</v>
      </c>
      <c r="C4318" s="413" t="str">
        <f>IFERROR(INDEX(Table14[],MATCH($B4318,Table14[SAPNo],0),3),"")</f>
        <v>Drop In 1308 CT31   (B)</v>
      </c>
      <c r="D4318" s="420" t="s">
        <v>12</v>
      </c>
      <c r="E4318" s="421">
        <v>6</v>
      </c>
      <c r="F4318" s="421"/>
      <c r="G4318" s="417" t="s">
        <v>2831</v>
      </c>
      <c r="H4318" s="598">
        <v>14353147</v>
      </c>
      <c r="I4318" s="322" t="s">
        <v>2729</v>
      </c>
      <c r="J4318" s="418"/>
      <c r="K4318" s="248"/>
      <c r="M4318" s="422"/>
    </row>
    <row r="4319" spans="1:13" x14ac:dyDescent="0.25">
      <c r="A4319" s="308">
        <v>45790</v>
      </c>
      <c r="B4319" s="416">
        <v>1271790</v>
      </c>
      <c r="C4319" s="413" t="str">
        <f>IFERROR(INDEX(Table14[],MATCH($B4319,Table14[SAPNo],0),3),"")</f>
        <v xml:space="preserve">1613 CT170 18-60 </v>
      </c>
      <c r="D4319" s="420" t="s">
        <v>12</v>
      </c>
      <c r="E4319" s="421">
        <v>17</v>
      </c>
      <c r="F4319" s="580"/>
      <c r="G4319" s="417" t="s">
        <v>2831</v>
      </c>
      <c r="H4319" s="598">
        <v>14353147</v>
      </c>
      <c r="I4319" s="322" t="s">
        <v>2729</v>
      </c>
      <c r="J4319" s="418"/>
      <c r="K4319" s="248"/>
      <c r="M4319" s="366"/>
    </row>
    <row r="4320" spans="1:13" x14ac:dyDescent="0.25">
      <c r="A4320" s="308">
        <v>45790</v>
      </c>
      <c r="B4320" s="416">
        <v>1208601</v>
      </c>
      <c r="C4320" s="413" t="str">
        <f>IFERROR(INDEX(Table14[],MATCH($B4320,Table14[SAPNo],0),3),"")</f>
        <v>1613 CT418 U-60</v>
      </c>
      <c r="D4320" s="420" t="s">
        <v>12</v>
      </c>
      <c r="E4320" s="421">
        <v>8</v>
      </c>
      <c r="F4320" s="580"/>
      <c r="G4320" s="417" t="s">
        <v>2831</v>
      </c>
      <c r="H4320" s="598">
        <v>14353147</v>
      </c>
      <c r="I4320" s="322" t="s">
        <v>2729</v>
      </c>
      <c r="J4320" s="418"/>
      <c r="K4320" s="248"/>
      <c r="M4320" s="366"/>
    </row>
    <row r="4321" spans="1:13" x14ac:dyDescent="0.25">
      <c r="A4321" s="308">
        <v>45790</v>
      </c>
      <c r="B4321" s="416">
        <v>1146737</v>
      </c>
      <c r="C4321" s="413" t="str">
        <f>IFERROR(INDEX(Table14[],MATCH($B4321,Table14[SAPNo],0),3),"")</f>
        <v>1613 CT418 18-60</v>
      </c>
      <c r="D4321" s="420" t="s">
        <v>12</v>
      </c>
      <c r="E4321" s="421">
        <v>6</v>
      </c>
      <c r="F4321" s="580"/>
      <c r="G4321" s="417" t="s">
        <v>2831</v>
      </c>
      <c r="H4321" s="598">
        <v>14353147</v>
      </c>
      <c r="I4321" s="322" t="s">
        <v>2729</v>
      </c>
      <c r="J4321" s="418"/>
      <c r="K4321" s="248"/>
      <c r="M4321" s="366"/>
    </row>
    <row r="4322" spans="1:13" x14ac:dyDescent="0.25">
      <c r="A4322" s="320">
        <v>45790</v>
      </c>
      <c r="B4322" s="419">
        <v>1078377</v>
      </c>
      <c r="C4322" s="413" t="str">
        <f>IFERROR(INDEX(Table14[],MATCH($B4322,Table14[SAPNo],0),3),"")</f>
        <v>13MM CT221 R1</v>
      </c>
      <c r="D4322" s="420" t="s">
        <v>12</v>
      </c>
      <c r="E4322" s="421">
        <v>15</v>
      </c>
      <c r="F4322" s="580"/>
      <c r="G4322" s="420" t="s">
        <v>2831</v>
      </c>
      <c r="H4322" s="599">
        <v>14353147</v>
      </c>
      <c r="I4322" s="322" t="s">
        <v>2729</v>
      </c>
      <c r="J4322" s="421"/>
      <c r="K4322" s="422"/>
      <c r="M4322" s="366"/>
    </row>
    <row r="4323" spans="1:13" x14ac:dyDescent="0.25">
      <c r="A4323" s="308">
        <v>45792</v>
      </c>
      <c r="B4323" s="416">
        <v>1078377</v>
      </c>
      <c r="C4323" s="413" t="str">
        <f>IFERROR(INDEX(Table14[],MATCH($B4323,Table14[SAPNo],0),3),"")</f>
        <v>13MM CT221 R1</v>
      </c>
      <c r="D4323" s="420" t="s">
        <v>12</v>
      </c>
      <c r="E4323" s="421"/>
      <c r="F4323" s="421">
        <v>128</v>
      </c>
      <c r="G4323" s="420" t="s">
        <v>2513</v>
      </c>
      <c r="H4323" s="598"/>
      <c r="I4323" s="322"/>
      <c r="J4323" s="418" t="s">
        <v>1002</v>
      </c>
      <c r="K4323" s="248"/>
      <c r="M4323" s="422"/>
    </row>
    <row r="4324" spans="1:13" x14ac:dyDescent="0.25">
      <c r="A4324" s="308">
        <v>45792</v>
      </c>
      <c r="B4324" s="416">
        <v>1100739</v>
      </c>
      <c r="C4324" s="413" t="str">
        <f>IFERROR(INDEX(Table14[],MATCH($B4324,Table14[SAPNo],0),3),"")</f>
        <v>1608 CT418 0.018"</v>
      </c>
      <c r="D4324" s="420" t="s">
        <v>12</v>
      </c>
      <c r="E4324" s="421"/>
      <c r="F4324" s="580">
        <v>4</v>
      </c>
      <c r="G4324" s="420" t="s">
        <v>2513</v>
      </c>
      <c r="H4324" s="598"/>
      <c r="I4324" s="322"/>
      <c r="J4324" s="418" t="s">
        <v>1002</v>
      </c>
      <c r="K4324" s="248"/>
      <c r="M4324" s="366"/>
    </row>
    <row r="4325" spans="1:13" x14ac:dyDescent="0.25">
      <c r="A4325" s="308">
        <v>45792</v>
      </c>
      <c r="B4325" s="416">
        <v>1100753</v>
      </c>
      <c r="C4325" s="413" t="str">
        <f>IFERROR(INDEX(Table14[],MATCH($B4325,Table14[SAPNo],0),3),"")</f>
        <v>1608 18C CT421</v>
      </c>
      <c r="D4325" s="420" t="s">
        <v>12</v>
      </c>
      <c r="E4325" s="421"/>
      <c r="F4325" s="580">
        <v>3</v>
      </c>
      <c r="G4325" s="420" t="s">
        <v>2513</v>
      </c>
      <c r="H4325" s="598"/>
      <c r="I4325" s="322"/>
      <c r="J4325" s="418" t="s">
        <v>1001</v>
      </c>
      <c r="K4325" s="248"/>
      <c r="M4325" s="366"/>
    </row>
    <row r="4326" spans="1:13" x14ac:dyDescent="0.25">
      <c r="A4326" s="308">
        <v>45792</v>
      </c>
      <c r="B4326" s="416">
        <v>1146345</v>
      </c>
      <c r="C4326" s="413" t="str">
        <f>IFERROR(INDEX(Table14[],MATCH($B4326,Table14[SAPNo],0),3),"")</f>
        <v>1308 CT418 18-60</v>
      </c>
      <c r="D4326" s="420" t="s">
        <v>12</v>
      </c>
      <c r="E4326" s="421"/>
      <c r="F4326" s="580">
        <v>20</v>
      </c>
      <c r="G4326" s="420" t="s">
        <v>2513</v>
      </c>
      <c r="H4326" s="598"/>
      <c r="I4326" s="322"/>
      <c r="J4326" s="418" t="s">
        <v>1001</v>
      </c>
      <c r="K4326" s="248"/>
      <c r="M4326" s="366"/>
    </row>
    <row r="4327" spans="1:13" x14ac:dyDescent="0.25">
      <c r="A4327" s="308">
        <v>45792</v>
      </c>
      <c r="B4327" s="416">
        <v>2001060</v>
      </c>
      <c r="C4327" s="413" t="str">
        <f>IFERROR(INDEX(Table14[],MATCH($B4327,Table14[SAPNo],0),3),"")</f>
        <v>1613 CT179T U-60</v>
      </c>
      <c r="D4327" s="420" t="s">
        <v>12</v>
      </c>
      <c r="E4327" s="421"/>
      <c r="F4327" s="580">
        <v>15</v>
      </c>
      <c r="G4327" s="420" t="s">
        <v>2513</v>
      </c>
      <c r="H4327" s="598"/>
      <c r="I4327" s="322"/>
      <c r="J4327" s="418" t="s">
        <v>1002</v>
      </c>
      <c r="K4327" s="248"/>
      <c r="M4327" s="366"/>
    </row>
    <row r="4328" spans="1:13" x14ac:dyDescent="0.25">
      <c r="A4328" s="308">
        <v>45792</v>
      </c>
      <c r="B4328" s="416">
        <v>2002126</v>
      </c>
      <c r="C4328" s="413" t="str">
        <f>IFERROR(INDEX(Table14[],MATCH($B4328,Table14[SAPNo],0),3),"")</f>
        <v>1613 CT186 U-60</v>
      </c>
      <c r="D4328" s="420" t="s">
        <v>12</v>
      </c>
      <c r="E4328" s="421"/>
      <c r="F4328" s="580">
        <v>25</v>
      </c>
      <c r="G4328" s="420" t="s">
        <v>2513</v>
      </c>
      <c r="H4328" s="598"/>
      <c r="I4328" s="322"/>
      <c r="J4328" s="418" t="s">
        <v>1001</v>
      </c>
      <c r="K4328" s="248"/>
      <c r="M4328" s="366"/>
    </row>
    <row r="4329" spans="1:13" x14ac:dyDescent="0.25">
      <c r="A4329" s="308">
        <v>45792</v>
      </c>
      <c r="B4329" s="416">
        <v>2002244</v>
      </c>
      <c r="C4329" s="413" t="str">
        <f>IFERROR(INDEX(Table14[],MATCH($B4329,Table14[SAPNo],0),3),"")</f>
        <v>1313 CT188 Uc-60</v>
      </c>
      <c r="D4329" s="420" t="s">
        <v>12</v>
      </c>
      <c r="E4329" s="421"/>
      <c r="F4329" s="580">
        <v>15</v>
      </c>
      <c r="G4329" s="420" t="s">
        <v>2513</v>
      </c>
      <c r="H4329" s="598"/>
      <c r="I4329" s="322"/>
      <c r="J4329" s="418" t="s">
        <v>1002</v>
      </c>
      <c r="K4329" s="248"/>
      <c r="M4329" s="366"/>
    </row>
    <row r="4330" spans="1:13" x14ac:dyDescent="0.25">
      <c r="A4330" s="308">
        <v>45792</v>
      </c>
      <c r="B4330" s="416">
        <v>2013726</v>
      </c>
      <c r="C4330" s="413" t="str">
        <f>IFERROR(INDEX(Table14[],MATCH($B4330,Table14[SAPNo],0),3),"")</f>
        <v>1913 CT172 18-60</v>
      </c>
      <c r="D4330" s="420" t="s">
        <v>12</v>
      </c>
      <c r="E4330" s="421"/>
      <c r="F4330" s="580">
        <v>36</v>
      </c>
      <c r="G4330" s="420" t="s">
        <v>2513</v>
      </c>
      <c r="H4330" s="598"/>
      <c r="I4330" s="322"/>
      <c r="J4330" s="418" t="s">
        <v>1002</v>
      </c>
      <c r="K4330" s="248"/>
      <c r="M4330" s="366"/>
    </row>
    <row r="4331" spans="1:13" x14ac:dyDescent="0.25">
      <c r="A4331" s="320">
        <v>45792</v>
      </c>
      <c r="B4331" s="419">
        <v>983150</v>
      </c>
      <c r="C4331" s="413" t="str">
        <f>IFERROR(INDEX(Table14[],MATCH($B4331,Table14[SAPNo],0),3),"")</f>
        <v>Round 1613 CT216  0.018" (S)</v>
      </c>
      <c r="D4331" s="420" t="s">
        <v>1072</v>
      </c>
      <c r="E4331" s="421"/>
      <c r="F4331" s="580">
        <v>29</v>
      </c>
      <c r="G4331" s="420" t="s">
        <v>2832</v>
      </c>
      <c r="H4331" s="599">
        <v>13648116</v>
      </c>
      <c r="I4331" s="322" t="s">
        <v>2833</v>
      </c>
      <c r="J4331" s="421"/>
      <c r="K4331" s="422"/>
      <c r="M4331" s="366"/>
    </row>
    <row r="4332" spans="1:13" x14ac:dyDescent="0.25">
      <c r="A4332" s="308">
        <v>45791</v>
      </c>
      <c r="B4332" s="416">
        <v>773384</v>
      </c>
      <c r="C4332" s="413" t="str">
        <f>IFERROR(INDEX(Table14[],MATCH($B4332,Table14[SAPNo],0),3),"")</f>
        <v>Round 1005 CT200  0.018" (B)</v>
      </c>
      <c r="D4332" s="420" t="s">
        <v>12</v>
      </c>
      <c r="E4332" s="421">
        <v>10</v>
      </c>
      <c r="F4332" s="421"/>
      <c r="G4332" s="417" t="s">
        <v>2834</v>
      </c>
      <c r="H4332" s="598">
        <v>14336282</v>
      </c>
      <c r="I4332" s="322" t="s">
        <v>2522</v>
      </c>
      <c r="J4332" s="418"/>
      <c r="K4332" s="248"/>
      <c r="M4332" s="422"/>
    </row>
    <row r="4333" spans="1:13" x14ac:dyDescent="0.25">
      <c r="A4333" s="308">
        <v>45791</v>
      </c>
      <c r="B4333" s="416">
        <v>717748</v>
      </c>
      <c r="C4333" s="413" t="str">
        <f>IFERROR(INDEX(Table14[],MATCH($B4333,Table14[SAPNo],0),3),"")</f>
        <v>Round 1010 CT200  0.018" (B)</v>
      </c>
      <c r="D4333" s="420" t="s">
        <v>12</v>
      </c>
      <c r="E4333" s="421">
        <v>23</v>
      </c>
      <c r="F4333" s="580"/>
      <c r="G4333" s="417" t="s">
        <v>2834</v>
      </c>
      <c r="H4333" s="598">
        <v>14336282</v>
      </c>
      <c r="I4333" s="322" t="s">
        <v>2522</v>
      </c>
      <c r="J4333" s="418"/>
      <c r="K4333" s="248"/>
      <c r="M4333" s="366"/>
    </row>
    <row r="4334" spans="1:13" x14ac:dyDescent="0.25">
      <c r="A4334" s="308">
        <v>45791</v>
      </c>
      <c r="B4334" s="416">
        <v>1293118</v>
      </c>
      <c r="C4334" s="413" t="str">
        <f>IFERROR(INDEX(Table14[],MATCH($B4334,Table14[SAPNo],0),3),"")</f>
        <v>0808 CT158NL 0.018"</v>
      </c>
      <c r="D4334" s="420" t="s">
        <v>12</v>
      </c>
      <c r="E4334" s="421">
        <v>10</v>
      </c>
      <c r="F4334" s="580"/>
      <c r="G4334" s="417" t="s">
        <v>2834</v>
      </c>
      <c r="H4334" s="598">
        <v>14336282</v>
      </c>
      <c r="I4334" s="322" t="s">
        <v>2522</v>
      </c>
      <c r="J4334" s="418"/>
      <c r="K4334" s="248"/>
      <c r="M4334" s="366"/>
    </row>
    <row r="4335" spans="1:13" x14ac:dyDescent="0.25">
      <c r="A4335" s="308">
        <v>45791</v>
      </c>
      <c r="B4335" s="416">
        <v>1261321</v>
      </c>
      <c r="C4335" s="413" t="str">
        <f>IFERROR(INDEX(Table14[],MATCH($B4335,Table14[SAPNo],0),3),"")</f>
        <v>1613 CT155 U-60</v>
      </c>
      <c r="D4335" s="420" t="s">
        <v>12</v>
      </c>
      <c r="E4335" s="421">
        <v>3</v>
      </c>
      <c r="F4335" s="580"/>
      <c r="G4335" s="417" t="s">
        <v>2835</v>
      </c>
      <c r="H4335" s="598">
        <v>14369041</v>
      </c>
      <c r="I4335" s="322" t="s">
        <v>2836</v>
      </c>
      <c r="J4335" s="418"/>
      <c r="K4335" s="248"/>
      <c r="M4335" s="366"/>
    </row>
    <row r="4336" spans="1:13" x14ac:dyDescent="0.25">
      <c r="A4336" s="308">
        <v>45791</v>
      </c>
      <c r="B4336" s="416">
        <v>1104743</v>
      </c>
      <c r="C4336" s="413" t="str">
        <f>IFERROR(INDEX(Table14[],MATCH($B4336,Table14[SAPNo],0),3),"")</f>
        <v>Round 1308 CR45  10C (T)</v>
      </c>
      <c r="D4336" s="420" t="s">
        <v>12</v>
      </c>
      <c r="E4336" s="421">
        <v>7</v>
      </c>
      <c r="F4336" s="580"/>
      <c r="G4336" s="417" t="s">
        <v>2835</v>
      </c>
      <c r="H4336" s="598">
        <v>14369041</v>
      </c>
      <c r="I4336" s="322" t="s">
        <v>2836</v>
      </c>
      <c r="J4336" s="418"/>
      <c r="K4336" s="248"/>
      <c r="M4336" s="366"/>
    </row>
    <row r="4337" spans="1:13" x14ac:dyDescent="0.25">
      <c r="A4337" s="308">
        <v>45791</v>
      </c>
      <c r="B4337" s="416">
        <v>1176639</v>
      </c>
      <c r="C4337" s="413" t="str">
        <f>IFERROR(INDEX(Table14[],MATCH($B4337,Table14[SAPNo],0),3),"")</f>
        <v>Round 1308 CT 155  0.018 (T)</v>
      </c>
      <c r="D4337" s="420" t="s">
        <v>12</v>
      </c>
      <c r="E4337" s="421">
        <v>2</v>
      </c>
      <c r="F4337" s="580"/>
      <c r="G4337" s="417" t="s">
        <v>2835</v>
      </c>
      <c r="H4337" s="598">
        <v>14369041</v>
      </c>
      <c r="I4337" s="322" t="s">
        <v>2836</v>
      </c>
      <c r="J4337" s="418"/>
      <c r="K4337" s="248"/>
      <c r="M4337" s="366"/>
    </row>
    <row r="4338" spans="1:13" x14ac:dyDescent="0.25">
      <c r="A4338" s="308">
        <v>45791</v>
      </c>
      <c r="B4338" s="416">
        <v>1228501</v>
      </c>
      <c r="C4338" s="413" t="str">
        <f>IFERROR(INDEX(Table14[],MATCH($B4338,Table14[SAPNo],0),3),"")</f>
        <v>1618 CT182 U-60 stator</v>
      </c>
      <c r="D4338" s="420" t="s">
        <v>12</v>
      </c>
      <c r="E4338" s="421">
        <v>10</v>
      </c>
      <c r="F4338" s="580"/>
      <c r="G4338" s="417" t="s">
        <v>2835</v>
      </c>
      <c r="H4338" s="598">
        <v>14369041</v>
      </c>
      <c r="I4338" s="322" t="s">
        <v>2836</v>
      </c>
      <c r="J4338" s="418"/>
      <c r="K4338" s="248"/>
      <c r="M4338" s="366"/>
    </row>
    <row r="4339" spans="1:13" x14ac:dyDescent="0.25">
      <c r="A4339" s="308">
        <v>45791</v>
      </c>
      <c r="B4339" s="416">
        <v>1228502</v>
      </c>
      <c r="C4339" s="413" t="str">
        <f>IFERROR(INDEX(Table14[],MATCH($B4339,Table14[SAPNo],0),3),"")</f>
        <v>1618 CT182 U-60 Rotor</v>
      </c>
      <c r="D4339" s="420" t="s">
        <v>12</v>
      </c>
      <c r="E4339" s="421">
        <v>10</v>
      </c>
      <c r="F4339" s="580"/>
      <c r="G4339" s="417" t="s">
        <v>2835</v>
      </c>
      <c r="H4339" s="598">
        <v>14369041</v>
      </c>
      <c r="I4339" s="322" t="s">
        <v>2836</v>
      </c>
      <c r="J4339" s="418"/>
      <c r="K4339" s="248"/>
      <c r="M4339" s="366"/>
    </row>
    <row r="4340" spans="1:13" x14ac:dyDescent="0.25">
      <c r="A4340" s="308">
        <v>45791</v>
      </c>
      <c r="B4340" s="416">
        <v>1228503</v>
      </c>
      <c r="C4340" s="413" t="str">
        <f>IFERROR(INDEX(Table14[],MATCH($B4340,Table14[SAPNo],0),3),"")</f>
        <v>1618 CT182 U-60 Ring</v>
      </c>
      <c r="D4340" s="420" t="s">
        <v>12</v>
      </c>
      <c r="E4340" s="421">
        <v>10</v>
      </c>
      <c r="F4340" s="580"/>
      <c r="G4340" s="417" t="s">
        <v>2835</v>
      </c>
      <c r="H4340" s="598">
        <v>14369041</v>
      </c>
      <c r="I4340" s="322" t="s">
        <v>2836</v>
      </c>
      <c r="J4340" s="418"/>
      <c r="K4340" s="248"/>
      <c r="M4340" s="366"/>
    </row>
    <row r="4341" spans="1:13" x14ac:dyDescent="0.25">
      <c r="A4341" s="308">
        <v>45791</v>
      </c>
      <c r="B4341" s="416">
        <v>1261320</v>
      </c>
      <c r="C4341" s="413" t="str">
        <f>IFERROR(INDEX(Table14[],MATCH($B4341,Table14[SAPNo],0),3),"")</f>
        <v>1313 CT155 U-60</v>
      </c>
      <c r="D4341" s="420" t="s">
        <v>12</v>
      </c>
      <c r="E4341" s="421">
        <v>6</v>
      </c>
      <c r="F4341" s="580"/>
      <c r="G4341" s="417" t="s">
        <v>2835</v>
      </c>
      <c r="H4341" s="598">
        <v>14369041</v>
      </c>
      <c r="I4341" s="322" t="s">
        <v>2836</v>
      </c>
      <c r="J4341" s="418"/>
      <c r="K4341" s="248"/>
      <c r="M4341" s="366"/>
    </row>
    <row r="4342" spans="1:13" x14ac:dyDescent="0.25">
      <c r="A4342" s="308">
        <v>45791</v>
      </c>
      <c r="B4342" s="416">
        <v>871781</v>
      </c>
      <c r="C4342" s="413" t="str">
        <f>IFERROR(INDEX(Table14[],MATCH($B4342,Table14[SAPNo],0),3),"")</f>
        <v>Round 1313 CT200  0.018" (B)</v>
      </c>
      <c r="D4342" s="420" t="s">
        <v>12</v>
      </c>
      <c r="E4342" s="421">
        <v>6</v>
      </c>
      <c r="F4342" s="580"/>
      <c r="G4342" s="417" t="s">
        <v>2835</v>
      </c>
      <c r="H4342" s="598">
        <v>14369041</v>
      </c>
      <c r="I4342" s="322" t="s">
        <v>2836</v>
      </c>
      <c r="J4342" s="418"/>
      <c r="K4342" s="248"/>
      <c r="M4342" s="366"/>
    </row>
    <row r="4343" spans="1:13" x14ac:dyDescent="0.25">
      <c r="A4343" s="308">
        <v>45791</v>
      </c>
      <c r="B4343" s="416">
        <v>2002299</v>
      </c>
      <c r="C4343" s="413" t="str">
        <f>IFERROR(INDEX(Table14[],MATCH($B4343,Table14[SAPNo],0),3),"")</f>
        <v>1613 CT187 U-60</v>
      </c>
      <c r="D4343" s="420" t="s">
        <v>12</v>
      </c>
      <c r="E4343" s="421">
        <v>1</v>
      </c>
      <c r="F4343" s="580"/>
      <c r="G4343" s="417" t="s">
        <v>2835</v>
      </c>
      <c r="H4343" s="598">
        <v>14369041</v>
      </c>
      <c r="I4343" s="322" t="s">
        <v>2836</v>
      </c>
      <c r="J4343" s="418"/>
      <c r="K4343" s="248"/>
      <c r="M4343" s="366"/>
    </row>
    <row r="4344" spans="1:13" x14ac:dyDescent="0.25">
      <c r="A4344" s="308">
        <v>45791</v>
      </c>
      <c r="B4344" s="416">
        <v>2004484</v>
      </c>
      <c r="C4344" s="413" t="str">
        <f>IFERROR(INDEX(Table14[],MATCH($B4344,Table14[SAPNo],0),3),"")</f>
        <v>1308 CT187 U-60</v>
      </c>
      <c r="D4344" s="420" t="s">
        <v>12</v>
      </c>
      <c r="E4344" s="421">
        <v>9</v>
      </c>
      <c r="F4344" s="580"/>
      <c r="G4344" s="417" t="s">
        <v>2835</v>
      </c>
      <c r="H4344" s="598">
        <v>14369041</v>
      </c>
      <c r="I4344" s="322" t="s">
        <v>2836</v>
      </c>
      <c r="J4344" s="418"/>
      <c r="K4344" s="248"/>
      <c r="M4344" s="366"/>
    </row>
    <row r="4345" spans="1:13" x14ac:dyDescent="0.25">
      <c r="A4345" s="308">
        <v>45791</v>
      </c>
      <c r="B4345" s="416">
        <v>1220554</v>
      </c>
      <c r="C4345" s="413" t="str">
        <f>IFERROR(INDEX(Table14[],MATCH($B4345,Table14[SAPNo],0),3),"")</f>
        <v xml:space="preserve">1618 CT182 U-60 Carbide </v>
      </c>
      <c r="D4345" s="420" t="s">
        <v>12</v>
      </c>
      <c r="E4345" s="421">
        <v>10</v>
      </c>
      <c r="F4345" s="580"/>
      <c r="G4345" s="417" t="s">
        <v>2835</v>
      </c>
      <c r="H4345" s="598">
        <v>14369041</v>
      </c>
      <c r="I4345" s="322" t="s">
        <v>2836</v>
      </c>
      <c r="J4345" s="418"/>
      <c r="K4345" s="248"/>
      <c r="M4345" s="366"/>
    </row>
    <row r="4346" spans="1:13" x14ac:dyDescent="0.25">
      <c r="A4346" s="308">
        <v>45791</v>
      </c>
      <c r="B4346" s="416">
        <v>1261319</v>
      </c>
      <c r="C4346" s="413" t="str">
        <f>IFERROR(INDEX(Table14[],MATCH($B4346,Table14[SAPNo],0),3),"")</f>
        <v>1308 CT155 U-60</v>
      </c>
      <c r="D4346" s="420" t="s">
        <v>12</v>
      </c>
      <c r="E4346" s="421">
        <v>6</v>
      </c>
      <c r="F4346" s="580"/>
      <c r="G4346" s="417" t="s">
        <v>2835</v>
      </c>
      <c r="H4346" s="598">
        <v>14369041</v>
      </c>
      <c r="I4346" s="322" t="s">
        <v>2836</v>
      </c>
      <c r="J4346" s="418"/>
      <c r="K4346" s="248"/>
      <c r="M4346" s="366"/>
    </row>
    <row r="4347" spans="1:13" x14ac:dyDescent="0.25">
      <c r="A4347" s="308">
        <v>45783</v>
      </c>
      <c r="B4347" s="416">
        <v>1078377</v>
      </c>
      <c r="C4347" s="413" t="str">
        <f>IFERROR(INDEX(Table14[],MATCH($B4347,Table14[SAPNo],0),3),"")</f>
        <v>13MM CT221 R1</v>
      </c>
      <c r="D4347" s="420" t="s">
        <v>12</v>
      </c>
      <c r="E4347" s="421">
        <v>3</v>
      </c>
      <c r="F4347" s="580"/>
      <c r="G4347" s="417" t="s">
        <v>2816</v>
      </c>
      <c r="H4347" s="598" t="s">
        <v>2817</v>
      </c>
      <c r="I4347" s="322" t="s">
        <v>2311</v>
      </c>
      <c r="J4347" s="418"/>
      <c r="K4347" s="248"/>
      <c r="M4347" s="366"/>
    </row>
    <row r="4348" spans="1:13" x14ac:dyDescent="0.25">
      <c r="A4348" s="308">
        <v>45783</v>
      </c>
      <c r="B4348" s="416">
        <v>1146737</v>
      </c>
      <c r="C4348" s="413" t="str">
        <f>IFERROR(INDEX(Table14[],MATCH($B4348,Table14[SAPNo],0),3),"")</f>
        <v>1613 CT418 18-60</v>
      </c>
      <c r="D4348" s="420" t="s">
        <v>12</v>
      </c>
      <c r="E4348" s="421">
        <v>6</v>
      </c>
      <c r="F4348" s="580"/>
      <c r="G4348" s="417" t="s">
        <v>2816</v>
      </c>
      <c r="H4348" s="598" t="s">
        <v>2817</v>
      </c>
      <c r="I4348" s="322" t="s">
        <v>2311</v>
      </c>
      <c r="J4348" s="418"/>
      <c r="K4348" s="248"/>
      <c r="M4348" s="366"/>
    </row>
    <row r="4349" spans="1:13" x14ac:dyDescent="0.25">
      <c r="A4349" s="308">
        <v>45783</v>
      </c>
      <c r="B4349" s="416">
        <v>418525</v>
      </c>
      <c r="C4349" s="413" t="str">
        <f>IFERROR(INDEX(Table14[],MATCH($B4349,Table14[SAPNo],0),3),"")</f>
        <v>Drop In 1308 CT31   (B)</v>
      </c>
      <c r="D4349" s="420" t="s">
        <v>12</v>
      </c>
      <c r="E4349" s="421">
        <v>5</v>
      </c>
      <c r="F4349" s="580"/>
      <c r="G4349" s="417" t="s">
        <v>2816</v>
      </c>
      <c r="H4349" s="598" t="s">
        <v>2817</v>
      </c>
      <c r="I4349" s="322" t="s">
        <v>2311</v>
      </c>
      <c r="J4349" s="418"/>
      <c r="K4349" s="248"/>
      <c r="M4349" s="366"/>
    </row>
    <row r="4350" spans="1:13" x14ac:dyDescent="0.25">
      <c r="A4350" s="308">
        <v>45792</v>
      </c>
      <c r="B4350" s="416">
        <v>1078377</v>
      </c>
      <c r="C4350" s="413" t="str">
        <f>IFERROR(INDEX(Table14[],MATCH($B4350,Table14[SAPNo],0),3),"")</f>
        <v>13MM CT221 R1</v>
      </c>
      <c r="D4350" s="420" t="s">
        <v>12</v>
      </c>
      <c r="E4350" s="421">
        <v>1</v>
      </c>
      <c r="F4350" s="580"/>
      <c r="G4350" s="417" t="s">
        <v>2839</v>
      </c>
      <c r="H4350" s="598" t="s">
        <v>2840</v>
      </c>
      <c r="I4350" s="322" t="s">
        <v>2311</v>
      </c>
      <c r="J4350" s="418"/>
      <c r="K4350" s="248"/>
      <c r="M4350" s="366"/>
    </row>
    <row r="4351" spans="1:13" x14ac:dyDescent="0.25">
      <c r="A4351" s="308">
        <v>45792</v>
      </c>
      <c r="B4351" s="416">
        <v>418525</v>
      </c>
      <c r="C4351" s="413" t="str">
        <f>IFERROR(INDEX(Table14[],MATCH($B4351,Table14[SAPNo],0),3),"")</f>
        <v>Drop In 1308 CT31   (B)</v>
      </c>
      <c r="D4351" s="420" t="s">
        <v>12</v>
      </c>
      <c r="E4351" s="421">
        <v>6</v>
      </c>
      <c r="F4351" s="580"/>
      <c r="G4351" s="417" t="s">
        <v>2839</v>
      </c>
      <c r="H4351" s="598" t="s">
        <v>2840</v>
      </c>
      <c r="I4351" s="322" t="s">
        <v>2311</v>
      </c>
      <c r="J4351" s="418"/>
      <c r="K4351" s="248"/>
      <c r="M4351" s="366"/>
    </row>
    <row r="4352" spans="1:13" x14ac:dyDescent="0.25">
      <c r="A4352" s="308">
        <v>45792</v>
      </c>
      <c r="B4352" s="416">
        <v>1146737</v>
      </c>
      <c r="C4352" s="413" t="str">
        <f>IFERROR(INDEX(Table14[],MATCH($B4352,Table14[SAPNo],0),3),"")</f>
        <v>1613 CT418 18-60</v>
      </c>
      <c r="D4352" s="420" t="s">
        <v>12</v>
      </c>
      <c r="E4352" s="421">
        <v>6</v>
      </c>
      <c r="F4352" s="580"/>
      <c r="G4352" s="417" t="s">
        <v>2839</v>
      </c>
      <c r="H4352" s="598" t="s">
        <v>2840</v>
      </c>
      <c r="I4352" s="322" t="s">
        <v>2311</v>
      </c>
      <c r="J4352" s="418"/>
      <c r="K4352" s="248"/>
      <c r="M4352" s="366"/>
    </row>
    <row r="4353" spans="1:13" x14ac:dyDescent="0.25">
      <c r="A4353" s="308">
        <v>45792</v>
      </c>
      <c r="B4353" s="416">
        <v>1271790</v>
      </c>
      <c r="C4353" s="413" t="str">
        <f>IFERROR(INDEX(Table14[],MATCH($B4353,Table14[SAPNo],0),3),"")</f>
        <v xml:space="preserve">1613 CT170 18-60 </v>
      </c>
      <c r="D4353" s="420" t="s">
        <v>12</v>
      </c>
      <c r="E4353" s="421">
        <v>1</v>
      </c>
      <c r="F4353" s="580"/>
      <c r="G4353" s="417" t="s">
        <v>2841</v>
      </c>
      <c r="H4353" s="598" t="s">
        <v>2842</v>
      </c>
      <c r="I4353" s="322" t="s">
        <v>2768</v>
      </c>
      <c r="J4353" s="418"/>
      <c r="K4353" s="248"/>
      <c r="M4353" s="366"/>
    </row>
    <row r="4354" spans="1:13" x14ac:dyDescent="0.25">
      <c r="A4354" s="308">
        <v>45792</v>
      </c>
      <c r="B4354" s="416">
        <v>418525</v>
      </c>
      <c r="C4354" s="413" t="str">
        <f>IFERROR(INDEX(Table14[],MATCH($B4354,Table14[SAPNo],0),3),"")</f>
        <v>Drop In 1308 CT31   (B)</v>
      </c>
      <c r="D4354" s="420" t="s">
        <v>12</v>
      </c>
      <c r="E4354" s="421">
        <v>5</v>
      </c>
      <c r="F4354" s="580"/>
      <c r="G4354" s="417" t="s">
        <v>2841</v>
      </c>
      <c r="H4354" s="598" t="s">
        <v>2842</v>
      </c>
      <c r="I4354" s="322" t="s">
        <v>2768</v>
      </c>
      <c r="J4354" s="418"/>
      <c r="K4354" s="248"/>
      <c r="M4354" s="366"/>
    </row>
    <row r="4355" spans="1:13" x14ac:dyDescent="0.25">
      <c r="A4355" s="320">
        <v>45792</v>
      </c>
      <c r="B4355" s="419">
        <v>1146737</v>
      </c>
      <c r="C4355" s="413" t="str">
        <f>IFERROR(INDEX(Table14[],MATCH($B4355,Table14[SAPNo],0),3),"")</f>
        <v>1613 CT418 18-60</v>
      </c>
      <c r="D4355" s="420" t="s">
        <v>12</v>
      </c>
      <c r="E4355" s="421">
        <v>6</v>
      </c>
      <c r="F4355" s="580"/>
      <c r="G4355" s="420" t="s">
        <v>2841</v>
      </c>
      <c r="H4355" s="599" t="s">
        <v>2842</v>
      </c>
      <c r="I4355" s="322" t="s">
        <v>2768</v>
      </c>
      <c r="J4355" s="421"/>
      <c r="K4355" s="422"/>
      <c r="M4355" s="366"/>
    </row>
    <row r="4356" spans="1:13" x14ac:dyDescent="0.25">
      <c r="A4356" s="308">
        <v>45795</v>
      </c>
      <c r="B4356" s="416">
        <v>717751</v>
      </c>
      <c r="C4356" s="413" t="str">
        <f>IFERROR(INDEX(Table14[],MATCH($B4356,Table14[SAPNo],0),3),"")</f>
        <v>Round 1308 CT200  0.018" (B)</v>
      </c>
      <c r="D4356" s="420" t="s">
        <v>10</v>
      </c>
      <c r="E4356" s="421"/>
      <c r="F4356" s="421">
        <v>11</v>
      </c>
      <c r="G4356" s="417" t="s">
        <v>2815</v>
      </c>
      <c r="H4356" s="598"/>
      <c r="I4356" s="322"/>
      <c r="J4356" s="418"/>
      <c r="K4356" s="248"/>
      <c r="M4356" s="422"/>
    </row>
    <row r="4357" spans="1:13" x14ac:dyDescent="0.25">
      <c r="A4357" s="308">
        <v>45795</v>
      </c>
      <c r="B4357" s="416">
        <v>976348</v>
      </c>
      <c r="C4357" s="413" t="str">
        <f>IFERROR(INDEX(Table14[],MATCH($B4357,Table14[SAPNo],0),3),"")</f>
        <v>Round 1308 CR45 Test Cutter 10C (T)</v>
      </c>
      <c r="D4357" s="420" t="s">
        <v>10</v>
      </c>
      <c r="E4357" s="421"/>
      <c r="F4357" s="580">
        <v>19</v>
      </c>
      <c r="G4357" s="417" t="s">
        <v>2815</v>
      </c>
      <c r="H4357" s="598"/>
      <c r="I4357" s="322"/>
      <c r="J4357" s="418"/>
      <c r="K4357" s="248"/>
      <c r="M4357" s="366"/>
    </row>
    <row r="4358" spans="1:13" x14ac:dyDescent="0.25">
      <c r="A4358" s="308">
        <v>45795</v>
      </c>
      <c r="B4358" s="416">
        <v>1130194</v>
      </c>
      <c r="C4358" s="413" t="str">
        <f>IFERROR(INDEX(Table14[],MATCH($B4358,Table14[SAPNo],0),3),"")</f>
        <v>1010 CT182 18C</v>
      </c>
      <c r="D4358" s="420" t="s">
        <v>10</v>
      </c>
      <c r="E4358" s="421"/>
      <c r="F4358" s="580">
        <v>12</v>
      </c>
      <c r="G4358" s="417" t="s">
        <v>2815</v>
      </c>
      <c r="H4358" s="598"/>
      <c r="I4358" s="322"/>
      <c r="J4358" s="418"/>
      <c r="K4358" s="248"/>
      <c r="M4358" s="366"/>
    </row>
    <row r="4359" spans="1:13" x14ac:dyDescent="0.25">
      <c r="A4359" s="308">
        <v>45795</v>
      </c>
      <c r="B4359" s="416">
        <v>871781</v>
      </c>
      <c r="C4359" s="413" t="str">
        <f>IFERROR(INDEX(Table14[],MATCH($B4359,Table14[SAPNo],0),3),"")</f>
        <v>Round 1313 CT200  0.018" (B)</v>
      </c>
      <c r="D4359" s="420" t="s">
        <v>10</v>
      </c>
      <c r="E4359" s="421"/>
      <c r="F4359" s="580">
        <v>6</v>
      </c>
      <c r="G4359" s="417" t="s">
        <v>2815</v>
      </c>
      <c r="H4359" s="598"/>
      <c r="I4359" s="322"/>
      <c r="J4359" s="418"/>
      <c r="K4359" s="248"/>
      <c r="M4359" s="366"/>
    </row>
    <row r="4360" spans="1:13" x14ac:dyDescent="0.25">
      <c r="A4360" s="308">
        <v>45795</v>
      </c>
      <c r="B4360" s="416">
        <v>1146737</v>
      </c>
      <c r="C4360" s="413" t="str">
        <f>IFERROR(INDEX(Table14[],MATCH($B4360,Table14[SAPNo],0),3),"")</f>
        <v>1613 CT418 18-60</v>
      </c>
      <c r="D4360" s="420" t="s">
        <v>10</v>
      </c>
      <c r="E4360" s="421"/>
      <c r="F4360" s="580">
        <v>33</v>
      </c>
      <c r="G4360" s="417" t="s">
        <v>2815</v>
      </c>
      <c r="H4360" s="598"/>
      <c r="I4360" s="322"/>
      <c r="J4360" s="418"/>
      <c r="K4360" s="248"/>
      <c r="M4360" s="366"/>
    </row>
    <row r="4361" spans="1:13" x14ac:dyDescent="0.25">
      <c r="A4361" s="308">
        <v>45795</v>
      </c>
      <c r="B4361" s="416">
        <v>1078377</v>
      </c>
      <c r="C4361" s="413" t="str">
        <f>IFERROR(INDEX(Table14[],MATCH($B4361,Table14[SAPNo],0),3),"")</f>
        <v>13MM CT221 R1</v>
      </c>
      <c r="D4361" s="420" t="s">
        <v>10</v>
      </c>
      <c r="E4361" s="421"/>
      <c r="F4361" s="580">
        <v>15</v>
      </c>
      <c r="G4361" s="417" t="s">
        <v>2815</v>
      </c>
      <c r="H4361" s="598"/>
      <c r="I4361" s="322"/>
      <c r="J4361" s="418"/>
      <c r="K4361" s="248"/>
      <c r="M4361" s="366"/>
    </row>
    <row r="4362" spans="1:13" x14ac:dyDescent="0.25">
      <c r="A4362" s="308">
        <v>45795</v>
      </c>
      <c r="B4362" s="416">
        <v>1208601</v>
      </c>
      <c r="C4362" s="413" t="str">
        <f>IFERROR(INDEX(Table14[],MATCH($B4362,Table14[SAPNo],0),3),"")</f>
        <v>1613 CT418 U-60</v>
      </c>
      <c r="D4362" s="420" t="s">
        <v>10</v>
      </c>
      <c r="E4362" s="421"/>
      <c r="F4362" s="580">
        <v>14</v>
      </c>
      <c r="G4362" s="417" t="s">
        <v>2815</v>
      </c>
      <c r="H4362" s="598"/>
      <c r="I4362" s="322"/>
      <c r="J4362" s="418"/>
      <c r="K4362" s="248"/>
      <c r="M4362" s="366"/>
    </row>
    <row r="4363" spans="1:13" x14ac:dyDescent="0.25">
      <c r="A4363" s="308">
        <v>45795</v>
      </c>
      <c r="B4363" s="416">
        <v>1271790</v>
      </c>
      <c r="C4363" s="413" t="str">
        <f>IFERROR(INDEX(Table14[],MATCH($B4363,Table14[SAPNo],0),3),"")</f>
        <v xml:space="preserve">1613 CT170 18-60 </v>
      </c>
      <c r="D4363" s="420" t="s">
        <v>10</v>
      </c>
      <c r="E4363" s="421"/>
      <c r="F4363" s="580">
        <v>30</v>
      </c>
      <c r="G4363" s="417" t="s">
        <v>2815</v>
      </c>
      <c r="H4363" s="598"/>
      <c r="I4363" s="322"/>
      <c r="J4363" s="418"/>
      <c r="K4363" s="248"/>
      <c r="M4363" s="366"/>
    </row>
    <row r="4364" spans="1:13" x14ac:dyDescent="0.25">
      <c r="A4364" s="320">
        <v>45795</v>
      </c>
      <c r="B4364" s="419">
        <v>717748</v>
      </c>
      <c r="C4364" s="413" t="str">
        <f>IFERROR(INDEX(Table14[],MATCH($B4364,Table14[SAPNo],0),3),"")</f>
        <v>Round 1010 CT200  0.018" (B)</v>
      </c>
      <c r="D4364" s="420" t="s">
        <v>10</v>
      </c>
      <c r="E4364" s="421"/>
      <c r="F4364" s="580">
        <v>10</v>
      </c>
      <c r="G4364" s="420" t="s">
        <v>2815</v>
      </c>
      <c r="H4364" s="599"/>
      <c r="I4364" s="322"/>
      <c r="J4364" s="421"/>
      <c r="K4364" s="422"/>
      <c r="M4364" s="366"/>
    </row>
    <row r="4365" spans="1:13" x14ac:dyDescent="0.25">
      <c r="A4365" s="308">
        <v>45796</v>
      </c>
      <c r="B4365" s="416">
        <v>2002243</v>
      </c>
      <c r="C4365" s="413" t="str">
        <f>IFERROR(INDEX(Table14[],MATCH($B4365,Table14[SAPNo],0),3),"")</f>
        <v>1308 CT188 U-60</v>
      </c>
      <c r="D4365" s="420" t="s">
        <v>12</v>
      </c>
      <c r="E4365" s="421"/>
      <c r="F4365" s="421">
        <v>19</v>
      </c>
      <c r="G4365" s="420" t="s">
        <v>2513</v>
      </c>
      <c r="H4365" s="598"/>
      <c r="I4365" s="322"/>
      <c r="J4365" s="418" t="s">
        <v>1002</v>
      </c>
      <c r="K4365" s="248"/>
      <c r="M4365" s="422"/>
    </row>
    <row r="4366" spans="1:13" x14ac:dyDescent="0.25">
      <c r="A4366" s="320">
        <v>45796</v>
      </c>
      <c r="B4366" s="419">
        <v>2002245</v>
      </c>
      <c r="C4366" s="413" t="str">
        <f>IFERROR(INDEX(Table14[],MATCH($B4366,Table14[SAPNo],0),3),"")</f>
        <v>1613 CT188 U-60</v>
      </c>
      <c r="D4366" s="420" t="s">
        <v>12</v>
      </c>
      <c r="E4366" s="421"/>
      <c r="F4366" s="580">
        <v>10</v>
      </c>
      <c r="G4366" s="420" t="s">
        <v>2513</v>
      </c>
      <c r="H4366" s="599"/>
      <c r="I4366" s="322"/>
      <c r="J4366" s="418" t="s">
        <v>1001</v>
      </c>
      <c r="K4366" s="422"/>
      <c r="M4366" s="366"/>
    </row>
    <row r="4367" spans="1:13" x14ac:dyDescent="0.25">
      <c r="A4367" s="308">
        <v>45795</v>
      </c>
      <c r="B4367" s="416">
        <v>717748</v>
      </c>
      <c r="C4367" s="413" t="str">
        <f>IFERROR(INDEX(Table14[],MATCH($B4367,Table14[SAPNo],0),3),"")</f>
        <v>Round 1010 CT200  0.018" (B)</v>
      </c>
      <c r="D4367" s="420" t="s">
        <v>12</v>
      </c>
      <c r="E4367" s="421">
        <v>6</v>
      </c>
      <c r="F4367" s="421"/>
      <c r="G4367" s="417">
        <v>20251066</v>
      </c>
      <c r="H4367" s="598" t="s">
        <v>2843</v>
      </c>
      <c r="I4367" s="322" t="s">
        <v>1268</v>
      </c>
      <c r="J4367" s="418"/>
      <c r="K4367" s="248"/>
      <c r="M4367" s="422"/>
    </row>
    <row r="4368" spans="1:13" x14ac:dyDescent="0.25">
      <c r="A4368" s="308">
        <v>45796</v>
      </c>
      <c r="B4368" s="416">
        <v>717748</v>
      </c>
      <c r="C4368" s="413" t="str">
        <f>IFERROR(INDEX(Table14[],MATCH($B4368,Table14[SAPNo],0),3),"")</f>
        <v>Round 1010 CT200  0.018" (B)</v>
      </c>
      <c r="D4368" s="420" t="s">
        <v>12</v>
      </c>
      <c r="E4368" s="421">
        <v>1</v>
      </c>
      <c r="F4368" s="580"/>
      <c r="G4368" s="417">
        <v>20251066</v>
      </c>
      <c r="H4368" s="598" t="s">
        <v>2843</v>
      </c>
      <c r="I4368" s="322" t="s">
        <v>1268</v>
      </c>
      <c r="J4368" s="418"/>
      <c r="K4368" s="248" t="s">
        <v>2546</v>
      </c>
      <c r="M4368" s="366"/>
    </row>
    <row r="4369" spans="1:13" x14ac:dyDescent="0.25">
      <c r="A4369" s="308">
        <v>45791</v>
      </c>
      <c r="B4369" s="416">
        <v>1146737</v>
      </c>
      <c r="C4369" s="413" t="str">
        <f>IFERROR(INDEX(Table14[],MATCH($B4369,Table14[SAPNo],0),3),"")</f>
        <v>1613 CT418 18-60</v>
      </c>
      <c r="D4369" s="420" t="s">
        <v>12</v>
      </c>
      <c r="E4369" s="421">
        <v>6</v>
      </c>
      <c r="F4369" s="580"/>
      <c r="G4369" s="417" t="s">
        <v>2837</v>
      </c>
      <c r="H4369" s="598" t="s">
        <v>2838</v>
      </c>
      <c r="I4369" s="322" t="s">
        <v>1273</v>
      </c>
      <c r="J4369" s="418"/>
      <c r="K4369" s="248"/>
      <c r="M4369" s="366"/>
    </row>
    <row r="4370" spans="1:13" x14ac:dyDescent="0.25">
      <c r="A4370" s="308">
        <v>45791</v>
      </c>
      <c r="B4370" s="416">
        <v>418525</v>
      </c>
      <c r="C4370" s="413" t="str">
        <f>IFERROR(INDEX(Table14[],MATCH($B4370,Table14[SAPNo],0),3),"")</f>
        <v>Drop In 1308 CT31   (B)</v>
      </c>
      <c r="D4370" s="420" t="s">
        <v>12</v>
      </c>
      <c r="E4370" s="421">
        <v>3</v>
      </c>
      <c r="F4370" s="580"/>
      <c r="G4370" s="417" t="s">
        <v>2837</v>
      </c>
      <c r="H4370" s="598" t="s">
        <v>2838</v>
      </c>
      <c r="I4370" s="322" t="s">
        <v>1273</v>
      </c>
      <c r="J4370" s="418"/>
      <c r="K4370" s="248"/>
      <c r="M4370" s="366"/>
    </row>
    <row r="4371" spans="1:13" x14ac:dyDescent="0.25">
      <c r="A4371" s="308">
        <v>45791</v>
      </c>
      <c r="B4371" s="416">
        <v>1078377</v>
      </c>
      <c r="C4371" s="413" t="str">
        <f>IFERROR(INDEX(Table14[],MATCH($B4371,Table14[SAPNo],0),3),"")</f>
        <v>13MM CT221 R1</v>
      </c>
      <c r="D4371" s="420" t="s">
        <v>12</v>
      </c>
      <c r="E4371" s="421">
        <v>1</v>
      </c>
      <c r="F4371" s="580"/>
      <c r="G4371" s="417" t="s">
        <v>2837</v>
      </c>
      <c r="H4371" s="598" t="s">
        <v>2838</v>
      </c>
      <c r="I4371" s="322" t="s">
        <v>1273</v>
      </c>
      <c r="J4371" s="418"/>
      <c r="K4371" s="248"/>
      <c r="M4371" s="366"/>
    </row>
    <row r="4372" spans="1:13" x14ac:dyDescent="0.25">
      <c r="A4372" s="308">
        <v>45796</v>
      </c>
      <c r="B4372" s="416">
        <v>1146737</v>
      </c>
      <c r="C4372" s="413" t="str">
        <f>IFERROR(INDEX(Table14[],MATCH($B4372,Table14[SAPNo],0),3),"")</f>
        <v>1613 CT418 18-60</v>
      </c>
      <c r="D4372" s="420" t="s">
        <v>12</v>
      </c>
      <c r="E4372" s="421">
        <v>6</v>
      </c>
      <c r="F4372" s="580"/>
      <c r="G4372" s="417" t="s">
        <v>2844</v>
      </c>
      <c r="H4372" s="598">
        <v>14353148</v>
      </c>
      <c r="I4372" s="322" t="s">
        <v>2729</v>
      </c>
      <c r="J4372" s="418"/>
      <c r="K4372" s="248"/>
      <c r="M4372" s="366"/>
    </row>
    <row r="4373" spans="1:13" x14ac:dyDescent="0.25">
      <c r="A4373" s="308">
        <v>45796</v>
      </c>
      <c r="B4373" s="416">
        <v>418525</v>
      </c>
      <c r="C4373" s="413" t="str">
        <f>IFERROR(INDEX(Table14[],MATCH($B4373,Table14[SAPNo],0),3),"")</f>
        <v>Drop In 1308 CT31   (B)</v>
      </c>
      <c r="D4373" s="420" t="s">
        <v>12</v>
      </c>
      <c r="E4373" s="421">
        <v>6</v>
      </c>
      <c r="F4373" s="580"/>
      <c r="G4373" s="417" t="s">
        <v>2844</v>
      </c>
      <c r="H4373" s="598">
        <v>14353148</v>
      </c>
      <c r="I4373" s="322" t="s">
        <v>2729</v>
      </c>
      <c r="J4373" s="418"/>
      <c r="K4373" s="248"/>
      <c r="M4373" s="366"/>
    </row>
    <row r="4374" spans="1:13" x14ac:dyDescent="0.25">
      <c r="A4374" s="308">
        <v>45796</v>
      </c>
      <c r="B4374" s="416">
        <v>1078377</v>
      </c>
      <c r="C4374" s="413" t="str">
        <f>IFERROR(INDEX(Table14[],MATCH($B4374,Table14[SAPNo],0),3),"")</f>
        <v>13MM CT221 R1</v>
      </c>
      <c r="D4374" s="420" t="s">
        <v>12</v>
      </c>
      <c r="E4374" s="421">
        <v>2</v>
      </c>
      <c r="F4374" s="580"/>
      <c r="G4374" s="417" t="s">
        <v>2844</v>
      </c>
      <c r="H4374" s="598">
        <v>14353148</v>
      </c>
      <c r="I4374" s="322" t="s">
        <v>2729</v>
      </c>
      <c r="J4374" s="418"/>
      <c r="K4374" s="248"/>
      <c r="M4374" s="366"/>
    </row>
    <row r="4375" spans="1:13" x14ac:dyDescent="0.25">
      <c r="A4375" s="308">
        <v>45797</v>
      </c>
      <c r="B4375" s="416">
        <v>1146346</v>
      </c>
      <c r="C4375" s="413" t="str">
        <f>IFERROR(INDEX(Table14[],MATCH($B4375,Table14[SAPNo],0),3),"")</f>
        <v>1313 CT418 18-60</v>
      </c>
      <c r="D4375" s="420" t="s">
        <v>12</v>
      </c>
      <c r="E4375" s="421">
        <v>6</v>
      </c>
      <c r="F4375" s="580"/>
      <c r="G4375" s="417">
        <v>20251067</v>
      </c>
      <c r="H4375" s="598" t="s">
        <v>2845</v>
      </c>
      <c r="I4375" s="322" t="s">
        <v>2590</v>
      </c>
      <c r="J4375" s="418"/>
      <c r="K4375" s="248"/>
      <c r="M4375" s="366"/>
    </row>
    <row r="4376" spans="1:13" x14ac:dyDescent="0.25">
      <c r="A4376" s="308">
        <v>45797</v>
      </c>
      <c r="B4376" s="416">
        <v>418525</v>
      </c>
      <c r="C4376" s="413" t="str">
        <f>IFERROR(INDEX(Table14[],MATCH($B4376,Table14[SAPNo],0),3),"")</f>
        <v>Drop In 1308 CT31   (B)</v>
      </c>
      <c r="D4376" s="420" t="s">
        <v>12</v>
      </c>
      <c r="E4376" s="421">
        <v>2</v>
      </c>
      <c r="F4376" s="580"/>
      <c r="G4376" s="417">
        <v>20251067</v>
      </c>
      <c r="H4376" s="598" t="s">
        <v>2845</v>
      </c>
      <c r="I4376" s="322" t="s">
        <v>2590</v>
      </c>
      <c r="J4376" s="418"/>
      <c r="K4376" s="248"/>
      <c r="M4376" s="366"/>
    </row>
    <row r="4377" spans="1:13" x14ac:dyDescent="0.25">
      <c r="A4377" s="308">
        <v>45797</v>
      </c>
      <c r="B4377" s="416">
        <v>1263929</v>
      </c>
      <c r="C4377" s="413" t="str">
        <f>IFERROR(INDEX(Table14[],MATCH($B4377,Table14[SAPNo],0),3),"")</f>
        <v>1613 CT437 18-60</v>
      </c>
      <c r="D4377" s="420" t="s">
        <v>12</v>
      </c>
      <c r="E4377" s="421">
        <v>6</v>
      </c>
      <c r="F4377" s="580"/>
      <c r="G4377" s="417" t="s">
        <v>2846</v>
      </c>
      <c r="H4377" s="598">
        <v>14199930</v>
      </c>
      <c r="I4377" s="322" t="s">
        <v>2659</v>
      </c>
      <c r="J4377" s="418"/>
      <c r="K4377" s="248"/>
      <c r="M4377" s="366"/>
    </row>
    <row r="4378" spans="1:13" x14ac:dyDescent="0.25">
      <c r="A4378" s="308">
        <v>45797</v>
      </c>
      <c r="B4378" s="416">
        <v>871781</v>
      </c>
      <c r="C4378" s="413" t="str">
        <f>IFERROR(INDEX(Table14[],MATCH($B4378,Table14[SAPNo],0),3),"")</f>
        <v>Round 1313 CT200  0.018" (B)</v>
      </c>
      <c r="D4378" s="420" t="s">
        <v>12</v>
      </c>
      <c r="E4378" s="421">
        <v>7</v>
      </c>
      <c r="F4378" s="580"/>
      <c r="G4378" s="417" t="s">
        <v>2846</v>
      </c>
      <c r="H4378" s="598">
        <v>14199930</v>
      </c>
      <c r="I4378" s="322" t="s">
        <v>2659</v>
      </c>
      <c r="J4378" s="418"/>
      <c r="K4378" s="248"/>
      <c r="M4378" s="366"/>
    </row>
    <row r="4379" spans="1:13" x14ac:dyDescent="0.25">
      <c r="A4379" s="308">
        <v>45797</v>
      </c>
      <c r="B4379" s="416">
        <v>625854</v>
      </c>
      <c r="C4379" s="413" t="str">
        <f>IFERROR(INDEX(Table14[],MATCH($B4379,Table14[SAPNo],0),3),"")</f>
        <v>Carbide IA 1318    (C)</v>
      </c>
      <c r="D4379" s="420" t="s">
        <v>12</v>
      </c>
      <c r="E4379" s="421">
        <v>6</v>
      </c>
      <c r="F4379" s="580"/>
      <c r="G4379" s="417" t="s">
        <v>2846</v>
      </c>
      <c r="H4379" s="598">
        <v>14199930</v>
      </c>
      <c r="I4379" s="322" t="s">
        <v>2659</v>
      </c>
      <c r="J4379" s="418"/>
      <c r="K4379" s="248"/>
      <c r="M4379" s="366"/>
    </row>
    <row r="4380" spans="1:13" x14ac:dyDescent="0.25">
      <c r="A4380" s="308">
        <v>45797</v>
      </c>
      <c r="B4380" s="416">
        <v>1146737</v>
      </c>
      <c r="C4380" s="413" t="str">
        <f>IFERROR(INDEX(Table14[],MATCH($B4380,Table14[SAPNo],0),3),"")</f>
        <v>1613 CT418 18-60</v>
      </c>
      <c r="D4380" s="420" t="s">
        <v>12</v>
      </c>
      <c r="E4380" s="421">
        <v>8</v>
      </c>
      <c r="F4380" s="580"/>
      <c r="G4380" s="417" t="s">
        <v>2846</v>
      </c>
      <c r="H4380" s="598">
        <v>14199930</v>
      </c>
      <c r="I4380" s="322" t="s">
        <v>2659</v>
      </c>
      <c r="J4380" s="418"/>
      <c r="K4380" s="248"/>
      <c r="M4380" s="366"/>
    </row>
    <row r="4381" spans="1:13" x14ac:dyDescent="0.25">
      <c r="A4381" s="308">
        <v>45797</v>
      </c>
      <c r="B4381" s="416">
        <v>1199265</v>
      </c>
      <c r="C4381" s="413" t="str">
        <f>IFERROR(INDEX(Table14[],MATCH($B4381,Table14[SAPNo],0),3),"")</f>
        <v>1613 CT158 18C</v>
      </c>
      <c r="D4381" s="420" t="s">
        <v>12</v>
      </c>
      <c r="E4381" s="421">
        <v>21</v>
      </c>
      <c r="F4381" s="580"/>
      <c r="G4381" s="417" t="s">
        <v>2846</v>
      </c>
      <c r="H4381" s="598">
        <v>14199930</v>
      </c>
      <c r="I4381" s="322" t="s">
        <v>2659</v>
      </c>
      <c r="J4381" s="418"/>
      <c r="K4381" s="248"/>
      <c r="M4381" s="366"/>
    </row>
    <row r="4382" spans="1:13" x14ac:dyDescent="0.25">
      <c r="A4382" s="308">
        <v>45797</v>
      </c>
      <c r="B4382" s="416">
        <v>1208601</v>
      </c>
      <c r="C4382" s="413" t="str">
        <f>IFERROR(INDEX(Table14[],MATCH($B4382,Table14[SAPNo],0),3),"")</f>
        <v>1613 CT418 U-60</v>
      </c>
      <c r="D4382" s="420" t="s">
        <v>12</v>
      </c>
      <c r="E4382" s="421">
        <v>11</v>
      </c>
      <c r="F4382" s="580"/>
      <c r="G4382" s="417" t="s">
        <v>2846</v>
      </c>
      <c r="H4382" s="598">
        <v>14199930</v>
      </c>
      <c r="I4382" s="322" t="s">
        <v>2659</v>
      </c>
      <c r="J4382" s="418"/>
      <c r="K4382" s="248"/>
      <c r="M4382" s="366"/>
    </row>
    <row r="4383" spans="1:13" x14ac:dyDescent="0.25">
      <c r="A4383" s="308">
        <v>45797</v>
      </c>
      <c r="B4383" s="416">
        <v>1290837</v>
      </c>
      <c r="C4383" s="413" t="str">
        <f>IFERROR(INDEX(Table14[],MATCH($B4383,Table14[SAPNo],0),3),"")</f>
        <v>1613 CT184R U</v>
      </c>
      <c r="D4383" s="420" t="s">
        <v>12</v>
      </c>
      <c r="E4383" s="421">
        <v>30</v>
      </c>
      <c r="F4383" s="580"/>
      <c r="G4383" s="417" t="s">
        <v>2846</v>
      </c>
      <c r="H4383" s="598">
        <v>14199930</v>
      </c>
      <c r="I4383" s="322" t="s">
        <v>2659</v>
      </c>
      <c r="J4383" s="418"/>
      <c r="K4383" s="248"/>
      <c r="M4383" s="366"/>
    </row>
    <row r="4384" spans="1:13" x14ac:dyDescent="0.25">
      <c r="A4384" s="308">
        <v>45797</v>
      </c>
      <c r="B4384" s="416">
        <v>1228501</v>
      </c>
      <c r="C4384" s="413" t="str">
        <f>IFERROR(INDEX(Table14[],MATCH($B4384,Table14[SAPNo],0),3),"")</f>
        <v>1618 CT182 U-60 stator</v>
      </c>
      <c r="D4384" s="420" t="s">
        <v>12</v>
      </c>
      <c r="E4384" s="421">
        <v>10</v>
      </c>
      <c r="F4384" s="580"/>
      <c r="G4384" s="417" t="s">
        <v>2847</v>
      </c>
      <c r="H4384" s="598">
        <v>14369042</v>
      </c>
      <c r="I4384" s="322" t="s">
        <v>2836</v>
      </c>
      <c r="J4384" s="418"/>
      <c r="K4384" s="248"/>
      <c r="M4384" s="366"/>
    </row>
    <row r="4385" spans="1:13" x14ac:dyDescent="0.25">
      <c r="A4385" s="308">
        <v>45797</v>
      </c>
      <c r="B4385" s="416">
        <v>1228502</v>
      </c>
      <c r="C4385" s="413" t="str">
        <f>IFERROR(INDEX(Table14[],MATCH($B4385,Table14[SAPNo],0),3),"")</f>
        <v>1618 CT182 U-60 Rotor</v>
      </c>
      <c r="D4385" s="420" t="s">
        <v>12</v>
      </c>
      <c r="E4385" s="421">
        <v>10</v>
      </c>
      <c r="F4385" s="580"/>
      <c r="G4385" s="417" t="s">
        <v>2847</v>
      </c>
      <c r="H4385" s="598">
        <v>14369042</v>
      </c>
      <c r="I4385" s="322" t="s">
        <v>2836</v>
      </c>
      <c r="J4385" s="418"/>
      <c r="K4385" s="248"/>
      <c r="M4385" s="366"/>
    </row>
    <row r="4386" spans="1:13" x14ac:dyDescent="0.25">
      <c r="A4386" s="308">
        <v>45797</v>
      </c>
      <c r="B4386" s="416">
        <v>1228503</v>
      </c>
      <c r="C4386" s="413" t="str">
        <f>IFERROR(INDEX(Table14[],MATCH($B4386,Table14[SAPNo],0),3),"")</f>
        <v>1618 CT182 U-60 Ring</v>
      </c>
      <c r="D4386" s="420" t="s">
        <v>12</v>
      </c>
      <c r="E4386" s="421">
        <v>10</v>
      </c>
      <c r="F4386" s="580"/>
      <c r="G4386" s="417" t="s">
        <v>2847</v>
      </c>
      <c r="H4386" s="598">
        <v>14369042</v>
      </c>
      <c r="I4386" s="322" t="s">
        <v>2836</v>
      </c>
      <c r="J4386" s="418"/>
      <c r="K4386" s="248"/>
      <c r="M4386" s="366"/>
    </row>
    <row r="4387" spans="1:13" x14ac:dyDescent="0.25">
      <c r="A4387" s="308">
        <v>45797</v>
      </c>
      <c r="B4387" s="416">
        <v>1261321</v>
      </c>
      <c r="C4387" s="413" t="str">
        <f>IFERROR(INDEX(Table14[],MATCH($B4387,Table14[SAPNo],0),3),"")</f>
        <v>1613 CT155 U-60</v>
      </c>
      <c r="D4387" s="420" t="s">
        <v>12</v>
      </c>
      <c r="E4387" s="421">
        <v>3</v>
      </c>
      <c r="F4387" s="580"/>
      <c r="G4387" s="417" t="s">
        <v>2847</v>
      </c>
      <c r="H4387" s="598">
        <v>14369042</v>
      </c>
      <c r="I4387" s="322" t="s">
        <v>2836</v>
      </c>
      <c r="J4387" s="418"/>
      <c r="K4387" s="248"/>
      <c r="M4387" s="366"/>
    </row>
    <row r="4388" spans="1:13" x14ac:dyDescent="0.25">
      <c r="A4388" s="308">
        <v>45797</v>
      </c>
      <c r="B4388" s="416">
        <v>871781</v>
      </c>
      <c r="C4388" s="413" t="str">
        <f>IFERROR(INDEX(Table14[],MATCH($B4388,Table14[SAPNo],0),3),"")</f>
        <v>Round 1313 CT200  0.018" (B)</v>
      </c>
      <c r="D4388" s="420" t="s">
        <v>12</v>
      </c>
      <c r="E4388" s="421">
        <v>6</v>
      </c>
      <c r="F4388" s="580"/>
      <c r="G4388" s="417" t="s">
        <v>2847</v>
      </c>
      <c r="H4388" s="598">
        <v>14369042</v>
      </c>
      <c r="I4388" s="322" t="s">
        <v>2836</v>
      </c>
      <c r="J4388" s="418"/>
      <c r="K4388" s="248"/>
      <c r="M4388" s="366"/>
    </row>
    <row r="4389" spans="1:13" x14ac:dyDescent="0.25">
      <c r="A4389" s="308">
        <v>45797</v>
      </c>
      <c r="B4389" s="416">
        <v>2002243</v>
      </c>
      <c r="C4389" s="413" t="str">
        <f>IFERROR(INDEX(Table14[],MATCH($B4389,Table14[SAPNo],0),3),"")</f>
        <v>1308 CT188 U-60</v>
      </c>
      <c r="D4389" s="420" t="s">
        <v>12</v>
      </c>
      <c r="E4389" s="421">
        <v>15</v>
      </c>
      <c r="F4389" s="580"/>
      <c r="G4389" s="417" t="s">
        <v>2847</v>
      </c>
      <c r="H4389" s="598">
        <v>14369042</v>
      </c>
      <c r="I4389" s="322" t="s">
        <v>2836</v>
      </c>
      <c r="J4389" s="418"/>
      <c r="K4389" s="248"/>
      <c r="M4389" s="366"/>
    </row>
    <row r="4390" spans="1:13" x14ac:dyDescent="0.25">
      <c r="A4390" s="308">
        <v>45797</v>
      </c>
      <c r="B4390" s="416">
        <v>2002299</v>
      </c>
      <c r="C4390" s="413" t="str">
        <f>IFERROR(INDEX(Table14[],MATCH($B4390,Table14[SAPNo],0),3),"")</f>
        <v>1613 CT187 U-60</v>
      </c>
      <c r="D4390" s="420" t="s">
        <v>12</v>
      </c>
      <c r="E4390" s="421">
        <v>1</v>
      </c>
      <c r="F4390" s="580"/>
      <c r="G4390" s="417" t="s">
        <v>2847</v>
      </c>
      <c r="H4390" s="598">
        <v>14369042</v>
      </c>
      <c r="I4390" s="322" t="s">
        <v>2836</v>
      </c>
      <c r="J4390" s="418"/>
      <c r="K4390" s="248"/>
      <c r="M4390" s="366"/>
    </row>
    <row r="4391" spans="1:13" x14ac:dyDescent="0.25">
      <c r="A4391" s="308">
        <v>45797</v>
      </c>
      <c r="B4391" s="416">
        <v>2004484</v>
      </c>
      <c r="C4391" s="413" t="str">
        <f>IFERROR(INDEX(Table14[],MATCH($B4391,Table14[SAPNo],0),3),"")</f>
        <v>1308 CT187 U-60</v>
      </c>
      <c r="D4391" s="420" t="s">
        <v>12</v>
      </c>
      <c r="E4391" s="421">
        <v>9</v>
      </c>
      <c r="F4391" s="580"/>
      <c r="G4391" s="417" t="s">
        <v>2847</v>
      </c>
      <c r="H4391" s="598">
        <v>14369042</v>
      </c>
      <c r="I4391" s="322" t="s">
        <v>2836</v>
      </c>
      <c r="J4391" s="418"/>
      <c r="K4391" s="248"/>
      <c r="M4391" s="366"/>
    </row>
    <row r="4392" spans="1:13" x14ac:dyDescent="0.25">
      <c r="A4392" s="308">
        <v>45797</v>
      </c>
      <c r="B4392" s="416">
        <v>1220554</v>
      </c>
      <c r="C4392" s="413" t="str">
        <f>IFERROR(INDEX(Table14[],MATCH($B4392,Table14[SAPNo],0),3),"")</f>
        <v xml:space="preserve">1618 CT182 U-60 Carbide </v>
      </c>
      <c r="D4392" s="420" t="s">
        <v>12</v>
      </c>
      <c r="E4392" s="421">
        <v>10</v>
      </c>
      <c r="F4392" s="580"/>
      <c r="G4392" s="417" t="s">
        <v>2847</v>
      </c>
      <c r="H4392" s="598">
        <v>14369042</v>
      </c>
      <c r="I4392" s="322" t="s">
        <v>2836</v>
      </c>
      <c r="J4392" s="418"/>
      <c r="K4392" s="248"/>
      <c r="M4392" s="366"/>
    </row>
    <row r="4393" spans="1:13" x14ac:dyDescent="0.25">
      <c r="A4393" s="320">
        <v>45797</v>
      </c>
      <c r="B4393" s="419">
        <v>1261320</v>
      </c>
      <c r="C4393" s="413" t="str">
        <f>IFERROR(INDEX(Table14[],MATCH($B4393,Table14[SAPNo],0),3),"")</f>
        <v>1313 CT155 U-60</v>
      </c>
      <c r="D4393" s="420" t="s">
        <v>12</v>
      </c>
      <c r="E4393" s="421">
        <v>6</v>
      </c>
      <c r="F4393" s="580"/>
      <c r="G4393" s="420" t="s">
        <v>2847</v>
      </c>
      <c r="H4393" s="599">
        <v>14369042</v>
      </c>
      <c r="I4393" s="322" t="s">
        <v>2836</v>
      </c>
      <c r="J4393" s="421"/>
      <c r="K4393" s="422"/>
      <c r="M4393" s="366"/>
    </row>
    <row r="4394" spans="1:13" x14ac:dyDescent="0.25">
      <c r="A4394" s="308">
        <v>45799</v>
      </c>
      <c r="B4394" s="416">
        <v>1100696</v>
      </c>
      <c r="C4394" s="413" t="str">
        <f>IFERROR(INDEX(Table14[],MATCH($B4394,Table14[SAPNo],0),3),"")</f>
        <v>Round 1313 CT418  10C (S)</v>
      </c>
      <c r="D4394" s="420" t="s">
        <v>11</v>
      </c>
      <c r="E4394" s="421">
        <v>5</v>
      </c>
      <c r="F4394" s="421"/>
      <c r="G4394" s="417">
        <v>20251068</v>
      </c>
      <c r="H4394" s="598" t="s">
        <v>2848</v>
      </c>
      <c r="I4394" s="322" t="s">
        <v>2648</v>
      </c>
      <c r="J4394" s="418"/>
      <c r="K4394" s="248"/>
      <c r="M4394" s="422"/>
    </row>
    <row r="4395" spans="1:13" x14ac:dyDescent="0.25">
      <c r="A4395" s="308">
        <v>45799</v>
      </c>
      <c r="B4395" s="416">
        <v>871781</v>
      </c>
      <c r="C4395" s="413" t="str">
        <f>IFERROR(INDEX(Table14[],MATCH($B4395,Table14[SAPNo],0),3),"")</f>
        <v>Round 1313 CT200  0.018" (B)</v>
      </c>
      <c r="D4395" s="420" t="s">
        <v>12</v>
      </c>
      <c r="E4395" s="421">
        <v>6</v>
      </c>
      <c r="F4395" s="580"/>
      <c r="G4395" s="417" t="s">
        <v>2849</v>
      </c>
      <c r="H4395" s="598">
        <v>14370260</v>
      </c>
      <c r="I4395" s="322" t="s">
        <v>2850</v>
      </c>
      <c r="J4395" s="418"/>
      <c r="K4395" s="248"/>
      <c r="M4395" s="366"/>
    </row>
    <row r="4396" spans="1:13" x14ac:dyDescent="0.25">
      <c r="A4396" s="308">
        <v>45799</v>
      </c>
      <c r="B4396" s="416">
        <v>2001060</v>
      </c>
      <c r="C4396" s="413" t="str">
        <f>IFERROR(INDEX(Table14[],MATCH($B4396,Table14[SAPNo],0),3),"")</f>
        <v>1613 CT179T U-60</v>
      </c>
      <c r="D4396" s="420" t="s">
        <v>12</v>
      </c>
      <c r="E4396" s="421">
        <v>7</v>
      </c>
      <c r="F4396" s="580"/>
      <c r="G4396" s="417" t="s">
        <v>2849</v>
      </c>
      <c r="H4396" s="598">
        <v>14370260</v>
      </c>
      <c r="I4396" s="322" t="s">
        <v>2850</v>
      </c>
      <c r="J4396" s="418"/>
      <c r="K4396" s="248"/>
      <c r="M4396" s="366"/>
    </row>
    <row r="4397" spans="1:13" x14ac:dyDescent="0.25">
      <c r="A4397" s="308">
        <v>45799</v>
      </c>
      <c r="B4397" s="416">
        <v>1288783</v>
      </c>
      <c r="C4397" s="413" t="str">
        <f>IFERROR(INDEX(Table14[],MATCH($B4397,Table14[SAPNo],0),3),"")</f>
        <v>1613 CT179 18-60</v>
      </c>
      <c r="D4397" s="420" t="s">
        <v>12</v>
      </c>
      <c r="E4397" s="421">
        <v>5</v>
      </c>
      <c r="F4397" s="580"/>
      <c r="G4397" s="417" t="s">
        <v>2849</v>
      </c>
      <c r="H4397" s="598">
        <v>14370260</v>
      </c>
      <c r="I4397" s="322" t="s">
        <v>2850</v>
      </c>
      <c r="J4397" s="418"/>
      <c r="K4397" s="248"/>
      <c r="M4397" s="366"/>
    </row>
    <row r="4398" spans="1:13" x14ac:dyDescent="0.25">
      <c r="A4398" s="308">
        <v>45799</v>
      </c>
      <c r="B4398" s="416">
        <v>1282370</v>
      </c>
      <c r="C4398" s="413" t="str">
        <f>IFERROR(INDEX(Table14[],MATCH($B4398,Table14[SAPNo],0),3),"")</f>
        <v>1613 CT436Mv3 U-60</v>
      </c>
      <c r="D4398" s="420" t="s">
        <v>12</v>
      </c>
      <c r="E4398" s="421">
        <v>12</v>
      </c>
      <c r="F4398" s="580"/>
      <c r="G4398" s="417" t="s">
        <v>2849</v>
      </c>
      <c r="H4398" s="598">
        <v>14370260</v>
      </c>
      <c r="I4398" s="322" t="s">
        <v>2850</v>
      </c>
      <c r="J4398" s="418"/>
      <c r="K4398" s="248"/>
      <c r="M4398" s="366"/>
    </row>
    <row r="4399" spans="1:13" x14ac:dyDescent="0.25">
      <c r="A4399" s="308">
        <v>45799</v>
      </c>
      <c r="B4399" s="416">
        <v>1208601</v>
      </c>
      <c r="C4399" s="413" t="str">
        <f>IFERROR(INDEX(Table14[],MATCH($B4399,Table14[SAPNo],0),3),"")</f>
        <v>1613 CT418 U-60</v>
      </c>
      <c r="D4399" s="420" t="s">
        <v>12</v>
      </c>
      <c r="E4399" s="421">
        <v>1</v>
      </c>
      <c r="F4399" s="580"/>
      <c r="G4399" s="417" t="s">
        <v>2849</v>
      </c>
      <c r="H4399" s="598">
        <v>14370260</v>
      </c>
      <c r="I4399" s="322" t="s">
        <v>2850</v>
      </c>
      <c r="J4399" s="418"/>
      <c r="K4399" s="248"/>
      <c r="M4399" s="366"/>
    </row>
    <row r="4400" spans="1:13" x14ac:dyDescent="0.25">
      <c r="A4400" s="308">
        <v>45799</v>
      </c>
      <c r="B4400" s="416">
        <v>1146737</v>
      </c>
      <c r="C4400" s="413" t="str">
        <f>IFERROR(INDEX(Table14[],MATCH($B4400,Table14[SAPNo],0),3),"")</f>
        <v>1613 CT418 18-60</v>
      </c>
      <c r="D4400" s="420" t="s">
        <v>12</v>
      </c>
      <c r="E4400" s="421">
        <v>6</v>
      </c>
      <c r="F4400" s="580"/>
      <c r="G4400" s="417" t="s">
        <v>2849</v>
      </c>
      <c r="H4400" s="598">
        <v>14370260</v>
      </c>
      <c r="I4400" s="322" t="s">
        <v>2850</v>
      </c>
      <c r="J4400" s="418"/>
      <c r="K4400" s="248"/>
      <c r="M4400" s="366"/>
    </row>
    <row r="4401" spans="1:13" x14ac:dyDescent="0.25">
      <c r="A4401" s="308">
        <v>45799</v>
      </c>
      <c r="B4401" s="416">
        <v>1134752</v>
      </c>
      <c r="C4401" s="413" t="str">
        <f>IFERROR(INDEX(Table14[],MATCH($B4401,Table14[SAPNo],0),3),"")</f>
        <v>Round 1308 CT182  0.018" (S)</v>
      </c>
      <c r="D4401" s="420" t="s">
        <v>12</v>
      </c>
      <c r="E4401" s="421">
        <v>12</v>
      </c>
      <c r="F4401" s="580"/>
      <c r="G4401" s="417" t="s">
        <v>2849</v>
      </c>
      <c r="H4401" s="598">
        <v>14370260</v>
      </c>
      <c r="I4401" s="322" t="s">
        <v>2850</v>
      </c>
      <c r="J4401" s="418"/>
      <c r="K4401" s="248"/>
      <c r="M4401" s="366"/>
    </row>
    <row r="4402" spans="1:13" x14ac:dyDescent="0.25">
      <c r="A4402" s="308">
        <v>45799</v>
      </c>
      <c r="B4402" s="416">
        <v>1130197</v>
      </c>
      <c r="C4402" s="413" t="str">
        <f>IFERROR(INDEX(Table14[],MATCH($B4402,Table14[SAPNo],0),3),"")</f>
        <v>Round 1608 CT182  0.018" (S)</v>
      </c>
      <c r="D4402" s="420" t="s">
        <v>12</v>
      </c>
      <c r="E4402" s="421">
        <v>6</v>
      </c>
      <c r="F4402" s="580"/>
      <c r="G4402" s="417" t="s">
        <v>2849</v>
      </c>
      <c r="H4402" s="598">
        <v>14370260</v>
      </c>
      <c r="I4402" s="322" t="s">
        <v>2850</v>
      </c>
      <c r="J4402" s="418"/>
      <c r="K4402" s="248"/>
      <c r="M4402" s="366"/>
    </row>
    <row r="4403" spans="1:13" x14ac:dyDescent="0.25">
      <c r="A4403" s="308">
        <v>45799</v>
      </c>
      <c r="B4403" s="416">
        <v>418525</v>
      </c>
      <c r="C4403" s="413" t="str">
        <f>IFERROR(INDEX(Table14[],MATCH($B4403,Table14[SAPNo],0),3),"")</f>
        <v>Drop In 1308 CT31   (B)</v>
      </c>
      <c r="D4403" s="420" t="s">
        <v>12</v>
      </c>
      <c r="E4403" s="421">
        <v>6</v>
      </c>
      <c r="F4403" s="580"/>
      <c r="G4403" s="417" t="s">
        <v>2851</v>
      </c>
      <c r="H4403" s="598" t="s">
        <v>2852</v>
      </c>
      <c r="I4403" s="322" t="s">
        <v>2311</v>
      </c>
      <c r="J4403" s="418"/>
      <c r="K4403" s="248"/>
      <c r="M4403" s="366"/>
    </row>
    <row r="4404" spans="1:13" x14ac:dyDescent="0.25">
      <c r="A4404" s="308">
        <v>45799</v>
      </c>
      <c r="B4404" s="416">
        <v>1146737</v>
      </c>
      <c r="C4404" s="413" t="str">
        <f>IFERROR(INDEX(Table14[],MATCH($B4404,Table14[SAPNo],0),3),"")</f>
        <v>1613 CT418 18-60</v>
      </c>
      <c r="D4404" s="420" t="s">
        <v>12</v>
      </c>
      <c r="E4404" s="421">
        <v>6</v>
      </c>
      <c r="F4404" s="580"/>
      <c r="G4404" s="417" t="s">
        <v>2851</v>
      </c>
      <c r="H4404" s="598" t="s">
        <v>2852</v>
      </c>
      <c r="I4404" s="322" t="s">
        <v>2311</v>
      </c>
      <c r="J4404" s="418"/>
      <c r="K4404" s="248"/>
      <c r="M4404" s="366"/>
    </row>
    <row r="4405" spans="1:13" x14ac:dyDescent="0.25">
      <c r="A4405" s="308">
        <v>45799</v>
      </c>
      <c r="B4405" s="416">
        <v>1078377</v>
      </c>
      <c r="C4405" s="413" t="str">
        <f>IFERROR(INDEX(Table14[],MATCH($B4405,Table14[SAPNo],0),3),"")</f>
        <v>13MM CT221 R1</v>
      </c>
      <c r="D4405" s="420" t="s">
        <v>12</v>
      </c>
      <c r="E4405" s="421">
        <v>1</v>
      </c>
      <c r="F4405" s="580"/>
      <c r="G4405" s="417" t="s">
        <v>2851</v>
      </c>
      <c r="H4405" s="598" t="s">
        <v>2852</v>
      </c>
      <c r="I4405" s="322" t="s">
        <v>2311</v>
      </c>
      <c r="J4405" s="418"/>
      <c r="K4405" s="248"/>
      <c r="M4405" s="366"/>
    </row>
    <row r="4406" spans="1:13" x14ac:dyDescent="0.25">
      <c r="A4406" s="308">
        <v>45799</v>
      </c>
      <c r="B4406" s="416">
        <v>418525</v>
      </c>
      <c r="C4406" s="413" t="str">
        <f>IFERROR(INDEX(Table14[],MATCH($B4406,Table14[SAPNo],0),3),"")</f>
        <v>Drop In 1308 CT31   (B)</v>
      </c>
      <c r="D4406" s="420" t="s">
        <v>12</v>
      </c>
      <c r="E4406" s="421">
        <v>3</v>
      </c>
      <c r="F4406" s="580"/>
      <c r="G4406" s="417" t="s">
        <v>2853</v>
      </c>
      <c r="H4406" s="598" t="s">
        <v>2854</v>
      </c>
      <c r="I4406" s="322" t="s">
        <v>2679</v>
      </c>
      <c r="J4406" s="418"/>
      <c r="K4406" s="248"/>
      <c r="M4406" s="366"/>
    </row>
    <row r="4407" spans="1:13" x14ac:dyDescent="0.25">
      <c r="A4407" s="308">
        <v>45799</v>
      </c>
      <c r="B4407" s="416">
        <v>1146737</v>
      </c>
      <c r="C4407" s="413" t="str">
        <f>IFERROR(INDEX(Table14[],MATCH($B4407,Table14[SAPNo],0),3),"")</f>
        <v>1613 CT418 18-60</v>
      </c>
      <c r="D4407" s="420" t="s">
        <v>12</v>
      </c>
      <c r="E4407" s="421">
        <v>6</v>
      </c>
      <c r="F4407" s="580"/>
      <c r="G4407" s="417" t="s">
        <v>2853</v>
      </c>
      <c r="H4407" s="598" t="s">
        <v>2854</v>
      </c>
      <c r="I4407" s="322" t="s">
        <v>2679</v>
      </c>
      <c r="J4407" s="418"/>
      <c r="K4407" s="248"/>
      <c r="M4407" s="366"/>
    </row>
    <row r="4408" spans="1:13" x14ac:dyDescent="0.25">
      <c r="A4408" s="320">
        <v>45799</v>
      </c>
      <c r="B4408" s="419">
        <v>1078377</v>
      </c>
      <c r="C4408" s="413" t="str">
        <f>IFERROR(INDEX(Table14[],MATCH($B4408,Table14[SAPNo],0),3),"")</f>
        <v>13MM CT221 R1</v>
      </c>
      <c r="D4408" s="420" t="s">
        <v>12</v>
      </c>
      <c r="E4408" s="421">
        <v>1</v>
      </c>
      <c r="F4408" s="580"/>
      <c r="G4408" s="420" t="s">
        <v>2853</v>
      </c>
      <c r="H4408" s="599" t="s">
        <v>2854</v>
      </c>
      <c r="I4408" s="322" t="s">
        <v>2679</v>
      </c>
      <c r="J4408" s="421"/>
      <c r="K4408" s="422"/>
      <c r="M4408" s="366"/>
    </row>
    <row r="4409" spans="1:13" x14ac:dyDescent="0.25">
      <c r="A4409" s="308">
        <v>45802</v>
      </c>
      <c r="B4409" s="416">
        <v>1282369</v>
      </c>
      <c r="C4409" s="413" t="str">
        <f>IFERROR(INDEX(Table14[],MATCH($B4409,Table14[SAPNo],0),3),"")</f>
        <v>1313 CT436Mv3 U-60</v>
      </c>
      <c r="D4409" s="420" t="s">
        <v>12</v>
      </c>
      <c r="E4409" s="421">
        <v>13</v>
      </c>
      <c r="F4409" s="421"/>
      <c r="G4409" s="417" t="s">
        <v>2855</v>
      </c>
      <c r="H4409" s="598">
        <v>14304773</v>
      </c>
      <c r="I4409" s="322" t="s">
        <v>2856</v>
      </c>
      <c r="J4409" s="418"/>
      <c r="K4409" s="248"/>
      <c r="M4409" s="422"/>
    </row>
    <row r="4410" spans="1:13" x14ac:dyDescent="0.25">
      <c r="A4410" s="308">
        <v>45802</v>
      </c>
      <c r="B4410" s="416">
        <v>1104083</v>
      </c>
      <c r="C4410" s="413" t="str">
        <f>IFERROR(INDEX(Table14[],MATCH($B4410,Table14[SAPNo],0),3),"")</f>
        <v>1313 CT144H  10C (S)</v>
      </c>
      <c r="D4410" s="420" t="s">
        <v>12</v>
      </c>
      <c r="E4410" s="421">
        <v>1</v>
      </c>
      <c r="F4410" s="580"/>
      <c r="G4410" s="417" t="s">
        <v>2855</v>
      </c>
      <c r="H4410" s="598">
        <v>14304773</v>
      </c>
      <c r="I4410" s="322" t="s">
        <v>2856</v>
      </c>
      <c r="J4410" s="418"/>
      <c r="K4410" s="248"/>
      <c r="M4410" s="366"/>
    </row>
    <row r="4411" spans="1:13" x14ac:dyDescent="0.25">
      <c r="A4411" s="308">
        <v>45802</v>
      </c>
      <c r="B4411" s="416">
        <v>418525</v>
      </c>
      <c r="C4411" s="413" t="str">
        <f>IFERROR(INDEX(Table14[],MATCH($B4411,Table14[SAPNo],0),3),"")</f>
        <v>Drop In 1308 CT31   (B)</v>
      </c>
      <c r="D4411" s="420" t="s">
        <v>12</v>
      </c>
      <c r="E4411" s="421">
        <v>6</v>
      </c>
      <c r="F4411" s="580"/>
      <c r="G4411" s="417" t="s">
        <v>2855</v>
      </c>
      <c r="H4411" s="598">
        <v>14304773</v>
      </c>
      <c r="I4411" s="322" t="s">
        <v>2856</v>
      </c>
      <c r="J4411" s="418"/>
      <c r="K4411" s="248"/>
      <c r="M4411" s="366"/>
    </row>
    <row r="4412" spans="1:13" x14ac:dyDescent="0.25">
      <c r="A4412" s="308">
        <v>45802</v>
      </c>
      <c r="B4412" s="416">
        <v>1146346</v>
      </c>
      <c r="C4412" s="413" t="str">
        <f>IFERROR(INDEX(Table14[],MATCH($B4412,Table14[SAPNo],0),3),"")</f>
        <v>1313 CT418 18-60</v>
      </c>
      <c r="D4412" s="420" t="s">
        <v>12</v>
      </c>
      <c r="E4412" s="421">
        <v>12</v>
      </c>
      <c r="F4412" s="580"/>
      <c r="G4412" s="417" t="s">
        <v>2855</v>
      </c>
      <c r="H4412" s="598">
        <v>14304773</v>
      </c>
      <c r="I4412" s="322" t="s">
        <v>2856</v>
      </c>
      <c r="J4412" s="418"/>
      <c r="K4412" s="248"/>
      <c r="M4412" s="366"/>
    </row>
    <row r="4413" spans="1:13" x14ac:dyDescent="0.25">
      <c r="A4413" s="308">
        <v>45802</v>
      </c>
      <c r="B4413" s="416">
        <v>1101509</v>
      </c>
      <c r="C4413" s="413" t="str">
        <f>IFERROR(INDEX(Table14[],MATCH($B4413,Table14[SAPNo],0),3),"")</f>
        <v>Short IA 8    (C)</v>
      </c>
      <c r="D4413" s="420" t="s">
        <v>12</v>
      </c>
      <c r="E4413" s="421">
        <v>5</v>
      </c>
      <c r="F4413" s="580"/>
      <c r="G4413" s="417" t="s">
        <v>2855</v>
      </c>
      <c r="H4413" s="598">
        <v>14304773</v>
      </c>
      <c r="I4413" s="322" t="s">
        <v>2856</v>
      </c>
      <c r="J4413" s="418"/>
      <c r="K4413" s="248"/>
      <c r="M4413" s="366"/>
    </row>
    <row r="4414" spans="1:13" x14ac:dyDescent="0.25">
      <c r="A4414" s="308">
        <v>45811</v>
      </c>
      <c r="B4414" s="416">
        <v>418525</v>
      </c>
      <c r="C4414" s="413" t="str">
        <f>IFERROR(INDEX(Table14[],MATCH($B4414,Table14[SAPNo],0),3),"")</f>
        <v>Drop In 1308 CT31   (B)</v>
      </c>
      <c r="D4414" s="420" t="s">
        <v>12</v>
      </c>
      <c r="E4414" s="421">
        <v>5</v>
      </c>
      <c r="F4414" s="580"/>
      <c r="G4414" s="417" t="s">
        <v>2882</v>
      </c>
      <c r="H4414" s="598">
        <v>14340871</v>
      </c>
      <c r="I4414" s="322" t="s">
        <v>2311</v>
      </c>
      <c r="J4414" s="418"/>
      <c r="K4414" s="248"/>
      <c r="M4414" s="366"/>
    </row>
    <row r="4415" spans="1:13" x14ac:dyDescent="0.25">
      <c r="A4415" s="308">
        <v>45811</v>
      </c>
      <c r="B4415" s="416">
        <v>1146737</v>
      </c>
      <c r="C4415" s="413" t="str">
        <f>IFERROR(INDEX(Table14[],MATCH($B4415,Table14[SAPNo],0),3),"")</f>
        <v>1613 CT418 18-60</v>
      </c>
      <c r="D4415" s="420" t="s">
        <v>12</v>
      </c>
      <c r="E4415" s="421">
        <v>6</v>
      </c>
      <c r="F4415" s="580"/>
      <c r="G4415" s="417" t="s">
        <v>2882</v>
      </c>
      <c r="H4415" s="598">
        <v>14340871</v>
      </c>
      <c r="I4415" s="322" t="s">
        <v>2311</v>
      </c>
      <c r="J4415" s="418"/>
      <c r="K4415" s="248"/>
      <c r="M4415" s="366"/>
    </row>
    <row r="4416" spans="1:13" x14ac:dyDescent="0.25">
      <c r="A4416" s="308">
        <v>45805</v>
      </c>
      <c r="B4416" s="416">
        <v>1146737</v>
      </c>
      <c r="C4416" s="413" t="str">
        <f>IFERROR(INDEX(Table14[],MATCH($B4416,Table14[SAPNo],0),3),"")</f>
        <v>1613 CT418 18-60</v>
      </c>
      <c r="D4416" s="420" t="s">
        <v>12</v>
      </c>
      <c r="E4416" s="421">
        <v>6</v>
      </c>
      <c r="F4416" s="580"/>
      <c r="G4416" s="417" t="s">
        <v>2871</v>
      </c>
      <c r="H4416" s="598" t="s">
        <v>2872</v>
      </c>
      <c r="I4416" s="322" t="s">
        <v>1273</v>
      </c>
      <c r="J4416" s="418"/>
      <c r="K4416" s="248"/>
      <c r="M4416" s="366"/>
    </row>
    <row r="4417" spans="1:13" x14ac:dyDescent="0.25">
      <c r="A4417" s="308">
        <v>45804</v>
      </c>
      <c r="B4417" s="416">
        <v>1263929</v>
      </c>
      <c r="C4417" s="413" t="str">
        <f>IFERROR(INDEX(Table14[],MATCH($B4417,Table14[SAPNo],0),3),"")</f>
        <v>1613 CT437 18-60</v>
      </c>
      <c r="D4417" s="420" t="s">
        <v>12</v>
      </c>
      <c r="E4417" s="421">
        <v>39</v>
      </c>
      <c r="F4417" s="580"/>
      <c r="G4417" s="417" t="s">
        <v>2859</v>
      </c>
      <c r="H4417" s="598">
        <v>14353138</v>
      </c>
      <c r="I4417" s="322" t="s">
        <v>2860</v>
      </c>
      <c r="J4417" s="418"/>
      <c r="K4417" s="248"/>
      <c r="M4417" s="366"/>
    </row>
    <row r="4418" spans="1:13" x14ac:dyDescent="0.25">
      <c r="A4418" s="308">
        <v>45804</v>
      </c>
      <c r="B4418" s="416">
        <v>1146737</v>
      </c>
      <c r="C4418" s="413" t="str">
        <f>IFERROR(INDEX(Table14[],MATCH($B4418,Table14[SAPNo],0),3),"")</f>
        <v>1613 CT418 18-60</v>
      </c>
      <c r="D4418" s="420" t="s">
        <v>12</v>
      </c>
      <c r="E4418" s="421">
        <v>14</v>
      </c>
      <c r="F4418" s="580"/>
      <c r="G4418" s="417" t="s">
        <v>2859</v>
      </c>
      <c r="H4418" s="598">
        <v>14353138</v>
      </c>
      <c r="I4418" s="322" t="s">
        <v>2860</v>
      </c>
      <c r="J4418" s="418"/>
      <c r="K4418" s="248"/>
      <c r="M4418" s="366"/>
    </row>
    <row r="4419" spans="1:13" x14ac:dyDescent="0.25">
      <c r="A4419" s="308">
        <v>45804</v>
      </c>
      <c r="B4419" s="416">
        <v>418525</v>
      </c>
      <c r="C4419" s="413" t="str">
        <f>IFERROR(INDEX(Table14[],MATCH($B4419,Table14[SAPNo],0),3),"")</f>
        <v>Drop In 1308 CT31   (B)</v>
      </c>
      <c r="D4419" s="420" t="s">
        <v>12</v>
      </c>
      <c r="E4419" s="421">
        <v>8</v>
      </c>
      <c r="F4419" s="580"/>
      <c r="G4419" s="417" t="s">
        <v>2859</v>
      </c>
      <c r="H4419" s="598">
        <v>14353138</v>
      </c>
      <c r="I4419" s="322" t="s">
        <v>2860</v>
      </c>
      <c r="J4419" s="418"/>
      <c r="K4419" s="248"/>
      <c r="M4419" s="366"/>
    </row>
    <row r="4420" spans="1:13" x14ac:dyDescent="0.25">
      <c r="A4420" s="308">
        <v>45804</v>
      </c>
      <c r="B4420" s="416">
        <v>1274176</v>
      </c>
      <c r="C4420" s="413" t="str">
        <f>IFERROR(INDEX(Table14[],MATCH($B4420,Table14[SAPNo],0),3),"")</f>
        <v>1613 CT172 18-60</v>
      </c>
      <c r="D4420" s="420" t="s">
        <v>12</v>
      </c>
      <c r="E4420" s="421">
        <v>39</v>
      </c>
      <c r="F4420" s="580"/>
      <c r="G4420" s="417" t="s">
        <v>2859</v>
      </c>
      <c r="H4420" s="598">
        <v>14353138</v>
      </c>
      <c r="I4420" s="322" t="s">
        <v>2860</v>
      </c>
      <c r="J4420" s="418"/>
      <c r="K4420" s="248"/>
      <c r="M4420" s="366"/>
    </row>
    <row r="4421" spans="1:13" x14ac:dyDescent="0.25">
      <c r="A4421" s="308">
        <v>45804</v>
      </c>
      <c r="B4421" s="416">
        <v>1130198</v>
      </c>
      <c r="C4421" s="413" t="str">
        <f>IFERROR(INDEX(Table14[],MATCH($B4421,Table14[SAPNo],0),3),"")</f>
        <v>Round 1613 CT182  0.018" (S)</v>
      </c>
      <c r="D4421" s="420" t="s">
        <v>1072</v>
      </c>
      <c r="E4421" s="421">
        <v>55</v>
      </c>
      <c r="F4421" s="580"/>
      <c r="G4421" s="417" t="s">
        <v>2859</v>
      </c>
      <c r="H4421" s="598">
        <v>14353138</v>
      </c>
      <c r="I4421" s="322" t="s">
        <v>2860</v>
      </c>
      <c r="J4421" s="418"/>
      <c r="K4421" s="248"/>
      <c r="M4421" s="366"/>
    </row>
    <row r="4422" spans="1:13" x14ac:dyDescent="0.25">
      <c r="A4422" s="308">
        <v>45804</v>
      </c>
      <c r="B4422" s="416">
        <v>1146346</v>
      </c>
      <c r="C4422" s="413" t="str">
        <f>IFERROR(INDEX(Table14[],MATCH($B4422,Table14[SAPNo],0),3),"")</f>
        <v>1313 CT418 18-60</v>
      </c>
      <c r="D4422" s="420" t="s">
        <v>12</v>
      </c>
      <c r="E4422" s="421">
        <v>12</v>
      </c>
      <c r="F4422" s="580"/>
      <c r="G4422" s="417" t="s">
        <v>2861</v>
      </c>
      <c r="H4422" s="598">
        <v>14254491</v>
      </c>
      <c r="I4422" s="322" t="s">
        <v>2593</v>
      </c>
      <c r="J4422" s="418"/>
      <c r="K4422" s="248"/>
      <c r="M4422" s="366"/>
    </row>
    <row r="4423" spans="1:13" x14ac:dyDescent="0.25">
      <c r="A4423" s="308">
        <v>45804</v>
      </c>
      <c r="B4423" s="416">
        <v>1272937</v>
      </c>
      <c r="C4423" s="413" t="str">
        <f>IFERROR(INDEX(Table14[],MATCH($B4423,Table14[SAPNo],0),3),"")</f>
        <v>1313 CT436 18-60</v>
      </c>
      <c r="D4423" s="420" t="s">
        <v>12</v>
      </c>
      <c r="E4423" s="421">
        <v>11</v>
      </c>
      <c r="F4423" s="580"/>
      <c r="G4423" s="417" t="s">
        <v>2861</v>
      </c>
      <c r="H4423" s="598">
        <v>14254491</v>
      </c>
      <c r="I4423" s="322" t="s">
        <v>2593</v>
      </c>
      <c r="J4423" s="418"/>
      <c r="K4423" s="248"/>
      <c r="M4423" s="366"/>
    </row>
    <row r="4424" spans="1:13" x14ac:dyDescent="0.25">
      <c r="A4424" s="308">
        <v>45804</v>
      </c>
      <c r="B4424" s="416">
        <v>418525</v>
      </c>
      <c r="C4424" s="413" t="str">
        <f>IFERROR(INDEX(Table14[],MATCH($B4424,Table14[SAPNo],0),3),"")</f>
        <v>Drop In 1308 CT31   (B)</v>
      </c>
      <c r="D4424" s="420" t="s">
        <v>12</v>
      </c>
      <c r="E4424" s="421">
        <v>10</v>
      </c>
      <c r="F4424" s="580"/>
      <c r="G4424" s="417" t="s">
        <v>2861</v>
      </c>
      <c r="H4424" s="598">
        <v>14254491</v>
      </c>
      <c r="I4424" s="322" t="s">
        <v>2593</v>
      </c>
      <c r="J4424" s="418"/>
      <c r="K4424" s="248"/>
      <c r="M4424" s="366"/>
    </row>
    <row r="4425" spans="1:13" x14ac:dyDescent="0.25">
      <c r="A4425" s="308">
        <v>45804</v>
      </c>
      <c r="B4425" s="416">
        <v>1228502</v>
      </c>
      <c r="C4425" s="413" t="str">
        <f>IFERROR(INDEX(Table14[],MATCH($B4425,Table14[SAPNo],0),3),"")</f>
        <v>1618 CT182 U-60 Rotor</v>
      </c>
      <c r="D4425" s="420" t="s">
        <v>12</v>
      </c>
      <c r="E4425" s="421">
        <v>10</v>
      </c>
      <c r="F4425" s="580"/>
      <c r="G4425" s="417" t="s">
        <v>2862</v>
      </c>
      <c r="H4425" s="598">
        <v>14386447</v>
      </c>
      <c r="I4425" s="322" t="s">
        <v>2863</v>
      </c>
      <c r="J4425" s="418"/>
      <c r="K4425" s="248"/>
      <c r="M4425" s="366"/>
    </row>
    <row r="4426" spans="1:13" x14ac:dyDescent="0.25">
      <c r="A4426" s="308">
        <v>45804</v>
      </c>
      <c r="B4426" s="416">
        <v>1228501</v>
      </c>
      <c r="C4426" s="413" t="str">
        <f>IFERROR(INDEX(Table14[],MATCH($B4426,Table14[SAPNo],0),3),"")</f>
        <v>1618 CT182 U-60 stator</v>
      </c>
      <c r="D4426" s="420" t="s">
        <v>12</v>
      </c>
      <c r="E4426" s="421">
        <v>10</v>
      </c>
      <c r="F4426" s="580"/>
      <c r="G4426" s="417" t="s">
        <v>2862</v>
      </c>
      <c r="H4426" s="598">
        <v>14386447</v>
      </c>
      <c r="I4426" s="322" t="s">
        <v>2863</v>
      </c>
      <c r="J4426" s="418"/>
      <c r="K4426" s="248"/>
      <c r="M4426" s="366"/>
    </row>
    <row r="4427" spans="1:13" x14ac:dyDescent="0.25">
      <c r="A4427" s="308">
        <v>45804</v>
      </c>
      <c r="B4427" s="416">
        <v>1220554</v>
      </c>
      <c r="C4427" s="413" t="str">
        <f>IFERROR(INDEX(Table14[],MATCH($B4427,Table14[SAPNo],0),3),"")</f>
        <v xml:space="preserve">1618 CT182 U-60 Carbide </v>
      </c>
      <c r="D4427" s="420" t="s">
        <v>12</v>
      </c>
      <c r="E4427" s="421">
        <v>10</v>
      </c>
      <c r="F4427" s="580"/>
      <c r="G4427" s="417" t="s">
        <v>2862</v>
      </c>
      <c r="H4427" s="598">
        <v>14386447</v>
      </c>
      <c r="I4427" s="322" t="s">
        <v>2863</v>
      </c>
      <c r="J4427" s="418"/>
      <c r="K4427" s="248"/>
      <c r="M4427" s="366"/>
    </row>
    <row r="4428" spans="1:13" x14ac:dyDescent="0.25">
      <c r="A4428" s="308">
        <v>45804</v>
      </c>
      <c r="B4428" s="416">
        <v>2002243</v>
      </c>
      <c r="C4428" s="413" t="str">
        <f>IFERROR(INDEX(Table14[],MATCH($B4428,Table14[SAPNo],0),3),"")</f>
        <v>1308 CT188 U-60</v>
      </c>
      <c r="D4428" s="420" t="s">
        <v>12</v>
      </c>
      <c r="E4428" s="421">
        <v>15</v>
      </c>
      <c r="F4428" s="580"/>
      <c r="G4428" s="417" t="s">
        <v>2862</v>
      </c>
      <c r="H4428" s="598">
        <v>14386447</v>
      </c>
      <c r="I4428" s="322" t="s">
        <v>2863</v>
      </c>
      <c r="J4428" s="418"/>
      <c r="K4428" s="248"/>
      <c r="M4428" s="366"/>
    </row>
    <row r="4429" spans="1:13" x14ac:dyDescent="0.25">
      <c r="A4429" s="308">
        <v>45804</v>
      </c>
      <c r="B4429" s="416">
        <v>1228503</v>
      </c>
      <c r="C4429" s="413" t="str">
        <f>IFERROR(INDEX(Table14[],MATCH($B4429,Table14[SAPNo],0),3),"")</f>
        <v>1618 CT182 U-60 Ring</v>
      </c>
      <c r="D4429" s="420" t="s">
        <v>12</v>
      </c>
      <c r="E4429" s="421">
        <v>10</v>
      </c>
      <c r="F4429" s="580"/>
      <c r="G4429" s="417" t="s">
        <v>2862</v>
      </c>
      <c r="H4429" s="598">
        <v>14386447</v>
      </c>
      <c r="I4429" s="322" t="s">
        <v>2863</v>
      </c>
      <c r="J4429" s="418"/>
      <c r="K4429" s="248"/>
      <c r="M4429" s="366"/>
    </row>
    <row r="4430" spans="1:13" x14ac:dyDescent="0.25">
      <c r="A4430" s="308">
        <v>45804</v>
      </c>
      <c r="B4430" s="416">
        <v>2002299</v>
      </c>
      <c r="C4430" s="413" t="str">
        <f>IFERROR(INDEX(Table14[],MATCH($B4430,Table14[SAPNo],0),3),"")</f>
        <v>1613 CT187 U-60</v>
      </c>
      <c r="D4430" s="420" t="s">
        <v>12</v>
      </c>
      <c r="E4430" s="421">
        <v>4</v>
      </c>
      <c r="F4430" s="580"/>
      <c r="G4430" s="417" t="s">
        <v>2862</v>
      </c>
      <c r="H4430" s="598">
        <v>14386447</v>
      </c>
      <c r="I4430" s="322" t="s">
        <v>2863</v>
      </c>
      <c r="J4430" s="418"/>
      <c r="K4430" s="248"/>
      <c r="M4430" s="366"/>
    </row>
    <row r="4431" spans="1:13" x14ac:dyDescent="0.25">
      <c r="A4431" s="308">
        <v>45804</v>
      </c>
      <c r="B4431" s="416">
        <v>871781</v>
      </c>
      <c r="C4431" s="413" t="str">
        <f>IFERROR(INDEX(Table14[],MATCH($B4431,Table14[SAPNo],0),3),"")</f>
        <v>Round 1313 CT200  0.018" (B)</v>
      </c>
      <c r="D4431" s="420" t="s">
        <v>12</v>
      </c>
      <c r="E4431" s="421">
        <v>6</v>
      </c>
      <c r="F4431" s="580"/>
      <c r="G4431" s="417" t="s">
        <v>2862</v>
      </c>
      <c r="H4431" s="598">
        <v>14386447</v>
      </c>
      <c r="I4431" s="322" t="s">
        <v>2863</v>
      </c>
      <c r="J4431" s="418"/>
      <c r="K4431" s="248"/>
      <c r="M4431" s="366"/>
    </row>
    <row r="4432" spans="1:13" x14ac:dyDescent="0.25">
      <c r="A4432" s="308">
        <v>45804</v>
      </c>
      <c r="B4432" s="416">
        <v>2002244</v>
      </c>
      <c r="C4432" s="413" t="str">
        <f>IFERROR(INDEX(Table14[],MATCH($B4432,Table14[SAPNo],0),3),"")</f>
        <v>1313 CT188 Uc-60</v>
      </c>
      <c r="D4432" s="420" t="s">
        <v>12</v>
      </c>
      <c r="E4432" s="421">
        <v>15</v>
      </c>
      <c r="F4432" s="580"/>
      <c r="G4432" s="417" t="s">
        <v>2862</v>
      </c>
      <c r="H4432" s="598">
        <v>14386447</v>
      </c>
      <c r="I4432" s="322" t="s">
        <v>2863</v>
      </c>
      <c r="J4432" s="418"/>
      <c r="K4432" s="248"/>
      <c r="M4432" s="366"/>
    </row>
    <row r="4433" spans="1:13" x14ac:dyDescent="0.25">
      <c r="A4433" s="308">
        <v>45805</v>
      </c>
      <c r="B4433" s="416">
        <v>871781</v>
      </c>
      <c r="C4433" s="413" t="str">
        <f>IFERROR(INDEX(Table14[],MATCH($B4433,Table14[SAPNo],0),3),"")</f>
        <v>Round 1313 CT200  0.018" (B)</v>
      </c>
      <c r="D4433" s="420" t="s">
        <v>12</v>
      </c>
      <c r="E4433" s="421">
        <v>8</v>
      </c>
      <c r="F4433" s="580"/>
      <c r="G4433" s="417" t="s">
        <v>2864</v>
      </c>
      <c r="H4433" s="598">
        <v>14305480</v>
      </c>
      <c r="I4433" s="322" t="s">
        <v>2865</v>
      </c>
      <c r="J4433" s="418"/>
      <c r="K4433" s="248"/>
      <c r="M4433" s="366"/>
    </row>
    <row r="4434" spans="1:13" x14ac:dyDescent="0.25">
      <c r="A4434" s="308">
        <v>45805</v>
      </c>
      <c r="B4434" s="416">
        <v>1100755</v>
      </c>
      <c r="C4434" s="413" t="str">
        <f>IFERROR(INDEX(Table14[],MATCH($B4434,Table14[SAPNo],0),3),"")</f>
        <v>Round 1613 CT421  0.018" (S)</v>
      </c>
      <c r="D4434" s="420" t="s">
        <v>12</v>
      </c>
      <c r="E4434" s="421">
        <v>34</v>
      </c>
      <c r="F4434" s="580"/>
      <c r="G4434" s="417" t="s">
        <v>2864</v>
      </c>
      <c r="H4434" s="598">
        <v>14305480</v>
      </c>
      <c r="I4434" s="322" t="s">
        <v>2865</v>
      </c>
      <c r="J4434" s="418"/>
      <c r="K4434" s="248"/>
      <c r="M4434" s="366"/>
    </row>
    <row r="4435" spans="1:13" x14ac:dyDescent="0.25">
      <c r="A4435" s="308">
        <v>45805</v>
      </c>
      <c r="B4435" s="416">
        <v>1100759</v>
      </c>
      <c r="C4435" s="413" t="str">
        <f>IFERROR(INDEX(Table14[],MATCH($B4435,Table14[SAPNo],0),3),"")</f>
        <v>1913 CT421 0.018"</v>
      </c>
      <c r="D4435" s="420" t="s">
        <v>12</v>
      </c>
      <c r="E4435" s="421">
        <v>24</v>
      </c>
      <c r="F4435" s="580"/>
      <c r="G4435" s="417" t="s">
        <v>2864</v>
      </c>
      <c r="H4435" s="598">
        <v>14305480</v>
      </c>
      <c r="I4435" s="322" t="s">
        <v>2865</v>
      </c>
      <c r="J4435" s="418"/>
      <c r="K4435" s="248"/>
      <c r="M4435" s="366"/>
    </row>
    <row r="4436" spans="1:13" x14ac:dyDescent="0.25">
      <c r="A4436" s="308">
        <v>45805</v>
      </c>
      <c r="B4436" s="416">
        <v>1130197</v>
      </c>
      <c r="C4436" s="413" t="str">
        <f>IFERROR(INDEX(Table14[],MATCH($B4436,Table14[SAPNo],0),3),"")</f>
        <v>Round 1608 CT182  0.018" (S)</v>
      </c>
      <c r="D4436" s="420" t="s">
        <v>12</v>
      </c>
      <c r="E4436" s="421">
        <v>8</v>
      </c>
      <c r="F4436" s="580"/>
      <c r="G4436" s="417" t="s">
        <v>2864</v>
      </c>
      <c r="H4436" s="598">
        <v>14305480</v>
      </c>
      <c r="I4436" s="322" t="s">
        <v>2865</v>
      </c>
      <c r="J4436" s="418"/>
      <c r="K4436" s="248"/>
      <c r="M4436" s="366"/>
    </row>
    <row r="4437" spans="1:13" x14ac:dyDescent="0.25">
      <c r="A4437" s="308">
        <v>45805</v>
      </c>
      <c r="B4437" s="416">
        <v>1163820</v>
      </c>
      <c r="C4437" s="413" t="str">
        <f>IFERROR(INDEX(Table14[],MATCH($B4437,Table14[SAPNo],0),3),"")</f>
        <v>1613 CT156 0.018"</v>
      </c>
      <c r="D4437" s="420" t="s">
        <v>12</v>
      </c>
      <c r="E4437" s="421">
        <v>2</v>
      </c>
      <c r="F4437" s="580"/>
      <c r="G4437" s="417" t="s">
        <v>2864</v>
      </c>
      <c r="H4437" s="598">
        <v>14305480</v>
      </c>
      <c r="I4437" s="322" t="s">
        <v>2865</v>
      </c>
      <c r="J4437" s="418"/>
      <c r="K4437" s="248"/>
      <c r="M4437" s="366"/>
    </row>
    <row r="4438" spans="1:13" x14ac:dyDescent="0.25">
      <c r="A4438" s="308">
        <v>45805</v>
      </c>
      <c r="B4438" s="416">
        <v>1100741</v>
      </c>
      <c r="C4438" s="413" t="str">
        <f>IFERROR(INDEX(Table14[],MATCH($B4438,Table14[SAPNo],0),3),"")</f>
        <v>Round 1613 CT418  0.018" (S)</v>
      </c>
      <c r="D4438" s="420" t="s">
        <v>12</v>
      </c>
      <c r="E4438" s="421">
        <v>7</v>
      </c>
      <c r="F4438" s="580"/>
      <c r="G4438" s="417" t="s">
        <v>2864</v>
      </c>
      <c r="H4438" s="598">
        <v>14305480</v>
      </c>
      <c r="I4438" s="322" t="s">
        <v>2865</v>
      </c>
      <c r="J4438" s="418"/>
      <c r="K4438" s="248"/>
      <c r="M4438" s="366"/>
    </row>
    <row r="4439" spans="1:13" x14ac:dyDescent="0.25">
      <c r="A4439" s="308">
        <v>45805</v>
      </c>
      <c r="B4439" s="416">
        <v>1199265</v>
      </c>
      <c r="C4439" s="413" t="str">
        <f>IFERROR(INDEX(Table14[],MATCH($B4439,Table14[SAPNo],0),3),"")</f>
        <v>1613 CT158 18C</v>
      </c>
      <c r="D4439" s="420" t="s">
        <v>12</v>
      </c>
      <c r="E4439" s="421">
        <v>35</v>
      </c>
      <c r="F4439" s="580"/>
      <c r="G4439" s="417" t="s">
        <v>2864</v>
      </c>
      <c r="H4439" s="598">
        <v>14305480</v>
      </c>
      <c r="I4439" s="322" t="s">
        <v>2865</v>
      </c>
      <c r="J4439" s="418"/>
      <c r="K4439" s="248"/>
      <c r="M4439" s="366"/>
    </row>
    <row r="4440" spans="1:13" x14ac:dyDescent="0.25">
      <c r="A4440" s="308">
        <v>45805</v>
      </c>
      <c r="B4440" s="416">
        <v>871781</v>
      </c>
      <c r="C4440" s="413" t="str">
        <f>IFERROR(INDEX(Table14[],MATCH($B4440,Table14[SAPNo],0),3),"")</f>
        <v>Round 1313 CT200  0.018" (B)</v>
      </c>
      <c r="D4440" s="420" t="s">
        <v>12</v>
      </c>
      <c r="E4440" s="421">
        <v>6</v>
      </c>
      <c r="F4440" s="580"/>
      <c r="G4440" s="417" t="s">
        <v>2866</v>
      </c>
      <c r="H4440" s="598">
        <v>14305478</v>
      </c>
      <c r="I4440" s="322" t="s">
        <v>2867</v>
      </c>
      <c r="J4440" s="418"/>
      <c r="K4440" s="248"/>
      <c r="M4440" s="366"/>
    </row>
    <row r="4441" spans="1:13" x14ac:dyDescent="0.25">
      <c r="A4441" s="308">
        <v>45805</v>
      </c>
      <c r="B4441" s="416">
        <v>647435</v>
      </c>
      <c r="C4441" s="413" t="str">
        <f>IFERROR(INDEX(Table14[],MATCH($B4441,Table14[SAPNo],0),3),"")</f>
        <v>Round 1608 CT200  0.018" (B)</v>
      </c>
      <c r="D4441" s="420" t="s">
        <v>12</v>
      </c>
      <c r="E4441" s="421">
        <v>23</v>
      </c>
      <c r="F4441" s="580"/>
      <c r="G4441" s="417" t="s">
        <v>2866</v>
      </c>
      <c r="H4441" s="598">
        <v>14305478</v>
      </c>
      <c r="I4441" s="322" t="s">
        <v>2867</v>
      </c>
      <c r="J4441" s="418"/>
      <c r="K4441" s="248"/>
      <c r="M4441" s="366"/>
    </row>
    <row r="4442" spans="1:13" x14ac:dyDescent="0.25">
      <c r="A4442" s="308">
        <v>45805</v>
      </c>
      <c r="B4442" s="416">
        <v>1199265</v>
      </c>
      <c r="C4442" s="413" t="str">
        <f>IFERROR(INDEX(Table14[],MATCH($B4442,Table14[SAPNo],0),3),"")</f>
        <v>1613 CT158 18C</v>
      </c>
      <c r="D4442" s="420" t="s">
        <v>12</v>
      </c>
      <c r="E4442" s="421">
        <v>33</v>
      </c>
      <c r="F4442" s="580"/>
      <c r="G4442" s="417" t="s">
        <v>2866</v>
      </c>
      <c r="H4442" s="598">
        <v>14305478</v>
      </c>
      <c r="I4442" s="322" t="s">
        <v>2867</v>
      </c>
      <c r="J4442" s="418"/>
      <c r="K4442" s="248"/>
      <c r="M4442" s="366"/>
    </row>
    <row r="4443" spans="1:13" x14ac:dyDescent="0.25">
      <c r="A4443" s="308">
        <v>45805</v>
      </c>
      <c r="B4443" s="416">
        <v>871781</v>
      </c>
      <c r="C4443" s="413" t="str">
        <f>IFERROR(INDEX(Table14[],MATCH($B4443,Table14[SAPNo],0),3),"")</f>
        <v>Round 1313 CT200  0.018" (B)</v>
      </c>
      <c r="D4443" s="420" t="s">
        <v>12</v>
      </c>
      <c r="E4443" s="421">
        <v>5</v>
      </c>
      <c r="F4443" s="580"/>
      <c r="G4443" s="417" t="s">
        <v>2868</v>
      </c>
      <c r="H4443" s="598">
        <v>14337194</v>
      </c>
      <c r="I4443" s="322" t="s">
        <v>2869</v>
      </c>
      <c r="J4443" s="418"/>
      <c r="K4443" s="248"/>
      <c r="M4443" s="366"/>
    </row>
    <row r="4444" spans="1:13" x14ac:dyDescent="0.25">
      <c r="A4444" s="308">
        <v>45805</v>
      </c>
      <c r="B4444" s="416">
        <v>649901</v>
      </c>
      <c r="C4444" s="413" t="str">
        <f>IFERROR(INDEX(Table14[],MATCH($B4444,Table14[SAPNo],0),3),"")</f>
        <v>Carbide IA 8    (C)</v>
      </c>
      <c r="D4444" s="420" t="s">
        <v>12</v>
      </c>
      <c r="E4444" s="421">
        <v>10</v>
      </c>
      <c r="F4444" s="580"/>
      <c r="G4444" s="417" t="s">
        <v>2868</v>
      </c>
      <c r="H4444" s="598">
        <v>14337194</v>
      </c>
      <c r="I4444" s="322" t="s">
        <v>2869</v>
      </c>
      <c r="J4444" s="418"/>
      <c r="K4444" s="248"/>
      <c r="M4444" s="366"/>
    </row>
    <row r="4445" spans="1:13" x14ac:dyDescent="0.25">
      <c r="A4445" s="308">
        <v>45805</v>
      </c>
      <c r="B4445" s="416">
        <v>1244299</v>
      </c>
      <c r="C4445" s="413" t="str">
        <f>IFERROR(INDEX(Table14[],MATCH($B4445,Table14[SAPNo],0),3),"")</f>
        <v>1313 CT147CV4 U</v>
      </c>
      <c r="D4445" s="420" t="s">
        <v>12</v>
      </c>
      <c r="E4445" s="421">
        <v>7</v>
      </c>
      <c r="F4445" s="580"/>
      <c r="G4445" s="417" t="s">
        <v>2868</v>
      </c>
      <c r="H4445" s="598">
        <v>14337194</v>
      </c>
      <c r="I4445" s="322" t="s">
        <v>2869</v>
      </c>
      <c r="J4445" s="418"/>
      <c r="K4445" s="248"/>
      <c r="M4445" s="366"/>
    </row>
    <row r="4446" spans="1:13" x14ac:dyDescent="0.25">
      <c r="A4446" s="308">
        <v>45805</v>
      </c>
      <c r="B4446" s="416">
        <v>1146346</v>
      </c>
      <c r="C4446" s="413" t="str">
        <f>IFERROR(INDEX(Table14[],MATCH($B4446,Table14[SAPNo],0),3),"")</f>
        <v>1313 CT418 18-60</v>
      </c>
      <c r="D4446" s="420" t="s">
        <v>12</v>
      </c>
      <c r="E4446" s="421">
        <v>17</v>
      </c>
      <c r="F4446" s="580"/>
      <c r="G4446" s="417" t="s">
        <v>2868</v>
      </c>
      <c r="H4446" s="598">
        <v>14337194</v>
      </c>
      <c r="I4446" s="322" t="s">
        <v>2869</v>
      </c>
      <c r="J4446" s="418"/>
      <c r="K4446" s="248"/>
      <c r="M4446" s="366"/>
    </row>
    <row r="4447" spans="1:13" x14ac:dyDescent="0.25">
      <c r="A4447" s="308">
        <v>45805</v>
      </c>
      <c r="B4447" s="416">
        <v>1228503</v>
      </c>
      <c r="C4447" s="413" t="str">
        <f>IFERROR(INDEX(Table14[],MATCH($B4447,Table14[SAPNo],0),3),"")</f>
        <v>1618 CT182 U-60 Ring</v>
      </c>
      <c r="D4447" s="420" t="s">
        <v>12</v>
      </c>
      <c r="E4447" s="421">
        <v>18</v>
      </c>
      <c r="F4447" s="580"/>
      <c r="G4447" s="417" t="s">
        <v>2870</v>
      </c>
      <c r="H4447" s="598">
        <v>14386448</v>
      </c>
      <c r="I4447" s="322" t="s">
        <v>2863</v>
      </c>
      <c r="J4447" s="418"/>
      <c r="K4447" s="248"/>
      <c r="M4447" s="366"/>
    </row>
    <row r="4448" spans="1:13" x14ac:dyDescent="0.25">
      <c r="A4448" s="308">
        <v>45805</v>
      </c>
      <c r="B4448" s="416">
        <v>1228502</v>
      </c>
      <c r="C4448" s="413" t="str">
        <f>IFERROR(INDEX(Table14[],MATCH($B4448,Table14[SAPNo],0),3),"")</f>
        <v>1618 CT182 U-60 Rotor</v>
      </c>
      <c r="D4448" s="420" t="s">
        <v>12</v>
      </c>
      <c r="E4448" s="421">
        <v>10</v>
      </c>
      <c r="F4448" s="580"/>
      <c r="G4448" s="417" t="s">
        <v>2870</v>
      </c>
      <c r="H4448" s="598">
        <v>14386448</v>
      </c>
      <c r="I4448" s="322" t="s">
        <v>2863</v>
      </c>
      <c r="J4448" s="418"/>
      <c r="K4448" s="248"/>
      <c r="M4448" s="366"/>
    </row>
    <row r="4449" spans="1:13" x14ac:dyDescent="0.25">
      <c r="A4449" s="308">
        <v>45805</v>
      </c>
      <c r="B4449" s="416">
        <v>871781</v>
      </c>
      <c r="C4449" s="413" t="str">
        <f>IFERROR(INDEX(Table14[],MATCH($B4449,Table14[SAPNo],0),3),"")</f>
        <v>Round 1313 CT200  0.018" (B)</v>
      </c>
      <c r="D4449" s="420" t="s">
        <v>12</v>
      </c>
      <c r="E4449" s="421">
        <v>6</v>
      </c>
      <c r="F4449" s="580"/>
      <c r="G4449" s="417" t="s">
        <v>2870</v>
      </c>
      <c r="H4449" s="598">
        <v>14386448</v>
      </c>
      <c r="I4449" s="322" t="s">
        <v>2863</v>
      </c>
      <c r="J4449" s="418"/>
      <c r="K4449" s="248"/>
      <c r="M4449" s="366"/>
    </row>
    <row r="4450" spans="1:13" x14ac:dyDescent="0.25">
      <c r="A4450" s="308">
        <v>45805</v>
      </c>
      <c r="B4450" s="416">
        <v>2002243</v>
      </c>
      <c r="C4450" s="413" t="str">
        <f>IFERROR(INDEX(Table14[],MATCH($B4450,Table14[SAPNo],0),3),"")</f>
        <v>1308 CT188 U-60</v>
      </c>
      <c r="D4450" s="420" t="s">
        <v>12</v>
      </c>
      <c r="E4450" s="421">
        <v>15</v>
      </c>
      <c r="F4450" s="580"/>
      <c r="G4450" s="417" t="s">
        <v>2870</v>
      </c>
      <c r="H4450" s="598">
        <v>14386448</v>
      </c>
      <c r="I4450" s="322" t="s">
        <v>2863</v>
      </c>
      <c r="J4450" s="418"/>
      <c r="K4450" s="248"/>
      <c r="M4450" s="366"/>
    </row>
    <row r="4451" spans="1:13" x14ac:dyDescent="0.25">
      <c r="A4451" s="308">
        <v>45805</v>
      </c>
      <c r="B4451" s="416">
        <v>2002244</v>
      </c>
      <c r="C4451" s="413" t="str">
        <f>IFERROR(INDEX(Table14[],MATCH($B4451,Table14[SAPNo],0),3),"")</f>
        <v>1313 CT188 Uc-60</v>
      </c>
      <c r="D4451" s="420" t="s">
        <v>12</v>
      </c>
      <c r="E4451" s="421">
        <v>15</v>
      </c>
      <c r="F4451" s="580"/>
      <c r="G4451" s="417" t="s">
        <v>2870</v>
      </c>
      <c r="H4451" s="598">
        <v>14386448</v>
      </c>
      <c r="I4451" s="322" t="s">
        <v>2863</v>
      </c>
      <c r="J4451" s="418"/>
      <c r="K4451" s="248"/>
      <c r="M4451" s="366"/>
    </row>
    <row r="4452" spans="1:13" x14ac:dyDescent="0.25">
      <c r="A4452" s="308">
        <v>45805</v>
      </c>
      <c r="B4452" s="416">
        <v>2002299</v>
      </c>
      <c r="C4452" s="413" t="str">
        <f>IFERROR(INDEX(Table14[],MATCH($B4452,Table14[SAPNo],0),3),"")</f>
        <v>1613 CT187 U-60</v>
      </c>
      <c r="D4452" s="420" t="s">
        <v>12</v>
      </c>
      <c r="E4452" s="421">
        <v>4</v>
      </c>
      <c r="F4452" s="580"/>
      <c r="G4452" s="417" t="s">
        <v>2870</v>
      </c>
      <c r="H4452" s="598">
        <v>14386448</v>
      </c>
      <c r="I4452" s="322" t="s">
        <v>2863</v>
      </c>
      <c r="J4452" s="418"/>
      <c r="K4452" s="248"/>
      <c r="M4452" s="366"/>
    </row>
    <row r="4453" spans="1:13" x14ac:dyDescent="0.25">
      <c r="A4453" s="308">
        <v>45805</v>
      </c>
      <c r="B4453" s="416">
        <v>1228501</v>
      </c>
      <c r="C4453" s="413" t="str">
        <f>IFERROR(INDEX(Table14[],MATCH($B4453,Table14[SAPNo],0),3),"")</f>
        <v>1618 CT182 U-60 stator</v>
      </c>
      <c r="D4453" s="420" t="s">
        <v>12</v>
      </c>
      <c r="E4453" s="421">
        <v>10</v>
      </c>
      <c r="F4453" s="580"/>
      <c r="G4453" s="417" t="s">
        <v>2870</v>
      </c>
      <c r="H4453" s="598">
        <v>14386448</v>
      </c>
      <c r="I4453" s="322" t="s">
        <v>2863</v>
      </c>
      <c r="J4453" s="418"/>
      <c r="K4453" s="248"/>
      <c r="M4453" s="366"/>
    </row>
    <row r="4454" spans="1:13" x14ac:dyDescent="0.25">
      <c r="A4454" s="308">
        <v>45805</v>
      </c>
      <c r="B4454" s="416">
        <v>1220554</v>
      </c>
      <c r="C4454" s="413" t="str">
        <f>IFERROR(INDEX(Table14[],MATCH($B4454,Table14[SAPNo],0),3),"")</f>
        <v xml:space="preserve">1618 CT182 U-60 Carbide </v>
      </c>
      <c r="D4454" s="420" t="s">
        <v>12</v>
      </c>
      <c r="E4454" s="421">
        <v>10</v>
      </c>
      <c r="F4454" s="580"/>
      <c r="G4454" s="417" t="s">
        <v>2870</v>
      </c>
      <c r="H4454" s="598">
        <v>14386448</v>
      </c>
      <c r="I4454" s="322" t="s">
        <v>2863</v>
      </c>
      <c r="J4454" s="418"/>
      <c r="K4454" s="248"/>
      <c r="M4454" s="366"/>
    </row>
    <row r="4455" spans="1:13" x14ac:dyDescent="0.25">
      <c r="A4455" s="308">
        <v>45803</v>
      </c>
      <c r="B4455" s="416">
        <v>1271790</v>
      </c>
      <c r="C4455" s="413" t="str">
        <f>IFERROR(INDEX(Table14[],MATCH($B4455,Table14[SAPNo],0),3),"")</f>
        <v xml:space="preserve">1613 CT170 18-60 </v>
      </c>
      <c r="D4455" s="420" t="s">
        <v>12</v>
      </c>
      <c r="E4455" s="421">
        <v>1</v>
      </c>
      <c r="F4455" s="580"/>
      <c r="G4455" s="417" t="s">
        <v>2857</v>
      </c>
      <c r="H4455" s="598" t="s">
        <v>2858</v>
      </c>
      <c r="I4455" s="322" t="s">
        <v>2136</v>
      </c>
      <c r="J4455" s="418"/>
      <c r="K4455" s="248"/>
      <c r="M4455" s="366"/>
    </row>
    <row r="4456" spans="1:13" x14ac:dyDescent="0.25">
      <c r="A4456" s="308">
        <v>45806</v>
      </c>
      <c r="B4456" s="416">
        <v>418525</v>
      </c>
      <c r="C4456" s="413" t="str">
        <f>IFERROR(INDEX(Table14[],MATCH($B4456,Table14[SAPNo],0),3),"")</f>
        <v>Drop In 1308 CT31   (B)</v>
      </c>
      <c r="D4456" s="420" t="s">
        <v>12</v>
      </c>
      <c r="E4456" s="421">
        <v>1</v>
      </c>
      <c r="F4456" s="580"/>
      <c r="G4456" s="417">
        <v>20251069</v>
      </c>
      <c r="H4456" s="598" t="s">
        <v>2873</v>
      </c>
      <c r="I4456" s="322" t="s">
        <v>1781</v>
      </c>
      <c r="J4456" s="418"/>
      <c r="K4456" s="248"/>
      <c r="M4456" s="366"/>
    </row>
    <row r="4457" spans="1:13" x14ac:dyDescent="0.25">
      <c r="A4457" s="308">
        <v>45806</v>
      </c>
      <c r="B4457" s="416">
        <v>1244299</v>
      </c>
      <c r="C4457" s="413" t="str">
        <f>IFERROR(INDEX(Table14[],MATCH($B4457,Table14[SAPNo],0),3),"")</f>
        <v>1313 CT147CV4 U</v>
      </c>
      <c r="D4457" s="420" t="s">
        <v>11</v>
      </c>
      <c r="E4457" s="421">
        <v>8</v>
      </c>
      <c r="F4457" s="580"/>
      <c r="G4457" s="417">
        <v>20251069</v>
      </c>
      <c r="H4457" s="598" t="s">
        <v>2873</v>
      </c>
      <c r="I4457" s="322" t="s">
        <v>1781</v>
      </c>
      <c r="J4457" s="418"/>
      <c r="K4457" s="248"/>
      <c r="M4457" s="366"/>
    </row>
    <row r="4458" spans="1:13" x14ac:dyDescent="0.25">
      <c r="A4458" s="308">
        <v>45806</v>
      </c>
      <c r="B4458" s="416">
        <v>1100696</v>
      </c>
      <c r="C4458" s="413" t="str">
        <f>IFERROR(INDEX(Table14[],MATCH($B4458,Table14[SAPNo],0),3),"")</f>
        <v>Round 1313 CT418  10C (S)</v>
      </c>
      <c r="D4458" s="420" t="s">
        <v>11</v>
      </c>
      <c r="E4458" s="421">
        <v>14</v>
      </c>
      <c r="F4458" s="580"/>
      <c r="G4458" s="417">
        <v>20251069</v>
      </c>
      <c r="H4458" s="598" t="s">
        <v>2873</v>
      </c>
      <c r="I4458" s="322" t="s">
        <v>1781</v>
      </c>
      <c r="J4458" s="418"/>
      <c r="K4458" s="248"/>
      <c r="M4458" s="366"/>
    </row>
    <row r="4459" spans="1:13" x14ac:dyDescent="0.25">
      <c r="A4459" s="308">
        <v>45806</v>
      </c>
      <c r="B4459" s="416">
        <v>717748</v>
      </c>
      <c r="C4459" s="413" t="str">
        <f>IFERROR(INDEX(Table14[],MATCH($B4459,Table14[SAPNo],0),3),"")</f>
        <v>Round 1010 CT200  0.018" (B)</v>
      </c>
      <c r="D4459" s="420" t="s">
        <v>12</v>
      </c>
      <c r="E4459" s="421">
        <v>3</v>
      </c>
      <c r="F4459" s="580"/>
      <c r="G4459" s="417">
        <v>20251070</v>
      </c>
      <c r="H4459" s="598" t="s">
        <v>2874</v>
      </c>
      <c r="I4459" s="322" t="s">
        <v>1069</v>
      </c>
      <c r="J4459" s="418"/>
      <c r="K4459" s="248"/>
      <c r="M4459" s="366"/>
    </row>
    <row r="4460" spans="1:13" x14ac:dyDescent="0.25">
      <c r="A4460" s="320">
        <v>45806</v>
      </c>
      <c r="B4460" s="419">
        <v>1244299</v>
      </c>
      <c r="C4460" s="413" t="str">
        <f>IFERROR(INDEX(Table14[],MATCH($B4460,Table14[SAPNo],0),3),"")</f>
        <v>1313 CT147CV4 U</v>
      </c>
      <c r="D4460" s="420" t="s">
        <v>12</v>
      </c>
      <c r="E4460" s="421">
        <v>1</v>
      </c>
      <c r="F4460" s="580"/>
      <c r="G4460" s="420" t="s">
        <v>2868</v>
      </c>
      <c r="H4460" s="599">
        <v>14337194</v>
      </c>
      <c r="I4460" s="322" t="s">
        <v>2869</v>
      </c>
      <c r="J4460" s="421"/>
      <c r="K4460" s="422" t="s">
        <v>2546</v>
      </c>
      <c r="M4460" s="366"/>
    </row>
    <row r="4461" spans="1:13" x14ac:dyDescent="0.25">
      <c r="A4461" s="308">
        <v>45809</v>
      </c>
      <c r="B4461" s="416">
        <v>418525</v>
      </c>
      <c r="C4461" s="413" t="str">
        <f>IFERROR(INDEX(Table14[],MATCH($B4461,Table14[SAPNo],0),3),"")</f>
        <v>Drop In 1308 CT31   (B)</v>
      </c>
      <c r="D4461" s="420" t="s">
        <v>12</v>
      </c>
      <c r="E4461" s="421">
        <v>1</v>
      </c>
      <c r="F4461" s="421"/>
      <c r="G4461" s="417">
        <v>20251071</v>
      </c>
      <c r="H4461" s="598" t="s">
        <v>2875</v>
      </c>
      <c r="I4461" s="322" t="s">
        <v>1746</v>
      </c>
      <c r="J4461" s="418"/>
      <c r="K4461" s="248"/>
      <c r="M4461" s="422"/>
    </row>
    <row r="4462" spans="1:13" x14ac:dyDescent="0.25">
      <c r="A4462" s="308">
        <v>45809</v>
      </c>
      <c r="B4462" s="416">
        <v>1244299</v>
      </c>
      <c r="C4462" s="413" t="str">
        <f>IFERROR(INDEX(Table14[],MATCH($B4462,Table14[SAPNo],0),3),"")</f>
        <v>1313 CT147CV4 U</v>
      </c>
      <c r="D4462" s="420" t="s">
        <v>11</v>
      </c>
      <c r="E4462" s="421">
        <v>1</v>
      </c>
      <c r="F4462" s="580"/>
      <c r="G4462" s="417">
        <v>20251071</v>
      </c>
      <c r="H4462" s="598" t="s">
        <v>2875</v>
      </c>
      <c r="I4462" s="322" t="s">
        <v>1746</v>
      </c>
      <c r="J4462" s="418"/>
      <c r="K4462" s="248"/>
      <c r="M4462" s="366"/>
    </row>
    <row r="4463" spans="1:13" x14ac:dyDescent="0.25">
      <c r="A4463" s="308">
        <v>45809</v>
      </c>
      <c r="B4463" s="416">
        <v>1100696</v>
      </c>
      <c r="C4463" s="413" t="str">
        <f>IFERROR(INDEX(Table14[],MATCH($B4463,Table14[SAPNo],0),3),"")</f>
        <v>Round 1313 CT418  10C (S)</v>
      </c>
      <c r="D4463" s="420" t="s">
        <v>11</v>
      </c>
      <c r="E4463" s="421">
        <v>4</v>
      </c>
      <c r="F4463" s="580"/>
      <c r="G4463" s="417">
        <v>20251071</v>
      </c>
      <c r="H4463" s="598" t="s">
        <v>2875</v>
      </c>
      <c r="I4463" s="322" t="s">
        <v>1746</v>
      </c>
      <c r="J4463" s="418"/>
      <c r="K4463" s="248"/>
      <c r="M4463" s="366"/>
    </row>
    <row r="4464" spans="1:13" x14ac:dyDescent="0.25">
      <c r="A4464" s="308">
        <v>45809</v>
      </c>
      <c r="B4464" s="416">
        <v>1228502</v>
      </c>
      <c r="C4464" s="413" t="str">
        <f>IFERROR(INDEX(Table14[],MATCH($B4464,Table14[SAPNo],0),3),"")</f>
        <v>1618 CT182 U-60 Rotor</v>
      </c>
      <c r="D4464" s="420" t="s">
        <v>12</v>
      </c>
      <c r="E4464" s="421">
        <v>10</v>
      </c>
      <c r="F4464" s="580"/>
      <c r="G4464" s="417" t="s">
        <v>2876</v>
      </c>
      <c r="H4464" s="598">
        <v>14386449</v>
      </c>
      <c r="I4464" s="322" t="s">
        <v>2863</v>
      </c>
      <c r="J4464" s="418"/>
      <c r="K4464" s="248"/>
      <c r="M4464" s="366"/>
    </row>
    <row r="4465" spans="1:13" x14ac:dyDescent="0.25">
      <c r="A4465" s="308">
        <v>45809</v>
      </c>
      <c r="B4465" s="416">
        <v>2002243</v>
      </c>
      <c r="C4465" s="413" t="str">
        <f>IFERROR(INDEX(Table14[],MATCH($B4465,Table14[SAPNo],0),3),"")</f>
        <v>1308 CT188 U-60</v>
      </c>
      <c r="D4465" s="420" t="s">
        <v>12</v>
      </c>
      <c r="E4465" s="421">
        <v>15</v>
      </c>
      <c r="F4465" s="580"/>
      <c r="G4465" s="417" t="s">
        <v>2876</v>
      </c>
      <c r="H4465" s="598">
        <v>14386449</v>
      </c>
      <c r="I4465" s="322" t="s">
        <v>2863</v>
      </c>
      <c r="J4465" s="418"/>
      <c r="K4465" s="248"/>
      <c r="M4465" s="366"/>
    </row>
    <row r="4466" spans="1:13" x14ac:dyDescent="0.25">
      <c r="A4466" s="308">
        <v>45809</v>
      </c>
      <c r="B4466" s="416">
        <v>2002244</v>
      </c>
      <c r="C4466" s="413" t="str">
        <f>IFERROR(INDEX(Table14[],MATCH($B4466,Table14[SAPNo],0),3),"")</f>
        <v>1313 CT188 Uc-60</v>
      </c>
      <c r="D4466" s="420" t="s">
        <v>12</v>
      </c>
      <c r="E4466" s="421">
        <v>15</v>
      </c>
      <c r="F4466" s="580"/>
      <c r="G4466" s="417" t="s">
        <v>2876</v>
      </c>
      <c r="H4466" s="598">
        <v>14386449</v>
      </c>
      <c r="I4466" s="322" t="s">
        <v>2863</v>
      </c>
      <c r="J4466" s="418"/>
      <c r="K4466" s="248"/>
      <c r="M4466" s="366"/>
    </row>
    <row r="4467" spans="1:13" x14ac:dyDescent="0.25">
      <c r="A4467" s="308">
        <v>45809</v>
      </c>
      <c r="B4467" s="416">
        <v>2002299</v>
      </c>
      <c r="C4467" s="413" t="str">
        <f>IFERROR(INDEX(Table14[],MATCH($B4467,Table14[SAPNo],0),3),"")</f>
        <v>1613 CT187 U-60</v>
      </c>
      <c r="D4467" s="420" t="s">
        <v>12</v>
      </c>
      <c r="E4467" s="421">
        <v>4</v>
      </c>
      <c r="F4467" s="580"/>
      <c r="G4467" s="417" t="s">
        <v>2876</v>
      </c>
      <c r="H4467" s="598">
        <v>14386449</v>
      </c>
      <c r="I4467" s="322" t="s">
        <v>2863</v>
      </c>
      <c r="J4467" s="418"/>
      <c r="K4467" s="248"/>
      <c r="M4467" s="366"/>
    </row>
    <row r="4468" spans="1:13" x14ac:dyDescent="0.25">
      <c r="A4468" s="308">
        <v>45809</v>
      </c>
      <c r="B4468" s="416">
        <v>1228501</v>
      </c>
      <c r="C4468" s="413" t="str">
        <f>IFERROR(INDEX(Table14[],MATCH($B4468,Table14[SAPNo],0),3),"")</f>
        <v>1618 CT182 U-60 stator</v>
      </c>
      <c r="D4468" s="420" t="s">
        <v>12</v>
      </c>
      <c r="E4468" s="421">
        <v>10</v>
      </c>
      <c r="F4468" s="580"/>
      <c r="G4468" s="417" t="s">
        <v>2876</v>
      </c>
      <c r="H4468" s="598">
        <v>14386449</v>
      </c>
      <c r="I4468" s="322" t="s">
        <v>2863</v>
      </c>
      <c r="J4468" s="418"/>
      <c r="K4468" s="248"/>
      <c r="M4468" s="366"/>
    </row>
    <row r="4469" spans="1:13" x14ac:dyDescent="0.25">
      <c r="A4469" s="308">
        <v>45809</v>
      </c>
      <c r="B4469" s="416">
        <v>871781</v>
      </c>
      <c r="C4469" s="413" t="str">
        <f>IFERROR(INDEX(Table14[],MATCH($B4469,Table14[SAPNo],0),3),"")</f>
        <v>Round 1313 CT200  0.018" (B)</v>
      </c>
      <c r="D4469" s="420" t="s">
        <v>12</v>
      </c>
      <c r="E4469" s="421">
        <v>6</v>
      </c>
      <c r="F4469" s="580"/>
      <c r="G4469" s="417" t="s">
        <v>2876</v>
      </c>
      <c r="H4469" s="598">
        <v>14386449</v>
      </c>
      <c r="I4469" s="322" t="s">
        <v>2863</v>
      </c>
      <c r="J4469" s="418"/>
      <c r="K4469" s="248"/>
      <c r="M4469" s="366"/>
    </row>
    <row r="4470" spans="1:13" x14ac:dyDescent="0.25">
      <c r="A4470" s="308">
        <v>45809</v>
      </c>
      <c r="B4470" s="416">
        <v>1220554</v>
      </c>
      <c r="C4470" s="413" t="str">
        <f>IFERROR(INDEX(Table14[],MATCH($B4470,Table14[SAPNo],0),3),"")</f>
        <v xml:space="preserve">1618 CT182 U-60 Carbide </v>
      </c>
      <c r="D4470" s="420" t="s">
        <v>12</v>
      </c>
      <c r="E4470" s="421">
        <v>10</v>
      </c>
      <c r="F4470" s="580"/>
      <c r="G4470" s="417" t="s">
        <v>2876</v>
      </c>
      <c r="H4470" s="598">
        <v>14386449</v>
      </c>
      <c r="I4470" s="322" t="s">
        <v>2863</v>
      </c>
      <c r="J4470" s="418"/>
      <c r="K4470" s="248"/>
      <c r="M4470" s="366"/>
    </row>
    <row r="4471" spans="1:13" x14ac:dyDescent="0.25">
      <c r="A4471" s="308">
        <v>45809</v>
      </c>
      <c r="B4471" s="416">
        <v>1228503</v>
      </c>
      <c r="C4471" s="413" t="str">
        <f>IFERROR(INDEX(Table14[],MATCH($B4471,Table14[SAPNo],0),3),"")</f>
        <v>1618 CT182 U-60 Ring</v>
      </c>
      <c r="D4471" s="420" t="s">
        <v>12</v>
      </c>
      <c r="E4471" s="421">
        <v>14</v>
      </c>
      <c r="F4471" s="580"/>
      <c r="G4471" s="417" t="s">
        <v>2876</v>
      </c>
      <c r="H4471" s="598">
        <v>14386449</v>
      </c>
      <c r="I4471" s="322" t="s">
        <v>2863</v>
      </c>
      <c r="J4471" s="418"/>
      <c r="K4471" s="248"/>
      <c r="M4471" s="366"/>
    </row>
    <row r="4472" spans="1:13" x14ac:dyDescent="0.25">
      <c r="A4472" s="308">
        <v>45809</v>
      </c>
      <c r="B4472" s="416">
        <v>871781</v>
      </c>
      <c r="C4472" s="413" t="str">
        <f>IFERROR(INDEX(Table14[],MATCH($B4472,Table14[SAPNo],0),3),"")</f>
        <v>Round 1313 CT200  0.018" (B)</v>
      </c>
      <c r="D4472" s="420" t="s">
        <v>12</v>
      </c>
      <c r="E4472" s="421">
        <v>6</v>
      </c>
      <c r="F4472" s="580"/>
      <c r="G4472" s="417" t="s">
        <v>2877</v>
      </c>
      <c r="H4472" s="598">
        <v>14273435</v>
      </c>
      <c r="I4472" s="322" t="s">
        <v>2752</v>
      </c>
      <c r="J4472" s="418"/>
      <c r="K4472" s="248"/>
      <c r="M4472" s="366"/>
    </row>
    <row r="4473" spans="1:13" x14ac:dyDescent="0.25">
      <c r="A4473" s="308">
        <v>45809</v>
      </c>
      <c r="B4473" s="416">
        <v>1255773</v>
      </c>
      <c r="C4473" s="413" t="str">
        <f>IFERROR(INDEX(Table14[],MATCH($B4473,Table14[SAPNo],0),3),"")</f>
        <v>1613 CT154 U­60</v>
      </c>
      <c r="D4473" s="420" t="s">
        <v>12</v>
      </c>
      <c r="E4473" s="421">
        <v>20</v>
      </c>
      <c r="F4473" s="580"/>
      <c r="G4473" s="417" t="s">
        <v>2877</v>
      </c>
      <c r="H4473" s="598">
        <v>14273435</v>
      </c>
      <c r="I4473" s="322" t="s">
        <v>2752</v>
      </c>
      <c r="J4473" s="418"/>
      <c r="K4473" s="248"/>
      <c r="M4473" s="366"/>
    </row>
    <row r="4474" spans="1:13" x14ac:dyDescent="0.25">
      <c r="A4474" s="308">
        <v>45809</v>
      </c>
      <c r="B4474" s="416">
        <v>1228501</v>
      </c>
      <c r="C4474" s="413" t="str">
        <f>IFERROR(INDEX(Table14[],MATCH($B4474,Table14[SAPNo],0),3),"")</f>
        <v>1618 CT182 U-60 stator</v>
      </c>
      <c r="D4474" s="420" t="s">
        <v>12</v>
      </c>
      <c r="E4474" s="421">
        <v>14</v>
      </c>
      <c r="F4474" s="580"/>
      <c r="G4474" s="417" t="s">
        <v>2877</v>
      </c>
      <c r="H4474" s="598">
        <v>14273435</v>
      </c>
      <c r="I4474" s="322" t="s">
        <v>2752</v>
      </c>
      <c r="J4474" s="418"/>
      <c r="K4474" s="248"/>
      <c r="M4474" s="366"/>
    </row>
    <row r="4475" spans="1:13" x14ac:dyDescent="0.25">
      <c r="A4475" s="308">
        <v>45809</v>
      </c>
      <c r="B4475" s="416">
        <v>1201518</v>
      </c>
      <c r="C4475" s="413" t="str">
        <f>IFERROR(INDEX(Table14[],MATCH($B4475,Table14[SAPNo],0),3),"")</f>
        <v>12MM WC­MAT404 NA</v>
      </c>
      <c r="D4475" s="420" t="s">
        <v>12</v>
      </c>
      <c r="E4475" s="421">
        <v>3</v>
      </c>
      <c r="F4475" s="580"/>
      <c r="G4475" s="417" t="s">
        <v>2877</v>
      </c>
      <c r="H4475" s="598">
        <v>14273435</v>
      </c>
      <c r="I4475" s="322" t="s">
        <v>2752</v>
      </c>
      <c r="J4475" s="418"/>
      <c r="K4475" s="248"/>
      <c r="M4475" s="366"/>
    </row>
    <row r="4476" spans="1:13" x14ac:dyDescent="0.25">
      <c r="A4476" s="308">
        <v>45809</v>
      </c>
      <c r="B4476" s="416">
        <v>1228502</v>
      </c>
      <c r="C4476" s="413" t="str">
        <f>IFERROR(INDEX(Table14[],MATCH($B4476,Table14[SAPNo],0),3),"")</f>
        <v>1618 CT182 U-60 Rotor</v>
      </c>
      <c r="D4476" s="420" t="s">
        <v>12</v>
      </c>
      <c r="E4476" s="421">
        <v>14</v>
      </c>
      <c r="F4476" s="580"/>
      <c r="G4476" s="417" t="s">
        <v>2877</v>
      </c>
      <c r="H4476" s="598">
        <v>14273435</v>
      </c>
      <c r="I4476" s="322" t="s">
        <v>2752</v>
      </c>
      <c r="J4476" s="418"/>
      <c r="K4476" s="248"/>
      <c r="M4476" s="366"/>
    </row>
    <row r="4477" spans="1:13" x14ac:dyDescent="0.25">
      <c r="A4477" s="308">
        <v>45809</v>
      </c>
      <c r="B4477" s="416">
        <v>2002243</v>
      </c>
      <c r="C4477" s="413" t="str">
        <f>IFERROR(INDEX(Table14[],MATCH($B4477,Table14[SAPNo],0),3),"")</f>
        <v>1308 CT188 U-60</v>
      </c>
      <c r="D4477" s="420" t="s">
        <v>12</v>
      </c>
      <c r="E4477" s="421">
        <v>22</v>
      </c>
      <c r="F4477" s="580"/>
      <c r="G4477" s="417" t="s">
        <v>2877</v>
      </c>
      <c r="H4477" s="598">
        <v>14273435</v>
      </c>
      <c r="I4477" s="322" t="s">
        <v>2752</v>
      </c>
      <c r="J4477" s="418"/>
      <c r="K4477" s="248"/>
      <c r="M4477" s="366"/>
    </row>
    <row r="4478" spans="1:13" x14ac:dyDescent="0.25">
      <c r="A4478" s="308">
        <v>45809</v>
      </c>
      <c r="B4478" s="416">
        <v>1130198</v>
      </c>
      <c r="C4478" s="413" t="str">
        <f>IFERROR(INDEX(Table14[],MATCH($B4478,Table14[SAPNo],0),3),"")</f>
        <v>Round 1613 CT182  0.018" (S)</v>
      </c>
      <c r="D4478" s="420" t="s">
        <v>1072</v>
      </c>
      <c r="E4478" s="421">
        <v>7</v>
      </c>
      <c r="F4478" s="580"/>
      <c r="G4478" s="417" t="s">
        <v>2877</v>
      </c>
      <c r="H4478" s="598">
        <v>14273435</v>
      </c>
      <c r="I4478" s="322" t="s">
        <v>2752</v>
      </c>
      <c r="J4478" s="418"/>
      <c r="K4478" s="248"/>
      <c r="M4478" s="366"/>
    </row>
    <row r="4479" spans="1:13" x14ac:dyDescent="0.25">
      <c r="A4479" s="308">
        <v>45809</v>
      </c>
      <c r="B4479" s="416">
        <v>1228503</v>
      </c>
      <c r="C4479" s="413" t="str">
        <f>IFERROR(INDEX(Table14[],MATCH($B4479,Table14[SAPNo],0),3),"")</f>
        <v>1618 CT182 U-60 Ring</v>
      </c>
      <c r="D4479" s="420" t="s">
        <v>12</v>
      </c>
      <c r="E4479" s="421">
        <v>18</v>
      </c>
      <c r="F4479" s="580"/>
      <c r="G4479" s="417" t="s">
        <v>2877</v>
      </c>
      <c r="H4479" s="598">
        <v>14273435</v>
      </c>
      <c r="I4479" s="322" t="s">
        <v>2752</v>
      </c>
      <c r="J4479" s="418"/>
      <c r="K4479" s="248"/>
      <c r="M4479" s="366"/>
    </row>
    <row r="4480" spans="1:13" x14ac:dyDescent="0.25">
      <c r="A4480" s="308">
        <v>45809</v>
      </c>
      <c r="B4480" s="416">
        <v>1220554</v>
      </c>
      <c r="C4480" s="413" t="str">
        <f>IFERROR(INDEX(Table14[],MATCH($B4480,Table14[SAPNo],0),3),"")</f>
        <v xml:space="preserve">1618 CT182 U-60 Carbide </v>
      </c>
      <c r="D4480" s="420" t="s">
        <v>12</v>
      </c>
      <c r="E4480" s="421">
        <v>16</v>
      </c>
      <c r="F4480" s="580"/>
      <c r="G4480" s="417" t="s">
        <v>2877</v>
      </c>
      <c r="H4480" s="598">
        <v>14273435</v>
      </c>
      <c r="I4480" s="322" t="s">
        <v>2752</v>
      </c>
      <c r="J4480" s="418"/>
      <c r="K4480" s="248"/>
      <c r="M4480" s="366"/>
    </row>
    <row r="4481" spans="1:13" x14ac:dyDescent="0.25">
      <c r="A4481" s="308">
        <v>45803</v>
      </c>
      <c r="B4481" s="416">
        <v>418525</v>
      </c>
      <c r="C4481" s="413" t="str">
        <f>IFERROR(INDEX(Table14[],MATCH($B4481,Table14[SAPNo],0),3),"")</f>
        <v>Drop In 1308 CT31   (B)</v>
      </c>
      <c r="D4481" s="420" t="s">
        <v>12</v>
      </c>
      <c r="E4481" s="421">
        <v>1</v>
      </c>
      <c r="F4481" s="580"/>
      <c r="G4481" s="417" t="s">
        <v>2857</v>
      </c>
      <c r="H4481" s="598" t="s">
        <v>2858</v>
      </c>
      <c r="I4481" s="322" t="s">
        <v>2136</v>
      </c>
      <c r="J4481" s="418"/>
      <c r="K4481" s="248"/>
      <c r="M4481" s="366"/>
    </row>
    <row r="4482" spans="1:13" x14ac:dyDescent="0.25">
      <c r="A4482" s="308">
        <v>45803</v>
      </c>
      <c r="B4482" s="416">
        <v>1146737</v>
      </c>
      <c r="C4482" s="413" t="str">
        <f>IFERROR(INDEX(Table14[],MATCH($B4482,Table14[SAPNo],0),3),"")</f>
        <v>1613 CT418 18-60</v>
      </c>
      <c r="D4482" s="420" t="s">
        <v>12</v>
      </c>
      <c r="E4482" s="421">
        <v>6</v>
      </c>
      <c r="F4482" s="580"/>
      <c r="G4482" s="417" t="s">
        <v>2857</v>
      </c>
      <c r="H4482" s="598" t="s">
        <v>2858</v>
      </c>
      <c r="I4482" s="322" t="s">
        <v>2136</v>
      </c>
      <c r="J4482" s="418"/>
      <c r="K4482" s="248"/>
      <c r="M4482" s="366"/>
    </row>
    <row r="4483" spans="1:13" x14ac:dyDescent="0.25">
      <c r="A4483" s="308">
        <v>45809</v>
      </c>
      <c r="B4483" s="416">
        <v>1078377</v>
      </c>
      <c r="C4483" s="413" t="str">
        <f>IFERROR(INDEX(Table14[],MATCH($B4483,Table14[SAPNo],0),3),"")</f>
        <v>13MM CT221 R1</v>
      </c>
      <c r="D4483" s="420" t="s">
        <v>12</v>
      </c>
      <c r="E4483" s="421">
        <v>4</v>
      </c>
      <c r="F4483" s="580"/>
      <c r="G4483" s="417" t="s">
        <v>2878</v>
      </c>
      <c r="H4483" s="598" t="s">
        <v>2879</v>
      </c>
      <c r="I4483" s="322" t="s">
        <v>2311</v>
      </c>
      <c r="J4483" s="418"/>
      <c r="K4483" s="248"/>
      <c r="M4483" s="366"/>
    </row>
    <row r="4484" spans="1:13" x14ac:dyDescent="0.25">
      <c r="A4484" s="308">
        <v>45809</v>
      </c>
      <c r="B4484" s="416">
        <v>418525</v>
      </c>
      <c r="C4484" s="413" t="str">
        <f>IFERROR(INDEX(Table14[],MATCH($B4484,Table14[SAPNo],0),3),"")</f>
        <v>Drop In 1308 CT31   (B)</v>
      </c>
      <c r="D4484" s="420" t="s">
        <v>12</v>
      </c>
      <c r="E4484" s="421">
        <v>6</v>
      </c>
      <c r="F4484" s="580"/>
      <c r="G4484" s="417" t="s">
        <v>2878</v>
      </c>
      <c r="H4484" s="598" t="s">
        <v>2879</v>
      </c>
      <c r="I4484" s="322" t="s">
        <v>2311</v>
      </c>
      <c r="J4484" s="418"/>
      <c r="K4484" s="248"/>
      <c r="M4484" s="366"/>
    </row>
    <row r="4485" spans="1:13" x14ac:dyDescent="0.25">
      <c r="A4485" s="308">
        <v>45809</v>
      </c>
      <c r="B4485" s="416">
        <v>1146737</v>
      </c>
      <c r="C4485" s="413" t="str">
        <f>IFERROR(INDEX(Table14[],MATCH($B4485,Table14[SAPNo],0),3),"")</f>
        <v>1613 CT418 18-60</v>
      </c>
      <c r="D4485" s="420" t="s">
        <v>12</v>
      </c>
      <c r="E4485" s="421">
        <v>6</v>
      </c>
      <c r="F4485" s="580"/>
      <c r="G4485" s="417" t="s">
        <v>2878</v>
      </c>
      <c r="H4485" s="598" t="s">
        <v>2879</v>
      </c>
      <c r="I4485" s="322" t="s">
        <v>2311</v>
      </c>
      <c r="J4485" s="418"/>
      <c r="K4485" s="248"/>
      <c r="M4485" s="366"/>
    </row>
    <row r="4486" spans="1:13" x14ac:dyDescent="0.25">
      <c r="A4486" s="308">
        <v>45810</v>
      </c>
      <c r="B4486" s="416">
        <v>1078377</v>
      </c>
      <c r="C4486" s="413" t="str">
        <f>IFERROR(INDEX(Table14[],MATCH($B4486,Table14[SAPNo],0),3),"")</f>
        <v>13MM CT221 R1</v>
      </c>
      <c r="D4486" s="420" t="s">
        <v>12</v>
      </c>
      <c r="E4486" s="421">
        <v>2</v>
      </c>
      <c r="F4486" s="580"/>
      <c r="G4486" s="417" t="s">
        <v>2880</v>
      </c>
      <c r="H4486" s="598" t="s">
        <v>2881</v>
      </c>
      <c r="I4486" s="322" t="s">
        <v>1273</v>
      </c>
      <c r="J4486" s="418"/>
      <c r="K4486" s="248"/>
      <c r="M4486" s="366"/>
    </row>
    <row r="4487" spans="1:13" x14ac:dyDescent="0.25">
      <c r="A4487" s="308">
        <v>45810</v>
      </c>
      <c r="B4487" s="416">
        <v>418525</v>
      </c>
      <c r="C4487" s="413" t="str">
        <f>IFERROR(INDEX(Table14[],MATCH($B4487,Table14[SAPNo],0),3),"")</f>
        <v>Drop In 1308 CT31   (B)</v>
      </c>
      <c r="D4487" s="420" t="s">
        <v>12</v>
      </c>
      <c r="E4487" s="421">
        <v>1</v>
      </c>
      <c r="F4487" s="580"/>
      <c r="G4487" s="417" t="s">
        <v>2880</v>
      </c>
      <c r="H4487" s="598" t="s">
        <v>2881</v>
      </c>
      <c r="I4487" s="322" t="s">
        <v>1273</v>
      </c>
      <c r="J4487" s="418"/>
      <c r="K4487" s="248"/>
      <c r="M4487" s="366"/>
    </row>
    <row r="4488" spans="1:13" x14ac:dyDescent="0.25">
      <c r="A4488" s="308">
        <v>45811</v>
      </c>
      <c r="B4488" s="416">
        <v>717748</v>
      </c>
      <c r="C4488" s="413" t="str">
        <f>IFERROR(INDEX(Table14[],MATCH($B4488,Table14[SAPNo],0),3),"")</f>
        <v>Round 1010 CT200  0.018" (B)</v>
      </c>
      <c r="D4488" s="420" t="s">
        <v>12</v>
      </c>
      <c r="E4488" s="421">
        <v>2</v>
      </c>
      <c r="F4488" s="580"/>
      <c r="G4488" s="417">
        <v>20251070</v>
      </c>
      <c r="H4488" s="598" t="s">
        <v>2874</v>
      </c>
      <c r="I4488" s="322" t="s">
        <v>1069</v>
      </c>
      <c r="J4488" s="418"/>
      <c r="K4488" s="248"/>
      <c r="M4488" s="366"/>
    </row>
    <row r="4489" spans="1:13" x14ac:dyDescent="0.25">
      <c r="A4489" s="308">
        <v>45810</v>
      </c>
      <c r="B4489" s="416">
        <v>1208601</v>
      </c>
      <c r="C4489" s="413" t="str">
        <f>IFERROR(INDEX(Table14[],MATCH($B4489,Table14[SAPNo],0),3),"")</f>
        <v>1613 CT418 U-60</v>
      </c>
      <c r="D4489" s="420" t="s">
        <v>12</v>
      </c>
      <c r="E4489" s="421">
        <v>1</v>
      </c>
      <c r="F4489" s="580"/>
      <c r="G4489" s="417" t="s">
        <v>2880</v>
      </c>
      <c r="H4489" s="598" t="s">
        <v>2881</v>
      </c>
      <c r="I4489" s="322" t="s">
        <v>1273</v>
      </c>
      <c r="J4489" s="418"/>
      <c r="K4489" s="248"/>
      <c r="M4489" s="366"/>
    </row>
    <row r="4490" spans="1:13" x14ac:dyDescent="0.25">
      <c r="A4490" s="308">
        <v>45810</v>
      </c>
      <c r="B4490" s="416">
        <v>1146737</v>
      </c>
      <c r="C4490" s="413" t="str">
        <f>IFERROR(INDEX(Table14[],MATCH($B4490,Table14[SAPNo],0),3),"")</f>
        <v>1613 CT418 18-60</v>
      </c>
      <c r="D4490" s="420" t="s">
        <v>12</v>
      </c>
      <c r="E4490" s="421">
        <v>6</v>
      </c>
      <c r="F4490" s="580"/>
      <c r="G4490" s="417" t="s">
        <v>2880</v>
      </c>
      <c r="H4490" s="598" t="s">
        <v>2881</v>
      </c>
      <c r="I4490" s="322" t="s">
        <v>1273</v>
      </c>
      <c r="J4490" s="418"/>
      <c r="K4490" s="248"/>
      <c r="M4490" s="366"/>
    </row>
    <row r="4491" spans="1:13" x14ac:dyDescent="0.25">
      <c r="A4491" s="308">
        <v>45812</v>
      </c>
      <c r="B4491" s="416">
        <v>418525</v>
      </c>
      <c r="C4491" s="413" t="str">
        <f>IFERROR(INDEX(Table14[],MATCH($B4491,Table14[SAPNo],0),3),"")</f>
        <v>Drop In 1308 CT31   (B)</v>
      </c>
      <c r="D4491" s="420" t="s">
        <v>12</v>
      </c>
      <c r="E4491" s="421">
        <v>1</v>
      </c>
      <c r="F4491" s="580"/>
      <c r="G4491" s="417">
        <v>20251075</v>
      </c>
      <c r="H4491" s="598" t="s">
        <v>2883</v>
      </c>
      <c r="I4491" s="322" t="s">
        <v>2590</v>
      </c>
      <c r="J4491" s="418"/>
      <c r="K4491" s="248"/>
      <c r="M4491" s="366"/>
    </row>
    <row r="4492" spans="1:13" x14ac:dyDescent="0.25">
      <c r="A4492" s="308">
        <v>45812</v>
      </c>
      <c r="B4492" s="416">
        <v>717748</v>
      </c>
      <c r="C4492" s="413" t="str">
        <f>IFERROR(INDEX(Table14[],MATCH($B4492,Table14[SAPNo],0),3),"")</f>
        <v>Round 1010 CT200  0.018" (B)</v>
      </c>
      <c r="D4492" s="420" t="s">
        <v>12</v>
      </c>
      <c r="E4492" s="421">
        <v>6</v>
      </c>
      <c r="F4492" s="580"/>
      <c r="G4492" s="417">
        <v>20251076</v>
      </c>
      <c r="H4492" s="598" t="s">
        <v>2884</v>
      </c>
      <c r="I4492" s="322" t="s">
        <v>1069</v>
      </c>
      <c r="J4492" s="418"/>
      <c r="K4492" s="248"/>
      <c r="M4492" s="366"/>
    </row>
    <row r="4493" spans="1:13" x14ac:dyDescent="0.25">
      <c r="A4493" s="308">
        <v>45812</v>
      </c>
      <c r="B4493" s="416">
        <v>418525</v>
      </c>
      <c r="C4493" s="413" t="str">
        <f>IFERROR(INDEX(Table14[],MATCH($B4493,Table14[SAPNo],0),3),"")</f>
        <v>Drop In 1308 CT31   (B)</v>
      </c>
      <c r="D4493" s="420" t="s">
        <v>12</v>
      </c>
      <c r="E4493" s="421">
        <v>3</v>
      </c>
      <c r="F4493" s="580"/>
      <c r="G4493" s="417" t="s">
        <v>2885</v>
      </c>
      <c r="H4493" s="598" t="s">
        <v>2886</v>
      </c>
      <c r="I4493" s="322" t="s">
        <v>1273</v>
      </c>
      <c r="J4493" s="418"/>
      <c r="K4493" s="248"/>
      <c r="M4493" s="366"/>
    </row>
    <row r="4494" spans="1:13" x14ac:dyDescent="0.25">
      <c r="A4494" s="308">
        <v>45812</v>
      </c>
      <c r="B4494" s="416">
        <v>1271790</v>
      </c>
      <c r="C4494" s="413" t="str">
        <f>IFERROR(INDEX(Table14[],MATCH($B4494,Table14[SAPNo],0),3),"")</f>
        <v xml:space="preserve">1613 CT170 18-60 </v>
      </c>
      <c r="D4494" s="420" t="s">
        <v>12</v>
      </c>
      <c r="E4494" s="421">
        <v>3</v>
      </c>
      <c r="F4494" s="580"/>
      <c r="G4494" s="417" t="s">
        <v>2885</v>
      </c>
      <c r="H4494" s="598" t="s">
        <v>2886</v>
      </c>
      <c r="I4494" s="322" t="s">
        <v>1273</v>
      </c>
      <c r="J4494" s="418"/>
      <c r="K4494" s="248"/>
      <c r="M4494" s="366"/>
    </row>
    <row r="4495" spans="1:13" x14ac:dyDescent="0.25">
      <c r="A4495" s="308">
        <v>45812</v>
      </c>
      <c r="B4495" s="416">
        <v>1146737</v>
      </c>
      <c r="C4495" s="413" t="str">
        <f>IFERROR(INDEX(Table14[],MATCH($B4495,Table14[SAPNo],0),3),"")</f>
        <v>1613 CT418 18-60</v>
      </c>
      <c r="D4495" s="420" t="s">
        <v>12</v>
      </c>
      <c r="E4495" s="421">
        <v>6</v>
      </c>
      <c r="F4495" s="580"/>
      <c r="G4495" s="417" t="s">
        <v>2885</v>
      </c>
      <c r="H4495" s="598" t="s">
        <v>2886</v>
      </c>
      <c r="I4495" s="322" t="s">
        <v>1273</v>
      </c>
      <c r="J4495" s="418"/>
      <c r="K4495" s="248"/>
      <c r="M4495" s="366"/>
    </row>
    <row r="4496" spans="1:13" x14ac:dyDescent="0.25">
      <c r="A4496" s="308">
        <v>45812</v>
      </c>
      <c r="B4496" s="416">
        <v>418525</v>
      </c>
      <c r="C4496" s="413" t="str">
        <f>IFERROR(INDEX(Table14[],MATCH($B4496,Table14[SAPNo],0),3),"")</f>
        <v>Drop In 1308 CT31   (B)</v>
      </c>
      <c r="D4496" s="420" t="s">
        <v>12</v>
      </c>
      <c r="E4496" s="421">
        <v>5</v>
      </c>
      <c r="F4496" s="580"/>
      <c r="G4496" s="417" t="s">
        <v>2887</v>
      </c>
      <c r="H4496" s="598" t="s">
        <v>2888</v>
      </c>
      <c r="I4496" s="322" t="s">
        <v>2311</v>
      </c>
      <c r="J4496" s="418"/>
      <c r="K4496" s="248"/>
      <c r="M4496" s="366"/>
    </row>
    <row r="4497" spans="1:13" x14ac:dyDescent="0.25">
      <c r="A4497" s="308">
        <v>45812</v>
      </c>
      <c r="B4497" s="416">
        <v>1146737</v>
      </c>
      <c r="C4497" s="413" t="str">
        <f>IFERROR(INDEX(Table14[],MATCH($B4497,Table14[SAPNo],0),3),"")</f>
        <v>1613 CT418 18-60</v>
      </c>
      <c r="D4497" s="420" t="s">
        <v>12</v>
      </c>
      <c r="E4497" s="421">
        <v>6</v>
      </c>
      <c r="F4497" s="580"/>
      <c r="G4497" s="417" t="s">
        <v>2887</v>
      </c>
      <c r="H4497" s="598" t="s">
        <v>2888</v>
      </c>
      <c r="I4497" s="322" t="s">
        <v>2311</v>
      </c>
      <c r="J4497" s="418"/>
      <c r="K4497" s="248"/>
      <c r="M4497" s="366"/>
    </row>
    <row r="4498" spans="1:13" x14ac:dyDescent="0.25">
      <c r="A4498" s="308">
        <v>45812</v>
      </c>
      <c r="B4498" s="416">
        <v>1271790</v>
      </c>
      <c r="C4498" s="413" t="str">
        <f>IFERROR(INDEX(Table14[],MATCH($B4498,Table14[SAPNo],0),3),"")</f>
        <v xml:space="preserve">1613 CT170 18-60 </v>
      </c>
      <c r="D4498" s="420" t="s">
        <v>12</v>
      </c>
      <c r="E4498" s="421">
        <v>1</v>
      </c>
      <c r="F4498" s="580"/>
      <c r="G4498" s="417" t="s">
        <v>2887</v>
      </c>
      <c r="H4498" s="598" t="s">
        <v>2888</v>
      </c>
      <c r="I4498" s="322" t="s">
        <v>2311</v>
      </c>
      <c r="J4498" s="418"/>
      <c r="K4498" s="248"/>
      <c r="M4498" s="366"/>
    </row>
    <row r="4499" spans="1:13" x14ac:dyDescent="0.25">
      <c r="A4499" s="308">
        <v>45812</v>
      </c>
      <c r="B4499" s="416">
        <v>1078377</v>
      </c>
      <c r="C4499" s="413" t="str">
        <f>IFERROR(INDEX(Table14[],MATCH($B4499,Table14[SAPNo],0),3),"")</f>
        <v>13MM CT221 R1</v>
      </c>
      <c r="D4499" s="420" t="s">
        <v>12</v>
      </c>
      <c r="E4499" s="421">
        <v>2</v>
      </c>
      <c r="F4499" s="580"/>
      <c r="G4499" s="417" t="s">
        <v>2887</v>
      </c>
      <c r="H4499" s="598" t="s">
        <v>2888</v>
      </c>
      <c r="I4499" s="322" t="s">
        <v>2311</v>
      </c>
      <c r="J4499" s="418"/>
      <c r="K4499" s="248"/>
      <c r="M4499" s="366"/>
    </row>
    <row r="4500" spans="1:13" x14ac:dyDescent="0.25">
      <c r="A4500" s="308">
        <v>45812</v>
      </c>
      <c r="B4500" s="416">
        <v>418525</v>
      </c>
      <c r="C4500" s="413" t="str">
        <f>IFERROR(INDEX(Table14[],MATCH($B4500,Table14[SAPNo],0),3),"")</f>
        <v>Drop In 1308 CT31   (B)</v>
      </c>
      <c r="D4500" s="420" t="s">
        <v>12</v>
      </c>
      <c r="E4500" s="421">
        <v>3</v>
      </c>
      <c r="F4500" s="580"/>
      <c r="G4500" s="417" t="s">
        <v>2889</v>
      </c>
      <c r="H4500" s="598" t="s">
        <v>2890</v>
      </c>
      <c r="I4500" s="322" t="s">
        <v>1273</v>
      </c>
      <c r="J4500" s="418"/>
      <c r="K4500" s="248"/>
      <c r="M4500" s="366"/>
    </row>
    <row r="4501" spans="1:13" x14ac:dyDescent="0.25">
      <c r="A4501" s="308">
        <v>45812</v>
      </c>
      <c r="B4501" s="416">
        <v>1271790</v>
      </c>
      <c r="C4501" s="413" t="str">
        <f>IFERROR(INDEX(Table14[],MATCH($B4501,Table14[SAPNo],0),3),"")</f>
        <v xml:space="preserve">1613 CT170 18-60 </v>
      </c>
      <c r="D4501" s="420" t="s">
        <v>12</v>
      </c>
      <c r="E4501" s="421">
        <v>1</v>
      </c>
      <c r="F4501" s="580"/>
      <c r="G4501" s="417" t="s">
        <v>2889</v>
      </c>
      <c r="H4501" s="598" t="s">
        <v>2890</v>
      </c>
      <c r="I4501" s="322" t="s">
        <v>1273</v>
      </c>
      <c r="J4501" s="418"/>
      <c r="K4501" s="248"/>
      <c r="M4501" s="366"/>
    </row>
    <row r="4502" spans="1:13" x14ac:dyDescent="0.25">
      <c r="A4502" s="320">
        <v>45812</v>
      </c>
      <c r="B4502" s="419">
        <v>1146737</v>
      </c>
      <c r="C4502" s="413" t="str">
        <f>IFERROR(INDEX(Table14[],MATCH($B4502,Table14[SAPNo],0),3),"")</f>
        <v>1613 CT418 18-60</v>
      </c>
      <c r="D4502" s="420" t="s">
        <v>12</v>
      </c>
      <c r="E4502" s="421">
        <v>6</v>
      </c>
      <c r="F4502" s="580"/>
      <c r="G4502" s="420" t="s">
        <v>2889</v>
      </c>
      <c r="H4502" s="599" t="s">
        <v>2890</v>
      </c>
      <c r="I4502" s="322" t="s">
        <v>1273</v>
      </c>
      <c r="J4502" s="421"/>
      <c r="K4502" s="422"/>
      <c r="M4502" s="366"/>
    </row>
    <row r="4503" spans="1:13" x14ac:dyDescent="0.25">
      <c r="A4503" s="308">
        <v>45810</v>
      </c>
      <c r="B4503" s="416">
        <v>1100753</v>
      </c>
      <c r="C4503" s="413" t="str">
        <f>IFERROR(INDEX(Table14[],MATCH($B4503,Table14[SAPNo],0),3),"")</f>
        <v>1608 18C CT421</v>
      </c>
      <c r="D4503" s="420" t="s">
        <v>12</v>
      </c>
      <c r="E4503" s="421"/>
      <c r="F4503" s="421">
        <v>17</v>
      </c>
      <c r="G4503" s="420" t="s">
        <v>2513</v>
      </c>
      <c r="H4503" s="598"/>
      <c r="I4503" s="322"/>
      <c r="J4503" s="418" t="s">
        <v>1001</v>
      </c>
      <c r="K4503" s="248"/>
      <c r="M4503" s="422"/>
    </row>
    <row r="4504" spans="1:13" x14ac:dyDescent="0.25">
      <c r="A4504" s="308">
        <v>45810</v>
      </c>
      <c r="B4504" s="416">
        <v>1208601</v>
      </c>
      <c r="C4504" s="413" t="str">
        <f>IFERROR(INDEX(Table14[],MATCH($B4504,Table14[SAPNo],0),3),"")</f>
        <v>1613 CT418 U-60</v>
      </c>
      <c r="D4504" s="420" t="s">
        <v>12</v>
      </c>
      <c r="E4504" s="421"/>
      <c r="F4504" s="580">
        <v>74</v>
      </c>
      <c r="G4504" s="420" t="s">
        <v>2513</v>
      </c>
      <c r="H4504" s="598"/>
      <c r="I4504" s="322"/>
      <c r="J4504" s="418" t="s">
        <v>1004</v>
      </c>
      <c r="K4504" s="248"/>
      <c r="M4504" s="366"/>
    </row>
    <row r="4505" spans="1:13" x14ac:dyDescent="0.25">
      <c r="A4505" s="308">
        <v>45810</v>
      </c>
      <c r="B4505" s="416">
        <v>179734</v>
      </c>
      <c r="C4505" s="413" t="str">
        <f>IFERROR(INDEX(Table14[],MATCH($B4505,Table14[SAPNo],0),3),"")</f>
        <v>Long IPA 13    (C)</v>
      </c>
      <c r="D4505" s="420" t="s">
        <v>12</v>
      </c>
      <c r="E4505" s="421"/>
      <c r="F4505" s="580">
        <v>66</v>
      </c>
      <c r="G4505" s="420" t="s">
        <v>2513</v>
      </c>
      <c r="H4505" s="598"/>
      <c r="I4505" s="322"/>
      <c r="J4505" s="418" t="s">
        <v>1004</v>
      </c>
      <c r="K4505" s="248"/>
      <c r="M4505" s="366"/>
    </row>
    <row r="4506" spans="1:13" x14ac:dyDescent="0.25">
      <c r="A4506" s="308">
        <v>45810</v>
      </c>
      <c r="B4506" s="416">
        <v>2002243</v>
      </c>
      <c r="C4506" s="413" t="str">
        <f>IFERROR(INDEX(Table14[],MATCH($B4506,Table14[SAPNo],0),3),"")</f>
        <v>1308 CT188 U-60</v>
      </c>
      <c r="D4506" s="420" t="s">
        <v>12</v>
      </c>
      <c r="E4506" s="421"/>
      <c r="F4506" s="580">
        <v>21</v>
      </c>
      <c r="G4506" s="420" t="s">
        <v>2513</v>
      </c>
      <c r="H4506" s="598"/>
      <c r="I4506" s="322"/>
      <c r="J4506" s="418" t="s">
        <v>1002</v>
      </c>
      <c r="K4506" s="248"/>
      <c r="M4506" s="366"/>
    </row>
    <row r="4507" spans="1:13" x14ac:dyDescent="0.25">
      <c r="A4507" s="308">
        <v>45810</v>
      </c>
      <c r="B4507" s="416">
        <v>2002299</v>
      </c>
      <c r="C4507" s="413" t="str">
        <f>IFERROR(INDEX(Table14[],MATCH($B4507,Table14[SAPNo],0),3),"")</f>
        <v>1613 CT187 U-60</v>
      </c>
      <c r="D4507" s="420" t="s">
        <v>12</v>
      </c>
      <c r="E4507" s="421"/>
      <c r="F4507" s="580">
        <v>12</v>
      </c>
      <c r="G4507" s="420" t="s">
        <v>2513</v>
      </c>
      <c r="H4507" s="598"/>
      <c r="I4507" s="322"/>
      <c r="J4507" s="418" t="s">
        <v>1004</v>
      </c>
      <c r="K4507" s="248"/>
      <c r="M4507" s="366"/>
    </row>
    <row r="4508" spans="1:13" x14ac:dyDescent="0.25">
      <c r="A4508" s="308">
        <v>45810</v>
      </c>
      <c r="B4508" s="416">
        <v>410851</v>
      </c>
      <c r="C4508" s="413" t="str">
        <f>IFERROR(INDEX(Table14[],MATCH($B4508,Table14[SAPNo],0),3),"")</f>
        <v>PDC Dome 1308 CT31   (B)</v>
      </c>
      <c r="D4508" s="420" t="s">
        <v>12</v>
      </c>
      <c r="E4508" s="421"/>
      <c r="F4508" s="580">
        <v>96</v>
      </c>
      <c r="G4508" s="420" t="s">
        <v>2513</v>
      </c>
      <c r="H4508" s="598"/>
      <c r="I4508" s="322"/>
      <c r="J4508" s="418" t="s">
        <v>1004</v>
      </c>
      <c r="K4508" s="248"/>
      <c r="M4508" s="366"/>
    </row>
    <row r="4509" spans="1:13" x14ac:dyDescent="0.25">
      <c r="A4509" s="308">
        <v>45810</v>
      </c>
      <c r="B4509" s="416">
        <v>418525</v>
      </c>
      <c r="C4509" s="413" t="str">
        <f>IFERROR(INDEX(Table14[],MATCH($B4509,Table14[SAPNo],0),3),"")</f>
        <v>Drop In 1308 CT31   (B)</v>
      </c>
      <c r="D4509" s="420" t="s">
        <v>12</v>
      </c>
      <c r="E4509" s="421"/>
      <c r="F4509" s="580">
        <v>47</v>
      </c>
      <c r="G4509" s="420" t="s">
        <v>2513</v>
      </c>
      <c r="H4509" s="598"/>
      <c r="I4509" s="322"/>
      <c r="J4509" s="418" t="s">
        <v>1004</v>
      </c>
      <c r="K4509" s="248"/>
      <c r="M4509" s="366"/>
    </row>
    <row r="4510" spans="1:13" x14ac:dyDescent="0.25">
      <c r="A4510" s="308">
        <v>45810</v>
      </c>
      <c r="B4510" s="416">
        <v>625854</v>
      </c>
      <c r="C4510" s="413" t="str">
        <f>IFERROR(INDEX(Table14[],MATCH($B4510,Table14[SAPNo],0),3),"")</f>
        <v>Carbide IA 1318    (C)</v>
      </c>
      <c r="D4510" s="420" t="s">
        <v>12</v>
      </c>
      <c r="E4510" s="421"/>
      <c r="F4510" s="580">
        <v>50</v>
      </c>
      <c r="G4510" s="420" t="s">
        <v>2513</v>
      </c>
      <c r="H4510" s="598"/>
      <c r="I4510" s="322"/>
      <c r="J4510" s="418" t="s">
        <v>1004</v>
      </c>
      <c r="K4510" s="248"/>
      <c r="M4510" s="366"/>
    </row>
    <row r="4511" spans="1:13" x14ac:dyDescent="0.25">
      <c r="A4511" s="308">
        <v>45810</v>
      </c>
      <c r="B4511" s="416">
        <v>647435</v>
      </c>
      <c r="C4511" s="413" t="str">
        <f>IFERROR(INDEX(Table14[],MATCH($B4511,Table14[SAPNo],0),3),"")</f>
        <v>Round 1608 CT200  0.018" (B)</v>
      </c>
      <c r="D4511" s="420" t="s">
        <v>12</v>
      </c>
      <c r="E4511" s="421"/>
      <c r="F4511" s="580">
        <v>46</v>
      </c>
      <c r="G4511" s="420" t="s">
        <v>2513</v>
      </c>
      <c r="H4511" s="598"/>
      <c r="I4511" s="322"/>
      <c r="J4511" s="418" t="s">
        <v>1004</v>
      </c>
      <c r="K4511" s="248"/>
      <c r="M4511" s="366"/>
    </row>
    <row r="4512" spans="1:13" x14ac:dyDescent="0.25">
      <c r="A4512" s="308">
        <v>45810</v>
      </c>
      <c r="B4512" s="416">
        <v>647436</v>
      </c>
      <c r="C4512" s="413" t="str">
        <f>IFERROR(INDEX(Table14[],MATCH($B4512,Table14[SAPNo],0),3),"")</f>
        <v>Round 1613 CT200  0.018" (B)</v>
      </c>
      <c r="D4512" s="420" t="s">
        <v>12</v>
      </c>
      <c r="E4512" s="421"/>
      <c r="F4512" s="580">
        <v>51</v>
      </c>
      <c r="G4512" s="420" t="s">
        <v>2513</v>
      </c>
      <c r="H4512" s="598"/>
      <c r="I4512" s="322"/>
      <c r="J4512" s="418" t="s">
        <v>1004</v>
      </c>
      <c r="K4512" s="248"/>
      <c r="M4512" s="366"/>
    </row>
    <row r="4513" spans="1:13" x14ac:dyDescent="0.25">
      <c r="A4513" s="308">
        <v>45810</v>
      </c>
      <c r="B4513" s="416">
        <v>708306</v>
      </c>
      <c r="C4513" s="413" t="str">
        <f>IFERROR(INDEX(Table14[],MATCH($B4513,Table14[SAPNo],0),3),"")</f>
        <v>Round 1913 CT200  0.018" (B)</v>
      </c>
      <c r="D4513" s="420" t="s">
        <v>12</v>
      </c>
      <c r="E4513" s="421"/>
      <c r="F4513" s="580">
        <v>34</v>
      </c>
      <c r="G4513" s="420" t="s">
        <v>2513</v>
      </c>
      <c r="H4513" s="598"/>
      <c r="I4513" s="322"/>
      <c r="J4513" s="418" t="s">
        <v>1004</v>
      </c>
      <c r="K4513" s="248"/>
      <c r="M4513" s="366"/>
    </row>
    <row r="4514" spans="1:13" x14ac:dyDescent="0.25">
      <c r="A4514" s="308">
        <v>45810</v>
      </c>
      <c r="B4514" s="416">
        <v>717748</v>
      </c>
      <c r="C4514" s="413" t="str">
        <f>IFERROR(INDEX(Table14[],MATCH($B4514,Table14[SAPNo],0),3),"")</f>
        <v>Round 1010 CT200  0.018" (B)</v>
      </c>
      <c r="D4514" s="420" t="s">
        <v>12</v>
      </c>
      <c r="E4514" s="421"/>
      <c r="F4514" s="580">
        <v>60</v>
      </c>
      <c r="G4514" s="420" t="s">
        <v>2513</v>
      </c>
      <c r="H4514" s="598"/>
      <c r="I4514" s="322"/>
      <c r="J4514" s="418" t="s">
        <v>1004</v>
      </c>
      <c r="K4514" s="248"/>
      <c r="M4514" s="366"/>
    </row>
    <row r="4515" spans="1:13" x14ac:dyDescent="0.25">
      <c r="A4515" s="308">
        <v>45810</v>
      </c>
      <c r="B4515" s="416">
        <v>871781</v>
      </c>
      <c r="C4515" s="413" t="str">
        <f>IFERROR(INDEX(Table14[],MATCH($B4515,Table14[SAPNo],0),3),"")</f>
        <v>Round 1313 CT200  0.018" (B)</v>
      </c>
      <c r="D4515" s="420" t="s">
        <v>12</v>
      </c>
      <c r="E4515" s="421"/>
      <c r="F4515" s="580">
        <v>176</v>
      </c>
      <c r="G4515" s="420" t="s">
        <v>2513</v>
      </c>
      <c r="H4515" s="598"/>
      <c r="I4515" s="322"/>
      <c r="J4515" s="418" t="s">
        <v>1004</v>
      </c>
      <c r="K4515" s="248"/>
      <c r="M4515" s="366"/>
    </row>
    <row r="4516" spans="1:13" x14ac:dyDescent="0.25">
      <c r="A4516" s="308">
        <v>45812</v>
      </c>
      <c r="B4516" s="416">
        <v>1247589</v>
      </c>
      <c r="C4516" s="413" t="str">
        <f>IFERROR(INDEX(Table14[],MATCH($B4516,Table14[SAPNo],0),3),"")</f>
        <v>1313 CT418Mv3 U</v>
      </c>
      <c r="D4516" s="420" t="s">
        <v>12</v>
      </c>
      <c r="E4516" s="421"/>
      <c r="F4516" s="580">
        <v>25</v>
      </c>
      <c r="G4516" s="420" t="s">
        <v>2513</v>
      </c>
      <c r="H4516" s="598"/>
      <c r="I4516" s="322"/>
      <c r="J4516" s="418" t="s">
        <v>1014</v>
      </c>
      <c r="K4516" s="248"/>
      <c r="M4516" s="366"/>
    </row>
    <row r="4517" spans="1:13" x14ac:dyDescent="0.25">
      <c r="A4517" s="308">
        <v>45812</v>
      </c>
      <c r="B4517" s="416">
        <v>1263929</v>
      </c>
      <c r="C4517" s="413" t="str">
        <f>IFERROR(INDEX(Table14[],MATCH($B4517,Table14[SAPNo],0),3),"")</f>
        <v>1613 CT437 18-60</v>
      </c>
      <c r="D4517" s="420" t="s">
        <v>12</v>
      </c>
      <c r="E4517" s="421"/>
      <c r="F4517" s="580">
        <v>272</v>
      </c>
      <c r="G4517" s="420" t="s">
        <v>2513</v>
      </c>
      <c r="H4517" s="598"/>
      <c r="I4517" s="322"/>
      <c r="J4517" s="418" t="s">
        <v>1004</v>
      </c>
      <c r="K4517" s="248"/>
      <c r="M4517" s="366"/>
    </row>
    <row r="4518" spans="1:13" x14ac:dyDescent="0.25">
      <c r="A4518" s="308">
        <v>45812</v>
      </c>
      <c r="B4518" s="416">
        <v>1282370</v>
      </c>
      <c r="C4518" s="413" t="str">
        <f>IFERROR(INDEX(Table14[],MATCH($B4518,Table14[SAPNo],0),3),"")</f>
        <v>1613 CT436Mv3 U-60</v>
      </c>
      <c r="D4518" s="420" t="s">
        <v>12</v>
      </c>
      <c r="E4518" s="421"/>
      <c r="F4518" s="580">
        <v>15</v>
      </c>
      <c r="G4518" s="420" t="s">
        <v>2513</v>
      </c>
      <c r="H4518" s="598"/>
      <c r="I4518" s="322"/>
      <c r="J4518" s="418" t="s">
        <v>1014</v>
      </c>
      <c r="K4518" s="248"/>
      <c r="M4518" s="366"/>
    </row>
    <row r="4519" spans="1:13" x14ac:dyDescent="0.25">
      <c r="A4519" s="308">
        <v>45812</v>
      </c>
      <c r="B4519" s="416">
        <v>1290837</v>
      </c>
      <c r="C4519" s="413" t="str">
        <f>IFERROR(INDEX(Table14[],MATCH($B4519,Table14[SAPNo],0),3),"")</f>
        <v>1613 CT184R U</v>
      </c>
      <c r="D4519" s="420" t="s">
        <v>12</v>
      </c>
      <c r="E4519" s="421"/>
      <c r="F4519" s="580">
        <v>60</v>
      </c>
      <c r="G4519" s="420" t="s">
        <v>2513</v>
      </c>
      <c r="H4519" s="598"/>
      <c r="I4519" s="322"/>
      <c r="J4519" s="418" t="s">
        <v>1004</v>
      </c>
      <c r="K4519" s="248"/>
      <c r="M4519" s="366"/>
    </row>
    <row r="4520" spans="1:13" x14ac:dyDescent="0.25">
      <c r="A4520" s="308">
        <v>45812</v>
      </c>
      <c r="B4520" s="416">
        <v>2001060</v>
      </c>
      <c r="C4520" s="413" t="str">
        <f>IFERROR(INDEX(Table14[],MATCH($B4520,Table14[SAPNo],0),3),"")</f>
        <v>1613 CT179T U-60</v>
      </c>
      <c r="D4520" s="420" t="s">
        <v>12</v>
      </c>
      <c r="E4520" s="421"/>
      <c r="F4520" s="580">
        <v>20</v>
      </c>
      <c r="G4520" s="420" t="s">
        <v>2513</v>
      </c>
      <c r="H4520" s="598"/>
      <c r="I4520" s="322"/>
      <c r="J4520" s="418" t="s">
        <v>1004</v>
      </c>
      <c r="K4520" s="248"/>
      <c r="M4520" s="366"/>
    </row>
    <row r="4521" spans="1:13" x14ac:dyDescent="0.25">
      <c r="A4521" s="308">
        <v>45812</v>
      </c>
      <c r="B4521" s="416">
        <v>2002186</v>
      </c>
      <c r="C4521" s="413" t="str">
        <f>IFERROR(INDEX(Table14[],MATCH($B4521,Table14[SAPNo],0),3),"")</f>
        <v>1313 CT187 U-60</v>
      </c>
      <c r="D4521" s="420" t="s">
        <v>12</v>
      </c>
      <c r="E4521" s="421"/>
      <c r="F4521" s="580">
        <v>45</v>
      </c>
      <c r="G4521" s="420" t="s">
        <v>2513</v>
      </c>
      <c r="H4521" s="598"/>
      <c r="I4521" s="322"/>
      <c r="J4521" s="418" t="s">
        <v>1004</v>
      </c>
      <c r="K4521" s="248"/>
      <c r="M4521" s="366"/>
    </row>
    <row r="4522" spans="1:13" x14ac:dyDescent="0.25">
      <c r="A4522" s="308">
        <v>45812</v>
      </c>
      <c r="B4522" s="416">
        <v>2002243</v>
      </c>
      <c r="C4522" s="413" t="str">
        <f>IFERROR(INDEX(Table14[],MATCH($B4522,Table14[SAPNo],0),3),"")</f>
        <v>1308 CT188 U-60</v>
      </c>
      <c r="D4522" s="420" t="s">
        <v>12</v>
      </c>
      <c r="E4522" s="421"/>
      <c r="F4522" s="580">
        <v>30</v>
      </c>
      <c r="G4522" s="420" t="s">
        <v>2513</v>
      </c>
      <c r="H4522" s="598"/>
      <c r="I4522" s="322"/>
      <c r="J4522" s="418" t="s">
        <v>1002</v>
      </c>
      <c r="K4522" s="248"/>
      <c r="M4522" s="366"/>
    </row>
    <row r="4523" spans="1:13" x14ac:dyDescent="0.25">
      <c r="A4523" s="320">
        <v>45812</v>
      </c>
      <c r="B4523" s="419">
        <v>2002243</v>
      </c>
      <c r="C4523" s="413" t="str">
        <f>IFERROR(INDEX(Table14[],MATCH($B4523,Table14[SAPNo],0),3),"")</f>
        <v>1308 CT188 U-60</v>
      </c>
      <c r="D4523" s="420" t="s">
        <v>12</v>
      </c>
      <c r="E4523" s="421"/>
      <c r="F4523" s="580">
        <v>45</v>
      </c>
      <c r="G4523" s="420" t="s">
        <v>2513</v>
      </c>
      <c r="H4523" s="599"/>
      <c r="I4523" s="322"/>
      <c r="J4523" s="421" t="s">
        <v>1004</v>
      </c>
      <c r="K4523" s="422"/>
      <c r="M4523" s="366"/>
    </row>
    <row r="4524" spans="1:13" x14ac:dyDescent="0.25">
      <c r="A4524" s="308">
        <v>45813</v>
      </c>
      <c r="B4524" s="416">
        <v>2002243</v>
      </c>
      <c r="C4524" s="413" t="str">
        <f>IFERROR(INDEX(Table14[],MATCH($B4524,Table14[SAPNo],0),3),"")</f>
        <v>1308 CT188 U-60</v>
      </c>
      <c r="D4524" s="420" t="s">
        <v>12</v>
      </c>
      <c r="E4524" s="421">
        <v>2</v>
      </c>
      <c r="F4524" s="421"/>
      <c r="G4524" s="417" t="s">
        <v>2891</v>
      </c>
      <c r="H4524" s="598" t="s">
        <v>2892</v>
      </c>
      <c r="I4524" s="322" t="s">
        <v>1203</v>
      </c>
      <c r="J4524" s="418"/>
      <c r="K4524" s="248"/>
      <c r="M4524" s="422"/>
    </row>
    <row r="4525" spans="1:13" x14ac:dyDescent="0.25">
      <c r="A4525" s="308">
        <v>45813</v>
      </c>
      <c r="B4525" s="416">
        <v>2002243</v>
      </c>
      <c r="C4525" s="413" t="str">
        <f>IFERROR(INDEX(Table14[],MATCH($B4525,Table14[SAPNo],0),3),"")</f>
        <v>1308 CT188 U-60</v>
      </c>
      <c r="D4525" s="420" t="s">
        <v>12</v>
      </c>
      <c r="E4525" s="421">
        <v>6</v>
      </c>
      <c r="F4525" s="580"/>
      <c r="G4525" s="417" t="s">
        <v>2893</v>
      </c>
      <c r="H4525" s="598">
        <v>13862802</v>
      </c>
      <c r="I4525" s="322" t="s">
        <v>2894</v>
      </c>
      <c r="J4525" s="418"/>
      <c r="K4525" s="248"/>
      <c r="M4525" s="366"/>
    </row>
    <row r="4526" spans="1:13" x14ac:dyDescent="0.25">
      <c r="A4526" s="308">
        <v>45813</v>
      </c>
      <c r="B4526" s="416">
        <v>717748</v>
      </c>
      <c r="C4526" s="413" t="str">
        <f>IFERROR(INDEX(Table14[],MATCH($B4526,Table14[SAPNo],0),3),"")</f>
        <v>Round 1010 CT200  0.018" (B)</v>
      </c>
      <c r="D4526" s="420" t="s">
        <v>12</v>
      </c>
      <c r="E4526" s="421">
        <v>1</v>
      </c>
      <c r="F4526" s="580"/>
      <c r="G4526" s="417" t="s">
        <v>2895</v>
      </c>
      <c r="H4526" s="598">
        <v>14325846</v>
      </c>
      <c r="I4526" s="322" t="s">
        <v>2896</v>
      </c>
      <c r="J4526" s="418"/>
      <c r="K4526" s="248"/>
      <c r="M4526" s="366"/>
    </row>
    <row r="4527" spans="1:13" x14ac:dyDescent="0.25">
      <c r="A4527" s="308">
        <v>45813</v>
      </c>
      <c r="B4527" s="416">
        <v>1100694</v>
      </c>
      <c r="C4527" s="413" t="str">
        <f>IFERROR(INDEX(Table14[],MATCH($B4527,Table14[SAPNo],0),3),"")</f>
        <v xml:space="preserve">1308 CT418 10C </v>
      </c>
      <c r="D4527" s="420" t="s">
        <v>12</v>
      </c>
      <c r="E4527" s="421">
        <v>4</v>
      </c>
      <c r="F4527" s="580"/>
      <c r="G4527" s="417" t="s">
        <v>2895</v>
      </c>
      <c r="H4527" s="598">
        <v>14325846</v>
      </c>
      <c r="I4527" s="322" t="s">
        <v>2896</v>
      </c>
      <c r="J4527" s="418"/>
      <c r="K4527" s="248"/>
      <c r="M4527" s="366"/>
    </row>
    <row r="4528" spans="1:13" x14ac:dyDescent="0.25">
      <c r="A4528" s="308">
        <v>45813</v>
      </c>
      <c r="B4528" s="416">
        <v>418525</v>
      </c>
      <c r="C4528" s="413" t="str">
        <f>IFERROR(INDEX(Table14[],MATCH($B4528,Table14[SAPNo],0),3),"")</f>
        <v>Drop In 1308 CT31   (B)</v>
      </c>
      <c r="D4528" s="420" t="s">
        <v>12</v>
      </c>
      <c r="E4528" s="421">
        <v>1</v>
      </c>
      <c r="F4528" s="580"/>
      <c r="G4528" s="417">
        <v>20251072</v>
      </c>
      <c r="H4528" s="598" t="s">
        <v>2897</v>
      </c>
      <c r="I4528" s="322" t="s">
        <v>2590</v>
      </c>
      <c r="J4528" s="418"/>
      <c r="K4528" s="248"/>
      <c r="M4528" s="366"/>
    </row>
    <row r="4529" spans="1:13" x14ac:dyDescent="0.25">
      <c r="A4529" s="308">
        <v>45813</v>
      </c>
      <c r="B4529" s="416">
        <v>1146346</v>
      </c>
      <c r="C4529" s="413" t="str">
        <f>IFERROR(INDEX(Table14[],MATCH($B4529,Table14[SAPNo],0),3),"")</f>
        <v>1313 CT418 18-60</v>
      </c>
      <c r="D4529" s="420" t="s">
        <v>12</v>
      </c>
      <c r="E4529" s="421">
        <v>2</v>
      </c>
      <c r="F4529" s="580"/>
      <c r="G4529" s="417">
        <v>20251072</v>
      </c>
      <c r="H4529" s="598" t="s">
        <v>2897</v>
      </c>
      <c r="I4529" s="322" t="s">
        <v>2590</v>
      </c>
      <c r="J4529" s="418"/>
      <c r="K4529" s="248"/>
      <c r="M4529" s="366"/>
    </row>
    <row r="4530" spans="1:13" x14ac:dyDescent="0.25">
      <c r="A4530" s="308">
        <v>45813</v>
      </c>
      <c r="B4530" s="416">
        <v>1100696</v>
      </c>
      <c r="C4530" s="413" t="str">
        <f>IFERROR(INDEX(Table14[],MATCH($B4530,Table14[SAPNo],0),3),"")</f>
        <v>Round 1313 CT418  10C (S)</v>
      </c>
      <c r="D4530" s="420" t="s">
        <v>11</v>
      </c>
      <c r="E4530" s="421">
        <v>8</v>
      </c>
      <c r="F4530" s="580"/>
      <c r="G4530" s="417">
        <v>20251072</v>
      </c>
      <c r="H4530" s="598" t="s">
        <v>2897</v>
      </c>
      <c r="I4530" s="322" t="s">
        <v>2590</v>
      </c>
      <c r="J4530" s="418"/>
      <c r="K4530" s="248"/>
      <c r="M4530" s="366"/>
    </row>
    <row r="4531" spans="1:13" x14ac:dyDescent="0.25">
      <c r="A4531" s="308">
        <v>45813</v>
      </c>
      <c r="B4531" s="416">
        <v>717748</v>
      </c>
      <c r="C4531" s="413" t="str">
        <f>IFERROR(INDEX(Table14[],MATCH($B4531,Table14[SAPNo],0),3),"")</f>
        <v>Round 1010 CT200  0.018" (B)</v>
      </c>
      <c r="D4531" s="420" t="s">
        <v>12</v>
      </c>
      <c r="E4531" s="421">
        <v>5</v>
      </c>
      <c r="F4531" s="580"/>
      <c r="G4531" s="417">
        <v>20251074</v>
      </c>
      <c r="H4531" s="598" t="s">
        <v>2898</v>
      </c>
      <c r="I4531" s="322" t="s">
        <v>2362</v>
      </c>
      <c r="J4531" s="418"/>
      <c r="K4531" s="248"/>
      <c r="M4531" s="366"/>
    </row>
    <row r="4532" spans="1:13" x14ac:dyDescent="0.25">
      <c r="A4532" s="308">
        <v>45813</v>
      </c>
      <c r="B4532" s="416">
        <v>717748</v>
      </c>
      <c r="C4532" s="413" t="str">
        <f>IFERROR(INDEX(Table14[],MATCH($B4532,Table14[SAPNo],0),3),"")</f>
        <v>Round 1010 CT200  0.018" (B)</v>
      </c>
      <c r="D4532" s="420" t="s">
        <v>12</v>
      </c>
      <c r="E4532" s="421">
        <v>1</v>
      </c>
      <c r="F4532" s="580"/>
      <c r="G4532" s="417">
        <v>20251076</v>
      </c>
      <c r="H4532" s="598" t="s">
        <v>2884</v>
      </c>
      <c r="I4532" s="322" t="s">
        <v>1069</v>
      </c>
      <c r="J4532" s="418"/>
      <c r="K4532" s="248"/>
      <c r="M4532" s="366"/>
    </row>
    <row r="4533" spans="1:13" x14ac:dyDescent="0.25">
      <c r="A4533" s="308">
        <v>45813</v>
      </c>
      <c r="B4533" s="416">
        <v>717748</v>
      </c>
      <c r="C4533" s="413" t="str">
        <f>IFERROR(INDEX(Table14[],MATCH($B4533,Table14[SAPNo],0),3),"")</f>
        <v>Round 1010 CT200  0.018" (B)</v>
      </c>
      <c r="D4533" s="420" t="s">
        <v>12</v>
      </c>
      <c r="E4533" s="421">
        <v>2</v>
      </c>
      <c r="F4533" s="580"/>
      <c r="G4533" s="417">
        <v>20251077</v>
      </c>
      <c r="H4533" s="598" t="s">
        <v>2899</v>
      </c>
      <c r="I4533" s="322" t="s">
        <v>2529</v>
      </c>
      <c r="J4533" s="418"/>
      <c r="K4533" s="248"/>
      <c r="M4533" s="366"/>
    </row>
    <row r="4534" spans="1:13" x14ac:dyDescent="0.25">
      <c r="A4534" s="308">
        <v>45813</v>
      </c>
      <c r="B4534" s="416">
        <v>717748</v>
      </c>
      <c r="C4534" s="413" t="str">
        <f>IFERROR(INDEX(Table14[],MATCH($B4534,Table14[SAPNo],0),3),"")</f>
        <v>Round 1010 CT200  0.018" (B)</v>
      </c>
      <c r="D4534" s="420" t="s">
        <v>10</v>
      </c>
      <c r="E4534" s="421">
        <v>8</v>
      </c>
      <c r="F4534" s="580"/>
      <c r="G4534" s="417" t="s">
        <v>2900</v>
      </c>
      <c r="H4534" s="598" t="s">
        <v>2901</v>
      </c>
      <c r="I4534" s="322" t="s">
        <v>2362</v>
      </c>
      <c r="J4534" s="418"/>
      <c r="K4534" s="248"/>
      <c r="M4534" s="366"/>
    </row>
    <row r="4535" spans="1:13" x14ac:dyDescent="0.25">
      <c r="A4535" s="308">
        <v>45815</v>
      </c>
      <c r="B4535" s="416">
        <v>418525</v>
      </c>
      <c r="C4535" s="413" t="str">
        <f>IFERROR(INDEX(Table14[],MATCH($B4535,Table14[SAPNo],0),3),"")</f>
        <v>Drop In 1308 CT31   (B)</v>
      </c>
      <c r="D4535" s="420" t="s">
        <v>12</v>
      </c>
      <c r="E4535" s="421">
        <v>6</v>
      </c>
      <c r="F4535" s="580"/>
      <c r="G4535" s="417" t="s">
        <v>2902</v>
      </c>
      <c r="H4535" s="598" t="s">
        <v>2903</v>
      </c>
      <c r="I4535" s="322" t="s">
        <v>2311</v>
      </c>
      <c r="J4535" s="418"/>
      <c r="K4535" s="248"/>
      <c r="M4535" s="366"/>
    </row>
    <row r="4536" spans="1:13" x14ac:dyDescent="0.25">
      <c r="A4536" s="308">
        <v>45815</v>
      </c>
      <c r="B4536" s="416">
        <v>1271790</v>
      </c>
      <c r="C4536" s="413" t="str">
        <f>IFERROR(INDEX(Table14[],MATCH($B4536,Table14[SAPNo],0),3),"")</f>
        <v xml:space="preserve">1613 CT170 18-60 </v>
      </c>
      <c r="D4536" s="420" t="s">
        <v>12</v>
      </c>
      <c r="E4536" s="421">
        <v>4</v>
      </c>
      <c r="F4536" s="580"/>
      <c r="G4536" s="417" t="s">
        <v>2902</v>
      </c>
      <c r="H4536" s="598" t="s">
        <v>2903</v>
      </c>
      <c r="I4536" s="322" t="s">
        <v>2311</v>
      </c>
      <c r="J4536" s="418"/>
      <c r="K4536" s="248"/>
      <c r="M4536" s="366"/>
    </row>
    <row r="4537" spans="1:13" x14ac:dyDescent="0.25">
      <c r="A4537" s="308">
        <v>45815</v>
      </c>
      <c r="B4537" s="416">
        <v>1208601</v>
      </c>
      <c r="C4537" s="413" t="str">
        <f>IFERROR(INDEX(Table14[],MATCH($B4537,Table14[SAPNo],0),3),"")</f>
        <v>1613 CT418 U-60</v>
      </c>
      <c r="D4537" s="420" t="s">
        <v>12</v>
      </c>
      <c r="E4537" s="421">
        <v>0</v>
      </c>
      <c r="F4537" s="580"/>
      <c r="G4537" s="417" t="s">
        <v>2902</v>
      </c>
      <c r="H4537" s="598" t="s">
        <v>2903</v>
      </c>
      <c r="I4537" s="322" t="s">
        <v>2311</v>
      </c>
      <c r="J4537" s="418"/>
      <c r="K4537" s="248"/>
      <c r="M4537" s="366"/>
    </row>
    <row r="4538" spans="1:13" x14ac:dyDescent="0.25">
      <c r="A4538" s="308">
        <v>45815</v>
      </c>
      <c r="B4538" s="416">
        <v>1146737</v>
      </c>
      <c r="C4538" s="413" t="str">
        <f>IFERROR(INDEX(Table14[],MATCH($B4538,Table14[SAPNo],0),3),"")</f>
        <v>1613 CT418 18-60</v>
      </c>
      <c r="D4538" s="420" t="s">
        <v>12</v>
      </c>
      <c r="E4538" s="421">
        <v>6</v>
      </c>
      <c r="F4538" s="580"/>
      <c r="G4538" s="417" t="s">
        <v>2902</v>
      </c>
      <c r="H4538" s="598" t="s">
        <v>2903</v>
      </c>
      <c r="I4538" s="322" t="s">
        <v>2311</v>
      </c>
      <c r="J4538" s="418"/>
      <c r="K4538" s="248"/>
      <c r="M4538" s="366"/>
    </row>
    <row r="4539" spans="1:13" x14ac:dyDescent="0.25">
      <c r="A4539" s="308">
        <v>45815</v>
      </c>
      <c r="B4539" s="416">
        <v>1078377</v>
      </c>
      <c r="C4539" s="413" t="str">
        <f>IFERROR(INDEX(Table14[],MATCH($B4539,Table14[SAPNo],0),3),"")</f>
        <v>13MM CT221 R1</v>
      </c>
      <c r="D4539" s="420" t="s">
        <v>12</v>
      </c>
      <c r="E4539" s="421">
        <v>4</v>
      </c>
      <c r="F4539" s="580"/>
      <c r="G4539" s="417" t="s">
        <v>2902</v>
      </c>
      <c r="H4539" s="598" t="s">
        <v>2903</v>
      </c>
      <c r="I4539" s="322" t="s">
        <v>2311</v>
      </c>
      <c r="J4539" s="418"/>
      <c r="K4539" s="248"/>
      <c r="M4539" s="366"/>
    </row>
    <row r="4540" spans="1:13" x14ac:dyDescent="0.25">
      <c r="A4540" s="308">
        <v>45819</v>
      </c>
      <c r="B4540" s="416">
        <v>1296685</v>
      </c>
      <c r="C4540" s="413" t="str">
        <f>IFERROR(INDEX(Table14[],MATCH($B4540,Table14[SAPNo],0),3),"")</f>
        <v>1613 CT179R U</v>
      </c>
      <c r="D4540" s="420" t="s">
        <v>12</v>
      </c>
      <c r="E4540" s="421">
        <v>6</v>
      </c>
      <c r="F4540" s="580"/>
      <c r="G4540" s="417" t="s">
        <v>2904</v>
      </c>
      <c r="H4540" s="598">
        <v>14036278</v>
      </c>
      <c r="I4540" s="322" t="s">
        <v>2905</v>
      </c>
      <c r="J4540" s="418"/>
      <c r="K4540" s="248"/>
      <c r="M4540" s="366"/>
    </row>
    <row r="4541" spans="1:13" x14ac:dyDescent="0.25">
      <c r="A4541" s="308">
        <v>45819</v>
      </c>
      <c r="B4541" s="416">
        <v>1288783</v>
      </c>
      <c r="C4541" s="413" t="str">
        <f>IFERROR(INDEX(Table14[],MATCH($B4541,Table14[SAPNo],0),3),"")</f>
        <v>1613 CT179 18-60</v>
      </c>
      <c r="D4541" s="420" t="s">
        <v>12</v>
      </c>
      <c r="E4541" s="421">
        <v>14</v>
      </c>
      <c r="F4541" s="580"/>
      <c r="G4541" s="417" t="s">
        <v>2904</v>
      </c>
      <c r="H4541" s="598">
        <v>14036278</v>
      </c>
      <c r="I4541" s="322" t="s">
        <v>2905</v>
      </c>
      <c r="J4541" s="418"/>
      <c r="K4541" s="248"/>
      <c r="M4541" s="366"/>
    </row>
    <row r="4542" spans="1:13" x14ac:dyDescent="0.25">
      <c r="A4542" s="308">
        <v>45819</v>
      </c>
      <c r="B4542" s="416">
        <v>1282370</v>
      </c>
      <c r="C4542" s="413" t="str">
        <f>IFERROR(INDEX(Table14[],MATCH($B4542,Table14[SAPNo],0),3),"")</f>
        <v>1613 CT436Mv3 U-60</v>
      </c>
      <c r="D4542" s="420" t="s">
        <v>12</v>
      </c>
      <c r="E4542" s="421">
        <v>6</v>
      </c>
      <c r="F4542" s="580"/>
      <c r="G4542" s="417" t="s">
        <v>2904</v>
      </c>
      <c r="H4542" s="598">
        <v>14036278</v>
      </c>
      <c r="I4542" s="322" t="s">
        <v>2905</v>
      </c>
      <c r="J4542" s="418"/>
      <c r="K4542" s="248"/>
      <c r="M4542" s="366"/>
    </row>
    <row r="4543" spans="1:13" x14ac:dyDescent="0.25">
      <c r="A4543" s="308">
        <v>45819</v>
      </c>
      <c r="B4543" s="416">
        <v>1146737</v>
      </c>
      <c r="C4543" s="413" t="str">
        <f>IFERROR(INDEX(Table14[],MATCH($B4543,Table14[SAPNo],0),3),"")</f>
        <v>1613 CT418 18-60</v>
      </c>
      <c r="D4543" s="420" t="s">
        <v>12</v>
      </c>
      <c r="E4543" s="421">
        <v>7</v>
      </c>
      <c r="F4543" s="580"/>
      <c r="G4543" s="417" t="s">
        <v>2904</v>
      </c>
      <c r="H4543" s="598">
        <v>14036278</v>
      </c>
      <c r="I4543" s="322" t="s">
        <v>2905</v>
      </c>
      <c r="J4543" s="418"/>
      <c r="K4543" s="248"/>
      <c r="M4543" s="366"/>
    </row>
    <row r="4544" spans="1:13" x14ac:dyDescent="0.25">
      <c r="A4544" s="308">
        <v>45819</v>
      </c>
      <c r="B4544" s="416">
        <v>418525</v>
      </c>
      <c r="C4544" s="413" t="str">
        <f>IFERROR(INDEX(Table14[],MATCH($B4544,Table14[SAPNo],0),3),"")</f>
        <v>Drop In 1308 CT31   (B)</v>
      </c>
      <c r="D4544" s="420" t="s">
        <v>12</v>
      </c>
      <c r="E4544" s="421">
        <v>6</v>
      </c>
      <c r="F4544" s="580"/>
      <c r="G4544" s="417" t="s">
        <v>2906</v>
      </c>
      <c r="H4544" s="598">
        <v>14369050</v>
      </c>
      <c r="I4544" s="322" t="s">
        <v>2907</v>
      </c>
      <c r="J4544" s="418"/>
      <c r="K4544" s="248"/>
      <c r="M4544" s="366"/>
    </row>
    <row r="4545" spans="1:13" x14ac:dyDescent="0.25">
      <c r="A4545" s="308">
        <v>45819</v>
      </c>
      <c r="B4545" s="416">
        <v>1288783</v>
      </c>
      <c r="C4545" s="413" t="str">
        <f>IFERROR(INDEX(Table14[],MATCH($B4545,Table14[SAPNo],0),3),"")</f>
        <v>1613 CT179 18-60</v>
      </c>
      <c r="D4545" s="420" t="s">
        <v>12</v>
      </c>
      <c r="E4545" s="421">
        <v>17</v>
      </c>
      <c r="F4545" s="580"/>
      <c r="G4545" s="417" t="s">
        <v>2906</v>
      </c>
      <c r="H4545" s="598">
        <v>14369050</v>
      </c>
      <c r="I4545" s="322" t="s">
        <v>2907</v>
      </c>
      <c r="J4545" s="418"/>
      <c r="K4545" s="248"/>
      <c r="M4545" s="366"/>
    </row>
    <row r="4546" spans="1:13" x14ac:dyDescent="0.25">
      <c r="A4546" s="308">
        <v>45819</v>
      </c>
      <c r="B4546" s="416">
        <v>1208601</v>
      </c>
      <c r="C4546" s="413" t="str">
        <f>IFERROR(INDEX(Table14[],MATCH($B4546,Table14[SAPNo],0),3),"")</f>
        <v>1613 CT418 U-60</v>
      </c>
      <c r="D4546" s="420" t="s">
        <v>12</v>
      </c>
      <c r="E4546" s="421">
        <v>8</v>
      </c>
      <c r="F4546" s="580"/>
      <c r="G4546" s="417" t="s">
        <v>2906</v>
      </c>
      <c r="H4546" s="598">
        <v>14369050</v>
      </c>
      <c r="I4546" s="322" t="s">
        <v>2907</v>
      </c>
      <c r="J4546" s="418"/>
      <c r="K4546" s="248"/>
      <c r="M4546" s="366"/>
    </row>
    <row r="4547" spans="1:13" x14ac:dyDescent="0.25">
      <c r="A4547" s="308">
        <v>45819</v>
      </c>
      <c r="B4547" s="416">
        <v>1146737</v>
      </c>
      <c r="C4547" s="413" t="str">
        <f>IFERROR(INDEX(Table14[],MATCH($B4547,Table14[SAPNo],0),3),"")</f>
        <v>1613 CT418 18-60</v>
      </c>
      <c r="D4547" s="420" t="s">
        <v>12</v>
      </c>
      <c r="E4547" s="421">
        <v>6</v>
      </c>
      <c r="F4547" s="580"/>
      <c r="G4547" s="417" t="s">
        <v>2906</v>
      </c>
      <c r="H4547" s="598">
        <v>14369050</v>
      </c>
      <c r="I4547" s="322" t="s">
        <v>2907</v>
      </c>
      <c r="J4547" s="418"/>
      <c r="K4547" s="248"/>
      <c r="M4547" s="366"/>
    </row>
    <row r="4548" spans="1:13" x14ac:dyDescent="0.25">
      <c r="A4548" s="320">
        <v>45819</v>
      </c>
      <c r="B4548" s="419">
        <v>1078377</v>
      </c>
      <c r="C4548" s="413" t="str">
        <f>IFERROR(INDEX(Table14[],MATCH($B4548,Table14[SAPNo],0),3),"")</f>
        <v>13MM CT221 R1</v>
      </c>
      <c r="D4548" s="420" t="s">
        <v>12</v>
      </c>
      <c r="E4548" s="421">
        <v>15</v>
      </c>
      <c r="F4548" s="580"/>
      <c r="G4548" s="420" t="s">
        <v>2906</v>
      </c>
      <c r="H4548" s="599">
        <v>14369050</v>
      </c>
      <c r="I4548" s="322" t="s">
        <v>2907</v>
      </c>
      <c r="J4548" s="421"/>
      <c r="K4548" s="422"/>
      <c r="M4548" s="366"/>
    </row>
    <row r="4549" spans="1:13" x14ac:dyDescent="0.25">
      <c r="A4549" s="308">
        <v>45820</v>
      </c>
      <c r="B4549" s="416">
        <v>1244299</v>
      </c>
      <c r="C4549" s="413" t="str">
        <f>IFERROR(INDEX(Table14[],MATCH($B4549,Table14[SAPNo],0),3),"")</f>
        <v>1313 CT147CV4 U</v>
      </c>
      <c r="D4549" s="420" t="s">
        <v>12</v>
      </c>
      <c r="E4549" s="421">
        <v>1</v>
      </c>
      <c r="F4549" s="421"/>
      <c r="G4549" s="417">
        <v>20251080</v>
      </c>
      <c r="H4549" s="598" t="s">
        <v>2908</v>
      </c>
      <c r="I4549" s="322" t="s">
        <v>1746</v>
      </c>
      <c r="J4549" s="418"/>
      <c r="K4549" s="248"/>
      <c r="M4549" s="422"/>
    </row>
    <row r="4550" spans="1:13" x14ac:dyDescent="0.25">
      <c r="A4550" s="308">
        <v>45820</v>
      </c>
      <c r="B4550" s="416">
        <v>1146346</v>
      </c>
      <c r="C4550" s="413" t="str">
        <f>IFERROR(INDEX(Table14[],MATCH($B4550,Table14[SAPNo],0),3),"")</f>
        <v>1313 CT418 18-60</v>
      </c>
      <c r="D4550" s="420" t="s">
        <v>12</v>
      </c>
      <c r="E4550" s="421">
        <v>4</v>
      </c>
      <c r="F4550" s="580"/>
      <c r="G4550" s="417">
        <v>20251080</v>
      </c>
      <c r="H4550" s="598" t="s">
        <v>2908</v>
      </c>
      <c r="I4550" s="322" t="s">
        <v>1746</v>
      </c>
      <c r="J4550" s="418"/>
      <c r="K4550" s="248"/>
      <c r="M4550" s="366"/>
    </row>
    <row r="4551" spans="1:13" x14ac:dyDescent="0.25">
      <c r="A4551" s="308">
        <v>45820</v>
      </c>
      <c r="B4551" s="416">
        <v>418525</v>
      </c>
      <c r="C4551" s="413" t="str">
        <f>IFERROR(INDEX(Table14[],MATCH($B4551,Table14[SAPNo],0),3),"")</f>
        <v>Drop In 1308 CT31   (B)</v>
      </c>
      <c r="D4551" s="420" t="s">
        <v>12</v>
      </c>
      <c r="E4551" s="421">
        <v>1</v>
      </c>
      <c r="F4551" s="580"/>
      <c r="G4551" s="417">
        <v>20251080</v>
      </c>
      <c r="H4551" s="598" t="s">
        <v>2908</v>
      </c>
      <c r="I4551" s="322" t="s">
        <v>1746</v>
      </c>
      <c r="J4551" s="418"/>
      <c r="K4551" s="248"/>
      <c r="M4551" s="366"/>
    </row>
    <row r="4552" spans="1:13" x14ac:dyDescent="0.25">
      <c r="A4552" s="308">
        <v>45820</v>
      </c>
      <c r="B4552" s="416">
        <v>1228501</v>
      </c>
      <c r="C4552" s="413" t="str">
        <f>IFERROR(INDEX(Table14[],MATCH($B4552,Table14[SAPNo],0),3),"")</f>
        <v>1618 CT182 U-60 stator</v>
      </c>
      <c r="D4552" s="420" t="s">
        <v>12</v>
      </c>
      <c r="E4552" s="421">
        <v>10</v>
      </c>
      <c r="F4552" s="580"/>
      <c r="G4552" s="417" t="s">
        <v>2909</v>
      </c>
      <c r="H4552" s="598">
        <v>14390152</v>
      </c>
      <c r="I4552" s="322" t="s">
        <v>2910</v>
      </c>
      <c r="J4552" s="418"/>
      <c r="K4552" s="248"/>
      <c r="M4552" s="366"/>
    </row>
    <row r="4553" spans="1:13" x14ac:dyDescent="0.25">
      <c r="A4553" s="308">
        <v>45820</v>
      </c>
      <c r="B4553" s="416">
        <v>1228502</v>
      </c>
      <c r="C4553" s="413" t="str">
        <f>IFERROR(INDEX(Table14[],MATCH($B4553,Table14[SAPNo],0),3),"")</f>
        <v>1618 CT182 U-60 Rotor</v>
      </c>
      <c r="D4553" s="420" t="s">
        <v>12</v>
      </c>
      <c r="E4553" s="421">
        <v>10</v>
      </c>
      <c r="F4553" s="580"/>
      <c r="G4553" s="417" t="s">
        <v>2909</v>
      </c>
      <c r="H4553" s="598">
        <v>14390152</v>
      </c>
      <c r="I4553" s="322" t="s">
        <v>2910</v>
      </c>
      <c r="J4553" s="418"/>
      <c r="K4553" s="248"/>
      <c r="M4553" s="366"/>
    </row>
    <row r="4554" spans="1:13" x14ac:dyDescent="0.25">
      <c r="A4554" s="308">
        <v>45820</v>
      </c>
      <c r="B4554" s="416">
        <v>1228503</v>
      </c>
      <c r="C4554" s="413" t="str">
        <f>IFERROR(INDEX(Table14[],MATCH($B4554,Table14[SAPNo],0),3),"")</f>
        <v>1618 CT182 U-60 Ring</v>
      </c>
      <c r="D4554" s="420" t="s">
        <v>12</v>
      </c>
      <c r="E4554" s="421">
        <v>10</v>
      </c>
      <c r="F4554" s="580"/>
      <c r="G4554" s="417" t="s">
        <v>2909</v>
      </c>
      <c r="H4554" s="598">
        <v>14390152</v>
      </c>
      <c r="I4554" s="322" t="s">
        <v>2910</v>
      </c>
      <c r="J4554" s="418"/>
      <c r="K4554" s="248"/>
      <c r="M4554" s="366"/>
    </row>
    <row r="4555" spans="1:13" x14ac:dyDescent="0.25">
      <c r="A4555" s="308">
        <v>45820</v>
      </c>
      <c r="B4555" s="416">
        <v>2002186</v>
      </c>
      <c r="C4555" s="413" t="str">
        <f>IFERROR(INDEX(Table14[],MATCH($B4555,Table14[SAPNo],0),3),"")</f>
        <v>1313 CT187 U-60</v>
      </c>
      <c r="D4555" s="420" t="s">
        <v>12</v>
      </c>
      <c r="E4555" s="421">
        <v>4</v>
      </c>
      <c r="F4555" s="580"/>
      <c r="G4555" s="417" t="s">
        <v>2909</v>
      </c>
      <c r="H4555" s="598">
        <v>14390152</v>
      </c>
      <c r="I4555" s="322" t="s">
        <v>2910</v>
      </c>
      <c r="J4555" s="418"/>
      <c r="K4555" s="248"/>
      <c r="M4555" s="366"/>
    </row>
    <row r="4556" spans="1:13" x14ac:dyDescent="0.25">
      <c r="A4556" s="308">
        <v>45820</v>
      </c>
      <c r="B4556" s="416">
        <v>2002243</v>
      </c>
      <c r="C4556" s="413" t="str">
        <f>IFERROR(INDEX(Table14[],MATCH($B4556,Table14[SAPNo],0),3),"")</f>
        <v>1308 CT188 U-60</v>
      </c>
      <c r="D4556" s="420" t="s">
        <v>12</v>
      </c>
      <c r="E4556" s="421">
        <v>15</v>
      </c>
      <c r="F4556" s="580"/>
      <c r="G4556" s="417" t="s">
        <v>2909</v>
      </c>
      <c r="H4556" s="598">
        <v>14390152</v>
      </c>
      <c r="I4556" s="322" t="s">
        <v>2910</v>
      </c>
      <c r="J4556" s="418"/>
      <c r="K4556" s="248"/>
      <c r="M4556" s="366"/>
    </row>
    <row r="4557" spans="1:13" x14ac:dyDescent="0.25">
      <c r="A4557" s="308">
        <v>45820</v>
      </c>
      <c r="B4557" s="416">
        <v>2002244</v>
      </c>
      <c r="C4557" s="413" t="str">
        <f>IFERROR(INDEX(Table14[],MATCH($B4557,Table14[SAPNo],0),3),"")</f>
        <v>1313 CT188 Uc-60</v>
      </c>
      <c r="D4557" s="420" t="s">
        <v>12</v>
      </c>
      <c r="E4557" s="421">
        <v>11</v>
      </c>
      <c r="F4557" s="580"/>
      <c r="G4557" s="417" t="s">
        <v>2909</v>
      </c>
      <c r="H4557" s="598">
        <v>14390152</v>
      </c>
      <c r="I4557" s="322" t="s">
        <v>2910</v>
      </c>
      <c r="J4557" s="418"/>
      <c r="K4557" s="248"/>
      <c r="M4557" s="366"/>
    </row>
    <row r="4558" spans="1:13" x14ac:dyDescent="0.25">
      <c r="A4558" s="308">
        <v>45820</v>
      </c>
      <c r="B4558" s="416">
        <v>2002299</v>
      </c>
      <c r="C4558" s="413" t="str">
        <f>IFERROR(INDEX(Table14[],MATCH($B4558,Table14[SAPNo],0),3),"")</f>
        <v>1613 CT187 U-60</v>
      </c>
      <c r="D4558" s="420" t="s">
        <v>12</v>
      </c>
      <c r="E4558" s="421">
        <v>4</v>
      </c>
      <c r="F4558" s="580"/>
      <c r="G4558" s="417" t="s">
        <v>2909</v>
      </c>
      <c r="H4558" s="598">
        <v>14390152</v>
      </c>
      <c r="I4558" s="322" t="s">
        <v>2910</v>
      </c>
      <c r="J4558" s="418"/>
      <c r="K4558" s="248"/>
      <c r="M4558" s="366"/>
    </row>
    <row r="4559" spans="1:13" x14ac:dyDescent="0.25">
      <c r="A4559" s="308">
        <v>45820</v>
      </c>
      <c r="B4559" s="416">
        <v>871781</v>
      </c>
      <c r="C4559" s="413" t="str">
        <f>IFERROR(INDEX(Table14[],MATCH($B4559,Table14[SAPNo],0),3),"")</f>
        <v>Round 1313 CT200  0.018" (B)</v>
      </c>
      <c r="D4559" s="420" t="s">
        <v>12</v>
      </c>
      <c r="E4559" s="421">
        <v>6</v>
      </c>
      <c r="F4559" s="580"/>
      <c r="G4559" s="417" t="s">
        <v>2909</v>
      </c>
      <c r="H4559" s="598">
        <v>14390152</v>
      </c>
      <c r="I4559" s="322" t="s">
        <v>2910</v>
      </c>
      <c r="J4559" s="418"/>
      <c r="K4559" s="248"/>
      <c r="M4559" s="366"/>
    </row>
    <row r="4560" spans="1:13" x14ac:dyDescent="0.25">
      <c r="A4560" s="308">
        <v>45820</v>
      </c>
      <c r="B4560" s="416">
        <v>1228501</v>
      </c>
      <c r="C4560" s="413" t="str">
        <f>IFERROR(INDEX(Table14[],MATCH($B4560,Table14[SAPNo],0),3),"")</f>
        <v>1618 CT182 U-60 stator</v>
      </c>
      <c r="D4560" s="420" t="s">
        <v>12</v>
      </c>
      <c r="E4560" s="421">
        <v>1</v>
      </c>
      <c r="F4560" s="580"/>
      <c r="G4560" s="417" t="s">
        <v>2909</v>
      </c>
      <c r="H4560" s="598">
        <v>14390152</v>
      </c>
      <c r="I4560" s="322" t="s">
        <v>2910</v>
      </c>
      <c r="J4560" s="418"/>
      <c r="K4560" s="248" t="s">
        <v>2911</v>
      </c>
      <c r="M4560" s="366"/>
    </row>
    <row r="4561" spans="1:13" x14ac:dyDescent="0.25">
      <c r="A4561" s="308">
        <v>45820</v>
      </c>
      <c r="B4561" s="416">
        <v>1220554</v>
      </c>
      <c r="C4561" s="413" t="str">
        <f>IFERROR(INDEX(Table14[],MATCH($B4561,Table14[SAPNo],0),3),"")</f>
        <v xml:space="preserve">1618 CT182 U-60 Carbide </v>
      </c>
      <c r="D4561" s="420" t="s">
        <v>12</v>
      </c>
      <c r="E4561" s="421">
        <v>10</v>
      </c>
      <c r="F4561" s="580"/>
      <c r="G4561" s="417" t="s">
        <v>2909</v>
      </c>
      <c r="H4561" s="598">
        <v>14390152</v>
      </c>
      <c r="I4561" s="322" t="s">
        <v>2910</v>
      </c>
      <c r="J4561" s="418"/>
      <c r="K4561" s="248"/>
      <c r="M4561" s="366"/>
    </row>
    <row r="4562" spans="1:13" x14ac:dyDescent="0.25">
      <c r="A4562" s="308">
        <v>45820</v>
      </c>
      <c r="B4562" s="416">
        <v>2002243</v>
      </c>
      <c r="C4562" s="413" t="str">
        <f>IFERROR(INDEX(Table14[],MATCH($B4562,Table14[SAPNo],0),3),"")</f>
        <v>1308 CT188 U-60</v>
      </c>
      <c r="D4562" s="420" t="s">
        <v>12</v>
      </c>
      <c r="E4562" s="421">
        <v>15</v>
      </c>
      <c r="F4562" s="580"/>
      <c r="G4562" s="417" t="s">
        <v>2912</v>
      </c>
      <c r="H4562" s="598">
        <v>14390150</v>
      </c>
      <c r="I4562" s="322" t="s">
        <v>2910</v>
      </c>
      <c r="J4562" s="418"/>
      <c r="K4562" s="248"/>
      <c r="M4562" s="366"/>
    </row>
    <row r="4563" spans="1:13" x14ac:dyDescent="0.25">
      <c r="A4563" s="308">
        <v>45820</v>
      </c>
      <c r="B4563" s="416">
        <v>871781</v>
      </c>
      <c r="C4563" s="413" t="str">
        <f>IFERROR(INDEX(Table14[],MATCH($B4563,Table14[SAPNo],0),3),"")</f>
        <v>Round 1313 CT200  0.018" (B)</v>
      </c>
      <c r="D4563" s="420" t="s">
        <v>12</v>
      </c>
      <c r="E4563" s="421">
        <v>6</v>
      </c>
      <c r="F4563" s="580"/>
      <c r="G4563" s="417" t="s">
        <v>2912</v>
      </c>
      <c r="H4563" s="598">
        <v>14390150</v>
      </c>
      <c r="I4563" s="322" t="s">
        <v>2910</v>
      </c>
      <c r="J4563" s="418"/>
      <c r="K4563" s="248"/>
      <c r="M4563" s="366"/>
    </row>
    <row r="4564" spans="1:13" x14ac:dyDescent="0.25">
      <c r="A4564" s="308">
        <v>45820</v>
      </c>
      <c r="B4564" s="416">
        <v>1228503</v>
      </c>
      <c r="C4564" s="413" t="str">
        <f>IFERROR(INDEX(Table14[],MATCH($B4564,Table14[SAPNo],0),3),"")</f>
        <v>1618 CT182 U-60 Ring</v>
      </c>
      <c r="D4564" s="420" t="s">
        <v>12</v>
      </c>
      <c r="E4564" s="421">
        <v>10</v>
      </c>
      <c r="F4564" s="580"/>
      <c r="G4564" s="417" t="s">
        <v>2912</v>
      </c>
      <c r="H4564" s="598">
        <v>14390150</v>
      </c>
      <c r="I4564" s="322" t="s">
        <v>2910</v>
      </c>
      <c r="J4564" s="418"/>
      <c r="K4564" s="248"/>
      <c r="M4564" s="366"/>
    </row>
    <row r="4565" spans="1:13" x14ac:dyDescent="0.25">
      <c r="A4565" s="308">
        <v>45820</v>
      </c>
      <c r="B4565" s="416">
        <v>2002244</v>
      </c>
      <c r="C4565" s="413" t="str">
        <f>IFERROR(INDEX(Table14[],MATCH($B4565,Table14[SAPNo],0),3),"")</f>
        <v>1313 CT188 Uc-60</v>
      </c>
      <c r="D4565" s="420" t="s">
        <v>12</v>
      </c>
      <c r="E4565" s="421">
        <v>11</v>
      </c>
      <c r="F4565" s="580"/>
      <c r="G4565" s="417" t="s">
        <v>2912</v>
      </c>
      <c r="H4565" s="598">
        <v>14390150</v>
      </c>
      <c r="I4565" s="322" t="s">
        <v>2910</v>
      </c>
      <c r="J4565" s="418"/>
      <c r="K4565" s="248"/>
      <c r="M4565" s="366"/>
    </row>
    <row r="4566" spans="1:13" x14ac:dyDescent="0.25">
      <c r="A4566" s="308">
        <v>45820</v>
      </c>
      <c r="B4566" s="416">
        <v>1228502</v>
      </c>
      <c r="C4566" s="413" t="str">
        <f>IFERROR(INDEX(Table14[],MATCH($B4566,Table14[SAPNo],0),3),"")</f>
        <v>1618 CT182 U-60 Rotor</v>
      </c>
      <c r="D4566" s="420" t="s">
        <v>12</v>
      </c>
      <c r="E4566" s="421">
        <v>10</v>
      </c>
      <c r="F4566" s="580"/>
      <c r="G4566" s="417" t="s">
        <v>2912</v>
      </c>
      <c r="H4566" s="598">
        <v>14390150</v>
      </c>
      <c r="I4566" s="322" t="s">
        <v>2910</v>
      </c>
      <c r="J4566" s="418"/>
      <c r="K4566" s="248"/>
      <c r="M4566" s="366"/>
    </row>
    <row r="4567" spans="1:13" x14ac:dyDescent="0.25">
      <c r="A4567" s="308">
        <v>45820</v>
      </c>
      <c r="B4567" s="416">
        <v>1228501</v>
      </c>
      <c r="C4567" s="413" t="str">
        <f>IFERROR(INDEX(Table14[],MATCH($B4567,Table14[SAPNo],0),3),"")</f>
        <v>1618 CT182 U-60 stator</v>
      </c>
      <c r="D4567" s="420" t="s">
        <v>12</v>
      </c>
      <c r="E4567" s="421">
        <v>10</v>
      </c>
      <c r="F4567" s="580"/>
      <c r="G4567" s="417" t="s">
        <v>2912</v>
      </c>
      <c r="H4567" s="598">
        <v>14390150</v>
      </c>
      <c r="I4567" s="322" t="s">
        <v>2910</v>
      </c>
      <c r="J4567" s="418"/>
      <c r="K4567" s="248"/>
      <c r="M4567" s="366"/>
    </row>
    <row r="4568" spans="1:13" x14ac:dyDescent="0.25">
      <c r="A4568" s="308">
        <v>45820</v>
      </c>
      <c r="B4568" s="416">
        <v>2002299</v>
      </c>
      <c r="C4568" s="413" t="str">
        <f>IFERROR(INDEX(Table14[],MATCH($B4568,Table14[SAPNo],0),3),"")</f>
        <v>1613 CT187 U-60</v>
      </c>
      <c r="D4568" s="420" t="s">
        <v>12</v>
      </c>
      <c r="E4568" s="421">
        <v>4</v>
      </c>
      <c r="F4568" s="580"/>
      <c r="G4568" s="417" t="s">
        <v>2912</v>
      </c>
      <c r="H4568" s="598">
        <v>14390150</v>
      </c>
      <c r="I4568" s="322" t="s">
        <v>2910</v>
      </c>
      <c r="J4568" s="418"/>
      <c r="K4568" s="248"/>
      <c r="M4568" s="366"/>
    </row>
    <row r="4569" spans="1:13" x14ac:dyDescent="0.25">
      <c r="A4569" s="308">
        <v>45820</v>
      </c>
      <c r="B4569" s="416">
        <v>1220554</v>
      </c>
      <c r="C4569" s="413" t="str">
        <f>IFERROR(INDEX(Table14[],MATCH($B4569,Table14[SAPNo],0),3),"")</f>
        <v xml:space="preserve">1618 CT182 U-60 Carbide </v>
      </c>
      <c r="D4569" s="420" t="s">
        <v>12</v>
      </c>
      <c r="E4569" s="421">
        <v>12</v>
      </c>
      <c r="F4569" s="580"/>
      <c r="G4569" s="417" t="s">
        <v>2912</v>
      </c>
      <c r="H4569" s="598">
        <v>14390150</v>
      </c>
      <c r="I4569" s="322" t="s">
        <v>2910</v>
      </c>
      <c r="J4569" s="418"/>
      <c r="K4569" s="248"/>
      <c r="M4569" s="366"/>
    </row>
    <row r="4570" spans="1:13" x14ac:dyDescent="0.25">
      <c r="A4570" s="308">
        <v>45820</v>
      </c>
      <c r="B4570" s="416">
        <v>2002186</v>
      </c>
      <c r="C4570" s="413" t="str">
        <f>IFERROR(INDEX(Table14[],MATCH($B4570,Table14[SAPNo],0),3),"")</f>
        <v>1313 CT187 U-60</v>
      </c>
      <c r="D4570" s="420" t="s">
        <v>12</v>
      </c>
      <c r="E4570" s="421">
        <v>4</v>
      </c>
      <c r="F4570" s="580"/>
      <c r="G4570" s="417" t="s">
        <v>2912</v>
      </c>
      <c r="H4570" s="598">
        <v>14390150</v>
      </c>
      <c r="I4570" s="322" t="s">
        <v>2910</v>
      </c>
      <c r="J4570" s="418"/>
      <c r="K4570" s="248"/>
      <c r="M4570" s="366"/>
    </row>
    <row r="4571" spans="1:13" x14ac:dyDescent="0.25">
      <c r="A4571" s="320">
        <v>45820</v>
      </c>
      <c r="B4571" s="419">
        <v>1078377</v>
      </c>
      <c r="C4571" s="413" t="str">
        <f>IFERROR(INDEX(Table14[],MATCH($B4571,Table14[SAPNo],0),3),"")</f>
        <v>13MM CT221 R1</v>
      </c>
      <c r="D4571" s="420" t="s">
        <v>12</v>
      </c>
      <c r="E4571" s="421">
        <v>1</v>
      </c>
      <c r="F4571" s="580"/>
      <c r="G4571" s="420" t="s">
        <v>2902</v>
      </c>
      <c r="H4571" s="599" t="s">
        <v>2903</v>
      </c>
      <c r="I4571" s="322" t="s">
        <v>2311</v>
      </c>
      <c r="J4571" s="421"/>
      <c r="K4571" s="422"/>
      <c r="M4571" s="366"/>
    </row>
    <row r="4572" spans="1:13" x14ac:dyDescent="0.25">
      <c r="A4572" s="308">
        <v>45823</v>
      </c>
      <c r="B4572" s="416">
        <v>1288783</v>
      </c>
      <c r="C4572" s="413" t="str">
        <f>IFERROR(INDEX(Table14[],MATCH($B4572,Table14[SAPNo],0),3),"")</f>
        <v>1613 CT179 18-60</v>
      </c>
      <c r="D4572" s="420" t="s">
        <v>12</v>
      </c>
      <c r="E4572" s="421">
        <v>17</v>
      </c>
      <c r="F4572" s="421"/>
      <c r="G4572" s="417" t="s">
        <v>2913</v>
      </c>
      <c r="H4572" s="598">
        <v>14369047</v>
      </c>
      <c r="I4572" s="322" t="s">
        <v>2914</v>
      </c>
      <c r="J4572" s="418"/>
      <c r="K4572" s="248"/>
      <c r="M4572" s="422"/>
    </row>
    <row r="4573" spans="1:13" x14ac:dyDescent="0.25">
      <c r="A4573" s="308">
        <v>45823</v>
      </c>
      <c r="B4573" s="416">
        <v>1146737</v>
      </c>
      <c r="C4573" s="413" t="str">
        <f>IFERROR(INDEX(Table14[],MATCH($B4573,Table14[SAPNo],0),3),"")</f>
        <v>1613 CT418 18-60</v>
      </c>
      <c r="D4573" s="420" t="s">
        <v>12</v>
      </c>
      <c r="E4573" s="421">
        <v>6</v>
      </c>
      <c r="F4573" s="580"/>
      <c r="G4573" s="417" t="s">
        <v>2913</v>
      </c>
      <c r="H4573" s="598">
        <v>14369047</v>
      </c>
      <c r="I4573" s="322" t="s">
        <v>2914</v>
      </c>
      <c r="J4573" s="418"/>
      <c r="K4573" s="248"/>
      <c r="M4573" s="366"/>
    </row>
    <row r="4574" spans="1:13" x14ac:dyDescent="0.25">
      <c r="A4574" s="308">
        <v>45823</v>
      </c>
      <c r="B4574" s="416">
        <v>1208601</v>
      </c>
      <c r="C4574" s="413" t="str">
        <f>IFERROR(INDEX(Table14[],MATCH($B4574,Table14[SAPNo],0),3),"")</f>
        <v>1613 CT418 U-60</v>
      </c>
      <c r="D4574" s="420" t="s">
        <v>12</v>
      </c>
      <c r="E4574" s="421">
        <v>8</v>
      </c>
      <c r="F4574" s="580"/>
      <c r="G4574" s="417" t="s">
        <v>2913</v>
      </c>
      <c r="H4574" s="598">
        <v>14369047</v>
      </c>
      <c r="I4574" s="322" t="s">
        <v>2914</v>
      </c>
      <c r="J4574" s="418"/>
      <c r="K4574" s="248"/>
      <c r="M4574" s="366"/>
    </row>
    <row r="4575" spans="1:13" x14ac:dyDescent="0.25">
      <c r="A4575" s="308">
        <v>45823</v>
      </c>
      <c r="B4575" s="416">
        <v>418525</v>
      </c>
      <c r="C4575" s="413" t="str">
        <f>IFERROR(INDEX(Table14[],MATCH($B4575,Table14[SAPNo],0),3),"")</f>
        <v>Drop In 1308 CT31   (B)</v>
      </c>
      <c r="D4575" s="420" t="s">
        <v>12</v>
      </c>
      <c r="E4575" s="421">
        <v>6</v>
      </c>
      <c r="F4575" s="580"/>
      <c r="G4575" s="417" t="s">
        <v>2913</v>
      </c>
      <c r="H4575" s="598">
        <v>14369047</v>
      </c>
      <c r="I4575" s="322" t="s">
        <v>2914</v>
      </c>
      <c r="J4575" s="418"/>
      <c r="K4575" s="248"/>
      <c r="M4575" s="366"/>
    </row>
    <row r="4576" spans="1:13" x14ac:dyDescent="0.25">
      <c r="A4576" s="308">
        <v>45823</v>
      </c>
      <c r="B4576" s="416">
        <v>1078377</v>
      </c>
      <c r="C4576" s="413" t="str">
        <f>IFERROR(INDEX(Table14[],MATCH($B4576,Table14[SAPNo],0),3),"")</f>
        <v>13MM CT221 R1</v>
      </c>
      <c r="D4576" s="420" t="s">
        <v>12</v>
      </c>
      <c r="E4576" s="421">
        <v>15</v>
      </c>
      <c r="F4576" s="580"/>
      <c r="G4576" s="417" t="s">
        <v>2913</v>
      </c>
      <c r="H4576" s="598">
        <v>14369047</v>
      </c>
      <c r="I4576" s="322" t="s">
        <v>2914</v>
      </c>
      <c r="J4576" s="418"/>
      <c r="K4576" s="248"/>
      <c r="M4576" s="366"/>
    </row>
    <row r="4577" spans="1:13" x14ac:dyDescent="0.25">
      <c r="A4577" s="308">
        <v>45823</v>
      </c>
      <c r="B4577" s="416">
        <v>1228501</v>
      </c>
      <c r="C4577" s="413" t="str">
        <f>IFERROR(INDEX(Table14[],MATCH($B4577,Table14[SAPNo],0),3),"")</f>
        <v>1618 CT182 U-60 stator</v>
      </c>
      <c r="D4577" s="420" t="s">
        <v>12</v>
      </c>
      <c r="E4577" s="421">
        <v>10</v>
      </c>
      <c r="F4577" s="580"/>
      <c r="G4577" s="417" t="s">
        <v>2915</v>
      </c>
      <c r="H4577" s="598">
        <v>14390153</v>
      </c>
      <c r="I4577" s="322" t="s">
        <v>2916</v>
      </c>
      <c r="J4577" s="418"/>
      <c r="K4577" s="248"/>
      <c r="M4577" s="366"/>
    </row>
    <row r="4578" spans="1:13" x14ac:dyDescent="0.25">
      <c r="A4578" s="308">
        <v>45823</v>
      </c>
      <c r="B4578" s="416">
        <v>1228502</v>
      </c>
      <c r="C4578" s="413" t="str">
        <f>IFERROR(INDEX(Table14[],MATCH($B4578,Table14[SAPNo],0),3),"")</f>
        <v>1618 CT182 U-60 Rotor</v>
      </c>
      <c r="D4578" s="420" t="s">
        <v>12</v>
      </c>
      <c r="E4578" s="421">
        <v>10</v>
      </c>
      <c r="F4578" s="580"/>
      <c r="G4578" s="417" t="s">
        <v>2915</v>
      </c>
      <c r="H4578" s="598">
        <v>14390153</v>
      </c>
      <c r="I4578" s="322" t="s">
        <v>2916</v>
      </c>
      <c r="J4578" s="418"/>
      <c r="K4578" s="248"/>
      <c r="M4578" s="366"/>
    </row>
    <row r="4579" spans="1:13" x14ac:dyDescent="0.25">
      <c r="A4579" s="308">
        <v>45823</v>
      </c>
      <c r="B4579" s="416">
        <v>1228503</v>
      </c>
      <c r="C4579" s="413" t="str">
        <f>IFERROR(INDEX(Table14[],MATCH($B4579,Table14[SAPNo],0),3),"")</f>
        <v>1618 CT182 U-60 Ring</v>
      </c>
      <c r="D4579" s="420" t="s">
        <v>12</v>
      </c>
      <c r="E4579" s="421">
        <v>10</v>
      </c>
      <c r="F4579" s="580"/>
      <c r="G4579" s="417" t="s">
        <v>2915</v>
      </c>
      <c r="H4579" s="598">
        <v>14390153</v>
      </c>
      <c r="I4579" s="322" t="s">
        <v>2916</v>
      </c>
      <c r="J4579" s="418"/>
      <c r="K4579" s="248"/>
      <c r="M4579" s="366"/>
    </row>
    <row r="4580" spans="1:13" x14ac:dyDescent="0.25">
      <c r="A4580" s="308">
        <v>45823</v>
      </c>
      <c r="B4580" s="416">
        <v>1220554</v>
      </c>
      <c r="C4580" s="413" t="str">
        <f>IFERROR(INDEX(Table14[],MATCH($B4580,Table14[SAPNo],0),3),"")</f>
        <v xml:space="preserve">1618 CT182 U-60 Carbide </v>
      </c>
      <c r="D4580" s="420" t="s">
        <v>12</v>
      </c>
      <c r="E4580" s="421">
        <v>11</v>
      </c>
      <c r="F4580" s="580"/>
      <c r="G4580" s="417" t="s">
        <v>2915</v>
      </c>
      <c r="H4580" s="598">
        <v>14390153</v>
      </c>
      <c r="I4580" s="322" t="s">
        <v>2916</v>
      </c>
      <c r="J4580" s="418"/>
      <c r="K4580" s="248"/>
      <c r="M4580" s="366"/>
    </row>
    <row r="4581" spans="1:13" x14ac:dyDescent="0.25">
      <c r="A4581" s="308">
        <v>45823</v>
      </c>
      <c r="B4581" s="416">
        <v>1261320</v>
      </c>
      <c r="C4581" s="413" t="str">
        <f>IFERROR(INDEX(Table14[],MATCH($B4581,Table14[SAPNo],0),3),"")</f>
        <v>1313 CT155 U-60</v>
      </c>
      <c r="D4581" s="420" t="s">
        <v>12</v>
      </c>
      <c r="E4581" s="421">
        <v>5</v>
      </c>
      <c r="F4581" s="580"/>
      <c r="G4581" s="417" t="s">
        <v>2915</v>
      </c>
      <c r="H4581" s="598">
        <v>14390153</v>
      </c>
      <c r="I4581" s="322" t="s">
        <v>2916</v>
      </c>
      <c r="J4581" s="418"/>
      <c r="K4581" s="248"/>
      <c r="M4581" s="366"/>
    </row>
    <row r="4582" spans="1:13" x14ac:dyDescent="0.25">
      <c r="A4582" s="308">
        <v>45823</v>
      </c>
      <c r="B4582" s="416">
        <v>2002186</v>
      </c>
      <c r="C4582" s="413" t="str">
        <f>IFERROR(INDEX(Table14[],MATCH($B4582,Table14[SAPNo],0),3),"")</f>
        <v>1313 CT187 U-60</v>
      </c>
      <c r="D4582" s="420" t="s">
        <v>12</v>
      </c>
      <c r="E4582" s="421">
        <v>5</v>
      </c>
      <c r="F4582" s="580"/>
      <c r="G4582" s="417" t="s">
        <v>2915</v>
      </c>
      <c r="H4582" s="598">
        <v>14390153</v>
      </c>
      <c r="I4582" s="322" t="s">
        <v>2916</v>
      </c>
      <c r="J4582" s="418"/>
      <c r="K4582" s="248"/>
      <c r="M4582" s="366"/>
    </row>
    <row r="4583" spans="1:13" x14ac:dyDescent="0.25">
      <c r="A4583" s="308">
        <v>45823</v>
      </c>
      <c r="B4583" s="416">
        <v>2002243</v>
      </c>
      <c r="C4583" s="413" t="str">
        <f>IFERROR(INDEX(Table14[],MATCH($B4583,Table14[SAPNo],0),3),"")</f>
        <v>1308 CT188 U-60</v>
      </c>
      <c r="D4583" s="420" t="s">
        <v>12</v>
      </c>
      <c r="E4583" s="421">
        <v>15</v>
      </c>
      <c r="F4583" s="580"/>
      <c r="G4583" s="417" t="s">
        <v>2915</v>
      </c>
      <c r="H4583" s="598">
        <v>14390153</v>
      </c>
      <c r="I4583" s="322" t="s">
        <v>2916</v>
      </c>
      <c r="J4583" s="418"/>
      <c r="K4583" s="248"/>
      <c r="M4583" s="366"/>
    </row>
    <row r="4584" spans="1:13" x14ac:dyDescent="0.25">
      <c r="A4584" s="308">
        <v>45823</v>
      </c>
      <c r="B4584" s="416">
        <v>2002244</v>
      </c>
      <c r="C4584" s="413" t="str">
        <f>IFERROR(INDEX(Table14[],MATCH($B4584,Table14[SAPNo],0),3),"")</f>
        <v>1313 CT188 Uc-60</v>
      </c>
      <c r="D4584" s="420" t="s">
        <v>12</v>
      </c>
      <c r="E4584" s="421">
        <v>5</v>
      </c>
      <c r="F4584" s="580"/>
      <c r="G4584" s="417" t="s">
        <v>2915</v>
      </c>
      <c r="H4584" s="598">
        <v>14390153</v>
      </c>
      <c r="I4584" s="322" t="s">
        <v>2916</v>
      </c>
      <c r="J4584" s="418"/>
      <c r="K4584" s="248"/>
      <c r="M4584" s="366"/>
    </row>
    <row r="4585" spans="1:13" x14ac:dyDescent="0.25">
      <c r="A4585" s="308">
        <v>45823</v>
      </c>
      <c r="B4585" s="416">
        <v>2002299</v>
      </c>
      <c r="C4585" s="413" t="str">
        <f>IFERROR(INDEX(Table14[],MATCH($B4585,Table14[SAPNo],0),3),"")</f>
        <v>1613 CT187 U-60</v>
      </c>
      <c r="D4585" s="420" t="s">
        <v>12</v>
      </c>
      <c r="E4585" s="421">
        <v>4</v>
      </c>
      <c r="F4585" s="580"/>
      <c r="G4585" s="417" t="s">
        <v>2915</v>
      </c>
      <c r="H4585" s="598">
        <v>14390153</v>
      </c>
      <c r="I4585" s="322" t="s">
        <v>2916</v>
      </c>
      <c r="J4585" s="418"/>
      <c r="K4585" s="248"/>
      <c r="M4585" s="366"/>
    </row>
    <row r="4586" spans="1:13" x14ac:dyDescent="0.25">
      <c r="A4586" s="308">
        <v>45823</v>
      </c>
      <c r="B4586" s="416">
        <v>871781</v>
      </c>
      <c r="C4586" s="413" t="str">
        <f>IFERROR(INDEX(Table14[],MATCH($B4586,Table14[SAPNo],0),3),"")</f>
        <v>Round 1313 CT200  0.018" (B)</v>
      </c>
      <c r="D4586" s="420" t="s">
        <v>12</v>
      </c>
      <c r="E4586" s="421">
        <v>6</v>
      </c>
      <c r="F4586" s="580"/>
      <c r="G4586" s="417" t="s">
        <v>2915</v>
      </c>
      <c r="H4586" s="598">
        <v>14390153</v>
      </c>
      <c r="I4586" s="322" t="s">
        <v>2916</v>
      </c>
      <c r="J4586" s="418"/>
      <c r="K4586" s="248"/>
      <c r="M4586" s="366"/>
    </row>
    <row r="4587" spans="1:13" x14ac:dyDescent="0.25">
      <c r="A4587" s="308">
        <v>45823</v>
      </c>
      <c r="B4587" s="416">
        <v>871781</v>
      </c>
      <c r="C4587" s="413" t="str">
        <f>IFERROR(INDEX(Table14[],MATCH($B4587,Table14[SAPNo],0),3),"")</f>
        <v>Round 1313 CT200  0.018" (B)</v>
      </c>
      <c r="D4587" s="420" t="s">
        <v>12</v>
      </c>
      <c r="E4587" s="421">
        <v>6</v>
      </c>
      <c r="F4587" s="580"/>
      <c r="G4587" s="417" t="s">
        <v>2917</v>
      </c>
      <c r="H4587" s="598">
        <v>14320872</v>
      </c>
      <c r="I4587" s="322" t="s">
        <v>2918</v>
      </c>
      <c r="J4587" s="418"/>
      <c r="K4587" s="248"/>
      <c r="M4587" s="366"/>
    </row>
    <row r="4588" spans="1:13" x14ac:dyDescent="0.25">
      <c r="A4588" s="308">
        <v>45823</v>
      </c>
      <c r="B4588" s="416">
        <v>2002243</v>
      </c>
      <c r="C4588" s="413" t="str">
        <f>IFERROR(INDEX(Table14[],MATCH($B4588,Table14[SAPNo],0),3),"")</f>
        <v>1308 CT188 U-60</v>
      </c>
      <c r="D4588" s="420" t="s">
        <v>12</v>
      </c>
      <c r="E4588" s="421">
        <v>22</v>
      </c>
      <c r="F4588" s="580"/>
      <c r="G4588" s="417" t="s">
        <v>2917</v>
      </c>
      <c r="H4588" s="598">
        <v>14320872</v>
      </c>
      <c r="I4588" s="322" t="s">
        <v>2918</v>
      </c>
      <c r="J4588" s="418"/>
      <c r="K4588" s="248"/>
      <c r="M4588" s="366"/>
    </row>
    <row r="4589" spans="1:13" x14ac:dyDescent="0.25">
      <c r="A4589" s="308">
        <v>45823</v>
      </c>
      <c r="B4589" s="416">
        <v>1228502</v>
      </c>
      <c r="C4589" s="413" t="str">
        <f>IFERROR(INDEX(Table14[],MATCH($B4589,Table14[SAPNo],0),3),"")</f>
        <v>1618 CT182 U-60 Rotor</v>
      </c>
      <c r="D4589" s="420" t="s">
        <v>12</v>
      </c>
      <c r="E4589" s="421">
        <v>14</v>
      </c>
      <c r="F4589" s="580"/>
      <c r="G4589" s="417" t="s">
        <v>2917</v>
      </c>
      <c r="H4589" s="598">
        <v>14320872</v>
      </c>
      <c r="I4589" s="322" t="s">
        <v>2918</v>
      </c>
      <c r="J4589" s="418"/>
      <c r="K4589" s="248"/>
      <c r="M4589" s="366"/>
    </row>
    <row r="4590" spans="1:13" x14ac:dyDescent="0.25">
      <c r="A4590" s="308">
        <v>45823</v>
      </c>
      <c r="B4590" s="416">
        <v>2002299</v>
      </c>
      <c r="C4590" s="413" t="str">
        <f>IFERROR(INDEX(Table14[],MATCH($B4590,Table14[SAPNo],0),3),"")</f>
        <v>1613 CT187 U-60</v>
      </c>
      <c r="D4590" s="420" t="s">
        <v>12</v>
      </c>
      <c r="E4590" s="421">
        <v>20</v>
      </c>
      <c r="F4590" s="580"/>
      <c r="G4590" s="417" t="s">
        <v>2917</v>
      </c>
      <c r="H4590" s="598">
        <v>14320872</v>
      </c>
      <c r="I4590" s="322" t="s">
        <v>2918</v>
      </c>
      <c r="J4590" s="418"/>
      <c r="K4590" s="248"/>
      <c r="M4590" s="366"/>
    </row>
    <row r="4591" spans="1:13" x14ac:dyDescent="0.25">
      <c r="A4591" s="308">
        <v>45823</v>
      </c>
      <c r="B4591" s="416">
        <v>1228501</v>
      </c>
      <c r="C4591" s="413" t="str">
        <f>IFERROR(INDEX(Table14[],MATCH($B4591,Table14[SAPNo],0),3),"")</f>
        <v>1618 CT182 U-60 stator</v>
      </c>
      <c r="D4591" s="420" t="s">
        <v>12</v>
      </c>
      <c r="E4591" s="421">
        <v>14</v>
      </c>
      <c r="F4591" s="580"/>
      <c r="G4591" s="417" t="s">
        <v>2917</v>
      </c>
      <c r="H4591" s="598">
        <v>14320872</v>
      </c>
      <c r="I4591" s="322" t="s">
        <v>2918</v>
      </c>
      <c r="J4591" s="418"/>
      <c r="K4591" s="248"/>
      <c r="M4591" s="366"/>
    </row>
    <row r="4592" spans="1:13" x14ac:dyDescent="0.25">
      <c r="A4592" s="308">
        <v>45823</v>
      </c>
      <c r="B4592" s="416">
        <v>1201518</v>
      </c>
      <c r="C4592" s="413" t="str">
        <f>IFERROR(INDEX(Table14[],MATCH($B4592,Table14[SAPNo],0),3),"")</f>
        <v>12MM WC­MAT404 NA</v>
      </c>
      <c r="D4592" s="420" t="s">
        <v>12</v>
      </c>
      <c r="E4592" s="421">
        <v>3</v>
      </c>
      <c r="F4592" s="580"/>
      <c r="G4592" s="417" t="s">
        <v>2917</v>
      </c>
      <c r="H4592" s="598">
        <v>14320872</v>
      </c>
      <c r="I4592" s="322" t="s">
        <v>2918</v>
      </c>
      <c r="J4592" s="418"/>
      <c r="K4592" s="248"/>
      <c r="M4592" s="366"/>
    </row>
    <row r="4593" spans="1:13" x14ac:dyDescent="0.25">
      <c r="A4593" s="308">
        <v>45823</v>
      </c>
      <c r="B4593" s="416">
        <v>1100755</v>
      </c>
      <c r="C4593" s="413" t="str">
        <f>IFERROR(INDEX(Table14[],MATCH($B4593,Table14[SAPNo],0),3),"")</f>
        <v>Round 1613 CT421  0.018" (S)</v>
      </c>
      <c r="D4593" s="420" t="s">
        <v>12</v>
      </c>
      <c r="E4593" s="421">
        <v>7</v>
      </c>
      <c r="F4593" s="580"/>
      <c r="G4593" s="417" t="s">
        <v>2917</v>
      </c>
      <c r="H4593" s="598">
        <v>14320872</v>
      </c>
      <c r="I4593" s="322" t="s">
        <v>2918</v>
      </c>
      <c r="J4593" s="418"/>
      <c r="K4593" s="248"/>
      <c r="M4593" s="366"/>
    </row>
    <row r="4594" spans="1:13" x14ac:dyDescent="0.25">
      <c r="A4594" s="308">
        <v>45823</v>
      </c>
      <c r="B4594" s="416">
        <v>1228503</v>
      </c>
      <c r="C4594" s="413" t="str">
        <f>IFERROR(INDEX(Table14[],MATCH($B4594,Table14[SAPNo],0),3),"")</f>
        <v>1618 CT182 U-60 Ring</v>
      </c>
      <c r="D4594" s="420" t="s">
        <v>12</v>
      </c>
      <c r="E4594" s="421">
        <v>14</v>
      </c>
      <c r="F4594" s="580"/>
      <c r="G4594" s="417" t="s">
        <v>2917</v>
      </c>
      <c r="H4594" s="598">
        <v>14320872</v>
      </c>
      <c r="I4594" s="322" t="s">
        <v>2918</v>
      </c>
      <c r="J4594" s="418"/>
      <c r="K4594" s="248"/>
      <c r="M4594" s="366"/>
    </row>
    <row r="4595" spans="1:13" x14ac:dyDescent="0.25">
      <c r="A4595" s="308">
        <v>45823</v>
      </c>
      <c r="B4595" s="416">
        <v>1220554</v>
      </c>
      <c r="C4595" s="413" t="str">
        <f>IFERROR(INDEX(Table14[],MATCH($B4595,Table14[SAPNo],0),3),"")</f>
        <v xml:space="preserve">1618 CT182 U-60 Carbide </v>
      </c>
      <c r="D4595" s="420" t="s">
        <v>12</v>
      </c>
      <c r="E4595" s="421">
        <v>14</v>
      </c>
      <c r="F4595" s="580"/>
      <c r="G4595" s="417" t="s">
        <v>2917</v>
      </c>
      <c r="H4595" s="598">
        <v>14320872</v>
      </c>
      <c r="I4595" s="322" t="s">
        <v>2918</v>
      </c>
      <c r="J4595" s="418"/>
      <c r="K4595" s="248"/>
      <c r="M4595" s="366"/>
    </row>
    <row r="4596" spans="1:13" x14ac:dyDescent="0.25">
      <c r="A4596" s="308">
        <v>45823</v>
      </c>
      <c r="B4596" s="416">
        <v>717748</v>
      </c>
      <c r="C4596" s="413" t="str">
        <f>IFERROR(INDEX(Table14[],MATCH($B4596,Table14[SAPNo],0),3),"")</f>
        <v>Round 1010 CT200  0.018" (B)</v>
      </c>
      <c r="D4596" s="420" t="s">
        <v>12</v>
      </c>
      <c r="E4596" s="421">
        <v>6</v>
      </c>
      <c r="F4596" s="580"/>
      <c r="G4596" s="417" t="s">
        <v>2919</v>
      </c>
      <c r="H4596" s="598" t="s">
        <v>2920</v>
      </c>
      <c r="I4596" s="322" t="s">
        <v>2362</v>
      </c>
      <c r="J4596" s="418"/>
      <c r="K4596" s="248"/>
      <c r="M4596" s="366"/>
    </row>
    <row r="4597" spans="1:13" x14ac:dyDescent="0.25">
      <c r="A4597" s="320">
        <v>45823</v>
      </c>
      <c r="B4597" s="419">
        <v>717748</v>
      </c>
      <c r="C4597" s="413" t="str">
        <f>IFERROR(INDEX(Table14[],MATCH($B4597,Table14[SAPNo],0),3),"")</f>
        <v>Round 1010 CT200  0.018" (B)</v>
      </c>
      <c r="D4597" s="420" t="s">
        <v>12</v>
      </c>
      <c r="E4597" s="421">
        <v>5</v>
      </c>
      <c r="F4597" s="580"/>
      <c r="G4597" s="420" t="s">
        <v>2921</v>
      </c>
      <c r="H4597" s="599" t="s">
        <v>2922</v>
      </c>
      <c r="I4597" s="322" t="s">
        <v>1069</v>
      </c>
      <c r="J4597" s="421"/>
      <c r="K4597" s="422"/>
      <c r="M4597" s="366"/>
    </row>
    <row r="4598" spans="1:13" x14ac:dyDescent="0.25">
      <c r="A4598" s="308">
        <v>45823</v>
      </c>
      <c r="B4598" s="416">
        <v>1291870</v>
      </c>
      <c r="C4598" s="413" t="str">
        <f>IFERROR(INDEX(Table14[],MATCH($B4598,Table14[SAPNo],0),3),"")</f>
        <v>1613 CT186 18-60</v>
      </c>
      <c r="D4598" s="420" t="s">
        <v>12</v>
      </c>
      <c r="E4598" s="421"/>
      <c r="F4598" s="421">
        <v>60</v>
      </c>
      <c r="G4598" s="420" t="s">
        <v>2513</v>
      </c>
      <c r="H4598" s="598"/>
      <c r="I4598" s="322"/>
      <c r="J4598" s="418" t="s">
        <v>1013</v>
      </c>
      <c r="K4598" s="248"/>
      <c r="M4598" s="422"/>
    </row>
    <row r="4599" spans="1:13" x14ac:dyDescent="0.25">
      <c r="A4599" s="308">
        <v>45824</v>
      </c>
      <c r="B4599" s="416">
        <v>1291852</v>
      </c>
      <c r="C4599" s="413" t="str">
        <f>IFERROR(INDEX(Table14[],MATCH($B4599,Table14[SAPNo],0),3),"")</f>
        <v>1613 U CT186R U</v>
      </c>
      <c r="D4599" s="420" t="s">
        <v>12</v>
      </c>
      <c r="E4599" s="421"/>
      <c r="F4599" s="580">
        <v>31</v>
      </c>
      <c r="G4599" s="420" t="s">
        <v>2513</v>
      </c>
      <c r="H4599" s="598"/>
      <c r="I4599" s="322"/>
      <c r="J4599" s="418" t="s">
        <v>1013</v>
      </c>
      <c r="K4599" s="248"/>
      <c r="M4599" s="366"/>
    </row>
    <row r="4600" spans="1:13" x14ac:dyDescent="0.25">
      <c r="A4600" s="308">
        <v>45824</v>
      </c>
      <c r="B4600" s="416">
        <v>1291870</v>
      </c>
      <c r="C4600" s="413" t="str">
        <f>IFERROR(INDEX(Table14[],MATCH($B4600,Table14[SAPNo],0),3),"")</f>
        <v>1613 CT186 18-60</v>
      </c>
      <c r="D4600" s="420" t="s">
        <v>12</v>
      </c>
      <c r="E4600" s="421"/>
      <c r="F4600" s="580">
        <v>30</v>
      </c>
      <c r="G4600" s="420" t="s">
        <v>2513</v>
      </c>
      <c r="H4600" s="598"/>
      <c r="I4600" s="322"/>
      <c r="J4600" s="418" t="s">
        <v>1013</v>
      </c>
      <c r="K4600" s="248"/>
      <c r="M4600" s="366"/>
    </row>
    <row r="4601" spans="1:13" x14ac:dyDescent="0.25">
      <c r="A4601" s="308">
        <v>45824</v>
      </c>
      <c r="B4601" s="416">
        <v>1291870</v>
      </c>
      <c r="C4601" s="413" t="str">
        <f>IFERROR(INDEX(Table14[],MATCH($B4601,Table14[SAPNo],0),3),"")</f>
        <v>1613 CT186 18-60</v>
      </c>
      <c r="D4601" s="420" t="s">
        <v>12</v>
      </c>
      <c r="E4601" s="421"/>
      <c r="F4601" s="580">
        <v>60</v>
      </c>
      <c r="G4601" s="420" t="s">
        <v>2513</v>
      </c>
      <c r="H4601" s="598"/>
      <c r="I4601" s="322"/>
      <c r="J4601" s="418" t="s">
        <v>1014</v>
      </c>
      <c r="K4601" s="248"/>
      <c r="M4601" s="366"/>
    </row>
    <row r="4602" spans="1:13" x14ac:dyDescent="0.25">
      <c r="A4602" s="320">
        <v>45824</v>
      </c>
      <c r="B4602" s="419">
        <v>2008253</v>
      </c>
      <c r="C4602" s="413" t="str">
        <f>IFERROR(INDEX(Table14[],MATCH($B4602,Table14[SAPNo],0),3),"")</f>
        <v>1313 CT187 U</v>
      </c>
      <c r="D4602" s="420" t="s">
        <v>12</v>
      </c>
      <c r="E4602" s="421"/>
      <c r="F4602" s="580">
        <v>15</v>
      </c>
      <c r="G4602" s="420" t="s">
        <v>2513</v>
      </c>
      <c r="H4602" s="599"/>
      <c r="I4602" s="322"/>
      <c r="J4602" s="421" t="s">
        <v>1014</v>
      </c>
      <c r="K4602" s="422"/>
      <c r="M4602" s="366"/>
    </row>
    <row r="4603" spans="1:13" x14ac:dyDescent="0.25">
      <c r="A4603" s="308">
        <v>45824</v>
      </c>
      <c r="B4603" s="416">
        <v>1220554</v>
      </c>
      <c r="C4603" s="413" t="str">
        <f>IFERROR(INDEX(Table14[],MATCH($B4603,Table14[SAPNo],0),3),"")</f>
        <v xml:space="preserve">1618 CT182 U-60 Carbide </v>
      </c>
      <c r="D4603" s="420" t="s">
        <v>12</v>
      </c>
      <c r="E4603" s="421">
        <v>21</v>
      </c>
      <c r="F4603" s="421"/>
      <c r="G4603" s="417"/>
      <c r="H4603" s="598"/>
      <c r="I4603" s="322"/>
      <c r="J4603" s="418"/>
      <c r="K4603" s="248" t="s">
        <v>2923</v>
      </c>
      <c r="M4603" s="422"/>
    </row>
    <row r="4604" spans="1:13" x14ac:dyDescent="0.25">
      <c r="A4604" s="308">
        <v>45824</v>
      </c>
      <c r="B4604" s="416">
        <v>1208601</v>
      </c>
      <c r="C4604" s="413" t="str">
        <f>IFERROR(INDEX(Table14[],MATCH($B4604,Table14[SAPNo],0),3),"")</f>
        <v>1613 CT418 U-60</v>
      </c>
      <c r="D4604" s="420" t="s">
        <v>12</v>
      </c>
      <c r="E4604" s="421">
        <v>8</v>
      </c>
      <c r="F4604" s="580"/>
      <c r="G4604" s="417" t="s">
        <v>2924</v>
      </c>
      <c r="H4604" s="598">
        <v>14369046</v>
      </c>
      <c r="I4604" s="322" t="s">
        <v>2914</v>
      </c>
      <c r="J4604" s="418"/>
      <c r="K4604" s="248"/>
      <c r="M4604" s="366"/>
    </row>
    <row r="4605" spans="1:13" x14ac:dyDescent="0.25">
      <c r="A4605" s="308">
        <v>45824</v>
      </c>
      <c r="B4605" s="416">
        <v>1078377</v>
      </c>
      <c r="C4605" s="413" t="str">
        <f>IFERROR(INDEX(Table14[],MATCH($B4605,Table14[SAPNo],0),3),"")</f>
        <v>13MM CT221 R1</v>
      </c>
      <c r="D4605" s="420" t="s">
        <v>12</v>
      </c>
      <c r="E4605" s="421">
        <v>15</v>
      </c>
      <c r="F4605" s="580"/>
      <c r="G4605" s="417" t="s">
        <v>2924</v>
      </c>
      <c r="H4605" s="598">
        <v>14369046</v>
      </c>
      <c r="I4605" s="322" t="s">
        <v>2914</v>
      </c>
      <c r="J4605" s="418"/>
      <c r="K4605" s="248"/>
      <c r="M4605" s="366"/>
    </row>
    <row r="4606" spans="1:13" x14ac:dyDescent="0.25">
      <c r="A4606" s="308">
        <v>45824</v>
      </c>
      <c r="B4606" s="416">
        <v>1288783</v>
      </c>
      <c r="C4606" s="413" t="str">
        <f>IFERROR(INDEX(Table14[],MATCH($B4606,Table14[SAPNo],0),3),"")</f>
        <v>1613 CT179 18-60</v>
      </c>
      <c r="D4606" s="420" t="s">
        <v>12</v>
      </c>
      <c r="E4606" s="421">
        <v>17</v>
      </c>
      <c r="F4606" s="580"/>
      <c r="G4606" s="417" t="s">
        <v>2924</v>
      </c>
      <c r="H4606" s="598">
        <v>14369046</v>
      </c>
      <c r="I4606" s="322" t="s">
        <v>2914</v>
      </c>
      <c r="J4606" s="418"/>
      <c r="K4606" s="248"/>
      <c r="M4606" s="366"/>
    </row>
    <row r="4607" spans="1:13" x14ac:dyDescent="0.25">
      <c r="A4607" s="308">
        <v>45824</v>
      </c>
      <c r="B4607" s="416">
        <v>418525</v>
      </c>
      <c r="C4607" s="413" t="str">
        <f>IFERROR(INDEX(Table14[],MATCH($B4607,Table14[SAPNo],0),3),"")</f>
        <v>Drop In 1308 CT31   (B)</v>
      </c>
      <c r="D4607" s="420" t="s">
        <v>12</v>
      </c>
      <c r="E4607" s="421">
        <v>6</v>
      </c>
      <c r="F4607" s="580"/>
      <c r="G4607" s="417" t="s">
        <v>2924</v>
      </c>
      <c r="H4607" s="598">
        <v>14369046</v>
      </c>
      <c r="I4607" s="322" t="s">
        <v>2914</v>
      </c>
      <c r="J4607" s="418"/>
      <c r="K4607" s="248"/>
      <c r="M4607" s="366"/>
    </row>
    <row r="4608" spans="1:13" x14ac:dyDescent="0.25">
      <c r="A4608" s="308">
        <v>45824</v>
      </c>
      <c r="B4608" s="416">
        <v>1146737</v>
      </c>
      <c r="C4608" s="413" t="str">
        <f>IFERROR(INDEX(Table14[],MATCH($B4608,Table14[SAPNo],0),3),"")</f>
        <v>1613 CT418 18-60</v>
      </c>
      <c r="D4608" s="420" t="s">
        <v>12</v>
      </c>
      <c r="E4608" s="421">
        <v>6</v>
      </c>
      <c r="F4608" s="580"/>
      <c r="G4608" s="417" t="s">
        <v>2924</v>
      </c>
      <c r="H4608" s="598">
        <v>14369046</v>
      </c>
      <c r="I4608" s="322" t="s">
        <v>2914</v>
      </c>
      <c r="J4608" s="418"/>
      <c r="K4608" s="248"/>
      <c r="M4608" s="366"/>
    </row>
    <row r="4609" spans="1:13" x14ac:dyDescent="0.25">
      <c r="A4609" s="308">
        <v>45825</v>
      </c>
      <c r="B4609" s="416">
        <v>717748</v>
      </c>
      <c r="C4609" s="413" t="str">
        <f>IFERROR(INDEX(Table14[],MATCH($B4609,Table14[SAPNo],0),3),"")</f>
        <v>Round 1010 CT200  0.018" (B)</v>
      </c>
      <c r="D4609" s="420" t="s">
        <v>12</v>
      </c>
      <c r="E4609" s="421">
        <v>3</v>
      </c>
      <c r="F4609" s="580"/>
      <c r="G4609" s="417">
        <v>20251082</v>
      </c>
      <c r="H4609" s="598" t="s">
        <v>2925</v>
      </c>
      <c r="I4609" s="322" t="s">
        <v>1069</v>
      </c>
      <c r="J4609" s="418"/>
      <c r="K4609" s="248"/>
      <c r="M4609" s="366"/>
    </row>
    <row r="4610" spans="1:13" x14ac:dyDescent="0.25">
      <c r="A4610" s="308">
        <v>45825</v>
      </c>
      <c r="B4610" s="416">
        <v>2002243</v>
      </c>
      <c r="C4610" s="413" t="str">
        <f>IFERROR(INDEX(Table14[],MATCH($B4610,Table14[SAPNo],0),3),"")</f>
        <v>1308 CT188 U-60</v>
      </c>
      <c r="D4610" s="420" t="s">
        <v>12</v>
      </c>
      <c r="E4610" s="421">
        <v>15</v>
      </c>
      <c r="F4610" s="580"/>
      <c r="G4610" s="417" t="s">
        <v>2926</v>
      </c>
      <c r="H4610" s="598">
        <v>14390151</v>
      </c>
      <c r="I4610" s="322" t="s">
        <v>2916</v>
      </c>
      <c r="J4610" s="418"/>
      <c r="K4610" s="248"/>
      <c r="M4610" s="366"/>
    </row>
    <row r="4611" spans="1:13" x14ac:dyDescent="0.25">
      <c r="A4611" s="308">
        <v>45825</v>
      </c>
      <c r="B4611" s="416">
        <v>2002186</v>
      </c>
      <c r="C4611" s="413" t="str">
        <f>IFERROR(INDEX(Table14[],MATCH($B4611,Table14[SAPNo],0),3),"")</f>
        <v>1313 CT187 U-60</v>
      </c>
      <c r="D4611" s="420" t="s">
        <v>12</v>
      </c>
      <c r="E4611" s="421">
        <v>15</v>
      </c>
      <c r="F4611" s="580"/>
      <c r="G4611" s="417" t="s">
        <v>2926</v>
      </c>
      <c r="H4611" s="598">
        <v>14390151</v>
      </c>
      <c r="I4611" s="322" t="s">
        <v>2916</v>
      </c>
      <c r="J4611" s="418"/>
      <c r="K4611" s="248"/>
      <c r="M4611" s="366"/>
    </row>
    <row r="4612" spans="1:13" x14ac:dyDescent="0.25">
      <c r="A4612" s="308">
        <v>45825</v>
      </c>
      <c r="B4612" s="416">
        <v>1228503</v>
      </c>
      <c r="C4612" s="413" t="str">
        <f>IFERROR(INDEX(Table14[],MATCH($B4612,Table14[SAPNo],0),3),"")</f>
        <v>1618 CT182 U-60 Ring</v>
      </c>
      <c r="D4612" s="420" t="s">
        <v>12</v>
      </c>
      <c r="E4612" s="421">
        <v>10</v>
      </c>
      <c r="F4612" s="580"/>
      <c r="G4612" s="417" t="s">
        <v>2926</v>
      </c>
      <c r="H4612" s="598">
        <v>14390151</v>
      </c>
      <c r="I4612" s="322" t="s">
        <v>2916</v>
      </c>
      <c r="J4612" s="418"/>
      <c r="K4612" s="248"/>
      <c r="M4612" s="366"/>
    </row>
    <row r="4613" spans="1:13" x14ac:dyDescent="0.25">
      <c r="A4613" s="308">
        <v>45825</v>
      </c>
      <c r="B4613" s="416">
        <v>1228501</v>
      </c>
      <c r="C4613" s="413" t="str">
        <f>IFERROR(INDEX(Table14[],MATCH($B4613,Table14[SAPNo],0),3),"")</f>
        <v>1618 CT182 U-60 stator</v>
      </c>
      <c r="D4613" s="420" t="s">
        <v>12</v>
      </c>
      <c r="E4613" s="421">
        <v>10</v>
      </c>
      <c r="F4613" s="580"/>
      <c r="G4613" s="417" t="s">
        <v>2926</v>
      </c>
      <c r="H4613" s="598">
        <v>14390151</v>
      </c>
      <c r="I4613" s="322" t="s">
        <v>2916</v>
      </c>
      <c r="J4613" s="418"/>
      <c r="K4613" s="248"/>
      <c r="M4613" s="366"/>
    </row>
    <row r="4614" spans="1:13" x14ac:dyDescent="0.25">
      <c r="A4614" s="308">
        <v>45825</v>
      </c>
      <c r="B4614" s="416">
        <v>1228502</v>
      </c>
      <c r="C4614" s="413" t="str">
        <f>IFERROR(INDEX(Table14[],MATCH($B4614,Table14[SAPNo],0),3),"")</f>
        <v>1618 CT182 U-60 Rotor</v>
      </c>
      <c r="D4614" s="420" t="s">
        <v>12</v>
      </c>
      <c r="E4614" s="421">
        <v>10</v>
      </c>
      <c r="F4614" s="580"/>
      <c r="G4614" s="417" t="s">
        <v>2926</v>
      </c>
      <c r="H4614" s="598">
        <v>14390151</v>
      </c>
      <c r="I4614" s="322" t="s">
        <v>2916</v>
      </c>
      <c r="J4614" s="418"/>
      <c r="K4614" s="248"/>
      <c r="M4614" s="366"/>
    </row>
    <row r="4615" spans="1:13" x14ac:dyDescent="0.25">
      <c r="A4615" s="308">
        <v>45825</v>
      </c>
      <c r="B4615" s="416">
        <v>2002299</v>
      </c>
      <c r="C4615" s="413" t="str">
        <f>IFERROR(INDEX(Table14[],MATCH($B4615,Table14[SAPNo],0),3),"")</f>
        <v>1613 CT187 U-60</v>
      </c>
      <c r="D4615" s="420" t="s">
        <v>12</v>
      </c>
      <c r="E4615" s="421">
        <v>4</v>
      </c>
      <c r="F4615" s="580"/>
      <c r="G4615" s="417" t="s">
        <v>2926</v>
      </c>
      <c r="H4615" s="598">
        <v>14390151</v>
      </c>
      <c r="I4615" s="322" t="s">
        <v>2916</v>
      </c>
      <c r="J4615" s="418"/>
      <c r="K4615" s="248"/>
      <c r="M4615" s="366"/>
    </row>
    <row r="4616" spans="1:13" x14ac:dyDescent="0.25">
      <c r="A4616" s="308">
        <v>45825</v>
      </c>
      <c r="B4616" s="416">
        <v>871781</v>
      </c>
      <c r="C4616" s="413" t="str">
        <f>IFERROR(INDEX(Table14[],MATCH($B4616,Table14[SAPNo],0),3),"")</f>
        <v>Round 1313 CT200  0.018" (B)</v>
      </c>
      <c r="D4616" s="420" t="s">
        <v>12</v>
      </c>
      <c r="E4616" s="421">
        <v>6</v>
      </c>
      <c r="F4616" s="580"/>
      <c r="G4616" s="417" t="s">
        <v>2926</v>
      </c>
      <c r="H4616" s="598">
        <v>14390151</v>
      </c>
      <c r="I4616" s="322" t="s">
        <v>2916</v>
      </c>
      <c r="J4616" s="418"/>
      <c r="K4616" s="248"/>
      <c r="M4616" s="366"/>
    </row>
    <row r="4617" spans="1:13" x14ac:dyDescent="0.25">
      <c r="A4617" s="308">
        <v>45825</v>
      </c>
      <c r="B4617" s="416">
        <v>1220554</v>
      </c>
      <c r="C4617" s="413" t="str">
        <f>IFERROR(INDEX(Table14[],MATCH($B4617,Table14[SAPNo],0),3),"")</f>
        <v xml:space="preserve">1618 CT182 U-60 Carbide </v>
      </c>
      <c r="D4617" s="420" t="s">
        <v>12</v>
      </c>
      <c r="E4617" s="421">
        <v>10</v>
      </c>
      <c r="F4617" s="580"/>
      <c r="G4617" s="417" t="s">
        <v>2926</v>
      </c>
      <c r="H4617" s="598">
        <v>14390151</v>
      </c>
      <c r="I4617" s="322" t="s">
        <v>2916</v>
      </c>
      <c r="J4617" s="418"/>
      <c r="K4617" s="248"/>
      <c r="M4617" s="366"/>
    </row>
    <row r="4618" spans="1:13" x14ac:dyDescent="0.25">
      <c r="A4618" s="308">
        <v>45825</v>
      </c>
      <c r="B4618" s="416">
        <v>418525</v>
      </c>
      <c r="C4618" s="413" t="str">
        <f>IFERROR(INDEX(Table14[],MATCH($B4618,Table14[SAPNo],0),3),"")</f>
        <v>Drop In 1308 CT31   (B)</v>
      </c>
      <c r="D4618" s="420" t="s">
        <v>12</v>
      </c>
      <c r="E4618" s="421">
        <v>6</v>
      </c>
      <c r="F4618" s="580"/>
      <c r="G4618" s="417" t="s">
        <v>2927</v>
      </c>
      <c r="H4618" s="598" t="s">
        <v>2928</v>
      </c>
      <c r="I4618" s="322" t="s">
        <v>2311</v>
      </c>
      <c r="J4618" s="418"/>
      <c r="K4618" s="248"/>
      <c r="M4618" s="366"/>
    </row>
    <row r="4619" spans="1:13" x14ac:dyDescent="0.25">
      <c r="A4619" s="308">
        <v>45825</v>
      </c>
      <c r="B4619" s="416">
        <v>1146737</v>
      </c>
      <c r="C4619" s="413" t="str">
        <f>IFERROR(INDEX(Table14[],MATCH($B4619,Table14[SAPNo],0),3),"")</f>
        <v>1613 CT418 18-60</v>
      </c>
      <c r="D4619" s="420" t="s">
        <v>12</v>
      </c>
      <c r="E4619" s="421">
        <v>6</v>
      </c>
      <c r="F4619" s="580"/>
      <c r="G4619" s="417" t="s">
        <v>2927</v>
      </c>
      <c r="H4619" s="598" t="s">
        <v>2928</v>
      </c>
      <c r="I4619" s="322" t="s">
        <v>2311</v>
      </c>
      <c r="J4619" s="418"/>
      <c r="K4619" s="248"/>
      <c r="M4619" s="366"/>
    </row>
    <row r="4620" spans="1:13" x14ac:dyDescent="0.25">
      <c r="A4620" s="308">
        <v>45825</v>
      </c>
      <c r="B4620" s="416">
        <v>1208601</v>
      </c>
      <c r="C4620" s="413" t="str">
        <f>IFERROR(INDEX(Table14[],MATCH($B4620,Table14[SAPNo],0),3),"")</f>
        <v>1613 CT418 U-60</v>
      </c>
      <c r="D4620" s="420" t="s">
        <v>12</v>
      </c>
      <c r="E4620" s="421">
        <v>1</v>
      </c>
      <c r="F4620" s="580"/>
      <c r="G4620" s="417" t="s">
        <v>2927</v>
      </c>
      <c r="H4620" s="598" t="s">
        <v>2928</v>
      </c>
      <c r="I4620" s="322" t="s">
        <v>2311</v>
      </c>
      <c r="J4620" s="418"/>
      <c r="K4620" s="248"/>
      <c r="M4620" s="366"/>
    </row>
    <row r="4621" spans="1:13" x14ac:dyDescent="0.25">
      <c r="A4621" s="308">
        <v>45826</v>
      </c>
      <c r="B4621" s="416">
        <v>717748</v>
      </c>
      <c r="C4621" s="413" t="str">
        <f>IFERROR(INDEX(Table14[],MATCH($B4621,Table14[SAPNo],0),3),"")</f>
        <v>Round 1010 CT200  0.018" (B)</v>
      </c>
      <c r="D4621" s="420" t="s">
        <v>12</v>
      </c>
      <c r="E4621" s="421">
        <v>1</v>
      </c>
      <c r="F4621" s="580"/>
      <c r="G4621" s="417">
        <v>20251082</v>
      </c>
      <c r="H4621" s="598" t="s">
        <v>2925</v>
      </c>
      <c r="I4621" s="322" t="s">
        <v>1069</v>
      </c>
      <c r="J4621" s="418"/>
      <c r="K4621" s="248" t="s">
        <v>2546</v>
      </c>
      <c r="M4621" s="366"/>
    </row>
    <row r="4622" spans="1:13" x14ac:dyDescent="0.25">
      <c r="A4622" s="308">
        <v>45826</v>
      </c>
      <c r="B4622" s="416">
        <v>2001060</v>
      </c>
      <c r="C4622" s="413" t="str">
        <f>IFERROR(INDEX(Table14[],MATCH($B4622,Table14[SAPNo],0),3),"")</f>
        <v>1613 CT179T U-60</v>
      </c>
      <c r="D4622" s="420" t="s">
        <v>12</v>
      </c>
      <c r="E4622" s="421">
        <v>10</v>
      </c>
      <c r="F4622" s="580"/>
      <c r="G4622" s="417" t="s">
        <v>2929</v>
      </c>
      <c r="H4622" s="598">
        <v>14387332</v>
      </c>
      <c r="I4622" s="322" t="s">
        <v>2930</v>
      </c>
      <c r="J4622" s="418"/>
      <c r="K4622" s="248"/>
      <c r="M4622" s="366"/>
    </row>
    <row r="4623" spans="1:13" x14ac:dyDescent="0.25">
      <c r="A4623" s="308">
        <v>45826</v>
      </c>
      <c r="B4623" s="416">
        <v>1288783</v>
      </c>
      <c r="C4623" s="413" t="str">
        <f>IFERROR(INDEX(Table14[],MATCH($B4623,Table14[SAPNo],0),3),"")</f>
        <v>1613 CT179 18-60</v>
      </c>
      <c r="D4623" s="420" t="s">
        <v>12</v>
      </c>
      <c r="E4623" s="421">
        <v>5</v>
      </c>
      <c r="F4623" s="580"/>
      <c r="G4623" s="417" t="s">
        <v>2929</v>
      </c>
      <c r="H4623" s="598">
        <v>14387332</v>
      </c>
      <c r="I4623" s="322" t="s">
        <v>2930</v>
      </c>
      <c r="J4623" s="418"/>
      <c r="K4623" s="248"/>
      <c r="M4623" s="366"/>
    </row>
    <row r="4624" spans="1:13" x14ac:dyDescent="0.25">
      <c r="A4624" s="308">
        <v>45826</v>
      </c>
      <c r="B4624" s="416">
        <v>1208601</v>
      </c>
      <c r="C4624" s="413" t="str">
        <f>IFERROR(INDEX(Table14[],MATCH($B4624,Table14[SAPNo],0),3),"")</f>
        <v>1613 CT418 U-60</v>
      </c>
      <c r="D4624" s="420" t="s">
        <v>12</v>
      </c>
      <c r="E4624" s="421">
        <v>8</v>
      </c>
      <c r="F4624" s="580"/>
      <c r="G4624" s="417" t="s">
        <v>2929</v>
      </c>
      <c r="H4624" s="598">
        <v>14387332</v>
      </c>
      <c r="I4624" s="322" t="s">
        <v>2930</v>
      </c>
      <c r="J4624" s="418"/>
      <c r="K4624" s="248"/>
      <c r="M4624" s="366"/>
    </row>
    <row r="4625" spans="1:13" x14ac:dyDescent="0.25">
      <c r="A4625" s="308">
        <v>45826</v>
      </c>
      <c r="B4625" s="416">
        <v>1146737</v>
      </c>
      <c r="C4625" s="413" t="str">
        <f>IFERROR(INDEX(Table14[],MATCH($B4625,Table14[SAPNo],0),3),"")</f>
        <v>1613 CT418 18-60</v>
      </c>
      <c r="D4625" s="420" t="s">
        <v>12</v>
      </c>
      <c r="E4625" s="421">
        <v>10</v>
      </c>
      <c r="F4625" s="580"/>
      <c r="G4625" s="417" t="s">
        <v>2929</v>
      </c>
      <c r="H4625" s="598">
        <v>14387332</v>
      </c>
      <c r="I4625" s="322" t="s">
        <v>2930</v>
      </c>
      <c r="J4625" s="418"/>
      <c r="K4625" s="248"/>
      <c r="M4625" s="366"/>
    </row>
    <row r="4626" spans="1:13" x14ac:dyDescent="0.25">
      <c r="A4626" s="308">
        <v>45826</v>
      </c>
      <c r="B4626" s="416">
        <v>871781</v>
      </c>
      <c r="C4626" s="413" t="str">
        <f>IFERROR(INDEX(Table14[],MATCH($B4626,Table14[SAPNo],0),3),"")</f>
        <v>Round 1313 CT200  0.018" (B)</v>
      </c>
      <c r="D4626" s="420" t="s">
        <v>12</v>
      </c>
      <c r="E4626" s="421">
        <v>5</v>
      </c>
      <c r="F4626" s="580"/>
      <c r="G4626" s="417" t="s">
        <v>2929</v>
      </c>
      <c r="H4626" s="598">
        <v>14387332</v>
      </c>
      <c r="I4626" s="322" t="s">
        <v>2930</v>
      </c>
      <c r="J4626" s="418"/>
      <c r="K4626" s="248"/>
      <c r="M4626" s="366"/>
    </row>
    <row r="4627" spans="1:13" x14ac:dyDescent="0.25">
      <c r="A4627" s="308">
        <v>45826</v>
      </c>
      <c r="B4627" s="416">
        <v>1146346</v>
      </c>
      <c r="C4627" s="413" t="str">
        <f>IFERROR(INDEX(Table14[],MATCH($B4627,Table14[SAPNo],0),3),"")</f>
        <v>1313 CT418 18-60</v>
      </c>
      <c r="D4627" s="420" t="s">
        <v>12</v>
      </c>
      <c r="E4627" s="421">
        <v>10</v>
      </c>
      <c r="F4627" s="580"/>
      <c r="G4627" s="417" t="s">
        <v>2929</v>
      </c>
      <c r="H4627" s="598">
        <v>14387332</v>
      </c>
      <c r="I4627" s="322" t="s">
        <v>2930</v>
      </c>
      <c r="J4627" s="418"/>
      <c r="K4627" s="248"/>
      <c r="M4627" s="366"/>
    </row>
    <row r="4628" spans="1:13" x14ac:dyDescent="0.25">
      <c r="A4628" s="308">
        <v>45826</v>
      </c>
      <c r="B4628" s="416">
        <v>1208601</v>
      </c>
      <c r="C4628" s="413" t="str">
        <f>IFERROR(INDEX(Table14[],MATCH($B4628,Table14[SAPNo],0),3),"")</f>
        <v>1613 CT418 U-60</v>
      </c>
      <c r="D4628" s="420" t="s">
        <v>12</v>
      </c>
      <c r="E4628" s="421">
        <v>11</v>
      </c>
      <c r="F4628" s="580"/>
      <c r="G4628" s="417" t="s">
        <v>2931</v>
      </c>
      <c r="H4628" s="598">
        <v>14305485</v>
      </c>
      <c r="I4628" s="322" t="s">
        <v>2932</v>
      </c>
      <c r="J4628" s="418"/>
      <c r="K4628" s="248"/>
      <c r="M4628" s="366"/>
    </row>
    <row r="4629" spans="1:13" x14ac:dyDescent="0.25">
      <c r="A4629" s="308">
        <v>45826</v>
      </c>
      <c r="B4629" s="416">
        <v>871781</v>
      </c>
      <c r="C4629" s="413" t="str">
        <f>IFERROR(INDEX(Table14[],MATCH($B4629,Table14[SAPNo],0),3),"")</f>
        <v>Round 1313 CT200  0.018" (B)</v>
      </c>
      <c r="D4629" s="420" t="s">
        <v>12</v>
      </c>
      <c r="E4629" s="421">
        <v>7</v>
      </c>
      <c r="F4629" s="580"/>
      <c r="G4629" s="417" t="s">
        <v>2931</v>
      </c>
      <c r="H4629" s="598">
        <v>14305485</v>
      </c>
      <c r="I4629" s="322" t="s">
        <v>2932</v>
      </c>
      <c r="J4629" s="418"/>
      <c r="K4629" s="248"/>
      <c r="M4629" s="366"/>
    </row>
    <row r="4630" spans="1:13" x14ac:dyDescent="0.25">
      <c r="A4630" s="308">
        <v>45826</v>
      </c>
      <c r="B4630" s="416">
        <v>1199265</v>
      </c>
      <c r="C4630" s="413" t="str">
        <f>IFERROR(INDEX(Table14[],MATCH($B4630,Table14[SAPNo],0),3),"")</f>
        <v>1613 CT158 18C</v>
      </c>
      <c r="D4630" s="420" t="s">
        <v>12</v>
      </c>
      <c r="E4630" s="421">
        <v>21</v>
      </c>
      <c r="F4630" s="580"/>
      <c r="G4630" s="417" t="s">
        <v>2931</v>
      </c>
      <c r="H4630" s="598">
        <v>14305485</v>
      </c>
      <c r="I4630" s="322" t="s">
        <v>2932</v>
      </c>
      <c r="J4630" s="418"/>
      <c r="K4630" s="248"/>
      <c r="M4630" s="366"/>
    </row>
    <row r="4631" spans="1:13" x14ac:dyDescent="0.25">
      <c r="A4631" s="308">
        <v>45826</v>
      </c>
      <c r="B4631" s="416">
        <v>1296685</v>
      </c>
      <c r="C4631" s="413" t="str">
        <f>IFERROR(INDEX(Table14[],MATCH($B4631,Table14[SAPNo],0),3),"")</f>
        <v>1613 CT179R U</v>
      </c>
      <c r="D4631" s="420" t="s">
        <v>12</v>
      </c>
      <c r="E4631" s="421">
        <v>30</v>
      </c>
      <c r="F4631" s="580"/>
      <c r="G4631" s="417" t="s">
        <v>2931</v>
      </c>
      <c r="H4631" s="598">
        <v>14305485</v>
      </c>
      <c r="I4631" s="322" t="s">
        <v>2932</v>
      </c>
      <c r="J4631" s="418"/>
      <c r="K4631" s="248"/>
      <c r="M4631" s="366"/>
    </row>
    <row r="4632" spans="1:13" x14ac:dyDescent="0.25">
      <c r="A4632" s="308">
        <v>45826</v>
      </c>
      <c r="B4632" s="416">
        <v>1146737</v>
      </c>
      <c r="C4632" s="413" t="str">
        <f>IFERROR(INDEX(Table14[],MATCH($B4632,Table14[SAPNo],0),3),"")</f>
        <v>1613 CT418 18-60</v>
      </c>
      <c r="D4632" s="420" t="s">
        <v>12</v>
      </c>
      <c r="E4632" s="421">
        <v>8</v>
      </c>
      <c r="F4632" s="580"/>
      <c r="G4632" s="417" t="s">
        <v>2931</v>
      </c>
      <c r="H4632" s="598">
        <v>14305485</v>
      </c>
      <c r="I4632" s="322" t="s">
        <v>2932</v>
      </c>
      <c r="J4632" s="418"/>
      <c r="K4632" s="248"/>
      <c r="M4632" s="366"/>
    </row>
    <row r="4633" spans="1:13" x14ac:dyDescent="0.25">
      <c r="A4633" s="308">
        <v>45826</v>
      </c>
      <c r="B4633" s="416">
        <v>625854</v>
      </c>
      <c r="C4633" s="413" t="str">
        <f>IFERROR(INDEX(Table14[],MATCH($B4633,Table14[SAPNo],0),3),"")</f>
        <v>Carbide IA 1318    (C)</v>
      </c>
      <c r="D4633" s="420" t="s">
        <v>12</v>
      </c>
      <c r="E4633" s="421">
        <v>6</v>
      </c>
      <c r="F4633" s="580"/>
      <c r="G4633" s="417" t="s">
        <v>2931</v>
      </c>
      <c r="H4633" s="598">
        <v>14305485</v>
      </c>
      <c r="I4633" s="322" t="s">
        <v>2932</v>
      </c>
      <c r="J4633" s="418"/>
      <c r="K4633" s="248"/>
      <c r="M4633" s="366"/>
    </row>
    <row r="4634" spans="1:13" x14ac:dyDescent="0.25">
      <c r="A4634" s="308">
        <v>45826</v>
      </c>
      <c r="B4634" s="416">
        <v>1288783</v>
      </c>
      <c r="C4634" s="413" t="str">
        <f>IFERROR(INDEX(Table14[],MATCH($B4634,Table14[SAPNo],0),3),"")</f>
        <v>1613 CT179 18-60</v>
      </c>
      <c r="D4634" s="420" t="s">
        <v>12</v>
      </c>
      <c r="E4634" s="421">
        <v>6</v>
      </c>
      <c r="F4634" s="580"/>
      <c r="G4634" s="417" t="s">
        <v>2931</v>
      </c>
      <c r="H4634" s="598">
        <v>14305485</v>
      </c>
      <c r="I4634" s="322" t="s">
        <v>2932</v>
      </c>
      <c r="J4634" s="418"/>
      <c r="K4634" s="248"/>
      <c r="M4634" s="366"/>
    </row>
    <row r="4635" spans="1:13" x14ac:dyDescent="0.25">
      <c r="A4635" s="308">
        <v>45826</v>
      </c>
      <c r="B4635" s="416">
        <v>1078377</v>
      </c>
      <c r="C4635" s="413" t="str">
        <f>IFERROR(INDEX(Table14[],MATCH($B4635,Table14[SAPNo],0),3),"")</f>
        <v>13MM CT221 R1</v>
      </c>
      <c r="D4635" s="420" t="s">
        <v>12</v>
      </c>
      <c r="E4635" s="421">
        <v>15</v>
      </c>
      <c r="F4635" s="580"/>
      <c r="G4635" s="417" t="s">
        <v>2933</v>
      </c>
      <c r="H4635" s="598">
        <v>14369053</v>
      </c>
      <c r="I4635" s="322" t="s">
        <v>2934</v>
      </c>
      <c r="J4635" s="418"/>
      <c r="K4635" s="248"/>
      <c r="M4635" s="366"/>
    </row>
    <row r="4636" spans="1:13" x14ac:dyDescent="0.25">
      <c r="A4636" s="308">
        <v>45826</v>
      </c>
      <c r="B4636" s="416">
        <v>1288783</v>
      </c>
      <c r="C4636" s="413" t="str">
        <f>IFERROR(INDEX(Table14[],MATCH($B4636,Table14[SAPNo],0),3),"")</f>
        <v>1613 CT179 18-60</v>
      </c>
      <c r="D4636" s="420" t="s">
        <v>12</v>
      </c>
      <c r="E4636" s="421">
        <v>17</v>
      </c>
      <c r="F4636" s="580"/>
      <c r="G4636" s="417" t="s">
        <v>2933</v>
      </c>
      <c r="H4636" s="598">
        <v>14369053</v>
      </c>
      <c r="I4636" s="322" t="s">
        <v>2934</v>
      </c>
      <c r="J4636" s="418"/>
      <c r="K4636" s="248"/>
      <c r="M4636" s="366"/>
    </row>
    <row r="4637" spans="1:13" x14ac:dyDescent="0.25">
      <c r="A4637" s="308">
        <v>45826</v>
      </c>
      <c r="B4637" s="416">
        <v>1208601</v>
      </c>
      <c r="C4637" s="413" t="str">
        <f>IFERROR(INDEX(Table14[],MATCH($B4637,Table14[SAPNo],0),3),"")</f>
        <v>1613 CT418 U-60</v>
      </c>
      <c r="D4637" s="420" t="s">
        <v>12</v>
      </c>
      <c r="E4637" s="421">
        <v>8</v>
      </c>
      <c r="F4637" s="580"/>
      <c r="G4637" s="417" t="s">
        <v>2933</v>
      </c>
      <c r="H4637" s="598">
        <v>14369053</v>
      </c>
      <c r="I4637" s="322" t="s">
        <v>2934</v>
      </c>
      <c r="J4637" s="418"/>
      <c r="K4637" s="248"/>
      <c r="M4637" s="366"/>
    </row>
    <row r="4638" spans="1:13" x14ac:dyDescent="0.25">
      <c r="A4638" s="308">
        <v>45826</v>
      </c>
      <c r="B4638" s="416">
        <v>1146737</v>
      </c>
      <c r="C4638" s="413" t="str">
        <f>IFERROR(INDEX(Table14[],MATCH($B4638,Table14[SAPNo],0),3),"")</f>
        <v>1613 CT418 18-60</v>
      </c>
      <c r="D4638" s="420" t="s">
        <v>12</v>
      </c>
      <c r="E4638" s="421">
        <v>6</v>
      </c>
      <c r="F4638" s="580"/>
      <c r="G4638" s="417" t="s">
        <v>2933</v>
      </c>
      <c r="H4638" s="598">
        <v>14369053</v>
      </c>
      <c r="I4638" s="322" t="s">
        <v>2934</v>
      </c>
      <c r="J4638" s="418"/>
      <c r="K4638" s="248"/>
      <c r="M4638" s="366"/>
    </row>
    <row r="4639" spans="1:13" x14ac:dyDescent="0.25">
      <c r="A4639" s="308">
        <v>45826</v>
      </c>
      <c r="B4639" s="416">
        <v>418525</v>
      </c>
      <c r="C4639" s="413" t="str">
        <f>IFERROR(INDEX(Table14[],MATCH($B4639,Table14[SAPNo],0),3),"")</f>
        <v>Drop In 1308 CT31   (B)</v>
      </c>
      <c r="D4639" s="420" t="s">
        <v>12</v>
      </c>
      <c r="E4639" s="421">
        <v>6</v>
      </c>
      <c r="F4639" s="580"/>
      <c r="G4639" s="417" t="s">
        <v>2933</v>
      </c>
      <c r="H4639" s="598">
        <v>14369053</v>
      </c>
      <c r="I4639" s="322" t="s">
        <v>2934</v>
      </c>
      <c r="J4639" s="418"/>
      <c r="K4639" s="248"/>
      <c r="M4639" s="366"/>
    </row>
    <row r="4640" spans="1:13" x14ac:dyDescent="0.25">
      <c r="A4640" s="308">
        <v>45827</v>
      </c>
      <c r="B4640" s="416">
        <v>1244299</v>
      </c>
      <c r="C4640" s="413" t="str">
        <f>IFERROR(INDEX(Table14[],MATCH($B4640,Table14[SAPNo],0),3),"")</f>
        <v>1313 CT147CV4 U</v>
      </c>
      <c r="D4640" s="420" t="s">
        <v>12</v>
      </c>
      <c r="E4640" s="421">
        <v>1</v>
      </c>
      <c r="F4640" s="580"/>
      <c r="G4640" s="417">
        <v>20251081</v>
      </c>
      <c r="H4640" s="598" t="s">
        <v>2935</v>
      </c>
      <c r="I4640" s="322" t="s">
        <v>2449</v>
      </c>
      <c r="J4640" s="418"/>
      <c r="K4640" s="248"/>
      <c r="M4640" s="366"/>
    </row>
    <row r="4641" spans="1:13" x14ac:dyDescent="0.25">
      <c r="A4641" s="308">
        <v>45827</v>
      </c>
      <c r="B4641" s="416">
        <v>1146346</v>
      </c>
      <c r="C4641" s="413" t="str">
        <f>IFERROR(INDEX(Table14[],MATCH($B4641,Table14[SAPNo],0),3),"")</f>
        <v>1313 CT418 18-60</v>
      </c>
      <c r="D4641" s="420" t="s">
        <v>12</v>
      </c>
      <c r="E4641" s="421">
        <v>1</v>
      </c>
      <c r="F4641" s="580"/>
      <c r="G4641" s="417">
        <v>20251081</v>
      </c>
      <c r="H4641" s="598" t="s">
        <v>2935</v>
      </c>
      <c r="I4641" s="322" t="s">
        <v>2449</v>
      </c>
      <c r="J4641" s="418"/>
      <c r="K4641" s="248"/>
      <c r="M4641" s="366"/>
    </row>
    <row r="4642" spans="1:13" x14ac:dyDescent="0.25">
      <c r="A4642" s="308">
        <v>45827</v>
      </c>
      <c r="B4642" s="416">
        <v>1078377</v>
      </c>
      <c r="C4642" s="413" t="str">
        <f>IFERROR(INDEX(Table14[],MATCH($B4642,Table14[SAPNo],0),3),"")</f>
        <v>13MM CT221 R1</v>
      </c>
      <c r="D4642" s="420" t="s">
        <v>12</v>
      </c>
      <c r="E4642" s="421">
        <v>15</v>
      </c>
      <c r="F4642" s="580"/>
      <c r="G4642" s="417" t="s">
        <v>2936</v>
      </c>
      <c r="H4642" s="598">
        <v>14369049</v>
      </c>
      <c r="I4642" s="322" t="s">
        <v>2934</v>
      </c>
      <c r="J4642" s="418"/>
      <c r="K4642" s="248"/>
      <c r="M4642" s="366"/>
    </row>
    <row r="4643" spans="1:13" x14ac:dyDescent="0.25">
      <c r="A4643" s="308">
        <v>45827</v>
      </c>
      <c r="B4643" s="416">
        <v>1288783</v>
      </c>
      <c r="C4643" s="413" t="str">
        <f>IFERROR(INDEX(Table14[],MATCH($B4643,Table14[SAPNo],0),3),"")</f>
        <v>1613 CT179 18-60</v>
      </c>
      <c r="D4643" s="420" t="s">
        <v>12</v>
      </c>
      <c r="E4643" s="421">
        <v>17</v>
      </c>
      <c r="F4643" s="580"/>
      <c r="G4643" s="417" t="s">
        <v>2936</v>
      </c>
      <c r="H4643" s="598">
        <v>14369049</v>
      </c>
      <c r="I4643" s="322" t="s">
        <v>2934</v>
      </c>
      <c r="J4643" s="418"/>
      <c r="K4643" s="248"/>
      <c r="M4643" s="366"/>
    </row>
    <row r="4644" spans="1:13" x14ac:dyDescent="0.25">
      <c r="A4644" s="308">
        <v>45827</v>
      </c>
      <c r="B4644" s="416">
        <v>1208601</v>
      </c>
      <c r="C4644" s="413" t="str">
        <f>IFERROR(INDEX(Table14[],MATCH($B4644,Table14[SAPNo],0),3),"")</f>
        <v>1613 CT418 U-60</v>
      </c>
      <c r="D4644" s="420" t="s">
        <v>12</v>
      </c>
      <c r="E4644" s="421">
        <v>8</v>
      </c>
      <c r="F4644" s="580"/>
      <c r="G4644" s="417" t="s">
        <v>2936</v>
      </c>
      <c r="H4644" s="598">
        <v>14369049</v>
      </c>
      <c r="I4644" s="322" t="s">
        <v>2934</v>
      </c>
      <c r="J4644" s="418"/>
      <c r="K4644" s="248"/>
      <c r="M4644" s="366"/>
    </row>
    <row r="4645" spans="1:13" x14ac:dyDescent="0.25">
      <c r="A4645" s="308">
        <v>45827</v>
      </c>
      <c r="B4645" s="416">
        <v>418525</v>
      </c>
      <c r="C4645" s="413" t="str">
        <f>IFERROR(INDEX(Table14[],MATCH($B4645,Table14[SAPNo],0),3),"")</f>
        <v>Drop In 1308 CT31   (B)</v>
      </c>
      <c r="D4645" s="420" t="s">
        <v>12</v>
      </c>
      <c r="E4645" s="421">
        <v>6</v>
      </c>
      <c r="F4645" s="580"/>
      <c r="G4645" s="417" t="s">
        <v>2936</v>
      </c>
      <c r="H4645" s="598">
        <v>14369049</v>
      </c>
      <c r="I4645" s="322" t="s">
        <v>2934</v>
      </c>
      <c r="J4645" s="418"/>
      <c r="K4645" s="248"/>
      <c r="M4645" s="366"/>
    </row>
    <row r="4646" spans="1:13" x14ac:dyDescent="0.25">
      <c r="A4646" s="308">
        <v>45827</v>
      </c>
      <c r="B4646" s="416">
        <v>1146737</v>
      </c>
      <c r="C4646" s="413" t="str">
        <f>IFERROR(INDEX(Table14[],MATCH($B4646,Table14[SAPNo],0),3),"")</f>
        <v>1613 CT418 18-60</v>
      </c>
      <c r="D4646" s="420" t="s">
        <v>12</v>
      </c>
      <c r="E4646" s="421">
        <v>6</v>
      </c>
      <c r="F4646" s="580"/>
      <c r="G4646" s="417" t="s">
        <v>2936</v>
      </c>
      <c r="H4646" s="598">
        <v>14369049</v>
      </c>
      <c r="I4646" s="322" t="s">
        <v>2934</v>
      </c>
      <c r="J4646" s="418"/>
      <c r="K4646" s="248"/>
      <c r="M4646" s="366"/>
    </row>
    <row r="4647" spans="1:13" x14ac:dyDescent="0.25">
      <c r="A4647" s="308">
        <v>45827</v>
      </c>
      <c r="B4647" s="416">
        <v>1201518</v>
      </c>
      <c r="C4647" s="413" t="str">
        <f>IFERROR(INDEX(Table14[],MATCH($B4647,Table14[SAPNo],0),3),"")</f>
        <v>12MM WC­MAT404 NA</v>
      </c>
      <c r="D4647" s="420" t="s">
        <v>12</v>
      </c>
      <c r="E4647" s="421">
        <v>3</v>
      </c>
      <c r="F4647" s="580"/>
      <c r="G4647" s="417" t="s">
        <v>2937</v>
      </c>
      <c r="H4647" s="598">
        <v>14320871</v>
      </c>
      <c r="I4647" s="322" t="s">
        <v>2918</v>
      </c>
      <c r="J4647" s="418"/>
      <c r="K4647" s="248"/>
      <c r="M4647" s="366"/>
    </row>
    <row r="4648" spans="1:13" x14ac:dyDescent="0.25">
      <c r="A4648" s="308">
        <v>45827</v>
      </c>
      <c r="B4648" s="416">
        <v>2002299</v>
      </c>
      <c r="C4648" s="413" t="str">
        <f>IFERROR(INDEX(Table14[],MATCH($B4648,Table14[SAPNo],0),3),"")</f>
        <v>1613 CT187 U-60</v>
      </c>
      <c r="D4648" s="420" t="s">
        <v>12</v>
      </c>
      <c r="E4648" s="421">
        <v>20</v>
      </c>
      <c r="F4648" s="580"/>
      <c r="G4648" s="417" t="s">
        <v>2937</v>
      </c>
      <c r="H4648" s="598">
        <v>14320871</v>
      </c>
      <c r="I4648" s="322" t="s">
        <v>2918</v>
      </c>
      <c r="J4648" s="418"/>
      <c r="K4648" s="248"/>
      <c r="M4648" s="366"/>
    </row>
    <row r="4649" spans="1:13" x14ac:dyDescent="0.25">
      <c r="A4649" s="308">
        <v>45827</v>
      </c>
      <c r="B4649" s="416">
        <v>738227</v>
      </c>
      <c r="C4649" s="413" t="str">
        <f>IFERROR(INDEX(Table14[],MATCH($B4649,Table14[SAPNo],0),3),"")</f>
        <v>Round 1308 CR31  0.018" (T)</v>
      </c>
      <c r="D4649" s="420" t="s">
        <v>12</v>
      </c>
      <c r="E4649" s="421">
        <v>22</v>
      </c>
      <c r="F4649" s="580"/>
      <c r="G4649" s="417" t="s">
        <v>2937</v>
      </c>
      <c r="H4649" s="598">
        <v>14320871</v>
      </c>
      <c r="I4649" s="322" t="s">
        <v>2918</v>
      </c>
      <c r="J4649" s="418"/>
      <c r="K4649" s="248"/>
      <c r="M4649" s="366"/>
    </row>
    <row r="4650" spans="1:13" x14ac:dyDescent="0.25">
      <c r="A4650" s="308">
        <v>45827</v>
      </c>
      <c r="B4650" s="416">
        <v>1228501</v>
      </c>
      <c r="C4650" s="413" t="str">
        <f>IFERROR(INDEX(Table14[],MATCH($B4650,Table14[SAPNo],0),3),"")</f>
        <v>1618 CT182 U-60 stator</v>
      </c>
      <c r="D4650" s="420" t="s">
        <v>12</v>
      </c>
      <c r="E4650" s="421">
        <v>14</v>
      </c>
      <c r="F4650" s="580"/>
      <c r="G4650" s="417" t="s">
        <v>2937</v>
      </c>
      <c r="H4650" s="598">
        <v>14320871</v>
      </c>
      <c r="I4650" s="322" t="s">
        <v>2918</v>
      </c>
      <c r="J4650" s="418"/>
      <c r="K4650" s="248"/>
      <c r="M4650" s="366"/>
    </row>
    <row r="4651" spans="1:13" x14ac:dyDescent="0.25">
      <c r="A4651" s="308">
        <v>45827</v>
      </c>
      <c r="B4651" s="416">
        <v>1228503</v>
      </c>
      <c r="C4651" s="413" t="str">
        <f>IFERROR(INDEX(Table14[],MATCH($B4651,Table14[SAPNo],0),3),"")</f>
        <v>1618 CT182 U-60 Ring</v>
      </c>
      <c r="D4651" s="420" t="s">
        <v>12</v>
      </c>
      <c r="E4651" s="421">
        <v>14</v>
      </c>
      <c r="F4651" s="580"/>
      <c r="G4651" s="417" t="s">
        <v>2937</v>
      </c>
      <c r="H4651" s="598">
        <v>14320871</v>
      </c>
      <c r="I4651" s="322" t="s">
        <v>2918</v>
      </c>
      <c r="J4651" s="418"/>
      <c r="K4651" s="248"/>
      <c r="M4651" s="366"/>
    </row>
    <row r="4652" spans="1:13" x14ac:dyDescent="0.25">
      <c r="A4652" s="308">
        <v>45827</v>
      </c>
      <c r="B4652" s="416">
        <v>871781</v>
      </c>
      <c r="C4652" s="413" t="str">
        <f>IFERROR(INDEX(Table14[],MATCH($B4652,Table14[SAPNo],0),3),"")</f>
        <v>Round 1313 CT200  0.018" (B)</v>
      </c>
      <c r="D4652" s="420" t="s">
        <v>12</v>
      </c>
      <c r="E4652" s="421">
        <v>6</v>
      </c>
      <c r="F4652" s="580"/>
      <c r="G4652" s="417" t="s">
        <v>2937</v>
      </c>
      <c r="H4652" s="598">
        <v>14320871</v>
      </c>
      <c r="I4652" s="322" t="s">
        <v>2918</v>
      </c>
      <c r="J4652" s="418"/>
      <c r="K4652" s="248"/>
      <c r="M4652" s="366"/>
    </row>
    <row r="4653" spans="1:13" x14ac:dyDescent="0.25">
      <c r="A4653" s="308">
        <v>45827</v>
      </c>
      <c r="B4653" s="416">
        <v>1228502</v>
      </c>
      <c r="C4653" s="413" t="str">
        <f>IFERROR(INDEX(Table14[],MATCH($B4653,Table14[SAPNo],0),3),"")</f>
        <v>1618 CT182 U-60 Rotor</v>
      </c>
      <c r="D4653" s="420" t="s">
        <v>12</v>
      </c>
      <c r="E4653" s="421">
        <v>14</v>
      </c>
      <c r="F4653" s="580"/>
      <c r="G4653" s="417" t="s">
        <v>2937</v>
      </c>
      <c r="H4653" s="598">
        <v>14320871</v>
      </c>
      <c r="I4653" s="322" t="s">
        <v>2918</v>
      </c>
      <c r="J4653" s="418"/>
      <c r="K4653" s="248"/>
      <c r="M4653" s="366"/>
    </row>
    <row r="4654" spans="1:13" x14ac:dyDescent="0.25">
      <c r="A4654" s="308">
        <v>45827</v>
      </c>
      <c r="B4654" s="416">
        <v>1130198</v>
      </c>
      <c r="C4654" s="413" t="str">
        <f>IFERROR(INDEX(Table14[],MATCH($B4654,Table14[SAPNo],0),3),"")</f>
        <v>Round 1613 CT182  0.018" (S)</v>
      </c>
      <c r="D4654" s="420" t="s">
        <v>1072</v>
      </c>
      <c r="E4654" s="421">
        <v>7</v>
      </c>
      <c r="F4654" s="580"/>
      <c r="G4654" s="417" t="s">
        <v>2937</v>
      </c>
      <c r="H4654" s="598">
        <v>14320871</v>
      </c>
      <c r="I4654" s="322" t="s">
        <v>2918</v>
      </c>
      <c r="J4654" s="418"/>
      <c r="K4654" s="248"/>
      <c r="M4654" s="366"/>
    </row>
    <row r="4655" spans="1:13" x14ac:dyDescent="0.25">
      <c r="A4655" s="308">
        <v>45827</v>
      </c>
      <c r="B4655" s="416">
        <v>1220554</v>
      </c>
      <c r="C4655" s="413" t="str">
        <f>IFERROR(INDEX(Table14[],MATCH($B4655,Table14[SAPNo],0),3),"")</f>
        <v xml:space="preserve">1618 CT182 U-60 Carbide </v>
      </c>
      <c r="D4655" s="420" t="s">
        <v>12</v>
      </c>
      <c r="E4655" s="421">
        <v>14</v>
      </c>
      <c r="F4655" s="580"/>
      <c r="G4655" s="417" t="s">
        <v>2937</v>
      </c>
      <c r="H4655" s="598">
        <v>14320871</v>
      </c>
      <c r="I4655" s="322" t="s">
        <v>2918</v>
      </c>
      <c r="J4655" s="418"/>
      <c r="K4655" s="248"/>
      <c r="M4655" s="366"/>
    </row>
    <row r="4656" spans="1:13" x14ac:dyDescent="0.25">
      <c r="A4656" s="320">
        <v>45827</v>
      </c>
      <c r="B4656" s="419">
        <v>1078377</v>
      </c>
      <c r="C4656" s="413" t="str">
        <f>IFERROR(INDEX(Table14[],MATCH($B4656,Table14[SAPNo],0),3),"")</f>
        <v>13MM CT221 R1</v>
      </c>
      <c r="D4656" s="420" t="s">
        <v>12</v>
      </c>
      <c r="E4656" s="421">
        <v>2</v>
      </c>
      <c r="F4656" s="580"/>
      <c r="G4656" s="420" t="s">
        <v>2927</v>
      </c>
      <c r="H4656" s="599" t="s">
        <v>2928</v>
      </c>
      <c r="I4656" s="322" t="s">
        <v>2311</v>
      </c>
      <c r="J4656" s="421"/>
      <c r="K4656" s="422" t="s">
        <v>2546</v>
      </c>
      <c r="M4656" s="366"/>
    </row>
    <row r="4657" spans="1:13" x14ac:dyDescent="0.25">
      <c r="A4657" s="320">
        <v>45830</v>
      </c>
      <c r="B4657" s="419">
        <v>717748</v>
      </c>
      <c r="C4657" s="413" t="str">
        <f>IFERROR(INDEX(Table14[],MATCH($B4657,Table14[SAPNo],0),3),"")</f>
        <v>Round 1010 CT200  0.018" (B)</v>
      </c>
      <c r="D4657" s="420" t="s">
        <v>12</v>
      </c>
      <c r="E4657" s="421">
        <v>23</v>
      </c>
      <c r="F4657" s="421"/>
      <c r="G4657" s="420" t="s">
        <v>2938</v>
      </c>
      <c r="H4657" s="599">
        <v>14320424</v>
      </c>
      <c r="I4657" s="322" t="s">
        <v>2522</v>
      </c>
      <c r="J4657" s="421"/>
      <c r="K4657" s="422"/>
      <c r="M4657" s="422"/>
    </row>
    <row r="4658" spans="1:13" x14ac:dyDescent="0.25">
      <c r="A4658" s="308">
        <v>45830</v>
      </c>
      <c r="B4658" s="416">
        <v>773384</v>
      </c>
      <c r="C4658" s="413" t="str">
        <f>IFERROR(INDEX(Table14[],MATCH($B4658,Table14[SAPNo],0),3),"")</f>
        <v>Round 1005 CT200  0.018" (B)</v>
      </c>
      <c r="D4658" s="420" t="s">
        <v>12</v>
      </c>
      <c r="E4658" s="421">
        <v>10</v>
      </c>
      <c r="F4658" s="421"/>
      <c r="G4658" s="417" t="s">
        <v>2938</v>
      </c>
      <c r="H4658" s="598">
        <v>14320424</v>
      </c>
      <c r="I4658" s="322" t="s">
        <v>2522</v>
      </c>
      <c r="J4658" s="418"/>
      <c r="K4658" s="248"/>
      <c r="M4658" s="422"/>
    </row>
    <row r="4659" spans="1:13" x14ac:dyDescent="0.25">
      <c r="A4659" s="308">
        <v>45830</v>
      </c>
      <c r="B4659" s="416">
        <v>882800</v>
      </c>
      <c r="C4659" s="413" t="str">
        <f>IFERROR(INDEX(Table14[],MATCH($B4659,Table14[SAPNo],0),3),"")</f>
        <v>Round 0808 CT80  0.018" (B)</v>
      </c>
      <c r="D4659" s="420" t="s">
        <v>12</v>
      </c>
      <c r="E4659" s="421">
        <v>4</v>
      </c>
      <c r="F4659" s="580"/>
      <c r="G4659" s="417" t="s">
        <v>2938</v>
      </c>
      <c r="H4659" s="598">
        <v>14320424</v>
      </c>
      <c r="I4659" s="322" t="s">
        <v>2522</v>
      </c>
      <c r="J4659" s="418"/>
      <c r="K4659" s="248"/>
      <c r="M4659" s="366"/>
    </row>
    <row r="4660" spans="1:13" x14ac:dyDescent="0.25">
      <c r="A4660" s="308">
        <v>45830</v>
      </c>
      <c r="B4660" s="416">
        <v>1293118</v>
      </c>
      <c r="C4660" s="413" t="str">
        <f>IFERROR(INDEX(Table14[],MATCH($B4660,Table14[SAPNo],0),3),"")</f>
        <v>0808 CT158NL 0.018"</v>
      </c>
      <c r="D4660" s="420" t="s">
        <v>12</v>
      </c>
      <c r="E4660" s="421">
        <v>6</v>
      </c>
      <c r="F4660" s="580"/>
      <c r="G4660" s="417" t="s">
        <v>2938</v>
      </c>
      <c r="H4660" s="598">
        <v>14320424</v>
      </c>
      <c r="I4660" s="322" t="s">
        <v>2522</v>
      </c>
      <c r="J4660" s="418"/>
      <c r="K4660" s="248"/>
      <c r="M4660" s="366"/>
    </row>
    <row r="4661" spans="1:13" x14ac:dyDescent="0.25">
      <c r="A4661" s="308">
        <v>45830</v>
      </c>
      <c r="B4661" s="416">
        <v>647435</v>
      </c>
      <c r="C4661" s="638" t="str">
        <f>IFERROR(INDEX(Table14[],MATCH($B4661,Table14[SAPNo],0),3),"")</f>
        <v>Round 1608 CT200  0.018" (B)</v>
      </c>
      <c r="D4661" s="420" t="s">
        <v>12</v>
      </c>
      <c r="E4661" s="421">
        <v>23</v>
      </c>
      <c r="F4661" s="421"/>
      <c r="G4661" s="417" t="s">
        <v>2939</v>
      </c>
      <c r="H4661" s="598">
        <v>14386451</v>
      </c>
      <c r="I4661" s="322" t="s">
        <v>2940</v>
      </c>
      <c r="J4661" s="418"/>
      <c r="K4661" s="248"/>
      <c r="M4661" s="422"/>
    </row>
    <row r="4662" spans="1:13" x14ac:dyDescent="0.25">
      <c r="A4662" s="308">
        <v>45830</v>
      </c>
      <c r="B4662" s="416">
        <v>871781</v>
      </c>
      <c r="C4662" s="638" t="str">
        <f>IFERROR(INDEX(Table14[],MATCH($B4662,Table14[SAPNo],0),3),"")</f>
        <v>Round 1313 CT200  0.018" (B)</v>
      </c>
      <c r="D4662" s="420" t="s">
        <v>12</v>
      </c>
      <c r="E4662" s="421">
        <v>6</v>
      </c>
      <c r="F4662" s="580"/>
      <c r="G4662" s="417" t="s">
        <v>2939</v>
      </c>
      <c r="H4662" s="598">
        <v>14386451</v>
      </c>
      <c r="I4662" s="322" t="s">
        <v>2940</v>
      </c>
      <c r="J4662" s="418"/>
      <c r="K4662" s="248"/>
      <c r="M4662" s="366"/>
    </row>
    <row r="4663" spans="1:13" x14ac:dyDescent="0.25">
      <c r="A4663" s="320">
        <v>45830</v>
      </c>
      <c r="B4663" s="419">
        <v>1130198</v>
      </c>
      <c r="C4663" s="638" t="str">
        <f>IFERROR(INDEX(Table14[],MATCH($B4663,Table14[SAPNo],0),3),"")</f>
        <v>Round 1613 CT182  0.018" (S)</v>
      </c>
      <c r="D4663" s="420" t="s">
        <v>1072</v>
      </c>
      <c r="E4663" s="421">
        <v>33</v>
      </c>
      <c r="F4663" s="580"/>
      <c r="G4663" s="420" t="s">
        <v>2939</v>
      </c>
      <c r="H4663" s="599">
        <v>14386451</v>
      </c>
      <c r="I4663" s="322" t="s">
        <v>2940</v>
      </c>
      <c r="J4663" s="421"/>
      <c r="K4663" s="422"/>
      <c r="M4663" s="366"/>
    </row>
    <row r="4664" spans="1:13" x14ac:dyDescent="0.25">
      <c r="A4664" s="308">
        <v>45831</v>
      </c>
      <c r="B4664" s="416">
        <v>1100759</v>
      </c>
      <c r="C4664" s="638" t="str">
        <f>IFERROR(INDEX(Table14[],MATCH($B4664,Table14[SAPNo],0),3),"")</f>
        <v>1913 CT421 0.018"</v>
      </c>
      <c r="D4664" s="420" t="s">
        <v>12</v>
      </c>
      <c r="E4664" s="421">
        <v>24</v>
      </c>
      <c r="F4664" s="421"/>
      <c r="G4664" s="417" t="s">
        <v>2941</v>
      </c>
      <c r="H4664" s="598">
        <v>14336290</v>
      </c>
      <c r="I4664" s="322" t="s">
        <v>2574</v>
      </c>
      <c r="J4664" s="418"/>
      <c r="K4664" s="248"/>
      <c r="M4664" s="422"/>
    </row>
    <row r="4665" spans="1:13" x14ac:dyDescent="0.25">
      <c r="A4665" s="308">
        <v>45831</v>
      </c>
      <c r="B4665" s="416">
        <v>1130197</v>
      </c>
      <c r="C4665" s="638" t="str">
        <f>IFERROR(INDEX(Table14[],MATCH($B4665,Table14[SAPNo],0),3),"")</f>
        <v>Round 1608 CT182  0.018" (S)</v>
      </c>
      <c r="D4665" s="420" t="s">
        <v>12</v>
      </c>
      <c r="E4665" s="421">
        <v>8</v>
      </c>
      <c r="F4665" s="580"/>
      <c r="G4665" s="417" t="s">
        <v>2941</v>
      </c>
      <c r="H4665" s="598">
        <v>14336290</v>
      </c>
      <c r="I4665" s="322" t="s">
        <v>2574</v>
      </c>
      <c r="J4665" s="418"/>
      <c r="K4665" s="248"/>
      <c r="M4665" s="366"/>
    </row>
    <row r="4666" spans="1:13" x14ac:dyDescent="0.25">
      <c r="A4666" s="308">
        <v>45831</v>
      </c>
      <c r="B4666" s="416">
        <v>1199265</v>
      </c>
      <c r="C4666" s="638" t="str">
        <f>IFERROR(INDEX(Table14[],MATCH($B4666,Table14[SAPNo],0),3),"")</f>
        <v>1613 CT158 18C</v>
      </c>
      <c r="D4666" s="420" t="s">
        <v>12</v>
      </c>
      <c r="E4666" s="421">
        <v>35</v>
      </c>
      <c r="F4666" s="580"/>
      <c r="G4666" s="417" t="s">
        <v>2941</v>
      </c>
      <c r="H4666" s="598">
        <v>14336290</v>
      </c>
      <c r="I4666" s="322" t="s">
        <v>2574</v>
      </c>
      <c r="J4666" s="418"/>
      <c r="K4666" s="248"/>
      <c r="M4666" s="366"/>
    </row>
    <row r="4667" spans="1:13" x14ac:dyDescent="0.25">
      <c r="A4667" s="308">
        <v>45831</v>
      </c>
      <c r="B4667" s="416">
        <v>1146737</v>
      </c>
      <c r="C4667" s="638" t="str">
        <f>IFERROR(INDEX(Table14[],MATCH($B4667,Table14[SAPNo],0),3),"")</f>
        <v>1613 CT418 18-60</v>
      </c>
      <c r="D4667" s="420" t="s">
        <v>12</v>
      </c>
      <c r="E4667" s="421">
        <v>9</v>
      </c>
      <c r="F4667" s="580"/>
      <c r="G4667" s="417" t="s">
        <v>2941</v>
      </c>
      <c r="H4667" s="598">
        <v>14336290</v>
      </c>
      <c r="I4667" s="322" t="s">
        <v>2574</v>
      </c>
      <c r="J4667" s="418"/>
      <c r="K4667" s="248"/>
      <c r="M4667" s="366"/>
    </row>
    <row r="4668" spans="1:13" x14ac:dyDescent="0.25">
      <c r="A4668" s="308">
        <v>45831</v>
      </c>
      <c r="B4668" s="416">
        <v>871781</v>
      </c>
      <c r="C4668" s="638" t="str">
        <f>IFERROR(INDEX(Table14[],MATCH($B4668,Table14[SAPNo],0),3),"")</f>
        <v>Round 1313 CT200  0.018" (B)</v>
      </c>
      <c r="D4668" s="420" t="s">
        <v>12</v>
      </c>
      <c r="E4668" s="421">
        <v>8</v>
      </c>
      <c r="F4668" s="580"/>
      <c r="G4668" s="417" t="s">
        <v>2941</v>
      </c>
      <c r="H4668" s="598">
        <v>14336290</v>
      </c>
      <c r="I4668" s="322" t="s">
        <v>2574</v>
      </c>
      <c r="J4668" s="418"/>
      <c r="K4668" s="248"/>
      <c r="M4668" s="366"/>
    </row>
    <row r="4669" spans="1:13" x14ac:dyDescent="0.25">
      <c r="A4669" s="308">
        <v>45831</v>
      </c>
      <c r="B4669" s="416">
        <v>1130198</v>
      </c>
      <c r="C4669" s="638" t="str">
        <f>IFERROR(INDEX(Table14[],MATCH($B4669,Table14[SAPNo],0),3),"")</f>
        <v>Round 1613 CT182  0.018" (S)</v>
      </c>
      <c r="D4669" s="420" t="s">
        <v>1072</v>
      </c>
      <c r="E4669" s="421">
        <v>34</v>
      </c>
      <c r="F4669" s="580"/>
      <c r="G4669" s="417" t="s">
        <v>2941</v>
      </c>
      <c r="H4669" s="598">
        <v>14336290</v>
      </c>
      <c r="I4669" s="322" t="s">
        <v>2574</v>
      </c>
      <c r="J4669" s="418"/>
      <c r="K4669" s="248"/>
      <c r="M4669" s="366"/>
    </row>
    <row r="4670" spans="1:13" x14ac:dyDescent="0.25">
      <c r="A4670" s="308">
        <v>45831</v>
      </c>
      <c r="B4670" s="416">
        <v>1208601</v>
      </c>
      <c r="C4670" s="638" t="str">
        <f>IFERROR(INDEX(Table14[],MATCH($B4670,Table14[SAPNo],0),3),"")</f>
        <v>1613 CT418 U-60</v>
      </c>
      <c r="D4670" s="420" t="s">
        <v>12</v>
      </c>
      <c r="E4670" s="421">
        <v>8</v>
      </c>
      <c r="F4670" s="580"/>
      <c r="G4670" s="417" t="s">
        <v>2942</v>
      </c>
      <c r="H4670" s="598">
        <v>14369052</v>
      </c>
      <c r="I4670" s="322" t="s">
        <v>2943</v>
      </c>
      <c r="J4670" s="418"/>
      <c r="K4670" s="248"/>
      <c r="M4670" s="366"/>
    </row>
    <row r="4671" spans="1:13" x14ac:dyDescent="0.25">
      <c r="A4671" s="308">
        <v>45831</v>
      </c>
      <c r="B4671" s="416">
        <v>418525</v>
      </c>
      <c r="C4671" s="638" t="str">
        <f>IFERROR(INDEX(Table14[],MATCH($B4671,Table14[SAPNo],0),3),"")</f>
        <v>Drop In 1308 CT31   (B)</v>
      </c>
      <c r="D4671" s="420" t="s">
        <v>12</v>
      </c>
      <c r="E4671" s="421">
        <v>6</v>
      </c>
      <c r="F4671" s="580"/>
      <c r="G4671" s="417" t="s">
        <v>2942</v>
      </c>
      <c r="H4671" s="598">
        <v>14369052</v>
      </c>
      <c r="I4671" s="322" t="s">
        <v>2943</v>
      </c>
      <c r="J4671" s="418"/>
      <c r="K4671" s="248"/>
      <c r="M4671" s="366"/>
    </row>
    <row r="4672" spans="1:13" x14ac:dyDescent="0.25">
      <c r="A4672" s="308">
        <v>45831</v>
      </c>
      <c r="B4672" s="416">
        <v>1146737</v>
      </c>
      <c r="C4672" s="638" t="str">
        <f>IFERROR(INDEX(Table14[],MATCH($B4672,Table14[SAPNo],0),3),"")</f>
        <v>1613 CT418 18-60</v>
      </c>
      <c r="D4672" s="420" t="s">
        <v>12</v>
      </c>
      <c r="E4672" s="421">
        <v>6</v>
      </c>
      <c r="F4672" s="580"/>
      <c r="G4672" s="417" t="s">
        <v>2942</v>
      </c>
      <c r="H4672" s="598">
        <v>14369052</v>
      </c>
      <c r="I4672" s="322" t="s">
        <v>2943</v>
      </c>
      <c r="J4672" s="418"/>
      <c r="K4672" s="248"/>
      <c r="M4672" s="366"/>
    </row>
    <row r="4673" spans="1:13" x14ac:dyDescent="0.25">
      <c r="A4673" s="308">
        <v>45831</v>
      </c>
      <c r="B4673" s="416">
        <v>1288783</v>
      </c>
      <c r="C4673" s="638" t="str">
        <f>IFERROR(INDEX(Table14[],MATCH($B4673,Table14[SAPNo],0),3),"")</f>
        <v>1613 CT179 18-60</v>
      </c>
      <c r="D4673" s="420" t="s">
        <v>12</v>
      </c>
      <c r="E4673" s="421">
        <v>17</v>
      </c>
      <c r="F4673" s="580"/>
      <c r="G4673" s="417" t="s">
        <v>2942</v>
      </c>
      <c r="H4673" s="598">
        <v>14369052</v>
      </c>
      <c r="I4673" s="322" t="s">
        <v>2943</v>
      </c>
      <c r="J4673" s="418"/>
      <c r="K4673" s="248"/>
      <c r="M4673" s="366"/>
    </row>
    <row r="4674" spans="1:13" x14ac:dyDescent="0.25">
      <c r="A4674" s="308">
        <v>45831</v>
      </c>
      <c r="B4674" s="416">
        <v>1078377</v>
      </c>
      <c r="C4674" s="638" t="str">
        <f>IFERROR(INDEX(Table14[],MATCH($B4674,Table14[SAPNo],0),3),"")</f>
        <v>13MM CT221 R1</v>
      </c>
      <c r="D4674" s="420" t="s">
        <v>12</v>
      </c>
      <c r="E4674" s="421">
        <v>15</v>
      </c>
      <c r="F4674" s="580"/>
      <c r="G4674" s="417" t="s">
        <v>2942</v>
      </c>
      <c r="H4674" s="598">
        <v>14369052</v>
      </c>
      <c r="I4674" s="322" t="s">
        <v>2943</v>
      </c>
      <c r="J4674" s="418"/>
      <c r="K4674" s="248"/>
      <c r="M4674" s="366"/>
    </row>
    <row r="4675" spans="1:13" x14ac:dyDescent="0.25">
      <c r="A4675" s="308">
        <v>45832</v>
      </c>
      <c r="B4675" s="416">
        <v>1146346</v>
      </c>
      <c r="C4675" s="638" t="str">
        <f>IFERROR(INDEX(Table14[],MATCH($B4675,Table14[SAPNo],0),3),"")</f>
        <v>1313 CT418 18-60</v>
      </c>
      <c r="D4675" s="420" t="s">
        <v>12</v>
      </c>
      <c r="E4675" s="421">
        <v>1</v>
      </c>
      <c r="F4675" s="580"/>
      <c r="G4675" s="417">
        <v>20251086</v>
      </c>
      <c r="H4675" s="598" t="s">
        <v>2944</v>
      </c>
      <c r="I4675" s="322" t="s">
        <v>2590</v>
      </c>
      <c r="J4675" s="418"/>
      <c r="K4675" s="248"/>
      <c r="M4675" s="366"/>
    </row>
    <row r="4676" spans="1:13" x14ac:dyDescent="0.25">
      <c r="A4676" s="308">
        <v>45832</v>
      </c>
      <c r="B4676" s="416">
        <v>418525</v>
      </c>
      <c r="C4676" s="638" t="str">
        <f>IFERROR(INDEX(Table14[],MATCH($B4676,Table14[SAPNo],0),3),"")</f>
        <v>Drop In 1308 CT31   (B)</v>
      </c>
      <c r="D4676" s="420" t="s">
        <v>12</v>
      </c>
      <c r="E4676" s="421">
        <v>1</v>
      </c>
      <c r="F4676" s="580"/>
      <c r="G4676" s="417">
        <v>20251086</v>
      </c>
      <c r="H4676" s="598" t="s">
        <v>2944</v>
      </c>
      <c r="I4676" s="322" t="s">
        <v>2590</v>
      </c>
      <c r="J4676" s="418"/>
      <c r="K4676" s="248"/>
      <c r="M4676" s="366"/>
    </row>
    <row r="4677" spans="1:13" x14ac:dyDescent="0.25">
      <c r="A4677" s="308">
        <v>45832</v>
      </c>
      <c r="B4677" s="416">
        <v>1146346</v>
      </c>
      <c r="C4677" s="638" t="str">
        <f>IFERROR(INDEX(Table14[],MATCH($B4677,Table14[SAPNo],0),3),"")</f>
        <v>1313 CT418 18-60</v>
      </c>
      <c r="D4677" s="420" t="s">
        <v>12</v>
      </c>
      <c r="E4677" s="421">
        <v>7</v>
      </c>
      <c r="F4677" s="580"/>
      <c r="G4677" s="417">
        <v>20251087</v>
      </c>
      <c r="H4677" s="598" t="s">
        <v>2945</v>
      </c>
      <c r="I4677" s="322" t="s">
        <v>2590</v>
      </c>
      <c r="J4677" s="418"/>
      <c r="K4677" s="248"/>
      <c r="M4677" s="366"/>
    </row>
    <row r="4678" spans="1:13" x14ac:dyDescent="0.25">
      <c r="A4678" s="308">
        <v>45832</v>
      </c>
      <c r="B4678" s="416">
        <v>418525</v>
      </c>
      <c r="C4678" s="638" t="str">
        <f>IFERROR(INDEX(Table14[],MATCH($B4678,Table14[SAPNo],0),3),"")</f>
        <v>Drop In 1308 CT31   (B)</v>
      </c>
      <c r="D4678" s="420" t="s">
        <v>12</v>
      </c>
      <c r="E4678" s="421">
        <v>4</v>
      </c>
      <c r="F4678" s="580"/>
      <c r="G4678" s="417">
        <v>20251087</v>
      </c>
      <c r="H4678" s="598" t="s">
        <v>2945</v>
      </c>
      <c r="I4678" s="322" t="s">
        <v>2590</v>
      </c>
      <c r="J4678" s="418"/>
      <c r="K4678" s="248"/>
      <c r="M4678" s="366"/>
    </row>
    <row r="4679" spans="1:13" x14ac:dyDescent="0.25">
      <c r="A4679" s="308">
        <v>45832</v>
      </c>
      <c r="B4679" s="416">
        <v>1146737</v>
      </c>
      <c r="C4679" s="638" t="str">
        <f>IFERROR(INDEX(Table14[],MATCH($B4679,Table14[SAPNo],0),3),"")</f>
        <v>1613 CT418 18-60</v>
      </c>
      <c r="D4679" s="420" t="s">
        <v>12</v>
      </c>
      <c r="E4679" s="421">
        <v>6</v>
      </c>
      <c r="F4679" s="580"/>
      <c r="G4679" s="417" t="s">
        <v>2946</v>
      </c>
      <c r="H4679" s="598">
        <v>14340870</v>
      </c>
      <c r="I4679" s="322" t="s">
        <v>2600</v>
      </c>
      <c r="J4679" s="418"/>
      <c r="K4679" s="248"/>
      <c r="M4679" s="366"/>
    </row>
    <row r="4680" spans="1:13" x14ac:dyDescent="0.25">
      <c r="A4680" s="308">
        <v>45832</v>
      </c>
      <c r="B4680" s="416">
        <v>418525</v>
      </c>
      <c r="C4680" s="638" t="str">
        <f>IFERROR(INDEX(Table14[],MATCH($B4680,Table14[SAPNo],0),3),"")</f>
        <v>Drop In 1308 CT31   (B)</v>
      </c>
      <c r="D4680" s="420" t="s">
        <v>12</v>
      </c>
      <c r="E4680" s="421">
        <v>5</v>
      </c>
      <c r="F4680" s="580"/>
      <c r="G4680" s="417" t="s">
        <v>2946</v>
      </c>
      <c r="H4680" s="598">
        <v>14340870</v>
      </c>
      <c r="I4680" s="322" t="s">
        <v>2600</v>
      </c>
      <c r="J4680" s="418"/>
      <c r="K4680" s="248"/>
      <c r="M4680" s="366"/>
    </row>
    <row r="4681" spans="1:13" x14ac:dyDescent="0.25">
      <c r="A4681" s="308">
        <v>45833</v>
      </c>
      <c r="B4681" s="416">
        <v>418525</v>
      </c>
      <c r="C4681" s="638" t="str">
        <f>IFERROR(INDEX(Table14[],MATCH($B4681,Table14[SAPNo],0),3),"")</f>
        <v>Drop In 1308 CT31   (B)</v>
      </c>
      <c r="D4681" s="420" t="s">
        <v>12</v>
      </c>
      <c r="E4681" s="421">
        <v>5</v>
      </c>
      <c r="F4681" s="580"/>
      <c r="G4681" s="417">
        <v>20251084</v>
      </c>
      <c r="H4681" s="598" t="s">
        <v>2947</v>
      </c>
      <c r="I4681" s="322" t="s">
        <v>2648</v>
      </c>
      <c r="J4681" s="418"/>
      <c r="K4681" s="248"/>
      <c r="M4681" s="366"/>
    </row>
    <row r="4682" spans="1:13" x14ac:dyDescent="0.25">
      <c r="A4682" s="308">
        <v>45833</v>
      </c>
      <c r="B4682" s="416">
        <v>1146346</v>
      </c>
      <c r="C4682" s="638" t="str">
        <f>IFERROR(INDEX(Table14[],MATCH($B4682,Table14[SAPNo],0),3),"")</f>
        <v>1313 CT418 18-60</v>
      </c>
      <c r="D4682" s="420" t="s">
        <v>12</v>
      </c>
      <c r="E4682" s="421">
        <v>6</v>
      </c>
      <c r="F4682" s="580"/>
      <c r="G4682" s="417">
        <v>20251084</v>
      </c>
      <c r="H4682" s="598" t="s">
        <v>2947</v>
      </c>
      <c r="I4682" s="322" t="s">
        <v>2648</v>
      </c>
      <c r="J4682" s="418"/>
      <c r="K4682" s="248"/>
      <c r="M4682" s="366"/>
    </row>
    <row r="4683" spans="1:13" x14ac:dyDescent="0.25">
      <c r="A4683" s="308">
        <v>45833</v>
      </c>
      <c r="B4683" s="416">
        <v>871781</v>
      </c>
      <c r="C4683" s="638" t="str">
        <f>IFERROR(INDEX(Table14[],MATCH($B4683,Table14[SAPNo],0),3),"")</f>
        <v>Round 1313 CT200  0.018" (B)</v>
      </c>
      <c r="D4683" s="420" t="s">
        <v>12</v>
      </c>
      <c r="E4683" s="421">
        <v>6</v>
      </c>
      <c r="F4683" s="580"/>
      <c r="G4683" s="417" t="s">
        <v>2948</v>
      </c>
      <c r="H4683" s="598">
        <v>14386450</v>
      </c>
      <c r="I4683" s="322" t="s">
        <v>2949</v>
      </c>
      <c r="J4683" s="418"/>
      <c r="K4683" s="248"/>
      <c r="M4683" s="366"/>
    </row>
    <row r="4684" spans="1:13" x14ac:dyDescent="0.25">
      <c r="A4684" s="308">
        <v>45833</v>
      </c>
      <c r="B4684" s="416">
        <v>647435</v>
      </c>
      <c r="C4684" s="638" t="str">
        <f>IFERROR(INDEX(Table14[],MATCH($B4684,Table14[SAPNo],0),3),"")</f>
        <v>Round 1608 CT200  0.018" (B)</v>
      </c>
      <c r="D4684" s="420" t="s">
        <v>12</v>
      </c>
      <c r="E4684" s="421">
        <v>23</v>
      </c>
      <c r="F4684" s="580"/>
      <c r="G4684" s="417" t="s">
        <v>2948</v>
      </c>
      <c r="H4684" s="598">
        <v>14386450</v>
      </c>
      <c r="I4684" s="322" t="s">
        <v>2949</v>
      </c>
      <c r="J4684" s="418"/>
      <c r="K4684" s="248"/>
      <c r="M4684" s="366"/>
    </row>
    <row r="4685" spans="1:13" x14ac:dyDescent="0.25">
      <c r="A4685" s="308">
        <v>45833</v>
      </c>
      <c r="B4685" s="416">
        <v>1130198</v>
      </c>
      <c r="C4685" s="638" t="str">
        <f>IFERROR(INDEX(Table14[],MATCH($B4685,Table14[SAPNo],0),3),"")</f>
        <v>Round 1613 CT182  0.018" (S)</v>
      </c>
      <c r="D4685" s="420" t="s">
        <v>1072</v>
      </c>
      <c r="E4685" s="421">
        <v>33</v>
      </c>
      <c r="F4685" s="580"/>
      <c r="G4685" s="417" t="s">
        <v>2948</v>
      </c>
      <c r="H4685" s="598">
        <v>14386450</v>
      </c>
      <c r="I4685" s="322" t="s">
        <v>2949</v>
      </c>
      <c r="J4685" s="418"/>
      <c r="K4685" s="248"/>
      <c r="M4685" s="366"/>
    </row>
    <row r="4686" spans="1:13" x14ac:dyDescent="0.25">
      <c r="A4686" s="308">
        <v>45834</v>
      </c>
      <c r="B4686" s="416">
        <v>1176639</v>
      </c>
      <c r="C4686" s="638" t="str">
        <f>IFERROR(INDEX(Table14[],MATCH($B4686,Table14[SAPNo],0),3),"")</f>
        <v>Round 1308 CT 155  0.018 (T)</v>
      </c>
      <c r="D4686" s="420" t="s">
        <v>12</v>
      </c>
      <c r="E4686" s="421">
        <v>3</v>
      </c>
      <c r="F4686" s="580"/>
      <c r="G4686" s="417" t="s">
        <v>2950</v>
      </c>
      <c r="H4686" s="598">
        <v>14396644</v>
      </c>
      <c r="I4686" s="322" t="s">
        <v>2863</v>
      </c>
      <c r="J4686" s="418"/>
      <c r="K4686" s="248"/>
      <c r="M4686" s="366"/>
    </row>
    <row r="4687" spans="1:13" x14ac:dyDescent="0.25">
      <c r="A4687" s="308">
        <v>45834</v>
      </c>
      <c r="B4687" s="416">
        <v>2002186</v>
      </c>
      <c r="C4687" s="638" t="str">
        <f>IFERROR(INDEX(Table14[],MATCH($B4687,Table14[SAPNo],0),3),"")</f>
        <v>1313 CT187 U-60</v>
      </c>
      <c r="D4687" s="420" t="s">
        <v>12</v>
      </c>
      <c r="E4687" s="421">
        <v>15</v>
      </c>
      <c r="F4687" s="580"/>
      <c r="G4687" s="417" t="s">
        <v>2950</v>
      </c>
      <c r="H4687" s="598">
        <v>14396644</v>
      </c>
      <c r="I4687" s="322" t="s">
        <v>2863</v>
      </c>
      <c r="J4687" s="418"/>
      <c r="K4687" s="248"/>
      <c r="M4687" s="366"/>
    </row>
    <row r="4688" spans="1:13" x14ac:dyDescent="0.25">
      <c r="A4688" s="308">
        <v>45834</v>
      </c>
      <c r="B4688" s="416">
        <v>871781</v>
      </c>
      <c r="C4688" s="638" t="str">
        <f>IFERROR(INDEX(Table14[],MATCH($B4688,Table14[SAPNo],0),3),"")</f>
        <v>Round 1313 CT200  0.018" (B)</v>
      </c>
      <c r="D4688" s="420" t="s">
        <v>12</v>
      </c>
      <c r="E4688" s="421">
        <v>6</v>
      </c>
      <c r="F4688" s="580"/>
      <c r="G4688" s="417" t="s">
        <v>2950</v>
      </c>
      <c r="H4688" s="598">
        <v>14396644</v>
      </c>
      <c r="I4688" s="322" t="s">
        <v>2863</v>
      </c>
      <c r="J4688" s="418"/>
      <c r="K4688" s="248"/>
      <c r="M4688" s="366"/>
    </row>
    <row r="4689" spans="1:13" x14ac:dyDescent="0.25">
      <c r="A4689" s="308">
        <v>45834</v>
      </c>
      <c r="B4689" s="416">
        <v>1228501</v>
      </c>
      <c r="C4689" s="638" t="str">
        <f>IFERROR(INDEX(Table14[],MATCH($B4689,Table14[SAPNo],0),3),"")</f>
        <v>1618 CT182 U-60 stator</v>
      </c>
      <c r="D4689" s="420" t="s">
        <v>12</v>
      </c>
      <c r="E4689" s="421">
        <v>10</v>
      </c>
      <c r="F4689" s="580"/>
      <c r="G4689" s="417" t="s">
        <v>2950</v>
      </c>
      <c r="H4689" s="598">
        <v>14396644</v>
      </c>
      <c r="I4689" s="322" t="s">
        <v>2863</v>
      </c>
      <c r="J4689" s="418"/>
      <c r="K4689" s="248"/>
      <c r="M4689" s="366"/>
    </row>
    <row r="4690" spans="1:13" x14ac:dyDescent="0.25">
      <c r="A4690" s="308">
        <v>45834</v>
      </c>
      <c r="B4690" s="416">
        <v>2002243</v>
      </c>
      <c r="C4690" s="638" t="str">
        <f>IFERROR(INDEX(Table14[],MATCH($B4690,Table14[SAPNo],0),3),"")</f>
        <v>1308 CT188 U-60</v>
      </c>
      <c r="D4690" s="420" t="s">
        <v>12</v>
      </c>
      <c r="E4690" s="421">
        <v>12</v>
      </c>
      <c r="F4690" s="580"/>
      <c r="G4690" s="417" t="s">
        <v>2950</v>
      </c>
      <c r="H4690" s="598">
        <v>14396644</v>
      </c>
      <c r="I4690" s="322" t="s">
        <v>2863</v>
      </c>
      <c r="J4690" s="418"/>
      <c r="K4690" s="248"/>
      <c r="M4690" s="366"/>
    </row>
    <row r="4691" spans="1:13" x14ac:dyDescent="0.25">
      <c r="A4691" s="308">
        <v>45834</v>
      </c>
      <c r="B4691" s="416">
        <v>1228502</v>
      </c>
      <c r="C4691" s="638" t="str">
        <f>IFERROR(INDEX(Table14[],MATCH($B4691,Table14[SAPNo],0),3),"")</f>
        <v>1618 CT182 U-60 Rotor</v>
      </c>
      <c r="D4691" s="420" t="s">
        <v>12</v>
      </c>
      <c r="E4691" s="421">
        <v>10</v>
      </c>
      <c r="F4691" s="580"/>
      <c r="G4691" s="417" t="s">
        <v>2950</v>
      </c>
      <c r="H4691" s="598">
        <v>14396644</v>
      </c>
      <c r="I4691" s="322" t="s">
        <v>2863</v>
      </c>
      <c r="J4691" s="418"/>
      <c r="K4691" s="248"/>
      <c r="M4691" s="366"/>
    </row>
    <row r="4692" spans="1:13" x14ac:dyDescent="0.25">
      <c r="A4692" s="308">
        <v>45834</v>
      </c>
      <c r="B4692" s="416">
        <v>1228503</v>
      </c>
      <c r="C4692" s="638" t="str">
        <f>IFERROR(INDEX(Table14[],MATCH($B4692,Table14[SAPNo],0),3),"")</f>
        <v>1618 CT182 U-60 Ring</v>
      </c>
      <c r="D4692" s="420" t="s">
        <v>12</v>
      </c>
      <c r="E4692" s="421">
        <v>10</v>
      </c>
      <c r="F4692" s="580"/>
      <c r="G4692" s="417" t="s">
        <v>2950</v>
      </c>
      <c r="H4692" s="598">
        <v>14396644</v>
      </c>
      <c r="I4692" s="322" t="s">
        <v>2863</v>
      </c>
      <c r="J4692" s="418"/>
      <c r="K4692" s="248"/>
      <c r="M4692" s="366"/>
    </row>
    <row r="4693" spans="1:13" x14ac:dyDescent="0.25">
      <c r="A4693" s="308">
        <v>45834</v>
      </c>
      <c r="B4693" s="416">
        <v>1220554</v>
      </c>
      <c r="C4693" s="638" t="str">
        <f>IFERROR(INDEX(Table14[],MATCH($B4693,Table14[SAPNo],0),3),"")</f>
        <v xml:space="preserve">1618 CT182 U-60 Carbide </v>
      </c>
      <c r="D4693" s="420" t="s">
        <v>12</v>
      </c>
      <c r="E4693" s="421">
        <v>10</v>
      </c>
      <c r="F4693" s="580"/>
      <c r="G4693" s="417" t="s">
        <v>2950</v>
      </c>
      <c r="H4693" s="598">
        <v>14396644</v>
      </c>
      <c r="I4693" s="322" t="s">
        <v>2863</v>
      </c>
      <c r="J4693" s="418"/>
      <c r="K4693" s="248"/>
      <c r="M4693" s="366"/>
    </row>
    <row r="4694" spans="1:13" x14ac:dyDescent="0.25">
      <c r="A4694" s="308">
        <v>45834</v>
      </c>
      <c r="B4694" s="416">
        <v>2002299</v>
      </c>
      <c r="C4694" s="638" t="str">
        <f>IFERROR(INDEX(Table14[],MATCH($B4694,Table14[SAPNo],0),3),"")</f>
        <v>1613 CT187 U-60</v>
      </c>
      <c r="D4694" s="420" t="s">
        <v>12</v>
      </c>
      <c r="E4694" s="421">
        <v>4</v>
      </c>
      <c r="F4694" s="580"/>
      <c r="G4694" s="417" t="s">
        <v>2950</v>
      </c>
      <c r="H4694" s="598">
        <v>14396644</v>
      </c>
      <c r="I4694" s="322" t="s">
        <v>2863</v>
      </c>
      <c r="J4694" s="418"/>
      <c r="K4694" s="248"/>
      <c r="M4694" s="366"/>
    </row>
    <row r="4695" spans="1:13" x14ac:dyDescent="0.25">
      <c r="A4695" s="308">
        <v>45834</v>
      </c>
      <c r="B4695" s="416">
        <v>1146346</v>
      </c>
      <c r="C4695" s="638" t="str">
        <f>IFERROR(INDEX(Table14[],MATCH($B4695,Table14[SAPNo],0),3),"")</f>
        <v>1313 CT418 18-60</v>
      </c>
      <c r="D4695" s="420" t="s">
        <v>12</v>
      </c>
      <c r="E4695" s="421">
        <v>12</v>
      </c>
      <c r="F4695" s="580"/>
      <c r="G4695" s="417" t="s">
        <v>2951</v>
      </c>
      <c r="H4695" s="598">
        <v>14273127</v>
      </c>
      <c r="I4695" s="322" t="s">
        <v>2856</v>
      </c>
      <c r="J4695" s="418"/>
      <c r="K4695" s="248"/>
      <c r="M4695" s="366"/>
    </row>
    <row r="4696" spans="1:13" x14ac:dyDescent="0.25">
      <c r="A4696" s="308">
        <v>45834</v>
      </c>
      <c r="B4696" s="416">
        <v>1136984</v>
      </c>
      <c r="C4696" s="638" t="str">
        <f>IFERROR(INDEX(Table14[],MATCH($B4696,Table14[SAPNo],0),3),"")</f>
        <v>DBLMCHT 1313 CT182DM  10C (S)</v>
      </c>
      <c r="D4696" s="420" t="s">
        <v>12</v>
      </c>
      <c r="E4696" s="421">
        <v>13</v>
      </c>
      <c r="F4696" s="580"/>
      <c r="G4696" s="417" t="s">
        <v>2951</v>
      </c>
      <c r="H4696" s="598">
        <v>14273127</v>
      </c>
      <c r="I4696" s="322" t="s">
        <v>2856</v>
      </c>
      <c r="J4696" s="418"/>
      <c r="K4696" s="248"/>
      <c r="M4696" s="366"/>
    </row>
    <row r="4697" spans="1:13" x14ac:dyDescent="0.25">
      <c r="A4697" s="308">
        <v>45834</v>
      </c>
      <c r="B4697" s="416">
        <v>418525</v>
      </c>
      <c r="C4697" s="638" t="str">
        <f>IFERROR(INDEX(Table14[],MATCH($B4697,Table14[SAPNo],0),3),"")</f>
        <v>Drop In 1308 CT31   (B)</v>
      </c>
      <c r="D4697" s="420" t="s">
        <v>12</v>
      </c>
      <c r="E4697" s="421">
        <v>6</v>
      </c>
      <c r="F4697" s="580"/>
      <c r="G4697" s="417" t="s">
        <v>2951</v>
      </c>
      <c r="H4697" s="598">
        <v>14273127</v>
      </c>
      <c r="I4697" s="322" t="s">
        <v>2856</v>
      </c>
      <c r="J4697" s="418"/>
      <c r="K4697" s="248"/>
      <c r="M4697" s="366"/>
    </row>
    <row r="4698" spans="1:13" x14ac:dyDescent="0.25">
      <c r="A4698" s="308">
        <v>45834</v>
      </c>
      <c r="B4698" s="416">
        <v>1104083</v>
      </c>
      <c r="C4698" s="638" t="str">
        <f>IFERROR(INDEX(Table14[],MATCH($B4698,Table14[SAPNo],0),3),"")</f>
        <v>1313 CT144H  10C (S)</v>
      </c>
      <c r="D4698" s="420" t="s">
        <v>12</v>
      </c>
      <c r="E4698" s="421">
        <v>1</v>
      </c>
      <c r="F4698" s="580"/>
      <c r="G4698" s="417" t="s">
        <v>2951</v>
      </c>
      <c r="H4698" s="598">
        <v>14273127</v>
      </c>
      <c r="I4698" s="322" t="s">
        <v>2856</v>
      </c>
      <c r="J4698" s="418"/>
      <c r="K4698" s="248"/>
      <c r="M4698" s="366"/>
    </row>
    <row r="4699" spans="1:13" x14ac:dyDescent="0.25">
      <c r="A4699" s="308">
        <v>45834</v>
      </c>
      <c r="B4699" s="416">
        <v>1101509</v>
      </c>
      <c r="C4699" s="638" t="str">
        <f>IFERROR(INDEX(Table14[],MATCH($B4699,Table14[SAPNo],0),3),"")</f>
        <v>Short IA 8    (C)</v>
      </c>
      <c r="D4699" s="420" t="s">
        <v>12</v>
      </c>
      <c r="E4699" s="421">
        <v>5</v>
      </c>
      <c r="F4699" s="580"/>
      <c r="G4699" s="417" t="s">
        <v>2951</v>
      </c>
      <c r="H4699" s="598">
        <v>14273127</v>
      </c>
      <c r="I4699" s="322" t="s">
        <v>2856</v>
      </c>
      <c r="J4699" s="418"/>
      <c r="K4699" s="248"/>
      <c r="M4699" s="366"/>
    </row>
    <row r="4700" spans="1:13" x14ac:dyDescent="0.25">
      <c r="A4700" s="308">
        <v>45834</v>
      </c>
      <c r="B4700" s="416">
        <v>1146737</v>
      </c>
      <c r="C4700" s="638" t="str">
        <f>IFERROR(INDEX(Table14[],MATCH($B4700,Table14[SAPNo],0),3),"")</f>
        <v>1613 CT418 18-60</v>
      </c>
      <c r="D4700" s="420" t="s">
        <v>12</v>
      </c>
      <c r="E4700" s="421">
        <v>7</v>
      </c>
      <c r="F4700" s="580"/>
      <c r="G4700" s="417" t="s">
        <v>2952</v>
      </c>
      <c r="H4700" s="598">
        <v>14252969</v>
      </c>
      <c r="I4700" s="322" t="s">
        <v>2953</v>
      </c>
      <c r="J4700" s="418"/>
      <c r="K4700" s="248"/>
      <c r="M4700" s="366"/>
    </row>
    <row r="4701" spans="1:13" x14ac:dyDescent="0.25">
      <c r="A4701" s="308">
        <v>45834</v>
      </c>
      <c r="B4701" s="416">
        <v>1296685</v>
      </c>
      <c r="C4701" s="638" t="str">
        <f>IFERROR(INDEX(Table14[],MATCH($B4701,Table14[SAPNo],0),3),"")</f>
        <v>1613 CT179R U</v>
      </c>
      <c r="D4701" s="420" t="s">
        <v>12</v>
      </c>
      <c r="E4701" s="421">
        <v>41</v>
      </c>
      <c r="F4701" s="580"/>
      <c r="G4701" s="417" t="s">
        <v>2952</v>
      </c>
      <c r="H4701" s="598">
        <v>14252969</v>
      </c>
      <c r="I4701" s="322" t="s">
        <v>2953</v>
      </c>
      <c r="J4701" s="418"/>
      <c r="K4701" s="248"/>
      <c r="M4701" s="366"/>
    </row>
    <row r="4702" spans="1:13" x14ac:dyDescent="0.25">
      <c r="A4702" s="308">
        <v>45834</v>
      </c>
      <c r="B4702" s="416">
        <v>179733</v>
      </c>
      <c r="C4702" s="638" t="str">
        <f>IFERROR(INDEX(Table14[],MATCH($B4702,Table14[SAPNo],0),3),"")</f>
        <v>Short IA 13    (C)</v>
      </c>
      <c r="D4702" s="420" t="s">
        <v>12</v>
      </c>
      <c r="E4702" s="421">
        <v>20</v>
      </c>
      <c r="F4702" s="580"/>
      <c r="G4702" s="417" t="s">
        <v>2952</v>
      </c>
      <c r="H4702" s="598">
        <v>14252969</v>
      </c>
      <c r="I4702" s="322" t="s">
        <v>2953</v>
      </c>
      <c r="J4702" s="418"/>
      <c r="K4702" s="248"/>
      <c r="M4702" s="366"/>
    </row>
    <row r="4703" spans="1:13" x14ac:dyDescent="0.25">
      <c r="A4703" s="308">
        <v>45834</v>
      </c>
      <c r="B4703" s="416">
        <v>1146742</v>
      </c>
      <c r="C4703" s="638" t="str">
        <f>IFERROR(INDEX(Table14[],MATCH($B4703,Table14[SAPNo],0),3),"")</f>
        <v>1913 CT418 U-60</v>
      </c>
      <c r="D4703" s="420" t="s">
        <v>12</v>
      </c>
      <c r="E4703" s="421">
        <v>20</v>
      </c>
      <c r="F4703" s="580"/>
      <c r="G4703" s="417" t="s">
        <v>2952</v>
      </c>
      <c r="H4703" s="598">
        <v>14252969</v>
      </c>
      <c r="I4703" s="322" t="s">
        <v>2953</v>
      </c>
      <c r="J4703" s="418"/>
      <c r="K4703" s="248"/>
      <c r="M4703" s="366"/>
    </row>
    <row r="4704" spans="1:13" x14ac:dyDescent="0.25">
      <c r="A4704" s="308">
        <v>45834</v>
      </c>
      <c r="B4704" s="416">
        <v>418525</v>
      </c>
      <c r="C4704" s="638" t="str">
        <f>IFERROR(INDEX(Table14[],MATCH($B4704,Table14[SAPNo],0),3),"")</f>
        <v>Drop In 1308 CT31   (B)</v>
      </c>
      <c r="D4704" s="420" t="s">
        <v>12</v>
      </c>
      <c r="E4704" s="421">
        <v>7</v>
      </c>
      <c r="F4704" s="580"/>
      <c r="G4704" s="417" t="s">
        <v>2952</v>
      </c>
      <c r="H4704" s="598">
        <v>14252969</v>
      </c>
      <c r="I4704" s="322" t="s">
        <v>2953</v>
      </c>
      <c r="J4704" s="418"/>
      <c r="K4704" s="248"/>
      <c r="M4704" s="366"/>
    </row>
    <row r="4705" spans="1:13" x14ac:dyDescent="0.25">
      <c r="A4705" s="320">
        <v>45834</v>
      </c>
      <c r="B4705" s="419">
        <v>983150</v>
      </c>
      <c r="C4705" s="638" t="str">
        <f>IFERROR(INDEX(Table14[],MATCH($B4705,Table14[SAPNo],0),3),"")</f>
        <v>Round 1613 CT216  0.018" (S)</v>
      </c>
      <c r="D4705" s="420" t="s">
        <v>1072</v>
      </c>
      <c r="E4705" s="421">
        <v>41</v>
      </c>
      <c r="F4705" s="580"/>
      <c r="G4705" s="420" t="s">
        <v>2952</v>
      </c>
      <c r="H4705" s="599">
        <v>14252969</v>
      </c>
      <c r="I4705" s="322" t="s">
        <v>2953</v>
      </c>
      <c r="J4705" s="421"/>
      <c r="K4705" s="422"/>
      <c r="M4705" s="366"/>
    </row>
    <row r="4706" spans="1:13" x14ac:dyDescent="0.25">
      <c r="A4706" s="308">
        <v>45834</v>
      </c>
      <c r="B4706" s="416">
        <v>1208601</v>
      </c>
      <c r="C4706" s="638" t="str">
        <f>IFERROR(INDEX(Table14[],MATCH($B4706,Table14[SAPNo],0),3),"")</f>
        <v>1613 CT418 U-60</v>
      </c>
      <c r="D4706" s="420" t="s">
        <v>1072</v>
      </c>
      <c r="E4706" s="421">
        <v>8</v>
      </c>
      <c r="F4706" s="421"/>
      <c r="G4706" s="417" t="s">
        <v>2904</v>
      </c>
      <c r="H4706" s="598">
        <v>14036278</v>
      </c>
      <c r="I4706" s="322" t="s">
        <v>2905</v>
      </c>
      <c r="J4706" s="418"/>
      <c r="K4706" s="248"/>
      <c r="M4706" s="422"/>
    </row>
    <row r="4707" spans="1:13" x14ac:dyDescent="0.25">
      <c r="A4707" s="320">
        <v>45834</v>
      </c>
      <c r="B4707" s="419">
        <v>1219562</v>
      </c>
      <c r="C4707" s="638" t="str">
        <f>IFERROR(INDEX(Table14[],MATCH($B4707,Table14[SAPNo],0),3),"")</f>
        <v>1613 CT147R U</v>
      </c>
      <c r="D4707" s="420" t="s">
        <v>1072</v>
      </c>
      <c r="E4707" s="421">
        <v>16</v>
      </c>
      <c r="F4707" s="580"/>
      <c r="G4707" s="417" t="s">
        <v>2904</v>
      </c>
      <c r="H4707" s="599">
        <v>14036278</v>
      </c>
      <c r="I4707" s="322" t="s">
        <v>2905</v>
      </c>
      <c r="J4707" s="421"/>
      <c r="K4707" s="422"/>
      <c r="M4707" s="366"/>
    </row>
    <row r="4708" spans="1:13" x14ac:dyDescent="0.25">
      <c r="A4708" s="308">
        <v>45837</v>
      </c>
      <c r="B4708" s="416">
        <v>1146346</v>
      </c>
      <c r="C4708" s="638" t="str">
        <f>IFERROR(INDEX(Table14[],MATCH($B4708,Table14[SAPNo],0),3),"")</f>
        <v>1313 CT418 18-60</v>
      </c>
      <c r="D4708" s="420" t="s">
        <v>12</v>
      </c>
      <c r="E4708" s="421">
        <v>2</v>
      </c>
      <c r="F4708" s="421"/>
      <c r="G4708" s="417">
        <v>20251084</v>
      </c>
      <c r="H4708" s="598" t="s">
        <v>2947</v>
      </c>
      <c r="I4708" s="322" t="s">
        <v>2648</v>
      </c>
      <c r="J4708" s="418"/>
      <c r="K4708" s="248" t="s">
        <v>2546</v>
      </c>
      <c r="M4708" s="422"/>
    </row>
    <row r="4709" spans="1:13" x14ac:dyDescent="0.25">
      <c r="A4709" s="308">
        <v>45837</v>
      </c>
      <c r="B4709" s="416">
        <v>418525</v>
      </c>
      <c r="C4709" s="638" t="str">
        <f>IFERROR(INDEX(Table14[],MATCH($B4709,Table14[SAPNo],0),3),"")</f>
        <v>Drop In 1308 CT31   (B)</v>
      </c>
      <c r="D4709" s="420" t="s">
        <v>12</v>
      </c>
      <c r="E4709" s="421">
        <v>1</v>
      </c>
      <c r="F4709" s="580"/>
      <c r="G4709" s="417" t="s">
        <v>2954</v>
      </c>
      <c r="H4709" s="598">
        <v>13917051</v>
      </c>
      <c r="I4709" s="322" t="s">
        <v>1382</v>
      </c>
      <c r="J4709" s="418"/>
      <c r="K4709" s="248"/>
      <c r="M4709" s="366"/>
    </row>
    <row r="4710" spans="1:13" x14ac:dyDescent="0.25">
      <c r="A4710" s="308">
        <v>45837</v>
      </c>
      <c r="B4710" s="416">
        <v>717748</v>
      </c>
      <c r="C4710" s="638" t="str">
        <f>IFERROR(INDEX(Table14[],MATCH($B4710,Table14[SAPNo],0),3),"")</f>
        <v>Round 1010 CT200  0.018" (B)</v>
      </c>
      <c r="D4710" s="420" t="s">
        <v>12</v>
      </c>
      <c r="E4710" s="421">
        <v>23</v>
      </c>
      <c r="F4710" s="580"/>
      <c r="G4710" s="417" t="s">
        <v>2955</v>
      </c>
      <c r="H4710" s="598">
        <v>14320422</v>
      </c>
      <c r="I4710" s="322" t="s">
        <v>2522</v>
      </c>
      <c r="J4710" s="418"/>
      <c r="K4710" s="248"/>
      <c r="M4710" s="366"/>
    </row>
    <row r="4711" spans="1:13" x14ac:dyDescent="0.25">
      <c r="A4711" s="308">
        <v>45837</v>
      </c>
      <c r="B4711" s="416">
        <v>773384</v>
      </c>
      <c r="C4711" s="638" t="str">
        <f>IFERROR(INDEX(Table14[],MATCH($B4711,Table14[SAPNo],0),3),"")</f>
        <v>Round 1005 CT200  0.018" (B)</v>
      </c>
      <c r="D4711" s="420" t="s">
        <v>12</v>
      </c>
      <c r="E4711" s="421">
        <v>10</v>
      </c>
      <c r="F4711" s="580"/>
      <c r="G4711" s="417" t="s">
        <v>2955</v>
      </c>
      <c r="H4711" s="598">
        <v>14320422</v>
      </c>
      <c r="I4711" s="322" t="s">
        <v>2522</v>
      </c>
      <c r="J4711" s="418"/>
      <c r="K4711" s="248"/>
      <c r="M4711" s="366"/>
    </row>
    <row r="4712" spans="1:13" x14ac:dyDescent="0.25">
      <c r="A4712" s="308">
        <v>45837</v>
      </c>
      <c r="B4712" s="416">
        <v>1293118</v>
      </c>
      <c r="C4712" s="638" t="str">
        <f>IFERROR(INDEX(Table14[],MATCH($B4712,Table14[SAPNo],0),3),"")</f>
        <v>0808 CT158NL 0.018"</v>
      </c>
      <c r="D4712" s="420" t="s">
        <v>12</v>
      </c>
      <c r="E4712" s="421">
        <v>10</v>
      </c>
      <c r="F4712" s="580"/>
      <c r="G4712" s="417" t="s">
        <v>2955</v>
      </c>
      <c r="H4712" s="598">
        <v>14320422</v>
      </c>
      <c r="I4712" s="322" t="s">
        <v>2522</v>
      </c>
      <c r="J4712" s="418"/>
      <c r="K4712" s="248"/>
      <c r="M4712" s="366"/>
    </row>
    <row r="4713" spans="1:13" x14ac:dyDescent="0.25">
      <c r="A4713" s="308">
        <v>45837</v>
      </c>
      <c r="B4713" s="416">
        <v>2008253</v>
      </c>
      <c r="C4713" s="638" t="str">
        <f>IFERROR(INDEX(Table14[],MATCH($B4713,Table14[SAPNo],0),3),"")</f>
        <v>1313 CT187 U</v>
      </c>
      <c r="D4713" s="420" t="s">
        <v>12</v>
      </c>
      <c r="E4713" s="421">
        <v>15</v>
      </c>
      <c r="F4713" s="580"/>
      <c r="G4713" s="417" t="s">
        <v>2956</v>
      </c>
      <c r="H4713" s="598">
        <v>14396645</v>
      </c>
      <c r="I4713" s="322" t="s">
        <v>2957</v>
      </c>
      <c r="J4713" s="418"/>
      <c r="K4713" s="248"/>
      <c r="M4713" s="366"/>
    </row>
    <row r="4714" spans="1:13" x14ac:dyDescent="0.25">
      <c r="A4714" s="308">
        <v>45837</v>
      </c>
      <c r="B4714" s="416">
        <v>2002299</v>
      </c>
      <c r="C4714" s="638" t="str">
        <f>IFERROR(INDEX(Table14[],MATCH($B4714,Table14[SAPNo],0),3),"")</f>
        <v>1613 CT187 U-60</v>
      </c>
      <c r="D4714" s="420" t="s">
        <v>12</v>
      </c>
      <c r="E4714" s="421">
        <v>4</v>
      </c>
      <c r="F4714" s="580"/>
      <c r="G4714" s="417" t="s">
        <v>2956</v>
      </c>
      <c r="H4714" s="598">
        <v>14396645</v>
      </c>
      <c r="I4714" s="322" t="s">
        <v>2957</v>
      </c>
      <c r="J4714" s="418"/>
      <c r="K4714" s="248"/>
      <c r="M4714" s="366"/>
    </row>
    <row r="4715" spans="1:13" x14ac:dyDescent="0.25">
      <c r="A4715" s="308">
        <v>45837</v>
      </c>
      <c r="B4715" s="416">
        <v>871781</v>
      </c>
      <c r="C4715" s="638" t="str">
        <f>IFERROR(INDEX(Table14[],MATCH($B4715,Table14[SAPNo],0),3),"")</f>
        <v>Round 1313 CT200  0.018" (B)</v>
      </c>
      <c r="D4715" s="420" t="s">
        <v>12</v>
      </c>
      <c r="E4715" s="421">
        <v>6</v>
      </c>
      <c r="F4715" s="580"/>
      <c r="G4715" s="417" t="s">
        <v>2956</v>
      </c>
      <c r="H4715" s="598">
        <v>14396645</v>
      </c>
      <c r="I4715" s="322" t="s">
        <v>2957</v>
      </c>
      <c r="J4715" s="418"/>
      <c r="K4715" s="248"/>
      <c r="M4715" s="366"/>
    </row>
    <row r="4716" spans="1:13" x14ac:dyDescent="0.25">
      <c r="A4716" s="308">
        <v>45837</v>
      </c>
      <c r="B4716" s="416">
        <v>1228503</v>
      </c>
      <c r="C4716" s="638" t="str">
        <f>IFERROR(INDEX(Table14[],MATCH($B4716,Table14[SAPNo],0),3),"")</f>
        <v>1618 CT182 U-60 Ring</v>
      </c>
      <c r="D4716" s="420" t="s">
        <v>12</v>
      </c>
      <c r="E4716" s="421">
        <v>10</v>
      </c>
      <c r="F4716" s="580"/>
      <c r="G4716" s="417" t="s">
        <v>2956</v>
      </c>
      <c r="H4716" s="598">
        <v>14396645</v>
      </c>
      <c r="I4716" s="322" t="s">
        <v>2957</v>
      </c>
      <c r="J4716" s="418"/>
      <c r="K4716" s="248"/>
      <c r="M4716" s="366"/>
    </row>
    <row r="4717" spans="1:13" x14ac:dyDescent="0.25">
      <c r="A4717" s="308">
        <v>45837</v>
      </c>
      <c r="B4717" s="416">
        <v>1228502</v>
      </c>
      <c r="C4717" s="638" t="str">
        <f>IFERROR(INDEX(Table14[],MATCH($B4717,Table14[SAPNo],0),3),"")</f>
        <v>1618 CT182 U-60 Rotor</v>
      </c>
      <c r="D4717" s="420" t="s">
        <v>12</v>
      </c>
      <c r="E4717" s="421">
        <v>10</v>
      </c>
      <c r="F4717" s="580"/>
      <c r="G4717" s="417" t="s">
        <v>2956</v>
      </c>
      <c r="H4717" s="598">
        <v>14396645</v>
      </c>
      <c r="I4717" s="322" t="s">
        <v>2957</v>
      </c>
      <c r="J4717" s="418"/>
      <c r="K4717" s="248"/>
      <c r="M4717" s="366"/>
    </row>
    <row r="4718" spans="1:13" x14ac:dyDescent="0.25">
      <c r="A4718" s="308">
        <v>45837</v>
      </c>
      <c r="B4718" s="416">
        <v>1220554</v>
      </c>
      <c r="C4718" s="638" t="str">
        <f>IFERROR(INDEX(Table14[],MATCH($B4718,Table14[SAPNo],0),3),"")</f>
        <v xml:space="preserve">1618 CT182 U-60 Carbide </v>
      </c>
      <c r="D4718" s="420" t="s">
        <v>12</v>
      </c>
      <c r="E4718" s="421">
        <v>11</v>
      </c>
      <c r="F4718" s="580"/>
      <c r="G4718" s="417" t="s">
        <v>2956</v>
      </c>
      <c r="H4718" s="598">
        <v>14396645</v>
      </c>
      <c r="I4718" s="322" t="s">
        <v>2957</v>
      </c>
      <c r="J4718" s="418"/>
      <c r="K4718" s="248"/>
      <c r="M4718" s="366"/>
    </row>
    <row r="4719" spans="1:13" x14ac:dyDescent="0.25">
      <c r="A4719" s="308">
        <v>45837</v>
      </c>
      <c r="B4719" s="416">
        <v>1228501</v>
      </c>
      <c r="C4719" s="638" t="str">
        <f>IFERROR(INDEX(Table14[],MATCH($B4719,Table14[SAPNo],0),3),"")</f>
        <v>1618 CT182 U-60 stator</v>
      </c>
      <c r="D4719" s="420" t="s">
        <v>12</v>
      </c>
      <c r="E4719" s="421">
        <v>10</v>
      </c>
      <c r="F4719" s="580"/>
      <c r="G4719" s="417" t="s">
        <v>2956</v>
      </c>
      <c r="H4719" s="598">
        <v>14396645</v>
      </c>
      <c r="I4719" s="322" t="s">
        <v>2957</v>
      </c>
      <c r="J4719" s="418"/>
      <c r="K4719" s="248"/>
      <c r="M4719" s="366"/>
    </row>
    <row r="4720" spans="1:13" x14ac:dyDescent="0.25">
      <c r="A4720" s="308">
        <v>45837</v>
      </c>
      <c r="B4720" s="416">
        <v>738227</v>
      </c>
      <c r="C4720" s="638" t="str">
        <f>IFERROR(INDEX(Table14[],MATCH($B4720,Table14[SAPNo],0),3),"")</f>
        <v>Round 1308 CR31  0.018" (T)</v>
      </c>
      <c r="D4720" s="420" t="s">
        <v>12</v>
      </c>
      <c r="E4720" s="421">
        <v>15</v>
      </c>
      <c r="F4720" s="580"/>
      <c r="G4720" s="417" t="s">
        <v>2956</v>
      </c>
      <c r="H4720" s="598">
        <v>14396645</v>
      </c>
      <c r="I4720" s="322" t="s">
        <v>2957</v>
      </c>
      <c r="J4720" s="418"/>
      <c r="K4720" s="248"/>
      <c r="M4720" s="366"/>
    </row>
    <row r="4721" spans="1:13" x14ac:dyDescent="0.25">
      <c r="A4721" s="308">
        <v>45838</v>
      </c>
      <c r="B4721" s="416">
        <v>1291870</v>
      </c>
      <c r="C4721" s="638" t="str">
        <f>IFERROR(INDEX(Table14[],MATCH($B4721,Table14[SAPNo],0),3),"")</f>
        <v>1613 CT186 18-60</v>
      </c>
      <c r="D4721" s="420" t="s">
        <v>12</v>
      </c>
      <c r="E4721" s="421">
        <v>13</v>
      </c>
      <c r="F4721" s="580"/>
      <c r="G4721" s="417" t="s">
        <v>2958</v>
      </c>
      <c r="H4721" s="598">
        <v>14353137</v>
      </c>
      <c r="I4721" s="322" t="s">
        <v>2574</v>
      </c>
      <c r="J4721" s="418"/>
      <c r="K4721" s="248"/>
      <c r="M4721" s="366"/>
    </row>
    <row r="4722" spans="1:13" x14ac:dyDescent="0.25">
      <c r="A4722" s="308">
        <v>45838</v>
      </c>
      <c r="B4722" s="416">
        <v>1100755</v>
      </c>
      <c r="C4722" s="638" t="str">
        <f>IFERROR(INDEX(Table14[],MATCH($B4722,Table14[SAPNo],0),3),"")</f>
        <v>Round 1613 CT421  0.018" (S)</v>
      </c>
      <c r="D4722" s="420" t="s">
        <v>12</v>
      </c>
      <c r="E4722" s="421">
        <v>30</v>
      </c>
      <c r="F4722" s="580"/>
      <c r="G4722" s="417" t="s">
        <v>2958</v>
      </c>
      <c r="H4722" s="598">
        <v>14353137</v>
      </c>
      <c r="I4722" s="322" t="s">
        <v>2574</v>
      </c>
      <c r="J4722" s="418"/>
      <c r="K4722" s="248"/>
      <c r="M4722" s="366"/>
    </row>
    <row r="4723" spans="1:13" x14ac:dyDescent="0.25">
      <c r="A4723" s="308">
        <v>45838</v>
      </c>
      <c r="B4723" s="416">
        <v>1146737</v>
      </c>
      <c r="C4723" s="638" t="str">
        <f>IFERROR(INDEX(Table14[],MATCH($B4723,Table14[SAPNo],0),3),"")</f>
        <v>1613 CT418 18-60</v>
      </c>
      <c r="D4723" s="420" t="s">
        <v>12</v>
      </c>
      <c r="E4723" s="421">
        <v>9</v>
      </c>
      <c r="F4723" s="580"/>
      <c r="G4723" s="417" t="s">
        <v>2958</v>
      </c>
      <c r="H4723" s="598">
        <v>14353137</v>
      </c>
      <c r="I4723" s="322" t="s">
        <v>2574</v>
      </c>
      <c r="J4723" s="418"/>
      <c r="K4723" s="248"/>
      <c r="M4723" s="366"/>
    </row>
    <row r="4724" spans="1:13" x14ac:dyDescent="0.25">
      <c r="A4724" s="308">
        <v>45838</v>
      </c>
      <c r="B4724" s="416">
        <v>1100753</v>
      </c>
      <c r="C4724" s="638" t="str">
        <f>IFERROR(INDEX(Table14[],MATCH($B4724,Table14[SAPNo],0),3),"")</f>
        <v>1608 18C CT421</v>
      </c>
      <c r="D4724" s="420" t="s">
        <v>12</v>
      </c>
      <c r="E4724" s="421">
        <v>8</v>
      </c>
      <c r="F4724" s="580"/>
      <c r="G4724" s="417" t="s">
        <v>2958</v>
      </c>
      <c r="H4724" s="598">
        <v>14353137</v>
      </c>
      <c r="I4724" s="322" t="s">
        <v>2574</v>
      </c>
      <c r="J4724" s="418"/>
      <c r="K4724" s="248"/>
      <c r="M4724" s="366"/>
    </row>
    <row r="4725" spans="1:13" x14ac:dyDescent="0.25">
      <c r="A4725" s="308">
        <v>45838</v>
      </c>
      <c r="B4725" s="416">
        <v>1263929</v>
      </c>
      <c r="C4725" s="638" t="str">
        <f>IFERROR(INDEX(Table14[],MATCH($B4725,Table14[SAPNo],0),3),"")</f>
        <v>1613 CT437 18-60</v>
      </c>
      <c r="D4725" s="420" t="s">
        <v>12</v>
      </c>
      <c r="E4725" s="421">
        <v>21</v>
      </c>
      <c r="F4725" s="580"/>
      <c r="G4725" s="417" t="s">
        <v>2958</v>
      </c>
      <c r="H4725" s="598">
        <v>14353137</v>
      </c>
      <c r="I4725" s="322" t="s">
        <v>2574</v>
      </c>
      <c r="J4725" s="418"/>
      <c r="K4725" s="248"/>
      <c r="M4725" s="366"/>
    </row>
    <row r="4726" spans="1:13" x14ac:dyDescent="0.25">
      <c r="A4726" s="308">
        <v>45838</v>
      </c>
      <c r="B4726" s="416">
        <v>2013726</v>
      </c>
      <c r="C4726" s="638" t="str">
        <f>IFERROR(INDEX(Table14[],MATCH($B4726,Table14[SAPNo],0),3),"")</f>
        <v>1913 CT172 18-60</v>
      </c>
      <c r="D4726" s="420" t="s">
        <v>12</v>
      </c>
      <c r="E4726" s="421">
        <v>24</v>
      </c>
      <c r="F4726" s="580"/>
      <c r="G4726" s="417" t="s">
        <v>2958</v>
      </c>
      <c r="H4726" s="598">
        <v>14353137</v>
      </c>
      <c r="I4726" s="322" t="s">
        <v>2574</v>
      </c>
      <c r="J4726" s="418"/>
      <c r="K4726" s="248"/>
      <c r="M4726" s="366"/>
    </row>
    <row r="4727" spans="1:13" x14ac:dyDescent="0.25">
      <c r="A4727" s="308">
        <v>45838</v>
      </c>
      <c r="B4727" s="416">
        <v>871781</v>
      </c>
      <c r="C4727" s="638" t="str">
        <f>IFERROR(INDEX(Table14[],MATCH($B4727,Table14[SAPNo],0),3),"")</f>
        <v>Round 1313 CT200  0.018" (B)</v>
      </c>
      <c r="D4727" s="420" t="s">
        <v>12</v>
      </c>
      <c r="E4727" s="421">
        <v>8</v>
      </c>
      <c r="F4727" s="580"/>
      <c r="G4727" s="417" t="s">
        <v>2958</v>
      </c>
      <c r="H4727" s="598">
        <v>14353137</v>
      </c>
      <c r="I4727" s="322" t="s">
        <v>2574</v>
      </c>
      <c r="J4727" s="418"/>
      <c r="K4727" s="248"/>
      <c r="M4727" s="366"/>
    </row>
    <row r="4728" spans="1:13" x14ac:dyDescent="0.25">
      <c r="A4728" s="320">
        <v>45838</v>
      </c>
      <c r="B4728" s="419">
        <v>1130198</v>
      </c>
      <c r="C4728" s="638" t="str">
        <f>IFERROR(INDEX(Table14[],MATCH($B4728,Table14[SAPNo],0),3),"")</f>
        <v>Round 1613 CT182  0.018" (S)</v>
      </c>
      <c r="D4728" s="420" t="s">
        <v>1072</v>
      </c>
      <c r="E4728" s="421">
        <v>5</v>
      </c>
      <c r="F4728" s="580"/>
      <c r="G4728" s="420" t="s">
        <v>2958</v>
      </c>
      <c r="H4728" s="599">
        <v>14353137</v>
      </c>
      <c r="I4728" s="322" t="s">
        <v>2574</v>
      </c>
      <c r="J4728" s="421"/>
      <c r="K4728" s="422"/>
      <c r="M4728" s="366"/>
    </row>
    <row r="4729" spans="1:13" x14ac:dyDescent="0.25">
      <c r="A4729" s="308">
        <v>45839</v>
      </c>
      <c r="B4729" s="416">
        <v>717748</v>
      </c>
      <c r="C4729" s="639" t="str">
        <f>IFERROR(INDEX(Table14[],MATCH($B4729,Table14[SAPNo],0),3),"")</f>
        <v>Round 1010 CT200  0.018" (B)</v>
      </c>
      <c r="D4729" s="420" t="s">
        <v>12</v>
      </c>
      <c r="E4729" s="421">
        <v>2</v>
      </c>
      <c r="F4729" s="580"/>
      <c r="G4729" s="417">
        <v>20251088</v>
      </c>
      <c r="H4729" s="598" t="s">
        <v>2959</v>
      </c>
      <c r="I4729" s="322" t="s">
        <v>1069</v>
      </c>
      <c r="J4729" s="418"/>
      <c r="K4729" s="248"/>
      <c r="M4729" s="366"/>
    </row>
    <row r="4730" spans="1:13" x14ac:dyDescent="0.25">
      <c r="A4730" s="308">
        <v>45839</v>
      </c>
      <c r="B4730" s="416">
        <v>1146346</v>
      </c>
      <c r="C4730" s="639" t="str">
        <f>IFERROR(INDEX(Table14[],MATCH($B4730,Table14[SAPNo],0),3),"")</f>
        <v>1313 CT418 18-60</v>
      </c>
      <c r="D4730" s="420" t="s">
        <v>12</v>
      </c>
      <c r="E4730" s="421">
        <v>1</v>
      </c>
      <c r="F4730" s="580"/>
      <c r="G4730" s="417">
        <v>20251089</v>
      </c>
      <c r="H4730" s="598" t="s">
        <v>2960</v>
      </c>
      <c r="I4730" s="322" t="s">
        <v>2590</v>
      </c>
      <c r="J4730" s="418"/>
      <c r="K4730" s="248"/>
      <c r="M4730" s="366"/>
    </row>
    <row r="4731" spans="1:13" x14ac:dyDescent="0.25">
      <c r="A4731" s="308">
        <v>45839</v>
      </c>
      <c r="B4731" s="416">
        <v>418525</v>
      </c>
      <c r="C4731" s="639" t="str">
        <f>IFERROR(INDEX(Table14[],MATCH($B4731,Table14[SAPNo],0),3),"")</f>
        <v>Drop In 1308 CT31   (B)</v>
      </c>
      <c r="D4731" s="420" t="s">
        <v>12</v>
      </c>
      <c r="E4731" s="421">
        <v>1</v>
      </c>
      <c r="F4731" s="580"/>
      <c r="G4731" s="417">
        <v>20251089</v>
      </c>
      <c r="H4731" s="598" t="s">
        <v>2960</v>
      </c>
      <c r="I4731" s="322" t="s">
        <v>2590</v>
      </c>
      <c r="J4731" s="418"/>
      <c r="K4731" s="248"/>
      <c r="M4731" s="366"/>
    </row>
    <row r="4732" spans="1:13" x14ac:dyDescent="0.25">
      <c r="A4732" s="308">
        <v>45839</v>
      </c>
      <c r="B4732" s="416">
        <v>1266910</v>
      </c>
      <c r="C4732" s="639" t="str">
        <f>IFERROR(INDEX(Table14[],MATCH($B4732,Table14[SAPNo],0),3),"")</f>
        <v/>
      </c>
      <c r="D4732" s="420" t="s">
        <v>12</v>
      </c>
      <c r="E4732" s="421">
        <v>1</v>
      </c>
      <c r="F4732" s="580"/>
      <c r="G4732" s="417">
        <v>20251090</v>
      </c>
      <c r="H4732" s="598" t="s">
        <v>2961</v>
      </c>
      <c r="I4732" s="322" t="s">
        <v>2090</v>
      </c>
      <c r="J4732" s="418"/>
      <c r="K4732" s="248"/>
      <c r="M4732" s="366"/>
    </row>
    <row r="4733" spans="1:13" x14ac:dyDescent="0.25">
      <c r="A4733" s="308">
        <v>45839</v>
      </c>
      <c r="B4733" s="416">
        <v>1146346</v>
      </c>
      <c r="C4733" s="639" t="str">
        <f>IFERROR(INDEX(Table14[],MATCH($B4733,Table14[SAPNo],0),3),"")</f>
        <v>1313 CT418 18-60</v>
      </c>
      <c r="D4733" s="420" t="s">
        <v>12</v>
      </c>
      <c r="E4733" s="421">
        <v>4</v>
      </c>
      <c r="F4733" s="580"/>
      <c r="G4733" s="417">
        <v>20251090</v>
      </c>
      <c r="H4733" s="598" t="s">
        <v>2961</v>
      </c>
      <c r="I4733" s="322" t="s">
        <v>2090</v>
      </c>
      <c r="J4733" s="418"/>
      <c r="K4733" s="248"/>
      <c r="M4733" s="366"/>
    </row>
    <row r="4734" spans="1:13" x14ac:dyDescent="0.25">
      <c r="A4734" s="308">
        <v>45839</v>
      </c>
      <c r="B4734" s="416">
        <v>418525</v>
      </c>
      <c r="C4734" s="639" t="str">
        <f>IFERROR(INDEX(Table14[],MATCH($B4734,Table14[SAPNo],0),3),"")</f>
        <v>Drop In 1308 CT31   (B)</v>
      </c>
      <c r="D4734" s="420" t="s">
        <v>12</v>
      </c>
      <c r="E4734" s="421">
        <v>1</v>
      </c>
      <c r="F4734" s="580"/>
      <c r="G4734" s="417">
        <v>20251090</v>
      </c>
      <c r="H4734" s="598" t="s">
        <v>2961</v>
      </c>
      <c r="I4734" s="322" t="s">
        <v>2090</v>
      </c>
      <c r="J4734" s="418"/>
      <c r="K4734" s="248"/>
      <c r="M4734" s="366"/>
    </row>
    <row r="4735" spans="1:13" x14ac:dyDescent="0.25">
      <c r="A4735" s="308">
        <v>45839</v>
      </c>
      <c r="B4735" s="416">
        <v>1144821</v>
      </c>
      <c r="C4735" s="639" t="str">
        <f>IFERROR(INDEX(Table14[],MATCH($B4735,Table14[SAPNo],0),3),"")</f>
        <v>Round 1613 CT153/CR42 Test Cutter 0.018" (T)</v>
      </c>
      <c r="D4735" s="420" t="s">
        <v>12</v>
      </c>
      <c r="E4735" s="421">
        <v>3</v>
      </c>
      <c r="F4735" s="580"/>
      <c r="G4735" s="417" t="s">
        <v>2962</v>
      </c>
      <c r="H4735" s="598">
        <v>14353139</v>
      </c>
      <c r="I4735" s="322" t="s">
        <v>2963</v>
      </c>
      <c r="J4735" s="418"/>
      <c r="K4735" s="248"/>
      <c r="M4735" s="366"/>
    </row>
    <row r="4736" spans="1:13" x14ac:dyDescent="0.25">
      <c r="A4736" s="308">
        <v>45839</v>
      </c>
      <c r="B4736" s="416">
        <v>1146737</v>
      </c>
      <c r="C4736" s="639" t="str">
        <f>IFERROR(INDEX(Table14[],MATCH($B4736,Table14[SAPNo],0),3),"")</f>
        <v>1613 CT418 18-60</v>
      </c>
      <c r="D4736" s="420" t="s">
        <v>12</v>
      </c>
      <c r="E4736" s="421">
        <v>17</v>
      </c>
      <c r="F4736" s="580"/>
      <c r="G4736" s="417" t="s">
        <v>2962</v>
      </c>
      <c r="H4736" s="598">
        <v>14353139</v>
      </c>
      <c r="I4736" s="322" t="s">
        <v>2963</v>
      </c>
      <c r="J4736" s="418"/>
      <c r="K4736" s="248"/>
      <c r="M4736" s="366"/>
    </row>
    <row r="4737" spans="1:13" x14ac:dyDescent="0.25">
      <c r="A4737" s="308">
        <v>45839</v>
      </c>
      <c r="B4737" s="416">
        <v>1199265</v>
      </c>
      <c r="C4737" s="639" t="str">
        <f>IFERROR(INDEX(Table14[],MATCH($B4737,Table14[SAPNo],0),3),"")</f>
        <v>1613 CT158 18C</v>
      </c>
      <c r="D4737" s="420" t="s">
        <v>12</v>
      </c>
      <c r="E4737" s="421">
        <v>25</v>
      </c>
      <c r="F4737" s="580"/>
      <c r="G4737" s="417" t="s">
        <v>2962</v>
      </c>
      <c r="H4737" s="598">
        <v>14353139</v>
      </c>
      <c r="I4737" s="322" t="s">
        <v>2963</v>
      </c>
      <c r="J4737" s="418"/>
      <c r="K4737" s="248"/>
      <c r="M4737" s="366"/>
    </row>
    <row r="4738" spans="1:13" x14ac:dyDescent="0.25">
      <c r="A4738" s="308">
        <v>45839</v>
      </c>
      <c r="B4738" s="416">
        <v>1263929</v>
      </c>
      <c r="C4738" s="639" t="str">
        <f>IFERROR(INDEX(Table14[],MATCH($B4738,Table14[SAPNo],0),3),"")</f>
        <v>1613 CT437 18-60</v>
      </c>
      <c r="D4738" s="420" t="s">
        <v>12</v>
      </c>
      <c r="E4738" s="421">
        <v>37</v>
      </c>
      <c r="F4738" s="580"/>
      <c r="G4738" s="417" t="s">
        <v>2962</v>
      </c>
      <c r="H4738" s="598">
        <v>14353139</v>
      </c>
      <c r="I4738" s="322" t="s">
        <v>2963</v>
      </c>
      <c r="J4738" s="418"/>
      <c r="K4738" s="248"/>
      <c r="M4738" s="366"/>
    </row>
    <row r="4739" spans="1:13" x14ac:dyDescent="0.25">
      <c r="A4739" s="308">
        <v>45839</v>
      </c>
      <c r="B4739" s="416">
        <v>1291870</v>
      </c>
      <c r="C4739" s="639" t="str">
        <f>IFERROR(INDEX(Table14[],MATCH($B4739,Table14[SAPNo],0),3),"")</f>
        <v>1613 CT186 18-60</v>
      </c>
      <c r="D4739" s="420" t="s">
        <v>12</v>
      </c>
      <c r="E4739" s="421">
        <v>38</v>
      </c>
      <c r="F4739" s="580"/>
      <c r="G4739" s="417" t="s">
        <v>2962</v>
      </c>
      <c r="H4739" s="598">
        <v>14353139</v>
      </c>
      <c r="I4739" s="322" t="s">
        <v>2963</v>
      </c>
      <c r="J4739" s="418"/>
      <c r="K4739" s="248"/>
      <c r="M4739" s="366"/>
    </row>
    <row r="4740" spans="1:13" x14ac:dyDescent="0.25">
      <c r="A4740" s="308">
        <v>45839</v>
      </c>
      <c r="B4740" s="416">
        <v>418525</v>
      </c>
      <c r="C4740" s="639" t="str">
        <f>IFERROR(INDEX(Table14[],MATCH($B4740,Table14[SAPNo],0),3),"")</f>
        <v>Drop In 1308 CT31   (B)</v>
      </c>
      <c r="D4740" s="420" t="s">
        <v>12</v>
      </c>
      <c r="E4740" s="421">
        <v>8</v>
      </c>
      <c r="F4740" s="580"/>
      <c r="G4740" s="417" t="s">
        <v>2962</v>
      </c>
      <c r="H4740" s="598">
        <v>14353139</v>
      </c>
      <c r="I4740" s="322" t="s">
        <v>2963</v>
      </c>
      <c r="J4740" s="418"/>
      <c r="K4740" s="248"/>
      <c r="M4740" s="366"/>
    </row>
    <row r="4741" spans="1:13" x14ac:dyDescent="0.25">
      <c r="A4741" s="308">
        <v>45839</v>
      </c>
      <c r="B4741" s="416">
        <v>853551</v>
      </c>
      <c r="C4741" s="639" t="str">
        <f>IFERROR(INDEX(Table14[],MATCH($B4741,Table14[SAPNo],0),3),"")</f>
        <v>Round 1613 CT125 GEDB 0.018" (S)</v>
      </c>
      <c r="D4741" s="420" t="s">
        <v>12</v>
      </c>
      <c r="E4741" s="421">
        <v>26</v>
      </c>
      <c r="F4741" s="580"/>
      <c r="G4741" s="417" t="s">
        <v>2962</v>
      </c>
      <c r="H4741" s="598">
        <v>14353139</v>
      </c>
      <c r="I4741" s="322" t="s">
        <v>2963</v>
      </c>
      <c r="J4741" s="418"/>
      <c r="K4741" s="248"/>
      <c r="M4741" s="366"/>
    </row>
    <row r="4742" spans="1:13" x14ac:dyDescent="0.25">
      <c r="A4742" s="308">
        <v>45839</v>
      </c>
      <c r="B4742" s="416">
        <v>1130198</v>
      </c>
      <c r="C4742" s="639" t="str">
        <f>IFERROR(INDEX(Table14[],MATCH($B4742,Table14[SAPNo],0),3),"")</f>
        <v>Round 1613 CT182  0.018" (S)</v>
      </c>
      <c r="D4742" s="420" t="s">
        <v>1072</v>
      </c>
      <c r="E4742" s="421">
        <v>1</v>
      </c>
      <c r="F4742" s="580"/>
      <c r="G4742" s="417" t="s">
        <v>2962</v>
      </c>
      <c r="H4742" s="598">
        <v>14353139</v>
      </c>
      <c r="I4742" s="322" t="s">
        <v>2963</v>
      </c>
      <c r="J4742" s="418"/>
      <c r="K4742" s="248"/>
      <c r="M4742" s="366"/>
    </row>
    <row r="4743" spans="1:13" x14ac:dyDescent="0.25">
      <c r="A4743" s="308">
        <v>45839</v>
      </c>
      <c r="B4743" s="416">
        <v>1146737</v>
      </c>
      <c r="C4743" s="639" t="str">
        <f>IFERROR(INDEX(Table14[],MATCH($B4743,Table14[SAPNo],0),3),"")</f>
        <v>1613 CT418 18-60</v>
      </c>
      <c r="D4743" s="420" t="s">
        <v>12</v>
      </c>
      <c r="E4743" s="421">
        <v>6</v>
      </c>
      <c r="F4743" s="580"/>
      <c r="G4743" s="417" t="s">
        <v>2964</v>
      </c>
      <c r="H4743" s="598">
        <v>14337192</v>
      </c>
      <c r="I4743" s="322" t="s">
        <v>2136</v>
      </c>
      <c r="J4743" s="418"/>
      <c r="K4743" s="248"/>
      <c r="M4743" s="366"/>
    </row>
    <row r="4744" spans="1:13" x14ac:dyDescent="0.25">
      <c r="A4744" s="308">
        <v>45839</v>
      </c>
      <c r="B4744" s="416">
        <v>717748</v>
      </c>
      <c r="C4744" s="639" t="str">
        <f>IFERROR(INDEX(Table14[],MATCH($B4744,Table14[SAPNo],0),3),"")</f>
        <v>Round 1010 CT200  0.018" (B)</v>
      </c>
      <c r="D4744" s="420" t="s">
        <v>12</v>
      </c>
      <c r="E4744" s="421">
        <v>9</v>
      </c>
      <c r="F4744" s="580"/>
      <c r="G4744" s="417" t="s">
        <v>2965</v>
      </c>
      <c r="H4744" s="598" t="s">
        <v>2966</v>
      </c>
      <c r="I4744" s="322" t="s">
        <v>2362</v>
      </c>
      <c r="J4744" s="418"/>
      <c r="K4744" s="248"/>
      <c r="M4744" s="366"/>
    </row>
    <row r="4745" spans="1:13" x14ac:dyDescent="0.25">
      <c r="A4745" s="308">
        <v>45840</v>
      </c>
      <c r="B4745" s="416">
        <v>418525</v>
      </c>
      <c r="C4745" s="639" t="str">
        <f>IFERROR(INDEX(Table14[],MATCH($B4745,Table14[SAPNo],0),3),"")</f>
        <v>Drop In 1308 CT31   (B)</v>
      </c>
      <c r="D4745" s="420" t="s">
        <v>12</v>
      </c>
      <c r="E4745" s="421">
        <v>1</v>
      </c>
      <c r="F4745" s="580"/>
      <c r="G4745" s="417">
        <v>20251091</v>
      </c>
      <c r="H4745" s="598" t="s">
        <v>2967</v>
      </c>
      <c r="I4745" s="322" t="s">
        <v>1781</v>
      </c>
      <c r="J4745" s="418"/>
      <c r="K4745" s="248"/>
      <c r="M4745" s="366"/>
    </row>
    <row r="4746" spans="1:13" x14ac:dyDescent="0.25">
      <c r="A4746" s="308">
        <v>45840</v>
      </c>
      <c r="B4746" s="416">
        <v>1146346</v>
      </c>
      <c r="C4746" s="639" t="str">
        <f>IFERROR(INDEX(Table14[],MATCH($B4746,Table14[SAPNo],0),3),"")</f>
        <v>1313 CT418 18-60</v>
      </c>
      <c r="D4746" s="420" t="s">
        <v>12</v>
      </c>
      <c r="E4746" s="421">
        <v>1</v>
      </c>
      <c r="F4746" s="580"/>
      <c r="G4746" s="417">
        <v>20251091</v>
      </c>
      <c r="H4746" s="598" t="s">
        <v>2967</v>
      </c>
      <c r="I4746" s="322" t="s">
        <v>1781</v>
      </c>
      <c r="J4746" s="418"/>
      <c r="K4746" s="248"/>
      <c r="M4746" s="366"/>
    </row>
    <row r="4747" spans="1:13" x14ac:dyDescent="0.25">
      <c r="A4747" s="308">
        <v>45840</v>
      </c>
      <c r="B4747" s="416">
        <v>717748</v>
      </c>
      <c r="C4747" s="639" t="str">
        <f>IFERROR(INDEX(Table14[],MATCH($B4747,Table14[SAPNo],0),3),"")</f>
        <v>Round 1010 CT200  0.018" (B)</v>
      </c>
      <c r="D4747" s="420" t="s">
        <v>12</v>
      </c>
      <c r="E4747" s="421">
        <v>4</v>
      </c>
      <c r="F4747" s="580"/>
      <c r="G4747" s="417">
        <v>20251092</v>
      </c>
      <c r="H4747" s="598" t="s">
        <v>2968</v>
      </c>
      <c r="I4747" s="322" t="s">
        <v>1069</v>
      </c>
      <c r="J4747" s="418"/>
      <c r="K4747" s="248"/>
      <c r="M4747" s="366"/>
    </row>
    <row r="4748" spans="1:13" x14ac:dyDescent="0.25">
      <c r="A4748" s="308">
        <v>45840</v>
      </c>
      <c r="B4748" s="416">
        <v>418525</v>
      </c>
      <c r="C4748" s="639" t="str">
        <f>IFERROR(INDEX(Table14[],MATCH($B4748,Table14[SAPNo],0),3),"")</f>
        <v>Drop In 1308 CT31   (B)</v>
      </c>
      <c r="D4748" s="420" t="s">
        <v>12</v>
      </c>
      <c r="E4748" s="421">
        <v>1</v>
      </c>
      <c r="F4748" s="580"/>
      <c r="G4748" s="417">
        <v>20251093</v>
      </c>
      <c r="H4748" s="598" t="s">
        <v>2969</v>
      </c>
      <c r="I4748" s="322" t="s">
        <v>1746</v>
      </c>
      <c r="J4748" s="418"/>
      <c r="K4748" s="248"/>
      <c r="M4748" s="366"/>
    </row>
    <row r="4749" spans="1:13" x14ac:dyDescent="0.25">
      <c r="A4749" s="308">
        <v>45840</v>
      </c>
      <c r="B4749" s="416">
        <v>1146346</v>
      </c>
      <c r="C4749" s="639" t="str">
        <f>IFERROR(INDEX(Table14[],MATCH($B4749,Table14[SAPNo],0),3),"")</f>
        <v>1313 CT418 18-60</v>
      </c>
      <c r="D4749" s="420" t="s">
        <v>12</v>
      </c>
      <c r="E4749" s="421">
        <v>5</v>
      </c>
      <c r="F4749" s="580"/>
      <c r="G4749" s="417">
        <v>20251093</v>
      </c>
      <c r="H4749" s="598" t="s">
        <v>2969</v>
      </c>
      <c r="I4749" s="322" t="s">
        <v>1746</v>
      </c>
      <c r="J4749" s="418"/>
      <c r="K4749" s="248"/>
      <c r="M4749" s="366"/>
    </row>
    <row r="4750" spans="1:13" x14ac:dyDescent="0.25">
      <c r="A4750" s="308">
        <v>45840</v>
      </c>
      <c r="B4750" s="416">
        <v>1208601</v>
      </c>
      <c r="C4750" s="639" t="str">
        <f>IFERROR(INDEX(Table14[],MATCH($B4750,Table14[SAPNo],0),3),"")</f>
        <v>1613 CT418 U-60</v>
      </c>
      <c r="D4750" s="420" t="s">
        <v>12</v>
      </c>
      <c r="E4750" s="421">
        <v>8</v>
      </c>
      <c r="F4750" s="580"/>
      <c r="G4750" s="417" t="s">
        <v>2970</v>
      </c>
      <c r="H4750" s="598">
        <v>14387331</v>
      </c>
      <c r="I4750" s="322" t="s">
        <v>2714</v>
      </c>
      <c r="J4750" s="418"/>
      <c r="K4750" s="248"/>
      <c r="M4750" s="366"/>
    </row>
    <row r="4751" spans="1:13" x14ac:dyDescent="0.25">
      <c r="A4751" s="308">
        <v>45840</v>
      </c>
      <c r="B4751" s="416">
        <v>1146737</v>
      </c>
      <c r="C4751" s="639" t="str">
        <f>IFERROR(INDEX(Table14[],MATCH($B4751,Table14[SAPNo],0),3),"")</f>
        <v>1613 CT418 18-60</v>
      </c>
      <c r="D4751" s="420" t="s">
        <v>12</v>
      </c>
      <c r="E4751" s="421">
        <v>10</v>
      </c>
      <c r="F4751" s="580"/>
      <c r="G4751" s="417" t="s">
        <v>2970</v>
      </c>
      <c r="H4751" s="598">
        <v>14387331</v>
      </c>
      <c r="I4751" s="322" t="s">
        <v>2714</v>
      </c>
      <c r="J4751" s="418"/>
      <c r="K4751" s="248"/>
      <c r="M4751" s="366"/>
    </row>
    <row r="4752" spans="1:13" x14ac:dyDescent="0.25">
      <c r="A4752" s="308">
        <v>45840</v>
      </c>
      <c r="B4752" s="416">
        <v>871781</v>
      </c>
      <c r="C4752" s="639" t="str">
        <f>IFERROR(INDEX(Table14[],MATCH($B4752,Table14[SAPNo],0),3),"")</f>
        <v>Round 1313 CT200  0.018" (B)</v>
      </c>
      <c r="D4752" s="420" t="s">
        <v>12</v>
      </c>
      <c r="E4752" s="421">
        <v>5</v>
      </c>
      <c r="F4752" s="580"/>
      <c r="G4752" s="417" t="s">
        <v>2970</v>
      </c>
      <c r="H4752" s="598">
        <v>14387331</v>
      </c>
      <c r="I4752" s="322" t="s">
        <v>2714</v>
      </c>
      <c r="J4752" s="418"/>
      <c r="K4752" s="248"/>
      <c r="M4752" s="366"/>
    </row>
    <row r="4753" spans="1:13" x14ac:dyDescent="0.25">
      <c r="A4753" s="308">
        <v>45840</v>
      </c>
      <c r="B4753" s="416">
        <v>1146346</v>
      </c>
      <c r="C4753" s="639" t="str">
        <f>IFERROR(INDEX(Table14[],MATCH($B4753,Table14[SAPNo],0),3),"")</f>
        <v>1313 CT418 18-60</v>
      </c>
      <c r="D4753" s="420" t="s">
        <v>12</v>
      </c>
      <c r="E4753" s="421">
        <v>10</v>
      </c>
      <c r="F4753" s="580"/>
      <c r="G4753" s="417" t="s">
        <v>2970</v>
      </c>
      <c r="H4753" s="598">
        <v>14387331</v>
      </c>
      <c r="I4753" s="322" t="s">
        <v>2714</v>
      </c>
      <c r="J4753" s="418"/>
      <c r="K4753" s="248"/>
      <c r="M4753" s="366"/>
    </row>
    <row r="4754" spans="1:13" x14ac:dyDescent="0.25">
      <c r="A4754" s="320">
        <v>45840</v>
      </c>
      <c r="B4754" s="419">
        <v>2001060</v>
      </c>
      <c r="C4754" s="639" t="str">
        <f>IFERROR(INDEX(Table14[],MATCH($B4754,Table14[SAPNo],0),3),"")</f>
        <v>1613 CT179T U-60</v>
      </c>
      <c r="D4754" s="420" t="s">
        <v>12</v>
      </c>
      <c r="E4754" s="421">
        <v>10</v>
      </c>
      <c r="F4754" s="580"/>
      <c r="G4754" s="420" t="s">
        <v>2970</v>
      </c>
      <c r="H4754" s="599">
        <v>14387331</v>
      </c>
      <c r="I4754" s="322" t="s">
        <v>2714</v>
      </c>
      <c r="J4754" s="421"/>
      <c r="K4754" s="422"/>
      <c r="M4754" s="366"/>
    </row>
    <row r="4755" spans="1:13" x14ac:dyDescent="0.25">
      <c r="A4755" s="308">
        <v>45840</v>
      </c>
      <c r="B4755" s="416">
        <v>1288783</v>
      </c>
      <c r="C4755" s="639" t="str">
        <f>IFERROR(INDEX(Table14[],MATCH($B4755,Table14[SAPNo],0),3),"")</f>
        <v>1613 CT179 18-60</v>
      </c>
      <c r="D4755" s="420" t="s">
        <v>12</v>
      </c>
      <c r="E4755" s="421">
        <v>5</v>
      </c>
      <c r="F4755" s="421"/>
      <c r="G4755" s="417" t="s">
        <v>2970</v>
      </c>
      <c r="H4755" s="598">
        <v>14387331</v>
      </c>
      <c r="I4755" s="322" t="s">
        <v>2714</v>
      </c>
      <c r="J4755" s="418"/>
      <c r="K4755" s="248"/>
      <c r="M4755" s="422"/>
    </row>
    <row r="4756" spans="1:13" x14ac:dyDescent="0.25">
      <c r="A4756" s="308">
        <v>45841</v>
      </c>
      <c r="B4756" s="416">
        <v>2013726</v>
      </c>
      <c r="C4756" s="704" t="str">
        <f>IFERROR(INDEX(Table14[],MATCH($B4756,Table14[SAPNo],0),3),"")</f>
        <v>1913 CT172 18-60</v>
      </c>
      <c r="D4756" s="420" t="s">
        <v>12</v>
      </c>
      <c r="E4756" s="421">
        <v>1</v>
      </c>
      <c r="F4756" s="421"/>
      <c r="G4756" s="417" t="s">
        <v>2958</v>
      </c>
      <c r="H4756" s="598">
        <v>14353137</v>
      </c>
      <c r="I4756" s="322" t="s">
        <v>2574</v>
      </c>
      <c r="J4756" s="418"/>
      <c r="K4756" s="248"/>
      <c r="M4756" s="422"/>
    </row>
    <row r="4757" spans="1:13" x14ac:dyDescent="0.25">
      <c r="A4757" s="308">
        <v>45841</v>
      </c>
      <c r="B4757" s="419">
        <v>1145493</v>
      </c>
      <c r="C4757" s="638" t="str">
        <f>IFERROR(INDEX(Table14[],MATCH($B4757,Table14[SAPNo],0),3),"")</f>
        <v>Round 1313 CT427  10C (S)</v>
      </c>
      <c r="D4757" s="420" t="s">
        <v>11</v>
      </c>
      <c r="E4757" s="421">
        <v>4</v>
      </c>
      <c r="F4757" s="421"/>
      <c r="G4757" s="420">
        <v>20251083</v>
      </c>
      <c r="H4757" s="599">
        <v>13753986</v>
      </c>
      <c r="I4757" s="322" t="s">
        <v>2971</v>
      </c>
      <c r="J4757" s="421"/>
      <c r="K4757" s="422"/>
      <c r="M4757" s="422"/>
    </row>
    <row r="4758" spans="1:13" x14ac:dyDescent="0.25">
      <c r="A4758" s="308">
        <v>45841</v>
      </c>
      <c r="B4758" s="419">
        <v>1146737</v>
      </c>
      <c r="C4758" s="638" t="str">
        <f>IFERROR(INDEX(Table14[],MATCH($B4758,Table14[SAPNo],0),3),"")</f>
        <v>1613 CT418 18-60</v>
      </c>
      <c r="D4758" s="420" t="s">
        <v>12</v>
      </c>
      <c r="E4758" s="421">
        <v>40</v>
      </c>
      <c r="F4758" s="421"/>
      <c r="G4758" s="420" t="s">
        <v>2972</v>
      </c>
      <c r="H4758" s="599">
        <v>13710809</v>
      </c>
      <c r="I4758" s="322" t="s">
        <v>2973</v>
      </c>
      <c r="J4758" s="421"/>
      <c r="K4758" s="422"/>
      <c r="M4758" s="422"/>
    </row>
    <row r="4759" spans="1:13" x14ac:dyDescent="0.25">
      <c r="A4759" s="308">
        <v>45841</v>
      </c>
      <c r="B4759" s="419">
        <v>1288783</v>
      </c>
      <c r="C4759" s="638" t="str">
        <f>IFERROR(INDEX(Table14[],MATCH($B4759,Table14[SAPNo],0),3),"")</f>
        <v>1613 CT179 18-60</v>
      </c>
      <c r="D4759" s="420" t="s">
        <v>12</v>
      </c>
      <c r="E4759" s="421">
        <v>7</v>
      </c>
      <c r="F4759" s="421"/>
      <c r="G4759" s="420" t="s">
        <v>2972</v>
      </c>
      <c r="H4759" s="599">
        <v>13710809</v>
      </c>
      <c r="I4759" s="322" t="s">
        <v>2973</v>
      </c>
      <c r="J4759" s="421"/>
      <c r="K4759" s="422"/>
      <c r="M4759" s="422"/>
    </row>
    <row r="4760" spans="1:13" x14ac:dyDescent="0.25">
      <c r="A4760" s="308">
        <v>45841</v>
      </c>
      <c r="B4760" s="419">
        <v>1263929</v>
      </c>
      <c r="C4760" s="638" t="str">
        <f>IFERROR(INDEX(Table14[],MATCH($B4760,Table14[SAPNo],0),3),"")</f>
        <v>1613 CT437 18-60</v>
      </c>
      <c r="D4760" s="420" t="s">
        <v>12</v>
      </c>
      <c r="E4760" s="421">
        <v>13</v>
      </c>
      <c r="F4760" s="421"/>
      <c r="G4760" s="420" t="s">
        <v>2974</v>
      </c>
      <c r="H4760" s="599">
        <v>14353136</v>
      </c>
      <c r="I4760" s="322" t="s">
        <v>2574</v>
      </c>
      <c r="J4760" s="421"/>
      <c r="K4760" s="422"/>
      <c r="M4760" s="422"/>
    </row>
    <row r="4761" spans="1:13" x14ac:dyDescent="0.25">
      <c r="A4761" s="308">
        <v>45841</v>
      </c>
      <c r="B4761" s="419">
        <v>2013726</v>
      </c>
      <c r="C4761" s="638" t="str">
        <f>IFERROR(INDEX(Table14[],MATCH($B4761,Table14[SAPNo],0),3),"")</f>
        <v>1913 CT172 18-60</v>
      </c>
      <c r="D4761" s="420" t="s">
        <v>12</v>
      </c>
      <c r="E4761" s="421">
        <v>24</v>
      </c>
      <c r="F4761" s="421"/>
      <c r="G4761" s="420" t="s">
        <v>2974</v>
      </c>
      <c r="H4761" s="599">
        <v>14353136</v>
      </c>
      <c r="I4761" s="322" t="s">
        <v>2574</v>
      </c>
      <c r="J4761" s="421"/>
      <c r="K4761" s="422"/>
      <c r="M4761" s="422"/>
    </row>
    <row r="4762" spans="1:13" x14ac:dyDescent="0.25">
      <c r="A4762" s="308">
        <v>45841</v>
      </c>
      <c r="B4762" s="419">
        <v>1146737</v>
      </c>
      <c r="C4762" s="638" t="str">
        <f>IFERROR(INDEX(Table14[],MATCH($B4762,Table14[SAPNo],0),3),"")</f>
        <v>1613 CT418 18-60</v>
      </c>
      <c r="D4762" s="420" t="s">
        <v>12</v>
      </c>
      <c r="E4762" s="421">
        <v>17</v>
      </c>
      <c r="F4762" s="421"/>
      <c r="G4762" s="420" t="s">
        <v>2974</v>
      </c>
      <c r="H4762" s="599">
        <v>14353136</v>
      </c>
      <c r="I4762" s="322" t="s">
        <v>2574</v>
      </c>
      <c r="J4762" s="421"/>
      <c r="K4762" s="422"/>
      <c r="M4762" s="422"/>
    </row>
    <row r="4763" spans="1:13" x14ac:dyDescent="0.25">
      <c r="A4763" s="308">
        <v>45841</v>
      </c>
      <c r="B4763" s="419">
        <v>871781</v>
      </c>
      <c r="C4763" s="638" t="str">
        <f>IFERROR(INDEX(Table14[],MATCH($B4763,Table14[SAPNo],0),3),"")</f>
        <v>Round 1313 CT200  0.018" (B)</v>
      </c>
      <c r="D4763" s="420" t="s">
        <v>12</v>
      </c>
      <c r="E4763" s="421">
        <v>8</v>
      </c>
      <c r="F4763" s="421"/>
      <c r="G4763" s="420" t="s">
        <v>2974</v>
      </c>
      <c r="H4763" s="599">
        <v>14353136</v>
      </c>
      <c r="I4763" s="322" t="s">
        <v>2574</v>
      </c>
      <c r="J4763" s="421"/>
      <c r="K4763" s="422"/>
      <c r="M4763" s="422"/>
    </row>
    <row r="4764" spans="1:13" x14ac:dyDescent="0.25">
      <c r="A4764" s="308">
        <v>45841</v>
      </c>
      <c r="B4764" s="419">
        <v>1100753</v>
      </c>
      <c r="C4764" s="638" t="str">
        <f>IFERROR(INDEX(Table14[],MATCH($B4764,Table14[SAPNo],0),3),"")</f>
        <v>1608 18C CT421</v>
      </c>
      <c r="D4764" s="420" t="s">
        <v>12</v>
      </c>
      <c r="E4764" s="421">
        <v>8</v>
      </c>
      <c r="F4764" s="421"/>
      <c r="G4764" s="420" t="s">
        <v>2974</v>
      </c>
      <c r="H4764" s="599">
        <v>14353136</v>
      </c>
      <c r="I4764" s="322" t="s">
        <v>2574</v>
      </c>
      <c r="J4764" s="421"/>
      <c r="K4764" s="422"/>
      <c r="M4764" s="422"/>
    </row>
    <row r="4765" spans="1:13" x14ac:dyDescent="0.25">
      <c r="A4765" s="308">
        <v>45841</v>
      </c>
      <c r="B4765" s="419">
        <v>1291870</v>
      </c>
      <c r="C4765" s="638" t="str">
        <f>IFERROR(INDEX(Table14[],MATCH($B4765,Table14[SAPNo],0),3),"")</f>
        <v>1613 CT186 18-60</v>
      </c>
      <c r="D4765" s="420" t="s">
        <v>12</v>
      </c>
      <c r="E4765" s="421">
        <v>13</v>
      </c>
      <c r="F4765" s="421"/>
      <c r="G4765" s="420" t="s">
        <v>2974</v>
      </c>
      <c r="H4765" s="599">
        <v>14353136</v>
      </c>
      <c r="I4765" s="322" t="s">
        <v>2574</v>
      </c>
      <c r="J4765" s="421"/>
      <c r="K4765" s="422"/>
      <c r="M4765" s="422"/>
    </row>
    <row r="4766" spans="1:13" x14ac:dyDescent="0.25">
      <c r="A4766" s="308">
        <v>45841</v>
      </c>
      <c r="B4766" s="419">
        <v>729687</v>
      </c>
      <c r="C4766" s="638" t="str">
        <f>IFERROR(INDEX(Table14[],MATCH($B4766,Table14[SAPNo],0),3),"")</f>
        <v>Round 1613 CT82  10C (S)</v>
      </c>
      <c r="D4766" s="420" t="s">
        <v>12</v>
      </c>
      <c r="E4766" s="421">
        <v>35</v>
      </c>
      <c r="F4766" s="421"/>
      <c r="G4766" s="420" t="s">
        <v>2974</v>
      </c>
      <c r="H4766" s="599">
        <v>14353136</v>
      </c>
      <c r="I4766" s="322" t="s">
        <v>2574</v>
      </c>
      <c r="J4766" s="421"/>
      <c r="K4766" s="422"/>
      <c r="M4766" s="422"/>
    </row>
    <row r="4767" spans="1:13" x14ac:dyDescent="0.25">
      <c r="A4767" s="308">
        <v>45841</v>
      </c>
      <c r="B4767" s="419">
        <v>1271790</v>
      </c>
      <c r="C4767" s="638" t="str">
        <f>IFERROR(INDEX(Table14[],MATCH($B4767,Table14[SAPNo],0),3),"")</f>
        <v xml:space="preserve">1613 CT170 18-60 </v>
      </c>
      <c r="D4767" s="420" t="s">
        <v>12</v>
      </c>
      <c r="E4767" s="421">
        <v>47</v>
      </c>
      <c r="F4767" s="421"/>
      <c r="G4767" s="420" t="s">
        <v>2975</v>
      </c>
      <c r="H4767" s="599">
        <v>13740215</v>
      </c>
      <c r="I4767" s="322" t="s">
        <v>2976</v>
      </c>
      <c r="J4767" s="421"/>
      <c r="K4767" s="422"/>
      <c r="M4767" s="422"/>
    </row>
    <row r="4768" spans="1:13" x14ac:dyDescent="0.25">
      <c r="A4768" s="308">
        <v>45841</v>
      </c>
      <c r="B4768" s="419">
        <v>1146737</v>
      </c>
      <c r="C4768" s="638" t="str">
        <f>IFERROR(INDEX(Table14[],MATCH($B4768,Table14[SAPNo],0),3),"")</f>
        <v>1613 CT418 18-60</v>
      </c>
      <c r="D4768" s="420" t="s">
        <v>12</v>
      </c>
      <c r="E4768" s="421">
        <v>33</v>
      </c>
      <c r="F4768" s="421"/>
      <c r="G4768" s="420" t="s">
        <v>2975</v>
      </c>
      <c r="H4768" s="599">
        <v>13740215</v>
      </c>
      <c r="I4768" s="322" t="s">
        <v>2976</v>
      </c>
      <c r="J4768" s="421"/>
      <c r="K4768" s="422"/>
      <c r="M4768" s="422"/>
    </row>
    <row r="4769" spans="1:13" x14ac:dyDescent="0.25">
      <c r="A4769" s="308">
        <v>45845</v>
      </c>
      <c r="B4769" s="416">
        <v>2013726</v>
      </c>
      <c r="C4769" s="638" t="s">
        <v>2977</v>
      </c>
      <c r="D4769" s="420" t="s">
        <v>12</v>
      </c>
      <c r="E4769" s="421"/>
      <c r="F4769" s="421">
        <v>132</v>
      </c>
      <c r="G4769" s="417" t="s">
        <v>2513</v>
      </c>
      <c r="H4769" s="598"/>
      <c r="I4769" s="322"/>
      <c r="J4769" s="418" t="s">
        <v>1002</v>
      </c>
      <c r="K4769" s="248"/>
      <c r="M4769" s="422"/>
    </row>
    <row r="4770" spans="1:13" x14ac:dyDescent="0.25">
      <c r="A4770" s="320">
        <v>45845</v>
      </c>
      <c r="B4770" s="419">
        <v>1291852</v>
      </c>
      <c r="C4770" s="638" t="s">
        <v>2978</v>
      </c>
      <c r="D4770" s="420" t="s">
        <v>12</v>
      </c>
      <c r="E4770" s="421"/>
      <c r="F4770" s="580">
        <v>19</v>
      </c>
      <c r="G4770" s="420" t="s">
        <v>2513</v>
      </c>
      <c r="H4770" s="599"/>
      <c r="I4770" s="322"/>
      <c r="J4770" s="421" t="s">
        <v>1013</v>
      </c>
      <c r="K4770" s="422"/>
      <c r="M4770" s="366"/>
    </row>
    <row r="4771" spans="1:13" x14ac:dyDescent="0.25">
      <c r="A4771" s="320">
        <v>45845</v>
      </c>
      <c r="B4771" s="419">
        <v>1220554</v>
      </c>
      <c r="C4771" s="638" t="str">
        <f>IFERROR(INDEX(Table14[],MATCH($B4771,Table14[SAPNo],0),3),"")</f>
        <v xml:space="preserve">1618 CT182 U-60 Carbide </v>
      </c>
      <c r="D4771" s="420" t="s">
        <v>12</v>
      </c>
      <c r="E4771" s="421"/>
      <c r="F4771" s="421">
        <v>135</v>
      </c>
      <c r="G4771" s="420" t="s">
        <v>2513</v>
      </c>
      <c r="H4771" s="599"/>
      <c r="I4771" s="322"/>
      <c r="J4771" s="421" t="s">
        <v>989</v>
      </c>
      <c r="K4771" s="422"/>
      <c r="M4771" s="422"/>
    </row>
    <row r="4772" spans="1:13" x14ac:dyDescent="0.25">
      <c r="A4772" s="308">
        <v>45845</v>
      </c>
      <c r="B4772" s="416">
        <v>1146346</v>
      </c>
      <c r="C4772" s="638" t="str">
        <f>IFERROR(INDEX(Table14[],MATCH($B4772,Table14[SAPNo],0),3),"")</f>
        <v>1313 CT418 18-60</v>
      </c>
      <c r="D4772" s="420" t="s">
        <v>12</v>
      </c>
      <c r="E4772" s="421">
        <v>11</v>
      </c>
      <c r="F4772" s="421"/>
      <c r="G4772" s="417">
        <v>20251073</v>
      </c>
      <c r="H4772" s="598" t="s">
        <v>2979</v>
      </c>
      <c r="I4772" s="322" t="s">
        <v>1282</v>
      </c>
      <c r="J4772" s="418"/>
      <c r="K4772" s="248"/>
      <c r="M4772" s="422"/>
    </row>
    <row r="4773" spans="1:13" x14ac:dyDescent="0.25">
      <c r="A4773" s="308">
        <v>45845</v>
      </c>
      <c r="B4773" s="416">
        <v>871781</v>
      </c>
      <c r="C4773" s="638" t="str">
        <f>IFERROR(INDEX(Table14[],MATCH($B4773,Table14[SAPNo],0),3),"")</f>
        <v>Round 1313 CT200  0.018" (B)</v>
      </c>
      <c r="D4773" s="420" t="s">
        <v>12</v>
      </c>
      <c r="E4773" s="421">
        <v>6</v>
      </c>
      <c r="F4773" s="580"/>
      <c r="G4773" s="417" t="s">
        <v>2980</v>
      </c>
      <c r="H4773" s="598">
        <v>14304774</v>
      </c>
      <c r="I4773" s="322" t="s">
        <v>2981</v>
      </c>
      <c r="J4773" s="418"/>
      <c r="K4773" s="248"/>
      <c r="M4773" s="366"/>
    </row>
    <row r="4774" spans="1:13" x14ac:dyDescent="0.25">
      <c r="A4774" s="308">
        <v>45845</v>
      </c>
      <c r="B4774" s="416">
        <v>647435</v>
      </c>
      <c r="C4774" s="638" t="str">
        <f>IFERROR(INDEX(Table14[],MATCH($B4774,Table14[SAPNo],0),3),"")</f>
        <v>Round 1608 CT200  0.018" (B)</v>
      </c>
      <c r="D4774" s="420" t="s">
        <v>12</v>
      </c>
      <c r="E4774" s="421">
        <v>23</v>
      </c>
      <c r="F4774" s="580"/>
      <c r="G4774" s="417" t="s">
        <v>2980</v>
      </c>
      <c r="H4774" s="598">
        <v>14304774</v>
      </c>
      <c r="I4774" s="322" t="s">
        <v>2981</v>
      </c>
      <c r="J4774" s="418"/>
      <c r="K4774" s="248"/>
      <c r="M4774" s="366"/>
    </row>
    <row r="4775" spans="1:13" x14ac:dyDescent="0.25">
      <c r="A4775" s="308">
        <v>45845</v>
      </c>
      <c r="B4775" s="416">
        <v>1130198</v>
      </c>
      <c r="C4775" s="638" t="str">
        <f>IFERROR(INDEX(Table14[],MATCH($B4775,Table14[SAPNo],0),3),"")</f>
        <v>Round 1613 CT182  0.018" (S)</v>
      </c>
      <c r="D4775" s="420" t="s">
        <v>1072</v>
      </c>
      <c r="E4775" s="421">
        <v>33</v>
      </c>
      <c r="F4775" s="580"/>
      <c r="G4775" s="417" t="s">
        <v>2980</v>
      </c>
      <c r="H4775" s="598">
        <v>14304774</v>
      </c>
      <c r="I4775" s="322" t="s">
        <v>2981</v>
      </c>
      <c r="J4775" s="418"/>
      <c r="K4775" s="248"/>
      <c r="M4775" s="366"/>
    </row>
    <row r="4776" spans="1:13" x14ac:dyDescent="0.25">
      <c r="A4776" s="308">
        <v>45846</v>
      </c>
      <c r="B4776" s="416">
        <v>729687</v>
      </c>
      <c r="C4776" s="638" t="str">
        <f>IFERROR(INDEX(Table14[],MATCH($B4776,Table14[SAPNo],0),3),"")</f>
        <v>Round 1613 CT82  10C (S)</v>
      </c>
      <c r="D4776" s="420" t="s">
        <v>12</v>
      </c>
      <c r="E4776" s="421">
        <v>1</v>
      </c>
      <c r="F4776" s="580"/>
      <c r="G4776" s="417" t="s">
        <v>2974</v>
      </c>
      <c r="H4776" s="598">
        <v>14353136</v>
      </c>
      <c r="I4776" s="322" t="s">
        <v>2574</v>
      </c>
      <c r="J4776" s="418"/>
      <c r="K4776" s="248" t="s">
        <v>2546</v>
      </c>
      <c r="M4776" s="366"/>
    </row>
    <row r="4777" spans="1:13" x14ac:dyDescent="0.25">
      <c r="A4777" s="308">
        <v>45846</v>
      </c>
      <c r="B4777" s="416">
        <v>871781</v>
      </c>
      <c r="C4777" s="638" t="str">
        <f>IFERROR(INDEX(Table14[],MATCH($B4777,Table14[SAPNo],0),3),"")</f>
        <v>Round 1313 CT200  0.018" (B)</v>
      </c>
      <c r="D4777" s="420" t="s">
        <v>12</v>
      </c>
      <c r="E4777" s="421">
        <v>8</v>
      </c>
      <c r="F4777" s="580"/>
      <c r="G4777" s="417" t="s">
        <v>2982</v>
      </c>
      <c r="H4777" s="598">
        <v>14369055</v>
      </c>
      <c r="I4777" s="322" t="s">
        <v>2740</v>
      </c>
      <c r="J4777" s="418"/>
      <c r="K4777" s="248"/>
      <c r="M4777" s="366"/>
    </row>
    <row r="4778" spans="1:13" x14ac:dyDescent="0.25">
      <c r="A4778" s="308">
        <v>45846</v>
      </c>
      <c r="B4778" s="416">
        <v>708306</v>
      </c>
      <c r="C4778" s="638" t="str">
        <f>IFERROR(INDEX(Table14[],MATCH($B4778,Table14[SAPNo],0),3),"")</f>
        <v>Round 1913 CT200  0.018" (B)</v>
      </c>
      <c r="D4778" s="420" t="s">
        <v>12</v>
      </c>
      <c r="E4778" s="421">
        <v>34</v>
      </c>
      <c r="F4778" s="580"/>
      <c r="G4778" s="417" t="s">
        <v>2982</v>
      </c>
      <c r="H4778" s="598">
        <v>14369055</v>
      </c>
      <c r="I4778" s="322" t="s">
        <v>2740</v>
      </c>
      <c r="J4778" s="418"/>
      <c r="K4778" s="248"/>
      <c r="M4778" s="366"/>
    </row>
    <row r="4779" spans="1:13" x14ac:dyDescent="0.25">
      <c r="A4779" s="308">
        <v>45846</v>
      </c>
      <c r="B4779" s="416">
        <v>2013726</v>
      </c>
      <c r="C4779" s="638" t="str">
        <f>IFERROR(INDEX(Table14[],MATCH($B4779,Table14[SAPNo],0),3),"")</f>
        <v>1913 CT172 18-60</v>
      </c>
      <c r="D4779" s="420" t="s">
        <v>12</v>
      </c>
      <c r="E4779" s="421">
        <v>18</v>
      </c>
      <c r="F4779" s="580"/>
      <c r="G4779" s="417" t="s">
        <v>2982</v>
      </c>
      <c r="H4779" s="598">
        <v>14369055</v>
      </c>
      <c r="I4779" s="322" t="s">
        <v>2740</v>
      </c>
      <c r="J4779" s="418"/>
      <c r="K4779" s="248"/>
      <c r="M4779" s="366"/>
    </row>
    <row r="4780" spans="1:13" x14ac:dyDescent="0.25">
      <c r="A4780" s="308">
        <v>45846</v>
      </c>
      <c r="B4780" s="416">
        <v>1100759</v>
      </c>
      <c r="C4780" s="638" t="str">
        <f>IFERROR(INDEX(Table14[],MATCH($B4780,Table14[SAPNo],0),3),"")</f>
        <v>1913 CT421 0.018"</v>
      </c>
      <c r="D4780" s="420" t="s">
        <v>1072</v>
      </c>
      <c r="E4780" s="421">
        <v>30</v>
      </c>
      <c r="F4780" s="580"/>
      <c r="G4780" s="417" t="s">
        <v>2982</v>
      </c>
      <c r="H4780" s="598">
        <v>14369055</v>
      </c>
      <c r="I4780" s="322" t="s">
        <v>2740</v>
      </c>
      <c r="J4780" s="418"/>
      <c r="K4780" s="248"/>
      <c r="M4780" s="366"/>
    </row>
    <row r="4781" spans="1:13" x14ac:dyDescent="0.25">
      <c r="A4781" s="308">
        <v>45846</v>
      </c>
      <c r="B4781" s="416">
        <v>1130198</v>
      </c>
      <c r="C4781" s="638" t="str">
        <f>IFERROR(INDEX(Table14[],MATCH($B4781,Table14[SAPNo],0),3),"")</f>
        <v>Round 1613 CT182  0.018" (S)</v>
      </c>
      <c r="D4781" s="420" t="s">
        <v>1072</v>
      </c>
      <c r="E4781" s="421">
        <v>9</v>
      </c>
      <c r="F4781" s="580"/>
      <c r="G4781" s="417" t="s">
        <v>2982</v>
      </c>
      <c r="H4781" s="598">
        <v>14369055</v>
      </c>
      <c r="I4781" s="322" t="s">
        <v>2740</v>
      </c>
      <c r="J4781" s="418"/>
      <c r="K4781" s="248"/>
      <c r="M4781" s="366"/>
    </row>
    <row r="4782" spans="1:13" x14ac:dyDescent="0.25">
      <c r="A4782" s="308">
        <v>45847</v>
      </c>
      <c r="B4782" s="416">
        <v>1228502</v>
      </c>
      <c r="C4782" s="638" t="str">
        <f>IFERROR(INDEX(Table14[],MATCH($B4782,Table14[SAPNo],0),3),"")</f>
        <v>1618 CT182 U-60 Rotor</v>
      </c>
      <c r="D4782" s="420" t="s">
        <v>12</v>
      </c>
      <c r="E4782" s="421">
        <v>10</v>
      </c>
      <c r="F4782" s="580"/>
      <c r="G4782" s="417" t="s">
        <v>2983</v>
      </c>
      <c r="H4782" s="598">
        <v>14396646</v>
      </c>
      <c r="I4782" s="322" t="s">
        <v>2984</v>
      </c>
      <c r="J4782" s="418"/>
      <c r="K4782" s="248"/>
      <c r="M4782" s="366"/>
    </row>
    <row r="4783" spans="1:13" x14ac:dyDescent="0.25">
      <c r="A4783" s="308">
        <v>45847</v>
      </c>
      <c r="B4783" s="416">
        <v>1261321</v>
      </c>
      <c r="C4783" s="638" t="str">
        <f>IFERROR(INDEX(Table14[],MATCH($B4783,Table14[SAPNo],0),3),"")</f>
        <v>1613 CT155 U-60</v>
      </c>
      <c r="D4783" s="420" t="s">
        <v>12</v>
      </c>
      <c r="E4783" s="421">
        <v>2</v>
      </c>
      <c r="F4783" s="580"/>
      <c r="G4783" s="417" t="s">
        <v>2983</v>
      </c>
      <c r="H4783" s="598">
        <v>14396646</v>
      </c>
      <c r="I4783" s="322" t="s">
        <v>2984</v>
      </c>
      <c r="J4783" s="418"/>
      <c r="K4783" s="248"/>
      <c r="M4783" s="366"/>
    </row>
    <row r="4784" spans="1:13" x14ac:dyDescent="0.25">
      <c r="A4784" s="308">
        <v>45847</v>
      </c>
      <c r="B4784" s="416">
        <v>1162285</v>
      </c>
      <c r="C4784" s="638" t="str">
        <f>IFERROR(INDEX(Table14[],MATCH($B4784,Table14[SAPNo],0),3),"")</f>
        <v>1313 CT154 U</v>
      </c>
      <c r="D4784" s="420" t="s">
        <v>12</v>
      </c>
      <c r="E4784" s="421">
        <v>9</v>
      </c>
      <c r="F4784" s="580"/>
      <c r="G4784" s="417" t="s">
        <v>2983</v>
      </c>
      <c r="H4784" s="598">
        <v>14396646</v>
      </c>
      <c r="I4784" s="322" t="s">
        <v>2984</v>
      </c>
      <c r="J4784" s="418"/>
      <c r="K4784" s="248"/>
      <c r="M4784" s="366"/>
    </row>
    <row r="4785" spans="1:13" x14ac:dyDescent="0.25">
      <c r="A4785" s="308">
        <v>45847</v>
      </c>
      <c r="B4785" s="416">
        <v>1176641</v>
      </c>
      <c r="C4785" s="638" t="str">
        <f>IFERROR(INDEX(Table14[],MATCH($B4785,Table14[SAPNo],0),3),"")</f>
        <v>1613 CT155 0.018</v>
      </c>
      <c r="D4785" s="420" t="s">
        <v>12</v>
      </c>
      <c r="E4785" s="421">
        <v>1</v>
      </c>
      <c r="F4785" s="580"/>
      <c r="G4785" s="417" t="s">
        <v>2983</v>
      </c>
      <c r="H4785" s="598">
        <v>14396646</v>
      </c>
      <c r="I4785" s="322" t="s">
        <v>2984</v>
      </c>
      <c r="J4785" s="418"/>
      <c r="K4785" s="248"/>
      <c r="M4785" s="366"/>
    </row>
    <row r="4786" spans="1:13" x14ac:dyDescent="0.25">
      <c r="A4786" s="308">
        <v>45847</v>
      </c>
      <c r="B4786" s="416">
        <v>1228501</v>
      </c>
      <c r="C4786" s="638" t="str">
        <f>IFERROR(INDEX(Table14[],MATCH($B4786,Table14[SAPNo],0),3),"")</f>
        <v>1618 CT182 U-60 stator</v>
      </c>
      <c r="D4786" s="420" t="s">
        <v>12</v>
      </c>
      <c r="E4786" s="421">
        <v>10</v>
      </c>
      <c r="F4786" s="580"/>
      <c r="G4786" s="417" t="s">
        <v>2983</v>
      </c>
      <c r="H4786" s="598">
        <v>14396646</v>
      </c>
      <c r="I4786" s="322" t="s">
        <v>2984</v>
      </c>
      <c r="J4786" s="418"/>
      <c r="K4786" s="248"/>
      <c r="M4786" s="366"/>
    </row>
    <row r="4787" spans="1:13" x14ac:dyDescent="0.25">
      <c r="A4787" s="308">
        <v>45847</v>
      </c>
      <c r="B4787" s="416">
        <v>1039036</v>
      </c>
      <c r="C4787" s="638" t="str">
        <f>IFERROR(INDEX(Table14[],MATCH($B4787,Table14[SAPNo],0),3),"")</f>
        <v>Round 1313 CT138  0.018" (S)</v>
      </c>
      <c r="D4787" s="420" t="s">
        <v>12</v>
      </c>
      <c r="E4787" s="421">
        <v>6</v>
      </c>
      <c r="F4787" s="580"/>
      <c r="G4787" s="417" t="s">
        <v>2983</v>
      </c>
      <c r="H4787" s="598">
        <v>14396646</v>
      </c>
      <c r="I4787" s="322" t="s">
        <v>2984</v>
      </c>
      <c r="J4787" s="418"/>
      <c r="K4787" s="248"/>
      <c r="M4787" s="366"/>
    </row>
    <row r="4788" spans="1:13" x14ac:dyDescent="0.25">
      <c r="A4788" s="308">
        <v>45847</v>
      </c>
      <c r="B4788" s="416">
        <v>1228503</v>
      </c>
      <c r="C4788" s="638" t="str">
        <f>IFERROR(INDEX(Table14[],MATCH($B4788,Table14[SAPNo],0),3),"")</f>
        <v>1618 CT182 U-60 Ring</v>
      </c>
      <c r="D4788" s="420" t="s">
        <v>12</v>
      </c>
      <c r="E4788" s="421">
        <v>10</v>
      </c>
      <c r="F4788" s="580"/>
      <c r="G4788" s="417" t="s">
        <v>2983</v>
      </c>
      <c r="H4788" s="598">
        <v>14396646</v>
      </c>
      <c r="I4788" s="322" t="s">
        <v>2984</v>
      </c>
      <c r="J4788" s="418"/>
      <c r="K4788" s="248"/>
      <c r="M4788" s="366"/>
    </row>
    <row r="4789" spans="1:13" x14ac:dyDescent="0.25">
      <c r="A4789" s="308">
        <v>45847</v>
      </c>
      <c r="B4789" s="416">
        <v>1220554</v>
      </c>
      <c r="C4789" s="638" t="str">
        <f>IFERROR(INDEX(Table14[],MATCH($B4789,Table14[SAPNo],0),3),"")</f>
        <v xml:space="preserve">1618 CT182 U-60 Carbide </v>
      </c>
      <c r="D4789" s="420" t="s">
        <v>12</v>
      </c>
      <c r="E4789" s="421">
        <v>10</v>
      </c>
      <c r="F4789" s="580"/>
      <c r="G4789" s="417" t="s">
        <v>2983</v>
      </c>
      <c r="H4789" s="598">
        <v>14396646</v>
      </c>
      <c r="I4789" s="322" t="s">
        <v>2984</v>
      </c>
      <c r="J4789" s="418"/>
      <c r="K4789" s="248"/>
      <c r="M4789" s="366"/>
    </row>
    <row r="4790" spans="1:13" x14ac:dyDescent="0.25">
      <c r="A4790" s="308">
        <v>45847</v>
      </c>
      <c r="B4790" s="416">
        <v>871781</v>
      </c>
      <c r="C4790" s="638" t="str">
        <f>IFERROR(INDEX(Table14[],MATCH($B4790,Table14[SAPNo],0),3),"")</f>
        <v>Round 1313 CT200  0.018" (B)</v>
      </c>
      <c r="D4790" s="420" t="s">
        <v>12</v>
      </c>
      <c r="E4790" s="421">
        <v>6</v>
      </c>
      <c r="F4790" s="580"/>
      <c r="G4790" s="417" t="s">
        <v>2983</v>
      </c>
      <c r="H4790" s="598">
        <v>14396646</v>
      </c>
      <c r="I4790" s="322" t="s">
        <v>2984</v>
      </c>
      <c r="J4790" s="418"/>
      <c r="K4790" s="248"/>
      <c r="M4790" s="366"/>
    </row>
    <row r="4791" spans="1:13" x14ac:dyDescent="0.25">
      <c r="A4791" s="308">
        <v>45847</v>
      </c>
      <c r="B4791" s="416">
        <v>2002299</v>
      </c>
      <c r="C4791" s="638" t="str">
        <f>IFERROR(INDEX(Table14[],MATCH($B4791,Table14[SAPNo],0),3),"")</f>
        <v>1613 CT187 U-60</v>
      </c>
      <c r="D4791" s="420" t="s">
        <v>12</v>
      </c>
      <c r="E4791" s="421">
        <v>1</v>
      </c>
      <c r="F4791" s="580"/>
      <c r="G4791" s="417" t="s">
        <v>2983</v>
      </c>
      <c r="H4791" s="598">
        <v>14396646</v>
      </c>
      <c r="I4791" s="322" t="s">
        <v>2984</v>
      </c>
      <c r="J4791" s="418"/>
      <c r="K4791" s="248"/>
      <c r="M4791" s="366"/>
    </row>
    <row r="4792" spans="1:13" x14ac:dyDescent="0.25">
      <c r="A4792" s="320">
        <v>45847</v>
      </c>
      <c r="B4792" s="419">
        <v>738227</v>
      </c>
      <c r="C4792" s="638" t="str">
        <f>IFERROR(INDEX(Table14[],MATCH($B4792,Table14[SAPNo],0),3),"")</f>
        <v>Round 1308 CR31  0.018" (T)</v>
      </c>
      <c r="D4792" s="420" t="s">
        <v>1072</v>
      </c>
      <c r="E4792" s="421">
        <v>15</v>
      </c>
      <c r="F4792" s="580"/>
      <c r="G4792" s="420" t="s">
        <v>2983</v>
      </c>
      <c r="H4792" s="599">
        <v>14396646</v>
      </c>
      <c r="I4792" s="322" t="s">
        <v>2984</v>
      </c>
      <c r="J4792" s="421"/>
      <c r="K4792" s="422"/>
      <c r="M4792" s="366"/>
    </row>
    <row r="4793" spans="1:13" x14ac:dyDescent="0.25">
      <c r="A4793" s="308">
        <v>45848</v>
      </c>
      <c r="B4793" s="416">
        <v>1130198</v>
      </c>
      <c r="C4793" s="638" t="s">
        <v>2985</v>
      </c>
      <c r="D4793" s="420" t="s">
        <v>8</v>
      </c>
      <c r="E4793" s="421"/>
      <c r="F4793" s="421">
        <v>40</v>
      </c>
      <c r="G4793" s="417" t="s">
        <v>2972</v>
      </c>
      <c r="H4793" s="598">
        <v>13710809</v>
      </c>
      <c r="I4793" s="322" t="s">
        <v>2973</v>
      </c>
      <c r="J4793" s="418"/>
      <c r="K4793" s="248"/>
      <c r="M4793" s="422"/>
    </row>
    <row r="4794" spans="1:13" x14ac:dyDescent="0.25">
      <c r="A4794" s="320">
        <v>45848</v>
      </c>
      <c r="B4794" s="419">
        <v>1130198</v>
      </c>
      <c r="C4794" s="638" t="s">
        <v>2985</v>
      </c>
      <c r="D4794" s="420" t="s">
        <v>9</v>
      </c>
      <c r="E4794" s="421"/>
      <c r="F4794" s="580">
        <v>7</v>
      </c>
      <c r="G4794" s="420" t="s">
        <v>2972</v>
      </c>
      <c r="H4794" s="599">
        <v>13710809</v>
      </c>
      <c r="I4794" s="322" t="s">
        <v>2973</v>
      </c>
      <c r="J4794" s="421"/>
      <c r="K4794" s="422"/>
      <c r="M4794" s="366"/>
    </row>
    <row r="4795" spans="1:13" x14ac:dyDescent="0.25">
      <c r="A4795" s="308">
        <v>45848</v>
      </c>
      <c r="B4795" s="416">
        <v>1146737</v>
      </c>
      <c r="C4795" s="638" t="str">
        <f>IFERROR(INDEX(Table14[],MATCH($B4795,Table14[SAPNo],0),3),"")</f>
        <v>1613 CT418 18-60</v>
      </c>
      <c r="D4795" s="420" t="s">
        <v>12</v>
      </c>
      <c r="E4795" s="421">
        <v>8</v>
      </c>
      <c r="F4795" s="421"/>
      <c r="G4795" s="417" t="s">
        <v>2986</v>
      </c>
      <c r="H4795" s="598">
        <v>14305486</v>
      </c>
      <c r="I4795" s="322" t="s">
        <v>2987</v>
      </c>
      <c r="J4795" s="418"/>
      <c r="K4795" s="248"/>
      <c r="M4795" s="422"/>
    </row>
    <row r="4796" spans="1:13" x14ac:dyDescent="0.25">
      <c r="A4796" s="308">
        <v>45848</v>
      </c>
      <c r="B4796" s="416">
        <v>1208601</v>
      </c>
      <c r="C4796" s="638" t="str">
        <f>IFERROR(INDEX(Table14[],MATCH($B4796,Table14[SAPNo],0),3),"")</f>
        <v>1613 CT418 U-60</v>
      </c>
      <c r="D4796" s="420" t="s">
        <v>12</v>
      </c>
      <c r="E4796" s="421">
        <v>11</v>
      </c>
      <c r="F4796" s="580"/>
      <c r="G4796" s="417" t="s">
        <v>2986</v>
      </c>
      <c r="H4796" s="598">
        <v>14305486</v>
      </c>
      <c r="I4796" s="322" t="s">
        <v>2987</v>
      </c>
      <c r="J4796" s="418"/>
      <c r="K4796" s="248"/>
      <c r="M4796" s="366"/>
    </row>
    <row r="4797" spans="1:13" x14ac:dyDescent="0.25">
      <c r="A4797" s="308">
        <v>45848</v>
      </c>
      <c r="B4797" s="416">
        <v>1296685</v>
      </c>
      <c r="C4797" s="638" t="str">
        <f>IFERROR(INDEX(Table14[],MATCH($B4797,Table14[SAPNo],0),3),"")</f>
        <v>1613 CT179R U</v>
      </c>
      <c r="D4797" s="420" t="s">
        <v>12</v>
      </c>
      <c r="E4797" s="421">
        <v>30</v>
      </c>
      <c r="F4797" s="580"/>
      <c r="G4797" s="417" t="s">
        <v>2986</v>
      </c>
      <c r="H4797" s="598">
        <v>14305486</v>
      </c>
      <c r="I4797" s="322" t="s">
        <v>2987</v>
      </c>
      <c r="J4797" s="418"/>
      <c r="K4797" s="248"/>
      <c r="M4797" s="366"/>
    </row>
    <row r="4798" spans="1:13" x14ac:dyDescent="0.25">
      <c r="A4798" s="308">
        <v>45848</v>
      </c>
      <c r="B4798" s="416">
        <v>871781</v>
      </c>
      <c r="C4798" s="638" t="str">
        <f>IFERROR(INDEX(Table14[],MATCH($B4798,Table14[SAPNo],0),3),"")</f>
        <v>Round 1313 CT200  0.018" (B)</v>
      </c>
      <c r="D4798" s="420" t="s">
        <v>12</v>
      </c>
      <c r="E4798" s="421">
        <v>7</v>
      </c>
      <c r="F4798" s="580"/>
      <c r="G4798" s="417" t="s">
        <v>2986</v>
      </c>
      <c r="H4798" s="598">
        <v>14305486</v>
      </c>
      <c r="I4798" s="322" t="s">
        <v>2987</v>
      </c>
      <c r="J4798" s="418"/>
      <c r="K4798" s="248"/>
      <c r="M4798" s="366"/>
    </row>
    <row r="4799" spans="1:13" x14ac:dyDescent="0.25">
      <c r="A4799" s="308">
        <v>45848</v>
      </c>
      <c r="B4799" s="416">
        <v>625854</v>
      </c>
      <c r="C4799" s="638" t="str">
        <f>IFERROR(INDEX(Table14[],MATCH($B4799,Table14[SAPNo],0),3),"")</f>
        <v>Carbide IA 1318    (C)</v>
      </c>
      <c r="D4799" s="420" t="s">
        <v>12</v>
      </c>
      <c r="E4799" s="421">
        <v>6</v>
      </c>
      <c r="F4799" s="580"/>
      <c r="G4799" s="417" t="s">
        <v>2986</v>
      </c>
      <c r="H4799" s="598">
        <v>14305486</v>
      </c>
      <c r="I4799" s="322" t="s">
        <v>2987</v>
      </c>
      <c r="J4799" s="418"/>
      <c r="K4799" s="248"/>
      <c r="M4799" s="366"/>
    </row>
    <row r="4800" spans="1:13" x14ac:dyDescent="0.25">
      <c r="A4800" s="308">
        <v>45848</v>
      </c>
      <c r="B4800" s="416">
        <v>729687</v>
      </c>
      <c r="C4800" s="638" t="str">
        <f>IFERROR(INDEX(Table14[],MATCH($B4800,Table14[SAPNo],0),3),"")</f>
        <v>Round 1613 CT82  10C (S)</v>
      </c>
      <c r="D4800" s="420" t="s">
        <v>12</v>
      </c>
      <c r="E4800" s="421">
        <v>21</v>
      </c>
      <c r="F4800" s="580"/>
      <c r="G4800" s="417" t="s">
        <v>2986</v>
      </c>
      <c r="H4800" s="598">
        <v>14305486</v>
      </c>
      <c r="I4800" s="322" t="s">
        <v>2987</v>
      </c>
      <c r="J4800" s="418"/>
      <c r="K4800" s="248"/>
      <c r="M4800" s="366"/>
    </row>
    <row r="4801" spans="1:13" x14ac:dyDescent="0.25">
      <c r="A4801" s="308">
        <v>45848</v>
      </c>
      <c r="B4801" s="416">
        <v>1288783</v>
      </c>
      <c r="C4801" s="638" t="str">
        <f>IFERROR(INDEX(Table14[],MATCH($B4801,Table14[SAPNo],0),3),"")</f>
        <v>1613 CT179 18-60</v>
      </c>
      <c r="D4801" s="420" t="s">
        <v>12</v>
      </c>
      <c r="E4801" s="421">
        <v>6</v>
      </c>
      <c r="F4801" s="580"/>
      <c r="G4801" s="417" t="s">
        <v>2986</v>
      </c>
      <c r="H4801" s="598">
        <v>14305486</v>
      </c>
      <c r="I4801" s="322" t="s">
        <v>2987</v>
      </c>
      <c r="J4801" s="418"/>
      <c r="K4801" s="248"/>
      <c r="M4801" s="366"/>
    </row>
    <row r="4802" spans="1:13" x14ac:dyDescent="0.25">
      <c r="A4802" s="308">
        <v>45848</v>
      </c>
      <c r="B4802" s="416">
        <v>418525</v>
      </c>
      <c r="C4802" s="638" t="str">
        <f>IFERROR(INDEX(Table14[],MATCH($B4802,Table14[SAPNo],0),3),"")</f>
        <v>Drop In 1308 CT31   (B)</v>
      </c>
      <c r="D4802" s="420" t="s">
        <v>12</v>
      </c>
      <c r="E4802" s="421">
        <v>5</v>
      </c>
      <c r="F4802" s="580"/>
      <c r="G4802" s="417" t="s">
        <v>2988</v>
      </c>
      <c r="H4802" s="598">
        <v>14353147</v>
      </c>
      <c r="I4802" s="322" t="s">
        <v>2311</v>
      </c>
      <c r="J4802" s="418"/>
      <c r="K4802" s="248"/>
      <c r="M4802" s="366"/>
    </row>
    <row r="4803" spans="1:13" x14ac:dyDescent="0.25">
      <c r="A4803" s="308">
        <v>45848</v>
      </c>
      <c r="B4803" s="416">
        <v>1146737</v>
      </c>
      <c r="C4803" s="638" t="str">
        <f>IFERROR(INDEX(Table14[],MATCH($B4803,Table14[SAPNo],0),3),"")</f>
        <v>1613 CT418 18-60</v>
      </c>
      <c r="D4803" s="420" t="s">
        <v>12</v>
      </c>
      <c r="E4803" s="421">
        <v>6</v>
      </c>
      <c r="F4803" s="580"/>
      <c r="G4803" s="417" t="s">
        <v>2988</v>
      </c>
      <c r="H4803" s="598">
        <v>14353147</v>
      </c>
      <c r="I4803" s="322" t="s">
        <v>2311</v>
      </c>
      <c r="J4803" s="418"/>
      <c r="K4803" s="248"/>
      <c r="M4803" s="366"/>
    </row>
    <row r="4804" spans="1:13" x14ac:dyDescent="0.25">
      <c r="A4804" s="308">
        <v>45849</v>
      </c>
      <c r="B4804" s="416">
        <v>418525</v>
      </c>
      <c r="C4804" s="638" t="str">
        <f>IFERROR(INDEX(Table14[],MATCH($B4804,Table14[SAPNo],0),3),"")</f>
        <v>Drop In 1308 CT31   (B)</v>
      </c>
      <c r="D4804" s="420" t="s">
        <v>12</v>
      </c>
      <c r="E4804" s="421">
        <v>6</v>
      </c>
      <c r="F4804" s="580"/>
      <c r="G4804" s="417" t="s">
        <v>2989</v>
      </c>
      <c r="H4804" s="598" t="s">
        <v>2990</v>
      </c>
      <c r="I4804" s="322" t="s">
        <v>2311</v>
      </c>
      <c r="J4804" s="418"/>
      <c r="K4804" s="248"/>
      <c r="M4804" s="366"/>
    </row>
    <row r="4805" spans="1:13" x14ac:dyDescent="0.25">
      <c r="A4805" s="308">
        <v>45849</v>
      </c>
      <c r="B4805" s="416">
        <v>1078377</v>
      </c>
      <c r="C4805" s="638" t="str">
        <f>IFERROR(INDEX(Table14[],MATCH($B4805,Table14[SAPNo],0),3),"")</f>
        <v>13MM CT221 R1</v>
      </c>
      <c r="D4805" s="420" t="s">
        <v>12</v>
      </c>
      <c r="E4805" s="421">
        <v>4</v>
      </c>
      <c r="F4805" s="580"/>
      <c r="G4805" s="417" t="s">
        <v>2989</v>
      </c>
      <c r="H4805" s="598" t="s">
        <v>2990</v>
      </c>
      <c r="I4805" s="322" t="s">
        <v>2311</v>
      </c>
      <c r="J4805" s="418"/>
      <c r="K4805" s="248"/>
      <c r="M4805" s="366"/>
    </row>
    <row r="4806" spans="1:13" x14ac:dyDescent="0.25">
      <c r="A4806" s="308">
        <v>45849</v>
      </c>
      <c r="B4806" s="416">
        <v>1271790</v>
      </c>
      <c r="C4806" s="638" t="str">
        <f>IFERROR(INDEX(Table14[],MATCH($B4806,Table14[SAPNo],0),3),"")</f>
        <v xml:space="preserve">1613 CT170 18-60 </v>
      </c>
      <c r="D4806" s="420" t="s">
        <v>12</v>
      </c>
      <c r="E4806" s="421">
        <v>4</v>
      </c>
      <c r="F4806" s="580"/>
      <c r="G4806" s="417" t="s">
        <v>2989</v>
      </c>
      <c r="H4806" s="598" t="s">
        <v>2990</v>
      </c>
      <c r="I4806" s="322" t="s">
        <v>2311</v>
      </c>
      <c r="J4806" s="418"/>
      <c r="K4806" s="248"/>
      <c r="M4806" s="366"/>
    </row>
    <row r="4807" spans="1:13" x14ac:dyDescent="0.25">
      <c r="A4807" s="308">
        <v>45849</v>
      </c>
      <c r="B4807" s="416">
        <v>1208601</v>
      </c>
      <c r="C4807" s="638" t="str">
        <f>IFERROR(INDEX(Table14[],MATCH($B4807,Table14[SAPNo],0),3),"")</f>
        <v>1613 CT418 U-60</v>
      </c>
      <c r="D4807" s="420" t="s">
        <v>12</v>
      </c>
      <c r="E4807" s="421">
        <v>2</v>
      </c>
      <c r="F4807" s="580"/>
      <c r="G4807" s="417" t="s">
        <v>2989</v>
      </c>
      <c r="H4807" s="598" t="s">
        <v>2990</v>
      </c>
      <c r="I4807" s="322" t="s">
        <v>2311</v>
      </c>
      <c r="J4807" s="418"/>
      <c r="K4807" s="248"/>
      <c r="M4807" s="366"/>
    </row>
    <row r="4808" spans="1:13" x14ac:dyDescent="0.25">
      <c r="A4808" s="308">
        <v>45849</v>
      </c>
      <c r="B4808" s="416">
        <v>1146737</v>
      </c>
      <c r="C4808" s="638" t="str">
        <f>IFERROR(INDEX(Table14[],MATCH($B4808,Table14[SAPNo],0),3),"")</f>
        <v>1613 CT418 18-60</v>
      </c>
      <c r="D4808" s="420" t="s">
        <v>12</v>
      </c>
      <c r="E4808" s="421">
        <v>6</v>
      </c>
      <c r="F4808" s="580"/>
      <c r="G4808" s="417" t="s">
        <v>2989</v>
      </c>
      <c r="H4808" s="598" t="s">
        <v>2990</v>
      </c>
      <c r="I4808" s="322" t="s">
        <v>2311</v>
      </c>
      <c r="J4808" s="418"/>
      <c r="K4808" s="248"/>
      <c r="M4808" s="366"/>
    </row>
    <row r="4809" spans="1:13" x14ac:dyDescent="0.25">
      <c r="A4809" s="308">
        <v>45850</v>
      </c>
      <c r="B4809" s="416">
        <v>2004484</v>
      </c>
      <c r="C4809" s="638" t="str">
        <f>IFERROR(INDEX(Table14[],MATCH($B4809,Table14[SAPNo],0),3),"")</f>
        <v>1308 CT187 U-60</v>
      </c>
      <c r="D4809" s="420" t="s">
        <v>12</v>
      </c>
      <c r="E4809" s="421">
        <v>11</v>
      </c>
      <c r="F4809" s="580"/>
      <c r="G4809" s="417" t="s">
        <v>2991</v>
      </c>
      <c r="H4809" s="598" t="s">
        <v>2992</v>
      </c>
      <c r="I4809" s="322" t="s">
        <v>2993</v>
      </c>
      <c r="J4809" s="418"/>
      <c r="K4809" s="248"/>
      <c r="M4809" s="366"/>
    </row>
    <row r="4810" spans="1:13" x14ac:dyDescent="0.25">
      <c r="A4810" s="308">
        <v>45850</v>
      </c>
      <c r="B4810" s="416">
        <v>738227</v>
      </c>
      <c r="C4810" s="638" t="str">
        <f>IFERROR(INDEX(Table14[],MATCH($B4810,Table14[SAPNo],0),3),"")</f>
        <v>Round 1308 CR31  0.018" (T)</v>
      </c>
      <c r="D4810" s="420" t="s">
        <v>12</v>
      </c>
      <c r="E4810" s="421">
        <v>11</v>
      </c>
      <c r="F4810" s="580"/>
      <c r="G4810" s="417" t="s">
        <v>2991</v>
      </c>
      <c r="H4810" s="598" t="s">
        <v>2992</v>
      </c>
      <c r="I4810" s="322" t="s">
        <v>2993</v>
      </c>
      <c r="J4810" s="418"/>
      <c r="K4810" s="248"/>
      <c r="M4810" s="366"/>
    </row>
    <row r="4811" spans="1:13" x14ac:dyDescent="0.25">
      <c r="A4811" s="320">
        <v>45850</v>
      </c>
      <c r="B4811" s="419">
        <v>729688</v>
      </c>
      <c r="C4811" s="638" t="str">
        <f>IFERROR(INDEX(Table14[],MATCH($B4811,Table14[SAPNo],0),3),"")</f>
        <v>Round 1308 CT82  0.018" (S)</v>
      </c>
      <c r="D4811" s="420" t="s">
        <v>12</v>
      </c>
      <c r="E4811" s="421">
        <v>3</v>
      </c>
      <c r="F4811" s="580"/>
      <c r="G4811" s="420" t="s">
        <v>2991</v>
      </c>
      <c r="H4811" s="599" t="s">
        <v>2992</v>
      </c>
      <c r="I4811" s="322" t="s">
        <v>2993</v>
      </c>
      <c r="J4811" s="421"/>
      <c r="K4811" s="422"/>
      <c r="M4811" s="366"/>
    </row>
    <row r="4812" spans="1:13" x14ac:dyDescent="0.25">
      <c r="A4812" s="308">
        <v>45848</v>
      </c>
      <c r="B4812" s="416">
        <v>1130198</v>
      </c>
      <c r="C4812" s="638" t="str">
        <f>IFERROR(INDEX(Table14[],MATCH($B4812,Table14[SAPNo],0),3),"")</f>
        <v>Round 1613 CT182  0.018" (S)</v>
      </c>
      <c r="D4812" s="420" t="s">
        <v>10</v>
      </c>
      <c r="E4812" s="421"/>
      <c r="F4812" s="421">
        <v>11</v>
      </c>
      <c r="G4812" s="420" t="s">
        <v>2975</v>
      </c>
      <c r="H4812" s="598">
        <v>13740215</v>
      </c>
      <c r="I4812" s="322" t="s">
        <v>2976</v>
      </c>
      <c r="J4812" s="418"/>
      <c r="K4812" s="248"/>
      <c r="M4812" s="422"/>
    </row>
    <row r="4813" spans="1:13" x14ac:dyDescent="0.25">
      <c r="A4813" s="308">
        <v>45848</v>
      </c>
      <c r="B4813" s="416">
        <v>1130198</v>
      </c>
      <c r="C4813" s="638" t="str">
        <f>IFERROR(INDEX(Table14[],MATCH($B4813,Table14[SAPNo],0),3),"")</f>
        <v>Round 1613 CT182  0.018" (S)</v>
      </c>
      <c r="D4813" s="420" t="s">
        <v>1072</v>
      </c>
      <c r="E4813" s="421"/>
      <c r="F4813" s="580">
        <v>69</v>
      </c>
      <c r="G4813" s="420" t="s">
        <v>2975</v>
      </c>
      <c r="H4813" s="598">
        <v>13740215</v>
      </c>
      <c r="I4813" s="322" t="s">
        <v>2976</v>
      </c>
      <c r="J4813" s="418"/>
      <c r="K4813" s="248"/>
      <c r="M4813" s="366"/>
    </row>
    <row r="4814" spans="1:13" x14ac:dyDescent="0.25">
      <c r="A4814" s="308">
        <v>45851</v>
      </c>
      <c r="B4814" s="416">
        <v>1146346</v>
      </c>
      <c r="C4814" s="638" t="str">
        <f>IFERROR(INDEX(Table14[],MATCH($B4814,Table14[SAPNo],0),3),"")</f>
        <v>1313 CT418 18-60</v>
      </c>
      <c r="D4814" s="420" t="s">
        <v>12</v>
      </c>
      <c r="E4814" s="421"/>
      <c r="F4814" s="580">
        <v>20</v>
      </c>
      <c r="G4814" s="420" t="s">
        <v>2513</v>
      </c>
      <c r="H4814" s="598"/>
      <c r="I4814" s="322"/>
      <c r="J4814" s="418" t="s">
        <v>1004</v>
      </c>
      <c r="K4814" s="248"/>
      <c r="M4814" s="366"/>
    </row>
    <row r="4815" spans="1:13" x14ac:dyDescent="0.25">
      <c r="A4815" s="308">
        <v>45851</v>
      </c>
      <c r="B4815" s="416">
        <v>1146737</v>
      </c>
      <c r="C4815" s="638" t="str">
        <f>IFERROR(INDEX(Table14[],MATCH($B4815,Table14[SAPNo],0),3),"")</f>
        <v>1613 CT418 18-60</v>
      </c>
      <c r="D4815" s="420" t="s">
        <v>12</v>
      </c>
      <c r="E4815" s="421"/>
      <c r="F4815" s="580">
        <v>150</v>
      </c>
      <c r="G4815" s="420" t="s">
        <v>2513</v>
      </c>
      <c r="H4815" s="598"/>
      <c r="I4815" s="322"/>
      <c r="J4815" s="418" t="s">
        <v>1004</v>
      </c>
      <c r="K4815" s="248"/>
      <c r="M4815" s="366"/>
    </row>
    <row r="4816" spans="1:13" x14ac:dyDescent="0.25">
      <c r="A4816" s="308">
        <v>45851</v>
      </c>
      <c r="B4816" s="416">
        <v>1228501</v>
      </c>
      <c r="C4816" s="638" t="str">
        <f>IFERROR(INDEX(Table14[],MATCH($B4816,Table14[SAPNo],0),3),"")</f>
        <v>1618 CT182 U-60 stator</v>
      </c>
      <c r="D4816" s="420" t="s">
        <v>12</v>
      </c>
      <c r="E4816" s="421"/>
      <c r="F4816" s="580">
        <v>30</v>
      </c>
      <c r="G4816" s="420" t="s">
        <v>2513</v>
      </c>
      <c r="H4816" s="598"/>
      <c r="I4816" s="322"/>
      <c r="J4816" s="418" t="s">
        <v>1004</v>
      </c>
      <c r="K4816" s="248"/>
      <c r="M4816" s="366"/>
    </row>
    <row r="4817" spans="1:13" x14ac:dyDescent="0.25">
      <c r="A4817" s="308">
        <v>45851</v>
      </c>
      <c r="B4817" s="416">
        <v>1228502</v>
      </c>
      <c r="C4817" s="638" t="str">
        <f>IFERROR(INDEX(Table14[],MATCH($B4817,Table14[SAPNo],0),3),"")</f>
        <v>1618 CT182 U-60 Rotor</v>
      </c>
      <c r="D4817" s="420" t="s">
        <v>12</v>
      </c>
      <c r="E4817" s="421"/>
      <c r="F4817" s="580">
        <v>30</v>
      </c>
      <c r="G4817" s="420" t="s">
        <v>2513</v>
      </c>
      <c r="H4817" s="598"/>
      <c r="I4817" s="322"/>
      <c r="J4817" s="418" t="s">
        <v>1004</v>
      </c>
      <c r="K4817" s="248"/>
      <c r="M4817" s="366"/>
    </row>
    <row r="4818" spans="1:13" x14ac:dyDescent="0.25">
      <c r="A4818" s="308">
        <v>45851</v>
      </c>
      <c r="B4818" s="416">
        <v>1228503</v>
      </c>
      <c r="C4818" s="638" t="str">
        <f>IFERROR(INDEX(Table14[],MATCH($B4818,Table14[SAPNo],0),3),"")</f>
        <v>1618 CT182 U-60 Ring</v>
      </c>
      <c r="D4818" s="420" t="s">
        <v>12</v>
      </c>
      <c r="E4818" s="421"/>
      <c r="F4818" s="580">
        <v>30</v>
      </c>
      <c r="G4818" s="420" t="s">
        <v>2513</v>
      </c>
      <c r="H4818" s="598"/>
      <c r="I4818" s="322"/>
      <c r="J4818" s="418" t="s">
        <v>1004</v>
      </c>
      <c r="K4818" s="248"/>
      <c r="M4818" s="366"/>
    </row>
    <row r="4819" spans="1:13" x14ac:dyDescent="0.25">
      <c r="A4819" s="308">
        <v>45851</v>
      </c>
      <c r="B4819" s="416">
        <v>1263929</v>
      </c>
      <c r="C4819" s="638" t="str">
        <f>IFERROR(INDEX(Table14[],MATCH($B4819,Table14[SAPNo],0),3),"")</f>
        <v>1613 CT437 18-60</v>
      </c>
      <c r="D4819" s="420" t="s">
        <v>12</v>
      </c>
      <c r="E4819" s="421"/>
      <c r="F4819" s="580">
        <v>272</v>
      </c>
      <c r="G4819" s="420" t="s">
        <v>2513</v>
      </c>
      <c r="H4819" s="598"/>
      <c r="I4819" s="322"/>
      <c r="J4819" s="418" t="s">
        <v>1004</v>
      </c>
      <c r="K4819" s="248"/>
      <c r="M4819" s="366"/>
    </row>
    <row r="4820" spans="1:13" x14ac:dyDescent="0.25">
      <c r="A4820" s="308">
        <v>45851</v>
      </c>
      <c r="B4820" s="416">
        <v>1288783</v>
      </c>
      <c r="C4820" s="638" t="str">
        <f>IFERROR(INDEX(Table14[],MATCH($B4820,Table14[SAPNo],0),3),"")</f>
        <v>1613 CT179 18-60</v>
      </c>
      <c r="D4820" s="420" t="s">
        <v>12</v>
      </c>
      <c r="E4820" s="421"/>
      <c r="F4820" s="580">
        <v>161</v>
      </c>
      <c r="G4820" s="420" t="s">
        <v>2513</v>
      </c>
      <c r="H4820" s="598"/>
      <c r="I4820" s="322"/>
      <c r="J4820" s="418" t="s">
        <v>1004</v>
      </c>
      <c r="K4820" s="248"/>
      <c r="M4820" s="366"/>
    </row>
    <row r="4821" spans="1:13" x14ac:dyDescent="0.25">
      <c r="A4821" s="308">
        <v>45851</v>
      </c>
      <c r="B4821" s="416">
        <v>1296685</v>
      </c>
      <c r="C4821" s="638" t="str">
        <f>IFERROR(INDEX(Table14[],MATCH($B4821,Table14[SAPNo],0),3),"")</f>
        <v>1613 CT179R U</v>
      </c>
      <c r="D4821" s="420" t="s">
        <v>12</v>
      </c>
      <c r="E4821" s="421"/>
      <c r="F4821" s="580">
        <v>150</v>
      </c>
      <c r="G4821" s="420" t="s">
        <v>2513</v>
      </c>
      <c r="H4821" s="598"/>
      <c r="I4821" s="322"/>
      <c r="J4821" s="418" t="s">
        <v>1004</v>
      </c>
      <c r="K4821" s="248"/>
      <c r="M4821" s="366"/>
    </row>
    <row r="4822" spans="1:13" x14ac:dyDescent="0.25">
      <c r="A4822" s="308">
        <v>45851</v>
      </c>
      <c r="B4822" s="416">
        <v>653400</v>
      </c>
      <c r="C4822" s="638" t="str">
        <f>IFERROR(INDEX(Table14[],MATCH($B4822,Table14[SAPNo],0),3),"")</f>
        <v>13MM WC­MAT404 NA</v>
      </c>
      <c r="D4822" s="420" t="s">
        <v>12</v>
      </c>
      <c r="E4822" s="421"/>
      <c r="F4822" s="580">
        <v>12</v>
      </c>
      <c r="G4822" s="420" t="s">
        <v>2513</v>
      </c>
      <c r="H4822" s="598"/>
      <c r="I4822" s="322"/>
      <c r="J4822" s="418" t="s">
        <v>1004</v>
      </c>
      <c r="K4822" s="248"/>
      <c r="M4822" s="366"/>
    </row>
    <row r="4823" spans="1:13" x14ac:dyDescent="0.25">
      <c r="A4823" s="308">
        <v>45851</v>
      </c>
      <c r="B4823" s="416">
        <v>1220554</v>
      </c>
      <c r="C4823" s="638" t="str">
        <f>IFERROR(INDEX(Table14[],MATCH($B4823,Table14[SAPNo],0),3),"")</f>
        <v xml:space="preserve">1618 CT182 U-60 Carbide </v>
      </c>
      <c r="D4823" s="420" t="s">
        <v>12</v>
      </c>
      <c r="E4823" s="421"/>
      <c r="F4823" s="580">
        <v>30</v>
      </c>
      <c r="G4823" s="420" t="s">
        <v>2513</v>
      </c>
      <c r="H4823" s="598"/>
      <c r="I4823" s="322"/>
      <c r="J4823" s="418" t="s">
        <v>1004</v>
      </c>
      <c r="K4823" s="248"/>
      <c r="M4823" s="366"/>
    </row>
    <row r="4824" spans="1:13" x14ac:dyDescent="0.25">
      <c r="A4824" s="308">
        <v>45851</v>
      </c>
      <c r="B4824" s="416">
        <v>1292498</v>
      </c>
      <c r="C4824" s="638" t="str">
        <f>IFERROR(INDEX(Table14[],MATCH($B4824,Table14[SAPNo],0),3),"")</f>
        <v>1613 CT186Mv3 U-60</v>
      </c>
      <c r="D4824" s="420" t="s">
        <v>12</v>
      </c>
      <c r="E4824" s="421"/>
      <c r="F4824" s="580">
        <v>30</v>
      </c>
      <c r="G4824" s="420" t="s">
        <v>2513</v>
      </c>
      <c r="H4824" s="598"/>
      <c r="I4824" s="322"/>
      <c r="J4824" s="418" t="s">
        <v>1014</v>
      </c>
      <c r="K4824" s="248"/>
      <c r="M4824" s="366"/>
    </row>
    <row r="4825" spans="1:13" x14ac:dyDescent="0.25">
      <c r="A4825" s="308">
        <v>45851</v>
      </c>
      <c r="B4825" s="416">
        <v>1220554</v>
      </c>
      <c r="C4825" s="638" t="str">
        <f>IFERROR(INDEX(Table14[],MATCH($B4825,Table14[SAPNo],0),3),"")</f>
        <v xml:space="preserve">1618 CT182 U-60 Carbide </v>
      </c>
      <c r="D4825" s="420" t="s">
        <v>12</v>
      </c>
      <c r="E4825" s="421"/>
      <c r="F4825" s="580">
        <v>15</v>
      </c>
      <c r="G4825" s="420" t="s">
        <v>2513</v>
      </c>
      <c r="H4825" s="598"/>
      <c r="I4825" s="322"/>
      <c r="J4825" s="418" t="s">
        <v>1015</v>
      </c>
      <c r="K4825" s="248"/>
      <c r="M4825" s="366"/>
    </row>
    <row r="4826" spans="1:13" x14ac:dyDescent="0.25">
      <c r="A4826" s="308">
        <v>45851</v>
      </c>
      <c r="B4826" s="416">
        <v>1100753</v>
      </c>
      <c r="C4826" s="638" t="str">
        <f>IFERROR(INDEX(Table14[],MATCH($B4826,Table14[SAPNo],0),3),"")</f>
        <v>1608 18C CT421</v>
      </c>
      <c r="D4826" s="420" t="s">
        <v>12</v>
      </c>
      <c r="E4826" s="421"/>
      <c r="F4826" s="580">
        <v>5</v>
      </c>
      <c r="G4826" s="420" t="s">
        <v>2513</v>
      </c>
      <c r="H4826" s="598"/>
      <c r="I4826" s="322"/>
      <c r="J4826" s="418" t="s">
        <v>1015</v>
      </c>
      <c r="K4826" s="248"/>
      <c r="M4826" s="366"/>
    </row>
    <row r="4827" spans="1:13" x14ac:dyDescent="0.25">
      <c r="A4827" s="308">
        <v>45851</v>
      </c>
      <c r="B4827" s="416">
        <v>1126402</v>
      </c>
      <c r="C4827" s="638" t="str">
        <f>IFERROR(INDEX(Table14[],MATCH($B4827,Table14[SAPNo],0),3),"")</f>
        <v>1613 CT421 16-60</v>
      </c>
      <c r="D4827" s="420" t="s">
        <v>12</v>
      </c>
      <c r="E4827" s="421"/>
      <c r="F4827" s="580">
        <v>28</v>
      </c>
      <c r="G4827" s="420" t="s">
        <v>2513</v>
      </c>
      <c r="H4827" s="598"/>
      <c r="I4827" s="322"/>
      <c r="J4827" s="418" t="s">
        <v>1015</v>
      </c>
      <c r="K4827" s="248"/>
      <c r="M4827" s="366"/>
    </row>
    <row r="4828" spans="1:13" x14ac:dyDescent="0.25">
      <c r="A4828" s="308">
        <v>45851</v>
      </c>
      <c r="B4828" s="416">
        <v>1146737</v>
      </c>
      <c r="C4828" s="638" t="str">
        <f>IFERROR(INDEX(Table14[],MATCH($B4828,Table14[SAPNo],0),3),"")</f>
        <v>1613 CT418 18-60</v>
      </c>
      <c r="D4828" s="420" t="s">
        <v>12</v>
      </c>
      <c r="E4828" s="421"/>
      <c r="F4828" s="580">
        <v>150</v>
      </c>
      <c r="G4828" s="420" t="s">
        <v>2513</v>
      </c>
      <c r="H4828" s="598"/>
      <c r="I4828" s="322"/>
      <c r="J4828" s="418" t="s">
        <v>1015</v>
      </c>
      <c r="K4828" s="248"/>
      <c r="M4828" s="366"/>
    </row>
    <row r="4829" spans="1:13" x14ac:dyDescent="0.25">
      <c r="A4829" s="308">
        <v>45851</v>
      </c>
      <c r="B4829" s="416">
        <v>1199261</v>
      </c>
      <c r="C4829" s="638" t="str">
        <f>IFERROR(INDEX(Table14[],MATCH($B4829,Table14[SAPNo],0),3),"")</f>
        <v>1010 CT158 0.018"</v>
      </c>
      <c r="D4829" s="420" t="s">
        <v>12</v>
      </c>
      <c r="E4829" s="421"/>
      <c r="F4829" s="580">
        <v>15</v>
      </c>
      <c r="G4829" s="420" t="s">
        <v>2513</v>
      </c>
      <c r="H4829" s="598"/>
      <c r="I4829" s="322"/>
      <c r="J4829" s="418" t="s">
        <v>1015</v>
      </c>
      <c r="K4829" s="248"/>
      <c r="M4829" s="366"/>
    </row>
    <row r="4830" spans="1:13" x14ac:dyDescent="0.25">
      <c r="A4830" s="308">
        <v>45851</v>
      </c>
      <c r="B4830" s="416">
        <v>1201518</v>
      </c>
      <c r="C4830" s="638" t="str">
        <f>IFERROR(INDEX(Table14[],MATCH($B4830,Table14[SAPNo],0),3),"")</f>
        <v>12MM WC­MAT404 NA</v>
      </c>
      <c r="D4830" s="420" t="s">
        <v>12</v>
      </c>
      <c r="E4830" s="421"/>
      <c r="F4830" s="580">
        <v>15</v>
      </c>
      <c r="G4830" s="420" t="s">
        <v>2513</v>
      </c>
      <c r="H4830" s="598"/>
      <c r="I4830" s="322"/>
      <c r="J4830" s="418" t="s">
        <v>1015</v>
      </c>
      <c r="K4830" s="248"/>
      <c r="M4830" s="366"/>
    </row>
    <row r="4831" spans="1:13" x14ac:dyDescent="0.25">
      <c r="A4831" s="308">
        <v>45851</v>
      </c>
      <c r="B4831" s="416">
        <v>1228501</v>
      </c>
      <c r="C4831" s="638" t="str">
        <f>IFERROR(INDEX(Table14[],MATCH($B4831,Table14[SAPNo],0),3),"")</f>
        <v>1618 CT182 U-60 stator</v>
      </c>
      <c r="D4831" s="420" t="s">
        <v>12</v>
      </c>
      <c r="E4831" s="421"/>
      <c r="F4831" s="580">
        <v>56</v>
      </c>
      <c r="G4831" s="420" t="s">
        <v>2513</v>
      </c>
      <c r="H4831" s="598"/>
      <c r="I4831" s="322"/>
      <c r="J4831" s="418" t="s">
        <v>1015</v>
      </c>
      <c r="K4831" s="248"/>
      <c r="M4831" s="366"/>
    </row>
    <row r="4832" spans="1:13" x14ac:dyDescent="0.25">
      <c r="A4832" s="308">
        <v>45851</v>
      </c>
      <c r="B4832" s="416">
        <v>1228502</v>
      </c>
      <c r="C4832" s="638" t="str">
        <f>IFERROR(INDEX(Table14[],MATCH($B4832,Table14[SAPNo],0),3),"")</f>
        <v>1618 CT182 U-60 Rotor</v>
      </c>
      <c r="D4832" s="420" t="s">
        <v>12</v>
      </c>
      <c r="E4832" s="421"/>
      <c r="F4832" s="580">
        <v>70</v>
      </c>
      <c r="G4832" s="420" t="s">
        <v>2513</v>
      </c>
      <c r="H4832" s="598"/>
      <c r="I4832" s="322"/>
      <c r="J4832" s="418" t="s">
        <v>1015</v>
      </c>
      <c r="K4832" s="248"/>
      <c r="M4832" s="366"/>
    </row>
    <row r="4833" spans="1:13" x14ac:dyDescent="0.25">
      <c r="A4833" s="308">
        <v>45851</v>
      </c>
      <c r="B4833" s="416">
        <v>1228503</v>
      </c>
      <c r="C4833" s="638" t="str">
        <f>IFERROR(INDEX(Table14[],MATCH($B4833,Table14[SAPNo],0),3),"")</f>
        <v>1618 CT182 U-60 Ring</v>
      </c>
      <c r="D4833" s="420" t="s">
        <v>12</v>
      </c>
      <c r="E4833" s="421"/>
      <c r="F4833" s="580">
        <v>40</v>
      </c>
      <c r="G4833" s="420" t="s">
        <v>2513</v>
      </c>
      <c r="H4833" s="598"/>
      <c r="I4833" s="322"/>
      <c r="J4833" s="418" t="s">
        <v>1015</v>
      </c>
      <c r="K4833" s="248"/>
      <c r="M4833" s="366"/>
    </row>
    <row r="4834" spans="1:13" x14ac:dyDescent="0.25">
      <c r="A4834" s="308">
        <v>45851</v>
      </c>
      <c r="B4834" s="416">
        <v>1282370</v>
      </c>
      <c r="C4834" s="638" t="str">
        <f>IFERROR(INDEX(Table14[],MATCH($B4834,Table14[SAPNo],0),3),"")</f>
        <v>1613 CT436Mv3 U-60</v>
      </c>
      <c r="D4834" s="420" t="s">
        <v>12</v>
      </c>
      <c r="E4834" s="421"/>
      <c r="F4834" s="580">
        <v>15</v>
      </c>
      <c r="G4834" s="420" t="s">
        <v>2513</v>
      </c>
      <c r="H4834" s="598"/>
      <c r="I4834" s="322"/>
      <c r="J4834" s="418" t="s">
        <v>1015</v>
      </c>
      <c r="K4834" s="248"/>
      <c r="M4834" s="366"/>
    </row>
    <row r="4835" spans="1:13" x14ac:dyDescent="0.25">
      <c r="A4835" s="308">
        <v>45851</v>
      </c>
      <c r="B4835" s="416">
        <v>1288783</v>
      </c>
      <c r="C4835" s="638" t="str">
        <f>IFERROR(INDEX(Table14[],MATCH($B4835,Table14[SAPNo],0),3),"")</f>
        <v>1613 CT179 18-60</v>
      </c>
      <c r="D4835" s="420" t="s">
        <v>12</v>
      </c>
      <c r="E4835" s="421"/>
      <c r="F4835" s="580">
        <v>20</v>
      </c>
      <c r="G4835" s="420" t="s">
        <v>2513</v>
      </c>
      <c r="H4835" s="598"/>
      <c r="I4835" s="322"/>
      <c r="J4835" s="418" t="s">
        <v>1015</v>
      </c>
      <c r="K4835" s="248"/>
      <c r="M4835" s="366"/>
    </row>
    <row r="4836" spans="1:13" x14ac:dyDescent="0.25">
      <c r="A4836" s="308">
        <v>45851</v>
      </c>
      <c r="B4836" s="416">
        <v>1296685</v>
      </c>
      <c r="C4836" s="638" t="str">
        <f>IFERROR(INDEX(Table14[],MATCH($B4836,Table14[SAPNo],0),3),"")</f>
        <v>1613 CT179R U</v>
      </c>
      <c r="D4836" s="420" t="s">
        <v>12</v>
      </c>
      <c r="E4836" s="421"/>
      <c r="F4836" s="580">
        <v>150</v>
      </c>
      <c r="G4836" s="420" t="s">
        <v>2513</v>
      </c>
      <c r="H4836" s="598"/>
      <c r="I4836" s="322"/>
      <c r="J4836" s="418" t="s">
        <v>1015</v>
      </c>
      <c r="K4836" s="248"/>
      <c r="M4836" s="366"/>
    </row>
    <row r="4837" spans="1:13" x14ac:dyDescent="0.25">
      <c r="A4837" s="308">
        <v>45851</v>
      </c>
      <c r="B4837" s="416">
        <v>418525</v>
      </c>
      <c r="C4837" s="638" t="str">
        <f>IFERROR(INDEX(Table14[],MATCH($B4837,Table14[SAPNo],0),3),"")</f>
        <v>Drop In 1308 CT31   (B)</v>
      </c>
      <c r="D4837" s="420" t="s">
        <v>12</v>
      </c>
      <c r="E4837" s="421"/>
      <c r="F4837" s="580">
        <v>200</v>
      </c>
      <c r="G4837" s="420" t="s">
        <v>2513</v>
      </c>
      <c r="H4837" s="598"/>
      <c r="I4837" s="322"/>
      <c r="J4837" s="418" t="s">
        <v>1015</v>
      </c>
      <c r="K4837" s="248"/>
      <c r="M4837" s="366"/>
    </row>
    <row r="4838" spans="1:13" x14ac:dyDescent="0.25">
      <c r="A4838" s="308">
        <v>45851</v>
      </c>
      <c r="B4838" s="416">
        <v>625854</v>
      </c>
      <c r="C4838" s="638" t="str">
        <f>IFERROR(INDEX(Table14[],MATCH($B4838,Table14[SAPNo],0),3),"")</f>
        <v>Carbide IA 1318    (C)</v>
      </c>
      <c r="D4838" s="420" t="s">
        <v>12</v>
      </c>
      <c r="E4838" s="421"/>
      <c r="F4838" s="580">
        <v>55</v>
      </c>
      <c r="G4838" s="420" t="s">
        <v>2513</v>
      </c>
      <c r="H4838" s="598"/>
      <c r="I4838" s="322"/>
      <c r="J4838" s="418" t="s">
        <v>1015</v>
      </c>
      <c r="K4838" s="248"/>
      <c r="M4838" s="366"/>
    </row>
    <row r="4839" spans="1:13" x14ac:dyDescent="0.25">
      <c r="A4839" s="308">
        <v>45851</v>
      </c>
      <c r="B4839" s="416">
        <v>647435</v>
      </c>
      <c r="C4839" s="638" t="str">
        <f>IFERROR(INDEX(Table14[],MATCH($B4839,Table14[SAPNo],0),3),"")</f>
        <v>Round 1608 CT200  0.018" (B)</v>
      </c>
      <c r="D4839" s="420" t="s">
        <v>12</v>
      </c>
      <c r="E4839" s="421"/>
      <c r="F4839" s="580">
        <v>135</v>
      </c>
      <c r="G4839" s="420" t="s">
        <v>2513</v>
      </c>
      <c r="H4839" s="598"/>
      <c r="I4839" s="322"/>
      <c r="J4839" s="418" t="s">
        <v>1015</v>
      </c>
      <c r="K4839" s="248"/>
      <c r="M4839" s="366"/>
    </row>
    <row r="4840" spans="1:13" x14ac:dyDescent="0.25">
      <c r="A4840" s="308">
        <v>45851</v>
      </c>
      <c r="B4840" s="416">
        <v>647436</v>
      </c>
      <c r="C4840" s="638" t="str">
        <f>IFERROR(INDEX(Table14[],MATCH($B4840,Table14[SAPNo],0),3),"")</f>
        <v>Round 1613 CT200  0.018" (B)</v>
      </c>
      <c r="D4840" s="420" t="s">
        <v>12</v>
      </c>
      <c r="E4840" s="421"/>
      <c r="F4840" s="580">
        <v>35</v>
      </c>
      <c r="G4840" s="420" t="s">
        <v>2513</v>
      </c>
      <c r="H4840" s="598"/>
      <c r="I4840" s="322"/>
      <c r="J4840" s="418" t="s">
        <v>1015</v>
      </c>
      <c r="K4840" s="248"/>
      <c r="M4840" s="366"/>
    </row>
    <row r="4841" spans="1:13" x14ac:dyDescent="0.25">
      <c r="A4841" s="308">
        <v>45851</v>
      </c>
      <c r="B4841" s="416">
        <v>708306</v>
      </c>
      <c r="C4841" s="638" t="str">
        <f>IFERROR(INDEX(Table14[],MATCH($B4841,Table14[SAPNo],0),3),"")</f>
        <v>Round 1913 CT200  0.018" (B)</v>
      </c>
      <c r="D4841" s="420" t="s">
        <v>12</v>
      </c>
      <c r="E4841" s="421"/>
      <c r="F4841" s="580">
        <v>100</v>
      </c>
      <c r="G4841" s="420" t="s">
        <v>2513</v>
      </c>
      <c r="H4841" s="598"/>
      <c r="I4841" s="322"/>
      <c r="J4841" s="418" t="s">
        <v>1015</v>
      </c>
      <c r="K4841" s="248"/>
      <c r="M4841" s="366"/>
    </row>
    <row r="4842" spans="1:13" x14ac:dyDescent="0.25">
      <c r="A4842" s="308">
        <v>45851</v>
      </c>
      <c r="B4842" s="416">
        <v>717748</v>
      </c>
      <c r="C4842" s="638" t="str">
        <f>IFERROR(INDEX(Table14[],MATCH($B4842,Table14[SAPNo],0),3),"")</f>
        <v>Round 1010 CT200  0.018" (B)</v>
      </c>
      <c r="D4842" s="420" t="s">
        <v>12</v>
      </c>
      <c r="E4842" s="421"/>
      <c r="F4842" s="580">
        <v>55</v>
      </c>
      <c r="G4842" s="420" t="s">
        <v>2513</v>
      </c>
      <c r="H4842" s="598"/>
      <c r="I4842" s="322"/>
      <c r="J4842" s="418" t="s">
        <v>1015</v>
      </c>
      <c r="K4842" s="248"/>
      <c r="M4842" s="366"/>
    </row>
    <row r="4843" spans="1:13" x14ac:dyDescent="0.25">
      <c r="A4843" s="320">
        <v>45851</v>
      </c>
      <c r="B4843" s="419">
        <v>871781</v>
      </c>
      <c r="C4843" s="638" t="str">
        <f>IFERROR(INDEX(Table14[],MATCH($B4843,Table14[SAPNo],0),3),"")</f>
        <v>Round 1313 CT200  0.018" (B)</v>
      </c>
      <c r="D4843" s="420" t="s">
        <v>12</v>
      </c>
      <c r="E4843" s="421"/>
      <c r="F4843" s="580">
        <v>70</v>
      </c>
      <c r="G4843" s="420" t="s">
        <v>2513</v>
      </c>
      <c r="H4843" s="599"/>
      <c r="I4843" s="322"/>
      <c r="J4843" s="421" t="s">
        <v>1015</v>
      </c>
      <c r="K4843" s="422"/>
      <c r="M4843" s="366"/>
    </row>
    <row r="4844" spans="1:13" x14ac:dyDescent="0.25">
      <c r="A4844" s="308">
        <v>45852</v>
      </c>
      <c r="B4844" s="416">
        <v>418525</v>
      </c>
      <c r="C4844" s="638" t="str">
        <f>IFERROR(INDEX(Table14[],MATCH($B4844,Table14[SAPNo],0),3),"")</f>
        <v>Drop In 1308 CT31   (B)</v>
      </c>
      <c r="D4844" s="420" t="s">
        <v>12</v>
      </c>
      <c r="E4844" s="421">
        <v>6</v>
      </c>
      <c r="F4844" s="421"/>
      <c r="G4844" s="417" t="s">
        <v>2997</v>
      </c>
      <c r="H4844" s="598">
        <v>14369046</v>
      </c>
      <c r="I4844" s="322" t="s">
        <v>2914</v>
      </c>
      <c r="J4844" s="418"/>
      <c r="K4844" s="248"/>
      <c r="M4844" s="422"/>
    </row>
    <row r="4845" spans="1:13" x14ac:dyDescent="0.25">
      <c r="A4845" s="308">
        <v>45852</v>
      </c>
      <c r="B4845" s="416">
        <v>1146737</v>
      </c>
      <c r="C4845" s="638" t="str">
        <f>IFERROR(INDEX(Table14[],MATCH($B4845,Table14[SAPNo],0),3),"")</f>
        <v>1613 CT418 18-60</v>
      </c>
      <c r="D4845" s="420" t="s">
        <v>12</v>
      </c>
      <c r="E4845" s="580">
        <v>6</v>
      </c>
      <c r="F4845" s="580"/>
      <c r="G4845" s="417" t="s">
        <v>2997</v>
      </c>
      <c r="H4845" s="598">
        <v>14369046</v>
      </c>
      <c r="I4845" s="322" t="s">
        <v>2914</v>
      </c>
      <c r="J4845" s="418"/>
      <c r="K4845" s="248"/>
      <c r="M4845" s="366"/>
    </row>
    <row r="4846" spans="1:13" x14ac:dyDescent="0.25">
      <c r="A4846" s="320">
        <v>45855</v>
      </c>
      <c r="B4846" s="419">
        <v>1288783</v>
      </c>
      <c r="C4846" s="638" t="str">
        <f>IFERROR(INDEX(Table14[],MATCH($B4846,Table14[SAPNo],0),3),"")</f>
        <v>1613 CT179 18-60</v>
      </c>
      <c r="D4846" s="420" t="s">
        <v>12</v>
      </c>
      <c r="E4846" s="580">
        <v>1</v>
      </c>
      <c r="F4846" s="580"/>
      <c r="G4846" s="420" t="s">
        <v>2997</v>
      </c>
      <c r="H4846" s="599">
        <v>14369046</v>
      </c>
      <c r="I4846" s="322" t="s">
        <v>2914</v>
      </c>
      <c r="J4846" s="421"/>
      <c r="K4846" s="422" t="s">
        <v>2546</v>
      </c>
      <c r="M4846" s="366"/>
    </row>
    <row r="4847" spans="1:13" x14ac:dyDescent="0.25">
      <c r="A4847" s="308">
        <v>45853</v>
      </c>
      <c r="B4847" s="416">
        <v>1228501</v>
      </c>
      <c r="C4847" s="638" t="str">
        <f>IFERROR(INDEX(Table14[],MATCH($B4847,Table14[SAPNo],0),3),"")</f>
        <v>1618 CT182 U-60 stator</v>
      </c>
      <c r="D4847" s="420" t="s">
        <v>12</v>
      </c>
      <c r="E4847" s="421"/>
      <c r="F4847" s="421">
        <v>94</v>
      </c>
      <c r="G4847" s="420" t="s">
        <v>2513</v>
      </c>
      <c r="H4847" s="598"/>
      <c r="I4847" s="322"/>
      <c r="J4847" s="418" t="s">
        <v>1019</v>
      </c>
      <c r="K4847" s="248"/>
      <c r="M4847" s="422"/>
    </row>
    <row r="4848" spans="1:13" x14ac:dyDescent="0.25">
      <c r="A4848" s="308">
        <v>45853</v>
      </c>
      <c r="B4848" s="416">
        <v>1228502</v>
      </c>
      <c r="C4848" s="638" t="str">
        <f>IFERROR(INDEX(Table14[],MATCH($B4848,Table14[SAPNo],0),3),"")</f>
        <v>1618 CT182 U-60 Rotor</v>
      </c>
      <c r="D4848" s="420" t="s">
        <v>12</v>
      </c>
      <c r="E4848" s="421"/>
      <c r="F4848" s="580">
        <v>30</v>
      </c>
      <c r="G4848" s="420" t="s">
        <v>2513</v>
      </c>
      <c r="H4848" s="598"/>
      <c r="I4848" s="322"/>
      <c r="J4848" s="418" t="s">
        <v>1019</v>
      </c>
      <c r="K4848" s="248"/>
      <c r="M4848" s="366"/>
    </row>
    <row r="4849" spans="1:13" x14ac:dyDescent="0.25">
      <c r="A4849" s="308">
        <v>45853</v>
      </c>
      <c r="B4849" s="416">
        <v>1228503</v>
      </c>
      <c r="C4849" s="638" t="str">
        <f>IFERROR(INDEX(Table14[],MATCH($B4849,Table14[SAPNo],0),3),"")</f>
        <v>1618 CT182 U-60 Ring</v>
      </c>
      <c r="D4849" s="420" t="s">
        <v>12</v>
      </c>
      <c r="E4849" s="421"/>
      <c r="F4849" s="580">
        <v>124</v>
      </c>
      <c r="G4849" s="420" t="s">
        <v>2513</v>
      </c>
      <c r="H4849" s="598"/>
      <c r="I4849" s="322"/>
      <c r="J4849" s="418" t="s">
        <v>1019</v>
      </c>
      <c r="K4849" s="248"/>
      <c r="M4849" s="366"/>
    </row>
    <row r="4850" spans="1:13" x14ac:dyDescent="0.25">
      <c r="A4850" s="308">
        <v>45853</v>
      </c>
      <c r="B4850" s="416">
        <v>2002186</v>
      </c>
      <c r="C4850" s="638" t="str">
        <f>IFERROR(INDEX(Table14[],MATCH($B4850,Table14[SAPNo],0),3),"")</f>
        <v>1313 CT187 U-60</v>
      </c>
      <c r="D4850" s="420" t="s">
        <v>12</v>
      </c>
      <c r="E4850" s="421"/>
      <c r="F4850" s="580">
        <v>63</v>
      </c>
      <c r="G4850" s="420" t="s">
        <v>2513</v>
      </c>
      <c r="H4850" s="598"/>
      <c r="I4850" s="322"/>
      <c r="J4850" s="418" t="s">
        <v>1015</v>
      </c>
      <c r="K4850" s="248"/>
      <c r="M4850" s="366"/>
    </row>
    <row r="4851" spans="1:13" x14ac:dyDescent="0.25">
      <c r="A4851" s="308">
        <v>45853</v>
      </c>
      <c r="B4851" s="416">
        <v>2002299</v>
      </c>
      <c r="C4851" s="638" t="str">
        <f>IFERROR(INDEX(Table14[],MATCH($B4851,Table14[SAPNo],0),3),"")</f>
        <v>1613 CT187 U-60</v>
      </c>
      <c r="D4851" s="420" t="s">
        <v>12</v>
      </c>
      <c r="E4851" s="421"/>
      <c r="F4851" s="580">
        <v>41</v>
      </c>
      <c r="G4851" s="420" t="s">
        <v>2513</v>
      </c>
      <c r="H4851" s="598"/>
      <c r="I4851" s="322"/>
      <c r="J4851" s="418" t="s">
        <v>1015</v>
      </c>
      <c r="K4851" s="248"/>
      <c r="M4851" s="366"/>
    </row>
    <row r="4852" spans="1:13" x14ac:dyDescent="0.25">
      <c r="A4852" s="320">
        <v>45853</v>
      </c>
      <c r="B4852" s="419">
        <v>1220554</v>
      </c>
      <c r="C4852" s="638" t="str">
        <f>IFERROR(INDEX(Table14[],MATCH($B4852,Table14[SAPNo],0),3),"")</f>
        <v xml:space="preserve">1618 CT182 U-60 Carbide </v>
      </c>
      <c r="D4852" s="420" t="s">
        <v>12</v>
      </c>
      <c r="E4852" s="421"/>
      <c r="F4852" s="580">
        <v>170</v>
      </c>
      <c r="G4852" s="420" t="s">
        <v>2513</v>
      </c>
      <c r="H4852" s="599"/>
      <c r="I4852" s="322"/>
      <c r="J4852" s="421" t="s">
        <v>1019</v>
      </c>
      <c r="K4852" s="422"/>
      <c r="M4852" s="366"/>
    </row>
    <row r="4853" spans="1:13" x14ac:dyDescent="0.25">
      <c r="A4853" s="308">
        <v>45852</v>
      </c>
      <c r="B4853" s="416">
        <v>1228502</v>
      </c>
      <c r="C4853" s="638" t="str">
        <f>IFERROR(INDEX(Table14[],MATCH($B4853,Table14[SAPNo],0),3),"")</f>
        <v>1618 CT182 U-60 Rotor</v>
      </c>
      <c r="D4853" s="420" t="s">
        <v>12</v>
      </c>
      <c r="E4853" s="421">
        <v>10</v>
      </c>
      <c r="F4853" s="421"/>
      <c r="G4853" s="417" t="s">
        <v>2995</v>
      </c>
      <c r="H4853" s="598">
        <v>14414768</v>
      </c>
      <c r="I4853" s="322" t="s">
        <v>2910</v>
      </c>
      <c r="J4853" s="418"/>
      <c r="K4853" s="248"/>
      <c r="M4853" s="422"/>
    </row>
    <row r="4854" spans="1:13" x14ac:dyDescent="0.25">
      <c r="A4854" s="308">
        <v>45852</v>
      </c>
      <c r="B4854" s="416">
        <v>1228503</v>
      </c>
      <c r="C4854" s="638" t="str">
        <f>IFERROR(INDEX(Table14[],MATCH($B4854,Table14[SAPNo],0),3),"")</f>
        <v>1618 CT182 U-60 Ring</v>
      </c>
      <c r="D4854" s="420" t="s">
        <v>12</v>
      </c>
      <c r="E4854" s="421">
        <v>10</v>
      </c>
      <c r="F4854" s="580"/>
      <c r="G4854" s="417" t="s">
        <v>2995</v>
      </c>
      <c r="H4854" s="598">
        <v>14414768</v>
      </c>
      <c r="I4854" s="322" t="s">
        <v>2910</v>
      </c>
      <c r="J4854" s="418"/>
      <c r="K4854" s="248"/>
      <c r="M4854" s="366"/>
    </row>
    <row r="4855" spans="1:13" x14ac:dyDescent="0.25">
      <c r="A4855" s="308">
        <v>45852</v>
      </c>
      <c r="B4855" s="416">
        <v>871781</v>
      </c>
      <c r="C4855" s="638" t="str">
        <f>IFERROR(INDEX(Table14[],MATCH($B4855,Table14[SAPNo],0),3),"")</f>
        <v>Round 1313 CT200  0.018" (B)</v>
      </c>
      <c r="D4855" s="420" t="s">
        <v>12</v>
      </c>
      <c r="E4855" s="421">
        <v>6</v>
      </c>
      <c r="F4855" s="580"/>
      <c r="G4855" s="417" t="s">
        <v>2995</v>
      </c>
      <c r="H4855" s="598">
        <v>14414768</v>
      </c>
      <c r="I4855" s="322" t="s">
        <v>2910</v>
      </c>
      <c r="J4855" s="418"/>
      <c r="K4855" s="248"/>
      <c r="M4855" s="366"/>
    </row>
    <row r="4856" spans="1:13" x14ac:dyDescent="0.25">
      <c r="A4856" s="308">
        <v>45852</v>
      </c>
      <c r="B4856" s="416">
        <v>2002186</v>
      </c>
      <c r="C4856" s="638" t="str">
        <f>IFERROR(INDEX(Table14[],MATCH($B4856,Table14[SAPNo],0),3),"")</f>
        <v>1313 CT187 U-60</v>
      </c>
      <c r="D4856" s="420" t="s">
        <v>12</v>
      </c>
      <c r="E4856" s="421">
        <v>2</v>
      </c>
      <c r="F4856" s="580"/>
      <c r="G4856" s="417" t="s">
        <v>2995</v>
      </c>
      <c r="H4856" s="598">
        <v>14414768</v>
      </c>
      <c r="I4856" s="322" t="s">
        <v>2910</v>
      </c>
      <c r="J4856" s="418"/>
      <c r="K4856" s="248"/>
      <c r="M4856" s="366"/>
    </row>
    <row r="4857" spans="1:13" x14ac:dyDescent="0.25">
      <c r="A4857" s="308">
        <v>45852</v>
      </c>
      <c r="B4857" s="416">
        <v>1039035</v>
      </c>
      <c r="C4857" s="638" t="str">
        <f>IFERROR(INDEX(Table14[],MATCH($B4857,Table14[SAPNo],0),3),"")</f>
        <v>Round 1313 CT138  10C (S)</v>
      </c>
      <c r="D4857" s="420" t="s">
        <v>12</v>
      </c>
      <c r="E4857" s="421">
        <v>4</v>
      </c>
      <c r="F4857" s="580"/>
      <c r="G4857" s="417" t="s">
        <v>2995</v>
      </c>
      <c r="H4857" s="598">
        <v>14414768</v>
      </c>
      <c r="I4857" s="322" t="s">
        <v>2910</v>
      </c>
      <c r="J4857" s="418"/>
      <c r="K4857" s="248"/>
      <c r="M4857" s="366"/>
    </row>
    <row r="4858" spans="1:13" x14ac:dyDescent="0.25">
      <c r="A4858" s="308">
        <v>45852</v>
      </c>
      <c r="B4858" s="416">
        <v>1228501</v>
      </c>
      <c r="C4858" s="638" t="str">
        <f>IFERROR(INDEX(Table14[],MATCH($B4858,Table14[SAPNo],0),3),"")</f>
        <v>1618 CT182 U-60 stator</v>
      </c>
      <c r="D4858" s="420" t="s">
        <v>12</v>
      </c>
      <c r="E4858" s="421">
        <v>10</v>
      </c>
      <c r="F4858" s="580"/>
      <c r="G4858" s="417" t="s">
        <v>2995</v>
      </c>
      <c r="H4858" s="598">
        <v>14414768</v>
      </c>
      <c r="I4858" s="322" t="s">
        <v>2910</v>
      </c>
      <c r="J4858" s="418"/>
      <c r="K4858" s="248"/>
      <c r="M4858" s="366"/>
    </row>
    <row r="4859" spans="1:13" x14ac:dyDescent="0.25">
      <c r="A4859" s="308">
        <v>45852</v>
      </c>
      <c r="B4859" s="416">
        <v>1220554</v>
      </c>
      <c r="C4859" s="638" t="str">
        <f>IFERROR(INDEX(Table14[],MATCH($B4859,Table14[SAPNo],0),3),"")</f>
        <v xml:space="preserve">1618 CT182 U-60 Carbide </v>
      </c>
      <c r="D4859" s="420" t="s">
        <v>12</v>
      </c>
      <c r="E4859" s="421">
        <v>13</v>
      </c>
      <c r="F4859" s="580"/>
      <c r="G4859" s="417" t="s">
        <v>2995</v>
      </c>
      <c r="H4859" s="598">
        <v>14414768</v>
      </c>
      <c r="I4859" s="322" t="s">
        <v>2910</v>
      </c>
      <c r="J4859" s="418"/>
      <c r="K4859" s="248"/>
      <c r="M4859" s="366"/>
    </row>
    <row r="4860" spans="1:13" x14ac:dyDescent="0.25">
      <c r="A4860" s="308">
        <v>45852</v>
      </c>
      <c r="B4860" s="416">
        <v>2002299</v>
      </c>
      <c r="C4860" s="638" t="str">
        <f>IFERROR(INDEX(Table14[],MATCH($B4860,Table14[SAPNo],0),3),"")</f>
        <v>1613 CT187 U-60</v>
      </c>
      <c r="D4860" s="420" t="s">
        <v>12</v>
      </c>
      <c r="E4860" s="421">
        <v>4</v>
      </c>
      <c r="F4860" s="580"/>
      <c r="G4860" s="417" t="s">
        <v>2995</v>
      </c>
      <c r="H4860" s="598">
        <v>14414768</v>
      </c>
      <c r="I4860" s="322" t="s">
        <v>2910</v>
      </c>
      <c r="J4860" s="418"/>
      <c r="K4860" s="248"/>
      <c r="M4860" s="366"/>
    </row>
    <row r="4861" spans="1:13" x14ac:dyDescent="0.25">
      <c r="A4861" s="308">
        <v>45852</v>
      </c>
      <c r="B4861" s="416">
        <v>2002244</v>
      </c>
      <c r="C4861" s="638" t="str">
        <f>IFERROR(INDEX(Table14[],MATCH($B4861,Table14[SAPNo],0),3),"")</f>
        <v>1313 CT188 Uc-60</v>
      </c>
      <c r="D4861" s="420" t="s">
        <v>12</v>
      </c>
      <c r="E4861" s="421">
        <v>3</v>
      </c>
      <c r="F4861" s="580"/>
      <c r="G4861" s="417" t="s">
        <v>2995</v>
      </c>
      <c r="H4861" s="598">
        <v>14414768</v>
      </c>
      <c r="I4861" s="322" t="s">
        <v>2910</v>
      </c>
      <c r="J4861" s="418"/>
      <c r="K4861" s="248"/>
      <c r="M4861" s="366"/>
    </row>
    <row r="4862" spans="1:13" x14ac:dyDescent="0.25">
      <c r="A4862" s="308">
        <v>45852</v>
      </c>
      <c r="B4862" s="416">
        <v>1039036</v>
      </c>
      <c r="C4862" s="638" t="str">
        <f>IFERROR(INDEX(Table14[],MATCH($B4862,Table14[SAPNo],0),3),"")</f>
        <v>Round 1313 CT138  0.018" (S)</v>
      </c>
      <c r="D4862" s="420" t="s">
        <v>12</v>
      </c>
      <c r="E4862" s="421">
        <v>6</v>
      </c>
      <c r="F4862" s="580"/>
      <c r="G4862" s="417" t="s">
        <v>2995</v>
      </c>
      <c r="H4862" s="598">
        <v>14414768</v>
      </c>
      <c r="I4862" s="322" t="s">
        <v>2910</v>
      </c>
      <c r="J4862" s="418"/>
      <c r="K4862" s="248"/>
      <c r="M4862" s="366"/>
    </row>
    <row r="4863" spans="1:13" x14ac:dyDescent="0.25">
      <c r="A4863" s="308">
        <v>45852</v>
      </c>
      <c r="B4863" s="416">
        <v>1162508</v>
      </c>
      <c r="C4863" s="638" t="str">
        <f>IFERROR(INDEX(Table14[],MATCH($B4863,Table14[SAPNo],0),3),"")</f>
        <v>1308 CT154 0.018</v>
      </c>
      <c r="D4863" s="420" t="s">
        <v>12</v>
      </c>
      <c r="E4863" s="421">
        <v>4</v>
      </c>
      <c r="F4863" s="580"/>
      <c r="G4863" s="417" t="s">
        <v>2995</v>
      </c>
      <c r="H4863" s="598">
        <v>14414768</v>
      </c>
      <c r="I4863" s="322" t="s">
        <v>2910</v>
      </c>
      <c r="J4863" s="418"/>
      <c r="K4863" s="248"/>
      <c r="M4863" s="366"/>
    </row>
    <row r="4864" spans="1:13" x14ac:dyDescent="0.25">
      <c r="A4864" s="308">
        <v>45852</v>
      </c>
      <c r="B4864" s="416">
        <v>1144818</v>
      </c>
      <c r="C4864" s="638" t="str">
        <f>IFERROR(INDEX(Table14[],MATCH($B4864,Table14[SAPNo],0),3),"")</f>
        <v>Round 1308 CT153/CR42 Test Cutter 0.018" (T)</v>
      </c>
      <c r="D4864" s="420" t="s">
        <v>12</v>
      </c>
      <c r="E4864" s="421">
        <v>11</v>
      </c>
      <c r="F4864" s="580"/>
      <c r="G4864" s="417" t="s">
        <v>2995</v>
      </c>
      <c r="H4864" s="598">
        <v>14414768</v>
      </c>
      <c r="I4864" s="322" t="s">
        <v>2910</v>
      </c>
      <c r="J4864" s="418"/>
      <c r="K4864" s="248"/>
      <c r="M4864" s="366"/>
    </row>
    <row r="4865" spans="1:13" x14ac:dyDescent="0.25">
      <c r="A4865" s="308">
        <v>45852</v>
      </c>
      <c r="B4865" s="416">
        <v>1101509</v>
      </c>
      <c r="C4865" s="638" t="str">
        <f>IFERROR(INDEX(Table14[],MATCH($B4865,Table14[SAPNo],0),3),"")</f>
        <v>Short IA 8    (C)</v>
      </c>
      <c r="D4865" s="420" t="s">
        <v>12</v>
      </c>
      <c r="E4865" s="421">
        <v>5</v>
      </c>
      <c r="F4865" s="580"/>
      <c r="G4865" s="417" t="s">
        <v>2996</v>
      </c>
      <c r="H4865" s="598">
        <v>14279673</v>
      </c>
      <c r="I4865" s="322" t="s">
        <v>2640</v>
      </c>
      <c r="J4865" s="418"/>
      <c r="K4865" s="248"/>
      <c r="M4865" s="366"/>
    </row>
    <row r="4866" spans="1:13" x14ac:dyDescent="0.25">
      <c r="A4866" s="308">
        <v>45852</v>
      </c>
      <c r="B4866" s="416">
        <v>1104083</v>
      </c>
      <c r="C4866" s="638" t="str">
        <f>IFERROR(INDEX(Table14[],MATCH($B4866,Table14[SAPNo],0),3),"")</f>
        <v>1313 CT144H  10C (S)</v>
      </c>
      <c r="D4866" s="420" t="s">
        <v>12</v>
      </c>
      <c r="E4866" s="421">
        <v>1</v>
      </c>
      <c r="F4866" s="580"/>
      <c r="G4866" s="417" t="s">
        <v>2996</v>
      </c>
      <c r="H4866" s="598">
        <v>14279673</v>
      </c>
      <c r="I4866" s="322" t="s">
        <v>2640</v>
      </c>
      <c r="J4866" s="418"/>
      <c r="K4866" s="248"/>
      <c r="M4866" s="366"/>
    </row>
    <row r="4867" spans="1:13" x14ac:dyDescent="0.25">
      <c r="A4867" s="308">
        <v>45852</v>
      </c>
      <c r="B4867" s="416">
        <v>418525</v>
      </c>
      <c r="C4867" s="638" t="str">
        <f>IFERROR(INDEX(Table14[],MATCH($B4867,Table14[SAPNo],0),3),"")</f>
        <v>Drop In 1308 CT31   (B)</v>
      </c>
      <c r="D4867" s="420" t="s">
        <v>12</v>
      </c>
      <c r="E4867" s="421">
        <v>6</v>
      </c>
      <c r="F4867" s="580"/>
      <c r="G4867" s="417" t="s">
        <v>2996</v>
      </c>
      <c r="H4867" s="598">
        <v>14279673</v>
      </c>
      <c r="I4867" s="322" t="s">
        <v>2640</v>
      </c>
      <c r="J4867" s="418"/>
      <c r="K4867" s="248"/>
      <c r="M4867" s="366"/>
    </row>
    <row r="4868" spans="1:13" x14ac:dyDescent="0.25">
      <c r="A4868" s="308">
        <v>45852</v>
      </c>
      <c r="B4868" s="416">
        <v>1136984</v>
      </c>
      <c r="C4868" s="638" t="str">
        <f>IFERROR(INDEX(Table14[],MATCH($B4868,Table14[SAPNo],0),3),"")</f>
        <v>DBLMCHT 1313 CT182DM  10C (S)</v>
      </c>
      <c r="D4868" s="420" t="s">
        <v>12</v>
      </c>
      <c r="E4868" s="421">
        <v>13</v>
      </c>
      <c r="F4868" s="580"/>
      <c r="G4868" s="417" t="s">
        <v>2996</v>
      </c>
      <c r="H4868" s="598">
        <v>14279673</v>
      </c>
      <c r="I4868" s="322" t="s">
        <v>2640</v>
      </c>
      <c r="J4868" s="418"/>
      <c r="K4868" s="248"/>
      <c r="M4868" s="366"/>
    </row>
    <row r="4869" spans="1:13" x14ac:dyDescent="0.25">
      <c r="A4869" s="308">
        <v>45852</v>
      </c>
      <c r="B4869" s="416">
        <v>1146346</v>
      </c>
      <c r="C4869" s="638" t="str">
        <f>IFERROR(INDEX(Table14[],MATCH($B4869,Table14[SAPNo],0),3),"")</f>
        <v>1313 CT418 18-60</v>
      </c>
      <c r="D4869" s="420" t="s">
        <v>12</v>
      </c>
      <c r="E4869" s="421">
        <v>12</v>
      </c>
      <c r="F4869" s="580"/>
      <c r="G4869" s="417" t="s">
        <v>2996</v>
      </c>
      <c r="H4869" s="598">
        <v>14279673</v>
      </c>
      <c r="I4869" s="322" t="s">
        <v>2640</v>
      </c>
      <c r="J4869" s="418"/>
      <c r="K4869" s="248"/>
      <c r="M4869" s="366"/>
    </row>
    <row r="4870" spans="1:13" x14ac:dyDescent="0.25">
      <c r="A4870" s="308">
        <v>45851</v>
      </c>
      <c r="B4870" s="416">
        <v>418525</v>
      </c>
      <c r="C4870" s="638" t="str">
        <f>IFERROR(INDEX(Table14[],MATCH($B4870,Table14[SAPNo],0),3),"")</f>
        <v>Drop In 1308 CT31   (B)</v>
      </c>
      <c r="D4870" s="420" t="s">
        <v>12</v>
      </c>
      <c r="E4870" s="421">
        <v>6</v>
      </c>
      <c r="F4870" s="580"/>
      <c r="G4870" s="417" t="s">
        <v>2994</v>
      </c>
      <c r="H4870" s="598">
        <v>14369050</v>
      </c>
      <c r="I4870" s="322" t="s">
        <v>2907</v>
      </c>
      <c r="J4870" s="418"/>
      <c r="K4870" s="248"/>
      <c r="M4870" s="366"/>
    </row>
    <row r="4871" spans="1:13" x14ac:dyDescent="0.25">
      <c r="A4871" s="308">
        <v>45851</v>
      </c>
      <c r="B4871" s="416">
        <v>1146737</v>
      </c>
      <c r="C4871" s="638" t="str">
        <f>IFERROR(INDEX(Table14[],MATCH($B4871,Table14[SAPNo],0),3),"")</f>
        <v>1613 CT418 18-60</v>
      </c>
      <c r="D4871" s="420" t="s">
        <v>12</v>
      </c>
      <c r="E4871" s="421">
        <v>6</v>
      </c>
      <c r="F4871" s="580"/>
      <c r="G4871" s="417" t="s">
        <v>2994</v>
      </c>
      <c r="H4871" s="598">
        <v>14369050</v>
      </c>
      <c r="I4871" s="322" t="s">
        <v>2907</v>
      </c>
      <c r="J4871" s="418"/>
      <c r="K4871" s="248"/>
      <c r="M4871" s="366"/>
    </row>
    <row r="4872" spans="1:13" x14ac:dyDescent="0.25">
      <c r="A4872" s="308">
        <v>45853</v>
      </c>
      <c r="B4872" s="416">
        <v>1228503</v>
      </c>
      <c r="C4872" s="638" t="str">
        <f>IFERROR(INDEX(Table14[],MATCH($B4872,Table14[SAPNo],0),3),"")</f>
        <v>1618 CT182 U-60 Ring</v>
      </c>
      <c r="D4872" s="420" t="s">
        <v>12</v>
      </c>
      <c r="E4872" s="421">
        <v>14</v>
      </c>
      <c r="F4872" s="580"/>
      <c r="G4872" s="417" t="s">
        <v>2998</v>
      </c>
      <c r="H4872" s="598">
        <v>14273436</v>
      </c>
      <c r="I4872" s="322" t="s">
        <v>2999</v>
      </c>
      <c r="J4872" s="418"/>
      <c r="K4872" s="248"/>
      <c r="M4872" s="366"/>
    </row>
    <row r="4873" spans="1:13" x14ac:dyDescent="0.25">
      <c r="A4873" s="308">
        <v>45853</v>
      </c>
      <c r="B4873" s="416">
        <v>1126402</v>
      </c>
      <c r="C4873" s="638" t="str">
        <f>IFERROR(INDEX(Table14[],MATCH($B4873,Table14[SAPNo],0),3),"")</f>
        <v>1613 CT421 16-60</v>
      </c>
      <c r="D4873" s="420" t="s">
        <v>12</v>
      </c>
      <c r="E4873" s="421">
        <v>7</v>
      </c>
      <c r="F4873" s="580"/>
      <c r="G4873" s="417" t="s">
        <v>2998</v>
      </c>
      <c r="H4873" s="598">
        <v>14273436</v>
      </c>
      <c r="I4873" s="322" t="s">
        <v>2999</v>
      </c>
      <c r="J4873" s="418"/>
      <c r="K4873" s="248"/>
      <c r="M4873" s="366"/>
    </row>
    <row r="4874" spans="1:13" x14ac:dyDescent="0.25">
      <c r="A4874" s="308">
        <v>45853</v>
      </c>
      <c r="B4874" s="416">
        <v>1134752</v>
      </c>
      <c r="C4874" s="638" t="str">
        <f>IFERROR(INDEX(Table14[],MATCH($B4874,Table14[SAPNo],0),3),"")</f>
        <v>Round 1308 CT182  0.018" (S)</v>
      </c>
      <c r="D4874" s="420" t="s">
        <v>12</v>
      </c>
      <c r="E4874" s="421">
        <v>6</v>
      </c>
      <c r="F4874" s="580"/>
      <c r="G4874" s="417" t="s">
        <v>2998</v>
      </c>
      <c r="H4874" s="598">
        <v>14273436</v>
      </c>
      <c r="I4874" s="322" t="s">
        <v>2999</v>
      </c>
      <c r="J4874" s="418"/>
      <c r="K4874" s="248"/>
      <c r="M4874" s="366"/>
    </row>
    <row r="4875" spans="1:13" x14ac:dyDescent="0.25">
      <c r="A4875" s="308">
        <v>45853</v>
      </c>
      <c r="B4875" s="416">
        <v>1201518</v>
      </c>
      <c r="C4875" s="638" t="str">
        <f>IFERROR(INDEX(Table14[],MATCH($B4875,Table14[SAPNo],0),3),"")</f>
        <v>12MM WC­MAT404 NA</v>
      </c>
      <c r="D4875" s="420" t="s">
        <v>12</v>
      </c>
      <c r="E4875" s="421">
        <v>3</v>
      </c>
      <c r="F4875" s="580"/>
      <c r="G4875" s="417" t="s">
        <v>2998</v>
      </c>
      <c r="H4875" s="598">
        <v>14273436</v>
      </c>
      <c r="I4875" s="322" t="s">
        <v>2999</v>
      </c>
      <c r="J4875" s="418"/>
      <c r="K4875" s="248"/>
      <c r="M4875" s="366"/>
    </row>
    <row r="4876" spans="1:13" x14ac:dyDescent="0.25">
      <c r="A4876" s="308">
        <v>45853</v>
      </c>
      <c r="B4876" s="416">
        <v>1228501</v>
      </c>
      <c r="C4876" s="638" t="str">
        <f>IFERROR(INDEX(Table14[],MATCH($B4876,Table14[SAPNo],0),3),"")</f>
        <v>1618 CT182 U-60 stator</v>
      </c>
      <c r="D4876" s="420" t="s">
        <v>12</v>
      </c>
      <c r="E4876" s="421">
        <v>14</v>
      </c>
      <c r="F4876" s="580"/>
      <c r="G4876" s="417" t="s">
        <v>2998</v>
      </c>
      <c r="H4876" s="598">
        <v>14273436</v>
      </c>
      <c r="I4876" s="322" t="s">
        <v>2999</v>
      </c>
      <c r="J4876" s="418"/>
      <c r="K4876" s="248"/>
      <c r="M4876" s="366"/>
    </row>
    <row r="4877" spans="1:13" x14ac:dyDescent="0.25">
      <c r="A4877" s="308">
        <v>45853</v>
      </c>
      <c r="B4877" s="416">
        <v>1228502</v>
      </c>
      <c r="C4877" s="638" t="str">
        <f>IFERROR(INDEX(Table14[],MATCH($B4877,Table14[SAPNo],0),3),"")</f>
        <v>1618 CT182 U-60 Rotor</v>
      </c>
      <c r="D4877" s="420" t="s">
        <v>12</v>
      </c>
      <c r="E4877" s="421">
        <v>14</v>
      </c>
      <c r="F4877" s="580"/>
      <c r="G4877" s="417" t="s">
        <v>2998</v>
      </c>
      <c r="H4877" s="598">
        <v>14273436</v>
      </c>
      <c r="I4877" s="322" t="s">
        <v>2999</v>
      </c>
      <c r="J4877" s="418"/>
      <c r="K4877" s="248"/>
      <c r="M4877" s="366"/>
    </row>
    <row r="4878" spans="1:13" x14ac:dyDescent="0.25">
      <c r="A4878" s="308">
        <v>45853</v>
      </c>
      <c r="B4878" s="416">
        <v>1220554</v>
      </c>
      <c r="C4878" s="638" t="str">
        <f>IFERROR(INDEX(Table14[],MATCH($B4878,Table14[SAPNo],0),3),"")</f>
        <v xml:space="preserve">1618 CT182 U-60 Carbide </v>
      </c>
      <c r="D4878" s="420" t="s">
        <v>12</v>
      </c>
      <c r="E4878" s="421">
        <v>14</v>
      </c>
      <c r="F4878" s="580"/>
      <c r="G4878" s="417" t="s">
        <v>2998</v>
      </c>
      <c r="H4878" s="598">
        <v>14273436</v>
      </c>
      <c r="I4878" s="322" t="s">
        <v>2999</v>
      </c>
      <c r="J4878" s="418"/>
      <c r="K4878" s="248"/>
      <c r="M4878" s="366"/>
    </row>
    <row r="4879" spans="1:13" x14ac:dyDescent="0.25">
      <c r="A4879" s="308">
        <v>45853</v>
      </c>
      <c r="B4879" s="416">
        <v>1255773</v>
      </c>
      <c r="C4879" s="638" t="str">
        <f>IFERROR(INDEX(Table14[],MATCH($B4879,Table14[SAPNo],0),3),"")</f>
        <v>1613 CT154 U­60</v>
      </c>
      <c r="D4879" s="420" t="s">
        <v>12</v>
      </c>
      <c r="E4879" s="421">
        <v>6</v>
      </c>
      <c r="F4879" s="580"/>
      <c r="G4879" s="417" t="s">
        <v>2998</v>
      </c>
      <c r="H4879" s="598">
        <v>14273436</v>
      </c>
      <c r="I4879" s="322" t="s">
        <v>2999</v>
      </c>
      <c r="J4879" s="418"/>
      <c r="K4879" s="248"/>
      <c r="M4879" s="366"/>
    </row>
    <row r="4880" spans="1:13" x14ac:dyDescent="0.25">
      <c r="A4880" s="308">
        <v>45853</v>
      </c>
      <c r="B4880" s="416">
        <v>2002299</v>
      </c>
      <c r="C4880" s="638" t="str">
        <f>IFERROR(INDEX(Table14[],MATCH($B4880,Table14[SAPNo],0),3),"")</f>
        <v>1613 CT187 U-60</v>
      </c>
      <c r="D4880" s="420" t="s">
        <v>12</v>
      </c>
      <c r="E4880" s="421">
        <v>14</v>
      </c>
      <c r="F4880" s="580"/>
      <c r="G4880" s="417" t="s">
        <v>2998</v>
      </c>
      <c r="H4880" s="598">
        <v>14273436</v>
      </c>
      <c r="I4880" s="322" t="s">
        <v>2999</v>
      </c>
      <c r="J4880" s="418"/>
      <c r="K4880" s="248"/>
      <c r="M4880" s="366"/>
    </row>
    <row r="4881" spans="1:13" x14ac:dyDescent="0.25">
      <c r="A4881" s="308">
        <v>45853</v>
      </c>
      <c r="B4881" s="416">
        <v>729688</v>
      </c>
      <c r="C4881" s="638" t="str">
        <f>IFERROR(INDEX(Table14[],MATCH($B4881,Table14[SAPNo],0),3),"")</f>
        <v>Round 1308 CT82  0.018" (S)</v>
      </c>
      <c r="D4881" s="420" t="s">
        <v>12</v>
      </c>
      <c r="E4881" s="421">
        <v>4</v>
      </c>
      <c r="F4881" s="580"/>
      <c r="G4881" s="417" t="s">
        <v>2998</v>
      </c>
      <c r="H4881" s="598">
        <v>14273436</v>
      </c>
      <c r="I4881" s="322" t="s">
        <v>2999</v>
      </c>
      <c r="J4881" s="418"/>
      <c r="K4881" s="248"/>
      <c r="M4881" s="366"/>
    </row>
    <row r="4882" spans="1:13" x14ac:dyDescent="0.25">
      <c r="A4882" s="308">
        <v>45853</v>
      </c>
      <c r="B4882" s="416">
        <v>871781</v>
      </c>
      <c r="C4882" s="638" t="str">
        <f>IFERROR(INDEX(Table14[],MATCH($B4882,Table14[SAPNo],0),3),"")</f>
        <v>Round 1313 CT200  0.018" (B)</v>
      </c>
      <c r="D4882" s="420" t="s">
        <v>12</v>
      </c>
      <c r="E4882" s="421">
        <v>6</v>
      </c>
      <c r="F4882" s="580"/>
      <c r="G4882" s="417" t="s">
        <v>2998</v>
      </c>
      <c r="H4882" s="598">
        <v>14273436</v>
      </c>
      <c r="I4882" s="322" t="s">
        <v>2999</v>
      </c>
      <c r="J4882" s="418"/>
      <c r="K4882" s="248"/>
      <c r="M4882" s="366"/>
    </row>
    <row r="4883" spans="1:13" x14ac:dyDescent="0.25">
      <c r="A4883" s="308">
        <v>45853</v>
      </c>
      <c r="B4883" s="416">
        <v>638559</v>
      </c>
      <c r="C4883" s="638" t="str">
        <f>IFERROR(INDEX(Table14[],MATCH($B4883,Table14[SAPNo],0),3),"")</f>
        <v>Round 1308 CT70  0.018" (S)</v>
      </c>
      <c r="D4883" s="420" t="s">
        <v>8</v>
      </c>
      <c r="E4883" s="421">
        <v>6</v>
      </c>
      <c r="F4883" s="580"/>
      <c r="G4883" s="417" t="s">
        <v>2998</v>
      </c>
      <c r="H4883" s="598">
        <v>14273436</v>
      </c>
      <c r="I4883" s="322" t="s">
        <v>2999</v>
      </c>
      <c r="J4883" s="418"/>
      <c r="K4883" s="248"/>
      <c r="M4883" s="366"/>
    </row>
    <row r="4884" spans="1:13" x14ac:dyDescent="0.25">
      <c r="A4884" s="308">
        <v>45853</v>
      </c>
      <c r="B4884" s="416">
        <v>738227</v>
      </c>
      <c r="C4884" s="638" t="str">
        <f>IFERROR(INDEX(Table14[],MATCH($B4884,Table14[SAPNo],0),3),"")</f>
        <v>Round 1308 CR31  0.018" (T)</v>
      </c>
      <c r="D4884" s="420" t="s">
        <v>12</v>
      </c>
      <c r="E4884" s="421">
        <v>2</v>
      </c>
      <c r="F4884" s="580"/>
      <c r="G4884" s="417" t="s">
        <v>2998</v>
      </c>
      <c r="H4884" s="598">
        <v>14273436</v>
      </c>
      <c r="I4884" s="322" t="s">
        <v>2999</v>
      </c>
      <c r="J4884" s="418"/>
      <c r="K4884" s="248"/>
      <c r="M4884" s="366"/>
    </row>
    <row r="4885" spans="1:13" x14ac:dyDescent="0.25">
      <c r="A4885" s="320">
        <v>45853</v>
      </c>
      <c r="B4885" s="419">
        <v>738227</v>
      </c>
      <c r="C4885" s="638" t="str">
        <f>IFERROR(INDEX(Table14[],MATCH($B4885,Table14[SAPNo],0),3),"")</f>
        <v>Round 1308 CR31  0.018" (T)</v>
      </c>
      <c r="D4885" s="420" t="s">
        <v>1072</v>
      </c>
      <c r="E4885" s="421">
        <v>4</v>
      </c>
      <c r="F4885" s="580"/>
      <c r="G4885" s="420" t="s">
        <v>2998</v>
      </c>
      <c r="H4885" s="599">
        <v>14273436</v>
      </c>
      <c r="I4885" s="322" t="s">
        <v>2999</v>
      </c>
      <c r="J4885" s="421"/>
      <c r="K4885" s="422"/>
      <c r="M4885" s="366"/>
    </row>
    <row r="4886" spans="1:13" x14ac:dyDescent="0.25">
      <c r="A4886" s="308">
        <v>45854</v>
      </c>
      <c r="B4886" s="416">
        <v>1130198</v>
      </c>
      <c r="C4886" s="638" t="str">
        <f>IFERROR(INDEX(Table14[],MATCH($B4886,Table14[SAPNo],0),3),"")</f>
        <v>Round 1613 CT182  0.018" (S)</v>
      </c>
      <c r="D4886" s="420" t="s">
        <v>8</v>
      </c>
      <c r="E4886" s="421"/>
      <c r="F4886" s="421">
        <v>84</v>
      </c>
      <c r="G4886" s="417" t="s">
        <v>3000</v>
      </c>
      <c r="H4886" s="598">
        <v>13243096</v>
      </c>
      <c r="I4886" s="322" t="s">
        <v>3001</v>
      </c>
      <c r="J4886" s="418"/>
      <c r="K4886" s="248"/>
      <c r="M4886" s="422"/>
    </row>
    <row r="4887" spans="1:13" x14ac:dyDescent="0.25">
      <c r="A4887" s="308">
        <v>45854</v>
      </c>
      <c r="B4887" s="416">
        <v>1130198</v>
      </c>
      <c r="C4887" s="638" t="str">
        <f>IFERROR(INDEX(Table14[],MATCH($B4887,Table14[SAPNo],0),3),"")</f>
        <v>Round 1613 CT182  0.018" (S)</v>
      </c>
      <c r="D4887" s="420" t="s">
        <v>9</v>
      </c>
      <c r="E4887" s="421"/>
      <c r="F4887" s="580">
        <v>8</v>
      </c>
      <c r="G4887" s="417" t="s">
        <v>3000</v>
      </c>
      <c r="H4887" s="598">
        <v>13243096</v>
      </c>
      <c r="I4887" s="322" t="s">
        <v>3001</v>
      </c>
      <c r="J4887" s="418"/>
      <c r="K4887" s="248"/>
      <c r="M4887" s="366"/>
    </row>
    <row r="4888" spans="1:13" x14ac:dyDescent="0.25">
      <c r="A4888" s="308">
        <v>45854</v>
      </c>
      <c r="B4888" s="416">
        <v>647435</v>
      </c>
      <c r="C4888" s="638" t="str">
        <f>IFERROR(INDEX(Table14[],MATCH($B4888,Table14[SAPNo],0),3),"")</f>
        <v>Round 1608 CT200  0.018" (B)</v>
      </c>
      <c r="D4888" s="420" t="s">
        <v>8</v>
      </c>
      <c r="E4888" s="421"/>
      <c r="F4888" s="580">
        <v>13</v>
      </c>
      <c r="G4888" s="417" t="s">
        <v>3000</v>
      </c>
      <c r="H4888" s="598">
        <v>13243096</v>
      </c>
      <c r="I4888" s="322" t="s">
        <v>3001</v>
      </c>
      <c r="J4888" s="418"/>
      <c r="K4888" s="248"/>
      <c r="M4888" s="366"/>
    </row>
    <row r="4889" spans="1:13" x14ac:dyDescent="0.25">
      <c r="A4889" s="320">
        <v>45854</v>
      </c>
      <c r="B4889" s="419">
        <v>647436</v>
      </c>
      <c r="C4889" s="638" t="str">
        <f>IFERROR(INDEX(Table14[],MATCH($B4889,Table14[SAPNo],0),3),"")</f>
        <v>Round 1613 CT200  0.018" (B)</v>
      </c>
      <c r="D4889" s="420" t="s">
        <v>8</v>
      </c>
      <c r="E4889" s="421"/>
      <c r="F4889" s="580">
        <v>62</v>
      </c>
      <c r="G4889" s="420" t="s">
        <v>3000</v>
      </c>
      <c r="H4889" s="599">
        <v>13243096</v>
      </c>
      <c r="I4889" s="322" t="s">
        <v>3001</v>
      </c>
      <c r="J4889" s="421"/>
      <c r="K4889" s="422"/>
      <c r="M4889" s="366"/>
    </row>
    <row r="4890" spans="1:13" x14ac:dyDescent="0.25">
      <c r="A4890" s="308">
        <v>45854</v>
      </c>
      <c r="B4890" s="416">
        <v>717748</v>
      </c>
      <c r="C4890" s="638" t="str">
        <f>IFERROR(INDEX(Table14[],MATCH($B4890,Table14[SAPNo],0),3),"")</f>
        <v>Round 1010 CT200  0.018" (B)</v>
      </c>
      <c r="D4890" s="420" t="s">
        <v>12</v>
      </c>
      <c r="E4890" s="421">
        <v>1</v>
      </c>
      <c r="F4890" s="421"/>
      <c r="G4890" s="417">
        <v>20251096</v>
      </c>
      <c r="H4890" s="598" t="s">
        <v>3002</v>
      </c>
      <c r="I4890" s="322" t="s">
        <v>2362</v>
      </c>
      <c r="J4890" s="418"/>
      <c r="K4890" s="248"/>
      <c r="M4890" s="422"/>
    </row>
    <row r="4891" spans="1:13" x14ac:dyDescent="0.25">
      <c r="A4891" s="308">
        <v>45854</v>
      </c>
      <c r="B4891" s="416">
        <v>179733</v>
      </c>
      <c r="C4891" s="638" t="str">
        <f>IFERROR(INDEX(Table14[],MATCH($B4891,Table14[SAPNo],0),3),"")</f>
        <v>Short IA 13    (C)</v>
      </c>
      <c r="D4891" s="420" t="s">
        <v>12</v>
      </c>
      <c r="E4891" s="421">
        <v>20</v>
      </c>
      <c r="F4891" s="580"/>
      <c r="G4891" s="417" t="s">
        <v>3003</v>
      </c>
      <c r="H4891" s="598">
        <v>14204334</v>
      </c>
      <c r="I4891" s="322" t="s">
        <v>3004</v>
      </c>
      <c r="J4891" s="418"/>
      <c r="K4891" s="248"/>
      <c r="M4891" s="366"/>
    </row>
    <row r="4892" spans="1:13" x14ac:dyDescent="0.25">
      <c r="A4892" s="308">
        <v>45854</v>
      </c>
      <c r="B4892" s="416">
        <v>1146742</v>
      </c>
      <c r="C4892" s="638" t="str">
        <f>IFERROR(INDEX(Table14[],MATCH($B4892,Table14[SAPNo],0),3),"")</f>
        <v>1913 CT418 U-60</v>
      </c>
      <c r="D4892" s="420" t="s">
        <v>12</v>
      </c>
      <c r="E4892" s="421">
        <v>20</v>
      </c>
      <c r="F4892" s="580"/>
      <c r="G4892" s="417" t="s">
        <v>3003</v>
      </c>
      <c r="H4892" s="598">
        <v>14204334</v>
      </c>
      <c r="I4892" s="322" t="s">
        <v>3004</v>
      </c>
      <c r="J4892" s="418"/>
      <c r="K4892" s="248"/>
      <c r="M4892" s="366"/>
    </row>
    <row r="4893" spans="1:13" x14ac:dyDescent="0.25">
      <c r="A4893" s="308">
        <v>45854</v>
      </c>
      <c r="B4893" s="416">
        <v>1100740</v>
      </c>
      <c r="C4893" s="638" t="str">
        <f>IFERROR(INDEX(Table14[],MATCH($B4893,Table14[SAPNo],0),3),"")</f>
        <v/>
      </c>
      <c r="D4893" s="420" t="s">
        <v>12</v>
      </c>
      <c r="E4893" s="421">
        <v>10</v>
      </c>
      <c r="F4893" s="580"/>
      <c r="G4893" s="417" t="s">
        <v>3003</v>
      </c>
      <c r="H4893" s="598">
        <v>14204334</v>
      </c>
      <c r="I4893" s="322" t="s">
        <v>3004</v>
      </c>
      <c r="J4893" s="418"/>
      <c r="K4893" s="248"/>
      <c r="M4893" s="366"/>
    </row>
    <row r="4894" spans="1:13" x14ac:dyDescent="0.25">
      <c r="A4894" s="308">
        <v>45854</v>
      </c>
      <c r="B4894" s="416">
        <v>1296685</v>
      </c>
      <c r="C4894" s="638" t="str">
        <f>IFERROR(INDEX(Table14[],MATCH($B4894,Table14[SAPNo],0),3),"")</f>
        <v>1613 CT179R U</v>
      </c>
      <c r="D4894" s="420" t="s">
        <v>12</v>
      </c>
      <c r="E4894" s="421">
        <v>41</v>
      </c>
      <c r="F4894" s="580"/>
      <c r="G4894" s="417" t="s">
        <v>3003</v>
      </c>
      <c r="H4894" s="598">
        <v>14204334</v>
      </c>
      <c r="I4894" s="322" t="s">
        <v>3004</v>
      </c>
      <c r="J4894" s="418"/>
      <c r="K4894" s="248"/>
      <c r="M4894" s="366"/>
    </row>
    <row r="4895" spans="1:13" x14ac:dyDescent="0.25">
      <c r="A4895" s="308">
        <v>45854</v>
      </c>
      <c r="B4895" s="416">
        <v>932811</v>
      </c>
      <c r="C4895" s="638" t="str">
        <f>IFERROR(INDEX(Table14[],MATCH($B4895,Table14[SAPNo],0),3),"")</f>
        <v>Round 1613 CT404 GEDB 10C (B)</v>
      </c>
      <c r="D4895" s="420" t="s">
        <v>12</v>
      </c>
      <c r="E4895" s="421">
        <v>10</v>
      </c>
      <c r="F4895" s="580"/>
      <c r="G4895" s="417" t="s">
        <v>3003</v>
      </c>
      <c r="H4895" s="598">
        <v>14204334</v>
      </c>
      <c r="I4895" s="322" t="s">
        <v>3004</v>
      </c>
      <c r="J4895" s="418"/>
      <c r="K4895" s="248"/>
      <c r="M4895" s="366"/>
    </row>
    <row r="4896" spans="1:13" x14ac:dyDescent="0.25">
      <c r="A4896" s="308">
        <v>45854</v>
      </c>
      <c r="B4896" s="416">
        <v>418525</v>
      </c>
      <c r="C4896" s="638" t="str">
        <f>IFERROR(INDEX(Table14[],MATCH($B4896,Table14[SAPNo],0),3),"")</f>
        <v>Drop In 1308 CT31   (B)</v>
      </c>
      <c r="D4896" s="420" t="s">
        <v>12</v>
      </c>
      <c r="E4896" s="421">
        <v>7</v>
      </c>
      <c r="F4896" s="580"/>
      <c r="G4896" s="417" t="s">
        <v>3003</v>
      </c>
      <c r="H4896" s="598">
        <v>14204334</v>
      </c>
      <c r="I4896" s="322" t="s">
        <v>3004</v>
      </c>
      <c r="J4896" s="418"/>
      <c r="K4896" s="248"/>
      <c r="M4896" s="366"/>
    </row>
    <row r="4897" spans="1:13" x14ac:dyDescent="0.25">
      <c r="A4897" s="308">
        <v>45854</v>
      </c>
      <c r="B4897" s="416">
        <v>802063</v>
      </c>
      <c r="C4897" s="638" t="str">
        <f>IFERROR(INDEX(Table14[],MATCH($B4897,Table14[SAPNo],0),3),"")</f>
        <v>Round 1613 CT97 TBO-Cutter 10C (S)</v>
      </c>
      <c r="D4897" s="420" t="s">
        <v>12</v>
      </c>
      <c r="E4897" s="421">
        <v>21</v>
      </c>
      <c r="F4897" s="580"/>
      <c r="G4897" s="417" t="s">
        <v>3003</v>
      </c>
      <c r="H4897" s="598">
        <v>14204334</v>
      </c>
      <c r="I4897" s="322" t="s">
        <v>3004</v>
      </c>
      <c r="J4897" s="418"/>
      <c r="K4897" s="248"/>
      <c r="M4897" s="366"/>
    </row>
    <row r="4898" spans="1:13" x14ac:dyDescent="0.25">
      <c r="A4898" s="308">
        <v>45854</v>
      </c>
      <c r="B4898" s="416">
        <v>1228503</v>
      </c>
      <c r="C4898" s="638" t="str">
        <f>IFERROR(INDEX(Table14[],MATCH($B4898,Table14[SAPNo],0),3),"")</f>
        <v>1618 CT182 U-60 Ring</v>
      </c>
      <c r="D4898" s="420" t="s">
        <v>12</v>
      </c>
      <c r="E4898" s="421">
        <v>12</v>
      </c>
      <c r="F4898" s="580"/>
      <c r="G4898" s="417" t="s">
        <v>3005</v>
      </c>
      <c r="H4898" s="598">
        <v>14414771</v>
      </c>
      <c r="I4898" s="322" t="s">
        <v>3006</v>
      </c>
      <c r="J4898" s="418"/>
      <c r="K4898" s="248"/>
      <c r="M4898" s="366"/>
    </row>
    <row r="4899" spans="1:13" x14ac:dyDescent="0.25">
      <c r="A4899" s="308">
        <v>45854</v>
      </c>
      <c r="B4899" s="416">
        <v>1134752</v>
      </c>
      <c r="C4899" s="638" t="str">
        <f>IFERROR(INDEX(Table14[],MATCH($B4899,Table14[SAPNo],0),3),"")</f>
        <v>Round 1308 CT182  0.018" (S)</v>
      </c>
      <c r="D4899" s="420" t="s">
        <v>12</v>
      </c>
      <c r="E4899" s="421">
        <v>15</v>
      </c>
      <c r="F4899" s="580"/>
      <c r="G4899" s="417" t="s">
        <v>3005</v>
      </c>
      <c r="H4899" s="598">
        <v>14414771</v>
      </c>
      <c r="I4899" s="322" t="s">
        <v>3006</v>
      </c>
      <c r="J4899" s="418"/>
      <c r="K4899" s="248"/>
      <c r="M4899" s="366"/>
    </row>
    <row r="4900" spans="1:13" x14ac:dyDescent="0.25">
      <c r="A4900" s="308">
        <v>45854</v>
      </c>
      <c r="B4900" s="416">
        <v>1228501</v>
      </c>
      <c r="C4900" s="638" t="str">
        <f>IFERROR(INDEX(Table14[],MATCH($B4900,Table14[SAPNo],0),3),"")</f>
        <v>1618 CT182 U-60 stator</v>
      </c>
      <c r="D4900" s="420" t="s">
        <v>12</v>
      </c>
      <c r="E4900" s="421">
        <v>10</v>
      </c>
      <c r="F4900" s="580"/>
      <c r="G4900" s="417" t="s">
        <v>3005</v>
      </c>
      <c r="H4900" s="598">
        <v>14414771</v>
      </c>
      <c r="I4900" s="322" t="s">
        <v>3006</v>
      </c>
      <c r="J4900" s="418"/>
      <c r="K4900" s="248"/>
      <c r="M4900" s="366"/>
    </row>
    <row r="4901" spans="1:13" x14ac:dyDescent="0.25">
      <c r="A4901" s="308">
        <v>45854</v>
      </c>
      <c r="B4901" s="416">
        <v>1228502</v>
      </c>
      <c r="C4901" s="638" t="str">
        <f>IFERROR(INDEX(Table14[],MATCH($B4901,Table14[SAPNo],0),3),"")</f>
        <v>1618 CT182 U-60 Rotor</v>
      </c>
      <c r="D4901" s="420" t="s">
        <v>12</v>
      </c>
      <c r="E4901" s="421">
        <v>10</v>
      </c>
      <c r="F4901" s="580"/>
      <c r="G4901" s="417" t="s">
        <v>3005</v>
      </c>
      <c r="H4901" s="598">
        <v>14414771</v>
      </c>
      <c r="I4901" s="322" t="s">
        <v>3006</v>
      </c>
      <c r="J4901" s="418"/>
      <c r="K4901" s="248"/>
      <c r="M4901" s="366"/>
    </row>
    <row r="4902" spans="1:13" x14ac:dyDescent="0.25">
      <c r="A4902" s="308">
        <v>45854</v>
      </c>
      <c r="B4902" s="416">
        <v>1220554</v>
      </c>
      <c r="C4902" s="639" t="str">
        <f>IFERROR(INDEX(Table14[],MATCH($B4902,Table14[SAPNo],0),3),"")</f>
        <v xml:space="preserve">1618 CT182 U-60 Carbide </v>
      </c>
      <c r="D4902" s="420" t="s">
        <v>12</v>
      </c>
      <c r="E4902" s="421">
        <v>10</v>
      </c>
      <c r="F4902" s="421"/>
      <c r="G4902" s="417" t="s">
        <v>3005</v>
      </c>
      <c r="H4902" s="598">
        <v>14414771</v>
      </c>
      <c r="I4902" s="322" t="s">
        <v>3006</v>
      </c>
      <c r="J4902" s="418"/>
      <c r="K4902" s="248"/>
      <c r="M4902" s="422"/>
    </row>
    <row r="4903" spans="1:13" x14ac:dyDescent="0.25">
      <c r="A4903" s="308">
        <v>45854</v>
      </c>
      <c r="B4903" s="416">
        <v>871781</v>
      </c>
      <c r="C4903" s="638" t="str">
        <f>IFERROR(INDEX(Table14[],MATCH($B4903,Table14[SAPNo],0),3),"")</f>
        <v>Round 1313 CT200  0.018" (B)</v>
      </c>
      <c r="D4903" s="420" t="s">
        <v>12</v>
      </c>
      <c r="E4903" s="421">
        <v>6</v>
      </c>
      <c r="F4903" s="580"/>
      <c r="G4903" s="417" t="s">
        <v>3005</v>
      </c>
      <c r="H4903" s="598">
        <v>14414771</v>
      </c>
      <c r="I4903" s="322" t="s">
        <v>3006</v>
      </c>
      <c r="J4903" s="418"/>
      <c r="K4903" s="248"/>
      <c r="M4903" s="366"/>
    </row>
    <row r="4904" spans="1:13" x14ac:dyDescent="0.25">
      <c r="A4904" s="308">
        <v>45854</v>
      </c>
      <c r="B4904" s="416">
        <v>2002186</v>
      </c>
      <c r="C4904" s="638" t="str">
        <f>IFERROR(INDEX(Table14[],MATCH($B4904,Table14[SAPNo],0),3),"")</f>
        <v>1313 CT187 U-60</v>
      </c>
      <c r="D4904" s="420" t="s">
        <v>12</v>
      </c>
      <c r="E4904" s="421">
        <v>15</v>
      </c>
      <c r="F4904" s="580"/>
      <c r="G4904" s="417" t="s">
        <v>3005</v>
      </c>
      <c r="H4904" s="598">
        <v>14414771</v>
      </c>
      <c r="I4904" s="322" t="s">
        <v>3006</v>
      </c>
      <c r="J4904" s="418"/>
      <c r="K4904" s="248"/>
      <c r="M4904" s="366"/>
    </row>
    <row r="4905" spans="1:13" x14ac:dyDescent="0.25">
      <c r="A4905" s="308">
        <v>45854</v>
      </c>
      <c r="B4905" s="416">
        <v>2002299</v>
      </c>
      <c r="C4905" s="638" t="str">
        <f>IFERROR(INDEX(Table14[],MATCH($B4905,Table14[SAPNo],0),3),"")</f>
        <v>1613 CT187 U-60</v>
      </c>
      <c r="D4905" s="420" t="s">
        <v>12</v>
      </c>
      <c r="E4905" s="421">
        <v>4</v>
      </c>
      <c r="F4905" s="580"/>
      <c r="G4905" s="417" t="s">
        <v>3005</v>
      </c>
      <c r="H4905" s="598">
        <v>14414771</v>
      </c>
      <c r="I4905" s="322" t="s">
        <v>3006</v>
      </c>
      <c r="J4905" s="418"/>
      <c r="K4905" s="248"/>
      <c r="M4905" s="366"/>
    </row>
    <row r="4906" spans="1:13" x14ac:dyDescent="0.25">
      <c r="A4906" s="308">
        <v>45854</v>
      </c>
      <c r="B4906" s="416">
        <v>729687</v>
      </c>
      <c r="C4906" s="638" t="str">
        <f>IFERROR(INDEX(Table14[],MATCH($B4906,Table14[SAPNo],0),3),"")</f>
        <v>Round 1613 CT82  10C (S)</v>
      </c>
      <c r="D4906" s="420" t="s">
        <v>12</v>
      </c>
      <c r="E4906" s="421">
        <v>20</v>
      </c>
      <c r="F4906" s="580"/>
      <c r="G4906" s="417" t="s">
        <v>3007</v>
      </c>
      <c r="H4906" s="598">
        <v>14305484</v>
      </c>
      <c r="I4906" s="322" t="s">
        <v>2987</v>
      </c>
      <c r="J4906" s="418"/>
      <c r="K4906" s="248"/>
      <c r="M4906" s="366"/>
    </row>
    <row r="4907" spans="1:13" x14ac:dyDescent="0.25">
      <c r="A4907" s="308">
        <v>45854</v>
      </c>
      <c r="B4907" s="416">
        <v>625854</v>
      </c>
      <c r="C4907" s="638" t="str">
        <f>IFERROR(INDEX(Table14[],MATCH($B4907,Table14[SAPNo],0),3),"")</f>
        <v>Carbide IA 1318    (C)</v>
      </c>
      <c r="D4907" s="420" t="s">
        <v>12</v>
      </c>
      <c r="E4907" s="421">
        <v>6</v>
      </c>
      <c r="F4907" s="580"/>
      <c r="G4907" s="417" t="s">
        <v>3007</v>
      </c>
      <c r="H4907" s="598">
        <v>14305484</v>
      </c>
      <c r="I4907" s="322" t="s">
        <v>2987</v>
      </c>
      <c r="J4907" s="418"/>
      <c r="K4907" s="248"/>
      <c r="M4907" s="366"/>
    </row>
    <row r="4908" spans="1:13" x14ac:dyDescent="0.25">
      <c r="A4908" s="308">
        <v>45854</v>
      </c>
      <c r="B4908" s="416">
        <v>1296685</v>
      </c>
      <c r="C4908" s="638" t="str">
        <f>IFERROR(INDEX(Table14[],MATCH($B4908,Table14[SAPNo],0),3),"")</f>
        <v>1613 CT179R U</v>
      </c>
      <c r="D4908" s="420" t="s">
        <v>12</v>
      </c>
      <c r="E4908" s="421">
        <v>30</v>
      </c>
      <c r="F4908" s="580"/>
      <c r="G4908" s="417" t="s">
        <v>3007</v>
      </c>
      <c r="H4908" s="598">
        <v>14305484</v>
      </c>
      <c r="I4908" s="322" t="s">
        <v>2987</v>
      </c>
      <c r="J4908" s="418"/>
      <c r="K4908" s="248"/>
      <c r="M4908" s="366"/>
    </row>
    <row r="4909" spans="1:13" x14ac:dyDescent="0.25">
      <c r="A4909" s="308">
        <v>45854</v>
      </c>
      <c r="B4909" s="416">
        <v>1208601</v>
      </c>
      <c r="C4909" s="638" t="str">
        <f>IFERROR(INDEX(Table14[],MATCH($B4909,Table14[SAPNo],0),3),"")</f>
        <v>1613 CT418 U-60</v>
      </c>
      <c r="D4909" s="420" t="s">
        <v>12</v>
      </c>
      <c r="E4909" s="421">
        <v>11</v>
      </c>
      <c r="F4909" s="580"/>
      <c r="G4909" s="417" t="s">
        <v>3007</v>
      </c>
      <c r="H4909" s="598">
        <v>14305484</v>
      </c>
      <c r="I4909" s="322" t="s">
        <v>2987</v>
      </c>
      <c r="J4909" s="418"/>
      <c r="K4909" s="248"/>
      <c r="M4909" s="366"/>
    </row>
    <row r="4910" spans="1:13" x14ac:dyDescent="0.25">
      <c r="A4910" s="308">
        <v>45854</v>
      </c>
      <c r="B4910" s="416">
        <v>871781</v>
      </c>
      <c r="C4910" s="638" t="str">
        <f>IFERROR(INDEX(Table14[],MATCH($B4910,Table14[SAPNo],0),3),"")</f>
        <v>Round 1313 CT200  0.018" (B)</v>
      </c>
      <c r="D4910" s="420" t="s">
        <v>12</v>
      </c>
      <c r="E4910" s="421">
        <v>7</v>
      </c>
      <c r="F4910" s="580"/>
      <c r="G4910" s="417" t="s">
        <v>3007</v>
      </c>
      <c r="H4910" s="598">
        <v>14305484</v>
      </c>
      <c r="I4910" s="322" t="s">
        <v>2987</v>
      </c>
      <c r="J4910" s="418"/>
      <c r="K4910" s="248"/>
      <c r="M4910" s="366"/>
    </row>
    <row r="4911" spans="1:13" x14ac:dyDescent="0.25">
      <c r="A4911" s="308">
        <v>45854</v>
      </c>
      <c r="B4911" s="416">
        <v>1146737</v>
      </c>
      <c r="C4911" s="638" t="str">
        <f>IFERROR(INDEX(Table14[],MATCH($B4911,Table14[SAPNo],0),3),"")</f>
        <v>1613 CT418 18-60</v>
      </c>
      <c r="D4911" s="420" t="s">
        <v>12</v>
      </c>
      <c r="E4911" s="421">
        <v>8</v>
      </c>
      <c r="F4911" s="580"/>
      <c r="G4911" s="417" t="s">
        <v>3007</v>
      </c>
      <c r="H4911" s="598">
        <v>14305484</v>
      </c>
      <c r="I4911" s="322" t="s">
        <v>2987</v>
      </c>
      <c r="J4911" s="418"/>
      <c r="K4911" s="248"/>
      <c r="M4911" s="366"/>
    </row>
    <row r="4912" spans="1:13" x14ac:dyDescent="0.25">
      <c r="A4912" s="308">
        <v>45854</v>
      </c>
      <c r="B4912" s="416">
        <v>1288783</v>
      </c>
      <c r="C4912" s="638" t="str">
        <f>IFERROR(INDEX(Table14[],MATCH($B4912,Table14[SAPNo],0),3),"")</f>
        <v>1613 CT179 18-60</v>
      </c>
      <c r="D4912" s="420" t="s">
        <v>12</v>
      </c>
      <c r="E4912" s="421">
        <v>6</v>
      </c>
      <c r="F4912" s="580"/>
      <c r="G4912" s="417" t="s">
        <v>3007</v>
      </c>
      <c r="H4912" s="598">
        <v>14305484</v>
      </c>
      <c r="I4912" s="322" t="s">
        <v>2987</v>
      </c>
      <c r="J4912" s="418"/>
      <c r="K4912" s="248"/>
      <c r="M4912" s="366"/>
    </row>
    <row r="4913" spans="1:13" x14ac:dyDescent="0.25">
      <c r="A4913" s="308">
        <v>45854</v>
      </c>
      <c r="B4913" s="416">
        <v>1130198</v>
      </c>
      <c r="C4913" s="638" t="str">
        <f>IFERROR(INDEX(Table14[],MATCH($B4913,Table14[SAPNo],0),3),"")</f>
        <v>Round 1613 CT182  0.018" (S)</v>
      </c>
      <c r="D4913" s="420" t="s">
        <v>1072</v>
      </c>
      <c r="E4913" s="421">
        <v>1</v>
      </c>
      <c r="F4913" s="580"/>
      <c r="G4913" s="417" t="s">
        <v>3007</v>
      </c>
      <c r="H4913" s="598">
        <v>14305484</v>
      </c>
      <c r="I4913" s="322" t="s">
        <v>2987</v>
      </c>
      <c r="J4913" s="418"/>
      <c r="K4913" s="248"/>
      <c r="M4913" s="366"/>
    </row>
    <row r="4914" spans="1:13" x14ac:dyDescent="0.25">
      <c r="A4914" s="320">
        <v>45854</v>
      </c>
      <c r="B4914" s="419">
        <v>717748</v>
      </c>
      <c r="C4914" s="638" t="str">
        <f>IFERROR(INDEX(Table14[],MATCH($B4914,Table14[SAPNo],0),3),"")</f>
        <v>Round 1010 CT200  0.018" (B)</v>
      </c>
      <c r="D4914" s="420" t="s">
        <v>12</v>
      </c>
      <c r="E4914" s="421">
        <v>4</v>
      </c>
      <c r="F4914" s="580"/>
      <c r="G4914" s="420" t="s">
        <v>3008</v>
      </c>
      <c r="H4914" s="599" t="s">
        <v>3009</v>
      </c>
      <c r="I4914" s="322" t="s">
        <v>2362</v>
      </c>
      <c r="J4914" s="421"/>
      <c r="K4914" s="422"/>
      <c r="M4914" s="366"/>
    </row>
    <row r="4915" spans="1:13" x14ac:dyDescent="0.25">
      <c r="A4915" s="308">
        <v>45855</v>
      </c>
      <c r="B4915" s="416">
        <v>717748</v>
      </c>
      <c r="C4915" s="638" t="str">
        <f>IFERROR(INDEX(Table14[],MATCH($B4915,Table14[SAPNo],0),3),"")</f>
        <v>Round 1010 CT200  0.018" (B)</v>
      </c>
      <c r="D4915" s="420" t="s">
        <v>12</v>
      </c>
      <c r="E4915" s="421">
        <v>3</v>
      </c>
      <c r="F4915" s="421"/>
      <c r="G4915" s="417">
        <v>20251097</v>
      </c>
      <c r="H4915" s="598" t="s">
        <v>3010</v>
      </c>
      <c r="I4915" s="322" t="s">
        <v>2529</v>
      </c>
      <c r="J4915" s="418"/>
      <c r="K4915" s="248"/>
      <c r="M4915" s="422"/>
    </row>
    <row r="4916" spans="1:13" x14ac:dyDescent="0.25">
      <c r="A4916" s="308">
        <v>45855</v>
      </c>
      <c r="B4916" s="416">
        <v>1146737</v>
      </c>
      <c r="C4916" s="638" t="str">
        <f>IFERROR(INDEX(Table14[],MATCH($B4916,Table14[SAPNo],0),3),"")</f>
        <v>1613 CT418 18-60</v>
      </c>
      <c r="D4916" s="420" t="s">
        <v>12</v>
      </c>
      <c r="E4916" s="421">
        <v>7</v>
      </c>
      <c r="F4916" s="580"/>
      <c r="G4916" s="417" t="s">
        <v>3003</v>
      </c>
      <c r="H4916" s="598">
        <v>14204334</v>
      </c>
      <c r="I4916" s="322" t="s">
        <v>3004</v>
      </c>
      <c r="J4916" s="418"/>
      <c r="K4916" s="248"/>
      <c r="M4916" s="366"/>
    </row>
    <row r="4917" spans="1:13" x14ac:dyDescent="0.25">
      <c r="A4917" s="308">
        <v>45855</v>
      </c>
      <c r="B4917" s="416">
        <v>871781</v>
      </c>
      <c r="C4917" s="638" t="str">
        <f>IFERROR(INDEX(Table14[],MATCH($B4917,Table14[SAPNo],0),3),"")</f>
        <v>Round 1313 CT200  0.018" (B)</v>
      </c>
      <c r="D4917" s="420" t="s">
        <v>12</v>
      </c>
      <c r="E4917" s="421">
        <v>8</v>
      </c>
      <c r="F4917" s="580"/>
      <c r="G4917" s="417" t="s">
        <v>3011</v>
      </c>
      <c r="H4917" s="598">
        <v>14418560</v>
      </c>
      <c r="I4917" s="322" t="s">
        <v>3012</v>
      </c>
      <c r="J4917" s="418"/>
      <c r="K4917" s="248"/>
      <c r="M4917" s="366"/>
    </row>
    <row r="4918" spans="1:13" x14ac:dyDescent="0.25">
      <c r="A4918" s="308">
        <v>45855</v>
      </c>
      <c r="B4918" s="416">
        <v>2013726</v>
      </c>
      <c r="C4918" s="638" t="str">
        <f>IFERROR(INDEX(Table14[],MATCH($B4918,Table14[SAPNo],0),3),"")</f>
        <v>1913 CT172 18-60</v>
      </c>
      <c r="D4918" s="420" t="s">
        <v>12</v>
      </c>
      <c r="E4918" s="421">
        <v>24</v>
      </c>
      <c r="F4918" s="580"/>
      <c r="G4918" s="417" t="s">
        <v>3011</v>
      </c>
      <c r="H4918" s="598">
        <v>14418560</v>
      </c>
      <c r="I4918" s="322" t="s">
        <v>3012</v>
      </c>
      <c r="J4918" s="418"/>
      <c r="K4918" s="248"/>
      <c r="M4918" s="366"/>
    </row>
    <row r="4919" spans="1:13" x14ac:dyDescent="0.25">
      <c r="A4919" s="308">
        <v>45855</v>
      </c>
      <c r="B4919" s="416">
        <v>1291870</v>
      </c>
      <c r="C4919" s="638" t="str">
        <f>IFERROR(INDEX(Table14[],MATCH($B4919,Table14[SAPNo],0),3),"")</f>
        <v>1613 CT186 18-60</v>
      </c>
      <c r="D4919" s="420" t="s">
        <v>12</v>
      </c>
      <c r="E4919" s="421">
        <v>13</v>
      </c>
      <c r="F4919" s="580"/>
      <c r="G4919" s="417" t="s">
        <v>3011</v>
      </c>
      <c r="H4919" s="598">
        <v>14418560</v>
      </c>
      <c r="I4919" s="322" t="s">
        <v>3012</v>
      </c>
      <c r="J4919" s="418"/>
      <c r="K4919" s="248"/>
      <c r="M4919" s="366"/>
    </row>
    <row r="4920" spans="1:13" x14ac:dyDescent="0.25">
      <c r="A4920" s="308">
        <v>45855</v>
      </c>
      <c r="B4920" s="416">
        <v>1263929</v>
      </c>
      <c r="C4920" s="638" t="str">
        <f>IFERROR(INDEX(Table14[],MATCH($B4920,Table14[SAPNo],0),3),"")</f>
        <v>1613 CT437 18-60</v>
      </c>
      <c r="D4920" s="420" t="s">
        <v>12</v>
      </c>
      <c r="E4920" s="421">
        <v>13</v>
      </c>
      <c r="F4920" s="580"/>
      <c r="G4920" s="417" t="s">
        <v>3011</v>
      </c>
      <c r="H4920" s="598">
        <v>14418560</v>
      </c>
      <c r="I4920" s="322" t="s">
        <v>3012</v>
      </c>
      <c r="J4920" s="418"/>
      <c r="K4920" s="248"/>
      <c r="M4920" s="366"/>
    </row>
    <row r="4921" spans="1:13" x14ac:dyDescent="0.25">
      <c r="A4921" s="308">
        <v>45855</v>
      </c>
      <c r="B4921" s="416">
        <v>1146737</v>
      </c>
      <c r="C4921" s="638" t="str">
        <f>IFERROR(INDEX(Table14[],MATCH($B4921,Table14[SAPNo],0),3),"")</f>
        <v>1613 CT418 18-60</v>
      </c>
      <c r="D4921" s="420" t="s">
        <v>12</v>
      </c>
      <c r="E4921" s="421">
        <v>17</v>
      </c>
      <c r="F4921" s="580"/>
      <c r="G4921" s="417" t="s">
        <v>3011</v>
      </c>
      <c r="H4921" s="598">
        <v>14418560</v>
      </c>
      <c r="I4921" s="322" t="s">
        <v>3012</v>
      </c>
      <c r="J4921" s="418"/>
      <c r="K4921" s="248"/>
      <c r="M4921" s="366"/>
    </row>
    <row r="4922" spans="1:13" x14ac:dyDescent="0.25">
      <c r="A4922" s="308">
        <v>45855</v>
      </c>
      <c r="B4922" s="416">
        <v>1100753</v>
      </c>
      <c r="C4922" s="638" t="str">
        <f>IFERROR(INDEX(Table14[],MATCH($B4922,Table14[SAPNo],0),3),"")</f>
        <v>1608 18C CT421</v>
      </c>
      <c r="D4922" s="420" t="s">
        <v>12</v>
      </c>
      <c r="E4922" s="421">
        <v>8</v>
      </c>
      <c r="F4922" s="580"/>
      <c r="G4922" s="417" t="s">
        <v>3011</v>
      </c>
      <c r="H4922" s="598">
        <v>14418560</v>
      </c>
      <c r="I4922" s="322" t="s">
        <v>3012</v>
      </c>
      <c r="J4922" s="418"/>
      <c r="K4922" s="248"/>
      <c r="M4922" s="366"/>
    </row>
    <row r="4923" spans="1:13" x14ac:dyDescent="0.25">
      <c r="A4923" s="320">
        <v>45855</v>
      </c>
      <c r="B4923" s="419">
        <v>1130198</v>
      </c>
      <c r="C4923" s="638" t="str">
        <f>IFERROR(INDEX(Table14[],MATCH($B4923,Table14[SAPNo],0),3),"")</f>
        <v>Round 1613 CT182  0.018" (S)</v>
      </c>
      <c r="D4923" s="420" t="s">
        <v>1072</v>
      </c>
      <c r="E4923" s="421">
        <v>35</v>
      </c>
      <c r="F4923" s="580"/>
      <c r="G4923" s="420" t="s">
        <v>3011</v>
      </c>
      <c r="H4923" s="599">
        <v>14418560</v>
      </c>
      <c r="I4923" s="322" t="s">
        <v>3012</v>
      </c>
      <c r="J4923" s="421"/>
      <c r="K4923" s="422"/>
      <c r="M4923" s="366"/>
    </row>
    <row r="4924" spans="1:13" x14ac:dyDescent="0.25">
      <c r="A4924" s="308">
        <v>45855</v>
      </c>
      <c r="B4924" s="416">
        <v>2002299</v>
      </c>
      <c r="C4924" s="638" t="str">
        <f>IFERROR(INDEX(Table14[],MATCH($B4924,Table14[SAPNo],0),3),"")</f>
        <v>1613 CT187 U-60</v>
      </c>
      <c r="D4924" s="420" t="s">
        <v>12</v>
      </c>
      <c r="E4924" s="421">
        <v>1</v>
      </c>
      <c r="F4924" s="421"/>
      <c r="G4924" s="417" t="s">
        <v>3005</v>
      </c>
      <c r="H4924" s="598">
        <v>14414771</v>
      </c>
      <c r="I4924" s="322" t="s">
        <v>3006</v>
      </c>
      <c r="J4924" s="418"/>
      <c r="K4924" s="248" t="s">
        <v>2546</v>
      </c>
      <c r="M4924" s="422"/>
    </row>
    <row r="4925" spans="1:13" x14ac:dyDescent="0.25">
      <c r="A4925" s="308">
        <v>45855</v>
      </c>
      <c r="B4925" s="416">
        <v>1220554</v>
      </c>
      <c r="C4925" s="638" t="str">
        <f>IFERROR(INDEX(Table14[],MATCH($B4925,Table14[SAPNo],0),3),"")</f>
        <v xml:space="preserve">1618 CT182 U-60 Carbide </v>
      </c>
      <c r="D4925" s="420" t="s">
        <v>12</v>
      </c>
      <c r="E4925" s="421">
        <v>1</v>
      </c>
      <c r="F4925" s="580"/>
      <c r="G4925" s="417" t="s">
        <v>3005</v>
      </c>
      <c r="H4925" s="598">
        <v>14414771</v>
      </c>
      <c r="I4925" s="322" t="s">
        <v>3006</v>
      </c>
      <c r="J4925" s="418"/>
      <c r="K4925" s="248" t="s">
        <v>2546</v>
      </c>
      <c r="M4925" s="366"/>
    </row>
    <row r="4926" spans="1:13" x14ac:dyDescent="0.25">
      <c r="A4926" s="308">
        <v>45855</v>
      </c>
      <c r="B4926" s="416">
        <v>1228501</v>
      </c>
      <c r="C4926" s="638" t="str">
        <f>IFERROR(INDEX(Table14[],MATCH($B4926,Table14[SAPNo],0),3),"")</f>
        <v>1618 CT182 U-60 stator</v>
      </c>
      <c r="D4926" s="420" t="s">
        <v>12</v>
      </c>
      <c r="E4926" s="421">
        <v>1</v>
      </c>
      <c r="F4926" s="580"/>
      <c r="G4926" s="417" t="s">
        <v>3005</v>
      </c>
      <c r="H4926" s="598">
        <v>14414771</v>
      </c>
      <c r="I4926" s="322" t="s">
        <v>3006</v>
      </c>
      <c r="J4926" s="418"/>
      <c r="K4926" s="248" t="s">
        <v>2546</v>
      </c>
      <c r="M4926" s="366"/>
    </row>
    <row r="4927" spans="1:13" x14ac:dyDescent="0.25">
      <c r="A4927" s="308">
        <v>45851</v>
      </c>
      <c r="B4927" s="416">
        <v>1288783</v>
      </c>
      <c r="C4927" s="638" t="str">
        <f>IFERROR(INDEX(Table14[],MATCH($B4927,Table14[SAPNo],0),3),"")</f>
        <v>1613 CT179 18-60</v>
      </c>
      <c r="D4927" s="420" t="s">
        <v>12</v>
      </c>
      <c r="E4927" s="421">
        <v>1</v>
      </c>
      <c r="F4927" s="580"/>
      <c r="G4927" s="417" t="s">
        <v>2994</v>
      </c>
      <c r="H4927" s="598">
        <v>14369050</v>
      </c>
      <c r="I4927" s="322" t="s">
        <v>2907</v>
      </c>
      <c r="J4927" s="418"/>
      <c r="K4927" s="248"/>
      <c r="M4927" s="366"/>
    </row>
    <row r="4928" spans="1:13" x14ac:dyDescent="0.25">
      <c r="A4928" s="308">
        <v>45855</v>
      </c>
      <c r="B4928" s="416">
        <v>418525</v>
      </c>
      <c r="C4928" s="638" t="str">
        <f>IFERROR(INDEX(Table14[],MATCH($B4928,Table14[SAPNo],0),3),"")</f>
        <v>Drop In 1308 CT31   (B)</v>
      </c>
      <c r="D4928" s="420" t="s">
        <v>12</v>
      </c>
      <c r="E4928" s="421">
        <v>7</v>
      </c>
      <c r="F4928" s="580"/>
      <c r="G4928" s="417" t="s">
        <v>3013</v>
      </c>
      <c r="H4928" s="598">
        <v>13999836</v>
      </c>
      <c r="I4928" s="322" t="s">
        <v>1661</v>
      </c>
      <c r="J4928" s="418"/>
      <c r="K4928" s="248"/>
      <c r="M4928" s="366"/>
    </row>
    <row r="4929" spans="1:13" x14ac:dyDescent="0.25">
      <c r="A4929" s="308">
        <v>45855</v>
      </c>
      <c r="B4929" s="416">
        <v>179733</v>
      </c>
      <c r="C4929" s="638" t="str">
        <f>IFERROR(INDEX(Table14[],MATCH($B4929,Table14[SAPNo],0),3),"")</f>
        <v>Short IA 13    (C)</v>
      </c>
      <c r="D4929" s="420" t="s">
        <v>12</v>
      </c>
      <c r="E4929" s="421">
        <v>3</v>
      </c>
      <c r="F4929" s="580"/>
      <c r="G4929" s="417" t="s">
        <v>3013</v>
      </c>
      <c r="H4929" s="598">
        <v>13999836</v>
      </c>
      <c r="I4929" s="322" t="s">
        <v>1661</v>
      </c>
      <c r="J4929" s="418"/>
      <c r="K4929" s="248"/>
      <c r="M4929" s="366"/>
    </row>
    <row r="4930" spans="1:13" x14ac:dyDescent="0.25">
      <c r="A4930" s="308">
        <v>45855</v>
      </c>
      <c r="B4930" s="416">
        <v>1219562</v>
      </c>
      <c r="C4930" s="638" t="str">
        <f>IFERROR(INDEX(Table14[],MATCH($B4930,Table14[SAPNo],0),3),"")</f>
        <v>1613 CT147R U</v>
      </c>
      <c r="D4930" s="420" t="s">
        <v>12</v>
      </c>
      <c r="E4930" s="421">
        <v>12</v>
      </c>
      <c r="F4930" s="580"/>
      <c r="G4930" s="417" t="s">
        <v>3013</v>
      </c>
      <c r="H4930" s="598">
        <v>13999836</v>
      </c>
      <c r="I4930" s="322" t="s">
        <v>1661</v>
      </c>
      <c r="J4930" s="418"/>
      <c r="K4930" s="248"/>
      <c r="M4930" s="366"/>
    </row>
    <row r="4931" spans="1:13" x14ac:dyDescent="0.25">
      <c r="A4931" s="308">
        <v>45855</v>
      </c>
      <c r="B4931" s="416">
        <v>1146742</v>
      </c>
      <c r="C4931" s="638" t="str">
        <f>IFERROR(INDEX(Table14[],MATCH($B4931,Table14[SAPNo],0),3),"")</f>
        <v>1913 CT418 U-60</v>
      </c>
      <c r="D4931" s="420" t="s">
        <v>12</v>
      </c>
      <c r="E4931" s="421">
        <v>5</v>
      </c>
      <c r="F4931" s="580"/>
      <c r="G4931" s="417" t="s">
        <v>3013</v>
      </c>
      <c r="H4931" s="598">
        <v>13999836</v>
      </c>
      <c r="I4931" s="322" t="s">
        <v>1661</v>
      </c>
      <c r="J4931" s="418"/>
      <c r="K4931" s="248"/>
      <c r="M4931" s="366"/>
    </row>
    <row r="4932" spans="1:13" x14ac:dyDescent="0.25">
      <c r="A4932" s="320">
        <v>45855</v>
      </c>
      <c r="B4932" s="419">
        <v>1146737</v>
      </c>
      <c r="C4932" s="638" t="str">
        <f>IFERROR(INDEX(Table14[],MATCH($B4932,Table14[SAPNo],0),3),"")</f>
        <v>1613 CT418 18-60</v>
      </c>
      <c r="D4932" s="420" t="s">
        <v>12</v>
      </c>
      <c r="E4932" s="421">
        <v>6</v>
      </c>
      <c r="F4932" s="580"/>
      <c r="G4932" s="420" t="s">
        <v>3013</v>
      </c>
      <c r="H4932" s="599">
        <v>13999836</v>
      </c>
      <c r="I4932" s="322" t="s">
        <v>1661</v>
      </c>
      <c r="J4932" s="421"/>
      <c r="K4932" s="422"/>
      <c r="M4932" s="366"/>
    </row>
    <row r="4933" spans="1:13" x14ac:dyDescent="0.25">
      <c r="A4933" s="308">
        <v>45858</v>
      </c>
      <c r="B4933" s="416">
        <v>717748</v>
      </c>
      <c r="C4933" s="638" t="str">
        <f>IFERROR(INDEX(Table14[],MATCH($B4933,Table14[SAPNo],0),3),"")</f>
        <v>Round 1010 CT200  0.018" (B)</v>
      </c>
      <c r="D4933" s="420" t="s">
        <v>12</v>
      </c>
      <c r="E4933" s="421">
        <v>7</v>
      </c>
      <c r="F4933" s="421"/>
      <c r="G4933" s="417">
        <v>20251094</v>
      </c>
      <c r="H4933" s="598" t="s">
        <v>3014</v>
      </c>
      <c r="I4933" s="322" t="s">
        <v>1069</v>
      </c>
      <c r="J4933" s="418"/>
      <c r="K4933" s="248"/>
      <c r="M4933" s="422"/>
    </row>
    <row r="4934" spans="1:13" x14ac:dyDescent="0.25">
      <c r="A4934" s="308">
        <v>45858</v>
      </c>
      <c r="B4934" s="416">
        <v>871781</v>
      </c>
      <c r="C4934" s="638" t="str">
        <f>IFERROR(INDEX(Table14[],MATCH($B4934,Table14[SAPNo],0),3),"")</f>
        <v>Round 1313 CT200  0.018" (B)</v>
      </c>
      <c r="D4934" s="420" t="s">
        <v>12</v>
      </c>
      <c r="E4934" s="421">
        <v>6</v>
      </c>
      <c r="F4934" s="580"/>
      <c r="G4934" s="417" t="s">
        <v>3015</v>
      </c>
      <c r="H4934" s="598">
        <v>14414769</v>
      </c>
      <c r="I4934" s="322" t="s">
        <v>3016</v>
      </c>
      <c r="J4934" s="418"/>
      <c r="K4934" s="248"/>
      <c r="M4934" s="366"/>
    </row>
    <row r="4935" spans="1:13" x14ac:dyDescent="0.25">
      <c r="A4935" s="308">
        <v>45858</v>
      </c>
      <c r="B4935" s="416">
        <v>2002299</v>
      </c>
      <c r="C4935" s="638" t="str">
        <f>IFERROR(INDEX(Table14[],MATCH($B4935,Table14[SAPNo],0),3),"")</f>
        <v>1613 CT187 U-60</v>
      </c>
      <c r="D4935" s="420" t="s">
        <v>12</v>
      </c>
      <c r="E4935" s="421">
        <v>4</v>
      </c>
      <c r="F4935" s="580"/>
      <c r="G4935" s="417" t="s">
        <v>3015</v>
      </c>
      <c r="H4935" s="598">
        <v>14414769</v>
      </c>
      <c r="I4935" s="322" t="s">
        <v>3016</v>
      </c>
      <c r="J4935" s="418"/>
      <c r="K4935" s="248"/>
      <c r="M4935" s="366"/>
    </row>
    <row r="4936" spans="1:13" x14ac:dyDescent="0.25">
      <c r="A4936" s="308">
        <v>45858</v>
      </c>
      <c r="B4936" s="416">
        <v>2002186</v>
      </c>
      <c r="C4936" s="638" t="str">
        <f>IFERROR(INDEX(Table14[],MATCH($B4936,Table14[SAPNo],0),3),"")</f>
        <v>1313 CT187 U-60</v>
      </c>
      <c r="D4936" s="420" t="s">
        <v>12</v>
      </c>
      <c r="E4936" s="421">
        <v>15</v>
      </c>
      <c r="F4936" s="580"/>
      <c r="G4936" s="417" t="s">
        <v>3015</v>
      </c>
      <c r="H4936" s="598">
        <v>14414769</v>
      </c>
      <c r="I4936" s="322" t="s">
        <v>3016</v>
      </c>
      <c r="J4936" s="418"/>
      <c r="K4936" s="248"/>
      <c r="M4936" s="366"/>
    </row>
    <row r="4937" spans="1:13" x14ac:dyDescent="0.25">
      <c r="A4937" s="308">
        <v>45858</v>
      </c>
      <c r="B4937" s="416">
        <v>1228503</v>
      </c>
      <c r="C4937" s="638" t="str">
        <f>IFERROR(INDEX(Table14[],MATCH($B4937,Table14[SAPNo],0),3),"")</f>
        <v>1618 CT182 U-60 Ring</v>
      </c>
      <c r="D4937" s="420" t="s">
        <v>12</v>
      </c>
      <c r="E4937" s="421">
        <v>10</v>
      </c>
      <c r="F4937" s="580"/>
      <c r="G4937" s="417" t="s">
        <v>3015</v>
      </c>
      <c r="H4937" s="598">
        <v>14414769</v>
      </c>
      <c r="I4937" s="322" t="s">
        <v>3016</v>
      </c>
      <c r="J4937" s="418"/>
      <c r="K4937" s="248"/>
      <c r="M4937" s="366"/>
    </row>
    <row r="4938" spans="1:13" x14ac:dyDescent="0.25">
      <c r="A4938" s="308">
        <v>45858</v>
      </c>
      <c r="B4938" s="416">
        <v>1220554</v>
      </c>
      <c r="C4938" s="638" t="str">
        <f>IFERROR(INDEX(Table14[],MATCH($B4938,Table14[SAPNo],0),3),"")</f>
        <v xml:space="preserve">1618 CT182 U-60 Carbide </v>
      </c>
      <c r="D4938" s="420" t="s">
        <v>12</v>
      </c>
      <c r="E4938" s="421">
        <v>10</v>
      </c>
      <c r="F4938" s="580"/>
      <c r="G4938" s="417" t="s">
        <v>3015</v>
      </c>
      <c r="H4938" s="598">
        <v>14414769</v>
      </c>
      <c r="I4938" s="322" t="s">
        <v>3016</v>
      </c>
      <c r="J4938" s="418"/>
      <c r="K4938" s="248"/>
      <c r="M4938" s="366"/>
    </row>
    <row r="4939" spans="1:13" x14ac:dyDescent="0.25">
      <c r="A4939" s="308">
        <v>45858</v>
      </c>
      <c r="B4939" s="416">
        <v>1228502</v>
      </c>
      <c r="C4939" s="638" t="str">
        <f>IFERROR(INDEX(Table14[],MATCH($B4939,Table14[SAPNo],0),3),"")</f>
        <v>1618 CT182 U-60 Rotor</v>
      </c>
      <c r="D4939" s="420" t="s">
        <v>12</v>
      </c>
      <c r="E4939" s="421">
        <v>10</v>
      </c>
      <c r="F4939" s="580"/>
      <c r="G4939" s="417" t="s">
        <v>3015</v>
      </c>
      <c r="H4939" s="598">
        <v>14414769</v>
      </c>
      <c r="I4939" s="322" t="s">
        <v>3016</v>
      </c>
      <c r="J4939" s="418"/>
      <c r="K4939" s="248"/>
      <c r="M4939" s="366"/>
    </row>
    <row r="4940" spans="1:13" x14ac:dyDescent="0.25">
      <c r="A4940" s="308">
        <v>45858</v>
      </c>
      <c r="B4940" s="416">
        <v>1228501</v>
      </c>
      <c r="C4940" s="638" t="str">
        <f>IFERROR(INDEX(Table14[],MATCH($B4940,Table14[SAPNo],0),3),"")</f>
        <v>1618 CT182 U-60 stator</v>
      </c>
      <c r="D4940" s="420" t="s">
        <v>12</v>
      </c>
      <c r="E4940" s="421">
        <v>10</v>
      </c>
      <c r="F4940" s="580"/>
      <c r="G4940" s="417" t="s">
        <v>3015</v>
      </c>
      <c r="H4940" s="598">
        <v>14414769</v>
      </c>
      <c r="I4940" s="322" t="s">
        <v>3016</v>
      </c>
      <c r="J4940" s="418"/>
      <c r="K4940" s="248"/>
      <c r="M4940" s="366"/>
    </row>
    <row r="4941" spans="1:13" x14ac:dyDescent="0.25">
      <c r="A4941" s="308">
        <v>45858</v>
      </c>
      <c r="B4941" s="416">
        <v>1134752</v>
      </c>
      <c r="C4941" s="638" t="str">
        <f>IFERROR(INDEX(Table14[],MATCH($B4941,Table14[SAPNo],0),3),"")</f>
        <v>Round 1308 CT182  0.018" (S)</v>
      </c>
      <c r="D4941" s="420" t="s">
        <v>12</v>
      </c>
      <c r="E4941" s="421">
        <v>15</v>
      </c>
      <c r="F4941" s="580"/>
      <c r="G4941" s="417" t="s">
        <v>3015</v>
      </c>
      <c r="H4941" s="598">
        <v>14414769</v>
      </c>
      <c r="I4941" s="322" t="s">
        <v>3016</v>
      </c>
      <c r="J4941" s="418"/>
      <c r="K4941" s="248"/>
      <c r="M4941" s="366"/>
    </row>
    <row r="4942" spans="1:13" x14ac:dyDescent="0.25">
      <c r="A4942" s="308">
        <v>45858</v>
      </c>
      <c r="B4942" s="416">
        <v>418525</v>
      </c>
      <c r="C4942" s="638" t="str">
        <f>IFERROR(INDEX(Table14[],MATCH($B4942,Table14[SAPNo],0),3),"")</f>
        <v>Drop In 1308 CT31   (B)</v>
      </c>
      <c r="D4942" s="420" t="s">
        <v>12</v>
      </c>
      <c r="E4942" s="421">
        <v>6</v>
      </c>
      <c r="F4942" s="580"/>
      <c r="G4942" s="417" t="s">
        <v>3017</v>
      </c>
      <c r="H4942" s="598" t="s">
        <v>3018</v>
      </c>
      <c r="I4942" s="322" t="s">
        <v>2136</v>
      </c>
      <c r="J4942" s="418"/>
      <c r="K4942" s="248"/>
      <c r="M4942" s="366"/>
    </row>
    <row r="4943" spans="1:13" x14ac:dyDescent="0.25">
      <c r="A4943" s="320">
        <v>45858</v>
      </c>
      <c r="B4943" s="419">
        <v>1146737</v>
      </c>
      <c r="C4943" s="638" t="str">
        <f>IFERROR(INDEX(Table14[],MATCH($B4943,Table14[SAPNo],0),3),"")</f>
        <v>1613 CT418 18-60</v>
      </c>
      <c r="D4943" s="420" t="s">
        <v>12</v>
      </c>
      <c r="E4943" s="421">
        <v>6</v>
      </c>
      <c r="F4943" s="580"/>
      <c r="G4943" s="420" t="s">
        <v>3017</v>
      </c>
      <c r="H4943" s="599" t="s">
        <v>3018</v>
      </c>
      <c r="I4943" s="322" t="s">
        <v>2136</v>
      </c>
      <c r="J4943" s="421"/>
      <c r="K4943" s="422"/>
      <c r="M4943" s="366"/>
    </row>
    <row r="4944" spans="1:13" x14ac:dyDescent="0.25">
      <c r="A4944" s="308">
        <v>45858</v>
      </c>
      <c r="B4944" s="416">
        <v>1100753</v>
      </c>
      <c r="C4944" s="638" t="str">
        <f>IFERROR(INDEX(Table14[],MATCH($B4944,Table14[SAPNo],0),3),"")</f>
        <v>1608 18C CT421</v>
      </c>
      <c r="D4944" s="420" t="s">
        <v>12</v>
      </c>
      <c r="E4944" s="421"/>
      <c r="F4944" s="421">
        <v>10</v>
      </c>
      <c r="G4944" s="417" t="s">
        <v>2513</v>
      </c>
      <c r="H4944" s="598"/>
      <c r="I4944" s="322"/>
      <c r="J4944" s="418" t="s">
        <v>1015</v>
      </c>
      <c r="K4944" s="248"/>
      <c r="M4944" s="422"/>
    </row>
    <row r="4945" spans="1:13" x14ac:dyDescent="0.25">
      <c r="A4945" s="308">
        <v>45858</v>
      </c>
      <c r="B4945" s="416">
        <v>1126402</v>
      </c>
      <c r="C4945" s="638" t="str">
        <f>IFERROR(INDEX(Table14[],MATCH($B4945,Table14[SAPNo],0),3),"")</f>
        <v>1613 CT421 16-60</v>
      </c>
      <c r="D4945" s="420" t="s">
        <v>12</v>
      </c>
      <c r="E4945" s="421"/>
      <c r="F4945" s="580">
        <v>202</v>
      </c>
      <c r="G4945" s="417" t="s">
        <v>2513</v>
      </c>
      <c r="H4945" s="598"/>
      <c r="I4945" s="322"/>
      <c r="J4945" s="418" t="s">
        <v>1015</v>
      </c>
      <c r="K4945" s="248"/>
      <c r="M4945" s="366"/>
    </row>
    <row r="4946" spans="1:13" x14ac:dyDescent="0.25">
      <c r="A4946" s="308">
        <v>45858</v>
      </c>
      <c r="B4946" s="416">
        <v>1146738</v>
      </c>
      <c r="C4946" s="638" t="str">
        <f>IFERROR(INDEX(Table14[],MATCH($B4946,Table14[SAPNo],0),3),"")</f>
        <v>1913 CT418 18-60</v>
      </c>
      <c r="D4946" s="420" t="s">
        <v>12</v>
      </c>
      <c r="E4946" s="421"/>
      <c r="F4946" s="580">
        <v>20</v>
      </c>
      <c r="G4946" s="417" t="s">
        <v>2513</v>
      </c>
      <c r="H4946" s="598"/>
      <c r="I4946" s="322"/>
      <c r="J4946" s="418" t="s">
        <v>1015</v>
      </c>
      <c r="K4946" s="248"/>
      <c r="M4946" s="366"/>
    </row>
    <row r="4947" spans="1:13" x14ac:dyDescent="0.25">
      <c r="A4947" s="308">
        <v>45858</v>
      </c>
      <c r="B4947" s="416">
        <v>1199261</v>
      </c>
      <c r="C4947" s="638" t="str">
        <f>IFERROR(INDEX(Table14[],MATCH($B4947,Table14[SAPNo],0),3),"")</f>
        <v>1010 CT158 0.018"</v>
      </c>
      <c r="D4947" s="420" t="s">
        <v>12</v>
      </c>
      <c r="E4947" s="421"/>
      <c r="F4947" s="580">
        <v>10</v>
      </c>
      <c r="G4947" s="417" t="s">
        <v>2513</v>
      </c>
      <c r="H4947" s="598"/>
      <c r="I4947" s="322"/>
      <c r="J4947" s="418" t="s">
        <v>1015</v>
      </c>
      <c r="K4947" s="248"/>
      <c r="M4947" s="366"/>
    </row>
    <row r="4948" spans="1:13" x14ac:dyDescent="0.25">
      <c r="A4948" s="308">
        <v>45858</v>
      </c>
      <c r="B4948" s="416">
        <v>1261319</v>
      </c>
      <c r="C4948" s="638" t="str">
        <f>IFERROR(INDEX(Table14[],MATCH($B4948,Table14[SAPNo],0),3),"")</f>
        <v>1308 CT155 U-60</v>
      </c>
      <c r="D4948" s="420" t="s">
        <v>12</v>
      </c>
      <c r="E4948" s="421"/>
      <c r="F4948" s="580">
        <v>70</v>
      </c>
      <c r="G4948" s="417" t="s">
        <v>2513</v>
      </c>
      <c r="H4948" s="598"/>
      <c r="I4948" s="322"/>
      <c r="J4948" s="418" t="s">
        <v>1021</v>
      </c>
      <c r="K4948" s="248"/>
      <c r="M4948" s="366"/>
    </row>
    <row r="4949" spans="1:13" x14ac:dyDescent="0.25">
      <c r="A4949" s="308">
        <v>45858</v>
      </c>
      <c r="B4949" s="416">
        <v>1293118</v>
      </c>
      <c r="C4949" s="638" t="str">
        <f>IFERROR(INDEX(Table14[],MATCH($B4949,Table14[SAPNo],0),3),"")</f>
        <v>0808 CT158NL 0.018"</v>
      </c>
      <c r="D4949" s="420" t="s">
        <v>12</v>
      </c>
      <c r="E4949" s="421"/>
      <c r="F4949" s="580">
        <v>20</v>
      </c>
      <c r="G4949" s="417" t="s">
        <v>2513</v>
      </c>
      <c r="H4949" s="598"/>
      <c r="I4949" s="322"/>
      <c r="J4949" s="418" t="s">
        <v>1015</v>
      </c>
      <c r="K4949" s="248"/>
      <c r="M4949" s="366"/>
    </row>
    <row r="4950" spans="1:13" x14ac:dyDescent="0.25">
      <c r="A4950" s="308">
        <v>45858</v>
      </c>
      <c r="B4950" s="416">
        <v>2002186</v>
      </c>
      <c r="C4950" s="638" t="str">
        <f>IFERROR(INDEX(Table14[],MATCH($B4950,Table14[SAPNo],0),3),"")</f>
        <v>1313 CT187 U-60</v>
      </c>
      <c r="D4950" s="420" t="s">
        <v>12</v>
      </c>
      <c r="E4950" s="421"/>
      <c r="F4950" s="580">
        <v>17</v>
      </c>
      <c r="G4950" s="417" t="s">
        <v>2513</v>
      </c>
      <c r="H4950" s="598"/>
      <c r="I4950" s="322"/>
      <c r="J4950" s="418" t="s">
        <v>1015</v>
      </c>
      <c r="K4950" s="248"/>
      <c r="M4950" s="366"/>
    </row>
    <row r="4951" spans="1:13" x14ac:dyDescent="0.25">
      <c r="A4951" s="308">
        <v>45858</v>
      </c>
      <c r="B4951" s="416">
        <v>2002186</v>
      </c>
      <c r="C4951" s="638" t="str">
        <f>IFERROR(INDEX(Table14[],MATCH($B4951,Table14[SAPNo],0),3),"")</f>
        <v>1313 CT187 U-60</v>
      </c>
      <c r="D4951" s="420" t="s">
        <v>12</v>
      </c>
      <c r="E4951" s="421"/>
      <c r="F4951" s="580">
        <v>13</v>
      </c>
      <c r="G4951" s="417" t="s">
        <v>2513</v>
      </c>
      <c r="H4951" s="598"/>
      <c r="I4951" s="322"/>
      <c r="J4951" s="418" t="s">
        <v>1019</v>
      </c>
      <c r="K4951" s="248"/>
      <c r="M4951" s="366"/>
    </row>
    <row r="4952" spans="1:13" x14ac:dyDescent="0.25">
      <c r="A4952" s="320">
        <v>45858</v>
      </c>
      <c r="B4952" s="419">
        <v>717748</v>
      </c>
      <c r="C4952" s="638" t="str">
        <f>IFERROR(INDEX(Table14[],MATCH($B4952,Table14[SAPNo],0),3),"")</f>
        <v>Round 1010 CT200  0.018" (B)</v>
      </c>
      <c r="D4952" s="420" t="s">
        <v>12</v>
      </c>
      <c r="E4952" s="421"/>
      <c r="F4952" s="580">
        <v>5</v>
      </c>
      <c r="G4952" s="417" t="s">
        <v>2513</v>
      </c>
      <c r="H4952" s="599"/>
      <c r="I4952" s="322"/>
      <c r="J4952" s="421" t="s">
        <v>1015</v>
      </c>
      <c r="K4952" s="422"/>
      <c r="M4952" s="366"/>
    </row>
    <row r="4953" spans="1:13" x14ac:dyDescent="0.25">
      <c r="A4953" s="308">
        <v>45859</v>
      </c>
      <c r="B4953" s="416">
        <v>418525</v>
      </c>
      <c r="C4953" s="638" t="str">
        <f>IFERROR(INDEX(Table14[],MATCH($B4953,Table14[SAPNo],0),3),"")</f>
        <v>Drop In 1308 CT31   (B)</v>
      </c>
      <c r="D4953" s="420" t="s">
        <v>12</v>
      </c>
      <c r="E4953" s="421">
        <v>1</v>
      </c>
      <c r="F4953" s="421"/>
      <c r="G4953" s="417">
        <v>20251011</v>
      </c>
      <c r="H4953" s="598" t="s">
        <v>2570</v>
      </c>
      <c r="I4953" s="322" t="s">
        <v>1781</v>
      </c>
      <c r="J4953" s="418"/>
      <c r="K4953" s="248"/>
      <c r="M4953" s="422"/>
    </row>
    <row r="4954" spans="1:13" x14ac:dyDescent="0.25">
      <c r="A4954" s="308">
        <v>45859</v>
      </c>
      <c r="B4954" s="416">
        <v>1146346</v>
      </c>
      <c r="C4954" s="638" t="str">
        <f>IFERROR(INDEX(Table14[],MATCH($B4954,Table14[SAPNo],0),3),"")</f>
        <v>1313 CT418 18-60</v>
      </c>
      <c r="D4954" s="420" t="s">
        <v>12</v>
      </c>
      <c r="E4954" s="421">
        <v>5</v>
      </c>
      <c r="F4954" s="580"/>
      <c r="G4954" s="417">
        <v>20251011</v>
      </c>
      <c r="H4954" s="598" t="s">
        <v>2570</v>
      </c>
      <c r="I4954" s="322" t="s">
        <v>1781</v>
      </c>
      <c r="J4954" s="418"/>
      <c r="K4954" s="248"/>
      <c r="M4954" s="366"/>
    </row>
    <row r="4955" spans="1:13" x14ac:dyDescent="0.25">
      <c r="A4955" s="308">
        <v>45859</v>
      </c>
      <c r="B4955" s="416">
        <v>418525</v>
      </c>
      <c r="C4955" s="638" t="str">
        <f>IFERROR(INDEX(Table14[],MATCH($B4955,Table14[SAPNo],0),3),"")</f>
        <v>Drop In 1308 CT31   (B)</v>
      </c>
      <c r="D4955" s="420" t="s">
        <v>12</v>
      </c>
      <c r="E4955" s="421">
        <v>8</v>
      </c>
      <c r="F4955" s="580"/>
      <c r="G4955" s="417" t="s">
        <v>3019</v>
      </c>
      <c r="H4955" s="598">
        <v>13874577</v>
      </c>
      <c r="I4955" s="322" t="s">
        <v>3020</v>
      </c>
      <c r="J4955" s="418"/>
      <c r="K4955" s="248"/>
      <c r="M4955" s="366"/>
    </row>
    <row r="4956" spans="1:13" x14ac:dyDescent="0.25">
      <c r="A4956" s="308">
        <v>45859</v>
      </c>
      <c r="B4956" s="416">
        <v>1130198</v>
      </c>
      <c r="C4956" s="638" t="str">
        <f>IFERROR(INDEX(Table14[],MATCH($B4956,Table14[SAPNo],0),3),"")</f>
        <v>Round 1613 CT182  0.018" (S)</v>
      </c>
      <c r="D4956" s="420" t="s">
        <v>8</v>
      </c>
      <c r="E4956" s="421">
        <v>28</v>
      </c>
      <c r="F4956" s="580"/>
      <c r="G4956" s="417" t="s">
        <v>3019</v>
      </c>
      <c r="H4956" s="598">
        <v>13874577</v>
      </c>
      <c r="I4956" s="322" t="s">
        <v>3020</v>
      </c>
      <c r="J4956" s="418"/>
      <c r="K4956" s="248"/>
      <c r="M4956" s="366"/>
    </row>
    <row r="4957" spans="1:13" x14ac:dyDescent="0.25">
      <c r="A4957" s="308">
        <v>45859</v>
      </c>
      <c r="B4957" s="416">
        <v>647436</v>
      </c>
      <c r="C4957" s="638" t="str">
        <f>IFERROR(INDEX(Table14[],MATCH($B4957,Table14[SAPNo],0),3),"")</f>
        <v>Round 1613 CT200  0.018" (B)</v>
      </c>
      <c r="D4957" s="420" t="s">
        <v>8</v>
      </c>
      <c r="E4957" s="421">
        <v>12</v>
      </c>
      <c r="F4957" s="580"/>
      <c r="G4957" s="417" t="s">
        <v>3019</v>
      </c>
      <c r="H4957" s="598">
        <v>13874577</v>
      </c>
      <c r="I4957" s="322" t="s">
        <v>3020</v>
      </c>
      <c r="J4957" s="418"/>
      <c r="K4957" s="248"/>
      <c r="M4957" s="366"/>
    </row>
    <row r="4958" spans="1:13" x14ac:dyDescent="0.25">
      <c r="A4958" s="308">
        <v>45859</v>
      </c>
      <c r="B4958" s="416">
        <v>418525</v>
      </c>
      <c r="C4958" s="638" t="str">
        <f>IFERROR(INDEX(Table14[],MATCH($B4958,Table14[SAPNo],0),3),"")</f>
        <v>Drop In 1308 CT31   (B)</v>
      </c>
      <c r="D4958" s="420" t="s">
        <v>12</v>
      </c>
      <c r="E4958" s="421">
        <v>8</v>
      </c>
      <c r="F4958" s="580"/>
      <c r="G4958" s="417" t="s">
        <v>3021</v>
      </c>
      <c r="H4958" s="598">
        <v>13662667</v>
      </c>
      <c r="I4958" s="322" t="s">
        <v>3020</v>
      </c>
      <c r="J4958" s="418"/>
      <c r="K4958" s="248"/>
      <c r="M4958" s="366"/>
    </row>
    <row r="4959" spans="1:13" x14ac:dyDescent="0.25">
      <c r="A4959" s="308">
        <v>45859</v>
      </c>
      <c r="B4959" s="416">
        <v>647436</v>
      </c>
      <c r="C4959" s="638" t="str">
        <f>IFERROR(INDEX(Table14[],MATCH($B4959,Table14[SAPNo],0),3),"")</f>
        <v>Round 1613 CT200  0.018" (B)</v>
      </c>
      <c r="D4959" s="420" t="s">
        <v>8</v>
      </c>
      <c r="E4959" s="421">
        <v>3</v>
      </c>
      <c r="F4959" s="580"/>
      <c r="G4959" s="417" t="s">
        <v>3021</v>
      </c>
      <c r="H4959" s="598">
        <v>13662667</v>
      </c>
      <c r="I4959" s="322" t="s">
        <v>3020</v>
      </c>
      <c r="J4959" s="418"/>
      <c r="K4959" s="248"/>
      <c r="M4959" s="366"/>
    </row>
    <row r="4960" spans="1:13" x14ac:dyDescent="0.25">
      <c r="A4960" s="308">
        <v>45859</v>
      </c>
      <c r="B4960" s="416">
        <v>1130198</v>
      </c>
      <c r="C4960" s="638" t="str">
        <f>IFERROR(INDEX(Table14[],MATCH($B4960,Table14[SAPNo],0),3),"")</f>
        <v>Round 1613 CT182  0.018" (S)</v>
      </c>
      <c r="D4960" s="420" t="s">
        <v>8</v>
      </c>
      <c r="E4960" s="421">
        <v>21</v>
      </c>
      <c r="F4960" s="580"/>
      <c r="G4960" s="417" t="s">
        <v>3021</v>
      </c>
      <c r="H4960" s="598">
        <v>13662667</v>
      </c>
      <c r="I4960" s="322" t="s">
        <v>3020</v>
      </c>
      <c r="J4960" s="418"/>
      <c r="K4960" s="248"/>
      <c r="M4960" s="366"/>
    </row>
    <row r="4961" spans="1:15" x14ac:dyDescent="0.25">
      <c r="A4961" s="308">
        <v>45859</v>
      </c>
      <c r="B4961" s="416">
        <v>418525</v>
      </c>
      <c r="C4961" s="638" t="str">
        <f>IFERROR(INDEX(Table14[],MATCH($B4961,Table14[SAPNo],0),3),"")</f>
        <v>Drop In 1308 CT31   (B)</v>
      </c>
      <c r="D4961" s="420" t="s">
        <v>12</v>
      </c>
      <c r="E4961" s="421">
        <v>6</v>
      </c>
      <c r="F4961" s="580"/>
      <c r="G4961" s="417" t="s">
        <v>3022</v>
      </c>
      <c r="H4961" s="598">
        <v>14369048</v>
      </c>
      <c r="I4961" s="322" t="s">
        <v>3023</v>
      </c>
      <c r="J4961" s="418"/>
      <c r="K4961" s="248"/>
      <c r="M4961" s="366"/>
    </row>
    <row r="4962" spans="1:15" x14ac:dyDescent="0.25">
      <c r="A4962" s="308">
        <v>45859</v>
      </c>
      <c r="B4962" s="416">
        <v>1078377</v>
      </c>
      <c r="C4962" s="638" t="str">
        <f>IFERROR(INDEX(Table14[],MATCH($B4962,Table14[SAPNo],0),3),"")</f>
        <v>13MM CT221 R1</v>
      </c>
      <c r="D4962" s="420" t="s">
        <v>12</v>
      </c>
      <c r="E4962" s="421">
        <v>15</v>
      </c>
      <c r="F4962" s="580"/>
      <c r="G4962" s="417" t="s">
        <v>3022</v>
      </c>
      <c r="H4962" s="598">
        <v>14369048</v>
      </c>
      <c r="I4962" s="322" t="s">
        <v>3023</v>
      </c>
      <c r="J4962" s="418"/>
      <c r="K4962" s="248"/>
      <c r="M4962" s="366"/>
    </row>
    <row r="4963" spans="1:15" x14ac:dyDescent="0.25">
      <c r="A4963" s="308">
        <v>45859</v>
      </c>
      <c r="B4963" s="416">
        <v>1271790</v>
      </c>
      <c r="C4963" s="638" t="str">
        <f>IFERROR(INDEX(Table14[],MATCH($B4963,Table14[SAPNo],0),3),"")</f>
        <v xml:space="preserve">1613 CT170 18-60 </v>
      </c>
      <c r="D4963" s="420" t="s">
        <v>12</v>
      </c>
      <c r="E4963" s="421">
        <v>17</v>
      </c>
      <c r="F4963" s="580"/>
      <c r="G4963" s="417" t="s">
        <v>3022</v>
      </c>
      <c r="H4963" s="598">
        <v>14369048</v>
      </c>
      <c r="I4963" s="322" t="s">
        <v>3023</v>
      </c>
      <c r="J4963" s="418"/>
      <c r="K4963" s="248"/>
      <c r="M4963" s="366"/>
    </row>
    <row r="4964" spans="1:15" x14ac:dyDescent="0.25">
      <c r="A4964" s="308">
        <v>45859</v>
      </c>
      <c r="B4964" s="416">
        <v>1208601</v>
      </c>
      <c r="C4964" s="638" t="str">
        <f>IFERROR(INDEX(Table14[],MATCH($B4964,Table14[SAPNo],0),3),"")</f>
        <v>1613 CT418 U-60</v>
      </c>
      <c r="D4964" s="420" t="s">
        <v>12</v>
      </c>
      <c r="E4964" s="421">
        <v>8</v>
      </c>
      <c r="F4964" s="580"/>
      <c r="G4964" s="417" t="s">
        <v>3022</v>
      </c>
      <c r="H4964" s="598">
        <v>14369048</v>
      </c>
      <c r="I4964" s="322" t="s">
        <v>3023</v>
      </c>
      <c r="J4964" s="418"/>
      <c r="K4964" s="248"/>
      <c r="M4964" s="366"/>
    </row>
    <row r="4965" spans="1:15" x14ac:dyDescent="0.25">
      <c r="A4965" s="308">
        <v>45859</v>
      </c>
      <c r="B4965" s="416">
        <v>1146737</v>
      </c>
      <c r="C4965" s="638" t="str">
        <f>IFERROR(INDEX(Table14[],MATCH($B4965,Table14[SAPNo],0),3),"")</f>
        <v>1613 CT418 18-60</v>
      </c>
      <c r="D4965" s="420" t="s">
        <v>12</v>
      </c>
      <c r="E4965" s="421">
        <v>6</v>
      </c>
      <c r="F4965" s="580"/>
      <c r="G4965" s="417" t="s">
        <v>3022</v>
      </c>
      <c r="H4965" s="598">
        <v>14369048</v>
      </c>
      <c r="I4965" s="322" t="s">
        <v>3023</v>
      </c>
      <c r="J4965" s="418"/>
      <c r="K4965" s="248"/>
      <c r="M4965" s="366"/>
    </row>
    <row r="4966" spans="1:15" x14ac:dyDescent="0.25">
      <c r="A4966" s="308">
        <v>45860</v>
      </c>
      <c r="B4966" s="416">
        <v>410851</v>
      </c>
      <c r="C4966" s="638" t="str">
        <f>IFERROR(INDEX(Table14[],MATCH($B4966,Table14[SAPNo],0),3),"")</f>
        <v>PDC Dome 1308 CT31   (B)</v>
      </c>
      <c r="D4966" s="420" t="s">
        <v>12</v>
      </c>
      <c r="E4966" s="421">
        <v>12</v>
      </c>
      <c r="F4966" s="580"/>
      <c r="G4966" s="417" t="s">
        <v>3024</v>
      </c>
      <c r="H4966" s="598">
        <v>14312302</v>
      </c>
      <c r="I4966" s="322" t="s">
        <v>3025</v>
      </c>
      <c r="J4966" s="418"/>
      <c r="K4966" s="248"/>
      <c r="M4966" s="366"/>
    </row>
    <row r="4967" spans="1:15" x14ac:dyDescent="0.25">
      <c r="A4967" s="308">
        <v>45860</v>
      </c>
      <c r="B4967" s="416">
        <v>1146737</v>
      </c>
      <c r="C4967" s="638" t="str">
        <f>IFERROR(INDEX(Table14[],MATCH($B4967,Table14[SAPNo],0),3),"")</f>
        <v>1613 CT418 18-60</v>
      </c>
      <c r="D4967" s="420" t="s">
        <v>12</v>
      </c>
      <c r="E4967" s="421">
        <v>15</v>
      </c>
      <c r="F4967" s="580"/>
      <c r="G4967" s="417" t="s">
        <v>3024</v>
      </c>
      <c r="H4967" s="598">
        <v>14312302</v>
      </c>
      <c r="I4967" s="322" t="s">
        <v>3025</v>
      </c>
      <c r="J4967" s="418"/>
      <c r="K4967" s="248"/>
      <c r="M4967" s="366"/>
    </row>
    <row r="4968" spans="1:15" x14ac:dyDescent="0.25">
      <c r="A4968" s="308">
        <v>45860</v>
      </c>
      <c r="B4968" s="416">
        <v>1296685</v>
      </c>
      <c r="C4968" s="638" t="str">
        <f>IFERROR(INDEX(Table14[],MATCH($B4968,Table14[SAPNo],0),3),"")</f>
        <v>1613 CT179R U</v>
      </c>
      <c r="D4968" s="420" t="s">
        <v>12</v>
      </c>
      <c r="E4968" s="421">
        <v>24</v>
      </c>
      <c r="F4968" s="580"/>
      <c r="G4968" s="417" t="s">
        <v>3024</v>
      </c>
      <c r="H4968" s="598">
        <v>14312302</v>
      </c>
      <c r="I4968" s="322" t="s">
        <v>3025</v>
      </c>
      <c r="J4968" s="418"/>
      <c r="K4968" s="248"/>
      <c r="M4968" s="366"/>
    </row>
    <row r="4969" spans="1:15" x14ac:dyDescent="0.25">
      <c r="A4969" s="308">
        <v>45860</v>
      </c>
      <c r="B4969" s="416">
        <v>871781</v>
      </c>
      <c r="C4969" s="638" t="str">
        <f>IFERROR(INDEX(Table14[],MATCH($B4969,Table14[SAPNo],0),3),"")</f>
        <v>Round 1313 CT200  0.018" (B)</v>
      </c>
      <c r="D4969" s="420" t="s">
        <v>12</v>
      </c>
      <c r="E4969" s="421">
        <v>6</v>
      </c>
      <c r="F4969" s="580"/>
      <c r="G4969" s="417" t="s">
        <v>3024</v>
      </c>
      <c r="H4969" s="598">
        <v>14312302</v>
      </c>
      <c r="I4969" s="322" t="s">
        <v>3025</v>
      </c>
      <c r="J4969" s="418"/>
      <c r="K4969" s="248"/>
      <c r="M4969" s="366"/>
      <c r="O4969">
        <v>5301</v>
      </c>
    </row>
    <row r="4970" spans="1:15" x14ac:dyDescent="0.25">
      <c r="A4970" s="308">
        <v>45860</v>
      </c>
      <c r="B4970" s="416">
        <v>653400</v>
      </c>
      <c r="C4970" s="638" t="str">
        <f>IFERROR(INDEX(Table14[],MATCH($B4970,Table14[SAPNo],0),3),"")</f>
        <v>13MM WC­MAT404 NA</v>
      </c>
      <c r="D4970" s="420" t="s">
        <v>12</v>
      </c>
      <c r="E4970" s="421">
        <v>12</v>
      </c>
      <c r="F4970" s="580"/>
      <c r="G4970" s="417" t="s">
        <v>3024</v>
      </c>
      <c r="H4970" s="598">
        <v>14312302</v>
      </c>
      <c r="I4970" s="322" t="s">
        <v>3025</v>
      </c>
      <c r="J4970" s="418"/>
      <c r="K4970" s="248"/>
      <c r="M4970" s="366"/>
    </row>
    <row r="4971" spans="1:15" x14ac:dyDescent="0.25">
      <c r="A4971" s="320">
        <v>45860</v>
      </c>
      <c r="B4971" s="419">
        <v>1288783</v>
      </c>
      <c r="C4971" s="638" t="str">
        <f>IFERROR(INDEX(Table14[],MATCH($B4971,Table14[SAPNo],0),3),"")</f>
        <v>1613 CT179 18-60</v>
      </c>
      <c r="D4971" s="420" t="s">
        <v>12</v>
      </c>
      <c r="E4971" s="421">
        <v>12</v>
      </c>
      <c r="F4971" s="580"/>
      <c r="G4971" s="420" t="s">
        <v>3024</v>
      </c>
      <c r="H4971" s="599">
        <v>14312302</v>
      </c>
      <c r="I4971" s="322" t="s">
        <v>3025</v>
      </c>
      <c r="J4971" s="421"/>
      <c r="K4971" s="422"/>
      <c r="M4971" s="366"/>
    </row>
    <row r="4972" spans="1:15" x14ac:dyDescent="0.25">
      <c r="A4972" s="320">
        <v>45861</v>
      </c>
      <c r="B4972" s="416">
        <v>1078377</v>
      </c>
      <c r="C4972" s="638" t="str">
        <f>IFERROR(INDEX(Table14[],MATCH($B4972,Table14[SAPNo],0),3),"")</f>
        <v>13MM CT221 R1</v>
      </c>
      <c r="D4972" s="420" t="s">
        <v>12</v>
      </c>
      <c r="E4972" s="421"/>
      <c r="F4972" s="421">
        <v>42</v>
      </c>
      <c r="G4972" s="417" t="s">
        <v>2513</v>
      </c>
      <c r="H4972" s="598"/>
      <c r="I4972" s="322"/>
      <c r="J4972" s="418" t="s">
        <v>1019</v>
      </c>
      <c r="K4972" s="248"/>
      <c r="M4972" s="422"/>
    </row>
    <row r="4973" spans="1:15" x14ac:dyDescent="0.25">
      <c r="A4973" s="320">
        <v>45861</v>
      </c>
      <c r="B4973" s="416">
        <v>1100739</v>
      </c>
      <c r="C4973" s="638" t="str">
        <f>IFERROR(INDEX(Table14[],MATCH($B4973,Table14[SAPNo],0),3),"")</f>
        <v>1608 CT418 0.018"</v>
      </c>
      <c r="D4973" s="420" t="s">
        <v>12</v>
      </c>
      <c r="E4973" s="421"/>
      <c r="F4973" s="580">
        <v>56</v>
      </c>
      <c r="G4973" s="417" t="s">
        <v>2513</v>
      </c>
      <c r="H4973" s="598"/>
      <c r="I4973" s="322"/>
      <c r="J4973" s="418" t="s">
        <v>1019</v>
      </c>
      <c r="K4973" s="248"/>
      <c r="M4973" s="366"/>
    </row>
    <row r="4974" spans="1:15" x14ac:dyDescent="0.25">
      <c r="A4974" s="320">
        <v>45861</v>
      </c>
      <c r="B4974" s="416">
        <v>1126400</v>
      </c>
      <c r="C4974" s="638" t="str">
        <f>IFERROR(INDEX(Table14[],MATCH($B4974,Table14[SAPNo],0),3),"")</f>
        <v>1313 CT421 18-60</v>
      </c>
      <c r="D4974" s="420" t="s">
        <v>12</v>
      </c>
      <c r="E4974" s="421"/>
      <c r="F4974" s="580">
        <v>70</v>
      </c>
      <c r="G4974" s="417" t="s">
        <v>2513</v>
      </c>
      <c r="H4974" s="598"/>
      <c r="I4974" s="322"/>
      <c r="J4974" s="418" t="s">
        <v>1019</v>
      </c>
      <c r="K4974" s="248"/>
      <c r="M4974" s="366"/>
    </row>
    <row r="4975" spans="1:15" x14ac:dyDescent="0.25">
      <c r="A4975" s="320">
        <v>45861</v>
      </c>
      <c r="B4975" s="416">
        <v>1146737</v>
      </c>
      <c r="C4975" s="638" t="str">
        <f>IFERROR(INDEX(Table14[],MATCH($B4975,Table14[SAPNo],0),3),"")</f>
        <v>1613 CT418 18-60</v>
      </c>
      <c r="D4975" s="420" t="s">
        <v>12</v>
      </c>
      <c r="E4975" s="421"/>
      <c r="F4975" s="580">
        <v>400</v>
      </c>
      <c r="G4975" s="417" t="s">
        <v>2513</v>
      </c>
      <c r="H4975" s="598"/>
      <c r="I4975" s="322"/>
      <c r="J4975" s="418" t="s">
        <v>1019</v>
      </c>
      <c r="K4975" s="248"/>
      <c r="M4975" s="366"/>
    </row>
    <row r="4976" spans="1:15" x14ac:dyDescent="0.25">
      <c r="A4976" s="320">
        <v>45861</v>
      </c>
      <c r="B4976" s="416">
        <v>1192901</v>
      </c>
      <c r="C4976" s="638" t="str">
        <f>IFERROR(INDEX(Table14[],MATCH($B4976,Table14[SAPNo],0),3),"")</f>
        <v xml:space="preserve">12MM WC­MAT400 </v>
      </c>
      <c r="D4976" s="420" t="s">
        <v>12</v>
      </c>
      <c r="E4976" s="421"/>
      <c r="F4976" s="580">
        <v>30</v>
      </c>
      <c r="G4976" s="417" t="s">
        <v>2513</v>
      </c>
      <c r="H4976" s="598"/>
      <c r="I4976" s="322"/>
      <c r="J4976" s="418" t="s">
        <v>1019</v>
      </c>
      <c r="K4976" s="248"/>
      <c r="M4976" s="366"/>
    </row>
    <row r="4977" spans="1:13" x14ac:dyDescent="0.25">
      <c r="A4977" s="320">
        <v>45861</v>
      </c>
      <c r="B4977" s="416">
        <v>1192902</v>
      </c>
      <c r="C4977" s="638" t="str">
        <f>IFERROR(INDEX(Table14[],MATCH($B4977,Table14[SAPNo],0),3),"")</f>
        <v>12MM CT200NL NA</v>
      </c>
      <c r="D4977" s="420" t="s">
        <v>12</v>
      </c>
      <c r="E4977" s="421"/>
      <c r="F4977" s="580">
        <v>5</v>
      </c>
      <c r="G4977" s="417" t="s">
        <v>2513</v>
      </c>
      <c r="H4977" s="598"/>
      <c r="I4977" s="322"/>
      <c r="J4977" s="418" t="s">
        <v>1019</v>
      </c>
      <c r="K4977" s="248"/>
      <c r="M4977" s="366"/>
    </row>
    <row r="4978" spans="1:13" x14ac:dyDescent="0.25">
      <c r="A4978" s="320">
        <v>45861</v>
      </c>
      <c r="B4978" s="416">
        <v>1199247</v>
      </c>
      <c r="C4978" s="638" t="str">
        <f>IFERROR(INDEX(Table14[],MATCH($B4978,Table14[SAPNo],0),3),"")</f>
        <v>1010 CT158 10C</v>
      </c>
      <c r="D4978" s="420" t="s">
        <v>12</v>
      </c>
      <c r="E4978" s="421"/>
      <c r="F4978" s="580">
        <v>67</v>
      </c>
      <c r="G4978" s="417" t="s">
        <v>2513</v>
      </c>
      <c r="H4978" s="598"/>
      <c r="I4978" s="322"/>
      <c r="J4978" s="418" t="s">
        <v>1019</v>
      </c>
      <c r="K4978" s="248"/>
      <c r="M4978" s="366"/>
    </row>
    <row r="4979" spans="1:13" x14ac:dyDescent="0.25">
      <c r="A4979" s="320">
        <v>45861</v>
      </c>
      <c r="B4979" s="416">
        <v>1208601</v>
      </c>
      <c r="C4979" s="638" t="str">
        <f>IFERROR(INDEX(Table14[],MATCH($B4979,Table14[SAPNo],0),3),"")</f>
        <v>1613 CT418 U-60</v>
      </c>
      <c r="D4979" s="420" t="s">
        <v>12</v>
      </c>
      <c r="E4979" s="421"/>
      <c r="F4979" s="580">
        <v>150</v>
      </c>
      <c r="G4979" s="417" t="s">
        <v>2513</v>
      </c>
      <c r="H4979" s="598"/>
      <c r="I4979" s="322"/>
      <c r="J4979" s="418" t="s">
        <v>1019</v>
      </c>
      <c r="K4979" s="248"/>
      <c r="M4979" s="366"/>
    </row>
    <row r="4980" spans="1:13" x14ac:dyDescent="0.25">
      <c r="A4980" s="320">
        <v>45861</v>
      </c>
      <c r="B4980" s="416">
        <v>1228503</v>
      </c>
      <c r="C4980" s="638" t="str">
        <f>IFERROR(INDEX(Table14[],MATCH($B4980,Table14[SAPNo],0),3),"")</f>
        <v>1618 CT182 U-60 Ring</v>
      </c>
      <c r="D4980" s="420" t="s">
        <v>12</v>
      </c>
      <c r="E4980" s="421"/>
      <c r="F4980" s="580">
        <v>131</v>
      </c>
      <c r="G4980" s="417" t="s">
        <v>2513</v>
      </c>
      <c r="H4980" s="598"/>
      <c r="I4980" s="322"/>
      <c r="J4980" s="418" t="s">
        <v>1019</v>
      </c>
      <c r="K4980" s="248"/>
      <c r="M4980" s="366"/>
    </row>
    <row r="4981" spans="1:13" x14ac:dyDescent="0.25">
      <c r="A4981" s="320">
        <v>45861</v>
      </c>
      <c r="B4981" s="416">
        <v>1282369</v>
      </c>
      <c r="C4981" s="638" t="str">
        <f>IFERROR(INDEX(Table14[],MATCH($B4981,Table14[SAPNo],0),3),"")</f>
        <v>1313 CT436Mv3 U-60</v>
      </c>
      <c r="D4981" s="420" t="s">
        <v>12</v>
      </c>
      <c r="E4981" s="421"/>
      <c r="F4981" s="580">
        <v>139</v>
      </c>
      <c r="G4981" s="417" t="s">
        <v>2513</v>
      </c>
      <c r="H4981" s="598"/>
      <c r="I4981" s="322"/>
      <c r="J4981" s="418" t="s">
        <v>1019</v>
      </c>
      <c r="K4981" s="248"/>
      <c r="M4981" s="366"/>
    </row>
    <row r="4982" spans="1:13" x14ac:dyDescent="0.25">
      <c r="A4982" s="320">
        <v>45861</v>
      </c>
      <c r="B4982" s="416">
        <v>1282370</v>
      </c>
      <c r="C4982" s="638" t="str">
        <f>IFERROR(INDEX(Table14[],MATCH($B4982,Table14[SAPNo],0),3),"")</f>
        <v>1613 CT436Mv3 U-60</v>
      </c>
      <c r="D4982" s="420" t="s">
        <v>12</v>
      </c>
      <c r="E4982" s="421"/>
      <c r="F4982" s="580">
        <v>100</v>
      </c>
      <c r="G4982" s="417" t="s">
        <v>2513</v>
      </c>
      <c r="H4982" s="598"/>
      <c r="I4982" s="322"/>
      <c r="J4982" s="418" t="s">
        <v>1019</v>
      </c>
      <c r="K4982" s="248"/>
      <c r="M4982" s="366"/>
    </row>
    <row r="4983" spans="1:13" x14ac:dyDescent="0.25">
      <c r="A4983" s="320">
        <v>45861</v>
      </c>
      <c r="B4983" s="416">
        <v>1288783</v>
      </c>
      <c r="C4983" s="638" t="str">
        <f>IFERROR(INDEX(Table14[],MATCH($B4983,Table14[SAPNo],0),3),"")</f>
        <v>1613 CT179 18-60</v>
      </c>
      <c r="D4983" s="420" t="s">
        <v>12</v>
      </c>
      <c r="E4983" s="421"/>
      <c r="F4983" s="580">
        <v>650</v>
      </c>
      <c r="G4983" s="417" t="s">
        <v>2513</v>
      </c>
      <c r="H4983" s="598"/>
      <c r="I4983" s="322"/>
      <c r="J4983" s="418" t="s">
        <v>1019</v>
      </c>
      <c r="K4983" s="248"/>
      <c r="M4983" s="366"/>
    </row>
    <row r="4984" spans="1:13" x14ac:dyDescent="0.25">
      <c r="A4984" s="320">
        <v>45861</v>
      </c>
      <c r="B4984" s="416">
        <v>1291870</v>
      </c>
      <c r="C4984" s="638" t="str">
        <f>IFERROR(INDEX(Table14[],MATCH($B4984,Table14[SAPNo],0),3),"")</f>
        <v>1613 CT186 18-60</v>
      </c>
      <c r="D4984" s="420" t="s">
        <v>12</v>
      </c>
      <c r="E4984" s="421"/>
      <c r="F4984" s="580">
        <v>30</v>
      </c>
      <c r="G4984" s="417" t="s">
        <v>2513</v>
      </c>
      <c r="H4984" s="598"/>
      <c r="I4984" s="322"/>
      <c r="J4984" s="418" t="s">
        <v>1019</v>
      </c>
      <c r="K4984" s="248"/>
      <c r="M4984" s="366"/>
    </row>
    <row r="4985" spans="1:13" x14ac:dyDescent="0.25">
      <c r="A4985" s="320">
        <v>45861</v>
      </c>
      <c r="B4985" s="416">
        <v>179733</v>
      </c>
      <c r="C4985" s="638" t="str">
        <f>IFERROR(INDEX(Table14[],MATCH($B4985,Table14[SAPNo],0),3),"")</f>
        <v>Short IA 13    (C)</v>
      </c>
      <c r="D4985" s="420" t="s">
        <v>12</v>
      </c>
      <c r="E4985" s="421"/>
      <c r="F4985" s="580">
        <v>110</v>
      </c>
      <c r="G4985" s="417" t="s">
        <v>2513</v>
      </c>
      <c r="H4985" s="598"/>
      <c r="I4985" s="322"/>
      <c r="J4985" s="418" t="s">
        <v>1019</v>
      </c>
      <c r="K4985" s="248"/>
      <c r="M4985" s="366"/>
    </row>
    <row r="4986" spans="1:13" x14ac:dyDescent="0.25">
      <c r="A4986" s="320">
        <v>45861</v>
      </c>
      <c r="B4986" s="416">
        <v>2002186</v>
      </c>
      <c r="C4986" s="638" t="str">
        <f>IFERROR(INDEX(Table14[],MATCH($B4986,Table14[SAPNo],0),3),"")</f>
        <v>1313 CT187 U-60</v>
      </c>
      <c r="D4986" s="420" t="s">
        <v>12</v>
      </c>
      <c r="E4986" s="421"/>
      <c r="F4986" s="580">
        <v>75</v>
      </c>
      <c r="G4986" s="417" t="s">
        <v>2513</v>
      </c>
      <c r="H4986" s="598"/>
      <c r="I4986" s="322"/>
      <c r="J4986" s="418" t="s">
        <v>1021</v>
      </c>
      <c r="K4986" s="248"/>
      <c r="M4986" s="366"/>
    </row>
    <row r="4987" spans="1:13" x14ac:dyDescent="0.25">
      <c r="A4987" s="320">
        <v>45861</v>
      </c>
      <c r="B4987" s="416">
        <v>410851</v>
      </c>
      <c r="C4987" s="638" t="str">
        <f>IFERROR(INDEX(Table14[],MATCH($B4987,Table14[SAPNo],0),3),"")</f>
        <v>PDC Dome 1308 CT31   (B)</v>
      </c>
      <c r="D4987" s="420" t="s">
        <v>12</v>
      </c>
      <c r="E4987" s="421"/>
      <c r="F4987" s="580">
        <v>200</v>
      </c>
      <c r="G4987" s="417" t="s">
        <v>2513</v>
      </c>
      <c r="H4987" s="598"/>
      <c r="I4987" s="322"/>
      <c r="J4987" s="418" t="s">
        <v>1019</v>
      </c>
      <c r="K4987" s="248"/>
      <c r="M4987" s="366"/>
    </row>
    <row r="4988" spans="1:13" x14ac:dyDescent="0.25">
      <c r="A4988" s="320">
        <v>45861</v>
      </c>
      <c r="B4988" s="416">
        <v>418525</v>
      </c>
      <c r="C4988" s="638" t="str">
        <f>IFERROR(INDEX(Table14[],MATCH($B4988,Table14[SAPNo],0),3),"")</f>
        <v>Drop In 1308 CT31   (B)</v>
      </c>
      <c r="D4988" s="420" t="s">
        <v>12</v>
      </c>
      <c r="E4988" s="421"/>
      <c r="F4988" s="580">
        <v>135</v>
      </c>
      <c r="G4988" s="417" t="s">
        <v>2513</v>
      </c>
      <c r="H4988" s="598"/>
      <c r="I4988" s="322"/>
      <c r="J4988" s="418" t="s">
        <v>1019</v>
      </c>
      <c r="K4988" s="248"/>
      <c r="M4988" s="366"/>
    </row>
    <row r="4989" spans="1:13" x14ac:dyDescent="0.25">
      <c r="A4989" s="320">
        <v>45861</v>
      </c>
      <c r="B4989" s="416">
        <v>647435</v>
      </c>
      <c r="C4989" s="638" t="str">
        <f>IFERROR(INDEX(Table14[],MATCH($B4989,Table14[SAPNo],0),3),"")</f>
        <v>Round 1608 CT200  0.018" (B)</v>
      </c>
      <c r="D4989" s="420" t="s">
        <v>12</v>
      </c>
      <c r="E4989" s="421"/>
      <c r="F4989" s="580">
        <v>20</v>
      </c>
      <c r="G4989" s="417" t="s">
        <v>2513</v>
      </c>
      <c r="H4989" s="598"/>
      <c r="I4989" s="322"/>
      <c r="J4989" s="418" t="s">
        <v>1015</v>
      </c>
      <c r="K4989" s="248"/>
      <c r="M4989" s="366"/>
    </row>
    <row r="4990" spans="1:13" x14ac:dyDescent="0.25">
      <c r="A4990" s="320">
        <v>45861</v>
      </c>
      <c r="B4990" s="416">
        <v>647435</v>
      </c>
      <c r="C4990" s="638" t="str">
        <f>IFERROR(INDEX(Table14[],MATCH($B4990,Table14[SAPNo],0),3),"")</f>
        <v>Round 1608 CT200  0.018" (B)</v>
      </c>
      <c r="D4990" s="420" t="s">
        <v>12</v>
      </c>
      <c r="E4990" s="421"/>
      <c r="F4990" s="580">
        <v>100</v>
      </c>
      <c r="G4990" s="417" t="s">
        <v>2513</v>
      </c>
      <c r="H4990" s="598"/>
      <c r="I4990" s="322"/>
      <c r="J4990" s="418" t="s">
        <v>1019</v>
      </c>
      <c r="K4990" s="248"/>
      <c r="M4990" s="366"/>
    </row>
    <row r="4991" spans="1:13" x14ac:dyDescent="0.25">
      <c r="A4991" s="320">
        <v>45861</v>
      </c>
      <c r="B4991" s="419">
        <v>717751</v>
      </c>
      <c r="C4991" s="638" t="str">
        <f>IFERROR(INDEX(Table14[],MATCH($B4991,Table14[SAPNo],0),3),"")</f>
        <v>Round 1308 CT200  0.018" (B)</v>
      </c>
      <c r="D4991" s="420" t="s">
        <v>12</v>
      </c>
      <c r="E4991" s="421"/>
      <c r="F4991" s="580">
        <v>200</v>
      </c>
      <c r="G4991" s="420" t="s">
        <v>2513</v>
      </c>
      <c r="H4991" s="599"/>
      <c r="I4991" s="322"/>
      <c r="J4991" s="421" t="s">
        <v>1019</v>
      </c>
      <c r="K4991" s="422"/>
      <c r="M4991" s="366"/>
    </row>
    <row r="4992" spans="1:13" x14ac:dyDescent="0.25">
      <c r="A4992" s="308">
        <v>45861</v>
      </c>
      <c r="B4992" s="416">
        <v>1146346</v>
      </c>
      <c r="C4992" s="638" t="str">
        <f>IFERROR(INDEX(Table14[],MATCH($B4992,Table14[SAPNo],0),3),"")</f>
        <v>1313 CT418 18-60</v>
      </c>
      <c r="D4992" s="420" t="s">
        <v>12</v>
      </c>
      <c r="E4992" s="421">
        <v>6</v>
      </c>
      <c r="F4992" s="421"/>
      <c r="G4992" s="417" t="s">
        <v>3026</v>
      </c>
      <c r="H4992" s="598">
        <v>14247170</v>
      </c>
      <c r="I4992" s="322" t="s">
        <v>3027</v>
      </c>
      <c r="J4992" s="418"/>
      <c r="K4992" s="248"/>
      <c r="M4992" s="422"/>
    </row>
    <row r="4993" spans="1:13" x14ac:dyDescent="0.25">
      <c r="A4993" s="308">
        <v>45861</v>
      </c>
      <c r="B4993" s="416">
        <v>1146737</v>
      </c>
      <c r="C4993" s="638" t="str">
        <f>IFERROR(INDEX(Table14[],MATCH($B4993,Table14[SAPNo],0),3),"")</f>
        <v>1613 CT418 18-60</v>
      </c>
      <c r="D4993" s="420" t="s">
        <v>12</v>
      </c>
      <c r="E4993" s="421">
        <v>6</v>
      </c>
      <c r="F4993" s="580"/>
      <c r="G4993" s="417" t="s">
        <v>3026</v>
      </c>
      <c r="H4993" s="598">
        <v>14247170</v>
      </c>
      <c r="I4993" s="322" t="s">
        <v>3027</v>
      </c>
      <c r="J4993" s="418"/>
      <c r="K4993" s="248"/>
      <c r="M4993" s="366"/>
    </row>
    <row r="4994" spans="1:13" x14ac:dyDescent="0.25">
      <c r="A4994" s="308">
        <v>45861</v>
      </c>
      <c r="B4994" s="416">
        <v>418525</v>
      </c>
      <c r="C4994" s="638" t="str">
        <f>IFERROR(INDEX(Table14[],MATCH($B4994,Table14[SAPNo],0),3),"")</f>
        <v>Drop In 1308 CT31   (B)</v>
      </c>
      <c r="D4994" s="420" t="s">
        <v>12</v>
      </c>
      <c r="E4994" s="421">
        <v>12</v>
      </c>
      <c r="F4994" s="580"/>
      <c r="G4994" s="417" t="s">
        <v>3026</v>
      </c>
      <c r="H4994" s="598">
        <v>14247170</v>
      </c>
      <c r="I4994" s="322" t="s">
        <v>3027</v>
      </c>
      <c r="J4994" s="418"/>
      <c r="K4994" s="248"/>
      <c r="M4994" s="366"/>
    </row>
    <row r="4995" spans="1:13" x14ac:dyDescent="0.25">
      <c r="A4995" s="308">
        <v>45861</v>
      </c>
      <c r="B4995" s="416">
        <v>1130198</v>
      </c>
      <c r="C4995" s="638" t="str">
        <f>IFERROR(INDEX(Table14[],MATCH($B4995,Table14[SAPNo],0),3),"")</f>
        <v>Round 1613 CT182  0.018" (S)</v>
      </c>
      <c r="D4995" s="420" t="s">
        <v>1072</v>
      </c>
      <c r="E4995" s="421">
        <v>22</v>
      </c>
      <c r="F4995" s="580"/>
      <c r="G4995" s="417" t="s">
        <v>3026</v>
      </c>
      <c r="H4995" s="598">
        <v>14247170</v>
      </c>
      <c r="I4995" s="322" t="s">
        <v>3027</v>
      </c>
      <c r="J4995" s="418"/>
      <c r="K4995" s="248"/>
      <c r="M4995" s="366"/>
    </row>
    <row r="4996" spans="1:13" x14ac:dyDescent="0.25">
      <c r="A4996" s="308">
        <v>45861</v>
      </c>
      <c r="B4996" s="416">
        <v>1146737</v>
      </c>
      <c r="C4996" s="638" t="str">
        <f>IFERROR(INDEX(Table14[],MATCH($B4996,Table14[SAPNo],0),3),"")</f>
        <v>1613 CT418 18-60</v>
      </c>
      <c r="D4996" s="420" t="s">
        <v>12</v>
      </c>
      <c r="E4996" s="421">
        <v>48</v>
      </c>
      <c r="F4996" s="580"/>
      <c r="G4996" s="417" t="s">
        <v>3028</v>
      </c>
      <c r="H4996" s="598">
        <v>14204335</v>
      </c>
      <c r="I4996" s="322" t="s">
        <v>3029</v>
      </c>
      <c r="J4996" s="418"/>
      <c r="K4996" s="248"/>
      <c r="M4996" s="366"/>
    </row>
    <row r="4997" spans="1:13" x14ac:dyDescent="0.25">
      <c r="A4997" s="308">
        <v>45861</v>
      </c>
      <c r="B4997" s="416">
        <v>1146738</v>
      </c>
      <c r="C4997" s="638" t="str">
        <f>IFERROR(INDEX(Table14[],MATCH($B4997,Table14[SAPNo],0),3),"")</f>
        <v>1913 CT418 18-60</v>
      </c>
      <c r="D4997" s="420" t="s">
        <v>12</v>
      </c>
      <c r="E4997" s="421">
        <v>20</v>
      </c>
      <c r="F4997" s="580"/>
      <c r="G4997" s="417" t="s">
        <v>3028</v>
      </c>
      <c r="H4997" s="598">
        <v>14204335</v>
      </c>
      <c r="I4997" s="322" t="s">
        <v>3029</v>
      </c>
      <c r="J4997" s="418"/>
      <c r="K4997" s="248"/>
      <c r="M4997" s="366"/>
    </row>
    <row r="4998" spans="1:13" x14ac:dyDescent="0.25">
      <c r="A4998" s="308">
        <v>45861</v>
      </c>
      <c r="B4998" s="416">
        <v>1263823</v>
      </c>
      <c r="C4998" s="638" t="str">
        <f>IFERROR(INDEX(Table14[],MATCH($B4998,Table14[SAPNo],0),3),"")</f>
        <v>1613 CT170R U</v>
      </c>
      <c r="D4998" s="420" t="s">
        <v>12</v>
      </c>
      <c r="E4998" s="421">
        <v>41</v>
      </c>
      <c r="F4998" s="580"/>
      <c r="G4998" s="417" t="s">
        <v>3028</v>
      </c>
      <c r="H4998" s="598">
        <v>14204335</v>
      </c>
      <c r="I4998" s="322" t="s">
        <v>3029</v>
      </c>
      <c r="J4998" s="418"/>
      <c r="K4998" s="248"/>
      <c r="M4998" s="366"/>
    </row>
    <row r="4999" spans="1:13" x14ac:dyDescent="0.25">
      <c r="A4999" s="308">
        <v>45861</v>
      </c>
      <c r="B4999" s="416">
        <v>179733</v>
      </c>
      <c r="C4999" s="638" t="str">
        <f>IFERROR(INDEX(Table14[],MATCH($B4999,Table14[SAPNo],0),3),"")</f>
        <v>Short IA 13    (C)</v>
      </c>
      <c r="D4999" s="420" t="s">
        <v>12</v>
      </c>
      <c r="E4999" s="421">
        <v>20</v>
      </c>
      <c r="F4999" s="580"/>
      <c r="G4999" s="417" t="s">
        <v>3028</v>
      </c>
      <c r="H4999" s="598">
        <v>14204335</v>
      </c>
      <c r="I4999" s="322" t="s">
        <v>3029</v>
      </c>
      <c r="J4999" s="418"/>
      <c r="K4999" s="248"/>
      <c r="M4999" s="366"/>
    </row>
    <row r="5000" spans="1:13" x14ac:dyDescent="0.25">
      <c r="A5000" s="308">
        <v>45861</v>
      </c>
      <c r="B5000" s="416">
        <v>418525</v>
      </c>
      <c r="C5000" s="638" t="str">
        <f>IFERROR(INDEX(Table14[],MATCH($B5000,Table14[SAPNo],0),3),"")</f>
        <v>Drop In 1308 CT31   (B)</v>
      </c>
      <c r="D5000" s="420" t="s">
        <v>12</v>
      </c>
      <c r="E5000" s="421">
        <v>7</v>
      </c>
      <c r="F5000" s="580"/>
      <c r="G5000" s="417" t="s">
        <v>3028</v>
      </c>
      <c r="H5000" s="598">
        <v>14204335</v>
      </c>
      <c r="I5000" s="322" t="s">
        <v>3029</v>
      </c>
      <c r="J5000" s="418"/>
      <c r="K5000" s="248"/>
      <c r="M5000" s="366"/>
    </row>
    <row r="5001" spans="1:13" x14ac:dyDescent="0.25">
      <c r="A5001" s="308">
        <v>45861</v>
      </c>
      <c r="B5001" s="416">
        <v>1078377</v>
      </c>
      <c r="C5001" s="638" t="str">
        <f>IFERROR(INDEX(Table14[],MATCH($B5001,Table14[SAPNo],0),3),"")</f>
        <v>13MM CT221 R1</v>
      </c>
      <c r="D5001" s="420" t="s">
        <v>12</v>
      </c>
      <c r="E5001" s="421">
        <v>2</v>
      </c>
      <c r="F5001" s="580"/>
      <c r="G5001" s="417" t="s">
        <v>3030</v>
      </c>
      <c r="H5001" s="598">
        <v>14369053</v>
      </c>
      <c r="I5001" s="322" t="s">
        <v>2934</v>
      </c>
      <c r="J5001" s="418"/>
      <c r="K5001" s="248"/>
      <c r="M5001" s="366"/>
    </row>
    <row r="5002" spans="1:13" x14ac:dyDescent="0.25">
      <c r="A5002" s="308">
        <v>45861</v>
      </c>
      <c r="B5002" s="416">
        <v>1146737</v>
      </c>
      <c r="C5002" s="638" t="str">
        <f>IFERROR(INDEX(Table14[],MATCH($B5002,Table14[SAPNo],0),3),"")</f>
        <v>1613 CT418 18-60</v>
      </c>
      <c r="D5002" s="420" t="s">
        <v>12</v>
      </c>
      <c r="E5002" s="421">
        <v>6</v>
      </c>
      <c r="F5002" s="580"/>
      <c r="G5002" s="417" t="s">
        <v>3030</v>
      </c>
      <c r="H5002" s="598">
        <v>14369053</v>
      </c>
      <c r="I5002" s="322" t="s">
        <v>2934</v>
      </c>
      <c r="J5002" s="418"/>
      <c r="K5002" s="248"/>
      <c r="M5002" s="366"/>
    </row>
    <row r="5003" spans="1:13" x14ac:dyDescent="0.25">
      <c r="A5003" s="308">
        <v>45861</v>
      </c>
      <c r="B5003" s="416">
        <v>418525</v>
      </c>
      <c r="C5003" s="638" t="str">
        <f>IFERROR(INDEX(Table14[],MATCH($B5003,Table14[SAPNo],0),3),"")</f>
        <v>Drop In 1308 CT31   (B)</v>
      </c>
      <c r="D5003" s="420" t="s">
        <v>12</v>
      </c>
      <c r="E5003" s="421">
        <v>6</v>
      </c>
      <c r="F5003" s="580"/>
      <c r="G5003" s="417" t="s">
        <v>3030</v>
      </c>
      <c r="H5003" s="598">
        <v>14369053</v>
      </c>
      <c r="I5003" s="322" t="s">
        <v>2934</v>
      </c>
      <c r="J5003" s="418"/>
      <c r="K5003" s="248"/>
      <c r="M5003" s="366"/>
    </row>
    <row r="5004" spans="1:13" x14ac:dyDescent="0.25">
      <c r="A5004" s="308">
        <v>45862</v>
      </c>
      <c r="B5004" s="416">
        <v>1244299</v>
      </c>
      <c r="C5004" s="638" t="str">
        <f>IFERROR(INDEX(Table14[],MATCH($B5004,Table14[SAPNo],0),3),"")</f>
        <v>1313 CT147CV4 U</v>
      </c>
      <c r="D5004" s="420" t="s">
        <v>12</v>
      </c>
      <c r="E5004" s="421">
        <v>7</v>
      </c>
      <c r="F5004" s="580"/>
      <c r="G5004" s="417" t="s">
        <v>3031</v>
      </c>
      <c r="H5004" s="598">
        <v>14254492</v>
      </c>
      <c r="I5004" s="322" t="s">
        <v>1429</v>
      </c>
      <c r="J5004" s="418"/>
      <c r="K5004" s="248"/>
      <c r="M5004" s="366"/>
    </row>
    <row r="5005" spans="1:13" x14ac:dyDescent="0.25">
      <c r="A5005" s="308">
        <v>45862</v>
      </c>
      <c r="B5005" s="416">
        <v>1146346</v>
      </c>
      <c r="C5005" s="638" t="str">
        <f>IFERROR(INDEX(Table14[],MATCH($B5005,Table14[SAPNo],0),3),"")</f>
        <v>1313 CT418 18-60</v>
      </c>
      <c r="D5005" s="420" t="s">
        <v>12</v>
      </c>
      <c r="E5005" s="421">
        <v>16</v>
      </c>
      <c r="F5005" s="580"/>
      <c r="G5005" s="417" t="s">
        <v>3031</v>
      </c>
      <c r="H5005" s="598">
        <v>14254492</v>
      </c>
      <c r="I5005" s="322" t="s">
        <v>1429</v>
      </c>
      <c r="J5005" s="418"/>
      <c r="K5005" s="248"/>
      <c r="M5005" s="366"/>
    </row>
    <row r="5006" spans="1:13" x14ac:dyDescent="0.25">
      <c r="A5006" s="308">
        <v>45862</v>
      </c>
      <c r="B5006" s="416">
        <v>418525</v>
      </c>
      <c r="C5006" s="638" t="str">
        <f>IFERROR(INDEX(Table14[],MATCH($B5006,Table14[SAPNo],0),3),"")</f>
        <v>Drop In 1308 CT31   (B)</v>
      </c>
      <c r="D5006" s="420" t="s">
        <v>12</v>
      </c>
      <c r="E5006" s="421">
        <v>10</v>
      </c>
      <c r="F5006" s="580"/>
      <c r="G5006" s="417" t="s">
        <v>3031</v>
      </c>
      <c r="H5006" s="598">
        <v>14254492</v>
      </c>
      <c r="I5006" s="322" t="s">
        <v>1429</v>
      </c>
      <c r="J5006" s="418"/>
      <c r="K5006" s="248"/>
      <c r="M5006" s="366"/>
    </row>
    <row r="5007" spans="1:13" x14ac:dyDescent="0.25">
      <c r="A5007" s="308">
        <v>45862</v>
      </c>
      <c r="B5007" s="416">
        <v>971088</v>
      </c>
      <c r="C5007" s="638" t="str">
        <f>IFERROR(INDEX(Table14[],MATCH($B5007,Table14[SAPNo],0),3),"")</f>
        <v>Short Bullet 13 CT217 SBL 0.018" (B)</v>
      </c>
      <c r="D5007" s="420" t="s">
        <v>12</v>
      </c>
      <c r="E5007" s="421">
        <v>1</v>
      </c>
      <c r="F5007" s="580"/>
      <c r="G5007" s="417" t="s">
        <v>3032</v>
      </c>
      <c r="H5007" s="598">
        <v>13710809</v>
      </c>
      <c r="I5007" s="322" t="s">
        <v>2973</v>
      </c>
      <c r="J5007" s="418"/>
      <c r="K5007" s="248"/>
      <c r="M5007" s="366"/>
    </row>
    <row r="5008" spans="1:13" x14ac:dyDescent="0.25">
      <c r="A5008" s="308">
        <v>45862</v>
      </c>
      <c r="B5008" s="416">
        <v>179733</v>
      </c>
      <c r="C5008" s="638" t="str">
        <f>IFERROR(INDEX(Table14[],MATCH($B5008,Table14[SAPNo],0),3),"")</f>
        <v>Short IA 13    (C)</v>
      </c>
      <c r="D5008" s="420" t="s">
        <v>12</v>
      </c>
      <c r="E5008" s="421">
        <v>16</v>
      </c>
      <c r="F5008" s="580"/>
      <c r="G5008" s="417" t="s">
        <v>3032</v>
      </c>
      <c r="H5008" s="598">
        <v>13710809</v>
      </c>
      <c r="I5008" s="322" t="s">
        <v>2973</v>
      </c>
      <c r="J5008" s="418"/>
      <c r="K5008" s="248"/>
      <c r="M5008" s="366"/>
    </row>
    <row r="5009" spans="1:13" x14ac:dyDescent="0.25">
      <c r="A5009" s="308">
        <v>45862</v>
      </c>
      <c r="B5009" s="416">
        <v>1146737</v>
      </c>
      <c r="C5009" s="638" t="str">
        <f>IFERROR(INDEX(Table14[],MATCH($B5009,Table14[SAPNo],0),3),"")</f>
        <v>1613 CT418 18-60</v>
      </c>
      <c r="D5009" s="420" t="s">
        <v>12</v>
      </c>
      <c r="E5009" s="421">
        <v>5</v>
      </c>
      <c r="F5009" s="580"/>
      <c r="G5009" s="417" t="s">
        <v>3032</v>
      </c>
      <c r="H5009" s="598">
        <v>13710809</v>
      </c>
      <c r="I5009" s="322" t="s">
        <v>2973</v>
      </c>
      <c r="J5009" s="418"/>
      <c r="K5009" s="248"/>
      <c r="M5009" s="366"/>
    </row>
    <row r="5010" spans="1:13" x14ac:dyDescent="0.25">
      <c r="A5010" s="308">
        <v>45862</v>
      </c>
      <c r="B5010" s="416">
        <v>410851</v>
      </c>
      <c r="C5010" s="638" t="str">
        <f>IFERROR(INDEX(Table14[],MATCH($B5010,Table14[SAPNo],0),3),"")</f>
        <v>PDC Dome 1308 CT31   (B)</v>
      </c>
      <c r="D5010" s="420" t="s">
        <v>12</v>
      </c>
      <c r="E5010" s="421">
        <v>1</v>
      </c>
      <c r="F5010" s="580"/>
      <c r="G5010" s="417" t="s">
        <v>3032</v>
      </c>
      <c r="H5010" s="598">
        <v>13710809</v>
      </c>
      <c r="I5010" s="322" t="s">
        <v>2973</v>
      </c>
      <c r="J5010" s="418"/>
      <c r="K5010" s="248"/>
      <c r="M5010" s="366"/>
    </row>
    <row r="5011" spans="1:13" x14ac:dyDescent="0.25">
      <c r="A5011" s="308">
        <v>45862</v>
      </c>
      <c r="B5011" s="416">
        <v>418525</v>
      </c>
      <c r="C5011" s="638" t="str">
        <f>IFERROR(INDEX(Table14[],MATCH($B5011,Table14[SAPNo],0),3),"")</f>
        <v>Drop In 1308 CT31   (B)</v>
      </c>
      <c r="D5011" s="420" t="s">
        <v>12</v>
      </c>
      <c r="E5011" s="421">
        <v>14</v>
      </c>
      <c r="F5011" s="580"/>
      <c r="G5011" s="417" t="s">
        <v>3032</v>
      </c>
      <c r="H5011" s="598">
        <v>13710809</v>
      </c>
      <c r="I5011" s="322" t="s">
        <v>2973</v>
      </c>
      <c r="J5011" s="418"/>
      <c r="K5011" s="248"/>
      <c r="M5011" s="366"/>
    </row>
    <row r="5012" spans="1:13" x14ac:dyDescent="0.25">
      <c r="A5012" s="308">
        <v>45862</v>
      </c>
      <c r="B5012" s="416">
        <v>1130204</v>
      </c>
      <c r="C5012" s="638" t="str">
        <f>IFERROR(INDEX(Table14[],MATCH($B5012,Table14[SAPNo],0),3),"")</f>
        <v>Short Bullet 16 CT182 SBL 0.018" (S)</v>
      </c>
      <c r="D5012" s="420" t="s">
        <v>12</v>
      </c>
      <c r="E5012" s="421">
        <v>2</v>
      </c>
      <c r="F5012" s="580"/>
      <c r="G5012" s="417" t="s">
        <v>3032</v>
      </c>
      <c r="H5012" s="598">
        <v>13710809</v>
      </c>
      <c r="I5012" s="322" t="s">
        <v>2973</v>
      </c>
      <c r="J5012" s="418"/>
      <c r="K5012" s="248"/>
      <c r="M5012" s="366"/>
    </row>
    <row r="5013" spans="1:13" x14ac:dyDescent="0.25">
      <c r="A5013" s="308">
        <v>45862</v>
      </c>
      <c r="B5013" s="416">
        <v>761246</v>
      </c>
      <c r="C5013" s="638" t="str">
        <f>IFERROR(INDEX(Table14[],MATCH($B5013,Table14[SAPNo],0),3),"")</f>
        <v>Long Bullet 16 CT80 LBL 0.018" (B)</v>
      </c>
      <c r="D5013" s="420" t="s">
        <v>12</v>
      </c>
      <c r="E5013" s="421">
        <v>1</v>
      </c>
      <c r="F5013" s="580"/>
      <c r="G5013" s="417" t="s">
        <v>3032</v>
      </c>
      <c r="H5013" s="598">
        <v>13710809</v>
      </c>
      <c r="I5013" s="322" t="s">
        <v>2973</v>
      </c>
      <c r="J5013" s="418"/>
      <c r="K5013" s="248"/>
      <c r="M5013" s="366"/>
    </row>
    <row r="5014" spans="1:13" x14ac:dyDescent="0.25">
      <c r="A5014" s="320">
        <v>45862</v>
      </c>
      <c r="B5014" s="419">
        <v>1288783</v>
      </c>
      <c r="C5014" s="638" t="str">
        <f>IFERROR(INDEX(Table14[],MATCH($B5014,Table14[SAPNo],0),3),"")</f>
        <v>1613 CT179 18-60</v>
      </c>
      <c r="D5014" s="420" t="s">
        <v>12</v>
      </c>
      <c r="E5014" s="421">
        <v>5</v>
      </c>
      <c r="F5014" s="580"/>
      <c r="G5014" s="420" t="s">
        <v>3032</v>
      </c>
      <c r="H5014" s="599">
        <v>13710809</v>
      </c>
      <c r="I5014" s="322" t="s">
        <v>2973</v>
      </c>
      <c r="J5014" s="421"/>
      <c r="K5014" s="422"/>
      <c r="M5014" s="366"/>
    </row>
    <row r="5015" spans="1:13" x14ac:dyDescent="0.25">
      <c r="A5015" s="308">
        <v>45865</v>
      </c>
      <c r="B5015" s="416">
        <v>717748</v>
      </c>
      <c r="C5015" s="638" t="str">
        <f>IFERROR(INDEX(Table14[],MATCH($B5015,Table14[SAPNo],0),3),"")</f>
        <v>Round 1010 CT200  0.018" (B)</v>
      </c>
      <c r="D5015" s="420" t="s">
        <v>12</v>
      </c>
      <c r="E5015" s="421">
        <v>3</v>
      </c>
      <c r="F5015" s="421"/>
      <c r="G5015" s="417">
        <v>20251105</v>
      </c>
      <c r="H5015" s="598" t="s">
        <v>3033</v>
      </c>
      <c r="I5015" s="322" t="s">
        <v>1069</v>
      </c>
      <c r="J5015" s="418"/>
      <c r="K5015" s="248"/>
      <c r="M5015" s="422"/>
    </row>
    <row r="5016" spans="1:13" x14ac:dyDescent="0.25">
      <c r="A5016" s="308">
        <v>45865</v>
      </c>
      <c r="B5016" s="416">
        <v>1146346</v>
      </c>
      <c r="C5016" s="638" t="str">
        <f>IFERROR(INDEX(Table14[],MATCH($B5016,Table14[SAPNo],0),3),"")</f>
        <v>1313 CT418 18-60</v>
      </c>
      <c r="D5016" s="420" t="s">
        <v>12</v>
      </c>
      <c r="E5016" s="421">
        <v>7</v>
      </c>
      <c r="F5016" s="580"/>
      <c r="G5016" s="417">
        <v>20251106</v>
      </c>
      <c r="H5016" s="598" t="s">
        <v>3034</v>
      </c>
      <c r="I5016" s="322" t="s">
        <v>2648</v>
      </c>
      <c r="J5016" s="418"/>
      <c r="K5016" s="248"/>
      <c r="M5016" s="366"/>
    </row>
    <row r="5017" spans="1:13" x14ac:dyDescent="0.25">
      <c r="A5017" s="308">
        <v>45865</v>
      </c>
      <c r="B5017" s="416">
        <v>1271790</v>
      </c>
      <c r="C5017" s="638" t="str">
        <f>IFERROR(INDEX(Table14[],MATCH($B5017,Table14[SAPNo],0),3),"")</f>
        <v xml:space="preserve">1613 CT170 18-60 </v>
      </c>
      <c r="D5017" s="420" t="s">
        <v>12</v>
      </c>
      <c r="E5017" s="421">
        <v>22</v>
      </c>
      <c r="F5017" s="580"/>
      <c r="G5017" s="417" t="s">
        <v>3035</v>
      </c>
      <c r="H5017" s="598">
        <v>14210789</v>
      </c>
      <c r="I5017" s="322" t="s">
        <v>1302</v>
      </c>
      <c r="J5017" s="418"/>
      <c r="K5017" s="248"/>
      <c r="M5017" s="366"/>
    </row>
    <row r="5018" spans="1:13" x14ac:dyDescent="0.25">
      <c r="A5018" s="308">
        <v>45865</v>
      </c>
      <c r="B5018" s="416">
        <v>1209410</v>
      </c>
      <c r="C5018" s="638" t="str">
        <f>IFERROR(INDEX(Table14[],MATCH($B5018,Table14[SAPNo],0),3),"")</f>
        <v>1613 CT430MV3 U TBO</v>
      </c>
      <c r="D5018" s="420" t="s">
        <v>12</v>
      </c>
      <c r="E5018" s="421">
        <v>5</v>
      </c>
      <c r="F5018" s="580"/>
      <c r="G5018" s="417" t="s">
        <v>3035</v>
      </c>
      <c r="H5018" s="598">
        <v>14210789</v>
      </c>
      <c r="I5018" s="322" t="s">
        <v>1302</v>
      </c>
      <c r="J5018" s="418"/>
      <c r="K5018" s="248"/>
      <c r="M5018" s="366"/>
    </row>
    <row r="5019" spans="1:13" x14ac:dyDescent="0.25">
      <c r="A5019" s="308">
        <v>45865</v>
      </c>
      <c r="B5019" s="416">
        <v>1146737</v>
      </c>
      <c r="C5019" s="638" t="str">
        <f>IFERROR(INDEX(Table14[],MATCH($B5019,Table14[SAPNo],0),3),"")</f>
        <v>1613 CT418 18-60</v>
      </c>
      <c r="D5019" s="420" t="s">
        <v>12</v>
      </c>
      <c r="E5019" s="421">
        <v>4</v>
      </c>
      <c r="F5019" s="580"/>
      <c r="G5019" s="417" t="s">
        <v>3035</v>
      </c>
      <c r="H5019" s="598">
        <v>14210789</v>
      </c>
      <c r="I5019" s="322" t="s">
        <v>1302</v>
      </c>
      <c r="J5019" s="418"/>
      <c r="K5019" s="248"/>
      <c r="M5019" s="366"/>
    </row>
    <row r="5020" spans="1:13" x14ac:dyDescent="0.25">
      <c r="A5020" s="308">
        <v>45865</v>
      </c>
      <c r="B5020" s="416">
        <v>1100751</v>
      </c>
      <c r="C5020" s="638" t="str">
        <f>IFERROR(INDEX(Table14[],MATCH($B5020,Table14[SAPNo],0),3),"")</f>
        <v>1313 CT421 0.018"</v>
      </c>
      <c r="D5020" s="420" t="s">
        <v>12</v>
      </c>
      <c r="E5020" s="421">
        <v>3</v>
      </c>
      <c r="F5020" s="580"/>
      <c r="G5020" s="417" t="s">
        <v>3035</v>
      </c>
      <c r="H5020" s="598">
        <v>14210789</v>
      </c>
      <c r="I5020" s="322" t="s">
        <v>1302</v>
      </c>
      <c r="J5020" s="418"/>
      <c r="K5020" s="248"/>
      <c r="M5020" s="366"/>
    </row>
    <row r="5021" spans="1:13" x14ac:dyDescent="0.25">
      <c r="A5021" s="308">
        <v>45865</v>
      </c>
      <c r="B5021" s="416">
        <v>871781</v>
      </c>
      <c r="C5021" s="638" t="str">
        <f>IFERROR(INDEX(Table14[],MATCH($B5021,Table14[SAPNo],0),3),"")</f>
        <v>Round 1313 CT200  0.018" (B)</v>
      </c>
      <c r="D5021" s="420" t="s">
        <v>12</v>
      </c>
      <c r="E5021" s="421">
        <v>2</v>
      </c>
      <c r="F5021" s="580"/>
      <c r="G5021" s="417" t="s">
        <v>3036</v>
      </c>
      <c r="H5021" s="598">
        <v>14210787</v>
      </c>
      <c r="I5021" s="322" t="s">
        <v>1302</v>
      </c>
      <c r="J5021" s="418"/>
      <c r="K5021" s="248"/>
      <c r="M5021" s="366"/>
    </row>
    <row r="5022" spans="1:13" x14ac:dyDescent="0.25">
      <c r="A5022" s="308">
        <v>45865</v>
      </c>
      <c r="B5022" s="416">
        <v>1271790</v>
      </c>
      <c r="C5022" s="638" t="str">
        <f>IFERROR(INDEX(Table14[],MATCH($B5022,Table14[SAPNo],0),3),"")</f>
        <v xml:space="preserve">1613 CT170 18-60 </v>
      </c>
      <c r="D5022" s="420" t="s">
        <v>12</v>
      </c>
      <c r="E5022" s="421">
        <v>7</v>
      </c>
      <c r="F5022" s="580"/>
      <c r="G5022" s="417" t="s">
        <v>3036</v>
      </c>
      <c r="H5022" s="598">
        <v>14210787</v>
      </c>
      <c r="I5022" s="322" t="s">
        <v>1302</v>
      </c>
      <c r="J5022" s="418"/>
      <c r="K5022" s="248"/>
      <c r="M5022" s="366"/>
    </row>
    <row r="5023" spans="1:13" x14ac:dyDescent="0.25">
      <c r="A5023" s="308">
        <v>45865</v>
      </c>
      <c r="B5023" s="416">
        <v>1209410</v>
      </c>
      <c r="C5023" s="638" t="str">
        <f>IFERROR(INDEX(Table14[],MATCH($B5023,Table14[SAPNo],0),3),"")</f>
        <v>1613 CT430MV3 U TBO</v>
      </c>
      <c r="D5023" s="420" t="s">
        <v>12</v>
      </c>
      <c r="E5023" s="421">
        <v>7</v>
      </c>
      <c r="F5023" s="580"/>
      <c r="G5023" s="417" t="s">
        <v>3036</v>
      </c>
      <c r="H5023" s="598">
        <v>14210787</v>
      </c>
      <c r="I5023" s="322" t="s">
        <v>1302</v>
      </c>
      <c r="J5023" s="418"/>
      <c r="K5023" s="248"/>
      <c r="M5023" s="366"/>
    </row>
    <row r="5024" spans="1:13" x14ac:dyDescent="0.25">
      <c r="A5024" s="308">
        <v>45865</v>
      </c>
      <c r="B5024" s="416">
        <v>1146737</v>
      </c>
      <c r="C5024" s="638" t="str">
        <f>IFERROR(INDEX(Table14[],MATCH($B5024,Table14[SAPNo],0),3),"")</f>
        <v>1613 CT418 18-60</v>
      </c>
      <c r="D5024" s="420" t="s">
        <v>12</v>
      </c>
      <c r="E5024" s="421">
        <v>3</v>
      </c>
      <c r="F5024" s="580"/>
      <c r="G5024" s="417" t="s">
        <v>3036</v>
      </c>
      <c r="H5024" s="598">
        <v>14210787</v>
      </c>
      <c r="I5024" s="322" t="s">
        <v>1302</v>
      </c>
      <c r="J5024" s="418"/>
      <c r="K5024" s="248"/>
      <c r="M5024" s="366"/>
    </row>
    <row r="5025" spans="1:13" x14ac:dyDescent="0.25">
      <c r="A5025" s="308">
        <v>45865</v>
      </c>
      <c r="B5025" s="416">
        <v>1100751</v>
      </c>
      <c r="C5025" s="638" t="str">
        <f>IFERROR(INDEX(Table14[],MATCH($B5025,Table14[SAPNo],0),3),"")</f>
        <v>1313 CT421 0.018"</v>
      </c>
      <c r="D5025" s="420" t="s">
        <v>12</v>
      </c>
      <c r="E5025" s="421">
        <v>2</v>
      </c>
      <c r="F5025" s="580"/>
      <c r="G5025" s="417" t="s">
        <v>3036</v>
      </c>
      <c r="H5025" s="598">
        <v>14210787</v>
      </c>
      <c r="I5025" s="322" t="s">
        <v>1302</v>
      </c>
      <c r="J5025" s="418"/>
      <c r="K5025" s="248"/>
      <c r="M5025" s="366"/>
    </row>
    <row r="5026" spans="1:13" x14ac:dyDescent="0.25">
      <c r="A5026" s="308">
        <v>45866</v>
      </c>
      <c r="B5026" s="416">
        <v>717748</v>
      </c>
      <c r="C5026" s="638" t="str">
        <f>IFERROR(INDEX(Table14[],MATCH($B5026,Table14[SAPNo],0),3),"")</f>
        <v>Round 1010 CT200  0.018" (B)</v>
      </c>
      <c r="D5026" s="420" t="s">
        <v>12</v>
      </c>
      <c r="E5026" s="421">
        <v>4</v>
      </c>
      <c r="F5026" s="580"/>
      <c r="G5026" s="417" t="s">
        <v>3037</v>
      </c>
      <c r="H5026" s="598" t="s">
        <v>3038</v>
      </c>
      <c r="I5026" s="322" t="s">
        <v>2362</v>
      </c>
      <c r="J5026" s="418"/>
      <c r="K5026" s="248"/>
      <c r="M5026" s="366"/>
    </row>
    <row r="5027" spans="1:13" x14ac:dyDescent="0.25">
      <c r="A5027" s="320">
        <v>45866</v>
      </c>
      <c r="B5027" s="419">
        <v>717748</v>
      </c>
      <c r="C5027" s="638" t="str">
        <f>IFERROR(INDEX(Table14[],MATCH($B5027,Table14[SAPNo],0),3),"")</f>
        <v>Round 1010 CT200  0.018" (B)</v>
      </c>
      <c r="D5027" s="420" t="s">
        <v>12</v>
      </c>
      <c r="E5027" s="421">
        <v>2</v>
      </c>
      <c r="F5027" s="580"/>
      <c r="G5027" s="420" t="s">
        <v>3039</v>
      </c>
      <c r="H5027" s="599" t="s">
        <v>3040</v>
      </c>
      <c r="I5027" s="322" t="s">
        <v>1069</v>
      </c>
      <c r="J5027" s="421"/>
      <c r="K5027" s="422"/>
      <c r="M5027" s="366"/>
    </row>
    <row r="5028" spans="1:13" x14ac:dyDescent="0.25">
      <c r="A5028" s="320">
        <v>45867</v>
      </c>
      <c r="B5028" s="416">
        <v>1271790</v>
      </c>
      <c r="C5028" s="639" t="str">
        <f>IFERROR(INDEX(Table14[],MATCH($B5028,Table14[SAPNo],0),3),"")</f>
        <v xml:space="preserve">1613 CT170 18-60 </v>
      </c>
      <c r="D5028" s="420" t="s">
        <v>12</v>
      </c>
      <c r="E5028" s="421">
        <v>8</v>
      </c>
      <c r="F5028" s="421"/>
      <c r="G5028" s="417" t="s">
        <v>3036</v>
      </c>
      <c r="H5028" s="598">
        <v>14210787</v>
      </c>
      <c r="I5028" s="322" t="s">
        <v>1302</v>
      </c>
      <c r="J5028" s="418"/>
      <c r="K5028" s="248" t="s">
        <v>3041</v>
      </c>
      <c r="M5028" s="422"/>
    </row>
    <row r="5029" spans="1:13" x14ac:dyDescent="0.25">
      <c r="A5029" s="308">
        <v>45867</v>
      </c>
      <c r="B5029" s="416">
        <v>418525</v>
      </c>
      <c r="C5029" s="638" t="str">
        <f>IFERROR(INDEX(Table14[],MATCH($B5029,Table14[SAPNo],0),3),"")</f>
        <v>Drop In 1308 CT31   (B)</v>
      </c>
      <c r="D5029" s="420" t="s">
        <v>12</v>
      </c>
      <c r="E5029" s="421">
        <v>1</v>
      </c>
      <c r="F5029" s="421"/>
      <c r="G5029" s="417">
        <v>20251108</v>
      </c>
      <c r="H5029" s="598">
        <v>14228444</v>
      </c>
      <c r="I5029" s="322" t="s">
        <v>1604</v>
      </c>
      <c r="J5029" s="418"/>
      <c r="K5029" s="248"/>
      <c r="M5029" s="422"/>
    </row>
    <row r="5030" spans="1:13" x14ac:dyDescent="0.25">
      <c r="A5030" s="308">
        <v>45867</v>
      </c>
      <c r="B5030" s="416">
        <v>1146346</v>
      </c>
      <c r="C5030" s="638" t="str">
        <f>IFERROR(INDEX(Table14[],MATCH($B5030,Table14[SAPNo],0),3),"")</f>
        <v>1313 CT418 18-60</v>
      </c>
      <c r="D5030" s="420" t="s">
        <v>12</v>
      </c>
      <c r="E5030" s="421">
        <v>1</v>
      </c>
      <c r="F5030" s="580"/>
      <c r="G5030" s="417">
        <v>20251108</v>
      </c>
      <c r="H5030" s="598">
        <v>14228444</v>
      </c>
      <c r="I5030" s="322" t="s">
        <v>1604</v>
      </c>
      <c r="J5030" s="418"/>
      <c r="K5030" s="248"/>
      <c r="M5030" s="366"/>
    </row>
    <row r="5031" spans="1:13" x14ac:dyDescent="0.25">
      <c r="A5031" s="308">
        <v>45867</v>
      </c>
      <c r="B5031" s="416">
        <v>418525</v>
      </c>
      <c r="C5031" s="638" t="str">
        <f>IFERROR(INDEX(Table14[],MATCH($B5031,Table14[SAPNo],0),3),"")</f>
        <v>Drop In 1308 CT31   (B)</v>
      </c>
      <c r="D5031" s="420" t="s">
        <v>12</v>
      </c>
      <c r="E5031" s="421">
        <v>6</v>
      </c>
      <c r="F5031" s="580"/>
      <c r="G5031" s="417" t="s">
        <v>3042</v>
      </c>
      <c r="H5031" s="598" t="s">
        <v>3043</v>
      </c>
      <c r="I5031" s="322" t="s">
        <v>2600</v>
      </c>
      <c r="J5031" s="418"/>
      <c r="K5031" s="248"/>
      <c r="M5031" s="366"/>
    </row>
    <row r="5032" spans="1:13" x14ac:dyDescent="0.25">
      <c r="A5032" s="308">
        <v>45867</v>
      </c>
      <c r="B5032" s="416">
        <v>1271790</v>
      </c>
      <c r="C5032" s="638" t="str">
        <f>IFERROR(INDEX(Table14[],MATCH($B5032,Table14[SAPNo],0),3),"")</f>
        <v xml:space="preserve">1613 CT170 18-60 </v>
      </c>
      <c r="D5032" s="420" t="s">
        <v>12</v>
      </c>
      <c r="E5032" s="421">
        <v>1</v>
      </c>
      <c r="F5032" s="580"/>
      <c r="G5032" s="417" t="s">
        <v>3042</v>
      </c>
      <c r="H5032" s="598" t="s">
        <v>3043</v>
      </c>
      <c r="I5032" s="322" t="s">
        <v>2600</v>
      </c>
      <c r="J5032" s="418"/>
      <c r="K5032" s="248"/>
      <c r="M5032" s="366"/>
    </row>
    <row r="5033" spans="1:13" x14ac:dyDescent="0.25">
      <c r="A5033" s="308">
        <v>45867</v>
      </c>
      <c r="B5033" s="416">
        <v>1146737</v>
      </c>
      <c r="C5033" s="638" t="str">
        <f>IFERROR(INDEX(Table14[],MATCH($B5033,Table14[SAPNo],0),3),"")</f>
        <v>1613 CT418 18-60</v>
      </c>
      <c r="D5033" s="420" t="s">
        <v>12</v>
      </c>
      <c r="E5033" s="421">
        <v>6</v>
      </c>
      <c r="F5033" s="580"/>
      <c r="G5033" s="417" t="s">
        <v>3042</v>
      </c>
      <c r="H5033" s="598" t="s">
        <v>3043</v>
      </c>
      <c r="I5033" s="322" t="s">
        <v>2600</v>
      </c>
      <c r="J5033" s="418"/>
      <c r="K5033" s="248"/>
      <c r="M5033" s="366"/>
    </row>
    <row r="5034" spans="1:13" x14ac:dyDescent="0.25">
      <c r="A5034" s="320">
        <v>45867</v>
      </c>
      <c r="B5034" s="419">
        <v>1078377</v>
      </c>
      <c r="C5034" s="638" t="str">
        <f>IFERROR(INDEX(Table14[],MATCH($B5034,Table14[SAPNo],0),3),"")</f>
        <v>13MM CT221 R1</v>
      </c>
      <c r="D5034" s="420" t="s">
        <v>12</v>
      </c>
      <c r="E5034" s="421">
        <v>1</v>
      </c>
      <c r="F5034" s="580"/>
      <c r="G5034" s="420" t="s">
        <v>3042</v>
      </c>
      <c r="H5034" s="599" t="s">
        <v>3043</v>
      </c>
      <c r="I5034" s="322" t="s">
        <v>2600</v>
      </c>
      <c r="J5034" s="421"/>
      <c r="K5034" s="422"/>
      <c r="M5034" s="366"/>
    </row>
    <row r="5035" spans="1:13" x14ac:dyDescent="0.25">
      <c r="A5035" s="308">
        <v>45868</v>
      </c>
      <c r="B5035" s="416">
        <v>1152018</v>
      </c>
      <c r="C5035" s="638" t="str">
        <f>IFERROR(INDEX(Table14[],MATCH($B5035,Table14[SAPNo],0),3),"")</f>
        <v>1313 CT418 U</v>
      </c>
      <c r="D5035" s="420" t="s">
        <v>12</v>
      </c>
      <c r="E5035" s="421">
        <v>12</v>
      </c>
      <c r="F5035" s="421"/>
      <c r="G5035" s="417" t="s">
        <v>3044</v>
      </c>
      <c r="H5035" s="598">
        <v>14279672</v>
      </c>
      <c r="I5035" s="322" t="s">
        <v>3045</v>
      </c>
      <c r="J5035" s="418"/>
      <c r="K5035" s="248"/>
      <c r="M5035" s="422"/>
    </row>
    <row r="5036" spans="1:13" x14ac:dyDescent="0.25">
      <c r="A5036" s="308">
        <v>45868</v>
      </c>
      <c r="B5036" s="416">
        <v>1101509</v>
      </c>
      <c r="C5036" s="638" t="str">
        <f>IFERROR(INDEX(Table14[],MATCH($B5036,Table14[SAPNo],0),3),"")</f>
        <v>Short IA 8    (C)</v>
      </c>
      <c r="D5036" s="420" t="s">
        <v>12</v>
      </c>
      <c r="E5036" s="421">
        <v>5</v>
      </c>
      <c r="F5036" s="580"/>
      <c r="G5036" s="417" t="s">
        <v>3044</v>
      </c>
      <c r="H5036" s="598">
        <v>14279672</v>
      </c>
      <c r="I5036" s="322" t="s">
        <v>3045</v>
      </c>
      <c r="J5036" s="418"/>
      <c r="K5036" s="248"/>
      <c r="M5036" s="366"/>
    </row>
    <row r="5037" spans="1:13" x14ac:dyDescent="0.25">
      <c r="A5037" s="308">
        <v>45868</v>
      </c>
      <c r="B5037" s="416">
        <v>1104083</v>
      </c>
      <c r="C5037" s="638" t="str">
        <f>IFERROR(INDEX(Table14[],MATCH($B5037,Table14[SAPNo],0),3),"")</f>
        <v>1313 CT144H  10C (S)</v>
      </c>
      <c r="D5037" s="420" t="s">
        <v>12</v>
      </c>
      <c r="E5037" s="421">
        <v>1</v>
      </c>
      <c r="F5037" s="580"/>
      <c r="G5037" s="417" t="s">
        <v>3044</v>
      </c>
      <c r="H5037" s="598">
        <v>14279672</v>
      </c>
      <c r="I5037" s="322" t="s">
        <v>3045</v>
      </c>
      <c r="J5037" s="418"/>
      <c r="K5037" s="248"/>
      <c r="M5037" s="366"/>
    </row>
    <row r="5038" spans="1:13" x14ac:dyDescent="0.25">
      <c r="A5038" s="308">
        <v>45868</v>
      </c>
      <c r="B5038" s="416">
        <v>1136984</v>
      </c>
      <c r="C5038" s="638" t="str">
        <f>IFERROR(INDEX(Table14[],MATCH($B5038,Table14[SAPNo],0),3),"")</f>
        <v>DBLMCHT 1313 CT182DM  10C (S)</v>
      </c>
      <c r="D5038" s="420" t="s">
        <v>12</v>
      </c>
      <c r="E5038" s="421">
        <v>13</v>
      </c>
      <c r="F5038" s="580"/>
      <c r="G5038" s="417" t="s">
        <v>3044</v>
      </c>
      <c r="H5038" s="598">
        <v>14279672</v>
      </c>
      <c r="I5038" s="322" t="s">
        <v>3045</v>
      </c>
      <c r="J5038" s="418"/>
      <c r="K5038" s="248"/>
      <c r="M5038" s="366"/>
    </row>
    <row r="5039" spans="1:13" x14ac:dyDescent="0.25">
      <c r="A5039" s="308">
        <v>45868</v>
      </c>
      <c r="B5039" s="416">
        <v>418525</v>
      </c>
      <c r="C5039" s="638" t="str">
        <f>IFERROR(INDEX(Table14[],MATCH($B5039,Table14[SAPNo],0),3),"")</f>
        <v>Drop In 1308 CT31   (B)</v>
      </c>
      <c r="D5039" s="420" t="s">
        <v>12</v>
      </c>
      <c r="E5039" s="421">
        <v>6</v>
      </c>
      <c r="F5039" s="580"/>
      <c r="G5039" s="417" t="s">
        <v>3044</v>
      </c>
      <c r="H5039" s="598">
        <v>14279672</v>
      </c>
      <c r="I5039" s="322" t="s">
        <v>3045</v>
      </c>
      <c r="J5039" s="418"/>
      <c r="K5039" s="248"/>
      <c r="M5039" s="366"/>
    </row>
    <row r="5040" spans="1:13" x14ac:dyDescent="0.25">
      <c r="A5040" s="308">
        <v>45868</v>
      </c>
      <c r="B5040" s="416">
        <v>1146737</v>
      </c>
      <c r="C5040" s="638" t="str">
        <f>IFERROR(INDEX(Table14[],MATCH($B5040,Table14[SAPNo],0),3),"")</f>
        <v>1613 CT418 18-60</v>
      </c>
      <c r="D5040" s="420" t="s">
        <v>12</v>
      </c>
      <c r="E5040" s="421">
        <v>19</v>
      </c>
      <c r="F5040" s="580"/>
      <c r="G5040" s="417" t="s">
        <v>3046</v>
      </c>
      <c r="H5040" s="598">
        <v>14336414</v>
      </c>
      <c r="I5040" s="322" t="s">
        <v>3047</v>
      </c>
      <c r="J5040" s="418"/>
      <c r="K5040" s="248"/>
      <c r="M5040" s="366"/>
    </row>
    <row r="5041" spans="1:13" x14ac:dyDescent="0.25">
      <c r="A5041" s="308">
        <v>45868</v>
      </c>
      <c r="B5041" s="416">
        <v>1209333</v>
      </c>
      <c r="C5041" s="638" t="str">
        <f>IFERROR(INDEX(Table14[],MATCH($B5041,Table14[SAPNo],0),3),"")</f>
        <v>1613 CT147G U</v>
      </c>
      <c r="D5041" s="420" t="s">
        <v>12</v>
      </c>
      <c r="E5041" s="421">
        <v>12</v>
      </c>
      <c r="F5041" s="580"/>
      <c r="G5041" s="417" t="s">
        <v>3046</v>
      </c>
      <c r="H5041" s="598">
        <v>14336414</v>
      </c>
      <c r="I5041" s="322" t="s">
        <v>3047</v>
      </c>
      <c r="J5041" s="418"/>
      <c r="K5041" s="248"/>
      <c r="M5041" s="366"/>
    </row>
    <row r="5042" spans="1:13" x14ac:dyDescent="0.25">
      <c r="A5042" s="308">
        <v>45868</v>
      </c>
      <c r="B5042" s="416">
        <v>625854</v>
      </c>
      <c r="C5042" s="638" t="str">
        <f>IFERROR(INDEX(Table14[],MATCH($B5042,Table14[SAPNo],0),3),"")</f>
        <v>Carbide IA 1318    (C)</v>
      </c>
      <c r="D5042" s="420" t="s">
        <v>12</v>
      </c>
      <c r="E5042" s="421">
        <v>6</v>
      </c>
      <c r="F5042" s="580"/>
      <c r="G5042" s="417" t="s">
        <v>3046</v>
      </c>
      <c r="H5042" s="598">
        <v>14336414</v>
      </c>
      <c r="I5042" s="322" t="s">
        <v>3047</v>
      </c>
      <c r="J5042" s="418"/>
      <c r="K5042" s="248"/>
      <c r="M5042" s="366"/>
    </row>
    <row r="5043" spans="1:13" x14ac:dyDescent="0.25">
      <c r="A5043" s="308">
        <v>45868</v>
      </c>
      <c r="B5043" s="416">
        <v>418525</v>
      </c>
      <c r="C5043" s="638" t="str">
        <f>IFERROR(INDEX(Table14[],MATCH($B5043,Table14[SAPNo],0),3),"")</f>
        <v>Drop In 1308 CT31   (B)</v>
      </c>
      <c r="D5043" s="420" t="s">
        <v>12</v>
      </c>
      <c r="E5043" s="421">
        <v>6</v>
      </c>
      <c r="F5043" s="580"/>
      <c r="G5043" s="417" t="s">
        <v>3046</v>
      </c>
      <c r="H5043" s="598">
        <v>14336414</v>
      </c>
      <c r="I5043" s="322" t="s">
        <v>3047</v>
      </c>
      <c r="J5043" s="418"/>
      <c r="K5043" s="248"/>
      <c r="M5043" s="366"/>
    </row>
    <row r="5044" spans="1:13" x14ac:dyDescent="0.25">
      <c r="A5044" s="308">
        <v>45936</v>
      </c>
      <c r="B5044" s="416">
        <v>1146737</v>
      </c>
      <c r="C5044" s="638" t="str">
        <f>IFERROR(INDEX(Table14[],MATCH($B5044,Table14[SAPNo],0),3),"")</f>
        <v>1613 CT418 18-60</v>
      </c>
      <c r="D5044" s="420" t="s">
        <v>10</v>
      </c>
      <c r="E5044" s="421"/>
      <c r="F5044" s="580">
        <v>16</v>
      </c>
      <c r="G5044" s="417" t="s">
        <v>3265</v>
      </c>
      <c r="H5044" s="598" t="s">
        <v>2514</v>
      </c>
      <c r="I5044" s="322" t="s">
        <v>2514</v>
      </c>
      <c r="J5044" s="418"/>
      <c r="K5044" s="248" t="s">
        <v>3221</v>
      </c>
      <c r="M5044" s="366"/>
    </row>
    <row r="5045" spans="1:13" x14ac:dyDescent="0.25">
      <c r="A5045" s="308">
        <v>45868</v>
      </c>
      <c r="B5045" s="416">
        <v>1078377</v>
      </c>
      <c r="C5045" s="638" t="str">
        <f>IFERROR(INDEX(Table14[],MATCH($B5045,Table14[SAPNo],0),3),"")</f>
        <v>13MM CT221 R1</v>
      </c>
      <c r="D5045" s="420" t="s">
        <v>12</v>
      </c>
      <c r="E5045" s="421">
        <v>1</v>
      </c>
      <c r="F5045" s="580"/>
      <c r="G5045" s="417" t="s">
        <v>3048</v>
      </c>
      <c r="H5045" s="598" t="s">
        <v>3049</v>
      </c>
      <c r="I5045" s="322" t="s">
        <v>2311</v>
      </c>
      <c r="J5045" s="418"/>
      <c r="K5045" s="248"/>
      <c r="M5045" s="366"/>
    </row>
    <row r="5046" spans="1:13" x14ac:dyDescent="0.25">
      <c r="A5046" s="308">
        <v>45868</v>
      </c>
      <c r="B5046" s="416">
        <v>1146737</v>
      </c>
      <c r="C5046" s="638" t="str">
        <f>IFERROR(INDEX(Table14[],MATCH($B5046,Table14[SAPNo],0),3),"")</f>
        <v>1613 CT418 18-60</v>
      </c>
      <c r="D5046" s="420" t="s">
        <v>12</v>
      </c>
      <c r="E5046" s="421">
        <v>6</v>
      </c>
      <c r="F5046" s="580"/>
      <c r="G5046" s="417" t="s">
        <v>3048</v>
      </c>
      <c r="H5046" s="598" t="s">
        <v>3049</v>
      </c>
      <c r="I5046" s="322" t="s">
        <v>2311</v>
      </c>
      <c r="J5046" s="418"/>
      <c r="K5046" s="248"/>
      <c r="M5046" s="366"/>
    </row>
    <row r="5047" spans="1:13" x14ac:dyDescent="0.25">
      <c r="A5047" s="308">
        <v>45868</v>
      </c>
      <c r="B5047" s="416">
        <v>418525</v>
      </c>
      <c r="C5047" s="638" t="str">
        <f>IFERROR(INDEX(Table14[],MATCH($B5047,Table14[SAPNo],0),3),"")</f>
        <v>Drop In 1308 CT31   (B)</v>
      </c>
      <c r="D5047" s="420" t="s">
        <v>12</v>
      </c>
      <c r="E5047" s="421">
        <v>6</v>
      </c>
      <c r="F5047" s="580"/>
      <c r="G5047" s="417" t="s">
        <v>3048</v>
      </c>
      <c r="H5047" s="598" t="s">
        <v>3049</v>
      </c>
      <c r="I5047" s="322" t="s">
        <v>2311</v>
      </c>
      <c r="J5047" s="418"/>
      <c r="K5047" s="248"/>
      <c r="M5047" s="366"/>
    </row>
    <row r="5048" spans="1:13" x14ac:dyDescent="0.25">
      <c r="A5048" s="308">
        <v>45868</v>
      </c>
      <c r="B5048" s="416">
        <v>1271790</v>
      </c>
      <c r="C5048" s="638" t="str">
        <f>IFERROR(INDEX(Table14[],MATCH($B5048,Table14[SAPNo],0),3),"")</f>
        <v xml:space="preserve">1613 CT170 18-60 </v>
      </c>
      <c r="D5048" s="420" t="s">
        <v>12</v>
      </c>
      <c r="E5048" s="421">
        <v>1</v>
      </c>
      <c r="F5048" s="580"/>
      <c r="G5048" s="417" t="s">
        <v>3050</v>
      </c>
      <c r="H5048" s="598" t="s">
        <v>3051</v>
      </c>
      <c r="I5048" s="322" t="s">
        <v>2311</v>
      </c>
      <c r="J5048" s="418"/>
      <c r="K5048" s="248"/>
      <c r="M5048" s="366"/>
    </row>
    <row r="5049" spans="1:13" x14ac:dyDescent="0.25">
      <c r="A5049" s="308">
        <v>45868</v>
      </c>
      <c r="B5049" s="416">
        <v>1146737</v>
      </c>
      <c r="C5049" s="638" t="str">
        <f>IFERROR(INDEX(Table14[],MATCH($B5049,Table14[SAPNo],0),3),"")</f>
        <v>1613 CT418 18-60</v>
      </c>
      <c r="D5049" s="420" t="s">
        <v>12</v>
      </c>
      <c r="E5049" s="421">
        <v>6</v>
      </c>
      <c r="F5049" s="580"/>
      <c r="G5049" s="417" t="s">
        <v>3050</v>
      </c>
      <c r="H5049" s="598" t="s">
        <v>3051</v>
      </c>
      <c r="I5049" s="322" t="s">
        <v>2311</v>
      </c>
      <c r="J5049" s="418"/>
      <c r="K5049" s="248"/>
      <c r="M5049" s="366"/>
    </row>
    <row r="5050" spans="1:13" x14ac:dyDescent="0.25">
      <c r="A5050" s="308">
        <v>45868</v>
      </c>
      <c r="B5050" s="416">
        <v>418525</v>
      </c>
      <c r="C5050" s="638" t="str">
        <f>IFERROR(INDEX(Table14[],MATCH($B5050,Table14[SAPNo],0),3),"")</f>
        <v>Drop In 1308 CT31   (B)</v>
      </c>
      <c r="D5050" s="420" t="s">
        <v>12</v>
      </c>
      <c r="E5050" s="421">
        <v>6</v>
      </c>
      <c r="F5050" s="580"/>
      <c r="G5050" s="417" t="s">
        <v>3050</v>
      </c>
      <c r="H5050" s="598" t="s">
        <v>3051</v>
      </c>
      <c r="I5050" s="322" t="s">
        <v>2311</v>
      </c>
      <c r="J5050" s="418"/>
      <c r="K5050" s="248"/>
      <c r="M5050" s="366"/>
    </row>
    <row r="5051" spans="1:13" x14ac:dyDescent="0.25">
      <c r="A5051" s="308">
        <v>45868</v>
      </c>
      <c r="B5051" s="416">
        <v>1209410</v>
      </c>
      <c r="C5051" s="638" t="str">
        <f>IFERROR(INDEX(Table14[],MATCH($B5051,Table14[SAPNo],0),3),"")</f>
        <v>1613 CT430MV3 U TBO</v>
      </c>
      <c r="D5051" s="420" t="s">
        <v>12</v>
      </c>
      <c r="E5051" s="421">
        <v>1</v>
      </c>
      <c r="F5051" s="580"/>
      <c r="G5051" s="417" t="s">
        <v>3052</v>
      </c>
      <c r="H5051" s="598">
        <v>14210787</v>
      </c>
      <c r="I5051" s="322" t="s">
        <v>1302</v>
      </c>
      <c r="J5051" s="418"/>
      <c r="K5051" s="248" t="s">
        <v>2546</v>
      </c>
      <c r="M5051" s="366"/>
    </row>
    <row r="5052" spans="1:13" x14ac:dyDescent="0.25">
      <c r="A5052" s="320">
        <v>45868</v>
      </c>
      <c r="B5052" s="419">
        <v>1271790</v>
      </c>
      <c r="C5052" s="638" t="str">
        <f>IFERROR(INDEX(Table14[],MATCH($B5052,Table14[SAPNo],0),3),"")</f>
        <v xml:space="preserve">1613 CT170 18-60 </v>
      </c>
      <c r="D5052" s="420" t="s">
        <v>12</v>
      </c>
      <c r="E5052" s="421">
        <v>3</v>
      </c>
      <c r="F5052" s="580"/>
      <c r="G5052" s="420" t="s">
        <v>3052</v>
      </c>
      <c r="H5052" s="599">
        <v>14210787</v>
      </c>
      <c r="I5052" s="322" t="s">
        <v>1302</v>
      </c>
      <c r="J5052" s="421"/>
      <c r="K5052" s="422" t="s">
        <v>2546</v>
      </c>
      <c r="M5052" s="366"/>
    </row>
    <row r="5053" spans="1:13" x14ac:dyDescent="0.25">
      <c r="A5053" s="308">
        <v>45869</v>
      </c>
      <c r="B5053" s="416">
        <v>1145493</v>
      </c>
      <c r="C5053" s="638" t="str">
        <f>IFERROR(INDEX(Table14[],MATCH($B5053,Table14[SAPNo],0),3),"")</f>
        <v>Round 1313 CT427  10C (S)</v>
      </c>
      <c r="D5053" s="420" t="s">
        <v>11</v>
      </c>
      <c r="E5053" s="421">
        <v>3</v>
      </c>
      <c r="F5053" s="421"/>
      <c r="G5053" s="417">
        <v>20251102</v>
      </c>
      <c r="H5053" s="598">
        <v>13753987</v>
      </c>
      <c r="I5053" s="322" t="s">
        <v>2971</v>
      </c>
      <c r="J5053" s="418"/>
      <c r="K5053" s="248"/>
      <c r="M5053" s="422"/>
    </row>
    <row r="5054" spans="1:13" x14ac:dyDescent="0.25">
      <c r="A5054" s="308">
        <v>45869</v>
      </c>
      <c r="B5054" s="416">
        <v>717748</v>
      </c>
      <c r="C5054" s="638" t="str">
        <f>IFERROR(INDEX(Table14[],MATCH($B5054,Table14[SAPNo],0),3),"")</f>
        <v>Round 1010 CT200  0.018" (B)</v>
      </c>
      <c r="D5054" s="420" t="s">
        <v>12</v>
      </c>
      <c r="E5054" s="421">
        <v>5</v>
      </c>
      <c r="F5054" s="580"/>
      <c r="G5054" s="417">
        <v>20251104</v>
      </c>
      <c r="H5054" s="598" t="s">
        <v>3053</v>
      </c>
      <c r="I5054" s="322" t="s">
        <v>1069</v>
      </c>
      <c r="J5054" s="418"/>
      <c r="K5054" s="248"/>
      <c r="M5054" s="366"/>
    </row>
    <row r="5055" spans="1:13" x14ac:dyDescent="0.25">
      <c r="A5055" s="308">
        <v>45869</v>
      </c>
      <c r="B5055" s="416">
        <v>418525</v>
      </c>
      <c r="C5055" s="638" t="str">
        <f>IFERROR(INDEX(Table14[],MATCH($B5055,Table14[SAPNo],0),3),"")</f>
        <v>Drop In 1308 CT31   (B)</v>
      </c>
      <c r="D5055" s="420" t="s">
        <v>12</v>
      </c>
      <c r="E5055" s="421">
        <v>5</v>
      </c>
      <c r="F5055" s="580"/>
      <c r="G5055" s="417">
        <v>20251107</v>
      </c>
      <c r="H5055" s="598" t="s">
        <v>3054</v>
      </c>
      <c r="I5055" s="322" t="s">
        <v>2090</v>
      </c>
      <c r="J5055" s="418"/>
      <c r="K5055" s="248"/>
      <c r="M5055" s="366"/>
    </row>
    <row r="5056" spans="1:13" x14ac:dyDescent="0.25">
      <c r="A5056" s="308">
        <v>45869</v>
      </c>
      <c r="B5056" s="416">
        <v>1146346</v>
      </c>
      <c r="C5056" s="638" t="str">
        <f>IFERROR(INDEX(Table14[],MATCH($B5056,Table14[SAPNo],0),3),"")</f>
        <v>1313 CT418 18-60</v>
      </c>
      <c r="D5056" s="420" t="s">
        <v>12</v>
      </c>
      <c r="E5056" s="421">
        <v>5</v>
      </c>
      <c r="F5056" s="580"/>
      <c r="G5056" s="417">
        <v>20251107</v>
      </c>
      <c r="H5056" s="598" t="s">
        <v>3054</v>
      </c>
      <c r="I5056" s="322" t="s">
        <v>2090</v>
      </c>
      <c r="J5056" s="418"/>
      <c r="K5056" s="248"/>
      <c r="M5056" s="366"/>
    </row>
    <row r="5057" spans="1:13" x14ac:dyDescent="0.25">
      <c r="A5057" s="308">
        <v>45869</v>
      </c>
      <c r="B5057" s="416">
        <v>1266910</v>
      </c>
      <c r="C5057" s="638" t="str">
        <f>IFERROR(INDEX(Table14[],MATCH($B5057,Table14[SAPNo],0),3),"")</f>
        <v/>
      </c>
      <c r="D5057" s="420" t="s">
        <v>12</v>
      </c>
      <c r="E5057" s="421">
        <v>1</v>
      </c>
      <c r="F5057" s="580"/>
      <c r="G5057" s="417">
        <v>20251107</v>
      </c>
      <c r="H5057" s="598" t="s">
        <v>3054</v>
      </c>
      <c r="I5057" s="322" t="s">
        <v>2090</v>
      </c>
      <c r="J5057" s="418"/>
      <c r="K5057" s="248"/>
      <c r="M5057" s="366"/>
    </row>
    <row r="5058" spans="1:13" x14ac:dyDescent="0.25">
      <c r="A5058" s="308">
        <v>45869</v>
      </c>
      <c r="B5058" s="416">
        <v>1146346</v>
      </c>
      <c r="C5058" s="638" t="str">
        <f>IFERROR(INDEX(Table14[],MATCH($B5058,Table14[SAPNo],0),3),"")</f>
        <v>1313 CT418 18-60</v>
      </c>
      <c r="D5058" s="420" t="s">
        <v>12</v>
      </c>
      <c r="E5058" s="421">
        <v>8</v>
      </c>
      <c r="F5058" s="580"/>
      <c r="G5058" s="417">
        <v>20251109</v>
      </c>
      <c r="H5058" s="598" t="s">
        <v>3055</v>
      </c>
      <c r="I5058" s="322" t="s">
        <v>1781</v>
      </c>
      <c r="J5058" s="418"/>
      <c r="K5058" s="248"/>
      <c r="M5058" s="366"/>
    </row>
    <row r="5059" spans="1:13" x14ac:dyDescent="0.25">
      <c r="A5059" s="308">
        <v>45869</v>
      </c>
      <c r="B5059" s="416">
        <v>1244299</v>
      </c>
      <c r="C5059" s="638" t="str">
        <f>IFERROR(INDEX(Table14[],MATCH($B5059,Table14[SAPNo],0),3),"")</f>
        <v>1313 CT147CV4 U</v>
      </c>
      <c r="D5059" s="420" t="s">
        <v>12</v>
      </c>
      <c r="E5059" s="421">
        <v>3</v>
      </c>
      <c r="F5059" s="580"/>
      <c r="G5059" s="417">
        <v>20251109</v>
      </c>
      <c r="H5059" s="598" t="s">
        <v>3055</v>
      </c>
      <c r="I5059" s="322" t="s">
        <v>1781</v>
      </c>
      <c r="J5059" s="418"/>
      <c r="K5059" s="248"/>
      <c r="M5059" s="366"/>
    </row>
    <row r="5060" spans="1:13" x14ac:dyDescent="0.25">
      <c r="A5060" s="308">
        <v>45869</v>
      </c>
      <c r="B5060" s="416">
        <v>418525</v>
      </c>
      <c r="C5060" s="638" t="str">
        <f>IFERROR(INDEX(Table14[],MATCH($B5060,Table14[SAPNo],0),3),"")</f>
        <v>Drop In 1308 CT31   (B)</v>
      </c>
      <c r="D5060" s="420" t="s">
        <v>12</v>
      </c>
      <c r="E5060" s="421">
        <v>8</v>
      </c>
      <c r="F5060" s="580"/>
      <c r="G5060" s="417">
        <v>20251109</v>
      </c>
      <c r="H5060" s="598" t="s">
        <v>3055</v>
      </c>
      <c r="I5060" s="322" t="s">
        <v>1781</v>
      </c>
      <c r="J5060" s="418"/>
      <c r="K5060" s="248"/>
      <c r="M5060" s="366"/>
    </row>
    <row r="5061" spans="1:13" x14ac:dyDescent="0.25">
      <c r="A5061" s="308">
        <v>45869</v>
      </c>
      <c r="B5061" s="416">
        <v>717748</v>
      </c>
      <c r="C5061" s="638" t="str">
        <f>IFERROR(INDEX(Table14[],MATCH($B5061,Table14[SAPNo],0),3),"")</f>
        <v>Round 1010 CT200  0.018" (B)</v>
      </c>
      <c r="D5061" s="420" t="s">
        <v>12</v>
      </c>
      <c r="E5061" s="421">
        <v>4</v>
      </c>
      <c r="F5061" s="580"/>
      <c r="G5061" s="417">
        <v>20251110</v>
      </c>
      <c r="H5061" s="598" t="s">
        <v>3056</v>
      </c>
      <c r="I5061" s="322" t="s">
        <v>2529</v>
      </c>
      <c r="J5061" s="418"/>
      <c r="K5061" s="248"/>
      <c r="M5061" s="366"/>
    </row>
    <row r="5062" spans="1:13" x14ac:dyDescent="0.25">
      <c r="A5062" s="308">
        <v>45869</v>
      </c>
      <c r="B5062" s="416">
        <v>1271790</v>
      </c>
      <c r="C5062" s="638" t="str">
        <f>IFERROR(INDEX(Table14[],MATCH($B5062,Table14[SAPNo],0),3),"")</f>
        <v xml:space="preserve">1613 CT170 18-60 </v>
      </c>
      <c r="D5062" s="420" t="s">
        <v>12</v>
      </c>
      <c r="E5062" s="421">
        <v>8</v>
      </c>
      <c r="F5062" s="580"/>
      <c r="G5062" s="417" t="s">
        <v>3057</v>
      </c>
      <c r="H5062" s="598">
        <v>14074753</v>
      </c>
      <c r="I5062" s="322" t="s">
        <v>1398</v>
      </c>
      <c r="J5062" s="418"/>
      <c r="K5062" s="248"/>
      <c r="M5062" s="366"/>
    </row>
    <row r="5063" spans="1:13" x14ac:dyDescent="0.25">
      <c r="A5063" s="308">
        <v>45869</v>
      </c>
      <c r="B5063" s="416">
        <v>647435</v>
      </c>
      <c r="C5063" s="638" t="str">
        <f>IFERROR(INDEX(Table14[],MATCH($B5063,Table14[SAPNo],0),3),"")</f>
        <v>Round 1608 CT200  0.018" (B)</v>
      </c>
      <c r="D5063" s="420" t="s">
        <v>12</v>
      </c>
      <c r="E5063" s="421">
        <v>2</v>
      </c>
      <c r="F5063" s="580"/>
      <c r="G5063" s="417" t="s">
        <v>3057</v>
      </c>
      <c r="H5063" s="598">
        <v>14074753</v>
      </c>
      <c r="I5063" s="322" t="s">
        <v>1398</v>
      </c>
      <c r="J5063" s="418"/>
      <c r="K5063" s="248"/>
      <c r="M5063" s="366"/>
    </row>
    <row r="5064" spans="1:13" x14ac:dyDescent="0.25">
      <c r="A5064" s="308">
        <v>45869</v>
      </c>
      <c r="B5064" s="416">
        <v>1146737</v>
      </c>
      <c r="C5064" s="638" t="str">
        <f>IFERROR(INDEX(Table14[],MATCH($B5064,Table14[SAPNo],0),3),"")</f>
        <v>1613 CT418 18-60</v>
      </c>
      <c r="D5064" s="420" t="s">
        <v>12</v>
      </c>
      <c r="E5064" s="421">
        <v>26</v>
      </c>
      <c r="F5064" s="580"/>
      <c r="G5064" s="417" t="s">
        <v>3057</v>
      </c>
      <c r="H5064" s="598">
        <v>14074753</v>
      </c>
      <c r="I5064" s="322" t="s">
        <v>1398</v>
      </c>
      <c r="J5064" s="418"/>
      <c r="K5064" s="248"/>
      <c r="M5064" s="366"/>
    </row>
    <row r="5065" spans="1:13" x14ac:dyDescent="0.25">
      <c r="A5065" s="308">
        <v>45869</v>
      </c>
      <c r="B5065" s="416">
        <v>647436</v>
      </c>
      <c r="C5065" s="638" t="str">
        <f>IFERROR(INDEX(Table14[],MATCH($B5065,Table14[SAPNo],0),3),"")</f>
        <v>Round 1613 CT200  0.018" (B)</v>
      </c>
      <c r="D5065" s="420" t="s">
        <v>12</v>
      </c>
      <c r="E5065" s="421">
        <v>10</v>
      </c>
      <c r="F5065" s="580"/>
      <c r="G5065" s="417" t="s">
        <v>3057</v>
      </c>
      <c r="H5065" s="598">
        <v>14074753</v>
      </c>
      <c r="I5065" s="322" t="s">
        <v>1398</v>
      </c>
      <c r="J5065" s="418"/>
      <c r="K5065" s="248"/>
      <c r="M5065" s="366"/>
    </row>
    <row r="5066" spans="1:13" x14ac:dyDescent="0.25">
      <c r="A5066" s="308">
        <v>45869</v>
      </c>
      <c r="B5066" s="416">
        <v>418525</v>
      </c>
      <c r="C5066" s="638" t="str">
        <f>IFERROR(INDEX(Table14[],MATCH($B5066,Table14[SAPNo],0),3),"")</f>
        <v>Drop In 1308 CT31   (B)</v>
      </c>
      <c r="D5066" s="420" t="s">
        <v>12</v>
      </c>
      <c r="E5066" s="421">
        <v>8</v>
      </c>
      <c r="F5066" s="580"/>
      <c r="G5066" s="417" t="s">
        <v>3057</v>
      </c>
      <c r="H5066" s="598">
        <v>14074753</v>
      </c>
      <c r="I5066" s="322" t="s">
        <v>1398</v>
      </c>
      <c r="J5066" s="418"/>
      <c r="K5066" s="248"/>
      <c r="M5066" s="366"/>
    </row>
    <row r="5067" spans="1:13" x14ac:dyDescent="0.25">
      <c r="A5067" s="308">
        <v>45869</v>
      </c>
      <c r="B5067" s="416">
        <v>418525</v>
      </c>
      <c r="C5067" s="638" t="str">
        <f>IFERROR(INDEX(Table14[],MATCH($B5067,Table14[SAPNo],0),3),"")</f>
        <v>Drop In 1308 CT31   (B)</v>
      </c>
      <c r="D5067" s="420" t="s">
        <v>12</v>
      </c>
      <c r="E5067" s="421">
        <v>8</v>
      </c>
      <c r="F5067" s="580"/>
      <c r="G5067" s="417" t="s">
        <v>3058</v>
      </c>
      <c r="H5067" s="598" t="s">
        <v>3059</v>
      </c>
      <c r="I5067" s="322" t="s">
        <v>3060</v>
      </c>
      <c r="J5067" s="418"/>
      <c r="K5067" s="248"/>
      <c r="M5067" s="366"/>
    </row>
    <row r="5068" spans="1:13" x14ac:dyDescent="0.25">
      <c r="A5068" s="308">
        <v>45869</v>
      </c>
      <c r="B5068" s="416">
        <v>647435</v>
      </c>
      <c r="C5068" s="638" t="str">
        <f>IFERROR(INDEX(Table14[],MATCH($B5068,Table14[SAPNo],0),3),"")</f>
        <v>Round 1608 CT200  0.018" (B)</v>
      </c>
      <c r="D5068" s="420" t="s">
        <v>8</v>
      </c>
      <c r="E5068" s="421">
        <v>2</v>
      </c>
      <c r="F5068" s="580"/>
      <c r="G5068" s="417" t="s">
        <v>3058</v>
      </c>
      <c r="H5068" s="598" t="s">
        <v>3059</v>
      </c>
      <c r="I5068" s="322" t="s">
        <v>3060</v>
      </c>
      <c r="J5068" s="418"/>
      <c r="K5068" s="248"/>
      <c r="M5068" s="366"/>
    </row>
    <row r="5069" spans="1:13" x14ac:dyDescent="0.25">
      <c r="A5069" s="308">
        <v>45869</v>
      </c>
      <c r="B5069" s="416">
        <v>647436</v>
      </c>
      <c r="C5069" s="638" t="str">
        <f>IFERROR(INDEX(Table14[],MATCH($B5069,Table14[SAPNo],0),3),"")</f>
        <v>Round 1613 CT200  0.018" (B)</v>
      </c>
      <c r="D5069" s="420" t="s">
        <v>8</v>
      </c>
      <c r="E5069" s="421">
        <v>6</v>
      </c>
      <c r="F5069" s="580"/>
      <c r="G5069" s="417" t="s">
        <v>3058</v>
      </c>
      <c r="H5069" s="598" t="s">
        <v>3059</v>
      </c>
      <c r="I5069" s="322" t="s">
        <v>3060</v>
      </c>
      <c r="J5069" s="418"/>
      <c r="K5069" s="248"/>
      <c r="M5069" s="366"/>
    </row>
    <row r="5070" spans="1:13" x14ac:dyDescent="0.25">
      <c r="A5070" s="320">
        <v>45869</v>
      </c>
      <c r="B5070" s="419">
        <v>1130198</v>
      </c>
      <c r="C5070" s="638" t="str">
        <f>IFERROR(INDEX(Table14[],MATCH($B5070,Table14[SAPNo],0),3),"")</f>
        <v>Round 1613 CT182  0.018" (S)</v>
      </c>
      <c r="D5070" s="420" t="s">
        <v>8</v>
      </c>
      <c r="E5070" s="421">
        <v>64</v>
      </c>
      <c r="F5070" s="580"/>
      <c r="G5070" s="420" t="s">
        <v>3058</v>
      </c>
      <c r="H5070" s="599" t="s">
        <v>3059</v>
      </c>
      <c r="I5070" s="322" t="s">
        <v>3060</v>
      </c>
      <c r="J5070" s="421"/>
      <c r="K5070" s="422"/>
      <c r="M5070" s="366"/>
    </row>
    <row r="5071" spans="1:13" x14ac:dyDescent="0.25">
      <c r="A5071" s="320">
        <v>45870</v>
      </c>
      <c r="B5071" s="419">
        <v>1263929</v>
      </c>
      <c r="C5071" s="638" t="str">
        <f>IFERROR(INDEX(Table14[],MATCH($B5071,Table14[SAPNo],0),3),"")</f>
        <v>1613 CT437 18-60</v>
      </c>
      <c r="D5071" s="420" t="s">
        <v>12</v>
      </c>
      <c r="E5071" s="421">
        <v>12</v>
      </c>
      <c r="F5071" s="421"/>
      <c r="G5071" s="420" t="s">
        <v>3061</v>
      </c>
      <c r="H5071" s="599">
        <v>14162005</v>
      </c>
      <c r="I5071" s="322" t="s">
        <v>1302</v>
      </c>
      <c r="J5071" s="421"/>
      <c r="K5071" s="422"/>
      <c r="M5071" s="422"/>
    </row>
    <row r="5072" spans="1:13" x14ac:dyDescent="0.25">
      <c r="A5072" s="308">
        <v>45870</v>
      </c>
      <c r="B5072" s="416">
        <v>1282370</v>
      </c>
      <c r="C5072" s="639" t="str">
        <f>IFERROR(INDEX(Table14[],MATCH($B5072,Table14[SAPNo],0),3),"")</f>
        <v>1613 CT436Mv3 U-60</v>
      </c>
      <c r="D5072" s="420" t="s">
        <v>12</v>
      </c>
      <c r="E5072" s="421">
        <v>10</v>
      </c>
      <c r="F5072" s="421"/>
      <c r="G5072" s="417" t="s">
        <v>3061</v>
      </c>
      <c r="H5072" s="598">
        <v>14162005</v>
      </c>
      <c r="I5072" s="322" t="s">
        <v>1302</v>
      </c>
      <c r="J5072" s="418"/>
      <c r="K5072" s="248"/>
      <c r="M5072" s="422"/>
    </row>
    <row r="5073" spans="1:13" x14ac:dyDescent="0.25">
      <c r="A5073" s="308">
        <v>45872</v>
      </c>
      <c r="B5073" s="416">
        <v>717748</v>
      </c>
      <c r="C5073" s="639" t="str">
        <f>IFERROR(INDEX(Table14[],MATCH($B5073,Table14[SAPNo],0),3),"")</f>
        <v>Round 1010 CT200  0.018" (B)</v>
      </c>
      <c r="D5073" s="420" t="s">
        <v>12</v>
      </c>
      <c r="E5073" s="421">
        <v>2</v>
      </c>
      <c r="F5073" s="580"/>
      <c r="G5073" s="417">
        <v>20251104</v>
      </c>
      <c r="H5073" s="598" t="s">
        <v>3053</v>
      </c>
      <c r="I5073" s="322" t="s">
        <v>1069</v>
      </c>
      <c r="J5073" s="418"/>
      <c r="K5073" s="248" t="s">
        <v>3041</v>
      </c>
      <c r="M5073" s="366"/>
    </row>
    <row r="5074" spans="1:13" x14ac:dyDescent="0.25">
      <c r="A5074" s="308">
        <v>45872</v>
      </c>
      <c r="B5074" s="416">
        <v>418525</v>
      </c>
      <c r="C5074" s="639" t="str">
        <f>IFERROR(INDEX(Table14[],MATCH($B5074,Table14[SAPNo],0),3),"")</f>
        <v>Drop In 1308 CT31   (B)</v>
      </c>
      <c r="D5074" s="420" t="s">
        <v>12</v>
      </c>
      <c r="E5074" s="421">
        <v>8</v>
      </c>
      <c r="F5074" s="580"/>
      <c r="G5074" s="417" t="s">
        <v>3062</v>
      </c>
      <c r="H5074" s="598">
        <v>14110979</v>
      </c>
      <c r="I5074" s="322" t="s">
        <v>1398</v>
      </c>
      <c r="J5074" s="418"/>
      <c r="K5074" s="248"/>
      <c r="M5074" s="366"/>
    </row>
    <row r="5075" spans="1:13" x14ac:dyDescent="0.25">
      <c r="A5075" s="308">
        <v>45872</v>
      </c>
      <c r="B5075" s="416">
        <v>647436</v>
      </c>
      <c r="C5075" s="639" t="str">
        <f>IFERROR(INDEX(Table14[],MATCH($B5075,Table14[SAPNo],0),3),"")</f>
        <v>Round 1613 CT200  0.018" (B)</v>
      </c>
      <c r="D5075" s="420" t="s">
        <v>12</v>
      </c>
      <c r="E5075" s="421">
        <v>19</v>
      </c>
      <c r="F5075" s="580"/>
      <c r="G5075" s="417" t="s">
        <v>3062</v>
      </c>
      <c r="H5075" s="598">
        <v>14110979</v>
      </c>
      <c r="I5075" s="322" t="s">
        <v>1398</v>
      </c>
      <c r="J5075" s="418"/>
      <c r="K5075" s="248"/>
      <c r="M5075" s="366"/>
    </row>
    <row r="5076" spans="1:13" x14ac:dyDescent="0.25">
      <c r="A5076" s="308">
        <v>45872</v>
      </c>
      <c r="B5076" s="416">
        <v>1271790</v>
      </c>
      <c r="C5076" s="639" t="str">
        <f>IFERROR(INDEX(Table14[],MATCH($B5076,Table14[SAPNo],0),3),"")</f>
        <v xml:space="preserve">1613 CT170 18-60 </v>
      </c>
      <c r="D5076" s="420" t="s">
        <v>12</v>
      </c>
      <c r="E5076" s="421">
        <v>26</v>
      </c>
      <c r="F5076" s="580"/>
      <c r="G5076" s="417" t="s">
        <v>3062</v>
      </c>
      <c r="H5076" s="598">
        <v>14110979</v>
      </c>
      <c r="I5076" s="322" t="s">
        <v>1398</v>
      </c>
      <c r="J5076" s="418"/>
      <c r="K5076" s="248"/>
      <c r="M5076" s="366"/>
    </row>
    <row r="5077" spans="1:13" x14ac:dyDescent="0.25">
      <c r="A5077" s="308">
        <v>45872</v>
      </c>
      <c r="B5077" s="416">
        <v>1146737</v>
      </c>
      <c r="C5077" s="639" t="str">
        <f>IFERROR(INDEX(Table14[],MATCH($B5077,Table14[SAPNo],0),3),"")</f>
        <v>1613 CT418 18-60</v>
      </c>
      <c r="D5077" s="420" t="s">
        <v>12</v>
      </c>
      <c r="E5077" s="421">
        <v>26</v>
      </c>
      <c r="F5077" s="580"/>
      <c r="G5077" s="417" t="s">
        <v>3062</v>
      </c>
      <c r="H5077" s="598">
        <v>14110979</v>
      </c>
      <c r="I5077" s="322" t="s">
        <v>1398</v>
      </c>
      <c r="J5077" s="418"/>
      <c r="K5077" s="248"/>
      <c r="M5077" s="366"/>
    </row>
    <row r="5078" spans="1:13" x14ac:dyDescent="0.25">
      <c r="A5078" s="308">
        <v>45873</v>
      </c>
      <c r="B5078" s="416">
        <v>1271790</v>
      </c>
      <c r="C5078" s="639" t="str">
        <f>IFERROR(INDEX(Table14[],MATCH($B5078,Table14[SAPNo],0),3),"")</f>
        <v xml:space="preserve">1613 CT170 18-60 </v>
      </c>
      <c r="D5078" s="420" t="s">
        <v>12</v>
      </c>
      <c r="E5078" s="421">
        <v>2</v>
      </c>
      <c r="F5078" s="580"/>
      <c r="G5078" s="417" t="s">
        <v>3063</v>
      </c>
      <c r="H5078" s="598">
        <v>14074753</v>
      </c>
      <c r="I5078" s="322" t="s">
        <v>1398</v>
      </c>
      <c r="J5078" s="418"/>
      <c r="K5078" s="248" t="s">
        <v>2546</v>
      </c>
      <c r="M5078" s="366"/>
    </row>
    <row r="5079" spans="1:13" x14ac:dyDescent="0.25">
      <c r="A5079" s="308">
        <v>45873</v>
      </c>
      <c r="B5079" s="416">
        <v>1146737</v>
      </c>
      <c r="C5079" s="639" t="str">
        <f>IFERROR(INDEX(Table14[],MATCH($B5079,Table14[SAPNo],0),3),"")</f>
        <v>1613 CT418 18-60</v>
      </c>
      <c r="D5079" s="420" t="s">
        <v>12</v>
      </c>
      <c r="E5079" s="421">
        <v>26</v>
      </c>
      <c r="F5079" s="580"/>
      <c r="G5079" s="417" t="s">
        <v>3064</v>
      </c>
      <c r="H5079" s="598">
        <v>14109683</v>
      </c>
      <c r="I5079" s="322" t="s">
        <v>1398</v>
      </c>
      <c r="J5079" s="418"/>
      <c r="K5079" s="248"/>
      <c r="M5079" s="366"/>
    </row>
    <row r="5080" spans="1:13" x14ac:dyDescent="0.25">
      <c r="A5080" s="308">
        <v>45873</v>
      </c>
      <c r="B5080" s="416">
        <v>647436</v>
      </c>
      <c r="C5080" s="639" t="str">
        <f>IFERROR(INDEX(Table14[],MATCH($B5080,Table14[SAPNo],0),3),"")</f>
        <v>Round 1613 CT200  0.018" (B)</v>
      </c>
      <c r="D5080" s="420" t="s">
        <v>12</v>
      </c>
      <c r="E5080" s="421">
        <v>17</v>
      </c>
      <c r="F5080" s="580"/>
      <c r="G5080" s="417" t="s">
        <v>3064</v>
      </c>
      <c r="H5080" s="598">
        <v>14109683</v>
      </c>
      <c r="I5080" s="322" t="s">
        <v>1398</v>
      </c>
      <c r="J5080" s="418"/>
      <c r="K5080" s="248"/>
      <c r="M5080" s="366"/>
    </row>
    <row r="5081" spans="1:13" x14ac:dyDescent="0.25">
      <c r="A5081" s="308">
        <v>45873</v>
      </c>
      <c r="B5081" s="416">
        <v>647435</v>
      </c>
      <c r="C5081" s="639" t="str">
        <f>IFERROR(INDEX(Table14[],MATCH($B5081,Table14[SAPNo],0),3),"")</f>
        <v>Round 1608 CT200  0.018" (B)</v>
      </c>
      <c r="D5081" s="420" t="s">
        <v>12</v>
      </c>
      <c r="E5081" s="421">
        <v>3</v>
      </c>
      <c r="F5081" s="580"/>
      <c r="G5081" s="417" t="s">
        <v>3064</v>
      </c>
      <c r="H5081" s="598">
        <v>14109683</v>
      </c>
      <c r="I5081" s="322" t="s">
        <v>1398</v>
      </c>
      <c r="J5081" s="418"/>
      <c r="K5081" s="248"/>
      <c r="M5081" s="366"/>
    </row>
    <row r="5082" spans="1:13" x14ac:dyDescent="0.25">
      <c r="A5082" s="308">
        <v>45873</v>
      </c>
      <c r="B5082" s="416">
        <v>418525</v>
      </c>
      <c r="C5082" s="639" t="str">
        <f>IFERROR(INDEX(Table14[],MATCH($B5082,Table14[SAPNo],0),3),"")</f>
        <v>Drop In 1308 CT31   (B)</v>
      </c>
      <c r="D5082" s="420" t="s">
        <v>12</v>
      </c>
      <c r="E5082" s="421">
        <v>8</v>
      </c>
      <c r="F5082" s="580"/>
      <c r="G5082" s="417" t="s">
        <v>3064</v>
      </c>
      <c r="H5082" s="598">
        <v>14109683</v>
      </c>
      <c r="I5082" s="322" t="s">
        <v>1398</v>
      </c>
      <c r="J5082" s="418"/>
      <c r="K5082" s="248"/>
      <c r="M5082" s="366"/>
    </row>
    <row r="5083" spans="1:13" x14ac:dyDescent="0.25">
      <c r="A5083" s="308">
        <v>45873</v>
      </c>
      <c r="B5083" s="416">
        <v>1271790</v>
      </c>
      <c r="C5083" s="639" t="str">
        <f>IFERROR(INDEX(Table14[],MATCH($B5083,Table14[SAPNo],0),3),"")</f>
        <v xml:space="preserve">1613 CT170 18-60 </v>
      </c>
      <c r="D5083" s="420" t="s">
        <v>12</v>
      </c>
      <c r="E5083" s="421">
        <v>6</v>
      </c>
      <c r="F5083" s="580"/>
      <c r="G5083" s="417" t="s">
        <v>3064</v>
      </c>
      <c r="H5083" s="598">
        <v>14109683</v>
      </c>
      <c r="I5083" s="322" t="s">
        <v>1398</v>
      </c>
      <c r="J5083" s="418"/>
      <c r="K5083" s="248"/>
      <c r="M5083" s="366"/>
    </row>
    <row r="5084" spans="1:13" x14ac:dyDescent="0.25">
      <c r="A5084" s="308">
        <v>45873</v>
      </c>
      <c r="B5084" s="416">
        <v>1146737</v>
      </c>
      <c r="C5084" s="639" t="str">
        <f>IFERROR(INDEX(Table14[],MATCH($B5084,Table14[SAPNo],0),3),"")</f>
        <v>1613 CT418 18-60</v>
      </c>
      <c r="D5084" s="420" t="s">
        <v>12</v>
      </c>
      <c r="E5084" s="421">
        <v>9</v>
      </c>
      <c r="F5084" s="580"/>
      <c r="G5084" s="417" t="s">
        <v>3065</v>
      </c>
      <c r="H5084" s="598">
        <v>14110978</v>
      </c>
      <c r="I5084" s="322" t="s">
        <v>1398</v>
      </c>
      <c r="J5084" s="418"/>
      <c r="K5084" s="248"/>
      <c r="M5084" s="366"/>
    </row>
    <row r="5085" spans="1:13" x14ac:dyDescent="0.25">
      <c r="A5085" s="308">
        <v>45873</v>
      </c>
      <c r="B5085" s="416">
        <v>1271790</v>
      </c>
      <c r="C5085" s="639" t="str">
        <f>IFERROR(INDEX(Table14[],MATCH($B5085,Table14[SAPNo],0),3),"")</f>
        <v xml:space="preserve">1613 CT170 18-60 </v>
      </c>
      <c r="D5085" s="420" t="s">
        <v>12</v>
      </c>
      <c r="E5085" s="421">
        <v>6</v>
      </c>
      <c r="F5085" s="580"/>
      <c r="G5085" s="417" t="s">
        <v>3065</v>
      </c>
      <c r="H5085" s="598">
        <v>14110978</v>
      </c>
      <c r="I5085" s="322" t="s">
        <v>1398</v>
      </c>
      <c r="J5085" s="418"/>
      <c r="K5085" s="248"/>
      <c r="M5085" s="366"/>
    </row>
    <row r="5086" spans="1:13" x14ac:dyDescent="0.25">
      <c r="A5086" s="308">
        <v>45873</v>
      </c>
      <c r="B5086" s="416">
        <v>418525</v>
      </c>
      <c r="C5086" s="639" t="str">
        <f>IFERROR(INDEX(Table14[],MATCH($B5086,Table14[SAPNo],0),3),"")</f>
        <v>Drop In 1308 CT31   (B)</v>
      </c>
      <c r="D5086" s="420" t="s">
        <v>12</v>
      </c>
      <c r="E5086" s="421">
        <v>8</v>
      </c>
      <c r="F5086" s="580"/>
      <c r="G5086" s="417" t="s">
        <v>3065</v>
      </c>
      <c r="H5086" s="598">
        <v>14110978</v>
      </c>
      <c r="I5086" s="322" t="s">
        <v>1398</v>
      </c>
      <c r="J5086" s="418"/>
      <c r="K5086" s="248"/>
      <c r="M5086" s="366"/>
    </row>
    <row r="5087" spans="1:13" x14ac:dyDescent="0.25">
      <c r="A5087" s="308">
        <v>45873</v>
      </c>
      <c r="B5087" s="416">
        <v>647436</v>
      </c>
      <c r="C5087" s="639" t="str">
        <f>IFERROR(INDEX(Table14[],MATCH($B5087,Table14[SAPNo],0),3),"")</f>
        <v>Round 1613 CT200  0.018" (B)</v>
      </c>
      <c r="D5087" s="420" t="s">
        <v>12</v>
      </c>
      <c r="E5087" s="421">
        <v>8</v>
      </c>
      <c r="F5087" s="580"/>
      <c r="G5087" s="417" t="s">
        <v>3065</v>
      </c>
      <c r="H5087" s="598">
        <v>14110978</v>
      </c>
      <c r="I5087" s="322" t="s">
        <v>1398</v>
      </c>
      <c r="J5087" s="418"/>
      <c r="K5087" s="248"/>
      <c r="M5087" s="366"/>
    </row>
    <row r="5088" spans="1:13" x14ac:dyDescent="0.25">
      <c r="A5088" s="308">
        <v>45875</v>
      </c>
      <c r="B5088" s="416">
        <v>1130198</v>
      </c>
      <c r="C5088" s="638" t="str">
        <f>IFERROR(INDEX(Table14[],MATCH($B5088,Table14[SAPNo],0),3),"")</f>
        <v>Round 1613 CT182  0.018" (S)</v>
      </c>
      <c r="D5088" s="420" t="s">
        <v>8</v>
      </c>
      <c r="E5088" s="421"/>
      <c r="F5088" s="421">
        <v>73</v>
      </c>
      <c r="G5088" s="417" t="s">
        <v>3066</v>
      </c>
      <c r="H5088" s="598">
        <v>13616542</v>
      </c>
      <c r="I5088" s="322" t="s">
        <v>3067</v>
      </c>
      <c r="J5088" s="418"/>
      <c r="K5088" s="248" t="s">
        <v>3068</v>
      </c>
      <c r="M5088" s="422"/>
    </row>
    <row r="5089" spans="1:13" x14ac:dyDescent="0.25">
      <c r="A5089" s="308">
        <v>45875</v>
      </c>
      <c r="B5089" s="416">
        <v>625854</v>
      </c>
      <c r="C5089" s="638" t="str">
        <f>IFERROR(INDEX(Table14[],MATCH($B5089,Table14[SAPNo],0),3),"")</f>
        <v>Carbide IA 1318    (C)</v>
      </c>
      <c r="D5089" s="420" t="s">
        <v>8</v>
      </c>
      <c r="E5089" s="421"/>
      <c r="F5089" s="580">
        <v>21</v>
      </c>
      <c r="G5089" s="417" t="s">
        <v>3069</v>
      </c>
      <c r="H5089" s="598">
        <v>13616542</v>
      </c>
      <c r="I5089" s="322" t="s">
        <v>3067</v>
      </c>
      <c r="J5089" s="418"/>
      <c r="K5089" s="248" t="s">
        <v>3068</v>
      </c>
      <c r="M5089" s="366"/>
    </row>
    <row r="5090" spans="1:13" x14ac:dyDescent="0.25">
      <c r="A5090" s="320">
        <v>45875</v>
      </c>
      <c r="B5090" s="419">
        <v>983150</v>
      </c>
      <c r="C5090" s="638" t="str">
        <f>IFERROR(INDEX(Table14[],MATCH($B5090,Table14[SAPNo],0),3),"")</f>
        <v>Round 1613 CT216  0.018" (S)</v>
      </c>
      <c r="D5090" s="420" t="s">
        <v>8</v>
      </c>
      <c r="E5090" s="421"/>
      <c r="F5090" s="580">
        <v>33</v>
      </c>
      <c r="G5090" s="420" t="s">
        <v>3066</v>
      </c>
      <c r="H5090" s="599">
        <v>13616542</v>
      </c>
      <c r="I5090" s="322" t="s">
        <v>3067</v>
      </c>
      <c r="J5090" s="421"/>
      <c r="K5090" s="422" t="s">
        <v>3068</v>
      </c>
      <c r="M5090" s="366"/>
    </row>
    <row r="5091" spans="1:13" x14ac:dyDescent="0.25">
      <c r="A5091" s="308">
        <v>45874</v>
      </c>
      <c r="B5091" s="416">
        <v>1271790</v>
      </c>
      <c r="C5091" s="638" t="str">
        <f>IFERROR(INDEX(Table14[],MATCH($B5091,Table14[SAPNo],0),3),"")</f>
        <v xml:space="preserve">1613 CT170 18-60 </v>
      </c>
      <c r="D5091" s="420" t="s">
        <v>12</v>
      </c>
      <c r="E5091" s="421">
        <v>2</v>
      </c>
      <c r="F5091" s="421"/>
      <c r="G5091" s="417" t="s">
        <v>3063</v>
      </c>
      <c r="H5091" s="598">
        <v>14074753</v>
      </c>
      <c r="I5091" s="322" t="s">
        <v>1398</v>
      </c>
      <c r="J5091" s="418"/>
      <c r="K5091" s="248" t="s">
        <v>2546</v>
      </c>
      <c r="M5091" s="422"/>
    </row>
    <row r="5092" spans="1:13" x14ac:dyDescent="0.25">
      <c r="A5092" s="308">
        <v>45874</v>
      </c>
      <c r="B5092" s="416">
        <v>647436</v>
      </c>
      <c r="C5092" s="638" t="str">
        <f>IFERROR(INDEX(Table14[],MATCH($B5092,Table14[SAPNo],0),3),"")</f>
        <v>Round 1613 CT200  0.018" (B)</v>
      </c>
      <c r="D5092" s="420" t="s">
        <v>12</v>
      </c>
      <c r="E5092" s="421">
        <v>1</v>
      </c>
      <c r="F5092" s="580"/>
      <c r="G5092" s="417" t="s">
        <v>3070</v>
      </c>
      <c r="H5092" s="598">
        <v>14109683</v>
      </c>
      <c r="I5092" s="322" t="s">
        <v>1398</v>
      </c>
      <c r="J5092" s="418"/>
      <c r="K5092" s="248" t="s">
        <v>2546</v>
      </c>
      <c r="M5092" s="366"/>
    </row>
    <row r="5093" spans="1:13" x14ac:dyDescent="0.25">
      <c r="A5093" s="308">
        <v>45875</v>
      </c>
      <c r="B5093" s="416">
        <v>1244299</v>
      </c>
      <c r="C5093" s="638" t="str">
        <f>IFERROR(INDEX(Table14[],MATCH($B5093,Table14[SAPNo],0),3),"")</f>
        <v>1313 CT147CV4 U</v>
      </c>
      <c r="D5093" s="420" t="s">
        <v>12</v>
      </c>
      <c r="E5093" s="421">
        <v>3</v>
      </c>
      <c r="F5093" s="580"/>
      <c r="G5093" s="417">
        <v>20251111</v>
      </c>
      <c r="H5093" s="598">
        <v>14254492</v>
      </c>
      <c r="I5093" s="322" t="s">
        <v>1781</v>
      </c>
      <c r="J5093" s="418"/>
      <c r="K5093" s="248"/>
      <c r="M5093" s="366"/>
    </row>
    <row r="5094" spans="1:13" x14ac:dyDescent="0.25">
      <c r="A5094" s="308">
        <v>45875</v>
      </c>
      <c r="B5094" s="416">
        <v>1146346</v>
      </c>
      <c r="C5094" s="638" t="str">
        <f>IFERROR(INDEX(Table14[],MATCH($B5094,Table14[SAPNo],0),3),"")</f>
        <v>1313 CT418 18-60</v>
      </c>
      <c r="D5094" s="420" t="s">
        <v>12</v>
      </c>
      <c r="E5094" s="421">
        <v>3</v>
      </c>
      <c r="F5094" s="580"/>
      <c r="G5094" s="417">
        <v>20251111</v>
      </c>
      <c r="H5094" s="598">
        <v>14254492</v>
      </c>
      <c r="I5094" s="322" t="s">
        <v>1781</v>
      </c>
      <c r="J5094" s="418"/>
      <c r="K5094" s="248"/>
      <c r="M5094" s="366"/>
    </row>
    <row r="5095" spans="1:13" x14ac:dyDescent="0.25">
      <c r="A5095" s="308">
        <v>45875</v>
      </c>
      <c r="B5095" s="416">
        <v>871781</v>
      </c>
      <c r="C5095" s="638" t="str">
        <f>IFERROR(INDEX(Table14[],MATCH($B5095,Table14[SAPNo],0),3),"")</f>
        <v>Round 1313 CT200  0.018" (B)</v>
      </c>
      <c r="D5095" s="420" t="s">
        <v>12</v>
      </c>
      <c r="E5095" s="421">
        <v>7</v>
      </c>
      <c r="F5095" s="580"/>
      <c r="G5095" s="417" t="s">
        <v>3071</v>
      </c>
      <c r="H5095" s="598">
        <v>14426682</v>
      </c>
      <c r="I5095" s="322" t="s">
        <v>3072</v>
      </c>
      <c r="J5095" s="418"/>
      <c r="K5095" s="248"/>
      <c r="M5095" s="366"/>
    </row>
    <row r="5096" spans="1:13" x14ac:dyDescent="0.25">
      <c r="A5096" s="308">
        <v>45875</v>
      </c>
      <c r="B5096" s="416">
        <v>625854</v>
      </c>
      <c r="C5096" s="638" t="str">
        <f>IFERROR(INDEX(Table14[],MATCH($B5096,Table14[SAPNo],0),3),"")</f>
        <v>Carbide IA 1318    (C)</v>
      </c>
      <c r="D5096" s="420" t="s">
        <v>12</v>
      </c>
      <c r="E5096" s="421">
        <v>6</v>
      </c>
      <c r="F5096" s="580"/>
      <c r="G5096" s="417" t="s">
        <v>3071</v>
      </c>
      <c r="H5096" s="598">
        <v>14426682</v>
      </c>
      <c r="I5096" s="322" t="s">
        <v>3072</v>
      </c>
      <c r="J5096" s="418"/>
      <c r="K5096" s="248"/>
      <c r="M5096" s="366"/>
    </row>
    <row r="5097" spans="1:13" x14ac:dyDescent="0.25">
      <c r="A5097" s="308">
        <v>45875</v>
      </c>
      <c r="B5097" s="416">
        <v>1290837</v>
      </c>
      <c r="C5097" s="638" t="str">
        <f>IFERROR(INDEX(Table14[],MATCH($B5097,Table14[SAPNo],0),3),"")</f>
        <v>1613 CT184R U</v>
      </c>
      <c r="D5097" s="420" t="s">
        <v>12</v>
      </c>
      <c r="E5097" s="421">
        <v>30</v>
      </c>
      <c r="F5097" s="580"/>
      <c r="G5097" s="417" t="s">
        <v>3071</v>
      </c>
      <c r="H5097" s="598">
        <v>14426682</v>
      </c>
      <c r="I5097" s="322" t="s">
        <v>3072</v>
      </c>
      <c r="J5097" s="418"/>
      <c r="K5097" s="248"/>
      <c r="M5097" s="366"/>
    </row>
    <row r="5098" spans="1:13" x14ac:dyDescent="0.25">
      <c r="A5098" s="308">
        <v>45875</v>
      </c>
      <c r="B5098" s="416">
        <v>1263929</v>
      </c>
      <c r="C5098" s="638" t="str">
        <f>IFERROR(INDEX(Table14[],MATCH($B5098,Table14[SAPNo],0),3),"")</f>
        <v>1613 CT437 18-60</v>
      </c>
      <c r="D5098" s="420" t="s">
        <v>12</v>
      </c>
      <c r="E5098" s="421">
        <v>6</v>
      </c>
      <c r="F5098" s="580"/>
      <c r="G5098" s="417" t="s">
        <v>3071</v>
      </c>
      <c r="H5098" s="598">
        <v>14426682</v>
      </c>
      <c r="I5098" s="322" t="s">
        <v>3072</v>
      </c>
      <c r="J5098" s="418"/>
      <c r="K5098" s="248"/>
      <c r="M5098" s="366"/>
    </row>
    <row r="5099" spans="1:13" x14ac:dyDescent="0.25">
      <c r="A5099" s="308">
        <v>45875</v>
      </c>
      <c r="B5099" s="416">
        <v>1208601</v>
      </c>
      <c r="C5099" s="638" t="str">
        <f>IFERROR(INDEX(Table14[],MATCH($B5099,Table14[SAPNo],0),3),"")</f>
        <v>1613 CT418 U-60</v>
      </c>
      <c r="D5099" s="420" t="s">
        <v>12</v>
      </c>
      <c r="E5099" s="421">
        <v>11</v>
      </c>
      <c r="F5099" s="580"/>
      <c r="G5099" s="417" t="s">
        <v>3071</v>
      </c>
      <c r="H5099" s="598">
        <v>14426682</v>
      </c>
      <c r="I5099" s="322" t="s">
        <v>3072</v>
      </c>
      <c r="J5099" s="418"/>
      <c r="K5099" s="248"/>
      <c r="M5099" s="366"/>
    </row>
    <row r="5100" spans="1:13" x14ac:dyDescent="0.25">
      <c r="A5100" s="308">
        <v>45875</v>
      </c>
      <c r="B5100" s="416">
        <v>1146737</v>
      </c>
      <c r="C5100" s="638" t="str">
        <f>IFERROR(INDEX(Table14[],MATCH($B5100,Table14[SAPNo],0),3),"")</f>
        <v>1613 CT418 18-60</v>
      </c>
      <c r="D5100" s="420" t="s">
        <v>12</v>
      </c>
      <c r="E5100" s="421">
        <v>8</v>
      </c>
      <c r="F5100" s="580"/>
      <c r="G5100" s="417" t="s">
        <v>3071</v>
      </c>
      <c r="H5100" s="598">
        <v>14426682</v>
      </c>
      <c r="I5100" s="322" t="s">
        <v>3072</v>
      </c>
      <c r="J5100" s="418"/>
      <c r="K5100" s="248"/>
      <c r="M5100" s="366"/>
    </row>
    <row r="5101" spans="1:13" x14ac:dyDescent="0.25">
      <c r="A5101" s="320">
        <v>45875</v>
      </c>
      <c r="B5101" s="419">
        <v>1130198</v>
      </c>
      <c r="C5101" s="638" t="str">
        <f>IFERROR(INDEX(Table14[],MATCH($B5101,Table14[SAPNo],0),3),"")</f>
        <v>Round 1613 CT182  0.018" (S)</v>
      </c>
      <c r="D5101" s="420" t="s">
        <v>1072</v>
      </c>
      <c r="E5101" s="421">
        <v>21</v>
      </c>
      <c r="F5101" s="580"/>
      <c r="G5101" s="420" t="s">
        <v>3071</v>
      </c>
      <c r="H5101" s="599">
        <v>14426682</v>
      </c>
      <c r="I5101" s="322" t="s">
        <v>3072</v>
      </c>
      <c r="J5101" s="421"/>
      <c r="K5101" s="422" t="s">
        <v>3073</v>
      </c>
      <c r="M5101" s="366"/>
    </row>
    <row r="5102" spans="1:13" x14ac:dyDescent="0.25">
      <c r="A5102" s="308">
        <v>45876</v>
      </c>
      <c r="B5102" s="416">
        <v>647435</v>
      </c>
      <c r="C5102" s="638" t="str">
        <f>IFERROR(INDEX(Table14[],MATCH($B5102,Table14[SAPNo],0),3),"")</f>
        <v>Round 1608 CT200  0.018" (B)</v>
      </c>
      <c r="D5102" s="420" t="s">
        <v>12</v>
      </c>
      <c r="E5102" s="421">
        <v>3</v>
      </c>
      <c r="F5102" s="421"/>
      <c r="G5102" s="417" t="s">
        <v>3074</v>
      </c>
      <c r="H5102" s="598">
        <v>14127577</v>
      </c>
      <c r="I5102" s="322" t="s">
        <v>1398</v>
      </c>
      <c r="J5102" s="418"/>
      <c r="K5102" s="248"/>
      <c r="M5102" s="422"/>
    </row>
    <row r="5103" spans="1:13" x14ac:dyDescent="0.25">
      <c r="A5103" s="308">
        <v>45876</v>
      </c>
      <c r="B5103" s="416">
        <v>1288783</v>
      </c>
      <c r="C5103" s="638" t="str">
        <f>IFERROR(INDEX(Table14[],MATCH($B5103,Table14[SAPNo],0),3),"")</f>
        <v>1613 CT179 18-60</v>
      </c>
      <c r="D5103" s="420" t="s">
        <v>12</v>
      </c>
      <c r="E5103" s="421">
        <v>12</v>
      </c>
      <c r="F5103" s="580"/>
      <c r="G5103" s="417" t="s">
        <v>3074</v>
      </c>
      <c r="H5103" s="598">
        <v>14127577</v>
      </c>
      <c r="I5103" s="322" t="s">
        <v>1398</v>
      </c>
      <c r="J5103" s="418"/>
      <c r="K5103" s="248"/>
      <c r="M5103" s="366"/>
    </row>
    <row r="5104" spans="1:13" x14ac:dyDescent="0.25">
      <c r="A5104" s="308">
        <v>45876</v>
      </c>
      <c r="B5104" s="416">
        <v>1146737</v>
      </c>
      <c r="C5104" s="638" t="str">
        <f>IFERROR(INDEX(Table14[],MATCH($B5104,Table14[SAPNo],0),3),"")</f>
        <v>1613 CT418 18-60</v>
      </c>
      <c r="D5104" s="420" t="s">
        <v>12</v>
      </c>
      <c r="E5104" s="421">
        <v>27</v>
      </c>
      <c r="F5104" s="580"/>
      <c r="G5104" s="417" t="s">
        <v>3074</v>
      </c>
      <c r="H5104" s="598">
        <v>14127577</v>
      </c>
      <c r="I5104" s="322" t="s">
        <v>1398</v>
      </c>
      <c r="J5104" s="418"/>
      <c r="K5104" s="248"/>
      <c r="M5104" s="366"/>
    </row>
    <row r="5105" spans="1:13" x14ac:dyDescent="0.25">
      <c r="A5105" s="308">
        <v>45876</v>
      </c>
      <c r="B5105" s="416">
        <v>647436</v>
      </c>
      <c r="C5105" s="638" t="str">
        <f>IFERROR(INDEX(Table14[],MATCH($B5105,Table14[SAPNo],0),3),"")</f>
        <v>Round 1613 CT200  0.018" (B)</v>
      </c>
      <c r="D5105" s="420" t="s">
        <v>12</v>
      </c>
      <c r="E5105" s="421">
        <v>16</v>
      </c>
      <c r="F5105" s="580"/>
      <c r="G5105" s="417" t="s">
        <v>3074</v>
      </c>
      <c r="H5105" s="598">
        <v>14127577</v>
      </c>
      <c r="I5105" s="322" t="s">
        <v>1398</v>
      </c>
      <c r="J5105" s="418"/>
      <c r="K5105" s="248"/>
      <c r="M5105" s="366"/>
    </row>
    <row r="5106" spans="1:13" x14ac:dyDescent="0.25">
      <c r="A5106" s="308">
        <v>45876</v>
      </c>
      <c r="B5106" s="416">
        <v>418525</v>
      </c>
      <c r="C5106" s="638" t="str">
        <f>IFERROR(INDEX(Table14[],MATCH($B5106,Table14[SAPNo],0),3),"")</f>
        <v>Drop In 1308 CT31   (B)</v>
      </c>
      <c r="D5106" s="420" t="s">
        <v>12</v>
      </c>
      <c r="E5106" s="421">
        <v>8</v>
      </c>
      <c r="F5106" s="580"/>
      <c r="G5106" s="417" t="s">
        <v>3074</v>
      </c>
      <c r="H5106" s="598">
        <v>14127577</v>
      </c>
      <c r="I5106" s="322" t="s">
        <v>1398</v>
      </c>
      <c r="J5106" s="418"/>
      <c r="K5106" s="248"/>
      <c r="M5106" s="366"/>
    </row>
    <row r="5107" spans="1:13" x14ac:dyDescent="0.25">
      <c r="A5107" s="308">
        <v>45876</v>
      </c>
      <c r="B5107" s="416">
        <v>418525</v>
      </c>
      <c r="C5107" s="638" t="str">
        <f>IFERROR(INDEX(Table14[],MATCH($B5107,Table14[SAPNo],0),3),"")</f>
        <v>Drop In 1308 CT31   (B)</v>
      </c>
      <c r="D5107" s="420" t="s">
        <v>12</v>
      </c>
      <c r="E5107" s="421">
        <v>8</v>
      </c>
      <c r="F5107" s="580"/>
      <c r="G5107" s="417" t="s">
        <v>3075</v>
      </c>
      <c r="H5107" s="598">
        <v>13910122</v>
      </c>
      <c r="I5107" s="322" t="s">
        <v>3076</v>
      </c>
      <c r="J5107" s="418"/>
      <c r="K5107" s="248"/>
      <c r="M5107" s="366"/>
    </row>
    <row r="5108" spans="1:13" x14ac:dyDescent="0.25">
      <c r="A5108" s="308">
        <v>45876</v>
      </c>
      <c r="B5108" s="416">
        <v>647435</v>
      </c>
      <c r="C5108" s="638" t="str">
        <f>IFERROR(INDEX(Table14[],MATCH($B5108,Table14[SAPNo],0),3),"")</f>
        <v>Round 1608 CT200  0.018" (B)</v>
      </c>
      <c r="D5108" s="420" t="s">
        <v>8</v>
      </c>
      <c r="E5108" s="421">
        <v>3</v>
      </c>
      <c r="F5108" s="580"/>
      <c r="G5108" s="417" t="s">
        <v>3077</v>
      </c>
      <c r="H5108" s="598">
        <v>13910122</v>
      </c>
      <c r="I5108" s="322" t="s">
        <v>3076</v>
      </c>
      <c r="J5108" s="418"/>
      <c r="K5108" s="248"/>
      <c r="M5108" s="366"/>
    </row>
    <row r="5109" spans="1:13" x14ac:dyDescent="0.25">
      <c r="A5109" s="308">
        <v>45876</v>
      </c>
      <c r="B5109" s="416">
        <v>647436</v>
      </c>
      <c r="C5109" s="638" t="str">
        <f>IFERROR(INDEX(Table14[],MATCH($B5109,Table14[SAPNo],0),3),"")</f>
        <v>Round 1613 CT200  0.018" (B)</v>
      </c>
      <c r="D5109" s="420" t="s">
        <v>8</v>
      </c>
      <c r="E5109" s="421">
        <v>24</v>
      </c>
      <c r="F5109" s="580"/>
      <c r="G5109" s="417" t="s">
        <v>3077</v>
      </c>
      <c r="H5109" s="598">
        <v>13910122</v>
      </c>
      <c r="I5109" s="322" t="s">
        <v>3076</v>
      </c>
      <c r="J5109" s="418"/>
      <c r="K5109" s="248"/>
      <c r="M5109" s="366"/>
    </row>
    <row r="5110" spans="1:13" x14ac:dyDescent="0.25">
      <c r="A5110" s="308">
        <v>45876</v>
      </c>
      <c r="B5110" s="416">
        <v>1130198</v>
      </c>
      <c r="C5110" s="638" t="str">
        <f>IFERROR(INDEX(Table14[],MATCH($B5110,Table14[SAPNo],0),3),"")</f>
        <v>Round 1613 CT182  0.018" (S)</v>
      </c>
      <c r="D5110" s="420" t="s">
        <v>8</v>
      </c>
      <c r="E5110" s="421">
        <v>54</v>
      </c>
      <c r="F5110" s="580"/>
      <c r="G5110" s="417" t="s">
        <v>3077</v>
      </c>
      <c r="H5110" s="598">
        <v>13910122</v>
      </c>
      <c r="I5110" s="322" t="s">
        <v>3076</v>
      </c>
      <c r="J5110" s="418"/>
      <c r="K5110" s="248"/>
      <c r="M5110" s="366"/>
    </row>
    <row r="5111" spans="1:13" x14ac:dyDescent="0.25">
      <c r="A5111" s="308">
        <v>45876</v>
      </c>
      <c r="B5111" s="416">
        <v>2002299</v>
      </c>
      <c r="C5111" s="638" t="str">
        <f>IFERROR(INDEX(Table14[],MATCH($B5111,Table14[SAPNo],0),3),"")</f>
        <v>1613 CT187 U-60</v>
      </c>
      <c r="D5111" s="420" t="s">
        <v>12</v>
      </c>
      <c r="E5111" s="421">
        <v>4</v>
      </c>
      <c r="F5111" s="580"/>
      <c r="G5111" s="417" t="s">
        <v>3078</v>
      </c>
      <c r="H5111" s="598">
        <v>14414770</v>
      </c>
      <c r="I5111" s="322" t="s">
        <v>3079</v>
      </c>
      <c r="J5111" s="418"/>
      <c r="K5111" s="248"/>
      <c r="M5111" s="366"/>
    </row>
    <row r="5112" spans="1:13" x14ac:dyDescent="0.25">
      <c r="A5112" s="308">
        <v>45876</v>
      </c>
      <c r="B5112" s="416">
        <v>1228502</v>
      </c>
      <c r="C5112" s="638" t="str">
        <f>IFERROR(INDEX(Table14[],MATCH($B5112,Table14[SAPNo],0),3),"")</f>
        <v>1618 CT182 U-60 Rotor</v>
      </c>
      <c r="D5112" s="420" t="s">
        <v>12</v>
      </c>
      <c r="E5112" s="421">
        <v>10</v>
      </c>
      <c r="F5112" s="580"/>
      <c r="G5112" s="417" t="s">
        <v>3078</v>
      </c>
      <c r="H5112" s="598">
        <v>14414770</v>
      </c>
      <c r="I5112" s="322" t="s">
        <v>3079</v>
      </c>
      <c r="J5112" s="418"/>
      <c r="K5112" s="248"/>
      <c r="M5112" s="366"/>
    </row>
    <row r="5113" spans="1:13" x14ac:dyDescent="0.25">
      <c r="A5113" s="308">
        <v>45876</v>
      </c>
      <c r="B5113" s="416">
        <v>1228501</v>
      </c>
      <c r="C5113" s="638" t="str">
        <f>IFERROR(INDEX(Table14[],MATCH($B5113,Table14[SAPNo],0),3),"")</f>
        <v>1618 CT182 U-60 stator</v>
      </c>
      <c r="D5113" s="420" t="s">
        <v>12</v>
      </c>
      <c r="E5113" s="421">
        <v>10</v>
      </c>
      <c r="F5113" s="580"/>
      <c r="G5113" s="417" t="s">
        <v>3078</v>
      </c>
      <c r="H5113" s="598">
        <v>14414770</v>
      </c>
      <c r="I5113" s="322" t="s">
        <v>3079</v>
      </c>
      <c r="J5113" s="418"/>
      <c r="K5113" s="248"/>
      <c r="M5113" s="366"/>
    </row>
    <row r="5114" spans="1:13" x14ac:dyDescent="0.25">
      <c r="A5114" s="308">
        <v>45876</v>
      </c>
      <c r="B5114" s="416">
        <v>1228503</v>
      </c>
      <c r="C5114" s="638" t="str">
        <f>IFERROR(INDEX(Table14[],MATCH($B5114,Table14[SAPNo],0),3),"")</f>
        <v>1618 CT182 U-60 Ring</v>
      </c>
      <c r="D5114" s="420" t="s">
        <v>12</v>
      </c>
      <c r="E5114" s="421">
        <v>10</v>
      </c>
      <c r="F5114" s="580"/>
      <c r="G5114" s="417" t="s">
        <v>3078</v>
      </c>
      <c r="H5114" s="598">
        <v>14414770</v>
      </c>
      <c r="I5114" s="322" t="s">
        <v>3079</v>
      </c>
      <c r="J5114" s="418"/>
      <c r="K5114" s="248"/>
      <c r="M5114" s="366"/>
    </row>
    <row r="5115" spans="1:13" x14ac:dyDescent="0.25">
      <c r="A5115" s="308">
        <v>45876</v>
      </c>
      <c r="B5115" s="416">
        <v>1220554</v>
      </c>
      <c r="C5115" s="638" t="str">
        <f>IFERROR(INDEX(Table14[],MATCH($B5115,Table14[SAPNo],0),3),"")</f>
        <v xml:space="preserve">1618 CT182 U-60 Carbide </v>
      </c>
      <c r="D5115" s="420" t="s">
        <v>12</v>
      </c>
      <c r="E5115" s="421">
        <v>10</v>
      </c>
      <c r="F5115" s="580"/>
      <c r="G5115" s="417" t="s">
        <v>3078</v>
      </c>
      <c r="H5115" s="598">
        <v>14414770</v>
      </c>
      <c r="I5115" s="322" t="s">
        <v>3079</v>
      </c>
      <c r="J5115" s="418"/>
      <c r="K5115" s="248"/>
      <c r="M5115" s="366"/>
    </row>
    <row r="5116" spans="1:13" x14ac:dyDescent="0.25">
      <c r="A5116" s="308">
        <v>45876</v>
      </c>
      <c r="B5116" s="416">
        <v>1261319</v>
      </c>
      <c r="C5116" s="638" t="str">
        <f>IFERROR(INDEX(Table14[],MATCH($B5116,Table14[SAPNo],0),3),"")</f>
        <v>1308 CT155 U-60</v>
      </c>
      <c r="D5116" s="420" t="s">
        <v>12</v>
      </c>
      <c r="E5116" s="421">
        <v>15</v>
      </c>
      <c r="F5116" s="580"/>
      <c r="G5116" s="417" t="s">
        <v>3078</v>
      </c>
      <c r="H5116" s="598">
        <v>14414770</v>
      </c>
      <c r="I5116" s="322" t="s">
        <v>3079</v>
      </c>
      <c r="J5116" s="418"/>
      <c r="K5116" s="248"/>
      <c r="M5116" s="366"/>
    </row>
    <row r="5117" spans="1:13" x14ac:dyDescent="0.25">
      <c r="A5117" s="308">
        <v>45876</v>
      </c>
      <c r="B5117" s="416">
        <v>2002186</v>
      </c>
      <c r="C5117" s="638" t="str">
        <f>IFERROR(INDEX(Table14[],MATCH($B5117,Table14[SAPNo],0),3),"")</f>
        <v>1313 CT187 U-60</v>
      </c>
      <c r="D5117" s="420" t="s">
        <v>12</v>
      </c>
      <c r="E5117" s="421">
        <v>15</v>
      </c>
      <c r="F5117" s="580"/>
      <c r="G5117" s="417" t="s">
        <v>3078</v>
      </c>
      <c r="H5117" s="598">
        <v>14414770</v>
      </c>
      <c r="I5117" s="322" t="s">
        <v>3079</v>
      </c>
      <c r="J5117" s="418"/>
      <c r="K5117" s="248"/>
      <c r="M5117" s="366"/>
    </row>
    <row r="5118" spans="1:13" x14ac:dyDescent="0.25">
      <c r="A5118" s="308">
        <v>45876</v>
      </c>
      <c r="B5118" s="416">
        <v>871781</v>
      </c>
      <c r="C5118" s="638" t="str">
        <f>IFERROR(INDEX(Table14[],MATCH($B5118,Table14[SAPNo],0),3),"")</f>
        <v>Round 1313 CT200  0.018" (B)</v>
      </c>
      <c r="D5118" s="420" t="s">
        <v>12</v>
      </c>
      <c r="E5118" s="421">
        <v>6</v>
      </c>
      <c r="F5118" s="580"/>
      <c r="G5118" s="417" t="s">
        <v>3078</v>
      </c>
      <c r="H5118" s="598">
        <v>14414770</v>
      </c>
      <c r="I5118" s="322" t="s">
        <v>3079</v>
      </c>
      <c r="J5118" s="418"/>
      <c r="K5118" s="248"/>
      <c r="M5118" s="366"/>
    </row>
    <row r="5119" spans="1:13" x14ac:dyDescent="0.25">
      <c r="A5119" s="308">
        <v>45877</v>
      </c>
      <c r="B5119" s="416">
        <v>1271790</v>
      </c>
      <c r="C5119" s="638" t="str">
        <f>IFERROR(INDEX(Table14[],MATCH($B5119,Table14[SAPNo],0),3),"")</f>
        <v xml:space="preserve">1613 CT170 18-60 </v>
      </c>
      <c r="D5119" s="420" t="s">
        <v>12</v>
      </c>
      <c r="E5119" s="421">
        <v>1</v>
      </c>
      <c r="F5119" s="580"/>
      <c r="G5119" s="417" t="s">
        <v>3080</v>
      </c>
      <c r="H5119" s="598">
        <v>14127577</v>
      </c>
      <c r="I5119" s="322" t="s">
        <v>1398</v>
      </c>
      <c r="J5119" s="418"/>
      <c r="K5119" s="248" t="s">
        <v>2546</v>
      </c>
      <c r="M5119" s="366"/>
    </row>
    <row r="5120" spans="1:13" x14ac:dyDescent="0.25">
      <c r="A5120" s="308">
        <v>45877</v>
      </c>
      <c r="B5120" s="416">
        <v>418525</v>
      </c>
      <c r="C5120" s="638" t="str">
        <f>IFERROR(INDEX(Table14[],MATCH($B5120,Table14[SAPNo],0),3),"")</f>
        <v>Drop In 1308 CT31   (B)</v>
      </c>
      <c r="D5120" s="420" t="s">
        <v>12</v>
      </c>
      <c r="E5120" s="421">
        <v>8</v>
      </c>
      <c r="F5120" s="580"/>
      <c r="G5120" s="417" t="s">
        <v>3081</v>
      </c>
      <c r="H5120" s="598">
        <v>13926376</v>
      </c>
      <c r="I5120" s="322" t="s">
        <v>3076</v>
      </c>
      <c r="J5120" s="418"/>
      <c r="K5120" s="248"/>
      <c r="M5120" s="366"/>
    </row>
    <row r="5121" spans="1:13" x14ac:dyDescent="0.25">
      <c r="A5121" s="308">
        <v>45877</v>
      </c>
      <c r="B5121" s="416">
        <v>647435</v>
      </c>
      <c r="C5121" s="638" t="str">
        <f>IFERROR(INDEX(Table14[],MATCH($B5121,Table14[SAPNo],0),3),"")</f>
        <v>Round 1608 CT200  0.018" (B)</v>
      </c>
      <c r="D5121" s="420" t="s">
        <v>12</v>
      </c>
      <c r="E5121" s="421">
        <v>6</v>
      </c>
      <c r="F5121" s="580"/>
      <c r="G5121" s="417" t="s">
        <v>3081</v>
      </c>
      <c r="H5121" s="598">
        <v>13926376</v>
      </c>
      <c r="I5121" s="322" t="s">
        <v>3076</v>
      </c>
      <c r="J5121" s="418"/>
      <c r="K5121" s="248"/>
      <c r="M5121" s="366"/>
    </row>
    <row r="5122" spans="1:13" x14ac:dyDescent="0.25">
      <c r="A5122" s="308">
        <v>45877</v>
      </c>
      <c r="B5122" s="416">
        <v>647436</v>
      </c>
      <c r="C5122" s="638" t="str">
        <f>IFERROR(INDEX(Table14[],MATCH($B5122,Table14[SAPNo],0),3),"")</f>
        <v>Round 1613 CT200  0.018" (B)</v>
      </c>
      <c r="D5122" s="420" t="s">
        <v>12</v>
      </c>
      <c r="E5122" s="421">
        <v>54</v>
      </c>
      <c r="F5122" s="580"/>
      <c r="G5122" s="417" t="s">
        <v>3081</v>
      </c>
      <c r="H5122" s="598">
        <v>13926376</v>
      </c>
      <c r="I5122" s="322" t="s">
        <v>3076</v>
      </c>
      <c r="J5122" s="418"/>
      <c r="K5122" s="248"/>
      <c r="M5122" s="366"/>
    </row>
    <row r="5123" spans="1:13" x14ac:dyDescent="0.25">
      <c r="A5123" s="308">
        <v>45877</v>
      </c>
      <c r="B5123" s="416">
        <v>1130198</v>
      </c>
      <c r="C5123" s="638" t="str">
        <f>IFERROR(INDEX(Table14[],MATCH($B5123,Table14[SAPNo],0),3),"")</f>
        <v>Round 1613 CT182  0.018" (S)</v>
      </c>
      <c r="D5123" s="420" t="s">
        <v>8</v>
      </c>
      <c r="E5123" s="421">
        <v>63</v>
      </c>
      <c r="F5123" s="580"/>
      <c r="G5123" s="417" t="s">
        <v>3082</v>
      </c>
      <c r="H5123" s="598">
        <v>13926376</v>
      </c>
      <c r="I5123" s="322" t="s">
        <v>3076</v>
      </c>
      <c r="J5123" s="418"/>
      <c r="K5123" s="248"/>
      <c r="M5123" s="366"/>
    </row>
    <row r="5124" spans="1:13" x14ac:dyDescent="0.25">
      <c r="A5124" s="308">
        <v>45868</v>
      </c>
      <c r="B5124" s="416">
        <v>1208601</v>
      </c>
      <c r="C5124" s="638" t="str">
        <f>IFERROR(INDEX(Table14[],MATCH($B5124,Table14[SAPNo],0),3),"")</f>
        <v>1613 CT418 U-60</v>
      </c>
      <c r="D5124" s="420" t="s">
        <v>12</v>
      </c>
      <c r="E5124" s="421">
        <v>1</v>
      </c>
      <c r="F5124" s="580"/>
      <c r="G5124" s="417" t="s">
        <v>3050</v>
      </c>
      <c r="H5124" s="598" t="s">
        <v>3051</v>
      </c>
      <c r="I5124" s="322" t="s">
        <v>2311</v>
      </c>
      <c r="J5124" s="418"/>
      <c r="K5124" s="248"/>
      <c r="M5124" s="366"/>
    </row>
    <row r="5125" spans="1:13" x14ac:dyDescent="0.25">
      <c r="A5125" s="308">
        <v>45877</v>
      </c>
      <c r="B5125" s="416">
        <v>1146737</v>
      </c>
      <c r="C5125" s="638" t="str">
        <f>IFERROR(INDEX(Table14[],MATCH($B5125,Table14[SAPNo],0),3),"")</f>
        <v>1613 CT418 18-60</v>
      </c>
      <c r="D5125" s="420" t="s">
        <v>12</v>
      </c>
      <c r="E5125" s="421">
        <v>1</v>
      </c>
      <c r="F5125" s="580"/>
      <c r="G5125" s="417" t="s">
        <v>3083</v>
      </c>
      <c r="H5125" s="598">
        <v>14370260</v>
      </c>
      <c r="I5125" s="322" t="s">
        <v>2850</v>
      </c>
      <c r="J5125" s="418"/>
      <c r="K5125" s="248"/>
      <c r="M5125" s="366"/>
    </row>
    <row r="5126" spans="1:13" x14ac:dyDescent="0.25">
      <c r="A5126" s="320">
        <v>45877</v>
      </c>
      <c r="B5126" s="419">
        <v>871781</v>
      </c>
      <c r="C5126" s="638" t="str">
        <f>IFERROR(INDEX(Table14[],MATCH($B5126,Table14[SAPNo],0),3),"")</f>
        <v>Round 1313 CT200  0.018" (B)</v>
      </c>
      <c r="D5126" s="420" t="s">
        <v>12</v>
      </c>
      <c r="E5126" s="421">
        <v>1</v>
      </c>
      <c r="F5126" s="580"/>
      <c r="G5126" s="420" t="s">
        <v>3083</v>
      </c>
      <c r="H5126" s="599">
        <v>14370260</v>
      </c>
      <c r="I5126" s="322" t="s">
        <v>2850</v>
      </c>
      <c r="J5126" s="421"/>
      <c r="K5126" s="422"/>
      <c r="M5126" s="366"/>
    </row>
    <row r="5127" spans="1:13" x14ac:dyDescent="0.25">
      <c r="A5127" s="308">
        <v>45877</v>
      </c>
      <c r="B5127" s="416">
        <v>1130198</v>
      </c>
      <c r="C5127" s="638" t="str">
        <f>IFERROR(INDEX(Table14[],MATCH($B5127,Table14[SAPNo],0),3),"")</f>
        <v>Round 1613 CT182  0.018" (S)</v>
      </c>
      <c r="D5127" s="420" t="s">
        <v>8</v>
      </c>
      <c r="E5127" s="421"/>
      <c r="F5127" s="421">
        <v>71</v>
      </c>
      <c r="G5127" s="417" t="s">
        <v>3084</v>
      </c>
      <c r="H5127" s="598">
        <v>13607755</v>
      </c>
      <c r="I5127" s="322" t="s">
        <v>3067</v>
      </c>
      <c r="J5127" s="418"/>
      <c r="K5127" s="248"/>
      <c r="M5127" s="422"/>
    </row>
    <row r="5128" spans="1:13" x14ac:dyDescent="0.25">
      <c r="A5128" s="308">
        <v>45877</v>
      </c>
      <c r="B5128" s="416">
        <v>625854</v>
      </c>
      <c r="C5128" s="638" t="str">
        <f>IFERROR(INDEX(Table14[],MATCH($B5128,Table14[SAPNo],0),3),"")</f>
        <v>Carbide IA 1318    (C)</v>
      </c>
      <c r="D5128" s="420" t="s">
        <v>8</v>
      </c>
      <c r="E5128" s="421"/>
      <c r="F5128" s="580">
        <v>14</v>
      </c>
      <c r="G5128" s="417" t="s">
        <v>3084</v>
      </c>
      <c r="H5128" s="598">
        <v>13607755</v>
      </c>
      <c r="I5128" s="322" t="s">
        <v>3067</v>
      </c>
      <c r="J5128" s="418"/>
      <c r="K5128" s="248"/>
      <c r="M5128" s="366"/>
    </row>
    <row r="5129" spans="1:13" x14ac:dyDescent="0.25">
      <c r="A5129" s="308">
        <v>45877</v>
      </c>
      <c r="B5129" s="416">
        <v>983150</v>
      </c>
      <c r="C5129" s="638" t="str">
        <f>IFERROR(INDEX(Table14[],MATCH($B5129,Table14[SAPNo],0),3),"")</f>
        <v>Round 1613 CT216  0.018" (S)</v>
      </c>
      <c r="D5129" s="420" t="s">
        <v>8</v>
      </c>
      <c r="E5129" s="421"/>
      <c r="F5129" s="580">
        <v>33</v>
      </c>
      <c r="G5129" s="417" t="s">
        <v>3084</v>
      </c>
      <c r="H5129" s="598">
        <v>13607755</v>
      </c>
      <c r="I5129" s="322" t="s">
        <v>3067</v>
      </c>
      <c r="J5129" s="418"/>
      <c r="K5129" s="248"/>
      <c r="M5129" s="366"/>
    </row>
    <row r="5130" spans="1:13" x14ac:dyDescent="0.25">
      <c r="A5130" s="308">
        <v>45878</v>
      </c>
      <c r="B5130" s="416">
        <v>1078377</v>
      </c>
      <c r="C5130" s="638" t="str">
        <f>IFERROR(INDEX(Table14[],MATCH($B5130,Table14[SAPNo],0),3),"")</f>
        <v>13MM CT221 R1</v>
      </c>
      <c r="D5130" s="420" t="s">
        <v>12</v>
      </c>
      <c r="E5130" s="421"/>
      <c r="F5130" s="580">
        <v>125</v>
      </c>
      <c r="G5130" s="417" t="s">
        <v>2513</v>
      </c>
      <c r="H5130" s="598"/>
      <c r="I5130" s="322"/>
      <c r="J5130" s="418" t="s">
        <v>1019</v>
      </c>
      <c r="K5130" s="248"/>
      <c r="M5130" s="366"/>
    </row>
    <row r="5131" spans="1:13" x14ac:dyDescent="0.25">
      <c r="A5131" s="308">
        <v>45878</v>
      </c>
      <c r="B5131" s="416">
        <v>1146737</v>
      </c>
      <c r="C5131" s="638" t="str">
        <f>IFERROR(INDEX(Table14[],MATCH($B5131,Table14[SAPNo],0),3),"")</f>
        <v>1613 CT418 18-60</v>
      </c>
      <c r="D5131" s="420" t="s">
        <v>12</v>
      </c>
      <c r="E5131" s="421"/>
      <c r="F5131" s="580">
        <v>50</v>
      </c>
      <c r="G5131" s="417" t="s">
        <v>2513</v>
      </c>
      <c r="H5131" s="598"/>
      <c r="I5131" s="322"/>
      <c r="J5131" s="418" t="s">
        <v>1022</v>
      </c>
      <c r="K5131" s="248"/>
      <c r="M5131" s="366"/>
    </row>
    <row r="5132" spans="1:13" x14ac:dyDescent="0.25">
      <c r="A5132" s="308">
        <v>45878</v>
      </c>
      <c r="B5132" s="416">
        <v>1199261</v>
      </c>
      <c r="C5132" s="638" t="str">
        <f>IFERROR(INDEX(Table14[],MATCH($B5132,Table14[SAPNo],0),3),"")</f>
        <v>1010 CT158 0.018"</v>
      </c>
      <c r="D5132" s="420" t="s">
        <v>12</v>
      </c>
      <c r="E5132" s="421"/>
      <c r="F5132" s="580">
        <v>27</v>
      </c>
      <c r="G5132" s="417" t="s">
        <v>2513</v>
      </c>
      <c r="H5132" s="598"/>
      <c r="I5132" s="322"/>
      <c r="J5132" s="418" t="s">
        <v>1015</v>
      </c>
      <c r="K5132" s="248"/>
      <c r="M5132" s="366"/>
    </row>
    <row r="5133" spans="1:13" x14ac:dyDescent="0.25">
      <c r="A5133" s="308">
        <v>45878</v>
      </c>
      <c r="B5133" s="416">
        <v>1199261</v>
      </c>
      <c r="C5133" s="638" t="str">
        <f>IFERROR(INDEX(Table14[],MATCH($B5133,Table14[SAPNo],0),3),"")</f>
        <v>1010 CT158 0.018"</v>
      </c>
      <c r="D5133" s="420" t="s">
        <v>12</v>
      </c>
      <c r="E5133" s="421"/>
      <c r="F5133" s="580">
        <v>25</v>
      </c>
      <c r="G5133" s="417" t="s">
        <v>2513</v>
      </c>
      <c r="H5133" s="598"/>
      <c r="I5133" s="322"/>
      <c r="J5133" s="418" t="s">
        <v>1019</v>
      </c>
      <c r="K5133" s="248"/>
      <c r="M5133" s="366"/>
    </row>
    <row r="5134" spans="1:13" x14ac:dyDescent="0.25">
      <c r="A5134" s="308">
        <v>45878</v>
      </c>
      <c r="B5134" s="416">
        <v>1201518</v>
      </c>
      <c r="C5134" s="638" t="str">
        <f>IFERROR(INDEX(Table14[],MATCH($B5134,Table14[SAPNo],0),3),"")</f>
        <v>12MM WC­MAT404 NA</v>
      </c>
      <c r="D5134" s="420" t="s">
        <v>12</v>
      </c>
      <c r="E5134" s="421"/>
      <c r="F5134" s="580">
        <v>10</v>
      </c>
      <c r="G5134" s="417" t="s">
        <v>2513</v>
      </c>
      <c r="H5134" s="598"/>
      <c r="I5134" s="322"/>
      <c r="J5134" s="418" t="s">
        <v>1022</v>
      </c>
      <c r="K5134" s="248"/>
      <c r="M5134" s="366"/>
    </row>
    <row r="5135" spans="1:13" x14ac:dyDescent="0.25">
      <c r="A5135" s="308">
        <v>45878</v>
      </c>
      <c r="B5135" s="416">
        <v>1208601</v>
      </c>
      <c r="C5135" s="638" t="str">
        <f>IFERROR(INDEX(Table14[],MATCH($B5135,Table14[SAPNo],0),3),"")</f>
        <v>1613 CT418 U-60</v>
      </c>
      <c r="D5135" s="420" t="s">
        <v>12</v>
      </c>
      <c r="E5135" s="421"/>
      <c r="F5135" s="580">
        <v>50</v>
      </c>
      <c r="G5135" s="417" t="s">
        <v>2513</v>
      </c>
      <c r="H5135" s="598"/>
      <c r="I5135" s="322"/>
      <c r="J5135" s="418" t="s">
        <v>1022</v>
      </c>
      <c r="K5135" s="248"/>
      <c r="M5135" s="366"/>
    </row>
    <row r="5136" spans="1:13" x14ac:dyDescent="0.25">
      <c r="A5136" s="308">
        <v>45878</v>
      </c>
      <c r="B5136" s="416">
        <v>1228503</v>
      </c>
      <c r="C5136" s="638" t="str">
        <f>IFERROR(INDEX(Table14[],MATCH($B5136,Table14[SAPNo],0),3),"")</f>
        <v>1618 CT182 U-60 Ring</v>
      </c>
      <c r="D5136" s="420" t="s">
        <v>12</v>
      </c>
      <c r="E5136" s="421"/>
      <c r="F5136" s="580">
        <v>119</v>
      </c>
      <c r="G5136" s="417" t="s">
        <v>2513</v>
      </c>
      <c r="H5136" s="598"/>
      <c r="I5136" s="322"/>
      <c r="J5136" s="418" t="s">
        <v>1022</v>
      </c>
      <c r="K5136" s="248"/>
      <c r="M5136" s="366"/>
    </row>
    <row r="5137" spans="1:13" x14ac:dyDescent="0.25">
      <c r="A5137" s="308">
        <v>45878</v>
      </c>
      <c r="B5137" s="416">
        <v>1263929</v>
      </c>
      <c r="C5137" s="638" t="str">
        <f>IFERROR(INDEX(Table14[],MATCH($B5137,Table14[SAPNo],0),3),"")</f>
        <v>1613 CT437 18-60</v>
      </c>
      <c r="D5137" s="420" t="s">
        <v>12</v>
      </c>
      <c r="E5137" s="421"/>
      <c r="F5137" s="580">
        <v>3</v>
      </c>
      <c r="G5137" s="417" t="s">
        <v>2513</v>
      </c>
      <c r="H5137" s="598"/>
      <c r="I5137" s="322"/>
      <c r="J5137" s="418" t="s">
        <v>1004</v>
      </c>
      <c r="K5137" s="248"/>
      <c r="M5137" s="366"/>
    </row>
    <row r="5138" spans="1:13" x14ac:dyDescent="0.25">
      <c r="A5138" s="308">
        <v>45878</v>
      </c>
      <c r="B5138" s="416">
        <v>1282369</v>
      </c>
      <c r="C5138" s="638" t="str">
        <f>IFERROR(INDEX(Table14[],MATCH($B5138,Table14[SAPNo],0),3),"")</f>
        <v>1313 CT436Mv3 U-60</v>
      </c>
      <c r="D5138" s="420" t="s">
        <v>12</v>
      </c>
      <c r="E5138" s="421"/>
      <c r="F5138" s="580">
        <v>11</v>
      </c>
      <c r="G5138" s="417" t="s">
        <v>2513</v>
      </c>
      <c r="H5138" s="598"/>
      <c r="I5138" s="322"/>
      <c r="J5138" s="418" t="s">
        <v>1019</v>
      </c>
      <c r="K5138" s="248"/>
      <c r="M5138" s="366"/>
    </row>
    <row r="5139" spans="1:13" x14ac:dyDescent="0.25">
      <c r="A5139" s="308">
        <v>45878</v>
      </c>
      <c r="B5139" s="416">
        <v>1293118</v>
      </c>
      <c r="C5139" s="638" t="str">
        <f>IFERROR(INDEX(Table14[],MATCH($B5139,Table14[SAPNo],0),3),"")</f>
        <v>0808 CT158NL 0.018"</v>
      </c>
      <c r="D5139" s="420" t="s">
        <v>12</v>
      </c>
      <c r="E5139" s="421"/>
      <c r="F5139" s="580">
        <v>30</v>
      </c>
      <c r="G5139" s="417" t="s">
        <v>2513</v>
      </c>
      <c r="H5139" s="598"/>
      <c r="I5139" s="322"/>
      <c r="J5139" s="418" t="s">
        <v>1022</v>
      </c>
      <c r="K5139" s="248"/>
      <c r="M5139" s="366"/>
    </row>
    <row r="5140" spans="1:13" x14ac:dyDescent="0.25">
      <c r="A5140" s="308">
        <v>45878</v>
      </c>
      <c r="B5140" s="416">
        <v>1296685</v>
      </c>
      <c r="C5140" s="638" t="str">
        <f>IFERROR(INDEX(Table14[],MATCH($B5140,Table14[SAPNo],0),3),"")</f>
        <v>1613 CT179R U</v>
      </c>
      <c r="D5140" s="420" t="s">
        <v>12</v>
      </c>
      <c r="E5140" s="421"/>
      <c r="F5140" s="580">
        <v>40</v>
      </c>
      <c r="G5140" s="417" t="s">
        <v>2513</v>
      </c>
      <c r="H5140" s="598"/>
      <c r="I5140" s="322"/>
      <c r="J5140" s="418" t="s">
        <v>1024</v>
      </c>
      <c r="K5140" s="248"/>
      <c r="M5140" s="366"/>
    </row>
    <row r="5141" spans="1:13" x14ac:dyDescent="0.25">
      <c r="A5141" s="308">
        <v>45878</v>
      </c>
      <c r="B5141" s="416">
        <v>2002243</v>
      </c>
      <c r="C5141" s="638" t="str">
        <f>IFERROR(INDEX(Table14[],MATCH($B5141,Table14[SAPNo],0),3),"")</f>
        <v>1308 CT188 U-60</v>
      </c>
      <c r="D5141" s="420" t="s">
        <v>12</v>
      </c>
      <c r="E5141" s="421"/>
      <c r="F5141" s="580">
        <v>25</v>
      </c>
      <c r="G5141" s="417" t="s">
        <v>2513</v>
      </c>
      <c r="H5141" s="598"/>
      <c r="I5141" s="322"/>
      <c r="J5141" s="418" t="s">
        <v>1015</v>
      </c>
      <c r="K5141" s="248"/>
      <c r="M5141" s="366"/>
    </row>
    <row r="5142" spans="1:13" x14ac:dyDescent="0.25">
      <c r="A5142" s="308">
        <v>45878</v>
      </c>
      <c r="B5142" s="416">
        <v>2002299</v>
      </c>
      <c r="C5142" s="638" t="str">
        <f>IFERROR(INDEX(Table14[],MATCH($B5142,Table14[SAPNo],0),3),"")</f>
        <v>1613 CT187 U-60</v>
      </c>
      <c r="D5142" s="420" t="s">
        <v>12</v>
      </c>
      <c r="E5142" s="421"/>
      <c r="F5142" s="580">
        <v>29</v>
      </c>
      <c r="G5142" s="417" t="s">
        <v>2513</v>
      </c>
      <c r="H5142" s="598"/>
      <c r="I5142" s="322"/>
      <c r="J5142" s="418" t="s">
        <v>1015</v>
      </c>
      <c r="K5142" s="248"/>
      <c r="M5142" s="366"/>
    </row>
    <row r="5143" spans="1:13" x14ac:dyDescent="0.25">
      <c r="A5143" s="308">
        <v>45878</v>
      </c>
      <c r="B5143" s="416">
        <v>2017131</v>
      </c>
      <c r="C5143" s="638" t="str">
        <f>IFERROR(INDEX(Table14[],MATCH($B5143,Table14[SAPNo],0),3),"")</f>
        <v>1313 CT179 U-60</v>
      </c>
      <c r="D5143" s="420" t="s">
        <v>12</v>
      </c>
      <c r="E5143" s="421"/>
      <c r="F5143" s="580">
        <v>10</v>
      </c>
      <c r="G5143" s="417" t="s">
        <v>2513</v>
      </c>
      <c r="H5143" s="598"/>
      <c r="I5143" s="322"/>
      <c r="J5143" s="418" t="s">
        <v>1024</v>
      </c>
      <c r="K5143" s="248"/>
      <c r="M5143" s="366"/>
    </row>
    <row r="5144" spans="1:13" x14ac:dyDescent="0.25">
      <c r="A5144" s="308">
        <v>45878</v>
      </c>
      <c r="B5144" s="416">
        <v>625854</v>
      </c>
      <c r="C5144" s="638" t="str">
        <f>IFERROR(INDEX(Table14[],MATCH($B5144,Table14[SAPNo],0),3),"")</f>
        <v>Carbide IA 1318    (C)</v>
      </c>
      <c r="D5144" s="420" t="s">
        <v>12</v>
      </c>
      <c r="E5144" s="421"/>
      <c r="F5144" s="580">
        <v>30</v>
      </c>
      <c r="G5144" s="417" t="s">
        <v>2513</v>
      </c>
      <c r="H5144" s="598"/>
      <c r="I5144" s="322"/>
      <c r="J5144" s="418" t="s">
        <v>1022</v>
      </c>
      <c r="K5144" s="248"/>
      <c r="M5144" s="366"/>
    </row>
    <row r="5145" spans="1:13" x14ac:dyDescent="0.25">
      <c r="A5145" s="308">
        <v>45878</v>
      </c>
      <c r="B5145" s="416">
        <v>647435</v>
      </c>
      <c r="C5145" s="638" t="str">
        <f>IFERROR(INDEX(Table14[],MATCH($B5145,Table14[SAPNo],0),3),"")</f>
        <v>Round 1608 CT200  0.018" (B)</v>
      </c>
      <c r="D5145" s="420" t="s">
        <v>12</v>
      </c>
      <c r="E5145" s="421"/>
      <c r="F5145" s="580">
        <v>20</v>
      </c>
      <c r="G5145" s="417" t="s">
        <v>2513</v>
      </c>
      <c r="H5145" s="598"/>
      <c r="I5145" s="322"/>
      <c r="J5145" s="418" t="s">
        <v>1022</v>
      </c>
      <c r="K5145" s="248"/>
      <c r="M5145" s="366"/>
    </row>
    <row r="5146" spans="1:13" x14ac:dyDescent="0.25">
      <c r="A5146" s="308">
        <v>45878</v>
      </c>
      <c r="B5146" s="416">
        <v>653400</v>
      </c>
      <c r="C5146" s="638" t="str">
        <f>IFERROR(INDEX(Table14[],MATCH($B5146,Table14[SAPNo],0),3),"")</f>
        <v>13MM WC­MAT404 NA</v>
      </c>
      <c r="D5146" s="420" t="s">
        <v>12</v>
      </c>
      <c r="E5146" s="421"/>
      <c r="F5146" s="580">
        <v>10</v>
      </c>
      <c r="G5146" s="417" t="s">
        <v>2513</v>
      </c>
      <c r="H5146" s="598"/>
      <c r="I5146" s="322"/>
      <c r="J5146" s="418" t="s">
        <v>1022</v>
      </c>
      <c r="K5146" s="248"/>
      <c r="M5146" s="366"/>
    </row>
    <row r="5147" spans="1:13" x14ac:dyDescent="0.25">
      <c r="A5147" s="308">
        <v>45878</v>
      </c>
      <c r="B5147" s="416">
        <v>717748</v>
      </c>
      <c r="C5147" s="638" t="str">
        <f>IFERROR(INDEX(Table14[],MATCH($B5147,Table14[SAPNo],0),3),"")</f>
        <v>Round 1010 CT200  0.018" (B)</v>
      </c>
      <c r="D5147" s="420" t="s">
        <v>12</v>
      </c>
      <c r="E5147" s="421"/>
      <c r="F5147" s="580">
        <v>90</v>
      </c>
      <c r="G5147" s="417" t="s">
        <v>2513</v>
      </c>
      <c r="H5147" s="598"/>
      <c r="I5147" s="322"/>
      <c r="J5147" s="418" t="s">
        <v>1022</v>
      </c>
      <c r="K5147" s="248"/>
      <c r="M5147" s="366"/>
    </row>
    <row r="5148" spans="1:13" x14ac:dyDescent="0.25">
      <c r="A5148" s="308">
        <v>45878</v>
      </c>
      <c r="B5148" s="416">
        <v>773384</v>
      </c>
      <c r="C5148" s="638" t="str">
        <f>IFERROR(INDEX(Table14[],MATCH($B5148,Table14[SAPNo],0),3),"")</f>
        <v>Round 1005 CT200  0.018" (B)</v>
      </c>
      <c r="D5148" s="420" t="s">
        <v>12</v>
      </c>
      <c r="E5148" s="421"/>
      <c r="F5148" s="580">
        <v>30</v>
      </c>
      <c r="G5148" s="417" t="s">
        <v>2513</v>
      </c>
      <c r="H5148" s="598"/>
      <c r="I5148" s="322"/>
      <c r="J5148" s="418" t="s">
        <v>1022</v>
      </c>
      <c r="K5148" s="248"/>
      <c r="M5148" s="366"/>
    </row>
    <row r="5149" spans="1:13" x14ac:dyDescent="0.25">
      <c r="A5149" s="320">
        <v>45878</v>
      </c>
      <c r="B5149" s="419">
        <v>871781</v>
      </c>
      <c r="C5149" s="638" t="str">
        <f>IFERROR(INDEX(Table14[],MATCH($B5149,Table14[SAPNo],0),3),"")</f>
        <v>Round 1313 CT200  0.018" (B)</v>
      </c>
      <c r="D5149" s="420" t="s">
        <v>12</v>
      </c>
      <c r="E5149" s="421"/>
      <c r="F5149" s="580">
        <v>50</v>
      </c>
      <c r="G5149" s="417" t="s">
        <v>2513</v>
      </c>
      <c r="H5149" s="599"/>
      <c r="I5149" s="322"/>
      <c r="J5149" s="421" t="s">
        <v>1022</v>
      </c>
      <c r="K5149" s="422"/>
      <c r="M5149" s="366"/>
    </row>
    <row r="5150" spans="1:13" x14ac:dyDescent="0.25">
      <c r="A5150" s="308">
        <v>45879</v>
      </c>
      <c r="B5150" s="416">
        <v>1130198</v>
      </c>
      <c r="C5150" s="639" t="str">
        <f>IFERROR(INDEX(Table14[],MATCH($B5150,Table14[SAPNo],0),3),"")</f>
        <v>Round 1613 CT182  0.018" (S)</v>
      </c>
      <c r="D5150" s="420" t="s">
        <v>1072</v>
      </c>
      <c r="E5150" s="421">
        <v>1</v>
      </c>
      <c r="F5150" s="421"/>
      <c r="G5150" s="417" t="s">
        <v>3085</v>
      </c>
      <c r="H5150" s="598">
        <v>13926376</v>
      </c>
      <c r="I5150" s="322" t="s">
        <v>3076</v>
      </c>
      <c r="J5150" s="418"/>
      <c r="K5150" s="248" t="s">
        <v>3086</v>
      </c>
      <c r="M5150" s="422"/>
    </row>
    <row r="5151" spans="1:13" x14ac:dyDescent="0.25">
      <c r="A5151" s="308">
        <v>45879</v>
      </c>
      <c r="B5151" s="416">
        <v>647436</v>
      </c>
      <c r="C5151" s="639" t="str">
        <f>IFERROR(INDEX(Table14[],MATCH($B5151,Table14[SAPNo],0),3),"")</f>
        <v>Round 1613 CT200  0.018" (B)</v>
      </c>
      <c r="D5151" s="420" t="s">
        <v>12</v>
      </c>
      <c r="E5151" s="421">
        <v>24</v>
      </c>
      <c r="F5151" s="580"/>
      <c r="G5151" s="417" t="s">
        <v>3087</v>
      </c>
      <c r="H5151" s="598">
        <v>13894010</v>
      </c>
      <c r="I5151" s="322" t="s">
        <v>3076</v>
      </c>
      <c r="J5151" s="418"/>
      <c r="K5151" s="248"/>
      <c r="M5151" s="366"/>
    </row>
    <row r="5152" spans="1:13" x14ac:dyDescent="0.25">
      <c r="A5152" s="308">
        <v>45879</v>
      </c>
      <c r="B5152" s="416">
        <v>647435</v>
      </c>
      <c r="C5152" s="639" t="str">
        <f>IFERROR(INDEX(Table14[],MATCH($B5152,Table14[SAPNo],0),3),"")</f>
        <v>Round 1608 CT200  0.018" (B)</v>
      </c>
      <c r="D5152" s="420" t="s">
        <v>12</v>
      </c>
      <c r="E5152" s="421">
        <v>1</v>
      </c>
      <c r="F5152" s="580"/>
      <c r="G5152" s="417" t="s">
        <v>3087</v>
      </c>
      <c r="H5152" s="598">
        <v>13894010</v>
      </c>
      <c r="I5152" s="322" t="s">
        <v>3076</v>
      </c>
      <c r="J5152" s="418"/>
      <c r="K5152" s="248"/>
      <c r="M5152" s="366"/>
    </row>
    <row r="5153" spans="1:13" x14ac:dyDescent="0.25">
      <c r="A5153" s="308">
        <v>45879</v>
      </c>
      <c r="B5153" s="416">
        <v>418525</v>
      </c>
      <c r="C5153" s="639" t="str">
        <f>IFERROR(INDEX(Table14[],MATCH($B5153,Table14[SAPNo],0),3),"")</f>
        <v>Drop In 1308 CT31   (B)</v>
      </c>
      <c r="D5153" s="420" t="s">
        <v>12</v>
      </c>
      <c r="E5153" s="421">
        <v>8</v>
      </c>
      <c r="F5153" s="580"/>
      <c r="G5153" s="417" t="s">
        <v>3087</v>
      </c>
      <c r="H5153" s="598">
        <v>13894010</v>
      </c>
      <c r="I5153" s="322" t="s">
        <v>3076</v>
      </c>
      <c r="J5153" s="418"/>
      <c r="K5153" s="248"/>
      <c r="M5153" s="366"/>
    </row>
    <row r="5154" spans="1:13" x14ac:dyDescent="0.25">
      <c r="A5154" s="308">
        <v>45879</v>
      </c>
      <c r="B5154" s="416">
        <v>1130198</v>
      </c>
      <c r="C5154" s="639" t="str">
        <f>IFERROR(INDEX(Table14[],MATCH($B5154,Table14[SAPNo],0),3),"")</f>
        <v>Round 1613 CT182  0.018" (S)</v>
      </c>
      <c r="D5154" s="420" t="s">
        <v>8</v>
      </c>
      <c r="E5154" s="421">
        <v>38</v>
      </c>
      <c r="F5154" s="580"/>
      <c r="G5154" s="417" t="s">
        <v>3087</v>
      </c>
      <c r="H5154" s="598">
        <v>13894010</v>
      </c>
      <c r="I5154" s="322" t="s">
        <v>3076</v>
      </c>
      <c r="J5154" s="418"/>
      <c r="K5154" s="248"/>
      <c r="M5154" s="366"/>
    </row>
    <row r="5155" spans="1:13" x14ac:dyDescent="0.25">
      <c r="A5155" s="308">
        <v>45879</v>
      </c>
      <c r="B5155" s="416">
        <v>1130198</v>
      </c>
      <c r="C5155" s="639" t="str">
        <f>IFERROR(INDEX(Table14[],MATCH($B5155,Table14[SAPNo],0),3),"")</f>
        <v>Round 1613 CT182  0.018" (S)</v>
      </c>
      <c r="D5155" s="420" t="s">
        <v>1072</v>
      </c>
      <c r="E5155" s="421">
        <v>27</v>
      </c>
      <c r="F5155" s="580"/>
      <c r="G5155" s="417" t="s">
        <v>3087</v>
      </c>
      <c r="H5155" s="598">
        <v>13894010</v>
      </c>
      <c r="I5155" s="322" t="s">
        <v>3076</v>
      </c>
      <c r="J5155" s="418"/>
      <c r="K5155" s="248"/>
      <c r="M5155" s="366"/>
    </row>
    <row r="5156" spans="1:13" x14ac:dyDescent="0.25">
      <c r="A5156" s="308">
        <v>45877</v>
      </c>
      <c r="B5156" s="416">
        <v>2001060</v>
      </c>
      <c r="C5156" s="638" t="str">
        <f>IFERROR(INDEX(Table14[],MATCH($B5156,Table14[SAPNo],0),3),"")</f>
        <v>1613 CT179T U-60</v>
      </c>
      <c r="D5156" s="420" t="s">
        <v>12</v>
      </c>
      <c r="E5156" s="421">
        <v>1</v>
      </c>
      <c r="F5156" s="580"/>
      <c r="G5156" s="417" t="s">
        <v>3083</v>
      </c>
      <c r="H5156" s="598">
        <v>14370260</v>
      </c>
      <c r="I5156" s="322" t="s">
        <v>2850</v>
      </c>
      <c r="J5156" s="418"/>
      <c r="K5156" s="248"/>
      <c r="M5156" s="366"/>
    </row>
    <row r="5157" spans="1:13" x14ac:dyDescent="0.25">
      <c r="A5157" s="308">
        <v>45886</v>
      </c>
      <c r="B5157" s="416">
        <v>418525</v>
      </c>
      <c r="C5157" s="638" t="str">
        <f>IFERROR(INDEX(Table14[],MATCH($B5157,Table14[SAPNo],0),3),"")</f>
        <v>Drop In 1308 CT31   (B)</v>
      </c>
      <c r="D5157" s="420" t="s">
        <v>12</v>
      </c>
      <c r="E5157" s="421">
        <v>6</v>
      </c>
      <c r="F5157" s="580"/>
      <c r="G5157" s="417" t="s">
        <v>3104</v>
      </c>
      <c r="H5157" s="598" t="s">
        <v>3105</v>
      </c>
      <c r="I5157" s="322" t="s">
        <v>2907</v>
      </c>
      <c r="J5157" s="418"/>
      <c r="K5157" s="248"/>
      <c r="M5157" s="366"/>
    </row>
    <row r="5158" spans="1:13" x14ac:dyDescent="0.25">
      <c r="A5158" s="308">
        <v>45886</v>
      </c>
      <c r="B5158" s="416">
        <v>1078377</v>
      </c>
      <c r="C5158" s="638" t="str">
        <f>IFERROR(INDEX(Table14[],MATCH($B5158,Table14[SAPNo],0),3),"")</f>
        <v>13MM CT221 R1</v>
      </c>
      <c r="D5158" s="420" t="s">
        <v>12</v>
      </c>
      <c r="E5158" s="421">
        <v>2</v>
      </c>
      <c r="F5158" s="580"/>
      <c r="G5158" s="417" t="s">
        <v>3104</v>
      </c>
      <c r="H5158" s="598" t="s">
        <v>3105</v>
      </c>
      <c r="I5158" s="322" t="s">
        <v>2907</v>
      </c>
      <c r="J5158" s="418"/>
      <c r="K5158" s="248"/>
      <c r="M5158" s="366"/>
    </row>
    <row r="5159" spans="1:13" x14ac:dyDescent="0.25">
      <c r="A5159" s="308">
        <v>45881</v>
      </c>
      <c r="B5159" s="416">
        <v>1100696</v>
      </c>
      <c r="C5159" s="639" t="str">
        <f>IFERROR(INDEX(Table14[],MATCH($B5159,Table14[SAPNo],0),3),"")</f>
        <v>Round 1313 CT418  10C (S)</v>
      </c>
      <c r="D5159" s="420" t="s">
        <v>11</v>
      </c>
      <c r="E5159" s="421"/>
      <c r="F5159" s="580">
        <v>6</v>
      </c>
      <c r="G5159" s="417">
        <v>20251099</v>
      </c>
      <c r="H5159" s="598" t="s">
        <v>3090</v>
      </c>
      <c r="I5159" s="322" t="s">
        <v>2449</v>
      </c>
      <c r="J5159" s="418"/>
      <c r="K5159" s="248"/>
      <c r="M5159" s="366"/>
    </row>
    <row r="5160" spans="1:13" x14ac:dyDescent="0.25">
      <c r="A5160" s="308">
        <v>45881</v>
      </c>
      <c r="B5160" s="416">
        <v>1146346</v>
      </c>
      <c r="C5160" s="639" t="str">
        <f>IFERROR(INDEX(Table14[],MATCH($B5160,Table14[SAPNo],0),3),"")</f>
        <v>1313 CT418 18-60</v>
      </c>
      <c r="D5160" s="420" t="s">
        <v>11</v>
      </c>
      <c r="E5160" s="421"/>
      <c r="F5160" s="580">
        <v>5</v>
      </c>
      <c r="G5160" s="417">
        <v>20251099</v>
      </c>
      <c r="H5160" s="598" t="s">
        <v>3090</v>
      </c>
      <c r="I5160" s="322" t="s">
        <v>2449</v>
      </c>
      <c r="J5160" s="418"/>
      <c r="K5160" s="248"/>
      <c r="M5160" s="366"/>
    </row>
    <row r="5161" spans="1:13" x14ac:dyDescent="0.25">
      <c r="A5161" s="308">
        <v>45881</v>
      </c>
      <c r="B5161" s="416">
        <v>1209332</v>
      </c>
      <c r="C5161" s="704" t="str">
        <f>IFERROR(INDEX(Table14[],MATCH($B5161,Table14[SAPNo],0),3),"")</f>
        <v>1313 CT147G U</v>
      </c>
      <c r="D5161" s="420" t="s">
        <v>11</v>
      </c>
      <c r="E5161" s="421"/>
      <c r="F5161" s="421">
        <v>1</v>
      </c>
      <c r="G5161" s="417">
        <v>20251099</v>
      </c>
      <c r="H5161" s="598" t="s">
        <v>3090</v>
      </c>
      <c r="I5161" s="322" t="s">
        <v>2449</v>
      </c>
      <c r="J5161" s="418"/>
      <c r="K5161" s="248"/>
      <c r="M5161" s="422"/>
    </row>
    <row r="5162" spans="1:13" x14ac:dyDescent="0.25">
      <c r="A5162" s="308">
        <v>45881</v>
      </c>
      <c r="B5162" s="416">
        <v>1244299</v>
      </c>
      <c r="C5162" s="704" t="str">
        <f>IFERROR(INDEX(Table14[],MATCH($B5162,Table14[SAPNo],0),3),"")</f>
        <v>1313 CT147CV4 U</v>
      </c>
      <c r="D5162" s="420" t="s">
        <v>11</v>
      </c>
      <c r="E5162" s="421"/>
      <c r="F5162" s="580">
        <v>6</v>
      </c>
      <c r="G5162" s="417">
        <v>20251099</v>
      </c>
      <c r="H5162" s="598" t="s">
        <v>3090</v>
      </c>
      <c r="I5162" s="322" t="s">
        <v>2449</v>
      </c>
      <c r="J5162" s="418"/>
      <c r="K5162" s="248"/>
      <c r="M5162" s="366"/>
    </row>
    <row r="5163" spans="1:13" x14ac:dyDescent="0.25">
      <c r="A5163" s="308">
        <v>45882</v>
      </c>
      <c r="B5163" s="416">
        <v>871781</v>
      </c>
      <c r="C5163" s="638" t="str">
        <f>IFERROR(INDEX(Table14[],MATCH($B5163,Table14[SAPNo],0),3),"")</f>
        <v>Round 1313 CT200  0.018" (B)</v>
      </c>
      <c r="D5163" s="420" t="s">
        <v>12</v>
      </c>
      <c r="E5163" s="421">
        <v>6</v>
      </c>
      <c r="F5163" s="421"/>
      <c r="G5163" s="417" t="s">
        <v>3091</v>
      </c>
      <c r="H5163" s="598">
        <v>14403087</v>
      </c>
      <c r="I5163" s="322" t="s">
        <v>3092</v>
      </c>
      <c r="J5163" s="418"/>
      <c r="K5163" s="248"/>
      <c r="M5163" s="422"/>
    </row>
    <row r="5164" spans="1:13" x14ac:dyDescent="0.25">
      <c r="A5164" s="308">
        <v>45882</v>
      </c>
      <c r="B5164" s="416">
        <v>2002299</v>
      </c>
      <c r="C5164" s="638" t="str">
        <f>IFERROR(INDEX(Table14[],MATCH($B5164,Table14[SAPNo],0),3),"")</f>
        <v>1613 CT187 U-60</v>
      </c>
      <c r="D5164" s="420" t="s">
        <v>12</v>
      </c>
      <c r="E5164" s="421">
        <v>20</v>
      </c>
      <c r="F5164" s="580"/>
      <c r="G5164" s="417" t="s">
        <v>3091</v>
      </c>
      <c r="H5164" s="598">
        <v>14403087</v>
      </c>
      <c r="I5164" s="322" t="s">
        <v>3092</v>
      </c>
      <c r="J5164" s="418"/>
      <c r="K5164" s="248"/>
      <c r="M5164" s="366"/>
    </row>
    <row r="5165" spans="1:13" x14ac:dyDescent="0.25">
      <c r="A5165" s="308">
        <v>45882</v>
      </c>
      <c r="B5165" s="416">
        <v>1261319</v>
      </c>
      <c r="C5165" s="638" t="str">
        <f>IFERROR(INDEX(Table14[],MATCH($B5165,Table14[SAPNo],0),3),"")</f>
        <v>1308 CT155 U-60</v>
      </c>
      <c r="D5165" s="420" t="s">
        <v>12</v>
      </c>
      <c r="E5165" s="421">
        <v>22</v>
      </c>
      <c r="F5165" s="580"/>
      <c r="G5165" s="417" t="s">
        <v>3091</v>
      </c>
      <c r="H5165" s="598">
        <v>14403087</v>
      </c>
      <c r="I5165" s="322" t="s">
        <v>3092</v>
      </c>
      <c r="J5165" s="418"/>
      <c r="K5165" s="248"/>
      <c r="M5165" s="366"/>
    </row>
    <row r="5166" spans="1:13" x14ac:dyDescent="0.25">
      <c r="A5166" s="308">
        <v>45882</v>
      </c>
      <c r="B5166" s="416">
        <v>1220554</v>
      </c>
      <c r="C5166" s="638" t="str">
        <f>IFERROR(INDEX(Table14[],MATCH($B5166,Table14[SAPNo],0),3),"")</f>
        <v xml:space="preserve">1618 CT182 U-60 Carbide </v>
      </c>
      <c r="D5166" s="420" t="s">
        <v>12</v>
      </c>
      <c r="E5166" s="421">
        <v>14</v>
      </c>
      <c r="F5166" s="580"/>
      <c r="G5166" s="417" t="s">
        <v>3091</v>
      </c>
      <c r="H5166" s="598">
        <v>14403087</v>
      </c>
      <c r="I5166" s="322" t="s">
        <v>3092</v>
      </c>
      <c r="J5166" s="418"/>
      <c r="K5166" s="248"/>
      <c r="M5166" s="366"/>
    </row>
    <row r="5167" spans="1:13" x14ac:dyDescent="0.25">
      <c r="A5167" s="308">
        <v>45882</v>
      </c>
      <c r="B5167" s="416">
        <v>1228503</v>
      </c>
      <c r="C5167" s="638" t="str">
        <f>IFERROR(INDEX(Table14[],MATCH($B5167,Table14[SAPNo],0),3),"")</f>
        <v>1618 CT182 U-60 Ring</v>
      </c>
      <c r="D5167" s="420" t="s">
        <v>12</v>
      </c>
      <c r="E5167" s="421">
        <v>14</v>
      </c>
      <c r="F5167" s="580"/>
      <c r="G5167" s="417" t="s">
        <v>3091</v>
      </c>
      <c r="H5167" s="598">
        <v>14403087</v>
      </c>
      <c r="I5167" s="322" t="s">
        <v>3092</v>
      </c>
      <c r="J5167" s="418"/>
      <c r="K5167" s="248"/>
      <c r="M5167" s="366"/>
    </row>
    <row r="5168" spans="1:13" x14ac:dyDescent="0.25">
      <c r="A5168" s="308">
        <v>45882</v>
      </c>
      <c r="B5168" s="416">
        <v>1228502</v>
      </c>
      <c r="C5168" s="638" t="str">
        <f>IFERROR(INDEX(Table14[],MATCH($B5168,Table14[SAPNo],0),3),"")</f>
        <v>1618 CT182 U-60 Rotor</v>
      </c>
      <c r="D5168" s="420" t="s">
        <v>12</v>
      </c>
      <c r="E5168" s="421">
        <v>14</v>
      </c>
      <c r="F5168" s="580"/>
      <c r="G5168" s="417" t="s">
        <v>3091</v>
      </c>
      <c r="H5168" s="598">
        <v>14403087</v>
      </c>
      <c r="I5168" s="322" t="s">
        <v>3092</v>
      </c>
      <c r="J5168" s="418"/>
      <c r="K5168" s="248"/>
      <c r="M5168" s="366"/>
    </row>
    <row r="5169" spans="1:13" x14ac:dyDescent="0.25">
      <c r="A5169" s="308">
        <v>45882</v>
      </c>
      <c r="B5169" s="416">
        <v>1228501</v>
      </c>
      <c r="C5169" s="638" t="str">
        <f>IFERROR(INDEX(Table14[],MATCH($B5169,Table14[SAPNo],0),3),"")</f>
        <v>1618 CT182 U-60 stator</v>
      </c>
      <c r="D5169" s="420" t="s">
        <v>12</v>
      </c>
      <c r="E5169" s="421">
        <v>14</v>
      </c>
      <c r="F5169" s="580"/>
      <c r="G5169" s="417" t="s">
        <v>3091</v>
      </c>
      <c r="H5169" s="598">
        <v>14403087</v>
      </c>
      <c r="I5169" s="322" t="s">
        <v>3092</v>
      </c>
      <c r="J5169" s="418"/>
      <c r="K5169" s="248"/>
      <c r="M5169" s="366"/>
    </row>
    <row r="5170" spans="1:13" x14ac:dyDescent="0.25">
      <c r="A5170" s="308">
        <v>45882</v>
      </c>
      <c r="B5170" s="416">
        <v>1201518</v>
      </c>
      <c r="C5170" s="638" t="str">
        <f>IFERROR(INDEX(Table14[],MATCH($B5170,Table14[SAPNo],0),3),"")</f>
        <v>12MM WC­MAT404 NA</v>
      </c>
      <c r="D5170" s="420" t="s">
        <v>12</v>
      </c>
      <c r="E5170" s="421">
        <v>3</v>
      </c>
      <c r="F5170" s="580"/>
      <c r="G5170" s="417" t="s">
        <v>3091</v>
      </c>
      <c r="H5170" s="598">
        <v>14403087</v>
      </c>
      <c r="I5170" s="322" t="s">
        <v>3092</v>
      </c>
      <c r="J5170" s="418"/>
      <c r="K5170" s="248"/>
      <c r="M5170" s="366"/>
    </row>
    <row r="5171" spans="1:13" x14ac:dyDescent="0.25">
      <c r="A5171" s="308">
        <v>45882</v>
      </c>
      <c r="B5171" s="416">
        <v>1126402</v>
      </c>
      <c r="C5171" s="638" t="str">
        <f>IFERROR(INDEX(Table14[],MATCH($B5171,Table14[SAPNo],0),3),"")</f>
        <v>1613 CT421 16-60</v>
      </c>
      <c r="D5171" s="420" t="s">
        <v>12</v>
      </c>
      <c r="E5171" s="421">
        <v>7</v>
      </c>
      <c r="F5171" s="580"/>
      <c r="G5171" s="417" t="s">
        <v>3091</v>
      </c>
      <c r="H5171" s="598">
        <v>14403087</v>
      </c>
      <c r="I5171" s="322" t="s">
        <v>3092</v>
      </c>
      <c r="J5171" s="418"/>
      <c r="K5171" s="248"/>
      <c r="M5171" s="366"/>
    </row>
    <row r="5172" spans="1:13" x14ac:dyDescent="0.25">
      <c r="A5172" s="308">
        <v>45882</v>
      </c>
      <c r="B5172" s="416">
        <v>1282370</v>
      </c>
      <c r="C5172" s="638" t="str">
        <f>IFERROR(INDEX(Table14[],MATCH($B5172,Table14[SAPNo],0),3),"")</f>
        <v>1613 CT436Mv3 U-60</v>
      </c>
      <c r="D5172" s="420" t="s">
        <v>12</v>
      </c>
      <c r="E5172" s="421">
        <v>6</v>
      </c>
      <c r="F5172" s="580"/>
      <c r="G5172" s="417" t="s">
        <v>3093</v>
      </c>
      <c r="H5172" s="598">
        <v>14204326</v>
      </c>
      <c r="I5172" s="322" t="s">
        <v>3094</v>
      </c>
      <c r="J5172" s="418"/>
      <c r="K5172" s="248"/>
      <c r="M5172" s="366"/>
    </row>
    <row r="5173" spans="1:13" x14ac:dyDescent="0.25">
      <c r="A5173" s="308">
        <v>45882</v>
      </c>
      <c r="B5173" s="416">
        <v>1146737</v>
      </c>
      <c r="C5173" s="638" t="str">
        <f>IFERROR(INDEX(Table14[],MATCH($B5173,Table14[SAPNo],0),3),"")</f>
        <v>1613 CT418 18-60</v>
      </c>
      <c r="D5173" s="420" t="s">
        <v>12</v>
      </c>
      <c r="E5173" s="421">
        <v>7</v>
      </c>
      <c r="F5173" s="580"/>
      <c r="G5173" s="417" t="s">
        <v>3093</v>
      </c>
      <c r="H5173" s="598">
        <v>14204326</v>
      </c>
      <c r="I5173" s="322" t="s">
        <v>3094</v>
      </c>
      <c r="J5173" s="418"/>
      <c r="K5173" s="248"/>
      <c r="M5173" s="366"/>
    </row>
    <row r="5174" spans="1:13" x14ac:dyDescent="0.25">
      <c r="A5174" s="320">
        <v>45882</v>
      </c>
      <c r="B5174" s="419">
        <v>1271790</v>
      </c>
      <c r="C5174" s="638" t="str">
        <f>IFERROR(INDEX(Table14[],MATCH($B5174,Table14[SAPNo],0),3),"")</f>
        <v xml:space="preserve">1613 CT170 18-60 </v>
      </c>
      <c r="D5174" s="420" t="s">
        <v>10</v>
      </c>
      <c r="E5174" s="421">
        <v>12</v>
      </c>
      <c r="F5174" s="580"/>
      <c r="G5174" s="420" t="s">
        <v>3093</v>
      </c>
      <c r="H5174" s="599">
        <v>14204326</v>
      </c>
      <c r="I5174" s="322" t="s">
        <v>3094</v>
      </c>
      <c r="J5174" s="421"/>
      <c r="K5174" s="422"/>
      <c r="M5174" s="366"/>
    </row>
    <row r="5175" spans="1:13" x14ac:dyDescent="0.25">
      <c r="A5175" s="308">
        <v>45882</v>
      </c>
      <c r="B5175" s="416">
        <v>1078377</v>
      </c>
      <c r="C5175" s="638" t="str">
        <f>IFERROR(INDEX(Table14[],MATCH($B5175,Table14[SAPNo],0),3),"")</f>
        <v>13MM CT221 R1</v>
      </c>
      <c r="D5175" s="420" t="s">
        <v>12</v>
      </c>
      <c r="E5175" s="421"/>
      <c r="F5175" s="421">
        <v>50</v>
      </c>
      <c r="G5175" s="417" t="s">
        <v>2513</v>
      </c>
      <c r="H5175" s="598"/>
      <c r="I5175" s="322"/>
      <c r="J5175" s="418" t="s">
        <v>1019</v>
      </c>
      <c r="K5175" s="248"/>
      <c r="M5175" s="422"/>
    </row>
    <row r="5176" spans="1:13" x14ac:dyDescent="0.25">
      <c r="A5176" s="308">
        <v>45882</v>
      </c>
      <c r="B5176" s="416">
        <v>1100739</v>
      </c>
      <c r="C5176" s="638" t="str">
        <f>IFERROR(INDEX(Table14[],MATCH($B5176,Table14[SAPNo],0),3),"")</f>
        <v>1608 CT418 0.018"</v>
      </c>
      <c r="D5176" s="420" t="s">
        <v>12</v>
      </c>
      <c r="E5176" s="421"/>
      <c r="F5176" s="580">
        <v>11</v>
      </c>
      <c r="G5176" s="417" t="s">
        <v>2513</v>
      </c>
      <c r="H5176" s="598"/>
      <c r="I5176" s="322"/>
      <c r="J5176" s="418" t="s">
        <v>1019</v>
      </c>
      <c r="K5176" s="248"/>
      <c r="M5176" s="366"/>
    </row>
    <row r="5177" spans="1:13" x14ac:dyDescent="0.25">
      <c r="A5177" s="308">
        <v>45882</v>
      </c>
      <c r="B5177" s="416">
        <v>1100753</v>
      </c>
      <c r="C5177" s="638" t="str">
        <f>IFERROR(INDEX(Table14[],MATCH($B5177,Table14[SAPNo],0),3),"")</f>
        <v>1608 18C CT421</v>
      </c>
      <c r="D5177" s="420" t="s">
        <v>12</v>
      </c>
      <c r="E5177" s="421"/>
      <c r="F5177" s="580">
        <v>12</v>
      </c>
      <c r="G5177" s="417" t="s">
        <v>2513</v>
      </c>
      <c r="H5177" s="598"/>
      <c r="I5177" s="322"/>
      <c r="J5177" s="418" t="s">
        <v>1022</v>
      </c>
      <c r="K5177" s="248"/>
      <c r="M5177" s="366"/>
    </row>
    <row r="5178" spans="1:13" x14ac:dyDescent="0.25">
      <c r="A5178" s="308">
        <v>45882</v>
      </c>
      <c r="B5178" s="416">
        <v>1146738</v>
      </c>
      <c r="C5178" s="638" t="str">
        <f>IFERROR(INDEX(Table14[],MATCH($B5178,Table14[SAPNo],0),3),"")</f>
        <v>1913 CT418 18-60</v>
      </c>
      <c r="D5178" s="420" t="s">
        <v>12</v>
      </c>
      <c r="E5178" s="421"/>
      <c r="F5178" s="580">
        <v>20</v>
      </c>
      <c r="G5178" s="417" t="s">
        <v>2513</v>
      </c>
      <c r="H5178" s="598"/>
      <c r="I5178" s="322"/>
      <c r="J5178" s="418" t="s">
        <v>1024</v>
      </c>
      <c r="K5178" s="248"/>
      <c r="M5178" s="366"/>
    </row>
    <row r="5179" spans="1:13" x14ac:dyDescent="0.25">
      <c r="A5179" s="308">
        <v>45882</v>
      </c>
      <c r="B5179" s="416">
        <v>1220479</v>
      </c>
      <c r="C5179" s="638" t="str">
        <f>IFERROR(INDEX(Table14[],MATCH($B5179,Table14[SAPNo],0),3),"")</f>
        <v>1613 CT158H 0.018"</v>
      </c>
      <c r="D5179" s="420" t="s">
        <v>12</v>
      </c>
      <c r="E5179" s="421"/>
      <c r="F5179" s="580">
        <v>5</v>
      </c>
      <c r="G5179" s="417" t="s">
        <v>2513</v>
      </c>
      <c r="H5179" s="598"/>
      <c r="I5179" s="322"/>
      <c r="J5179" s="418" t="s">
        <v>1024</v>
      </c>
      <c r="K5179" s="248"/>
      <c r="M5179" s="366"/>
    </row>
    <row r="5180" spans="1:13" x14ac:dyDescent="0.25">
      <c r="A5180" s="308">
        <v>45882</v>
      </c>
      <c r="B5180" s="416">
        <v>1228501</v>
      </c>
      <c r="C5180" s="638" t="str">
        <f>IFERROR(INDEX(Table14[],MATCH($B5180,Table14[SAPNo],0),3),"")</f>
        <v>1618 CT182 U-60 stator</v>
      </c>
      <c r="D5180" s="420" t="s">
        <v>12</v>
      </c>
      <c r="E5180" s="421"/>
      <c r="F5180" s="580">
        <v>146</v>
      </c>
      <c r="G5180" s="417" t="s">
        <v>2513</v>
      </c>
      <c r="H5180" s="598"/>
      <c r="I5180" s="322"/>
      <c r="J5180" s="418" t="s">
        <v>1019</v>
      </c>
      <c r="K5180" s="248"/>
      <c r="M5180" s="366"/>
    </row>
    <row r="5181" spans="1:13" x14ac:dyDescent="0.25">
      <c r="A5181" s="308">
        <v>45882</v>
      </c>
      <c r="B5181" s="416">
        <v>1228501</v>
      </c>
      <c r="C5181" s="638" t="str">
        <f>IFERROR(INDEX(Table14[],MATCH($B5181,Table14[SAPNo],0),3),"")</f>
        <v>1618 CT182 U-60 stator</v>
      </c>
      <c r="D5181" s="420" t="s">
        <v>12</v>
      </c>
      <c r="E5181" s="421"/>
      <c r="F5181" s="580">
        <v>150</v>
      </c>
      <c r="G5181" s="417" t="s">
        <v>2513</v>
      </c>
      <c r="H5181" s="598"/>
      <c r="I5181" s="322"/>
      <c r="J5181" s="418" t="s">
        <v>1022</v>
      </c>
      <c r="K5181" s="248"/>
      <c r="M5181" s="366"/>
    </row>
    <row r="5182" spans="1:13" x14ac:dyDescent="0.25">
      <c r="A5182" s="308">
        <v>45882</v>
      </c>
      <c r="B5182" s="416">
        <v>1228502</v>
      </c>
      <c r="C5182" s="638" t="str">
        <f>IFERROR(INDEX(Table14[],MATCH($B5182,Table14[SAPNo],0),3),"")</f>
        <v>1618 CT182 U-60 Rotor</v>
      </c>
      <c r="D5182" s="420" t="s">
        <v>12</v>
      </c>
      <c r="E5182" s="421"/>
      <c r="F5182" s="580">
        <v>144</v>
      </c>
      <c r="G5182" s="417" t="s">
        <v>2513</v>
      </c>
      <c r="H5182" s="598"/>
      <c r="I5182" s="322"/>
      <c r="J5182" s="418" t="s">
        <v>1019</v>
      </c>
      <c r="K5182" s="248"/>
      <c r="M5182" s="366"/>
    </row>
    <row r="5183" spans="1:13" x14ac:dyDescent="0.25">
      <c r="A5183" s="308">
        <v>45882</v>
      </c>
      <c r="B5183" s="416">
        <v>1228502</v>
      </c>
      <c r="C5183" s="638" t="str">
        <f>IFERROR(INDEX(Table14[],MATCH($B5183,Table14[SAPNo],0),3),"")</f>
        <v>1618 CT182 U-60 Rotor</v>
      </c>
      <c r="D5183" s="420" t="s">
        <v>12</v>
      </c>
      <c r="E5183" s="421"/>
      <c r="F5183" s="580">
        <v>175</v>
      </c>
      <c r="G5183" s="417" t="s">
        <v>2513</v>
      </c>
      <c r="H5183" s="598"/>
      <c r="I5183" s="322"/>
      <c r="J5183" s="418" t="s">
        <v>1022</v>
      </c>
      <c r="K5183" s="248"/>
      <c r="M5183" s="366"/>
    </row>
    <row r="5184" spans="1:13" x14ac:dyDescent="0.25">
      <c r="A5184" s="308">
        <v>45882</v>
      </c>
      <c r="B5184" s="416">
        <v>1228503</v>
      </c>
      <c r="C5184" s="638" t="str">
        <f>IFERROR(INDEX(Table14[],MATCH($B5184,Table14[SAPNo],0),3),"")</f>
        <v>1618 CT182 U-60 Ring</v>
      </c>
      <c r="D5184" s="420" t="s">
        <v>12</v>
      </c>
      <c r="E5184" s="421"/>
      <c r="F5184" s="580">
        <v>251</v>
      </c>
      <c r="G5184" s="417" t="s">
        <v>2513</v>
      </c>
      <c r="H5184" s="598"/>
      <c r="I5184" s="322"/>
      <c r="J5184" s="418" t="s">
        <v>1022</v>
      </c>
      <c r="K5184" s="248"/>
      <c r="M5184" s="366"/>
    </row>
    <row r="5185" spans="1:13" x14ac:dyDescent="0.25">
      <c r="A5185" s="308">
        <v>45882</v>
      </c>
      <c r="B5185" s="416">
        <v>1230916</v>
      </c>
      <c r="C5185" s="638" t="str">
        <f>IFERROR(INDEX(Table14[],MATCH($B5185,Table14[SAPNo],0),3),"")</f>
        <v>1005 CT158 0.018"</v>
      </c>
      <c r="D5185" s="420" t="s">
        <v>12</v>
      </c>
      <c r="E5185" s="421"/>
      <c r="F5185" s="580">
        <v>16</v>
      </c>
      <c r="G5185" s="417" t="s">
        <v>2513</v>
      </c>
      <c r="H5185" s="598"/>
      <c r="I5185" s="322"/>
      <c r="J5185" s="418" t="s">
        <v>1015</v>
      </c>
      <c r="K5185" s="248"/>
      <c r="M5185" s="366"/>
    </row>
    <row r="5186" spans="1:13" x14ac:dyDescent="0.25">
      <c r="A5186" s="308">
        <v>45882</v>
      </c>
      <c r="B5186" s="416">
        <v>1291870</v>
      </c>
      <c r="C5186" s="638" t="str">
        <f>IFERROR(INDEX(Table14[],MATCH($B5186,Table14[SAPNo],0),3),"")</f>
        <v>1613 CT186 18-60</v>
      </c>
      <c r="D5186" s="420" t="s">
        <v>12</v>
      </c>
      <c r="E5186" s="421"/>
      <c r="F5186" s="580">
        <v>100</v>
      </c>
      <c r="G5186" s="417" t="s">
        <v>2513</v>
      </c>
      <c r="H5186" s="598"/>
      <c r="I5186" s="322"/>
      <c r="J5186" s="418" t="s">
        <v>1022</v>
      </c>
      <c r="K5186" s="248"/>
      <c r="M5186" s="366"/>
    </row>
    <row r="5187" spans="1:13" x14ac:dyDescent="0.25">
      <c r="A5187" s="308">
        <v>45882</v>
      </c>
      <c r="B5187" s="416">
        <v>2002186</v>
      </c>
      <c r="C5187" s="638" t="str">
        <f>IFERROR(INDEX(Table14[],MATCH($B5187,Table14[SAPNo],0),3),"")</f>
        <v>1313 CT187 U-60</v>
      </c>
      <c r="D5187" s="420" t="s">
        <v>12</v>
      </c>
      <c r="E5187" s="421"/>
      <c r="F5187" s="580">
        <v>50</v>
      </c>
      <c r="G5187" s="417" t="s">
        <v>2513</v>
      </c>
      <c r="H5187" s="598"/>
      <c r="I5187" s="322"/>
      <c r="J5187" s="418" t="s">
        <v>1019</v>
      </c>
      <c r="K5187" s="248"/>
      <c r="M5187" s="366"/>
    </row>
    <row r="5188" spans="1:13" x14ac:dyDescent="0.25">
      <c r="A5188" s="308">
        <v>45882</v>
      </c>
      <c r="B5188" s="416">
        <v>2002243</v>
      </c>
      <c r="C5188" s="638" t="str">
        <f>IFERROR(INDEX(Table14[],MATCH($B5188,Table14[SAPNo],0),3),"")</f>
        <v>1308 CT188 U-60</v>
      </c>
      <c r="D5188" s="420" t="s">
        <v>12</v>
      </c>
      <c r="E5188" s="421"/>
      <c r="F5188" s="580">
        <v>139</v>
      </c>
      <c r="G5188" s="417" t="s">
        <v>2513</v>
      </c>
      <c r="H5188" s="598"/>
      <c r="I5188" s="322"/>
      <c r="J5188" s="418" t="s">
        <v>1015</v>
      </c>
      <c r="K5188" s="248"/>
      <c r="M5188" s="366"/>
    </row>
    <row r="5189" spans="1:13" x14ac:dyDescent="0.25">
      <c r="A5189" s="320">
        <v>45882</v>
      </c>
      <c r="B5189" s="419">
        <v>2002243</v>
      </c>
      <c r="C5189" s="638" t="str">
        <f>IFERROR(INDEX(Table14[],MATCH($B5189,Table14[SAPNo],0),3),"")</f>
        <v>1308 CT188 U-60</v>
      </c>
      <c r="D5189" s="420" t="s">
        <v>12</v>
      </c>
      <c r="E5189" s="421"/>
      <c r="F5189" s="580">
        <v>50</v>
      </c>
      <c r="G5189" s="417" t="s">
        <v>2513</v>
      </c>
      <c r="H5189" s="599"/>
      <c r="I5189" s="322"/>
      <c r="J5189" s="421" t="s">
        <v>1019</v>
      </c>
      <c r="K5189" s="422"/>
      <c r="M5189" s="366"/>
    </row>
    <row r="5190" spans="1:13" x14ac:dyDescent="0.25">
      <c r="A5190" s="308">
        <v>45883</v>
      </c>
      <c r="B5190" s="416">
        <v>717748</v>
      </c>
      <c r="C5190" s="638" t="str">
        <f>IFERROR(INDEX(Table14[],MATCH($B5190,Table14[SAPNo],0),3),"")</f>
        <v>Round 1010 CT200  0.018" (B)</v>
      </c>
      <c r="D5190" s="420" t="s">
        <v>12</v>
      </c>
      <c r="E5190" s="421">
        <v>4</v>
      </c>
      <c r="F5190" s="421"/>
      <c r="G5190" s="417">
        <v>20251114</v>
      </c>
      <c r="H5190" s="598" t="s">
        <v>3095</v>
      </c>
      <c r="I5190" s="322" t="s">
        <v>1069</v>
      </c>
      <c r="J5190" s="418"/>
      <c r="K5190" s="248"/>
      <c r="M5190" s="422"/>
    </row>
    <row r="5191" spans="1:13" x14ac:dyDescent="0.25">
      <c r="A5191" s="308">
        <v>45883</v>
      </c>
      <c r="B5191" s="416">
        <v>1146346</v>
      </c>
      <c r="C5191" s="638" t="str">
        <f>IFERROR(INDEX(Table14[],MATCH($B5191,Table14[SAPNo],0),3),"")</f>
        <v>1313 CT418 18-60</v>
      </c>
      <c r="D5191" s="420" t="s">
        <v>11</v>
      </c>
      <c r="E5191" s="421">
        <v>1</v>
      </c>
      <c r="F5191" s="580"/>
      <c r="G5191" s="417">
        <v>20251112</v>
      </c>
      <c r="H5191" s="598" t="s">
        <v>3096</v>
      </c>
      <c r="I5191" s="322" t="s">
        <v>1746</v>
      </c>
      <c r="J5191" s="418"/>
      <c r="K5191" s="248" t="s">
        <v>2546</v>
      </c>
      <c r="M5191" s="366"/>
    </row>
    <row r="5192" spans="1:13" x14ac:dyDescent="0.25">
      <c r="A5192" s="308">
        <v>45883</v>
      </c>
      <c r="B5192" s="416">
        <v>647436</v>
      </c>
      <c r="C5192" s="638" t="str">
        <f>IFERROR(INDEX(Table14[],MATCH($B5192,Table14[SAPNo],0),3),"")</f>
        <v>Round 1613 CT200  0.018" (B)</v>
      </c>
      <c r="D5192" s="420" t="s">
        <v>12</v>
      </c>
      <c r="E5192" s="421">
        <v>27</v>
      </c>
      <c r="F5192" s="580"/>
      <c r="G5192" s="417" t="s">
        <v>3097</v>
      </c>
      <c r="H5192" s="598">
        <v>14211934</v>
      </c>
      <c r="I5192" s="322" t="s">
        <v>3098</v>
      </c>
      <c r="J5192" s="418"/>
      <c r="K5192" s="248"/>
      <c r="M5192" s="366"/>
    </row>
    <row r="5193" spans="1:13" x14ac:dyDescent="0.25">
      <c r="A5193" s="308">
        <v>45883</v>
      </c>
      <c r="B5193" s="416">
        <v>418525</v>
      </c>
      <c r="C5193" s="638" t="str">
        <f>IFERROR(INDEX(Table14[],MATCH($B5193,Table14[SAPNo],0),3),"")</f>
        <v>Drop In 1308 CT31   (B)</v>
      </c>
      <c r="D5193" s="420" t="s">
        <v>12</v>
      </c>
      <c r="E5193" s="421">
        <v>14</v>
      </c>
      <c r="F5193" s="580"/>
      <c r="G5193" s="417" t="s">
        <v>3097</v>
      </c>
      <c r="H5193" s="598">
        <v>14211934</v>
      </c>
      <c r="I5193" s="322" t="s">
        <v>3098</v>
      </c>
      <c r="J5193" s="418"/>
      <c r="K5193" s="248"/>
      <c r="M5193" s="366"/>
    </row>
    <row r="5194" spans="1:13" x14ac:dyDescent="0.25">
      <c r="A5194" s="308">
        <v>45883</v>
      </c>
      <c r="B5194" s="416">
        <v>179734</v>
      </c>
      <c r="C5194" s="638" t="str">
        <f>IFERROR(INDEX(Table14[],MATCH($B5194,Table14[SAPNo],0),3),"")</f>
        <v>Long IPA 13    (C)</v>
      </c>
      <c r="D5194" s="420" t="s">
        <v>12</v>
      </c>
      <c r="E5194" s="421">
        <v>35</v>
      </c>
      <c r="F5194" s="580"/>
      <c r="G5194" s="417" t="s">
        <v>3097</v>
      </c>
      <c r="H5194" s="598">
        <v>14211934</v>
      </c>
      <c r="I5194" s="322" t="s">
        <v>3098</v>
      </c>
      <c r="J5194" s="418"/>
      <c r="K5194" s="248"/>
      <c r="M5194" s="366"/>
    </row>
    <row r="5195" spans="1:13" x14ac:dyDescent="0.25">
      <c r="A5195" s="308">
        <v>45883</v>
      </c>
      <c r="B5195" s="416">
        <v>1288783</v>
      </c>
      <c r="C5195" s="638" t="str">
        <f>IFERROR(INDEX(Table14[],MATCH($B5195,Table14[SAPNo],0),3),"")</f>
        <v>1613 CT179 18-60</v>
      </c>
      <c r="D5195" s="420" t="s">
        <v>12</v>
      </c>
      <c r="E5195" s="421">
        <v>47</v>
      </c>
      <c r="F5195" s="580"/>
      <c r="G5195" s="417" t="s">
        <v>3097</v>
      </c>
      <c r="H5195" s="598">
        <v>14211934</v>
      </c>
      <c r="I5195" s="322" t="s">
        <v>3098</v>
      </c>
      <c r="J5195" s="418"/>
      <c r="K5195" s="248"/>
      <c r="M5195" s="366"/>
    </row>
    <row r="5196" spans="1:13" x14ac:dyDescent="0.25">
      <c r="A5196" s="308">
        <v>45883</v>
      </c>
      <c r="B5196" s="416">
        <v>1146737</v>
      </c>
      <c r="C5196" s="638" t="str">
        <f>IFERROR(INDEX(Table14[],MATCH($B5196,Table14[SAPNo],0),3),"")</f>
        <v>1613 CT418 18-60</v>
      </c>
      <c r="D5196" s="420" t="s">
        <v>12</v>
      </c>
      <c r="E5196" s="421">
        <v>33</v>
      </c>
      <c r="F5196" s="580"/>
      <c r="G5196" s="417" t="s">
        <v>3097</v>
      </c>
      <c r="H5196" s="598">
        <v>14211934</v>
      </c>
      <c r="I5196" s="322" t="s">
        <v>3098</v>
      </c>
      <c r="J5196" s="418"/>
      <c r="K5196" s="248"/>
      <c r="M5196" s="366"/>
    </row>
    <row r="5197" spans="1:13" x14ac:dyDescent="0.25">
      <c r="A5197" s="308">
        <v>45883</v>
      </c>
      <c r="B5197" s="416">
        <v>871781</v>
      </c>
      <c r="C5197" s="638" t="str">
        <f>IFERROR(INDEX(Table14[],MATCH($B5197,Table14[SAPNo],0),3),"")</f>
        <v>Round 1313 CT200  0.018" (B)</v>
      </c>
      <c r="D5197" s="420" t="s">
        <v>12</v>
      </c>
      <c r="E5197" s="421">
        <v>6</v>
      </c>
      <c r="F5197" s="580"/>
      <c r="G5197" s="417" t="s">
        <v>3099</v>
      </c>
      <c r="H5197" s="598">
        <v>14418430</v>
      </c>
      <c r="I5197" s="322" t="s">
        <v>3006</v>
      </c>
      <c r="J5197" s="418"/>
      <c r="K5197" s="248"/>
      <c r="M5197" s="366"/>
    </row>
    <row r="5198" spans="1:13" x14ac:dyDescent="0.25">
      <c r="A5198" s="308">
        <v>45883</v>
      </c>
      <c r="B5198" s="416">
        <v>2002299</v>
      </c>
      <c r="C5198" s="638" t="str">
        <f>IFERROR(INDEX(Table14[],MATCH($B5198,Table14[SAPNo],0),3),"")</f>
        <v>1613 CT187 U-60</v>
      </c>
      <c r="D5198" s="420" t="s">
        <v>12</v>
      </c>
      <c r="E5198" s="421">
        <v>4</v>
      </c>
      <c r="F5198" s="580"/>
      <c r="G5198" s="417" t="s">
        <v>3099</v>
      </c>
      <c r="H5198" s="598">
        <v>14418430</v>
      </c>
      <c r="I5198" s="322" t="s">
        <v>3006</v>
      </c>
      <c r="J5198" s="418"/>
      <c r="K5198" s="248"/>
      <c r="M5198" s="366"/>
    </row>
    <row r="5199" spans="1:13" x14ac:dyDescent="0.25">
      <c r="A5199" s="308">
        <v>45883</v>
      </c>
      <c r="B5199" s="416">
        <v>2002243</v>
      </c>
      <c r="C5199" s="638" t="str">
        <f>IFERROR(INDEX(Table14[],MATCH($B5199,Table14[SAPNo],0),3),"")</f>
        <v>1308 CT188 U-60</v>
      </c>
      <c r="D5199" s="420" t="s">
        <v>12</v>
      </c>
      <c r="E5199" s="421">
        <v>15</v>
      </c>
      <c r="F5199" s="580"/>
      <c r="G5199" s="417" t="s">
        <v>3099</v>
      </c>
      <c r="H5199" s="598">
        <v>14418430</v>
      </c>
      <c r="I5199" s="322" t="s">
        <v>3006</v>
      </c>
      <c r="J5199" s="418"/>
      <c r="K5199" s="248"/>
      <c r="M5199" s="366"/>
    </row>
    <row r="5200" spans="1:13" x14ac:dyDescent="0.25">
      <c r="A5200" s="308">
        <v>45883</v>
      </c>
      <c r="B5200" s="416">
        <v>2002186</v>
      </c>
      <c r="C5200" s="638" t="str">
        <f>IFERROR(INDEX(Table14[],MATCH($B5200,Table14[SAPNo],0),3),"")</f>
        <v>1313 CT187 U-60</v>
      </c>
      <c r="D5200" s="420" t="s">
        <v>12</v>
      </c>
      <c r="E5200" s="421">
        <v>15</v>
      </c>
      <c r="F5200" s="580"/>
      <c r="G5200" s="417" t="s">
        <v>3099</v>
      </c>
      <c r="H5200" s="598">
        <v>14418430</v>
      </c>
      <c r="I5200" s="322" t="s">
        <v>3006</v>
      </c>
      <c r="J5200" s="418"/>
      <c r="K5200" s="248"/>
      <c r="M5200" s="366"/>
    </row>
    <row r="5201" spans="1:13" x14ac:dyDescent="0.25">
      <c r="A5201" s="308">
        <v>45883</v>
      </c>
      <c r="B5201" s="416">
        <v>1228503</v>
      </c>
      <c r="C5201" s="638" t="str">
        <f>IFERROR(INDEX(Table14[],MATCH($B5201,Table14[SAPNo],0),3),"")</f>
        <v>1618 CT182 U-60 Ring</v>
      </c>
      <c r="D5201" s="420" t="s">
        <v>12</v>
      </c>
      <c r="E5201" s="421">
        <v>10</v>
      </c>
      <c r="F5201" s="580"/>
      <c r="G5201" s="417" t="s">
        <v>3099</v>
      </c>
      <c r="H5201" s="598">
        <v>14418430</v>
      </c>
      <c r="I5201" s="322" t="s">
        <v>3006</v>
      </c>
      <c r="J5201" s="418"/>
      <c r="K5201" s="248"/>
      <c r="M5201" s="366"/>
    </row>
    <row r="5202" spans="1:13" x14ac:dyDescent="0.25">
      <c r="A5202" s="308">
        <v>45883</v>
      </c>
      <c r="B5202" s="416">
        <v>1228502</v>
      </c>
      <c r="C5202" s="638" t="str">
        <f>IFERROR(INDEX(Table14[],MATCH($B5202,Table14[SAPNo],0),3),"")</f>
        <v>1618 CT182 U-60 Rotor</v>
      </c>
      <c r="D5202" s="420" t="s">
        <v>12</v>
      </c>
      <c r="E5202" s="421">
        <v>10</v>
      </c>
      <c r="F5202" s="580"/>
      <c r="G5202" s="417" t="s">
        <v>3099</v>
      </c>
      <c r="H5202" s="598">
        <v>14418430</v>
      </c>
      <c r="I5202" s="322" t="s">
        <v>3006</v>
      </c>
      <c r="J5202" s="418"/>
      <c r="K5202" s="248"/>
      <c r="M5202" s="366"/>
    </row>
    <row r="5203" spans="1:13" x14ac:dyDescent="0.25">
      <c r="A5203" s="308">
        <v>45883</v>
      </c>
      <c r="B5203" s="416">
        <v>1220554</v>
      </c>
      <c r="C5203" s="638" t="str">
        <f>IFERROR(INDEX(Table14[],MATCH($B5203,Table14[SAPNo],0),3),"")</f>
        <v xml:space="preserve">1618 CT182 U-60 Carbide </v>
      </c>
      <c r="D5203" s="420" t="s">
        <v>12</v>
      </c>
      <c r="E5203" s="421">
        <v>10</v>
      </c>
      <c r="F5203" s="580"/>
      <c r="G5203" s="417" t="s">
        <v>3099</v>
      </c>
      <c r="H5203" s="598">
        <v>14418430</v>
      </c>
      <c r="I5203" s="322" t="s">
        <v>3006</v>
      </c>
      <c r="J5203" s="418"/>
      <c r="K5203" s="248"/>
      <c r="M5203" s="366"/>
    </row>
    <row r="5204" spans="1:13" x14ac:dyDescent="0.25">
      <c r="A5204" s="320">
        <v>45883</v>
      </c>
      <c r="B5204" s="419">
        <v>1228501</v>
      </c>
      <c r="C5204" s="638" t="str">
        <f>IFERROR(INDEX(Table14[],MATCH($B5204,Table14[SAPNo],0),3),"")</f>
        <v>1618 CT182 U-60 stator</v>
      </c>
      <c r="D5204" s="420" t="s">
        <v>12</v>
      </c>
      <c r="E5204" s="421">
        <v>10</v>
      </c>
      <c r="F5204" s="580"/>
      <c r="G5204" s="420" t="s">
        <v>3099</v>
      </c>
      <c r="H5204" s="599">
        <v>14418430</v>
      </c>
      <c r="I5204" s="322" t="s">
        <v>3006</v>
      </c>
      <c r="J5204" s="421"/>
      <c r="K5204" s="422"/>
      <c r="M5204" s="366"/>
    </row>
    <row r="5205" spans="1:13" x14ac:dyDescent="0.25">
      <c r="A5205" s="308">
        <v>45886</v>
      </c>
      <c r="B5205" s="416">
        <v>983150</v>
      </c>
      <c r="C5205" s="638" t="str">
        <f>IFERROR(INDEX(Table14[],MATCH($B5205,Table14[SAPNo],0),3),"")</f>
        <v>Round 1613 CT216  0.018" (S)</v>
      </c>
      <c r="D5205" s="420" t="s">
        <v>8</v>
      </c>
      <c r="E5205" s="421">
        <v>30</v>
      </c>
      <c r="F5205" s="421"/>
      <c r="G5205" s="417" t="s">
        <v>3100</v>
      </c>
      <c r="H5205" s="598">
        <v>14196041</v>
      </c>
      <c r="I5205" s="322" t="s">
        <v>3101</v>
      </c>
      <c r="J5205" s="418"/>
      <c r="K5205" s="248" t="s">
        <v>3068</v>
      </c>
      <c r="M5205" s="422"/>
    </row>
    <row r="5206" spans="1:13" x14ac:dyDescent="0.25">
      <c r="A5206" s="308">
        <v>45886</v>
      </c>
      <c r="B5206" s="416">
        <v>1228503</v>
      </c>
      <c r="C5206" s="638" t="str">
        <f>IFERROR(INDEX(Table14[],MATCH($B5206,Table14[SAPNo],0),3),"")</f>
        <v>1618 CT182 U-60 Ring</v>
      </c>
      <c r="D5206" s="420" t="s">
        <v>12</v>
      </c>
      <c r="E5206" s="421">
        <v>16</v>
      </c>
      <c r="F5206" s="580"/>
      <c r="G5206" s="417" t="s">
        <v>3102</v>
      </c>
      <c r="H5206" s="598">
        <v>14336284</v>
      </c>
      <c r="I5206" s="322" t="s">
        <v>3103</v>
      </c>
      <c r="J5206" s="418"/>
      <c r="K5206" s="248"/>
      <c r="M5206" s="366"/>
    </row>
    <row r="5207" spans="1:13" x14ac:dyDescent="0.25">
      <c r="A5207" s="308">
        <v>45886</v>
      </c>
      <c r="B5207" s="416">
        <v>1126402</v>
      </c>
      <c r="C5207" s="638" t="str">
        <f>IFERROR(INDEX(Table14[],MATCH($B5207,Table14[SAPNo],0),3),"")</f>
        <v>1613 CT421 16-60</v>
      </c>
      <c r="D5207" s="420" t="s">
        <v>12</v>
      </c>
      <c r="E5207" s="421">
        <v>6</v>
      </c>
      <c r="F5207" s="580"/>
      <c r="G5207" s="417" t="s">
        <v>3102</v>
      </c>
      <c r="H5207" s="598">
        <v>14336284</v>
      </c>
      <c r="I5207" s="322" t="s">
        <v>3103</v>
      </c>
      <c r="J5207" s="418"/>
      <c r="K5207" s="248"/>
      <c r="M5207" s="366"/>
    </row>
    <row r="5208" spans="1:13" x14ac:dyDescent="0.25">
      <c r="A5208" s="308">
        <v>45886</v>
      </c>
      <c r="B5208" s="416">
        <v>1228502</v>
      </c>
      <c r="C5208" s="638" t="str">
        <f>IFERROR(INDEX(Table14[],MATCH($B5208,Table14[SAPNo],0),3),"")</f>
        <v>1618 CT182 U-60 Rotor</v>
      </c>
      <c r="D5208" s="420" t="s">
        <v>12</v>
      </c>
      <c r="E5208" s="421">
        <v>16</v>
      </c>
      <c r="F5208" s="580"/>
      <c r="G5208" s="417" t="s">
        <v>3102</v>
      </c>
      <c r="H5208" s="598">
        <v>14336284</v>
      </c>
      <c r="I5208" s="322" t="s">
        <v>3103</v>
      </c>
      <c r="J5208" s="418"/>
      <c r="K5208" s="248"/>
      <c r="M5208" s="366"/>
    </row>
    <row r="5209" spans="1:13" x14ac:dyDescent="0.25">
      <c r="A5209" s="308">
        <v>45886</v>
      </c>
      <c r="B5209" s="416">
        <v>1261319</v>
      </c>
      <c r="C5209" s="638" t="str">
        <f>IFERROR(INDEX(Table14[],MATCH($B5209,Table14[SAPNo],0),3),"")</f>
        <v>1308 CT155 U-60</v>
      </c>
      <c r="D5209" s="420" t="s">
        <v>12</v>
      </c>
      <c r="E5209" s="421">
        <v>21</v>
      </c>
      <c r="F5209" s="580"/>
      <c r="G5209" s="417" t="s">
        <v>3102</v>
      </c>
      <c r="H5209" s="598">
        <v>14336284</v>
      </c>
      <c r="I5209" s="322" t="s">
        <v>3103</v>
      </c>
      <c r="J5209" s="418"/>
      <c r="K5209" s="248"/>
      <c r="M5209" s="366"/>
    </row>
    <row r="5210" spans="1:13" x14ac:dyDescent="0.25">
      <c r="A5210" s="308">
        <v>45886</v>
      </c>
      <c r="B5210" s="416">
        <v>2002299</v>
      </c>
      <c r="C5210" s="638" t="str">
        <f>IFERROR(INDEX(Table14[],MATCH($B5210,Table14[SAPNo],0),3),"")</f>
        <v>1613 CT187 U-60</v>
      </c>
      <c r="D5210" s="420" t="s">
        <v>12</v>
      </c>
      <c r="E5210" s="421">
        <v>19</v>
      </c>
      <c r="F5210" s="580"/>
      <c r="G5210" s="417" t="s">
        <v>3102</v>
      </c>
      <c r="H5210" s="598">
        <v>14336284</v>
      </c>
      <c r="I5210" s="322" t="s">
        <v>3103</v>
      </c>
      <c r="J5210" s="418"/>
      <c r="K5210" s="248"/>
      <c r="M5210" s="366"/>
    </row>
    <row r="5211" spans="1:13" x14ac:dyDescent="0.25">
      <c r="A5211" s="308">
        <v>45886</v>
      </c>
      <c r="B5211" s="416">
        <v>653400</v>
      </c>
      <c r="C5211" s="638" t="str">
        <f>IFERROR(INDEX(Table14[],MATCH($B5211,Table14[SAPNo],0),3),"")</f>
        <v>13MM WC­MAT404 NA</v>
      </c>
      <c r="D5211" s="420" t="s">
        <v>12</v>
      </c>
      <c r="E5211" s="421">
        <v>5</v>
      </c>
      <c r="F5211" s="580"/>
      <c r="G5211" s="417" t="s">
        <v>3102</v>
      </c>
      <c r="H5211" s="598">
        <v>14336284</v>
      </c>
      <c r="I5211" s="322" t="s">
        <v>3103</v>
      </c>
      <c r="J5211" s="418"/>
      <c r="K5211" s="248"/>
      <c r="M5211" s="366"/>
    </row>
    <row r="5212" spans="1:13" x14ac:dyDescent="0.25">
      <c r="A5212" s="308">
        <v>45886</v>
      </c>
      <c r="B5212" s="416">
        <v>871781</v>
      </c>
      <c r="C5212" s="638" t="str">
        <f>IFERROR(INDEX(Table14[],MATCH($B5212,Table14[SAPNo],0),3),"")</f>
        <v>Round 1313 CT200  0.018" (B)</v>
      </c>
      <c r="D5212" s="420" t="s">
        <v>12</v>
      </c>
      <c r="E5212" s="421">
        <v>7</v>
      </c>
      <c r="F5212" s="580"/>
      <c r="G5212" s="417" t="s">
        <v>3102</v>
      </c>
      <c r="H5212" s="598">
        <v>14336284</v>
      </c>
      <c r="I5212" s="322" t="s">
        <v>3103</v>
      </c>
      <c r="J5212" s="418"/>
      <c r="K5212" s="248"/>
      <c r="M5212" s="366"/>
    </row>
    <row r="5213" spans="1:13" x14ac:dyDescent="0.25">
      <c r="A5213" s="308">
        <v>45886</v>
      </c>
      <c r="B5213" s="416">
        <v>1228501</v>
      </c>
      <c r="C5213" s="638" t="str">
        <f>IFERROR(INDEX(Table14[],MATCH($B5213,Table14[SAPNo],0),3),"")</f>
        <v>1618 CT182 U-60 stator</v>
      </c>
      <c r="D5213" s="420" t="s">
        <v>12</v>
      </c>
      <c r="E5213" s="421">
        <v>16</v>
      </c>
      <c r="F5213" s="580"/>
      <c r="G5213" s="417" t="s">
        <v>3102</v>
      </c>
      <c r="H5213" s="598">
        <v>14336284</v>
      </c>
      <c r="I5213" s="322" t="s">
        <v>3103</v>
      </c>
      <c r="J5213" s="418"/>
      <c r="K5213" s="248"/>
      <c r="M5213" s="366"/>
    </row>
    <row r="5214" spans="1:13" x14ac:dyDescent="0.25">
      <c r="A5214" s="308">
        <v>45886</v>
      </c>
      <c r="B5214" s="416">
        <v>1220554</v>
      </c>
      <c r="C5214" s="638" t="str">
        <f>IFERROR(INDEX(Table14[],MATCH($B5214,Table14[SAPNo],0),3),"")</f>
        <v xml:space="preserve">1618 CT182 U-60 Carbide </v>
      </c>
      <c r="D5214" s="420" t="s">
        <v>12</v>
      </c>
      <c r="E5214" s="421">
        <v>16</v>
      </c>
      <c r="F5214" s="580"/>
      <c r="G5214" s="417" t="s">
        <v>3102</v>
      </c>
      <c r="H5214" s="598">
        <v>14336284</v>
      </c>
      <c r="I5214" s="322" t="s">
        <v>3103</v>
      </c>
      <c r="J5214" s="418"/>
      <c r="K5214" s="248"/>
      <c r="M5214" s="366"/>
    </row>
    <row r="5215" spans="1:13" x14ac:dyDescent="0.25">
      <c r="A5215" s="308">
        <v>45886</v>
      </c>
      <c r="B5215" s="416">
        <v>1146737</v>
      </c>
      <c r="C5215" s="638" t="str">
        <f>IFERROR(INDEX(Table14[],MATCH($B5215,Table14[SAPNo],0),3),"")</f>
        <v>1613 CT418 18-60</v>
      </c>
      <c r="D5215" s="420" t="s">
        <v>12</v>
      </c>
      <c r="E5215" s="421">
        <v>6</v>
      </c>
      <c r="F5215" s="580"/>
      <c r="G5215" s="417" t="s">
        <v>3104</v>
      </c>
      <c r="H5215" s="598" t="s">
        <v>3105</v>
      </c>
      <c r="I5215" s="322" t="s">
        <v>2907</v>
      </c>
      <c r="J5215" s="418"/>
      <c r="K5215" s="248"/>
      <c r="M5215" s="366"/>
    </row>
    <row r="5216" spans="1:13" x14ac:dyDescent="0.25">
      <c r="A5216" s="308">
        <v>45888</v>
      </c>
      <c r="B5216" s="416">
        <v>1271790</v>
      </c>
      <c r="C5216" s="638" t="str">
        <f>IFERROR(INDEX(Table14[],MATCH($B5216,Table14[SAPNo],0),3),"")</f>
        <v xml:space="preserve">1613 CT170 18-60 </v>
      </c>
      <c r="D5216" s="420" t="s">
        <v>12</v>
      </c>
      <c r="E5216" s="421">
        <v>1</v>
      </c>
      <c r="F5216" s="580"/>
      <c r="G5216" s="417" t="s">
        <v>3104</v>
      </c>
      <c r="H5216" s="598" t="s">
        <v>3105</v>
      </c>
      <c r="I5216" s="322" t="s">
        <v>2907</v>
      </c>
      <c r="J5216" s="418"/>
      <c r="K5216" s="248"/>
      <c r="M5216" s="366"/>
    </row>
    <row r="5217" spans="1:13" x14ac:dyDescent="0.25">
      <c r="A5217" s="308">
        <v>45880</v>
      </c>
      <c r="B5217" s="416">
        <v>418525</v>
      </c>
      <c r="C5217" s="639" t="str">
        <f>IFERROR(INDEX(Table14[],MATCH($B5217,Table14[SAPNo],0),3),"")</f>
        <v>Drop In 1308 CT31   (B)</v>
      </c>
      <c r="D5217" s="420" t="s">
        <v>12</v>
      </c>
      <c r="E5217" s="421">
        <v>6</v>
      </c>
      <c r="F5217" s="580"/>
      <c r="G5217" s="417" t="s">
        <v>3088</v>
      </c>
      <c r="H5217" s="598" t="s">
        <v>3089</v>
      </c>
      <c r="I5217" s="322" t="s">
        <v>2311</v>
      </c>
      <c r="J5217" s="418"/>
      <c r="K5217" s="248"/>
      <c r="M5217" s="366"/>
    </row>
    <row r="5218" spans="1:13" x14ac:dyDescent="0.25">
      <c r="A5218" s="308">
        <v>45880</v>
      </c>
      <c r="B5218" s="416">
        <v>1271790</v>
      </c>
      <c r="C5218" s="639" t="str">
        <f>IFERROR(INDEX(Table14[],MATCH($B5218,Table14[SAPNo],0),3),"")</f>
        <v xml:space="preserve">1613 CT170 18-60 </v>
      </c>
      <c r="D5218" s="420" t="s">
        <v>12</v>
      </c>
      <c r="E5218" s="421">
        <v>1</v>
      </c>
      <c r="F5218" s="580"/>
      <c r="G5218" s="417" t="s">
        <v>3088</v>
      </c>
      <c r="H5218" s="598" t="s">
        <v>3089</v>
      </c>
      <c r="I5218" s="322" t="s">
        <v>2311</v>
      </c>
      <c r="J5218" s="418"/>
      <c r="K5218" s="248"/>
      <c r="M5218" s="366"/>
    </row>
    <row r="5219" spans="1:13" x14ac:dyDescent="0.25">
      <c r="A5219" s="308">
        <v>45880</v>
      </c>
      <c r="B5219" s="416">
        <v>1146737</v>
      </c>
      <c r="C5219" s="639" t="str">
        <f>IFERROR(INDEX(Table14[],MATCH($B5219,Table14[SAPNo],0),3),"")</f>
        <v>1613 CT418 18-60</v>
      </c>
      <c r="D5219" s="420" t="s">
        <v>12</v>
      </c>
      <c r="E5219" s="421">
        <v>6</v>
      </c>
      <c r="F5219" s="580"/>
      <c r="G5219" s="417" t="s">
        <v>3088</v>
      </c>
      <c r="H5219" s="598" t="s">
        <v>3089</v>
      </c>
      <c r="I5219" s="322" t="s">
        <v>2311</v>
      </c>
      <c r="J5219" s="418"/>
      <c r="K5219" s="248"/>
      <c r="M5219" s="366"/>
    </row>
    <row r="5220" spans="1:13" x14ac:dyDescent="0.25">
      <c r="A5220" s="308">
        <v>45886</v>
      </c>
      <c r="B5220" s="416">
        <v>418525</v>
      </c>
      <c r="C5220" s="638" t="str">
        <f>IFERROR(INDEX(Table14[],MATCH($B5220,Table14[SAPNo],0),3),"")</f>
        <v>Drop In 1308 CT31   (B)</v>
      </c>
      <c r="D5220" s="420" t="s">
        <v>12</v>
      </c>
      <c r="E5220" s="421">
        <v>6</v>
      </c>
      <c r="F5220" s="580"/>
      <c r="G5220" s="417" t="s">
        <v>3106</v>
      </c>
      <c r="H5220" s="598" t="s">
        <v>3107</v>
      </c>
      <c r="I5220" s="322" t="s">
        <v>2720</v>
      </c>
      <c r="J5220" s="418"/>
      <c r="K5220" s="248"/>
      <c r="M5220" s="366"/>
    </row>
    <row r="5221" spans="1:13" x14ac:dyDescent="0.25">
      <c r="A5221" s="320">
        <v>45886</v>
      </c>
      <c r="B5221" s="419">
        <v>1208601</v>
      </c>
      <c r="C5221" s="638" t="str">
        <f>IFERROR(INDEX(Table14[],MATCH($B5221,Table14[SAPNo],0),3),"")</f>
        <v>1613 CT418 U-60</v>
      </c>
      <c r="D5221" s="420" t="s">
        <v>12</v>
      </c>
      <c r="E5221" s="421">
        <v>1</v>
      </c>
      <c r="F5221" s="580"/>
      <c r="G5221" s="420" t="s">
        <v>3106</v>
      </c>
      <c r="H5221" s="599" t="s">
        <v>3107</v>
      </c>
      <c r="I5221" s="322" t="s">
        <v>2720</v>
      </c>
      <c r="J5221" s="421"/>
      <c r="K5221" s="422"/>
      <c r="M5221" s="366"/>
    </row>
    <row r="5222" spans="1:13" x14ac:dyDescent="0.25">
      <c r="A5222" s="308">
        <v>45887</v>
      </c>
      <c r="B5222" s="416">
        <v>1100739</v>
      </c>
      <c r="C5222" s="638" t="str">
        <f>IFERROR(INDEX(Table14[],MATCH($B5222,Table14[SAPNo],0),3),"")</f>
        <v>1608 CT418 0.018"</v>
      </c>
      <c r="D5222" s="420" t="s">
        <v>12</v>
      </c>
      <c r="E5222" s="421"/>
      <c r="F5222" s="421">
        <v>75</v>
      </c>
      <c r="G5222" s="417" t="s">
        <v>2513</v>
      </c>
      <c r="H5222" s="598"/>
      <c r="I5222" s="322"/>
      <c r="J5222" s="418" t="s">
        <v>1019</v>
      </c>
      <c r="K5222" s="248"/>
      <c r="M5222" s="422"/>
    </row>
    <row r="5223" spans="1:13" x14ac:dyDescent="0.25">
      <c r="A5223" s="308">
        <v>45887</v>
      </c>
      <c r="B5223" s="416">
        <v>1126398</v>
      </c>
      <c r="C5223" s="638" t="str">
        <f>IFERROR(INDEX(Table14[],MATCH($B5223,Table14[SAPNo],0),3),"")</f>
        <v>1308 CT421 18-60</v>
      </c>
      <c r="D5223" s="420" t="s">
        <v>12</v>
      </c>
      <c r="E5223" s="421"/>
      <c r="F5223" s="580">
        <v>20</v>
      </c>
      <c r="G5223" s="417" t="s">
        <v>2513</v>
      </c>
      <c r="H5223" s="598"/>
      <c r="I5223" s="322"/>
      <c r="J5223" s="418" t="s">
        <v>1027</v>
      </c>
      <c r="K5223" s="248"/>
      <c r="M5223" s="366"/>
    </row>
    <row r="5224" spans="1:13" x14ac:dyDescent="0.25">
      <c r="A5224" s="308">
        <v>45887</v>
      </c>
      <c r="B5224" s="416">
        <v>1146346</v>
      </c>
      <c r="C5224" s="638" t="str">
        <f>IFERROR(INDEX(Table14[],MATCH($B5224,Table14[SAPNo],0),3),"")</f>
        <v>1313 CT418 18-60</v>
      </c>
      <c r="D5224" s="420" t="s">
        <v>12</v>
      </c>
      <c r="E5224" s="421"/>
      <c r="F5224" s="580">
        <v>70</v>
      </c>
      <c r="G5224" s="417" t="s">
        <v>2513</v>
      </c>
      <c r="H5224" s="598"/>
      <c r="I5224" s="322"/>
      <c r="J5224" s="418" t="s">
        <v>1027</v>
      </c>
      <c r="K5224" s="248"/>
      <c r="M5224" s="366"/>
    </row>
    <row r="5225" spans="1:13" x14ac:dyDescent="0.25">
      <c r="A5225" s="308">
        <v>45887</v>
      </c>
      <c r="B5225" s="416">
        <v>1146738</v>
      </c>
      <c r="C5225" s="638" t="str">
        <f>IFERROR(INDEX(Table14[],MATCH($B5225,Table14[SAPNo],0),3),"")</f>
        <v>1913 CT418 18-60</v>
      </c>
      <c r="D5225" s="420" t="s">
        <v>12</v>
      </c>
      <c r="E5225" s="421"/>
      <c r="F5225" s="580">
        <v>25</v>
      </c>
      <c r="G5225" s="417" t="s">
        <v>2513</v>
      </c>
      <c r="H5225" s="598"/>
      <c r="I5225" s="322"/>
      <c r="J5225" s="418" t="s">
        <v>1024</v>
      </c>
      <c r="K5225" s="248"/>
      <c r="M5225" s="366"/>
    </row>
    <row r="5226" spans="1:13" x14ac:dyDescent="0.25">
      <c r="A5226" s="308">
        <v>45887</v>
      </c>
      <c r="B5226" s="416">
        <v>1199261</v>
      </c>
      <c r="C5226" s="638" t="str">
        <f>IFERROR(INDEX(Table14[],MATCH($B5226,Table14[SAPNo],0),3),"")</f>
        <v>1010 CT158 0.018"</v>
      </c>
      <c r="D5226" s="420" t="s">
        <v>12</v>
      </c>
      <c r="E5226" s="421"/>
      <c r="F5226" s="580">
        <v>77</v>
      </c>
      <c r="G5226" s="417" t="s">
        <v>2513</v>
      </c>
      <c r="H5226" s="598"/>
      <c r="I5226" s="322"/>
      <c r="J5226" s="418" t="s">
        <v>1019</v>
      </c>
      <c r="K5226" s="248"/>
      <c r="M5226" s="366"/>
    </row>
    <row r="5227" spans="1:13" x14ac:dyDescent="0.25">
      <c r="A5227" s="308">
        <v>45887</v>
      </c>
      <c r="B5227" s="416">
        <v>1228502</v>
      </c>
      <c r="C5227" s="638" t="str">
        <f>IFERROR(INDEX(Table14[],MATCH($B5227,Table14[SAPNo],0),3),"")</f>
        <v>1618 CT182 U-60 Rotor</v>
      </c>
      <c r="D5227" s="420" t="s">
        <v>12</v>
      </c>
      <c r="E5227" s="421"/>
      <c r="F5227" s="580">
        <v>75</v>
      </c>
      <c r="G5227" s="417" t="s">
        <v>2513</v>
      </c>
      <c r="H5227" s="598"/>
      <c r="I5227" s="322"/>
      <c r="J5227" s="418" t="s">
        <v>1021</v>
      </c>
      <c r="K5227" s="248"/>
      <c r="M5227" s="366"/>
    </row>
    <row r="5228" spans="1:13" x14ac:dyDescent="0.25">
      <c r="A5228" s="308">
        <v>45887</v>
      </c>
      <c r="B5228" s="416">
        <v>1228502</v>
      </c>
      <c r="C5228" s="638" t="str">
        <f>IFERROR(INDEX(Table14[],MATCH($B5228,Table14[SAPNo],0),3),"")</f>
        <v>1618 CT182 U-60 Rotor</v>
      </c>
      <c r="D5228" s="420" t="s">
        <v>12</v>
      </c>
      <c r="E5228" s="421"/>
      <c r="F5228" s="580">
        <v>61</v>
      </c>
      <c r="G5228" s="417" t="s">
        <v>2513</v>
      </c>
      <c r="H5228" s="598"/>
      <c r="I5228" s="322"/>
      <c r="J5228" s="418" t="s">
        <v>1022</v>
      </c>
      <c r="K5228" s="248"/>
      <c r="M5228" s="366"/>
    </row>
    <row r="5229" spans="1:13" x14ac:dyDescent="0.25">
      <c r="A5229" s="308">
        <v>45887</v>
      </c>
      <c r="B5229" s="416">
        <v>1230916</v>
      </c>
      <c r="C5229" s="638" t="str">
        <f>IFERROR(INDEX(Table14[],MATCH($B5229,Table14[SAPNo],0),3),"")</f>
        <v>1005 CT158 0.018"</v>
      </c>
      <c r="D5229" s="420" t="s">
        <v>12</v>
      </c>
      <c r="E5229" s="421"/>
      <c r="F5229" s="580">
        <v>17</v>
      </c>
      <c r="G5229" s="417" t="s">
        <v>2513</v>
      </c>
      <c r="H5229" s="598"/>
      <c r="I5229" s="322"/>
      <c r="J5229" s="418" t="s">
        <v>1019</v>
      </c>
      <c r="K5229" s="248"/>
      <c r="M5229" s="366"/>
    </row>
    <row r="5230" spans="1:13" x14ac:dyDescent="0.25">
      <c r="A5230" s="308">
        <v>45887</v>
      </c>
      <c r="B5230" s="416">
        <v>2002186</v>
      </c>
      <c r="C5230" s="638" t="str">
        <f>IFERROR(INDEX(Table14[],MATCH($B5230,Table14[SAPNo],0),3),"")</f>
        <v>1313 CT187 U-60</v>
      </c>
      <c r="D5230" s="420" t="s">
        <v>12</v>
      </c>
      <c r="E5230" s="421"/>
      <c r="F5230" s="580">
        <v>127</v>
      </c>
      <c r="G5230" s="417" t="s">
        <v>2513</v>
      </c>
      <c r="H5230" s="598"/>
      <c r="I5230" s="322"/>
      <c r="J5230" s="418" t="s">
        <v>1019</v>
      </c>
      <c r="K5230" s="248"/>
      <c r="M5230" s="366"/>
    </row>
    <row r="5231" spans="1:13" x14ac:dyDescent="0.25">
      <c r="A5231" s="308">
        <v>45887</v>
      </c>
      <c r="B5231" s="416">
        <v>2002186</v>
      </c>
      <c r="C5231" s="638" t="str">
        <f>IFERROR(INDEX(Table14[],MATCH($B5231,Table14[SAPNo],0),3),"")</f>
        <v>1313 CT187 U-60</v>
      </c>
      <c r="D5231" s="420" t="s">
        <v>12</v>
      </c>
      <c r="E5231" s="421"/>
      <c r="F5231" s="580">
        <v>25</v>
      </c>
      <c r="G5231" s="417" t="s">
        <v>2513</v>
      </c>
      <c r="H5231" s="598"/>
      <c r="I5231" s="322"/>
      <c r="J5231" s="418" t="s">
        <v>1021</v>
      </c>
      <c r="K5231" s="248"/>
      <c r="M5231" s="366"/>
    </row>
    <row r="5232" spans="1:13" x14ac:dyDescent="0.25">
      <c r="A5232" s="308">
        <v>45887</v>
      </c>
      <c r="B5232" s="416">
        <v>2002299</v>
      </c>
      <c r="C5232" s="638" t="str">
        <f>IFERROR(INDEX(Table14[],MATCH($B5232,Table14[SAPNo],0),3),"")</f>
        <v>1613 CT187 U-60</v>
      </c>
      <c r="D5232" s="420" t="s">
        <v>12</v>
      </c>
      <c r="E5232" s="421"/>
      <c r="F5232" s="580">
        <v>100</v>
      </c>
      <c r="G5232" s="417" t="s">
        <v>2513</v>
      </c>
      <c r="H5232" s="598"/>
      <c r="I5232" s="322"/>
      <c r="J5232" s="418" t="s">
        <v>1019</v>
      </c>
      <c r="K5232" s="248"/>
      <c r="M5232" s="366"/>
    </row>
    <row r="5233" spans="1:13" x14ac:dyDescent="0.25">
      <c r="A5233" s="308">
        <v>45887</v>
      </c>
      <c r="B5233" s="416">
        <v>2002299</v>
      </c>
      <c r="C5233" s="638" t="str">
        <f>IFERROR(INDEX(Table14[],MATCH($B5233,Table14[SAPNo],0),3),"")</f>
        <v>1613 CT187 U-60</v>
      </c>
      <c r="D5233" s="420" t="s">
        <v>12</v>
      </c>
      <c r="E5233" s="421"/>
      <c r="F5233" s="580">
        <v>50</v>
      </c>
      <c r="G5233" s="417" t="s">
        <v>2513</v>
      </c>
      <c r="H5233" s="598"/>
      <c r="I5233" s="322"/>
      <c r="J5233" s="418" t="s">
        <v>1021</v>
      </c>
      <c r="K5233" s="248"/>
      <c r="M5233" s="366"/>
    </row>
    <row r="5234" spans="1:13" x14ac:dyDescent="0.25">
      <c r="A5234" s="308">
        <v>45887</v>
      </c>
      <c r="B5234" s="416">
        <v>2020817</v>
      </c>
      <c r="C5234" s="638" t="str">
        <f>IFERROR(INDEX(Table14[],MATCH($B5234,Table14[SAPNo],0),3),"")</f>
        <v>1913 CT186 0.018"</v>
      </c>
      <c r="D5234" s="420" t="s">
        <v>12</v>
      </c>
      <c r="E5234" s="421"/>
      <c r="F5234" s="580">
        <v>50</v>
      </c>
      <c r="G5234" s="417" t="s">
        <v>2513</v>
      </c>
      <c r="H5234" s="598"/>
      <c r="I5234" s="322"/>
      <c r="J5234" s="418" t="s">
        <v>1018</v>
      </c>
      <c r="K5234" s="248"/>
      <c r="M5234" s="366"/>
    </row>
    <row r="5235" spans="1:13" x14ac:dyDescent="0.25">
      <c r="A5235" s="320">
        <v>45887</v>
      </c>
      <c r="B5235" s="419">
        <v>717748</v>
      </c>
      <c r="C5235" s="638" t="str">
        <f>IFERROR(INDEX(Table14[],MATCH($B5235,Table14[SAPNo],0),3),"")</f>
        <v>Round 1010 CT200  0.018" (B)</v>
      </c>
      <c r="D5235" s="420" t="s">
        <v>12</v>
      </c>
      <c r="E5235" s="421"/>
      <c r="F5235" s="580">
        <v>70</v>
      </c>
      <c r="G5235" s="417" t="s">
        <v>2513</v>
      </c>
      <c r="H5235" s="599"/>
      <c r="I5235" s="322"/>
      <c r="J5235" s="421" t="s">
        <v>1027</v>
      </c>
      <c r="K5235" s="422"/>
      <c r="M5235" s="366"/>
    </row>
    <row r="5236" spans="1:13" x14ac:dyDescent="0.25">
      <c r="A5236" s="308">
        <v>45887</v>
      </c>
      <c r="B5236" s="416">
        <v>1291870</v>
      </c>
      <c r="C5236" s="638" t="str">
        <f>IFERROR(INDEX(Table14[],MATCH($B5236,Table14[SAPNo],0),3),"")</f>
        <v>1613 CT186 18-60</v>
      </c>
      <c r="D5236" s="420" t="s">
        <v>12</v>
      </c>
      <c r="E5236" s="421">
        <v>38</v>
      </c>
      <c r="F5236" s="421"/>
      <c r="G5236" s="417" t="s">
        <v>3108</v>
      </c>
      <c r="H5236" s="598">
        <v>14196039</v>
      </c>
      <c r="I5236" s="322" t="s">
        <v>3109</v>
      </c>
      <c r="J5236" s="418"/>
      <c r="K5236" s="248"/>
      <c r="M5236" s="422"/>
    </row>
    <row r="5237" spans="1:13" x14ac:dyDescent="0.25">
      <c r="A5237" s="308">
        <v>45887</v>
      </c>
      <c r="B5237" s="416">
        <v>1146737</v>
      </c>
      <c r="C5237" s="638" t="str">
        <f>IFERROR(INDEX(Table14[],MATCH($B5237,Table14[SAPNo],0),3),"")</f>
        <v>1613 CT418 18-60</v>
      </c>
      <c r="D5237" s="420" t="s">
        <v>12</v>
      </c>
      <c r="E5237" s="421">
        <v>17</v>
      </c>
      <c r="F5237" s="580"/>
      <c r="G5237" s="417" t="s">
        <v>3108</v>
      </c>
      <c r="H5237" s="598">
        <v>14196039</v>
      </c>
      <c r="I5237" s="322" t="s">
        <v>3109</v>
      </c>
      <c r="J5237" s="418"/>
      <c r="K5237" s="248"/>
      <c r="M5237" s="366"/>
    </row>
    <row r="5238" spans="1:13" x14ac:dyDescent="0.25">
      <c r="A5238" s="308">
        <v>45887</v>
      </c>
      <c r="B5238" s="416">
        <v>1263929</v>
      </c>
      <c r="C5238" s="638" t="str">
        <f>IFERROR(INDEX(Table14[],MATCH($B5238,Table14[SAPNo],0),3),"")</f>
        <v>1613 CT437 18-60</v>
      </c>
      <c r="D5238" s="420" t="s">
        <v>12</v>
      </c>
      <c r="E5238" s="421">
        <v>37</v>
      </c>
      <c r="F5238" s="580"/>
      <c r="G5238" s="417" t="s">
        <v>3108</v>
      </c>
      <c r="H5238" s="598">
        <v>14196039</v>
      </c>
      <c r="I5238" s="322" t="s">
        <v>3109</v>
      </c>
      <c r="J5238" s="418"/>
      <c r="K5238" s="248"/>
      <c r="M5238" s="366"/>
    </row>
    <row r="5239" spans="1:13" x14ac:dyDescent="0.25">
      <c r="A5239" s="308">
        <v>45888</v>
      </c>
      <c r="B5239" s="416">
        <v>1152018</v>
      </c>
      <c r="C5239" s="638" t="str">
        <f>IFERROR(INDEX(Table14[],MATCH($B5239,Table14[SAPNo],0),3),"")</f>
        <v>1313 CT418 U</v>
      </c>
      <c r="D5239" s="420" t="s">
        <v>12</v>
      </c>
      <c r="E5239" s="421">
        <v>16</v>
      </c>
      <c r="F5239" s="580"/>
      <c r="G5239" s="417" t="s">
        <v>3110</v>
      </c>
      <c r="H5239" s="598">
        <v>14254494</v>
      </c>
      <c r="I5239" s="322" t="s">
        <v>3111</v>
      </c>
      <c r="J5239" s="418"/>
      <c r="K5239" s="248"/>
      <c r="M5239" s="366"/>
    </row>
    <row r="5240" spans="1:13" x14ac:dyDescent="0.25">
      <c r="A5240" s="308">
        <v>45888</v>
      </c>
      <c r="B5240" s="416">
        <v>1272309</v>
      </c>
      <c r="C5240" s="638" t="str">
        <f>IFERROR(INDEX(Table14[],MATCH($B5240,Table14[SAPNo],0),3),"")</f>
        <v>1313 CT170T U</v>
      </c>
      <c r="D5240" s="420" t="s">
        <v>12</v>
      </c>
      <c r="E5240" s="421">
        <v>7</v>
      </c>
      <c r="F5240" s="580"/>
      <c r="G5240" s="417" t="s">
        <v>3110</v>
      </c>
      <c r="H5240" s="598">
        <v>14254494</v>
      </c>
      <c r="I5240" s="322" t="s">
        <v>3111</v>
      </c>
      <c r="J5240" s="418"/>
      <c r="K5240" s="248"/>
      <c r="M5240" s="366"/>
    </row>
    <row r="5241" spans="1:13" x14ac:dyDescent="0.25">
      <c r="A5241" s="308">
        <v>45888</v>
      </c>
      <c r="B5241" s="416">
        <v>418525</v>
      </c>
      <c r="C5241" s="638" t="str">
        <f>IFERROR(INDEX(Table14[],MATCH($B5241,Table14[SAPNo],0),3),"")</f>
        <v>Drop In 1308 CT31   (B)</v>
      </c>
      <c r="D5241" s="420" t="s">
        <v>12</v>
      </c>
      <c r="E5241" s="421">
        <v>10</v>
      </c>
      <c r="F5241" s="580"/>
      <c r="G5241" s="417" t="s">
        <v>3110</v>
      </c>
      <c r="H5241" s="598">
        <v>14254494</v>
      </c>
      <c r="I5241" s="322" t="s">
        <v>3111</v>
      </c>
      <c r="J5241" s="418"/>
      <c r="K5241" s="248"/>
      <c r="M5241" s="366"/>
    </row>
    <row r="5242" spans="1:13" x14ac:dyDescent="0.25">
      <c r="A5242" s="308">
        <v>45888</v>
      </c>
      <c r="B5242" s="416">
        <v>179733</v>
      </c>
      <c r="C5242" s="638" t="str">
        <f>IFERROR(INDEX(Table14[],MATCH($B5242,Table14[SAPNo],0),3),"")</f>
        <v>Short IA 13    (C)</v>
      </c>
      <c r="D5242" s="420" t="s">
        <v>12</v>
      </c>
      <c r="E5242" s="421">
        <v>12</v>
      </c>
      <c r="F5242" s="580"/>
      <c r="G5242" s="417" t="s">
        <v>3112</v>
      </c>
      <c r="H5242" s="598">
        <v>14312303</v>
      </c>
      <c r="I5242" s="322" t="s">
        <v>3113</v>
      </c>
      <c r="J5242" s="418"/>
      <c r="K5242" s="248"/>
      <c r="M5242" s="366"/>
    </row>
    <row r="5243" spans="1:13" x14ac:dyDescent="0.25">
      <c r="A5243" s="308">
        <v>45888</v>
      </c>
      <c r="B5243" s="416">
        <v>1296685</v>
      </c>
      <c r="C5243" s="638" t="str">
        <f>IFERROR(INDEX(Table14[],MATCH($B5243,Table14[SAPNo],0),3),"")</f>
        <v>1613 CT179R U</v>
      </c>
      <c r="D5243" s="420" t="s">
        <v>12</v>
      </c>
      <c r="E5243" s="421">
        <v>24</v>
      </c>
      <c r="F5243" s="580"/>
      <c r="G5243" s="417" t="s">
        <v>3112</v>
      </c>
      <c r="H5243" s="598">
        <v>14312303</v>
      </c>
      <c r="I5243" s="322" t="s">
        <v>3113</v>
      </c>
      <c r="J5243" s="418"/>
      <c r="K5243" s="248"/>
      <c r="M5243" s="366"/>
    </row>
    <row r="5244" spans="1:13" x14ac:dyDescent="0.25">
      <c r="A5244" s="308">
        <v>45888</v>
      </c>
      <c r="B5244" s="416">
        <v>410851</v>
      </c>
      <c r="C5244" s="638" t="str">
        <f>IFERROR(INDEX(Table14[],MATCH($B5244,Table14[SAPNo],0),3),"")</f>
        <v>PDC Dome 1308 CT31   (B)</v>
      </c>
      <c r="D5244" s="420" t="s">
        <v>12</v>
      </c>
      <c r="E5244" s="421">
        <v>12</v>
      </c>
      <c r="F5244" s="580"/>
      <c r="G5244" s="417" t="s">
        <v>3112</v>
      </c>
      <c r="H5244" s="598">
        <v>14312303</v>
      </c>
      <c r="I5244" s="322" t="s">
        <v>3113</v>
      </c>
      <c r="J5244" s="418"/>
      <c r="K5244" s="248"/>
      <c r="M5244" s="366"/>
    </row>
    <row r="5245" spans="1:13" x14ac:dyDescent="0.25">
      <c r="A5245" s="308">
        <v>45888</v>
      </c>
      <c r="B5245" s="416">
        <v>1146737</v>
      </c>
      <c r="C5245" s="638" t="str">
        <f>IFERROR(INDEX(Table14[],MATCH($B5245,Table14[SAPNo],0),3),"")</f>
        <v>1613 CT418 18-60</v>
      </c>
      <c r="D5245" s="420" t="s">
        <v>12</v>
      </c>
      <c r="E5245" s="421">
        <v>15</v>
      </c>
      <c r="F5245" s="580"/>
      <c r="G5245" s="417" t="s">
        <v>3112</v>
      </c>
      <c r="H5245" s="598">
        <v>14312303</v>
      </c>
      <c r="I5245" s="322" t="s">
        <v>3113</v>
      </c>
      <c r="J5245" s="418"/>
      <c r="K5245" s="248"/>
      <c r="M5245" s="366"/>
    </row>
    <row r="5246" spans="1:13" x14ac:dyDescent="0.25">
      <c r="A5246" s="308">
        <v>45888</v>
      </c>
      <c r="B5246" s="416">
        <v>871781</v>
      </c>
      <c r="C5246" s="638" t="str">
        <f>IFERROR(INDEX(Table14[],MATCH($B5246,Table14[SAPNo],0),3),"")</f>
        <v>Round 1313 CT200  0.018" (B)</v>
      </c>
      <c r="D5246" s="420" t="s">
        <v>12</v>
      </c>
      <c r="E5246" s="421">
        <v>6</v>
      </c>
      <c r="F5246" s="580"/>
      <c r="G5246" s="417" t="s">
        <v>3112</v>
      </c>
      <c r="H5246" s="598">
        <v>14312303</v>
      </c>
      <c r="I5246" s="322" t="s">
        <v>3113</v>
      </c>
      <c r="J5246" s="418"/>
      <c r="K5246" s="248"/>
      <c r="M5246" s="366"/>
    </row>
    <row r="5247" spans="1:13" x14ac:dyDescent="0.25">
      <c r="A5247" s="308">
        <v>45888</v>
      </c>
      <c r="B5247" s="416">
        <v>1288783</v>
      </c>
      <c r="C5247" s="638" t="str">
        <f>IFERROR(INDEX(Table14[],MATCH($B5247,Table14[SAPNo],0),3),"")</f>
        <v>1613 CT179 18-60</v>
      </c>
      <c r="D5247" s="420" t="s">
        <v>12</v>
      </c>
      <c r="E5247" s="421">
        <v>12</v>
      </c>
      <c r="F5247" s="580"/>
      <c r="G5247" s="417" t="s">
        <v>3112</v>
      </c>
      <c r="H5247" s="598">
        <v>14312303</v>
      </c>
      <c r="I5247" s="322" t="s">
        <v>3113</v>
      </c>
      <c r="J5247" s="418"/>
      <c r="K5247" s="248"/>
      <c r="M5247" s="366"/>
    </row>
    <row r="5248" spans="1:13" x14ac:dyDescent="0.25">
      <c r="A5248" s="308">
        <v>45888</v>
      </c>
      <c r="B5248" s="416">
        <v>871781</v>
      </c>
      <c r="C5248" s="638" t="str">
        <f>IFERROR(INDEX(Table14[],MATCH($B5248,Table14[SAPNo],0),3),"")</f>
        <v>Round 1313 CT200  0.018" (B)</v>
      </c>
      <c r="D5248" s="420" t="s">
        <v>12</v>
      </c>
      <c r="E5248" s="421">
        <v>6</v>
      </c>
      <c r="F5248" s="580"/>
      <c r="G5248" s="417" t="s">
        <v>3114</v>
      </c>
      <c r="H5248" s="598">
        <v>14403082</v>
      </c>
      <c r="I5248" s="322" t="s">
        <v>3115</v>
      </c>
      <c r="J5248" s="418"/>
      <c r="K5248" s="248"/>
      <c r="M5248" s="366"/>
    </row>
    <row r="5249" spans="1:13" x14ac:dyDescent="0.25">
      <c r="A5249" s="308">
        <v>45888</v>
      </c>
      <c r="B5249" s="416">
        <v>1126402</v>
      </c>
      <c r="C5249" s="638" t="str">
        <f>IFERROR(INDEX(Table14[],MATCH($B5249,Table14[SAPNo],0),3),"")</f>
        <v>1613 CT421 16-60</v>
      </c>
      <c r="D5249" s="420" t="s">
        <v>12</v>
      </c>
      <c r="E5249" s="421">
        <v>33</v>
      </c>
      <c r="F5249" s="580"/>
      <c r="G5249" s="417" t="s">
        <v>3114</v>
      </c>
      <c r="H5249" s="598">
        <v>14403082</v>
      </c>
      <c r="I5249" s="322" t="s">
        <v>3115</v>
      </c>
      <c r="J5249" s="418"/>
      <c r="K5249" s="248"/>
      <c r="M5249" s="366"/>
    </row>
    <row r="5250" spans="1:13" x14ac:dyDescent="0.25">
      <c r="A5250" s="308">
        <v>45888</v>
      </c>
      <c r="B5250" s="416">
        <v>647435</v>
      </c>
      <c r="C5250" s="638" t="str">
        <f>IFERROR(INDEX(Table14[],MATCH($B5250,Table14[SAPNo],0),3),"")</f>
        <v>Round 1608 CT200  0.018" (B)</v>
      </c>
      <c r="D5250" s="420" t="s">
        <v>12</v>
      </c>
      <c r="E5250" s="421">
        <v>23</v>
      </c>
      <c r="F5250" s="580"/>
      <c r="G5250" s="417" t="s">
        <v>3114</v>
      </c>
      <c r="H5250" s="598">
        <v>14403082</v>
      </c>
      <c r="I5250" s="322" t="s">
        <v>3115</v>
      </c>
      <c r="J5250" s="418"/>
      <c r="K5250" s="248"/>
      <c r="M5250" s="366"/>
    </row>
    <row r="5251" spans="1:13" x14ac:dyDescent="0.25">
      <c r="A5251" s="308">
        <v>45886</v>
      </c>
      <c r="B5251" s="416">
        <v>1146737</v>
      </c>
      <c r="C5251" s="638" t="str">
        <f>IFERROR(INDEX(Table14[],MATCH($B5251,Table14[SAPNo],0),3),"")</f>
        <v>1613 CT418 18-60</v>
      </c>
      <c r="D5251" s="420" t="s">
        <v>12</v>
      </c>
      <c r="E5251" s="421">
        <v>6</v>
      </c>
      <c r="F5251" s="580"/>
      <c r="G5251" s="417" t="s">
        <v>3106</v>
      </c>
      <c r="H5251" s="598" t="s">
        <v>3107</v>
      </c>
      <c r="I5251" s="322" t="s">
        <v>2720</v>
      </c>
      <c r="J5251" s="418"/>
      <c r="K5251" s="248"/>
      <c r="M5251" s="366"/>
    </row>
    <row r="5252" spans="1:13" x14ac:dyDescent="0.25">
      <c r="A5252" s="320">
        <v>45888</v>
      </c>
      <c r="B5252" s="419">
        <v>1146346</v>
      </c>
      <c r="C5252" s="638" t="str">
        <f>IFERROR(INDEX(Table14[],MATCH($B5252,Table14[SAPNo],0),3),"")</f>
        <v>1313 CT418 18-60</v>
      </c>
      <c r="D5252" s="420" t="s">
        <v>11</v>
      </c>
      <c r="E5252" s="421">
        <v>1</v>
      </c>
      <c r="F5252" s="580"/>
      <c r="G5252" s="420">
        <v>20251115</v>
      </c>
      <c r="H5252" s="599" t="s">
        <v>3116</v>
      </c>
      <c r="I5252" s="322" t="s">
        <v>2590</v>
      </c>
      <c r="J5252" s="421"/>
      <c r="K5252" s="422"/>
      <c r="M5252" s="366"/>
    </row>
    <row r="5253" spans="1:13" x14ac:dyDescent="0.25">
      <c r="A5253" s="308">
        <v>45889</v>
      </c>
      <c r="B5253" s="416">
        <v>1288783</v>
      </c>
      <c r="C5253" s="638" t="str">
        <f>IFERROR(INDEX(Table14[],MATCH($B5253,Table14[SAPNo],0),3),"")</f>
        <v>1613 CT179 18-60</v>
      </c>
      <c r="D5253" s="420" t="s">
        <v>12</v>
      </c>
      <c r="E5253" s="421">
        <v>6</v>
      </c>
      <c r="F5253" s="421"/>
      <c r="G5253" s="417" t="s">
        <v>3117</v>
      </c>
      <c r="H5253" s="598">
        <v>14204336</v>
      </c>
      <c r="I5253" s="322" t="s">
        <v>3118</v>
      </c>
      <c r="J5253" s="418"/>
      <c r="K5253" s="248"/>
      <c r="M5253" s="422"/>
    </row>
    <row r="5254" spans="1:13" x14ac:dyDescent="0.25">
      <c r="A5254" s="308">
        <v>45889</v>
      </c>
      <c r="B5254" s="416">
        <v>1146737</v>
      </c>
      <c r="C5254" s="638" t="str">
        <f>IFERROR(INDEX(Table14[],MATCH($B5254,Table14[SAPNo],0),3),"")</f>
        <v>1613 CT418 18-60</v>
      </c>
      <c r="D5254" s="420" t="s">
        <v>12</v>
      </c>
      <c r="E5254" s="421">
        <v>25</v>
      </c>
      <c r="F5254" s="580"/>
      <c r="G5254" s="417" t="s">
        <v>3117</v>
      </c>
      <c r="H5254" s="598">
        <v>14204336</v>
      </c>
      <c r="I5254" s="322" t="s">
        <v>3118</v>
      </c>
      <c r="J5254" s="418"/>
      <c r="K5254" s="248"/>
      <c r="M5254" s="366"/>
    </row>
    <row r="5255" spans="1:13" x14ac:dyDescent="0.25">
      <c r="A5255" s="308">
        <v>45889</v>
      </c>
      <c r="B5255" s="416">
        <v>1282370</v>
      </c>
      <c r="C5255" s="638" t="str">
        <f>IFERROR(INDEX(Table14[],MATCH($B5255,Table14[SAPNo],0),3),"")</f>
        <v>1613 CT436Mv3 U-60</v>
      </c>
      <c r="D5255" s="420" t="s">
        <v>12</v>
      </c>
      <c r="E5255" s="421">
        <v>46</v>
      </c>
      <c r="F5255" s="580"/>
      <c r="G5255" s="417" t="s">
        <v>3117</v>
      </c>
      <c r="H5255" s="598">
        <v>14204336</v>
      </c>
      <c r="I5255" s="322" t="s">
        <v>3118</v>
      </c>
      <c r="J5255" s="418"/>
      <c r="K5255" s="248"/>
      <c r="M5255" s="366"/>
    </row>
    <row r="5256" spans="1:13" x14ac:dyDescent="0.25">
      <c r="A5256" s="308">
        <v>45889</v>
      </c>
      <c r="B5256" s="416">
        <v>1126402</v>
      </c>
      <c r="C5256" s="638" t="str">
        <f>IFERROR(INDEX(Table14[],MATCH($B5256,Table14[SAPNo],0),3),"")</f>
        <v>1613 CT421 16-60</v>
      </c>
      <c r="D5256" s="420" t="s">
        <v>12</v>
      </c>
      <c r="E5256" s="421">
        <v>33</v>
      </c>
      <c r="F5256" s="580"/>
      <c r="G5256" s="417" t="s">
        <v>3119</v>
      </c>
      <c r="H5256" s="598">
        <v>14403085</v>
      </c>
      <c r="I5256" s="322" t="s">
        <v>3120</v>
      </c>
      <c r="J5256" s="418"/>
      <c r="K5256" s="248"/>
      <c r="M5256" s="366"/>
    </row>
    <row r="5257" spans="1:13" x14ac:dyDescent="0.25">
      <c r="A5257" s="308">
        <v>45889</v>
      </c>
      <c r="B5257" s="416">
        <v>1130197</v>
      </c>
      <c r="C5257" s="638" t="str">
        <f>IFERROR(INDEX(Table14[],MATCH($B5257,Table14[SAPNo],0),3),"")</f>
        <v>Round 1608 CT182  0.018" (S)</v>
      </c>
      <c r="D5257" s="420" t="s">
        <v>12</v>
      </c>
      <c r="E5257" s="421">
        <v>23</v>
      </c>
      <c r="F5257" s="580"/>
      <c r="G5257" s="417" t="s">
        <v>3119</v>
      </c>
      <c r="H5257" s="598">
        <v>14403085</v>
      </c>
      <c r="I5257" s="322" t="s">
        <v>3120</v>
      </c>
      <c r="J5257" s="418"/>
      <c r="K5257" s="248"/>
      <c r="M5257" s="366"/>
    </row>
    <row r="5258" spans="1:13" x14ac:dyDescent="0.25">
      <c r="A5258" s="308">
        <v>45889</v>
      </c>
      <c r="B5258" s="416">
        <v>871781</v>
      </c>
      <c r="C5258" s="638" t="str">
        <f>IFERROR(INDEX(Table14[],MATCH($B5258,Table14[SAPNo],0),3),"")</f>
        <v>Round 1313 CT200  0.018" (B)</v>
      </c>
      <c r="D5258" s="420" t="s">
        <v>12</v>
      </c>
      <c r="E5258" s="421">
        <v>6</v>
      </c>
      <c r="F5258" s="580"/>
      <c r="G5258" s="417" t="s">
        <v>3119</v>
      </c>
      <c r="H5258" s="598">
        <v>14403085</v>
      </c>
      <c r="I5258" s="322" t="s">
        <v>3120</v>
      </c>
      <c r="J5258" s="418"/>
      <c r="K5258" s="248"/>
      <c r="M5258" s="366"/>
    </row>
    <row r="5259" spans="1:13" x14ac:dyDescent="0.25">
      <c r="A5259" s="308">
        <v>45889</v>
      </c>
      <c r="B5259" s="416">
        <v>1100753</v>
      </c>
      <c r="C5259" s="638" t="str">
        <f>IFERROR(INDEX(Table14[],MATCH($B5259,Table14[SAPNo],0),3),"")</f>
        <v>1608 18C CT421</v>
      </c>
      <c r="D5259" s="420" t="s">
        <v>12</v>
      </c>
      <c r="E5259" s="421">
        <v>23</v>
      </c>
      <c r="F5259" s="580"/>
      <c r="G5259" s="417" t="s">
        <v>3121</v>
      </c>
      <c r="H5259" s="598">
        <v>14403086</v>
      </c>
      <c r="I5259" s="322" t="s">
        <v>3122</v>
      </c>
      <c r="J5259" s="418"/>
      <c r="K5259" s="248"/>
      <c r="M5259" s="366"/>
    </row>
    <row r="5260" spans="1:13" x14ac:dyDescent="0.25">
      <c r="A5260" s="308">
        <v>45889</v>
      </c>
      <c r="B5260" s="416">
        <v>2002299</v>
      </c>
      <c r="C5260" s="638" t="str">
        <f>IFERROR(INDEX(Table14[],MATCH($B5260,Table14[SAPNo],0),3),"")</f>
        <v>1613 CT187 U-60</v>
      </c>
      <c r="D5260" s="420" t="s">
        <v>12</v>
      </c>
      <c r="E5260" s="421">
        <v>21</v>
      </c>
      <c r="F5260" s="580"/>
      <c r="G5260" s="417" t="s">
        <v>3121</v>
      </c>
      <c r="H5260" s="598">
        <v>14403086</v>
      </c>
      <c r="I5260" s="322" t="s">
        <v>3122</v>
      </c>
      <c r="J5260" s="418"/>
      <c r="K5260" s="248"/>
      <c r="M5260" s="366"/>
    </row>
    <row r="5261" spans="1:13" x14ac:dyDescent="0.25">
      <c r="A5261" s="308">
        <v>45889</v>
      </c>
      <c r="B5261" s="416">
        <v>1126402</v>
      </c>
      <c r="C5261" s="638" t="str">
        <f>IFERROR(INDEX(Table14[],MATCH($B5261,Table14[SAPNo],0),3),"")</f>
        <v>1613 CT421 16-60</v>
      </c>
      <c r="D5261" s="420" t="s">
        <v>12</v>
      </c>
      <c r="E5261" s="421">
        <v>12</v>
      </c>
      <c r="F5261" s="580"/>
      <c r="G5261" s="417" t="s">
        <v>3121</v>
      </c>
      <c r="H5261" s="598">
        <v>14403086</v>
      </c>
      <c r="I5261" s="322" t="s">
        <v>3122</v>
      </c>
      <c r="J5261" s="418"/>
      <c r="K5261" s="248"/>
      <c r="M5261" s="366"/>
    </row>
    <row r="5262" spans="1:13" x14ac:dyDescent="0.25">
      <c r="A5262" s="308">
        <v>45889</v>
      </c>
      <c r="B5262" s="416">
        <v>871781</v>
      </c>
      <c r="C5262" s="638" t="str">
        <f>IFERROR(INDEX(Table14[],MATCH($B5262,Table14[SAPNo],0),3),"")</f>
        <v>Round 1313 CT200  0.018" (B)</v>
      </c>
      <c r="D5262" s="420" t="s">
        <v>12</v>
      </c>
      <c r="E5262" s="421">
        <v>6</v>
      </c>
      <c r="F5262" s="580"/>
      <c r="G5262" s="417" t="s">
        <v>3121</v>
      </c>
      <c r="H5262" s="598">
        <v>14403086</v>
      </c>
      <c r="I5262" s="322" t="s">
        <v>3122</v>
      </c>
      <c r="J5262" s="418"/>
      <c r="K5262" s="248"/>
      <c r="M5262" s="366"/>
    </row>
    <row r="5263" spans="1:13" x14ac:dyDescent="0.25">
      <c r="A5263" s="308">
        <v>45889</v>
      </c>
      <c r="B5263" s="416">
        <v>1078377</v>
      </c>
      <c r="C5263" s="638" t="str">
        <f>IFERROR(INDEX(Table14[],MATCH($B5263,Table14[SAPNo],0),3),"")</f>
        <v>13MM CT221 R1</v>
      </c>
      <c r="D5263" s="420" t="s">
        <v>12</v>
      </c>
      <c r="E5263" s="421">
        <v>15</v>
      </c>
      <c r="F5263" s="580"/>
      <c r="G5263" s="417" t="s">
        <v>3123</v>
      </c>
      <c r="H5263" s="598">
        <v>14369051</v>
      </c>
      <c r="I5263" s="322" t="s">
        <v>3124</v>
      </c>
      <c r="J5263" s="418"/>
      <c r="K5263" s="248"/>
      <c r="M5263" s="366"/>
    </row>
    <row r="5264" spans="1:13" x14ac:dyDescent="0.25">
      <c r="A5264" s="308">
        <v>45889</v>
      </c>
      <c r="B5264" s="416">
        <v>418525</v>
      </c>
      <c r="C5264" s="638" t="str">
        <f>IFERROR(INDEX(Table14[],MATCH($B5264,Table14[SAPNo],0),3),"")</f>
        <v>Drop In 1308 CT31   (B)</v>
      </c>
      <c r="D5264" s="420" t="s">
        <v>12</v>
      </c>
      <c r="E5264" s="421">
        <v>6</v>
      </c>
      <c r="F5264" s="580"/>
      <c r="G5264" s="417" t="s">
        <v>3123</v>
      </c>
      <c r="H5264" s="598">
        <v>14369051</v>
      </c>
      <c r="I5264" s="322" t="s">
        <v>3124</v>
      </c>
      <c r="J5264" s="418"/>
      <c r="K5264" s="248"/>
      <c r="M5264" s="366"/>
    </row>
    <row r="5265" spans="1:13" x14ac:dyDescent="0.25">
      <c r="A5265" s="308">
        <v>45889</v>
      </c>
      <c r="B5265" s="416">
        <v>1288783</v>
      </c>
      <c r="C5265" s="638" t="str">
        <f>IFERROR(INDEX(Table14[],MATCH($B5265,Table14[SAPNo],0),3),"")</f>
        <v>1613 CT179 18-60</v>
      </c>
      <c r="D5265" s="420" t="s">
        <v>12</v>
      </c>
      <c r="E5265" s="421">
        <v>17</v>
      </c>
      <c r="F5265" s="580"/>
      <c r="G5265" s="417" t="s">
        <v>3123</v>
      </c>
      <c r="H5265" s="598">
        <v>14369051</v>
      </c>
      <c r="I5265" s="322" t="s">
        <v>3124</v>
      </c>
      <c r="J5265" s="418"/>
      <c r="K5265" s="248"/>
      <c r="M5265" s="366"/>
    </row>
    <row r="5266" spans="1:13" x14ac:dyDescent="0.25">
      <c r="A5266" s="308">
        <v>45889</v>
      </c>
      <c r="B5266" s="416">
        <v>1146737</v>
      </c>
      <c r="C5266" s="638" t="str">
        <f>IFERROR(INDEX(Table14[],MATCH($B5266,Table14[SAPNo],0),3),"")</f>
        <v>1613 CT418 18-60</v>
      </c>
      <c r="D5266" s="420" t="s">
        <v>12</v>
      </c>
      <c r="E5266" s="421">
        <v>6</v>
      </c>
      <c r="F5266" s="580"/>
      <c r="G5266" s="417" t="s">
        <v>3123</v>
      </c>
      <c r="H5266" s="598">
        <v>14369051</v>
      </c>
      <c r="I5266" s="322" t="s">
        <v>3124</v>
      </c>
      <c r="J5266" s="418"/>
      <c r="K5266" s="248"/>
      <c r="M5266" s="366"/>
    </row>
    <row r="5267" spans="1:13" x14ac:dyDescent="0.25">
      <c r="A5267" s="308">
        <v>45889</v>
      </c>
      <c r="B5267" s="416">
        <v>1208601</v>
      </c>
      <c r="C5267" s="638" t="str">
        <f>IFERROR(INDEX(Table14[],MATCH($B5267,Table14[SAPNo],0),3),"")</f>
        <v>1613 CT418 U-60</v>
      </c>
      <c r="D5267" s="420" t="s">
        <v>12</v>
      </c>
      <c r="E5267" s="421">
        <v>8</v>
      </c>
      <c r="F5267" s="580"/>
      <c r="G5267" s="417" t="s">
        <v>3123</v>
      </c>
      <c r="H5267" s="598">
        <v>14369051</v>
      </c>
      <c r="I5267" s="322" t="s">
        <v>3124</v>
      </c>
      <c r="J5267" s="418"/>
      <c r="K5267" s="248"/>
      <c r="M5267" s="366"/>
    </row>
    <row r="5268" spans="1:13" x14ac:dyDescent="0.25">
      <c r="A5268" s="308">
        <v>45889</v>
      </c>
      <c r="B5268" s="416">
        <v>1228503</v>
      </c>
      <c r="C5268" s="638" t="str">
        <f>IFERROR(INDEX(Table14[],MATCH($B5268,Table14[SAPNo],0),3),"")</f>
        <v>1618 CT182 U-60 Ring</v>
      </c>
      <c r="D5268" s="420" t="s">
        <v>12</v>
      </c>
      <c r="E5268" s="421">
        <v>10</v>
      </c>
      <c r="F5268" s="580"/>
      <c r="G5268" s="417" t="s">
        <v>3125</v>
      </c>
      <c r="H5268" s="598">
        <v>14418431</v>
      </c>
      <c r="I5268" s="322" t="s">
        <v>3126</v>
      </c>
      <c r="J5268" s="418"/>
      <c r="K5268" s="248"/>
      <c r="M5268" s="366"/>
    </row>
    <row r="5269" spans="1:13" x14ac:dyDescent="0.25">
      <c r="A5269" s="308">
        <v>45889</v>
      </c>
      <c r="B5269" s="416">
        <v>1228502</v>
      </c>
      <c r="C5269" s="638" t="str">
        <f>IFERROR(INDEX(Table14[],MATCH($B5269,Table14[SAPNo],0),3),"")</f>
        <v>1618 CT182 U-60 Rotor</v>
      </c>
      <c r="D5269" s="420" t="s">
        <v>12</v>
      </c>
      <c r="E5269" s="421">
        <v>10</v>
      </c>
      <c r="F5269" s="580"/>
      <c r="G5269" s="417" t="s">
        <v>3125</v>
      </c>
      <c r="H5269" s="598">
        <v>14418431</v>
      </c>
      <c r="I5269" s="322" t="s">
        <v>3126</v>
      </c>
      <c r="J5269" s="418"/>
      <c r="K5269" s="248"/>
      <c r="M5269" s="366"/>
    </row>
    <row r="5270" spans="1:13" x14ac:dyDescent="0.25">
      <c r="A5270" s="308">
        <v>45889</v>
      </c>
      <c r="B5270" s="416">
        <v>1220554</v>
      </c>
      <c r="C5270" s="638" t="str">
        <f>IFERROR(INDEX(Table14[],MATCH($B5270,Table14[SAPNo],0),3),"")</f>
        <v xml:space="preserve">1618 CT182 U-60 Carbide </v>
      </c>
      <c r="D5270" s="420" t="s">
        <v>12</v>
      </c>
      <c r="E5270" s="421">
        <v>10</v>
      </c>
      <c r="F5270" s="580"/>
      <c r="G5270" s="417" t="s">
        <v>3125</v>
      </c>
      <c r="H5270" s="598">
        <v>14418431</v>
      </c>
      <c r="I5270" s="322" t="s">
        <v>3126</v>
      </c>
      <c r="J5270" s="418"/>
      <c r="K5270" s="248"/>
      <c r="M5270" s="366"/>
    </row>
    <row r="5271" spans="1:13" x14ac:dyDescent="0.25">
      <c r="A5271" s="308">
        <v>45889</v>
      </c>
      <c r="B5271" s="416">
        <v>871781</v>
      </c>
      <c r="C5271" s="638" t="str">
        <f>IFERROR(INDEX(Table14[],MATCH($B5271,Table14[SAPNo],0),3),"")</f>
        <v>Round 1313 CT200  0.018" (B)</v>
      </c>
      <c r="D5271" s="420" t="s">
        <v>12</v>
      </c>
      <c r="E5271" s="421">
        <v>6</v>
      </c>
      <c r="F5271" s="580"/>
      <c r="G5271" s="417" t="s">
        <v>3125</v>
      </c>
      <c r="H5271" s="598">
        <v>14418431</v>
      </c>
      <c r="I5271" s="322" t="s">
        <v>3126</v>
      </c>
      <c r="J5271" s="418"/>
      <c r="K5271" s="248"/>
      <c r="M5271" s="366"/>
    </row>
    <row r="5272" spans="1:13" x14ac:dyDescent="0.25">
      <c r="A5272" s="308">
        <v>45889</v>
      </c>
      <c r="B5272" s="416">
        <v>2002186</v>
      </c>
      <c r="C5272" s="638" t="str">
        <f>IFERROR(INDEX(Table14[],MATCH($B5272,Table14[SAPNo],0),3),"")</f>
        <v>1313 CT187 U-60</v>
      </c>
      <c r="D5272" s="420" t="s">
        <v>12</v>
      </c>
      <c r="E5272" s="421">
        <v>15</v>
      </c>
      <c r="F5272" s="580"/>
      <c r="G5272" s="417" t="s">
        <v>3125</v>
      </c>
      <c r="H5272" s="598">
        <v>14418431</v>
      </c>
      <c r="I5272" s="322" t="s">
        <v>3126</v>
      </c>
      <c r="J5272" s="418"/>
      <c r="K5272" s="248"/>
      <c r="M5272" s="366"/>
    </row>
    <row r="5273" spans="1:13" x14ac:dyDescent="0.25">
      <c r="A5273" s="308">
        <v>45889</v>
      </c>
      <c r="B5273" s="416">
        <v>2002243</v>
      </c>
      <c r="C5273" s="638" t="str">
        <f>IFERROR(INDEX(Table14[],MATCH($B5273,Table14[SAPNo],0),3),"")</f>
        <v>1308 CT188 U-60</v>
      </c>
      <c r="D5273" s="420" t="s">
        <v>12</v>
      </c>
      <c r="E5273" s="421">
        <v>15</v>
      </c>
      <c r="F5273" s="580"/>
      <c r="G5273" s="417" t="s">
        <v>3125</v>
      </c>
      <c r="H5273" s="598">
        <v>14418431</v>
      </c>
      <c r="I5273" s="322" t="s">
        <v>3126</v>
      </c>
      <c r="J5273" s="418"/>
      <c r="K5273" s="248"/>
      <c r="M5273" s="366"/>
    </row>
    <row r="5274" spans="1:13" x14ac:dyDescent="0.25">
      <c r="A5274" s="308">
        <v>45889</v>
      </c>
      <c r="B5274" s="416">
        <v>2002299</v>
      </c>
      <c r="C5274" s="638" t="str">
        <f>IFERROR(INDEX(Table14[],MATCH($B5274,Table14[SAPNo],0),3),"")</f>
        <v>1613 CT187 U-60</v>
      </c>
      <c r="D5274" s="420" t="s">
        <v>12</v>
      </c>
      <c r="E5274" s="421">
        <v>4</v>
      </c>
      <c r="F5274" s="580"/>
      <c r="G5274" s="417" t="s">
        <v>3125</v>
      </c>
      <c r="H5274" s="598">
        <v>14418431</v>
      </c>
      <c r="I5274" s="322" t="s">
        <v>3126</v>
      </c>
      <c r="J5274" s="418"/>
      <c r="K5274" s="248"/>
      <c r="M5274" s="366"/>
    </row>
    <row r="5275" spans="1:13" x14ac:dyDescent="0.25">
      <c r="A5275" s="308">
        <v>45889</v>
      </c>
      <c r="B5275" s="416">
        <v>1228501</v>
      </c>
      <c r="C5275" s="638" t="str">
        <f>IFERROR(INDEX(Table14[],MATCH($B5275,Table14[SAPNo],0),3),"")</f>
        <v>1618 CT182 U-60 stator</v>
      </c>
      <c r="D5275" s="420" t="s">
        <v>12</v>
      </c>
      <c r="E5275" s="421">
        <v>10</v>
      </c>
      <c r="F5275" s="580"/>
      <c r="G5275" s="417" t="s">
        <v>3125</v>
      </c>
      <c r="H5275" s="598">
        <v>14418431</v>
      </c>
      <c r="I5275" s="322" t="s">
        <v>3126</v>
      </c>
      <c r="J5275" s="418"/>
      <c r="K5275" s="248"/>
      <c r="M5275" s="366"/>
    </row>
    <row r="5276" spans="1:13" x14ac:dyDescent="0.25">
      <c r="A5276" s="308">
        <v>45889</v>
      </c>
      <c r="B5276" s="416">
        <v>717748</v>
      </c>
      <c r="C5276" s="638" t="str">
        <f>IFERROR(INDEX(Table14[],MATCH($B5276,Table14[SAPNo],0),3),"")</f>
        <v>Round 1010 CT200  0.018" (B)</v>
      </c>
      <c r="D5276" s="420" t="s">
        <v>12</v>
      </c>
      <c r="E5276" s="421">
        <v>8</v>
      </c>
      <c r="F5276" s="580"/>
      <c r="G5276" s="417" t="s">
        <v>3127</v>
      </c>
      <c r="H5276" s="598" t="s">
        <v>3128</v>
      </c>
      <c r="I5276" s="322" t="s">
        <v>2362</v>
      </c>
      <c r="J5276" s="418"/>
      <c r="K5276" s="248"/>
      <c r="M5276" s="366"/>
    </row>
    <row r="5277" spans="1:13" x14ac:dyDescent="0.25">
      <c r="A5277" s="308">
        <v>45889</v>
      </c>
      <c r="B5277" s="416">
        <v>1100696</v>
      </c>
      <c r="C5277" s="638" t="str">
        <f>IFERROR(INDEX(Table14[],MATCH($B5277,Table14[SAPNo],0),3),"")</f>
        <v>Round 1313 CT418  10C (S)</v>
      </c>
      <c r="D5277" s="420" t="s">
        <v>11</v>
      </c>
      <c r="E5277" s="421">
        <v>1</v>
      </c>
      <c r="F5277" s="580"/>
      <c r="G5277" s="417">
        <v>20251113</v>
      </c>
      <c r="H5277" s="598" t="s">
        <v>3129</v>
      </c>
      <c r="I5277" s="322" t="s">
        <v>2590</v>
      </c>
      <c r="J5277" s="418"/>
      <c r="K5277" s="248"/>
      <c r="M5277" s="366"/>
    </row>
    <row r="5278" spans="1:13" x14ac:dyDescent="0.25">
      <c r="A5278" s="320">
        <v>45889</v>
      </c>
      <c r="B5278" s="419">
        <v>1146346</v>
      </c>
      <c r="C5278" s="638" t="str">
        <f>IFERROR(INDEX(Table14[],MATCH($B5278,Table14[SAPNo],0),3),"")</f>
        <v>1313 CT418 18-60</v>
      </c>
      <c r="D5278" s="420" t="s">
        <v>11</v>
      </c>
      <c r="E5278" s="421">
        <v>1</v>
      </c>
      <c r="F5278" s="580"/>
      <c r="G5278" s="420">
        <v>20251119</v>
      </c>
      <c r="H5278" s="599" t="s">
        <v>3130</v>
      </c>
      <c r="I5278" s="322" t="s">
        <v>1781</v>
      </c>
      <c r="J5278" s="421"/>
      <c r="K5278" s="422"/>
      <c r="M5278" s="366"/>
    </row>
    <row r="5279" spans="1:13" x14ac:dyDescent="0.25">
      <c r="A5279" s="308">
        <v>45894</v>
      </c>
      <c r="B5279" s="416">
        <v>2002186</v>
      </c>
      <c r="C5279" s="638" t="str">
        <f>IFERROR(INDEX(Table14[],MATCH($B5279,Table14[SAPNo],0),3),"")</f>
        <v>1313 CT187 U-60</v>
      </c>
      <c r="D5279" s="420" t="s">
        <v>12</v>
      </c>
      <c r="E5279" s="421"/>
      <c r="F5279" s="421">
        <v>65</v>
      </c>
      <c r="G5279" s="417" t="s">
        <v>2513</v>
      </c>
      <c r="H5279" s="598"/>
      <c r="I5279" s="322"/>
      <c r="J5279" s="418" t="s">
        <v>1022</v>
      </c>
      <c r="K5279" s="248"/>
      <c r="M5279" s="422"/>
    </row>
    <row r="5280" spans="1:13" x14ac:dyDescent="0.25">
      <c r="A5280" s="308">
        <v>45894</v>
      </c>
      <c r="B5280" s="416">
        <v>2002299</v>
      </c>
      <c r="C5280" s="638" t="str">
        <f>IFERROR(INDEX(Table14[],MATCH($B5280,Table14[SAPNo],0),3),"")</f>
        <v>1613 CT187 U-60</v>
      </c>
      <c r="D5280" s="420" t="s">
        <v>12</v>
      </c>
      <c r="E5280" s="421"/>
      <c r="F5280" s="580">
        <v>93</v>
      </c>
      <c r="G5280" s="417" t="s">
        <v>2513</v>
      </c>
      <c r="H5280" s="598"/>
      <c r="I5280" s="322"/>
      <c r="J5280" s="418" t="s">
        <v>1022</v>
      </c>
      <c r="K5280" s="248"/>
      <c r="M5280" s="366"/>
    </row>
    <row r="5281" spans="1:15" x14ac:dyDescent="0.25">
      <c r="A5281" s="308">
        <v>45894</v>
      </c>
      <c r="B5281" s="416">
        <v>2004484</v>
      </c>
      <c r="C5281" s="638" t="str">
        <f>IFERROR(INDEX(Table14[],MATCH($B5281,Table14[SAPNo],0),3),"")</f>
        <v>1308 CT187 U-60</v>
      </c>
      <c r="D5281" s="420" t="s">
        <v>12</v>
      </c>
      <c r="E5281" s="421"/>
      <c r="F5281" s="580">
        <v>36</v>
      </c>
      <c r="G5281" s="417" t="s">
        <v>2513</v>
      </c>
      <c r="H5281" s="598"/>
      <c r="I5281" s="322"/>
      <c r="J5281" s="418" t="s">
        <v>1019</v>
      </c>
      <c r="K5281" s="248"/>
      <c r="M5281" s="366"/>
    </row>
    <row r="5282" spans="1:15" x14ac:dyDescent="0.25">
      <c r="A5282" s="308">
        <v>45894</v>
      </c>
      <c r="B5282" s="416">
        <v>1220554</v>
      </c>
      <c r="C5282" s="638" t="str">
        <f>IFERROR(INDEX(Table14[],MATCH($B5282,Table14[SAPNo],0),3),"")</f>
        <v xml:space="preserve">1618 CT182 U-60 Carbide </v>
      </c>
      <c r="D5282" s="420" t="s">
        <v>12</v>
      </c>
      <c r="E5282" s="421"/>
      <c r="F5282" s="580">
        <v>178</v>
      </c>
      <c r="G5282" s="417" t="s">
        <v>2513</v>
      </c>
      <c r="H5282" s="598"/>
      <c r="I5282" s="322"/>
      <c r="J5282" s="418" t="s">
        <v>1022</v>
      </c>
      <c r="K5282" s="248"/>
      <c r="M5282" s="366"/>
    </row>
    <row r="5283" spans="1:15" x14ac:dyDescent="0.25">
      <c r="A5283" s="320">
        <v>45894</v>
      </c>
      <c r="B5283" s="419">
        <v>1220554</v>
      </c>
      <c r="C5283" s="638" t="str">
        <f>IFERROR(INDEX(Table14[],MATCH($B5283,Table14[SAPNo],0),3),"")</f>
        <v xml:space="preserve">1618 CT182 U-60 Carbide </v>
      </c>
      <c r="D5283" s="420" t="s">
        <v>12</v>
      </c>
      <c r="E5283" s="421"/>
      <c r="F5283" s="580">
        <v>22</v>
      </c>
      <c r="G5283" s="417" t="s">
        <v>2513</v>
      </c>
      <c r="H5283" s="598"/>
      <c r="I5283" s="322"/>
      <c r="J5283" s="421" t="s">
        <v>1019</v>
      </c>
      <c r="K5283" s="422"/>
      <c r="M5283" s="366"/>
    </row>
    <row r="5284" spans="1:15" x14ac:dyDescent="0.25">
      <c r="A5284" s="308">
        <v>45886</v>
      </c>
      <c r="B5284" s="416">
        <v>1078377</v>
      </c>
      <c r="C5284" s="638" t="str">
        <f>IFERROR(INDEX(Table14[],MATCH($B5284,Table14[SAPNo],0),3),"")</f>
        <v>13MM CT221 R1</v>
      </c>
      <c r="D5284" s="420" t="s">
        <v>12</v>
      </c>
      <c r="E5284" s="421">
        <v>2</v>
      </c>
      <c r="F5284" s="421"/>
      <c r="G5284" s="417" t="s">
        <v>3106</v>
      </c>
      <c r="H5284" s="598" t="s">
        <v>3107</v>
      </c>
      <c r="I5284" s="322" t="s">
        <v>2720</v>
      </c>
      <c r="J5284" s="418"/>
      <c r="K5284" s="248"/>
      <c r="M5284" s="422"/>
    </row>
    <row r="5285" spans="1:15" x14ac:dyDescent="0.25">
      <c r="A5285" s="308">
        <v>45893</v>
      </c>
      <c r="B5285" s="416">
        <v>418525</v>
      </c>
      <c r="C5285" s="638" t="str">
        <f>IFERROR(INDEX(Table14[],MATCH($B5285,Table14[SAPNo],0),3),"")</f>
        <v>Drop In 1308 CT31   (B)</v>
      </c>
      <c r="D5285" s="420" t="s">
        <v>12</v>
      </c>
      <c r="E5285" s="421">
        <v>6</v>
      </c>
      <c r="F5285" s="580"/>
      <c r="G5285" s="417" t="s">
        <v>3131</v>
      </c>
      <c r="H5285" s="598" t="s">
        <v>3132</v>
      </c>
      <c r="I5285" s="322" t="s">
        <v>2311</v>
      </c>
      <c r="J5285" s="418"/>
      <c r="K5285" s="248"/>
      <c r="M5285" s="366"/>
    </row>
    <row r="5286" spans="1:15" x14ac:dyDescent="0.25">
      <c r="A5286" s="308">
        <v>45893</v>
      </c>
      <c r="B5286" s="416">
        <v>1146737</v>
      </c>
      <c r="C5286" s="638" t="str">
        <f>IFERROR(INDEX(Table14[],MATCH($B5286,Table14[SAPNo],0),3),"")</f>
        <v>1613 CT418 18-60</v>
      </c>
      <c r="D5286" s="420" t="s">
        <v>12</v>
      </c>
      <c r="E5286" s="421">
        <v>6</v>
      </c>
      <c r="F5286" s="580"/>
      <c r="G5286" s="417" t="s">
        <v>3131</v>
      </c>
      <c r="H5286" s="598" t="s">
        <v>3132</v>
      </c>
      <c r="I5286" s="322" t="s">
        <v>2311</v>
      </c>
      <c r="J5286" s="418"/>
      <c r="K5286" s="248"/>
      <c r="M5286" s="366"/>
    </row>
    <row r="5287" spans="1:15" x14ac:dyDescent="0.25">
      <c r="A5287" s="308">
        <v>45893</v>
      </c>
      <c r="B5287" s="416">
        <v>1078377</v>
      </c>
      <c r="C5287" s="638" t="str">
        <f>IFERROR(INDEX(Table14[],MATCH($B5287,Table14[SAPNo],0),3),"")</f>
        <v>13MM CT221 R1</v>
      </c>
      <c r="D5287" s="420" t="s">
        <v>12</v>
      </c>
      <c r="E5287" s="421">
        <v>2</v>
      </c>
      <c r="F5287" s="580"/>
      <c r="G5287" s="417" t="s">
        <v>3131</v>
      </c>
      <c r="H5287" s="598" t="s">
        <v>3132</v>
      </c>
      <c r="I5287" s="322" t="s">
        <v>2311</v>
      </c>
      <c r="J5287" s="418"/>
      <c r="K5287" s="248"/>
      <c r="M5287" s="366"/>
    </row>
    <row r="5288" spans="1:15" x14ac:dyDescent="0.25">
      <c r="A5288" s="308">
        <v>45893</v>
      </c>
      <c r="B5288" s="416">
        <v>418525</v>
      </c>
      <c r="C5288" s="638" t="str">
        <f>IFERROR(INDEX(Table14[],MATCH($B5288,Table14[SAPNo],0),3),"")</f>
        <v>Drop In 1308 CT31   (B)</v>
      </c>
      <c r="D5288" s="420" t="s">
        <v>12</v>
      </c>
      <c r="E5288" s="421">
        <v>6</v>
      </c>
      <c r="F5288" s="580"/>
      <c r="G5288" s="417" t="s">
        <v>3133</v>
      </c>
      <c r="H5288" s="598" t="s">
        <v>3134</v>
      </c>
      <c r="I5288" s="322" t="s">
        <v>3135</v>
      </c>
      <c r="J5288" s="418"/>
      <c r="K5288" s="248"/>
      <c r="M5288" s="366"/>
    </row>
    <row r="5289" spans="1:15" x14ac:dyDescent="0.25">
      <c r="A5289" s="308">
        <v>45893</v>
      </c>
      <c r="B5289" s="416">
        <v>1288783</v>
      </c>
      <c r="C5289" s="638" t="str">
        <f>IFERROR(INDEX(Table14[],MATCH($B5289,Table14[SAPNo],0),3),"")</f>
        <v>1613 CT179 18-60</v>
      </c>
      <c r="D5289" s="420" t="s">
        <v>12</v>
      </c>
      <c r="E5289" s="421">
        <v>2</v>
      </c>
      <c r="F5289" s="580"/>
      <c r="G5289" s="417" t="s">
        <v>3133</v>
      </c>
      <c r="H5289" s="598" t="s">
        <v>3134</v>
      </c>
      <c r="I5289" s="322" t="s">
        <v>3135</v>
      </c>
      <c r="J5289" s="418"/>
      <c r="K5289" s="248"/>
      <c r="M5289" s="366"/>
    </row>
    <row r="5290" spans="1:15" x14ac:dyDescent="0.25">
      <c r="A5290" s="320">
        <v>45893</v>
      </c>
      <c r="B5290" s="419">
        <v>1146737</v>
      </c>
      <c r="C5290" s="638" t="str">
        <f>IFERROR(INDEX(Table14[],MATCH($B5290,Table14[SAPNo],0),3),"")</f>
        <v>1613 CT418 18-60</v>
      </c>
      <c r="D5290" s="420" t="s">
        <v>12</v>
      </c>
      <c r="E5290" s="421">
        <v>6</v>
      </c>
      <c r="F5290" s="580"/>
      <c r="G5290" s="420" t="s">
        <v>3133</v>
      </c>
      <c r="H5290" s="598" t="s">
        <v>3134</v>
      </c>
      <c r="I5290" s="322" t="s">
        <v>3135</v>
      </c>
      <c r="J5290" s="421"/>
      <c r="K5290" s="422"/>
      <c r="M5290" s="366"/>
    </row>
    <row r="5291" spans="1:15" x14ac:dyDescent="0.25">
      <c r="A5291" s="308">
        <v>45894</v>
      </c>
      <c r="B5291" s="416">
        <v>871781</v>
      </c>
      <c r="C5291" s="638" t="str">
        <f>IFERROR(INDEX(Table14[],MATCH($B5291,Table14[SAPNo],0),3),"")</f>
        <v>Round 1313 CT200  0.018" (B)</v>
      </c>
      <c r="D5291" s="420" t="s">
        <v>12</v>
      </c>
      <c r="E5291" s="421">
        <v>6</v>
      </c>
      <c r="F5291" s="421"/>
      <c r="G5291" s="417" t="s">
        <v>3136</v>
      </c>
      <c r="H5291" s="598">
        <v>14403083</v>
      </c>
      <c r="I5291" s="322" t="s">
        <v>3137</v>
      </c>
      <c r="J5291" s="418"/>
      <c r="K5291" s="248"/>
      <c r="M5291" s="422"/>
    </row>
    <row r="5292" spans="1:15" x14ac:dyDescent="0.25">
      <c r="A5292" s="308">
        <v>45894</v>
      </c>
      <c r="B5292" s="416">
        <v>647435</v>
      </c>
      <c r="C5292" s="638" t="str">
        <f>IFERROR(INDEX(Table14[],MATCH($B5292,Table14[SAPNo],0),3),"")</f>
        <v>Round 1608 CT200  0.018" (B)</v>
      </c>
      <c r="D5292" s="420" t="s">
        <v>12</v>
      </c>
      <c r="E5292" s="421">
        <v>23</v>
      </c>
      <c r="F5292" s="580"/>
      <c r="G5292" s="417" t="s">
        <v>3136</v>
      </c>
      <c r="H5292" s="598">
        <v>14403083</v>
      </c>
      <c r="I5292" s="322" t="s">
        <v>3137</v>
      </c>
      <c r="J5292" s="418"/>
      <c r="K5292" s="248"/>
      <c r="M5292" s="366"/>
    </row>
    <row r="5293" spans="1:15" x14ac:dyDescent="0.25">
      <c r="A5293" s="308">
        <v>45894</v>
      </c>
      <c r="B5293" s="416">
        <v>1126402</v>
      </c>
      <c r="C5293" s="638" t="str">
        <f>IFERROR(INDEX(Table14[],MATCH($B5293,Table14[SAPNo],0),3),"")</f>
        <v>1613 CT421 16-60</v>
      </c>
      <c r="D5293" s="420" t="s">
        <v>12</v>
      </c>
      <c r="E5293" s="421">
        <v>33</v>
      </c>
      <c r="F5293" s="580"/>
      <c r="G5293" s="417" t="s">
        <v>3136</v>
      </c>
      <c r="H5293" s="598">
        <v>14403083</v>
      </c>
      <c r="I5293" s="322" t="s">
        <v>3137</v>
      </c>
      <c r="J5293" s="418"/>
      <c r="K5293" s="248"/>
      <c r="M5293" s="366"/>
    </row>
    <row r="5294" spans="1:15" x14ac:dyDescent="0.25">
      <c r="A5294" s="308">
        <v>45894</v>
      </c>
      <c r="B5294" s="416">
        <v>418525</v>
      </c>
      <c r="C5294" s="638" t="str">
        <f>IFERROR(INDEX(Table14[],MATCH($B5294,Table14[SAPNo],0),3),"")</f>
        <v>Drop In 1308 CT31   (B)</v>
      </c>
      <c r="D5294" s="420" t="s">
        <v>12</v>
      </c>
      <c r="E5294" s="421">
        <v>6</v>
      </c>
      <c r="F5294" s="580"/>
      <c r="G5294" s="417" t="s">
        <v>3138</v>
      </c>
      <c r="H5294" s="598">
        <v>14414031</v>
      </c>
      <c r="I5294" s="322" t="s">
        <v>3139</v>
      </c>
      <c r="J5294" s="418"/>
      <c r="K5294" s="248"/>
      <c r="M5294" s="366"/>
    </row>
    <row r="5295" spans="1:15" x14ac:dyDescent="0.25">
      <c r="A5295" s="308">
        <v>45894</v>
      </c>
      <c r="B5295" s="416">
        <v>1288783</v>
      </c>
      <c r="C5295" s="638" t="str">
        <f>IFERROR(INDEX(Table14[],MATCH($B5295,Table14[SAPNo],0),3),"")</f>
        <v>1613 CT179 18-60</v>
      </c>
      <c r="D5295" s="420" t="s">
        <v>12</v>
      </c>
      <c r="E5295" s="421">
        <v>17</v>
      </c>
      <c r="F5295" s="580"/>
      <c r="G5295" s="417" t="s">
        <v>3138</v>
      </c>
      <c r="H5295" s="598">
        <v>14414031</v>
      </c>
      <c r="I5295" s="322" t="s">
        <v>3139</v>
      </c>
      <c r="J5295" s="418"/>
      <c r="K5295" s="248"/>
      <c r="M5295" s="366"/>
    </row>
    <row r="5296" spans="1:15" x14ac:dyDescent="0.25">
      <c r="A5296" s="308">
        <v>45894</v>
      </c>
      <c r="B5296" s="416">
        <v>1208601</v>
      </c>
      <c r="C5296" s="638" t="str">
        <f>IFERROR(INDEX(Table14[],MATCH($B5296,Table14[SAPNo],0),3),"")</f>
        <v>1613 CT418 U-60</v>
      </c>
      <c r="D5296" s="420" t="s">
        <v>12</v>
      </c>
      <c r="E5296" s="421">
        <v>8</v>
      </c>
      <c r="F5296" s="580"/>
      <c r="G5296" s="417" t="s">
        <v>3138</v>
      </c>
      <c r="H5296" s="598">
        <v>14414031</v>
      </c>
      <c r="I5296" s="322" t="s">
        <v>3139</v>
      </c>
      <c r="J5296" s="418"/>
      <c r="K5296" s="248"/>
      <c r="M5296" s="366"/>
      <c r="O5296">
        <v>3</v>
      </c>
    </row>
    <row r="5297" spans="1:15" x14ac:dyDescent="0.25">
      <c r="A5297" s="308">
        <v>45894</v>
      </c>
      <c r="B5297" s="416">
        <v>1146737</v>
      </c>
      <c r="C5297" s="638" t="str">
        <f>IFERROR(INDEX(Table14[],MATCH($B5297,Table14[SAPNo],0),3),"")</f>
        <v>1613 CT418 18-60</v>
      </c>
      <c r="D5297" s="420" t="s">
        <v>12</v>
      </c>
      <c r="E5297" s="421">
        <v>6</v>
      </c>
      <c r="F5297" s="580"/>
      <c r="G5297" s="417" t="s">
        <v>3138</v>
      </c>
      <c r="H5297" s="598">
        <v>14414031</v>
      </c>
      <c r="I5297" s="322" t="s">
        <v>3139</v>
      </c>
      <c r="J5297" s="418"/>
      <c r="K5297" s="248"/>
      <c r="M5297" s="366"/>
      <c r="O5297">
        <v>98</v>
      </c>
    </row>
    <row r="5298" spans="1:15" x14ac:dyDescent="0.25">
      <c r="A5298" s="308">
        <v>45894</v>
      </c>
      <c r="B5298" s="416">
        <v>1078377</v>
      </c>
      <c r="C5298" s="638" t="str">
        <f>IFERROR(INDEX(Table14[],MATCH($B5298,Table14[SAPNo],0),3),"")</f>
        <v>13MM CT221 R1</v>
      </c>
      <c r="D5298" s="420" t="s">
        <v>12</v>
      </c>
      <c r="E5298" s="421">
        <v>15</v>
      </c>
      <c r="F5298" s="580"/>
      <c r="G5298" s="417" t="s">
        <v>3138</v>
      </c>
      <c r="H5298" s="598">
        <v>14414031</v>
      </c>
      <c r="I5298" s="322" t="s">
        <v>3139</v>
      </c>
      <c r="J5298" s="418"/>
      <c r="K5298" s="248"/>
      <c r="M5298" s="366"/>
      <c r="O5298">
        <v>80</v>
      </c>
    </row>
    <row r="5299" spans="1:15" x14ac:dyDescent="0.25">
      <c r="A5299" s="308">
        <v>45894</v>
      </c>
      <c r="B5299" s="416">
        <v>871781</v>
      </c>
      <c r="C5299" s="638" t="str">
        <f>IFERROR(INDEX(Table14[],MATCH($B5299,Table14[SAPNo],0),3),"")</f>
        <v>Round 1313 CT200  0.018" (B)</v>
      </c>
      <c r="D5299" s="420" t="s">
        <v>12</v>
      </c>
      <c r="E5299" s="421">
        <v>6</v>
      </c>
      <c r="F5299" s="580"/>
      <c r="G5299" s="417" t="s">
        <v>3140</v>
      </c>
      <c r="H5299" s="598">
        <v>14418433</v>
      </c>
      <c r="I5299" s="322" t="s">
        <v>3141</v>
      </c>
      <c r="J5299" s="418"/>
      <c r="K5299" s="248"/>
      <c r="M5299" s="366"/>
      <c r="O5299">
        <v>25</v>
      </c>
    </row>
    <row r="5300" spans="1:15" x14ac:dyDescent="0.25">
      <c r="A5300" s="308">
        <v>45894</v>
      </c>
      <c r="B5300" s="416">
        <v>2002299</v>
      </c>
      <c r="C5300" s="638" t="str">
        <f>IFERROR(INDEX(Table14[],MATCH($B5300,Table14[SAPNo],0),3),"")</f>
        <v>1613 CT187 U-60</v>
      </c>
      <c r="D5300" s="420" t="s">
        <v>12</v>
      </c>
      <c r="E5300" s="421">
        <v>4</v>
      </c>
      <c r="F5300" s="580"/>
      <c r="G5300" s="417" t="s">
        <v>3140</v>
      </c>
      <c r="H5300" s="598">
        <v>14418433</v>
      </c>
      <c r="I5300" s="322" t="s">
        <v>3141</v>
      </c>
      <c r="J5300" s="418"/>
      <c r="K5300" s="248"/>
      <c r="M5300" s="366"/>
    </row>
    <row r="5301" spans="1:15" x14ac:dyDescent="0.25">
      <c r="A5301" s="308">
        <v>45894</v>
      </c>
      <c r="B5301" s="416">
        <v>2002243</v>
      </c>
      <c r="C5301" s="638" t="str">
        <f>IFERROR(INDEX(Table14[],MATCH($B5301,Table14[SAPNo],0),3),"")</f>
        <v>1308 CT188 U-60</v>
      </c>
      <c r="D5301" s="420" t="s">
        <v>12</v>
      </c>
      <c r="E5301" s="421">
        <v>15</v>
      </c>
      <c r="F5301" s="580"/>
      <c r="G5301" s="417" t="s">
        <v>3140</v>
      </c>
      <c r="H5301" s="598">
        <v>14418433</v>
      </c>
      <c r="I5301" s="322" t="s">
        <v>3141</v>
      </c>
      <c r="J5301" s="418"/>
      <c r="K5301" s="248"/>
      <c r="M5301" s="366"/>
    </row>
    <row r="5302" spans="1:15" x14ac:dyDescent="0.25">
      <c r="A5302" s="308">
        <v>45894</v>
      </c>
      <c r="B5302" s="416">
        <v>2002186</v>
      </c>
      <c r="C5302" s="638" t="str">
        <f>IFERROR(INDEX(Table14[],MATCH($B5302,Table14[SAPNo],0),3),"")</f>
        <v>1313 CT187 U-60</v>
      </c>
      <c r="D5302" s="420" t="s">
        <v>12</v>
      </c>
      <c r="E5302" s="421">
        <v>15</v>
      </c>
      <c r="F5302" s="580"/>
      <c r="G5302" s="417" t="s">
        <v>3140</v>
      </c>
      <c r="H5302" s="598">
        <v>14418433</v>
      </c>
      <c r="I5302" s="322" t="s">
        <v>3141</v>
      </c>
      <c r="J5302" s="418"/>
      <c r="K5302" s="248"/>
      <c r="M5302" s="366"/>
      <c r="O5302">
        <v>206</v>
      </c>
    </row>
    <row r="5303" spans="1:15" x14ac:dyDescent="0.25">
      <c r="A5303" s="308">
        <v>45894</v>
      </c>
      <c r="B5303" s="416">
        <v>1228503</v>
      </c>
      <c r="C5303" s="638" t="str">
        <f>IFERROR(INDEX(Table14[],MATCH($B5303,Table14[SAPNo],0),3),"")</f>
        <v>1618 CT182 U-60 Ring</v>
      </c>
      <c r="D5303" s="420" t="s">
        <v>12</v>
      </c>
      <c r="E5303" s="421">
        <v>10</v>
      </c>
      <c r="F5303" s="580"/>
      <c r="G5303" s="417" t="s">
        <v>3140</v>
      </c>
      <c r="H5303" s="598">
        <v>14418433</v>
      </c>
      <c r="I5303" s="322" t="s">
        <v>3141</v>
      </c>
      <c r="J5303" s="418"/>
      <c r="K5303" s="248"/>
      <c r="M5303" s="366"/>
      <c r="O5303">
        <v>2378</v>
      </c>
    </row>
    <row r="5304" spans="1:15" x14ac:dyDescent="0.25">
      <c r="A5304" s="308">
        <v>45894</v>
      </c>
      <c r="B5304" s="416">
        <v>1228502</v>
      </c>
      <c r="C5304" s="638" t="str">
        <f>IFERROR(INDEX(Table14[],MATCH($B5304,Table14[SAPNo],0),3),"")</f>
        <v>1618 CT182 U-60 Rotor</v>
      </c>
      <c r="D5304" s="420" t="s">
        <v>12</v>
      </c>
      <c r="E5304" s="421">
        <v>10</v>
      </c>
      <c r="F5304" s="580"/>
      <c r="G5304" s="417" t="s">
        <v>3140</v>
      </c>
      <c r="H5304" s="598">
        <v>14418433</v>
      </c>
      <c r="I5304" s="322" t="s">
        <v>3141</v>
      </c>
      <c r="J5304" s="418"/>
      <c r="K5304" s="248"/>
      <c r="M5304" s="366"/>
    </row>
    <row r="5305" spans="1:15" x14ac:dyDescent="0.25">
      <c r="A5305" s="320">
        <v>45894</v>
      </c>
      <c r="B5305" s="419">
        <v>1228501</v>
      </c>
      <c r="C5305" s="638" t="str">
        <f>IFERROR(INDEX(Table14[],MATCH($B5305,Table14[SAPNo],0),3),"")</f>
        <v>1618 CT182 U-60 stator</v>
      </c>
      <c r="D5305" s="420" t="s">
        <v>12</v>
      </c>
      <c r="E5305" s="421">
        <v>10</v>
      </c>
      <c r="F5305" s="580"/>
      <c r="G5305" s="420" t="s">
        <v>3140</v>
      </c>
      <c r="H5305" s="598">
        <v>14418433</v>
      </c>
      <c r="I5305" s="322" t="s">
        <v>3141</v>
      </c>
      <c r="J5305" s="421"/>
      <c r="K5305" s="422"/>
      <c r="M5305" s="366"/>
    </row>
    <row r="5306" spans="1:15" x14ac:dyDescent="0.25">
      <c r="A5306" s="320">
        <v>45894</v>
      </c>
      <c r="B5306" s="419">
        <v>1220554</v>
      </c>
      <c r="C5306" s="638" t="str">
        <f>IFERROR(INDEX(Table14[],MATCH($B5306,Table14[SAPNo],0),3),"")</f>
        <v xml:space="preserve">1618 CT182 U-60 Carbide </v>
      </c>
      <c r="D5306" s="420" t="s">
        <v>12</v>
      </c>
      <c r="E5306" s="421">
        <v>10</v>
      </c>
      <c r="F5306" s="421"/>
      <c r="G5306" s="420" t="s">
        <v>3140</v>
      </c>
      <c r="H5306" s="598">
        <v>14418433</v>
      </c>
      <c r="I5306" s="322" t="s">
        <v>3141</v>
      </c>
      <c r="J5306" s="421"/>
      <c r="K5306" s="422"/>
      <c r="M5306" s="422"/>
    </row>
    <row r="5307" spans="1:15" x14ac:dyDescent="0.25">
      <c r="A5307" s="308">
        <v>45896</v>
      </c>
      <c r="B5307" s="416">
        <v>1199261</v>
      </c>
      <c r="C5307" s="638" t="str">
        <f>IFERROR(INDEX(Table14[],MATCH($B5307,Table14[SAPNo],0),3),"")</f>
        <v>1010 CT158 0.018"</v>
      </c>
      <c r="D5307" s="420" t="s">
        <v>12</v>
      </c>
      <c r="E5307" s="421"/>
      <c r="F5307" s="580">
        <v>3</v>
      </c>
      <c r="G5307" s="417" t="s">
        <v>2513</v>
      </c>
      <c r="H5307" s="598"/>
      <c r="I5307" s="322"/>
      <c r="J5307" s="418" t="s">
        <v>1019</v>
      </c>
      <c r="K5307" s="248"/>
      <c r="M5307" s="422"/>
    </row>
    <row r="5308" spans="1:15" x14ac:dyDescent="0.25">
      <c r="A5308" s="308">
        <v>45896</v>
      </c>
      <c r="B5308" s="416">
        <v>1291852</v>
      </c>
      <c r="C5308" s="638" t="str">
        <f>IFERROR(INDEX(Table14[],MATCH($B5308,Table14[SAPNo],0),3),"")</f>
        <v>1613 U CT186R U</v>
      </c>
      <c r="D5308" s="420" t="s">
        <v>12</v>
      </c>
      <c r="E5308" s="421"/>
      <c r="F5308" s="580">
        <v>98</v>
      </c>
      <c r="G5308" s="417" t="s">
        <v>2513</v>
      </c>
      <c r="H5308" s="598"/>
      <c r="I5308" s="322"/>
      <c r="J5308" s="418" t="s">
        <v>1022</v>
      </c>
      <c r="K5308" s="248"/>
      <c r="M5308" s="366"/>
    </row>
    <row r="5309" spans="1:15" x14ac:dyDescent="0.25">
      <c r="A5309" s="320">
        <v>45896</v>
      </c>
      <c r="B5309" s="419">
        <v>2002186</v>
      </c>
      <c r="C5309" s="638" t="str">
        <f>IFERROR(INDEX(Table14[],MATCH($B5309,Table14[SAPNo],0),3),"")</f>
        <v>1313 CT187 U-60</v>
      </c>
      <c r="D5309" s="420" t="s">
        <v>12</v>
      </c>
      <c r="E5309" s="421"/>
      <c r="F5309" s="580">
        <v>80</v>
      </c>
      <c r="G5309" s="417" t="s">
        <v>2513</v>
      </c>
      <c r="H5309" s="599"/>
      <c r="I5309" s="322"/>
      <c r="J5309" s="421" t="s">
        <v>1022</v>
      </c>
      <c r="K5309" s="422"/>
      <c r="M5309" s="366"/>
    </row>
    <row r="5310" spans="1:15" x14ac:dyDescent="0.25">
      <c r="A5310" s="320">
        <v>45896</v>
      </c>
      <c r="B5310" s="419">
        <v>1146738</v>
      </c>
      <c r="C5310" s="638" t="str">
        <f>IFERROR(INDEX(Table14[],MATCH($B5310,Table14[SAPNo],0),3),"")</f>
        <v>1913 CT418 18-60</v>
      </c>
      <c r="D5310" s="420" t="s">
        <v>12</v>
      </c>
      <c r="E5310" s="421"/>
      <c r="F5310" s="421">
        <v>25</v>
      </c>
      <c r="G5310" s="420" t="s">
        <v>2513</v>
      </c>
      <c r="H5310" s="599"/>
      <c r="I5310" s="322"/>
      <c r="J5310" s="421" t="s">
        <v>1024</v>
      </c>
      <c r="K5310" s="422"/>
      <c r="M5310" s="422"/>
    </row>
    <row r="5311" spans="1:15" x14ac:dyDescent="0.25">
      <c r="A5311" s="308">
        <v>45895</v>
      </c>
      <c r="B5311" s="416">
        <v>1146346</v>
      </c>
      <c r="C5311" s="638" t="str">
        <f>IFERROR(INDEX(Table14[],MATCH($B5311,Table14[SAPNo],0),3),"")</f>
        <v>1313 CT418 18-60</v>
      </c>
      <c r="D5311" s="420" t="s">
        <v>12</v>
      </c>
      <c r="E5311" s="421">
        <v>16</v>
      </c>
      <c r="F5311" s="421"/>
      <c r="G5311" s="417" t="s">
        <v>3142</v>
      </c>
      <c r="H5311" s="598">
        <v>14254493</v>
      </c>
      <c r="I5311" s="322" t="s">
        <v>3143</v>
      </c>
      <c r="J5311" s="418"/>
      <c r="K5311" s="248"/>
      <c r="M5311" s="422"/>
    </row>
    <row r="5312" spans="1:15" x14ac:dyDescent="0.25">
      <c r="A5312" s="308">
        <v>45895</v>
      </c>
      <c r="B5312" s="416">
        <v>1272309</v>
      </c>
      <c r="C5312" s="638" t="str">
        <f>IFERROR(INDEX(Table14[],MATCH($B5312,Table14[SAPNo],0),3),"")</f>
        <v>1313 CT170T U</v>
      </c>
      <c r="D5312" s="420" t="s">
        <v>12</v>
      </c>
      <c r="E5312" s="421">
        <v>7</v>
      </c>
      <c r="F5312" s="580"/>
      <c r="G5312" s="417" t="s">
        <v>3142</v>
      </c>
      <c r="H5312" s="598">
        <v>14254493</v>
      </c>
      <c r="I5312" s="322" t="s">
        <v>3143</v>
      </c>
      <c r="J5312" s="418"/>
      <c r="K5312" s="248"/>
      <c r="M5312" s="366"/>
    </row>
    <row r="5313" spans="1:13" x14ac:dyDescent="0.25">
      <c r="A5313" s="308">
        <v>45895</v>
      </c>
      <c r="B5313" s="416">
        <v>418525</v>
      </c>
      <c r="C5313" s="638" t="str">
        <f>IFERROR(INDEX(Table14[],MATCH($B5313,Table14[SAPNo],0),3),"")</f>
        <v>Drop In 1308 CT31   (B)</v>
      </c>
      <c r="D5313" s="420" t="s">
        <v>12</v>
      </c>
      <c r="E5313" s="421">
        <v>10</v>
      </c>
      <c r="F5313" s="580"/>
      <c r="G5313" s="417" t="s">
        <v>3142</v>
      </c>
      <c r="H5313" s="598">
        <v>14254493</v>
      </c>
      <c r="I5313" s="322" t="s">
        <v>3143</v>
      </c>
      <c r="J5313" s="418"/>
      <c r="K5313" s="248"/>
      <c r="M5313" s="366"/>
    </row>
    <row r="5314" spans="1:13" x14ac:dyDescent="0.25">
      <c r="A5314" s="308">
        <v>45895</v>
      </c>
      <c r="B5314" s="416">
        <v>1288783</v>
      </c>
      <c r="C5314" s="638" t="str">
        <f>IFERROR(INDEX(Table14[],MATCH($B5314,Table14[SAPNo],0),3),"")</f>
        <v>1613 CT179 18-60</v>
      </c>
      <c r="D5314" s="420" t="s">
        <v>12</v>
      </c>
      <c r="E5314" s="421">
        <v>30</v>
      </c>
      <c r="F5314" s="580"/>
      <c r="G5314" s="417" t="s">
        <v>3144</v>
      </c>
      <c r="H5314" s="598">
        <v>14210788</v>
      </c>
      <c r="I5314" s="322" t="s">
        <v>3145</v>
      </c>
      <c r="J5314" s="418"/>
      <c r="K5314" s="248"/>
      <c r="M5314" s="366"/>
    </row>
    <row r="5315" spans="1:13" x14ac:dyDescent="0.25">
      <c r="A5315" s="308">
        <v>45895</v>
      </c>
      <c r="B5315" s="416">
        <v>1100751</v>
      </c>
      <c r="C5315" s="638" t="str">
        <f>IFERROR(INDEX(Table14[],MATCH($B5315,Table14[SAPNo],0),3),"")</f>
        <v>1313 CT421 0.018"</v>
      </c>
      <c r="D5315" s="420" t="s">
        <v>12</v>
      </c>
      <c r="E5315" s="421">
        <v>22</v>
      </c>
      <c r="F5315" s="580"/>
      <c r="G5315" s="417" t="s">
        <v>3144</v>
      </c>
      <c r="H5315" s="598">
        <v>14210788</v>
      </c>
      <c r="I5315" s="322" t="s">
        <v>3145</v>
      </c>
      <c r="J5315" s="418"/>
      <c r="K5315" s="248"/>
      <c r="M5315" s="366"/>
    </row>
    <row r="5316" spans="1:13" x14ac:dyDescent="0.25">
      <c r="A5316" s="308">
        <v>45895</v>
      </c>
      <c r="B5316" s="416">
        <v>1146737</v>
      </c>
      <c r="C5316" s="638" t="str">
        <f>IFERROR(INDEX(Table14[],MATCH($B5316,Table14[SAPNo],0),3),"")</f>
        <v>1613 CT418 18-60</v>
      </c>
      <c r="D5316" s="420" t="s">
        <v>12</v>
      </c>
      <c r="E5316" s="421">
        <v>10</v>
      </c>
      <c r="F5316" s="580"/>
      <c r="G5316" s="417" t="s">
        <v>3144</v>
      </c>
      <c r="H5316" s="598">
        <v>14210788</v>
      </c>
      <c r="I5316" s="322" t="s">
        <v>3145</v>
      </c>
      <c r="J5316" s="418"/>
      <c r="K5316" s="248"/>
      <c r="M5316" s="366"/>
    </row>
    <row r="5317" spans="1:13" x14ac:dyDescent="0.25">
      <c r="A5317" s="308">
        <v>45895</v>
      </c>
      <c r="B5317" s="416">
        <v>1282370</v>
      </c>
      <c r="C5317" s="638" t="str">
        <f>IFERROR(INDEX(Table14[],MATCH($B5317,Table14[SAPNo],0),3),"")</f>
        <v>1613 CT436Mv3 U-60</v>
      </c>
      <c r="D5317" s="420" t="s">
        <v>12</v>
      </c>
      <c r="E5317" s="421">
        <v>10</v>
      </c>
      <c r="F5317" s="580"/>
      <c r="G5317" s="417" t="s">
        <v>3144</v>
      </c>
      <c r="H5317" s="598">
        <v>14210788</v>
      </c>
      <c r="I5317" s="322" t="s">
        <v>3145</v>
      </c>
      <c r="J5317" s="418"/>
      <c r="K5317" s="248"/>
      <c r="M5317" s="366"/>
    </row>
    <row r="5318" spans="1:13" x14ac:dyDescent="0.25">
      <c r="A5318" s="308">
        <v>45895</v>
      </c>
      <c r="B5318" s="416">
        <v>871781</v>
      </c>
      <c r="C5318" s="638" t="str">
        <f>IFERROR(INDEX(Table14[],MATCH($B5318,Table14[SAPNo],0),3),"")</f>
        <v>Round 1313 CT200  0.018" (B)</v>
      </c>
      <c r="D5318" s="420" t="s">
        <v>12</v>
      </c>
      <c r="E5318" s="421">
        <v>5</v>
      </c>
      <c r="F5318" s="580"/>
      <c r="G5318" s="417" t="s">
        <v>3144</v>
      </c>
      <c r="H5318" s="598">
        <v>14210788</v>
      </c>
      <c r="I5318" s="322" t="s">
        <v>3145</v>
      </c>
      <c r="J5318" s="418"/>
      <c r="K5318" s="248"/>
      <c r="M5318" s="366"/>
    </row>
    <row r="5319" spans="1:13" x14ac:dyDescent="0.25">
      <c r="A5319" s="308">
        <v>45896</v>
      </c>
      <c r="B5319" s="416">
        <v>1078377</v>
      </c>
      <c r="C5319" s="638" t="str">
        <f>IFERROR(INDEX(Table14[],MATCH($B5319,Table14[SAPNo],0),3),"")</f>
        <v>13MM CT221 R1</v>
      </c>
      <c r="D5319" s="420" t="s">
        <v>12</v>
      </c>
      <c r="E5319" s="421">
        <v>15</v>
      </c>
      <c r="F5319" s="580"/>
      <c r="G5319" s="417" t="s">
        <v>3146</v>
      </c>
      <c r="H5319" s="598">
        <v>13655576</v>
      </c>
      <c r="I5319" s="322" t="s">
        <v>3147</v>
      </c>
      <c r="J5319" s="418"/>
      <c r="K5319" s="248"/>
      <c r="M5319" s="366"/>
    </row>
    <row r="5320" spans="1:13" x14ac:dyDescent="0.25">
      <c r="A5320" s="308">
        <v>45896</v>
      </c>
      <c r="B5320" s="416">
        <v>418525</v>
      </c>
      <c r="C5320" s="638" t="str">
        <f>IFERROR(INDEX(Table14[],MATCH($B5320,Table14[SAPNo],0),3),"")</f>
        <v>Drop In 1308 CT31   (B)</v>
      </c>
      <c r="D5320" s="420" t="s">
        <v>12</v>
      </c>
      <c r="E5320" s="421">
        <v>6</v>
      </c>
      <c r="F5320" s="580"/>
      <c r="G5320" s="417" t="s">
        <v>3146</v>
      </c>
      <c r="H5320" s="598">
        <v>13655576</v>
      </c>
      <c r="I5320" s="322" t="s">
        <v>3147</v>
      </c>
      <c r="J5320" s="418"/>
      <c r="K5320" s="248"/>
      <c r="M5320" s="366"/>
    </row>
    <row r="5321" spans="1:13" x14ac:dyDescent="0.25">
      <c r="A5321" s="308">
        <v>45896</v>
      </c>
      <c r="B5321" s="416">
        <v>983150</v>
      </c>
      <c r="C5321" s="638" t="str">
        <f>IFERROR(INDEX(Table14[],MATCH($B5321,Table14[SAPNo],0),3),"")</f>
        <v>Round 1613 CT216  0.018" (S)</v>
      </c>
      <c r="D5321" s="420" t="s">
        <v>8</v>
      </c>
      <c r="E5321" s="421">
        <v>31</v>
      </c>
      <c r="F5321" s="580"/>
      <c r="G5321" s="417" t="s">
        <v>3146</v>
      </c>
      <c r="H5321" s="598">
        <v>13655576</v>
      </c>
      <c r="I5321" s="322" t="s">
        <v>3147</v>
      </c>
      <c r="J5321" s="418"/>
      <c r="K5321" s="248" t="s">
        <v>3068</v>
      </c>
      <c r="M5321" s="366"/>
    </row>
    <row r="5322" spans="1:13" x14ac:dyDescent="0.25">
      <c r="A5322" s="308">
        <v>45895</v>
      </c>
      <c r="B5322" s="416">
        <v>1146346</v>
      </c>
      <c r="C5322" s="638" t="str">
        <f>IFERROR(INDEX(Table14[],MATCH($B5322,Table14[SAPNo],0),3),"")</f>
        <v>1313 CT418 18-60</v>
      </c>
      <c r="D5322" s="420" t="s">
        <v>12</v>
      </c>
      <c r="E5322" s="421">
        <v>12</v>
      </c>
      <c r="F5322" s="580"/>
      <c r="G5322" s="417" t="s">
        <v>3148</v>
      </c>
      <c r="H5322" s="598">
        <v>14304772</v>
      </c>
      <c r="I5322" s="322" t="s">
        <v>2856</v>
      </c>
      <c r="J5322" s="418"/>
      <c r="K5322" s="248"/>
      <c r="M5322" s="366"/>
    </row>
    <row r="5323" spans="1:13" x14ac:dyDescent="0.25">
      <c r="A5323" s="308">
        <v>45895</v>
      </c>
      <c r="B5323" s="416">
        <v>1101509</v>
      </c>
      <c r="C5323" s="638" t="str">
        <f>IFERROR(INDEX(Table14[],MATCH($B5323,Table14[SAPNo],0),3),"")</f>
        <v>Short IA 8    (C)</v>
      </c>
      <c r="D5323" s="420" t="s">
        <v>12</v>
      </c>
      <c r="E5323" s="421">
        <v>5</v>
      </c>
      <c r="F5323" s="580"/>
      <c r="G5323" s="417" t="s">
        <v>3148</v>
      </c>
      <c r="H5323" s="598">
        <v>14304772</v>
      </c>
      <c r="I5323" s="322" t="s">
        <v>2856</v>
      </c>
      <c r="J5323" s="418"/>
      <c r="K5323" s="248"/>
      <c r="M5323" s="366"/>
    </row>
    <row r="5324" spans="1:13" x14ac:dyDescent="0.25">
      <c r="A5324" s="308">
        <v>45895</v>
      </c>
      <c r="B5324" s="416">
        <v>1104083</v>
      </c>
      <c r="C5324" s="638" t="str">
        <f>IFERROR(INDEX(Table14[],MATCH($B5324,Table14[SAPNo],0),3),"")</f>
        <v>1313 CT144H  10C (S)</v>
      </c>
      <c r="D5324" s="420" t="s">
        <v>12</v>
      </c>
      <c r="E5324" s="421">
        <v>1</v>
      </c>
      <c r="F5324" s="580"/>
      <c r="G5324" s="417" t="s">
        <v>3148</v>
      </c>
      <c r="H5324" s="598">
        <v>14304772</v>
      </c>
      <c r="I5324" s="322" t="s">
        <v>2856</v>
      </c>
      <c r="J5324" s="418"/>
      <c r="K5324" s="248"/>
      <c r="M5324" s="366"/>
    </row>
    <row r="5325" spans="1:13" x14ac:dyDescent="0.25">
      <c r="A5325" s="308">
        <v>45895</v>
      </c>
      <c r="B5325" s="416">
        <v>418525</v>
      </c>
      <c r="C5325" s="638" t="str">
        <f>IFERROR(INDEX(Table14[],MATCH($B5325,Table14[SAPNo],0),3),"")</f>
        <v>Drop In 1308 CT31   (B)</v>
      </c>
      <c r="D5325" s="420" t="s">
        <v>12</v>
      </c>
      <c r="E5325" s="421">
        <v>6</v>
      </c>
      <c r="F5325" s="580"/>
      <c r="G5325" s="417" t="s">
        <v>3148</v>
      </c>
      <c r="H5325" s="598">
        <v>14304772</v>
      </c>
      <c r="I5325" s="322" t="s">
        <v>2856</v>
      </c>
      <c r="J5325" s="418"/>
      <c r="K5325" s="248"/>
      <c r="M5325" s="366"/>
    </row>
    <row r="5326" spans="1:13" x14ac:dyDescent="0.25">
      <c r="A5326" s="308">
        <v>45895</v>
      </c>
      <c r="B5326" s="416">
        <v>1282369</v>
      </c>
      <c r="C5326" s="638" t="str">
        <f>IFERROR(INDEX(Table14[],MATCH($B5326,Table14[SAPNo],0),3),"")</f>
        <v>1313 CT436Mv3 U-60</v>
      </c>
      <c r="D5326" s="420" t="s">
        <v>12</v>
      </c>
      <c r="E5326" s="421">
        <v>13</v>
      </c>
      <c r="F5326" s="580"/>
      <c r="G5326" s="417" t="s">
        <v>3148</v>
      </c>
      <c r="H5326" s="598">
        <v>14304772</v>
      </c>
      <c r="I5326" s="322" t="s">
        <v>2856</v>
      </c>
      <c r="J5326" s="418"/>
      <c r="K5326" s="248"/>
      <c r="M5326" s="366"/>
    </row>
    <row r="5327" spans="1:13" x14ac:dyDescent="0.25">
      <c r="A5327" s="308">
        <v>45896</v>
      </c>
      <c r="B5327" s="416">
        <v>871781</v>
      </c>
      <c r="C5327" s="638" t="str">
        <f>IFERROR(INDEX(Table14[],MATCH($B5327,Table14[SAPNo],0),3),"")</f>
        <v>Round 1313 CT200  0.018" (B)</v>
      </c>
      <c r="D5327" s="420" t="s">
        <v>12</v>
      </c>
      <c r="E5327" s="421">
        <v>7</v>
      </c>
      <c r="F5327" s="580"/>
      <c r="G5327" s="417" t="s">
        <v>3149</v>
      </c>
      <c r="H5327" s="598">
        <v>14426683</v>
      </c>
      <c r="I5327" s="322" t="s">
        <v>3150</v>
      </c>
      <c r="J5327" s="418"/>
      <c r="K5327" s="248"/>
      <c r="M5327" s="366"/>
    </row>
    <row r="5328" spans="1:13" x14ac:dyDescent="0.25">
      <c r="A5328" s="308">
        <v>45896</v>
      </c>
      <c r="B5328" s="416">
        <v>1126402</v>
      </c>
      <c r="C5328" s="638" t="str">
        <f>IFERROR(INDEX(Table14[],MATCH($B5328,Table14[SAPNo],0),3),"")</f>
        <v>1613 CT421 16-60</v>
      </c>
      <c r="D5328" s="420" t="s">
        <v>12</v>
      </c>
      <c r="E5328" s="421">
        <v>8</v>
      </c>
      <c r="F5328" s="580"/>
      <c r="G5328" s="417" t="s">
        <v>3149</v>
      </c>
      <c r="H5328" s="598">
        <v>14426683</v>
      </c>
      <c r="I5328" s="322" t="s">
        <v>3150</v>
      </c>
      <c r="J5328" s="418"/>
      <c r="K5328" s="248"/>
      <c r="M5328" s="366"/>
    </row>
    <row r="5329" spans="1:13" x14ac:dyDescent="0.25">
      <c r="A5329" s="308">
        <v>45896</v>
      </c>
      <c r="B5329" s="416">
        <v>1208601</v>
      </c>
      <c r="C5329" s="638" t="str">
        <f>IFERROR(INDEX(Table14[],MATCH($B5329,Table14[SAPNo],0),3),"")</f>
        <v>1613 CT418 U-60</v>
      </c>
      <c r="D5329" s="420" t="s">
        <v>12</v>
      </c>
      <c r="E5329" s="421">
        <v>11</v>
      </c>
      <c r="F5329" s="580"/>
      <c r="G5329" s="417" t="s">
        <v>3149</v>
      </c>
      <c r="H5329" s="598">
        <v>14426683</v>
      </c>
      <c r="I5329" s="322" t="s">
        <v>3150</v>
      </c>
      <c r="J5329" s="418"/>
      <c r="K5329" s="248"/>
      <c r="M5329" s="366"/>
    </row>
    <row r="5330" spans="1:13" x14ac:dyDescent="0.25">
      <c r="A5330" s="308">
        <v>45896</v>
      </c>
      <c r="B5330" s="416">
        <v>625854</v>
      </c>
      <c r="C5330" s="638" t="str">
        <f>IFERROR(INDEX(Table14[],MATCH($B5330,Table14[SAPNo],0),3),"")</f>
        <v>Carbide IA 1318    (C)</v>
      </c>
      <c r="D5330" s="420" t="s">
        <v>12</v>
      </c>
      <c r="E5330" s="421">
        <v>6</v>
      </c>
      <c r="F5330" s="580"/>
      <c r="G5330" s="417" t="s">
        <v>3149</v>
      </c>
      <c r="H5330" s="598">
        <v>14426683</v>
      </c>
      <c r="I5330" s="322" t="s">
        <v>3150</v>
      </c>
      <c r="J5330" s="418"/>
      <c r="K5330" s="248"/>
      <c r="M5330" s="366"/>
    </row>
    <row r="5331" spans="1:13" x14ac:dyDescent="0.25">
      <c r="A5331" s="308">
        <v>45896</v>
      </c>
      <c r="B5331" s="416">
        <v>1290837</v>
      </c>
      <c r="C5331" s="638" t="str">
        <f>IFERROR(INDEX(Table14[],MATCH($B5331,Table14[SAPNo],0),3),"")</f>
        <v>1613 CT184R U</v>
      </c>
      <c r="D5331" s="420" t="s">
        <v>12</v>
      </c>
      <c r="E5331" s="421">
        <v>17</v>
      </c>
      <c r="F5331" s="580"/>
      <c r="G5331" s="417" t="s">
        <v>3149</v>
      </c>
      <c r="H5331" s="598">
        <v>14426683</v>
      </c>
      <c r="I5331" s="322" t="s">
        <v>3150</v>
      </c>
      <c r="J5331" s="418"/>
      <c r="K5331" s="248"/>
      <c r="M5331" s="366"/>
    </row>
    <row r="5332" spans="1:13" x14ac:dyDescent="0.25">
      <c r="A5332" s="308">
        <v>45896</v>
      </c>
      <c r="B5332" s="416">
        <v>1291852</v>
      </c>
      <c r="C5332" s="638" t="str">
        <f>IFERROR(INDEX(Table14[],MATCH($B5332,Table14[SAPNo],0),3),"")</f>
        <v>1613 U CT186R U</v>
      </c>
      <c r="D5332" s="420" t="s">
        <v>12</v>
      </c>
      <c r="E5332" s="421">
        <v>13</v>
      </c>
      <c r="F5332" s="580"/>
      <c r="G5332" s="417" t="s">
        <v>3149</v>
      </c>
      <c r="H5332" s="598">
        <v>14426683</v>
      </c>
      <c r="I5332" s="322" t="s">
        <v>3150</v>
      </c>
      <c r="J5332" s="418"/>
      <c r="K5332" s="248"/>
      <c r="M5332" s="366"/>
    </row>
    <row r="5333" spans="1:13" x14ac:dyDescent="0.25">
      <c r="A5333" s="308">
        <v>45896</v>
      </c>
      <c r="B5333" s="416">
        <v>1291870</v>
      </c>
      <c r="C5333" s="638" t="str">
        <f>IFERROR(INDEX(Table14[],MATCH($B5333,Table14[SAPNo],0),3),"")</f>
        <v>1613 CT186 18-60</v>
      </c>
      <c r="D5333" s="420" t="s">
        <v>12</v>
      </c>
      <c r="E5333" s="421">
        <v>6</v>
      </c>
      <c r="F5333" s="580"/>
      <c r="G5333" s="417" t="s">
        <v>3149</v>
      </c>
      <c r="H5333" s="598">
        <v>14426683</v>
      </c>
      <c r="I5333" s="322" t="s">
        <v>3150</v>
      </c>
      <c r="J5333" s="418"/>
      <c r="K5333" s="248"/>
      <c r="M5333" s="366"/>
    </row>
    <row r="5334" spans="1:13" x14ac:dyDescent="0.25">
      <c r="A5334" s="308">
        <v>45896</v>
      </c>
      <c r="B5334" s="416">
        <v>1130198</v>
      </c>
      <c r="C5334" s="638" t="str">
        <f>IFERROR(INDEX(Table14[],MATCH($B5334,Table14[SAPNo],0),3),"")</f>
        <v>Round 1613 CT182  0.018" (S)</v>
      </c>
      <c r="D5334" s="420" t="s">
        <v>1072</v>
      </c>
      <c r="E5334" s="421">
        <v>21</v>
      </c>
      <c r="F5334" s="580"/>
      <c r="G5334" s="417" t="s">
        <v>3149</v>
      </c>
      <c r="H5334" s="598">
        <v>14426683</v>
      </c>
      <c r="I5334" s="322" t="s">
        <v>3150</v>
      </c>
      <c r="J5334" s="418"/>
      <c r="K5334" s="248" t="s">
        <v>3151</v>
      </c>
      <c r="M5334" s="366"/>
    </row>
    <row r="5335" spans="1:13" x14ac:dyDescent="0.25">
      <c r="A5335" s="320">
        <v>45896</v>
      </c>
      <c r="B5335" s="419">
        <v>717748</v>
      </c>
      <c r="C5335" s="638" t="str">
        <f>IFERROR(INDEX(Table14[],MATCH($B5335,Table14[SAPNo],0),3),"")</f>
        <v>Round 1010 CT200  0.018" (B)</v>
      </c>
      <c r="D5335" s="420" t="s">
        <v>12</v>
      </c>
      <c r="E5335" s="421">
        <v>7</v>
      </c>
      <c r="F5335" s="580"/>
      <c r="G5335" s="420" t="s">
        <v>3152</v>
      </c>
      <c r="H5335" s="599" t="s">
        <v>3153</v>
      </c>
      <c r="I5335" s="322" t="s">
        <v>2362</v>
      </c>
      <c r="J5335" s="421"/>
      <c r="K5335" s="422"/>
      <c r="M5335" s="366"/>
    </row>
    <row r="5336" spans="1:13" x14ac:dyDescent="0.25">
      <c r="A5336" s="308">
        <v>45897</v>
      </c>
      <c r="B5336" s="416">
        <v>717748</v>
      </c>
      <c r="C5336" s="638" t="str">
        <f>IFERROR(INDEX(Table14[],MATCH($B5336,Table14[SAPNo],0),3),"")</f>
        <v>Round 1010 CT200  0.018" (B)</v>
      </c>
      <c r="D5336" s="420" t="s">
        <v>12</v>
      </c>
      <c r="E5336" s="421">
        <v>5</v>
      </c>
      <c r="F5336" s="421"/>
      <c r="G5336" s="417">
        <v>20251121</v>
      </c>
      <c r="H5336" s="598" t="s">
        <v>3154</v>
      </c>
      <c r="I5336" s="322" t="s">
        <v>2362</v>
      </c>
      <c r="J5336" s="418"/>
      <c r="K5336" s="248"/>
      <c r="M5336" s="422"/>
    </row>
    <row r="5337" spans="1:13" x14ac:dyDescent="0.25">
      <c r="A5337" s="308">
        <v>45897</v>
      </c>
      <c r="B5337" s="416">
        <v>1145493</v>
      </c>
      <c r="C5337" s="638" t="str">
        <f>IFERROR(INDEX(Table14[],MATCH($B5337,Table14[SAPNo],0),3),"")</f>
        <v>Round 1313 CT427  10C (S)</v>
      </c>
      <c r="D5337" s="420" t="s">
        <v>11</v>
      </c>
      <c r="E5337" s="421">
        <v>5</v>
      </c>
      <c r="F5337" s="580"/>
      <c r="G5337" s="417">
        <v>20251124</v>
      </c>
      <c r="H5337" s="598" t="s">
        <v>3155</v>
      </c>
      <c r="I5337" s="322" t="s">
        <v>2971</v>
      </c>
      <c r="J5337" s="418"/>
      <c r="K5337" s="248"/>
      <c r="M5337" s="366"/>
    </row>
    <row r="5338" spans="1:13" x14ac:dyDescent="0.25">
      <c r="A5338" s="308">
        <v>45897</v>
      </c>
      <c r="B5338" s="416">
        <v>871781</v>
      </c>
      <c r="C5338" s="638" t="str">
        <f>IFERROR(INDEX(Table14[],MATCH($B5338,Table14[SAPNo],0),3),"")</f>
        <v>Round 1313 CT200  0.018" (B)</v>
      </c>
      <c r="D5338" s="420" t="s">
        <v>12</v>
      </c>
      <c r="E5338" s="421">
        <v>7</v>
      </c>
      <c r="F5338" s="580"/>
      <c r="G5338" s="417" t="s">
        <v>3156</v>
      </c>
      <c r="H5338" s="598">
        <v>14426684</v>
      </c>
      <c r="I5338" s="322" t="s">
        <v>3150</v>
      </c>
      <c r="J5338" s="418"/>
      <c r="K5338" s="248"/>
      <c r="M5338" s="366"/>
    </row>
    <row r="5339" spans="1:13" x14ac:dyDescent="0.25">
      <c r="A5339" s="308">
        <v>45897</v>
      </c>
      <c r="B5339" s="416">
        <v>625854</v>
      </c>
      <c r="C5339" s="638" t="str">
        <f>IFERROR(INDEX(Table14[],MATCH($B5339,Table14[SAPNo],0),3),"")</f>
        <v>Carbide IA 1318    (C)</v>
      </c>
      <c r="D5339" s="420" t="s">
        <v>12</v>
      </c>
      <c r="E5339" s="421">
        <v>6</v>
      </c>
      <c r="F5339" s="580"/>
      <c r="G5339" s="417" t="s">
        <v>3156</v>
      </c>
      <c r="H5339" s="598">
        <v>14426684</v>
      </c>
      <c r="I5339" s="322" t="s">
        <v>3150</v>
      </c>
      <c r="J5339" s="418"/>
      <c r="K5339" s="248"/>
      <c r="M5339" s="366"/>
    </row>
    <row r="5340" spans="1:13" x14ac:dyDescent="0.25">
      <c r="A5340" s="308">
        <v>45897</v>
      </c>
      <c r="B5340" s="416">
        <v>1296685</v>
      </c>
      <c r="C5340" s="638" t="str">
        <f>IFERROR(INDEX(Table14[],MATCH($B5340,Table14[SAPNo],0),3),"")</f>
        <v>1613 CT179R U</v>
      </c>
      <c r="D5340" s="420" t="s">
        <v>12</v>
      </c>
      <c r="E5340" s="421">
        <v>30</v>
      </c>
      <c r="F5340" s="580"/>
      <c r="G5340" s="417" t="s">
        <v>3156</v>
      </c>
      <c r="H5340" s="598">
        <v>14426684</v>
      </c>
      <c r="I5340" s="322" t="s">
        <v>3150</v>
      </c>
      <c r="J5340" s="418"/>
      <c r="K5340" s="248"/>
      <c r="M5340" s="366"/>
    </row>
    <row r="5341" spans="1:13" x14ac:dyDescent="0.25">
      <c r="A5341" s="308">
        <v>45897</v>
      </c>
      <c r="B5341" s="416">
        <v>1288783</v>
      </c>
      <c r="C5341" s="638" t="str">
        <f>IFERROR(INDEX(Table14[],MATCH($B5341,Table14[SAPNo],0),3),"")</f>
        <v>1613 CT179 18-60</v>
      </c>
      <c r="D5341" s="420" t="s">
        <v>12</v>
      </c>
      <c r="E5341" s="421">
        <v>6</v>
      </c>
      <c r="F5341" s="580"/>
      <c r="G5341" s="417" t="s">
        <v>3156</v>
      </c>
      <c r="H5341" s="598">
        <v>14426684</v>
      </c>
      <c r="I5341" s="322" t="s">
        <v>3150</v>
      </c>
      <c r="J5341" s="418"/>
      <c r="K5341" s="248"/>
      <c r="M5341" s="366"/>
    </row>
    <row r="5342" spans="1:13" x14ac:dyDescent="0.25">
      <c r="A5342" s="308">
        <v>45897</v>
      </c>
      <c r="B5342" s="416">
        <v>1208601</v>
      </c>
      <c r="C5342" s="638" t="str">
        <f>IFERROR(INDEX(Table14[],MATCH($B5342,Table14[SAPNo],0),3),"")</f>
        <v>1613 CT418 U-60</v>
      </c>
      <c r="D5342" s="420" t="s">
        <v>12</v>
      </c>
      <c r="E5342" s="421">
        <v>11</v>
      </c>
      <c r="F5342" s="580"/>
      <c r="G5342" s="417" t="s">
        <v>3156</v>
      </c>
      <c r="H5342" s="598">
        <v>14426684</v>
      </c>
      <c r="I5342" s="322" t="s">
        <v>3150</v>
      </c>
      <c r="J5342" s="418"/>
      <c r="K5342" s="248"/>
      <c r="M5342" s="366"/>
    </row>
    <row r="5343" spans="1:13" x14ac:dyDescent="0.25">
      <c r="A5343" s="308">
        <v>45897</v>
      </c>
      <c r="B5343" s="416">
        <v>1146737</v>
      </c>
      <c r="C5343" s="638" t="str">
        <f>IFERROR(INDEX(Table14[],MATCH($B5343,Table14[SAPNo],0),3),"")</f>
        <v>1613 CT418 18-60</v>
      </c>
      <c r="D5343" s="420" t="s">
        <v>12</v>
      </c>
      <c r="E5343" s="421">
        <v>8</v>
      </c>
      <c r="F5343" s="580"/>
      <c r="G5343" s="417" t="s">
        <v>3156</v>
      </c>
      <c r="H5343" s="598">
        <v>14426684</v>
      </c>
      <c r="I5343" s="322" t="s">
        <v>3150</v>
      </c>
      <c r="J5343" s="418"/>
      <c r="K5343" s="248"/>
      <c r="M5343" s="366"/>
    </row>
    <row r="5344" spans="1:13" x14ac:dyDescent="0.25">
      <c r="A5344" s="320">
        <v>45897</v>
      </c>
      <c r="B5344" s="419">
        <v>1130198</v>
      </c>
      <c r="C5344" s="638" t="str">
        <f>IFERROR(INDEX(Table14[],MATCH($B5344,Table14[SAPNo],0),3),"")</f>
        <v>Round 1613 CT182  0.018" (S)</v>
      </c>
      <c r="D5344" s="420" t="s">
        <v>1072</v>
      </c>
      <c r="E5344" s="421">
        <v>21</v>
      </c>
      <c r="F5344" s="580"/>
      <c r="G5344" s="420" t="s">
        <v>3156</v>
      </c>
      <c r="H5344" s="599">
        <v>14426684</v>
      </c>
      <c r="I5344" s="322" t="s">
        <v>3150</v>
      </c>
      <c r="J5344" s="421"/>
      <c r="K5344" s="248" t="s">
        <v>3151</v>
      </c>
      <c r="M5344" s="366"/>
    </row>
    <row r="5345" spans="1:13" x14ac:dyDescent="0.25">
      <c r="A5345" s="308">
        <v>45901</v>
      </c>
      <c r="B5345" s="416">
        <v>717748</v>
      </c>
      <c r="C5345" s="638" t="str">
        <f>IFERROR(INDEX(Table14[],MATCH($B5345,Table14[SAPNo],0),3),"")</f>
        <v>Round 1010 CT200  0.018" (B)</v>
      </c>
      <c r="D5345" s="420" t="s">
        <v>12</v>
      </c>
      <c r="E5345" s="421">
        <v>19</v>
      </c>
      <c r="F5345" s="421"/>
      <c r="G5345" s="417" t="s">
        <v>3157</v>
      </c>
      <c r="H5345" s="598">
        <v>14320850</v>
      </c>
      <c r="I5345" s="322" t="s">
        <v>2362</v>
      </c>
      <c r="J5345" s="418"/>
      <c r="K5345" s="248"/>
      <c r="M5345" s="422"/>
    </row>
    <row r="5346" spans="1:13" x14ac:dyDescent="0.25">
      <c r="A5346" s="308">
        <v>45901</v>
      </c>
      <c r="B5346" s="416">
        <v>717748</v>
      </c>
      <c r="C5346" s="638" t="str">
        <f>IFERROR(INDEX(Table14[],MATCH($B5346,Table14[SAPNo],0),3),"")</f>
        <v>Round 1010 CT200  0.018" (B)</v>
      </c>
      <c r="D5346" s="420" t="s">
        <v>12</v>
      </c>
      <c r="E5346" s="421">
        <v>19</v>
      </c>
      <c r="F5346" s="580"/>
      <c r="G5346" s="417" t="s">
        <v>3158</v>
      </c>
      <c r="H5346" s="598">
        <v>14304767</v>
      </c>
      <c r="I5346" s="322" t="s">
        <v>2362</v>
      </c>
      <c r="J5346" s="418"/>
      <c r="K5346" s="248"/>
      <c r="M5346" s="366"/>
    </row>
    <row r="5347" spans="1:13" x14ac:dyDescent="0.25">
      <c r="A5347" s="308">
        <v>45893</v>
      </c>
      <c r="B5347" s="416">
        <v>1078377</v>
      </c>
      <c r="C5347" s="638" t="str">
        <f>IFERROR(INDEX(Table14[],MATCH($B5347,Table14[SAPNo],0),3),"")</f>
        <v>13MM CT221 R1</v>
      </c>
      <c r="D5347" s="420" t="s">
        <v>12</v>
      </c>
      <c r="E5347" s="421">
        <v>2</v>
      </c>
      <c r="F5347" s="580"/>
      <c r="G5347" s="417" t="s">
        <v>3133</v>
      </c>
      <c r="H5347" s="598" t="s">
        <v>3134</v>
      </c>
      <c r="I5347" s="322" t="s">
        <v>3135</v>
      </c>
      <c r="J5347" s="418"/>
      <c r="K5347" s="248"/>
      <c r="M5347" s="366"/>
    </row>
    <row r="5348" spans="1:13" x14ac:dyDescent="0.25">
      <c r="A5348" s="308">
        <v>45902</v>
      </c>
      <c r="B5348" s="416">
        <v>1078377</v>
      </c>
      <c r="C5348" s="638" t="str">
        <f>IFERROR(INDEX(Table14[],MATCH($B5348,Table14[SAPNo],0),3),"")</f>
        <v>13MM CT221 R1</v>
      </c>
      <c r="D5348" s="420" t="s">
        <v>12</v>
      </c>
      <c r="E5348" s="421">
        <v>1</v>
      </c>
      <c r="F5348" s="580"/>
      <c r="G5348" s="417" t="s">
        <v>3159</v>
      </c>
      <c r="H5348" s="598" t="s">
        <v>3160</v>
      </c>
      <c r="I5348" s="322" t="s">
        <v>2914</v>
      </c>
      <c r="J5348" s="418"/>
      <c r="K5348" s="248"/>
      <c r="M5348" s="366"/>
    </row>
    <row r="5349" spans="1:13" x14ac:dyDescent="0.25">
      <c r="A5349" s="308">
        <v>45902</v>
      </c>
      <c r="B5349" s="416">
        <v>1146737</v>
      </c>
      <c r="C5349" s="638" t="str">
        <f>IFERROR(INDEX(Table14[],MATCH($B5349,Table14[SAPNo],0),3),"")</f>
        <v>1613 CT418 18-60</v>
      </c>
      <c r="D5349" s="420" t="s">
        <v>12</v>
      </c>
      <c r="E5349" s="421">
        <v>6</v>
      </c>
      <c r="F5349" s="580"/>
      <c r="G5349" s="417" t="s">
        <v>3159</v>
      </c>
      <c r="H5349" s="598" t="s">
        <v>3160</v>
      </c>
      <c r="I5349" s="322" t="s">
        <v>2914</v>
      </c>
      <c r="J5349" s="418"/>
      <c r="K5349" s="248"/>
      <c r="M5349" s="366"/>
    </row>
    <row r="5350" spans="1:13" x14ac:dyDescent="0.25">
      <c r="A5350" s="308">
        <v>45902</v>
      </c>
      <c r="B5350" s="416">
        <v>418525</v>
      </c>
      <c r="C5350" s="638" t="str">
        <f>IFERROR(INDEX(Table14[],MATCH($B5350,Table14[SAPNo],0),3),"")</f>
        <v>Drop In 1308 CT31   (B)</v>
      </c>
      <c r="D5350" s="420" t="s">
        <v>12</v>
      </c>
      <c r="E5350" s="421">
        <v>6</v>
      </c>
      <c r="F5350" s="580"/>
      <c r="G5350" s="417" t="s">
        <v>3159</v>
      </c>
      <c r="H5350" s="598" t="s">
        <v>3160</v>
      </c>
      <c r="I5350" s="322" t="s">
        <v>2914</v>
      </c>
      <c r="J5350" s="418"/>
      <c r="K5350" s="248"/>
      <c r="M5350" s="366"/>
    </row>
    <row r="5351" spans="1:13" x14ac:dyDescent="0.25">
      <c r="A5351" s="308">
        <v>45903</v>
      </c>
      <c r="B5351" s="416">
        <v>871781</v>
      </c>
      <c r="C5351" s="638" t="str">
        <f>IFERROR(INDEX(Table14[],MATCH($B5351,Table14[SAPNo],0),3),"")</f>
        <v>Round 1313 CT200  0.018" (B)</v>
      </c>
      <c r="D5351" s="420" t="s">
        <v>12</v>
      </c>
      <c r="E5351" s="421">
        <v>6</v>
      </c>
      <c r="F5351" s="580"/>
      <c r="G5351" s="417" t="s">
        <v>3161</v>
      </c>
      <c r="H5351" s="598">
        <v>14403084</v>
      </c>
      <c r="I5351" s="322" t="s">
        <v>2981</v>
      </c>
      <c r="J5351" s="418"/>
      <c r="K5351" s="248"/>
      <c r="M5351" s="366"/>
    </row>
    <row r="5352" spans="1:13" x14ac:dyDescent="0.25">
      <c r="A5352" s="308">
        <v>45903</v>
      </c>
      <c r="B5352" s="416">
        <v>647435</v>
      </c>
      <c r="C5352" s="638" t="str">
        <f>IFERROR(INDEX(Table14[],MATCH($B5352,Table14[SAPNo],0),3),"")</f>
        <v>Round 1608 CT200  0.018" (B)</v>
      </c>
      <c r="D5352" s="420" t="s">
        <v>12</v>
      </c>
      <c r="E5352" s="421">
        <v>23</v>
      </c>
      <c r="F5352" s="580"/>
      <c r="G5352" s="417" t="s">
        <v>3161</v>
      </c>
      <c r="H5352" s="598">
        <v>14403084</v>
      </c>
      <c r="I5352" s="322" t="s">
        <v>2981</v>
      </c>
      <c r="J5352" s="418"/>
      <c r="K5352" s="248"/>
      <c r="M5352" s="366"/>
    </row>
    <row r="5353" spans="1:13" x14ac:dyDescent="0.25">
      <c r="A5353" s="308">
        <v>45903</v>
      </c>
      <c r="B5353" s="416">
        <v>1126402</v>
      </c>
      <c r="C5353" s="638" t="str">
        <f>IFERROR(INDEX(Table14[],MATCH($B5353,Table14[SAPNo],0),3),"")</f>
        <v>1613 CT421 16-60</v>
      </c>
      <c r="D5353" s="420" t="s">
        <v>12</v>
      </c>
      <c r="E5353" s="421">
        <v>33</v>
      </c>
      <c r="F5353" s="580"/>
      <c r="G5353" s="417" t="s">
        <v>3161</v>
      </c>
      <c r="H5353" s="598">
        <v>14403084</v>
      </c>
      <c r="I5353" s="322" t="s">
        <v>2981</v>
      </c>
      <c r="J5353" s="418"/>
      <c r="K5353" s="248"/>
      <c r="M5353" s="366"/>
    </row>
    <row r="5354" spans="1:13" x14ac:dyDescent="0.25">
      <c r="A5354" s="308">
        <v>45903</v>
      </c>
      <c r="B5354" s="416">
        <v>2002243</v>
      </c>
      <c r="C5354" s="638" t="str">
        <f>IFERROR(INDEX(Table14[],MATCH($B5354,Table14[SAPNo],0),3),"")</f>
        <v>1308 CT188 U-60</v>
      </c>
      <c r="D5354" s="420" t="s">
        <v>12</v>
      </c>
      <c r="E5354" s="421">
        <v>15</v>
      </c>
      <c r="F5354" s="580"/>
      <c r="G5354" s="417" t="s">
        <v>3162</v>
      </c>
      <c r="H5354" s="598">
        <v>14418432</v>
      </c>
      <c r="I5354" s="322" t="s">
        <v>3163</v>
      </c>
      <c r="J5354" s="418"/>
      <c r="K5354" s="248"/>
      <c r="M5354" s="366"/>
    </row>
    <row r="5355" spans="1:13" x14ac:dyDescent="0.25">
      <c r="A5355" s="308">
        <v>45903</v>
      </c>
      <c r="B5355" s="416">
        <v>1228501</v>
      </c>
      <c r="C5355" s="638" t="str">
        <f>IFERROR(INDEX(Table14[],MATCH($B5355,Table14[SAPNo],0),3),"")</f>
        <v>1618 CT182 U-60 stator</v>
      </c>
      <c r="D5355" s="420" t="s">
        <v>12</v>
      </c>
      <c r="E5355" s="421">
        <v>10</v>
      </c>
      <c r="F5355" s="580"/>
      <c r="G5355" s="417" t="s">
        <v>3162</v>
      </c>
      <c r="H5355" s="598">
        <v>14418432</v>
      </c>
      <c r="I5355" s="322" t="s">
        <v>3163</v>
      </c>
      <c r="J5355" s="418"/>
      <c r="K5355" s="248"/>
      <c r="M5355" s="366"/>
    </row>
    <row r="5356" spans="1:13" x14ac:dyDescent="0.25">
      <c r="A5356" s="308">
        <v>45903</v>
      </c>
      <c r="B5356" s="416">
        <v>1228502</v>
      </c>
      <c r="C5356" s="638" t="str">
        <f>IFERROR(INDEX(Table14[],MATCH($B5356,Table14[SAPNo],0),3),"")</f>
        <v>1618 CT182 U-60 Rotor</v>
      </c>
      <c r="D5356" s="420" t="s">
        <v>12</v>
      </c>
      <c r="E5356" s="421">
        <v>10</v>
      </c>
      <c r="F5356" s="580"/>
      <c r="G5356" s="417" t="s">
        <v>3162</v>
      </c>
      <c r="H5356" s="598">
        <v>14418432</v>
      </c>
      <c r="I5356" s="322" t="s">
        <v>3163</v>
      </c>
      <c r="J5356" s="418"/>
      <c r="K5356" s="248"/>
      <c r="M5356" s="366"/>
    </row>
    <row r="5357" spans="1:13" x14ac:dyDescent="0.25">
      <c r="A5357" s="308">
        <v>45903</v>
      </c>
      <c r="B5357" s="416">
        <v>1228503</v>
      </c>
      <c r="C5357" s="638" t="str">
        <f>IFERROR(INDEX(Table14[],MATCH($B5357,Table14[SAPNo],0),3),"")</f>
        <v>1618 CT182 U-60 Ring</v>
      </c>
      <c r="D5357" s="420" t="s">
        <v>12</v>
      </c>
      <c r="E5357" s="421">
        <v>10</v>
      </c>
      <c r="F5357" s="580"/>
      <c r="G5357" s="417" t="s">
        <v>3162</v>
      </c>
      <c r="H5357" s="598">
        <v>14418432</v>
      </c>
      <c r="I5357" s="322" t="s">
        <v>3163</v>
      </c>
      <c r="J5357" s="418"/>
      <c r="K5357" s="248"/>
      <c r="M5357" s="366"/>
    </row>
    <row r="5358" spans="1:13" x14ac:dyDescent="0.25">
      <c r="A5358" s="308">
        <v>45903</v>
      </c>
      <c r="B5358" s="416">
        <v>2002186</v>
      </c>
      <c r="C5358" s="638" t="str">
        <f>IFERROR(INDEX(Table14[],MATCH($B5358,Table14[SAPNo],0),3),"")</f>
        <v>1313 CT187 U-60</v>
      </c>
      <c r="D5358" s="420" t="s">
        <v>12</v>
      </c>
      <c r="E5358" s="421">
        <v>15</v>
      </c>
      <c r="F5358" s="580"/>
      <c r="G5358" s="417" t="s">
        <v>3162</v>
      </c>
      <c r="H5358" s="598">
        <v>14418432</v>
      </c>
      <c r="I5358" s="322" t="s">
        <v>3163</v>
      </c>
      <c r="J5358" s="418"/>
      <c r="K5358" s="248"/>
      <c r="M5358" s="366"/>
    </row>
    <row r="5359" spans="1:13" x14ac:dyDescent="0.25">
      <c r="A5359" s="308">
        <v>45903</v>
      </c>
      <c r="B5359" s="416">
        <v>871781</v>
      </c>
      <c r="C5359" s="638" t="str">
        <f>IFERROR(INDEX(Table14[],MATCH($B5359,Table14[SAPNo],0),3),"")</f>
        <v>Round 1313 CT200  0.018" (B)</v>
      </c>
      <c r="D5359" s="420" t="s">
        <v>12</v>
      </c>
      <c r="E5359" s="421">
        <v>6</v>
      </c>
      <c r="F5359" s="580"/>
      <c r="G5359" s="417" t="s">
        <v>3162</v>
      </c>
      <c r="H5359" s="598">
        <v>14418432</v>
      </c>
      <c r="I5359" s="322" t="s">
        <v>3163</v>
      </c>
      <c r="J5359" s="418"/>
      <c r="K5359" s="248"/>
      <c r="M5359" s="366"/>
    </row>
    <row r="5360" spans="1:13" x14ac:dyDescent="0.25">
      <c r="A5360" s="308">
        <v>45903</v>
      </c>
      <c r="B5360" s="416">
        <v>2002299</v>
      </c>
      <c r="C5360" s="638" t="str">
        <f>IFERROR(INDEX(Table14[],MATCH($B5360,Table14[SAPNo],0),3),"")</f>
        <v>1613 CT187 U-60</v>
      </c>
      <c r="D5360" s="420" t="s">
        <v>12</v>
      </c>
      <c r="E5360" s="421">
        <v>4</v>
      </c>
      <c r="F5360" s="580"/>
      <c r="G5360" s="417" t="s">
        <v>3162</v>
      </c>
      <c r="H5360" s="598">
        <v>14418432</v>
      </c>
      <c r="I5360" s="322" t="s">
        <v>3163</v>
      </c>
      <c r="J5360" s="418"/>
      <c r="K5360" s="248"/>
      <c r="M5360" s="366"/>
    </row>
    <row r="5361" spans="1:13" x14ac:dyDescent="0.25">
      <c r="A5361" s="320">
        <v>45903</v>
      </c>
      <c r="B5361" s="419">
        <v>1220554</v>
      </c>
      <c r="C5361" s="638" t="str">
        <f>IFERROR(INDEX(Table14[],MATCH($B5361,Table14[SAPNo],0),3),"")</f>
        <v xml:space="preserve">1618 CT182 U-60 Carbide </v>
      </c>
      <c r="D5361" s="420" t="s">
        <v>12</v>
      </c>
      <c r="E5361" s="421">
        <v>10</v>
      </c>
      <c r="F5361" s="580"/>
      <c r="G5361" s="420" t="s">
        <v>3162</v>
      </c>
      <c r="H5361" s="599">
        <v>14418432</v>
      </c>
      <c r="I5361" s="322" t="s">
        <v>3163</v>
      </c>
      <c r="J5361" s="421"/>
      <c r="K5361" s="422"/>
      <c r="M5361" s="366"/>
    </row>
    <row r="5362" spans="1:13" x14ac:dyDescent="0.25">
      <c r="A5362" s="308">
        <v>45904</v>
      </c>
      <c r="B5362" s="416">
        <v>1100751</v>
      </c>
      <c r="C5362" s="638" t="str">
        <f>IFERROR(INDEX(Table14[],MATCH($B5362,Table14[SAPNo],0),3),"")</f>
        <v>1313 CT421 0.018"</v>
      </c>
      <c r="D5362" s="420" t="s">
        <v>12</v>
      </c>
      <c r="E5362" s="421">
        <v>1</v>
      </c>
      <c r="F5362" s="421"/>
      <c r="G5362" s="417" t="s">
        <v>3164</v>
      </c>
      <c r="H5362" s="598">
        <v>13742391</v>
      </c>
      <c r="I5362" s="322" t="s">
        <v>3165</v>
      </c>
      <c r="J5362" s="418"/>
      <c r="K5362" s="248"/>
      <c r="M5362" s="422"/>
    </row>
    <row r="5363" spans="1:13" x14ac:dyDescent="0.25">
      <c r="A5363" s="308">
        <v>45904</v>
      </c>
      <c r="B5363" s="416">
        <v>1130198</v>
      </c>
      <c r="C5363" s="638" t="str">
        <f>IFERROR(INDEX(Table14[],MATCH($B5363,Table14[SAPNo],0),3),"")</f>
        <v>Round 1613 CT182  0.018" (S)</v>
      </c>
      <c r="D5363" s="420" t="s">
        <v>1072</v>
      </c>
      <c r="E5363" s="421">
        <v>8</v>
      </c>
      <c r="F5363" s="580"/>
      <c r="G5363" s="417" t="s">
        <v>3164</v>
      </c>
      <c r="H5363" s="598">
        <v>13742391</v>
      </c>
      <c r="I5363" s="322" t="s">
        <v>3165</v>
      </c>
      <c r="J5363" s="418"/>
      <c r="K5363" s="248" t="s">
        <v>3151</v>
      </c>
      <c r="M5363" s="366"/>
    </row>
    <row r="5364" spans="1:13" x14ac:dyDescent="0.25">
      <c r="A5364" s="308">
        <v>45904</v>
      </c>
      <c r="B5364" s="416">
        <v>1288783</v>
      </c>
      <c r="C5364" s="638" t="str">
        <f>IFERROR(INDEX(Table14[],MATCH($B5364,Table14[SAPNo],0),3),"")</f>
        <v>1613 CT179 18-60</v>
      </c>
      <c r="D5364" s="420" t="s">
        <v>12</v>
      </c>
      <c r="E5364" s="421">
        <v>32</v>
      </c>
      <c r="F5364" s="580"/>
      <c r="G5364" s="417" t="s">
        <v>3166</v>
      </c>
      <c r="H5364" s="598">
        <v>14159991</v>
      </c>
      <c r="I5364" s="322" t="s">
        <v>3167</v>
      </c>
      <c r="J5364" s="418"/>
      <c r="K5364" s="248"/>
      <c r="M5364" s="366"/>
    </row>
    <row r="5365" spans="1:13" x14ac:dyDescent="0.25">
      <c r="A5365" s="308">
        <v>45907</v>
      </c>
      <c r="B5365" s="416">
        <v>1209410</v>
      </c>
      <c r="C5365" s="638" t="str">
        <f>IFERROR(INDEX(Table14[],MATCH($B5365,Table14[SAPNo],0),3),"")</f>
        <v>1613 CT430MV3 U TBO</v>
      </c>
      <c r="D5365" s="420" t="s">
        <v>12</v>
      </c>
      <c r="E5365" s="421">
        <v>1</v>
      </c>
      <c r="F5365" s="580"/>
      <c r="G5365" s="417" t="s">
        <v>3168</v>
      </c>
      <c r="H5365" s="598">
        <v>14162002</v>
      </c>
      <c r="I5365" s="322" t="s">
        <v>3169</v>
      </c>
      <c r="J5365" s="418"/>
      <c r="K5365" s="248"/>
      <c r="M5365" s="366"/>
    </row>
    <row r="5366" spans="1:13" x14ac:dyDescent="0.25">
      <c r="A5366" s="308">
        <v>45907</v>
      </c>
      <c r="B5366" s="416">
        <v>1126402</v>
      </c>
      <c r="C5366" s="638" t="str">
        <f>IFERROR(INDEX(Table14[],MATCH($B5366,Table14[SAPNo],0),3),"")</f>
        <v>1613 CT421 16-60</v>
      </c>
      <c r="D5366" s="420" t="s">
        <v>12</v>
      </c>
      <c r="E5366" s="421">
        <v>6</v>
      </c>
      <c r="F5366" s="580"/>
      <c r="G5366" s="417" t="s">
        <v>3170</v>
      </c>
      <c r="H5366" s="598">
        <v>14336285</v>
      </c>
      <c r="I5366" s="322" t="s">
        <v>3103</v>
      </c>
      <c r="J5366" s="418"/>
      <c r="K5366" s="248"/>
      <c r="M5366" s="366"/>
    </row>
    <row r="5367" spans="1:13" x14ac:dyDescent="0.25">
      <c r="A5367" s="308">
        <v>45907</v>
      </c>
      <c r="B5367" s="416">
        <v>1261319</v>
      </c>
      <c r="C5367" s="638" t="str">
        <f>IFERROR(INDEX(Table14[],MATCH($B5367,Table14[SAPNo],0),3),"")</f>
        <v>1308 CT155 U-60</v>
      </c>
      <c r="D5367" s="420" t="s">
        <v>12</v>
      </c>
      <c r="E5367" s="421">
        <v>12</v>
      </c>
      <c r="F5367" s="580"/>
      <c r="G5367" s="417" t="s">
        <v>3170</v>
      </c>
      <c r="H5367" s="598">
        <v>14336285</v>
      </c>
      <c r="I5367" s="322" t="s">
        <v>3103</v>
      </c>
      <c r="J5367" s="418"/>
      <c r="K5367" s="248"/>
      <c r="M5367" s="366"/>
    </row>
    <row r="5368" spans="1:13" x14ac:dyDescent="0.25">
      <c r="A5368" s="308">
        <v>45907</v>
      </c>
      <c r="B5368" s="416">
        <v>1228501</v>
      </c>
      <c r="C5368" s="638" t="str">
        <f>IFERROR(INDEX(Table14[],MATCH($B5368,Table14[SAPNo],0),3),"")</f>
        <v>1618 CT182 U-60 stator</v>
      </c>
      <c r="D5368" s="420" t="s">
        <v>12</v>
      </c>
      <c r="E5368" s="421">
        <v>16</v>
      </c>
      <c r="F5368" s="580"/>
      <c r="G5368" s="417" t="s">
        <v>3170</v>
      </c>
      <c r="H5368" s="598">
        <v>14336285</v>
      </c>
      <c r="I5368" s="322" t="s">
        <v>3103</v>
      </c>
      <c r="J5368" s="418"/>
      <c r="K5368" s="248"/>
      <c r="M5368" s="366"/>
    </row>
    <row r="5369" spans="1:13" x14ac:dyDescent="0.25">
      <c r="A5369" s="308">
        <v>45907</v>
      </c>
      <c r="B5369" s="416">
        <v>2002243</v>
      </c>
      <c r="C5369" s="638" t="str">
        <f>IFERROR(INDEX(Table14[],MATCH($B5369,Table14[SAPNo],0),3),"")</f>
        <v>1308 CT188 U-60</v>
      </c>
      <c r="D5369" s="420" t="s">
        <v>12</v>
      </c>
      <c r="E5369" s="421">
        <v>9</v>
      </c>
      <c r="F5369" s="580"/>
      <c r="G5369" s="417" t="s">
        <v>3170</v>
      </c>
      <c r="H5369" s="598">
        <v>14336285</v>
      </c>
      <c r="I5369" s="322" t="s">
        <v>3103</v>
      </c>
      <c r="J5369" s="418"/>
      <c r="K5369" s="248"/>
      <c r="M5369" s="366"/>
    </row>
    <row r="5370" spans="1:13" x14ac:dyDescent="0.25">
      <c r="A5370" s="308">
        <v>45907</v>
      </c>
      <c r="B5370" s="416">
        <v>1228503</v>
      </c>
      <c r="C5370" s="638" t="str">
        <f>IFERROR(INDEX(Table14[],MATCH($B5370,Table14[SAPNo],0),3),"")</f>
        <v>1618 CT182 U-60 Ring</v>
      </c>
      <c r="D5370" s="420" t="s">
        <v>12</v>
      </c>
      <c r="E5370" s="421">
        <v>16</v>
      </c>
      <c r="F5370" s="580"/>
      <c r="G5370" s="417" t="s">
        <v>3170</v>
      </c>
      <c r="H5370" s="598">
        <v>14336285</v>
      </c>
      <c r="I5370" s="322" t="s">
        <v>3103</v>
      </c>
      <c r="J5370" s="418"/>
      <c r="K5370" s="248"/>
      <c r="M5370" s="366"/>
    </row>
    <row r="5371" spans="1:13" x14ac:dyDescent="0.25">
      <c r="A5371" s="308">
        <v>45907</v>
      </c>
      <c r="B5371" s="416">
        <v>653400</v>
      </c>
      <c r="C5371" s="638" t="str">
        <f>IFERROR(INDEX(Table14[],MATCH($B5371,Table14[SAPNo],0),3),"")</f>
        <v>13MM WC­MAT404 NA</v>
      </c>
      <c r="D5371" s="420" t="s">
        <v>12</v>
      </c>
      <c r="E5371" s="421">
        <v>5</v>
      </c>
      <c r="F5371" s="580"/>
      <c r="G5371" s="417" t="s">
        <v>3170</v>
      </c>
      <c r="H5371" s="598">
        <v>14336285</v>
      </c>
      <c r="I5371" s="322" t="s">
        <v>3103</v>
      </c>
      <c r="J5371" s="418"/>
      <c r="K5371" s="248"/>
      <c r="M5371" s="366"/>
    </row>
    <row r="5372" spans="1:13" x14ac:dyDescent="0.25">
      <c r="A5372" s="308">
        <v>45907</v>
      </c>
      <c r="B5372" s="416">
        <v>871781</v>
      </c>
      <c r="C5372" s="638" t="str">
        <f>IFERROR(INDEX(Table14[],MATCH($B5372,Table14[SAPNo],0),3),"")</f>
        <v>Round 1313 CT200  0.018" (B)</v>
      </c>
      <c r="D5372" s="420" t="s">
        <v>12</v>
      </c>
      <c r="E5372" s="421">
        <v>7</v>
      </c>
      <c r="F5372" s="580"/>
      <c r="G5372" s="417" t="s">
        <v>3170</v>
      </c>
      <c r="H5372" s="598">
        <v>14336285</v>
      </c>
      <c r="I5372" s="322" t="s">
        <v>3103</v>
      </c>
      <c r="J5372" s="418"/>
      <c r="K5372" s="248"/>
      <c r="M5372" s="366"/>
    </row>
    <row r="5373" spans="1:13" x14ac:dyDescent="0.25">
      <c r="A5373" s="308">
        <v>45907</v>
      </c>
      <c r="B5373" s="416">
        <v>1228502</v>
      </c>
      <c r="C5373" s="638" t="str">
        <f>IFERROR(INDEX(Table14[],MATCH($B5373,Table14[SAPNo],0),3),"")</f>
        <v>1618 CT182 U-60 Rotor</v>
      </c>
      <c r="D5373" s="420" t="s">
        <v>12</v>
      </c>
      <c r="E5373" s="421">
        <v>16</v>
      </c>
      <c r="F5373" s="580"/>
      <c r="G5373" s="417" t="s">
        <v>3170</v>
      </c>
      <c r="H5373" s="598">
        <v>14336285</v>
      </c>
      <c r="I5373" s="322" t="s">
        <v>3103</v>
      </c>
      <c r="J5373" s="418"/>
      <c r="K5373" s="248"/>
      <c r="M5373" s="366"/>
    </row>
    <row r="5374" spans="1:13" x14ac:dyDescent="0.25">
      <c r="A5374" s="308">
        <v>45907</v>
      </c>
      <c r="B5374" s="416">
        <v>2002299</v>
      </c>
      <c r="C5374" s="638" t="str">
        <f>IFERROR(INDEX(Table14[],MATCH($B5374,Table14[SAPNo],0),3),"")</f>
        <v>1613 CT187 U-60</v>
      </c>
      <c r="D5374" s="420" t="s">
        <v>12</v>
      </c>
      <c r="E5374" s="421">
        <v>19</v>
      </c>
      <c r="F5374" s="580"/>
      <c r="G5374" s="417" t="s">
        <v>3170</v>
      </c>
      <c r="H5374" s="598">
        <v>14336285</v>
      </c>
      <c r="I5374" s="322" t="s">
        <v>3103</v>
      </c>
      <c r="J5374" s="418"/>
      <c r="K5374" s="248"/>
      <c r="M5374" s="366"/>
    </row>
    <row r="5375" spans="1:13" x14ac:dyDescent="0.25">
      <c r="A5375" s="308">
        <v>45907</v>
      </c>
      <c r="B5375" s="416">
        <v>1220554</v>
      </c>
      <c r="C5375" s="638" t="str">
        <f>IFERROR(INDEX(Table14[],MATCH($B5375,Table14[SAPNo],0),3),"")</f>
        <v xml:space="preserve">1618 CT182 U-60 Carbide </v>
      </c>
      <c r="D5375" s="420" t="s">
        <v>12</v>
      </c>
      <c r="E5375" s="421">
        <v>16</v>
      </c>
      <c r="F5375" s="580"/>
      <c r="G5375" s="417" t="s">
        <v>3170</v>
      </c>
      <c r="H5375" s="598">
        <v>14336285</v>
      </c>
      <c r="I5375" s="322" t="s">
        <v>3103</v>
      </c>
      <c r="J5375" s="418"/>
      <c r="K5375" s="248"/>
      <c r="M5375" s="366"/>
    </row>
    <row r="5376" spans="1:13" x14ac:dyDescent="0.25">
      <c r="A5376" s="308">
        <v>45902</v>
      </c>
      <c r="B5376" s="416">
        <v>1288783</v>
      </c>
      <c r="C5376" s="638" t="str">
        <f>IFERROR(INDEX(Table14[],MATCH($B5376,Table14[SAPNo],0),3),"")</f>
        <v>1613 CT179 18-60</v>
      </c>
      <c r="D5376" s="420" t="s">
        <v>12</v>
      </c>
      <c r="E5376" s="421">
        <v>2</v>
      </c>
      <c r="F5376" s="580"/>
      <c r="G5376" s="417" t="s">
        <v>3159</v>
      </c>
      <c r="H5376" s="598" t="s">
        <v>3160</v>
      </c>
      <c r="I5376" s="322" t="s">
        <v>2914</v>
      </c>
      <c r="J5376" s="418"/>
      <c r="K5376" s="248"/>
      <c r="M5376" s="366"/>
    </row>
    <row r="5377" spans="1:13" x14ac:dyDescent="0.25">
      <c r="A5377" s="308">
        <v>45909</v>
      </c>
      <c r="B5377" s="416">
        <v>1146737</v>
      </c>
      <c r="C5377" s="638" t="str">
        <f>IFERROR(INDEX(Table14[],MATCH($B5377,Table14[SAPNo],0),3),"")</f>
        <v>1613 CT418 18-60</v>
      </c>
      <c r="D5377" s="420" t="s">
        <v>12</v>
      </c>
      <c r="E5377" s="421">
        <v>1</v>
      </c>
      <c r="F5377" s="580"/>
      <c r="G5377" s="417" t="s">
        <v>3179</v>
      </c>
      <c r="H5377" s="598" t="s">
        <v>3180</v>
      </c>
      <c r="I5377" s="322" t="s">
        <v>1273</v>
      </c>
      <c r="J5377" s="418"/>
      <c r="K5377" s="248"/>
      <c r="M5377" s="366"/>
    </row>
    <row r="5378" spans="1:13" x14ac:dyDescent="0.25">
      <c r="A5378" s="308">
        <v>45907</v>
      </c>
      <c r="B5378" s="416">
        <v>418525</v>
      </c>
      <c r="C5378" s="638" t="str">
        <f>IFERROR(INDEX(Table14[],MATCH($B5378,Table14[SAPNo],0),3),"")</f>
        <v>Drop In 1308 CT31   (B)</v>
      </c>
      <c r="D5378" s="420" t="s">
        <v>12</v>
      </c>
      <c r="E5378" s="421">
        <v>6</v>
      </c>
      <c r="F5378" s="580"/>
      <c r="G5378" s="417" t="s">
        <v>3171</v>
      </c>
      <c r="H5378" s="598">
        <v>14336288</v>
      </c>
      <c r="I5378" s="322" t="s">
        <v>2742</v>
      </c>
      <c r="J5378" s="418"/>
      <c r="K5378" s="248"/>
      <c r="M5378" s="366"/>
    </row>
    <row r="5379" spans="1:13" x14ac:dyDescent="0.25">
      <c r="A5379" s="308">
        <v>45907</v>
      </c>
      <c r="B5379" s="416">
        <v>1271790</v>
      </c>
      <c r="C5379" s="638" t="str">
        <f>IFERROR(INDEX(Table14[],MATCH($B5379,Table14[SAPNo],0),3),"")</f>
        <v xml:space="preserve">1613 CT170 18-60 </v>
      </c>
      <c r="D5379" s="420" t="s">
        <v>10</v>
      </c>
      <c r="E5379" s="421">
        <v>1</v>
      </c>
      <c r="F5379" s="580"/>
      <c r="G5379" s="417" t="s">
        <v>3171</v>
      </c>
      <c r="H5379" s="598">
        <v>14336288</v>
      </c>
      <c r="I5379" s="322" t="s">
        <v>2742</v>
      </c>
      <c r="J5379" s="418"/>
      <c r="K5379" s="248" t="s">
        <v>3172</v>
      </c>
      <c r="M5379" s="366"/>
    </row>
    <row r="5380" spans="1:13" x14ac:dyDescent="0.25">
      <c r="A5380" s="308">
        <v>45908</v>
      </c>
      <c r="B5380" s="416">
        <v>1228502</v>
      </c>
      <c r="C5380" s="638" t="str">
        <f>IFERROR(INDEX(Table14[],MATCH($B5380,Table14[SAPNo],0),3),"")</f>
        <v>1618 CT182 U-60 Rotor</v>
      </c>
      <c r="D5380" s="420" t="s">
        <v>12</v>
      </c>
      <c r="E5380" s="421">
        <v>10</v>
      </c>
      <c r="F5380" s="580"/>
      <c r="G5380" s="417" t="s">
        <v>3173</v>
      </c>
      <c r="H5380" s="598">
        <v>14418435</v>
      </c>
      <c r="I5380" s="322" t="s">
        <v>3163</v>
      </c>
      <c r="J5380" s="418"/>
      <c r="K5380" s="248"/>
      <c r="M5380" s="366"/>
    </row>
    <row r="5381" spans="1:13" x14ac:dyDescent="0.25">
      <c r="A5381" s="308">
        <v>45908</v>
      </c>
      <c r="B5381" s="416">
        <v>1228503</v>
      </c>
      <c r="C5381" s="638" t="str">
        <f>IFERROR(INDEX(Table14[],MATCH($B5381,Table14[SAPNo],0),3),"")</f>
        <v>1618 CT182 U-60 Ring</v>
      </c>
      <c r="D5381" s="420" t="s">
        <v>12</v>
      </c>
      <c r="E5381" s="421">
        <v>10</v>
      </c>
      <c r="F5381" s="580"/>
      <c r="G5381" s="417" t="s">
        <v>3173</v>
      </c>
      <c r="H5381" s="598">
        <v>14418435</v>
      </c>
      <c r="I5381" s="322" t="s">
        <v>3163</v>
      </c>
      <c r="J5381" s="418"/>
      <c r="K5381" s="248"/>
      <c r="M5381" s="366"/>
    </row>
    <row r="5382" spans="1:13" x14ac:dyDescent="0.25">
      <c r="A5382" s="308">
        <v>45908</v>
      </c>
      <c r="B5382" s="416">
        <v>1228501</v>
      </c>
      <c r="C5382" s="638" t="str">
        <f>IFERROR(INDEX(Table14[],MATCH($B5382,Table14[SAPNo],0),3),"")</f>
        <v>1618 CT182 U-60 stator</v>
      </c>
      <c r="D5382" s="420" t="s">
        <v>12</v>
      </c>
      <c r="E5382" s="421">
        <v>10</v>
      </c>
      <c r="F5382" s="580"/>
      <c r="G5382" s="417" t="s">
        <v>3173</v>
      </c>
      <c r="H5382" s="598">
        <v>14418435</v>
      </c>
      <c r="I5382" s="322" t="s">
        <v>3163</v>
      </c>
      <c r="J5382" s="418"/>
      <c r="K5382" s="248"/>
      <c r="M5382" s="366"/>
    </row>
    <row r="5383" spans="1:13" x14ac:dyDescent="0.25">
      <c r="A5383" s="308">
        <v>45908</v>
      </c>
      <c r="B5383" s="416">
        <v>1220554</v>
      </c>
      <c r="C5383" s="638" t="str">
        <f>IFERROR(INDEX(Table14[],MATCH($B5383,Table14[SAPNo],0),3),"")</f>
        <v xml:space="preserve">1618 CT182 U-60 Carbide </v>
      </c>
      <c r="D5383" s="420" t="s">
        <v>12</v>
      </c>
      <c r="E5383" s="421">
        <v>10</v>
      </c>
      <c r="F5383" s="580"/>
      <c r="G5383" s="417" t="s">
        <v>3173</v>
      </c>
      <c r="H5383" s="598">
        <v>14418435</v>
      </c>
      <c r="I5383" s="322" t="s">
        <v>3163</v>
      </c>
      <c r="J5383" s="418"/>
      <c r="K5383" s="248"/>
      <c r="M5383" s="366"/>
    </row>
    <row r="5384" spans="1:13" x14ac:dyDescent="0.25">
      <c r="A5384" s="308">
        <v>45908</v>
      </c>
      <c r="B5384" s="416">
        <v>2002186</v>
      </c>
      <c r="C5384" s="638" t="str">
        <f>IFERROR(INDEX(Table14[],MATCH($B5384,Table14[SAPNo],0),3),"")</f>
        <v>1313 CT187 U-60</v>
      </c>
      <c r="D5384" s="420" t="s">
        <v>12</v>
      </c>
      <c r="E5384" s="421">
        <v>15</v>
      </c>
      <c r="F5384" s="580"/>
      <c r="G5384" s="417" t="s">
        <v>3173</v>
      </c>
      <c r="H5384" s="598">
        <v>14418435</v>
      </c>
      <c r="I5384" s="322" t="s">
        <v>3163</v>
      </c>
      <c r="J5384" s="418"/>
      <c r="K5384" s="248"/>
      <c r="M5384" s="366"/>
    </row>
    <row r="5385" spans="1:13" x14ac:dyDescent="0.25">
      <c r="A5385" s="308">
        <v>45908</v>
      </c>
      <c r="B5385" s="416">
        <v>2002243</v>
      </c>
      <c r="C5385" s="638" t="str">
        <f>IFERROR(INDEX(Table14[],MATCH($B5385,Table14[SAPNo],0),3),"")</f>
        <v>1308 CT188 U-60</v>
      </c>
      <c r="D5385" s="420" t="s">
        <v>12</v>
      </c>
      <c r="E5385" s="421">
        <v>15</v>
      </c>
      <c r="F5385" s="580"/>
      <c r="G5385" s="417" t="s">
        <v>3173</v>
      </c>
      <c r="H5385" s="598">
        <v>14418435</v>
      </c>
      <c r="I5385" s="322" t="s">
        <v>3163</v>
      </c>
      <c r="J5385" s="418"/>
      <c r="K5385" s="248"/>
      <c r="M5385" s="366"/>
    </row>
    <row r="5386" spans="1:13" x14ac:dyDescent="0.25">
      <c r="A5386" s="308">
        <v>45908</v>
      </c>
      <c r="B5386" s="416">
        <v>2002299</v>
      </c>
      <c r="C5386" s="638" t="str">
        <f>IFERROR(INDEX(Table14[],MATCH($B5386,Table14[SAPNo],0),3),"")</f>
        <v>1613 CT187 U-60</v>
      </c>
      <c r="D5386" s="420" t="s">
        <v>12</v>
      </c>
      <c r="E5386" s="421">
        <v>4</v>
      </c>
      <c r="F5386" s="580"/>
      <c r="G5386" s="417" t="s">
        <v>3173</v>
      </c>
      <c r="H5386" s="598">
        <v>14418435</v>
      </c>
      <c r="I5386" s="322" t="s">
        <v>3163</v>
      </c>
      <c r="J5386" s="418"/>
      <c r="K5386" s="248"/>
      <c r="M5386" s="366"/>
    </row>
    <row r="5387" spans="1:13" x14ac:dyDescent="0.25">
      <c r="A5387" s="308">
        <v>45908</v>
      </c>
      <c r="B5387" s="416">
        <v>871781</v>
      </c>
      <c r="C5387" s="638" t="str">
        <f>IFERROR(INDEX(Table14[],MATCH($B5387,Table14[SAPNo],0),3),"")</f>
        <v>Round 1313 CT200  0.018" (B)</v>
      </c>
      <c r="D5387" s="420" t="s">
        <v>12</v>
      </c>
      <c r="E5387" s="421">
        <v>6</v>
      </c>
      <c r="F5387" s="580"/>
      <c r="G5387" s="417" t="s">
        <v>3173</v>
      </c>
      <c r="H5387" s="598">
        <v>14418435</v>
      </c>
      <c r="I5387" s="322" t="s">
        <v>3163</v>
      </c>
      <c r="J5387" s="418"/>
      <c r="K5387" s="248"/>
      <c r="M5387" s="366"/>
    </row>
    <row r="5388" spans="1:13" x14ac:dyDescent="0.25">
      <c r="A5388" s="308">
        <v>45908</v>
      </c>
      <c r="B5388" s="416">
        <v>1228501</v>
      </c>
      <c r="C5388" s="638" t="str">
        <f>IFERROR(INDEX(Table14[],MATCH($B5388,Table14[SAPNo],0),3),"")</f>
        <v>1618 CT182 U-60 stator</v>
      </c>
      <c r="D5388" s="420" t="s">
        <v>12</v>
      </c>
      <c r="E5388" s="421">
        <v>14</v>
      </c>
      <c r="F5388" s="580"/>
      <c r="G5388" s="417" t="s">
        <v>3174</v>
      </c>
      <c r="H5388" s="598">
        <v>14403088</v>
      </c>
      <c r="I5388" s="322" t="s">
        <v>2999</v>
      </c>
      <c r="J5388" s="418"/>
      <c r="K5388" s="248"/>
      <c r="M5388" s="366"/>
    </row>
    <row r="5389" spans="1:13" x14ac:dyDescent="0.25">
      <c r="A5389" s="308">
        <v>45908</v>
      </c>
      <c r="B5389" s="416">
        <v>1126402</v>
      </c>
      <c r="C5389" s="638" t="str">
        <f>IFERROR(INDEX(Table14[],MATCH($B5389,Table14[SAPNo],0),3),"")</f>
        <v>1613 CT421 16-60</v>
      </c>
      <c r="D5389" s="420" t="s">
        <v>12</v>
      </c>
      <c r="E5389" s="421">
        <v>7</v>
      </c>
      <c r="F5389" s="580"/>
      <c r="G5389" s="417" t="s">
        <v>3174</v>
      </c>
      <c r="H5389" s="598">
        <v>14403088</v>
      </c>
      <c r="I5389" s="322" t="s">
        <v>2999</v>
      </c>
      <c r="J5389" s="418"/>
      <c r="K5389" s="248"/>
      <c r="M5389" s="366"/>
    </row>
    <row r="5390" spans="1:13" x14ac:dyDescent="0.25">
      <c r="A5390" s="308">
        <v>45908</v>
      </c>
      <c r="B5390" s="416">
        <v>1228502</v>
      </c>
      <c r="C5390" s="638" t="str">
        <f>IFERROR(INDEX(Table14[],MATCH($B5390,Table14[SAPNo],0),3),"")</f>
        <v>1618 CT182 U-60 Rotor</v>
      </c>
      <c r="D5390" s="420" t="s">
        <v>12</v>
      </c>
      <c r="E5390" s="421">
        <v>14</v>
      </c>
      <c r="F5390" s="580"/>
      <c r="G5390" s="417" t="s">
        <v>3174</v>
      </c>
      <c r="H5390" s="598">
        <v>14403088</v>
      </c>
      <c r="I5390" s="322" t="s">
        <v>2999</v>
      </c>
      <c r="J5390" s="418"/>
      <c r="K5390" s="248"/>
      <c r="M5390" s="366"/>
    </row>
    <row r="5391" spans="1:13" x14ac:dyDescent="0.25">
      <c r="A5391" s="308">
        <v>45908</v>
      </c>
      <c r="B5391" s="416">
        <v>1228503</v>
      </c>
      <c r="C5391" s="638" t="str">
        <f>IFERROR(INDEX(Table14[],MATCH($B5391,Table14[SAPNo],0),3),"")</f>
        <v>1618 CT182 U-60 Ring</v>
      </c>
      <c r="D5391" s="420" t="s">
        <v>12</v>
      </c>
      <c r="E5391" s="421">
        <v>18</v>
      </c>
      <c r="F5391" s="580"/>
      <c r="G5391" s="417" t="s">
        <v>3174</v>
      </c>
      <c r="H5391" s="598">
        <v>14403088</v>
      </c>
      <c r="I5391" s="322" t="s">
        <v>2999</v>
      </c>
      <c r="J5391" s="418"/>
      <c r="K5391" s="248"/>
      <c r="M5391" s="366"/>
    </row>
    <row r="5392" spans="1:13" x14ac:dyDescent="0.25">
      <c r="A5392" s="308">
        <v>45908</v>
      </c>
      <c r="B5392" s="416">
        <v>1220554</v>
      </c>
      <c r="C5392" s="638" t="str">
        <f>IFERROR(INDEX(Table14[],MATCH($B5392,Table14[SAPNo],0),3),"")</f>
        <v xml:space="preserve">1618 CT182 U-60 Carbide </v>
      </c>
      <c r="D5392" s="420" t="s">
        <v>12</v>
      </c>
      <c r="E5392" s="421">
        <v>14</v>
      </c>
      <c r="F5392" s="580"/>
      <c r="G5392" s="417" t="s">
        <v>3174</v>
      </c>
      <c r="H5392" s="598">
        <v>14403088</v>
      </c>
      <c r="I5392" s="322" t="s">
        <v>2999</v>
      </c>
      <c r="J5392" s="418"/>
      <c r="K5392" s="248"/>
      <c r="M5392" s="366"/>
    </row>
    <row r="5393" spans="1:13" x14ac:dyDescent="0.25">
      <c r="A5393" s="308">
        <v>45908</v>
      </c>
      <c r="B5393" s="416">
        <v>1255773</v>
      </c>
      <c r="C5393" s="638" t="str">
        <f>IFERROR(INDEX(Table14[],MATCH($B5393,Table14[SAPNo],0),3),"")</f>
        <v>1613 CT154 U­60</v>
      </c>
      <c r="D5393" s="420" t="s">
        <v>12</v>
      </c>
      <c r="E5393" s="421">
        <v>6</v>
      </c>
      <c r="F5393" s="580"/>
      <c r="G5393" s="417" t="s">
        <v>3174</v>
      </c>
      <c r="H5393" s="598">
        <v>14403088</v>
      </c>
      <c r="I5393" s="322" t="s">
        <v>2999</v>
      </c>
      <c r="J5393" s="418"/>
      <c r="K5393" s="248"/>
      <c r="M5393" s="366"/>
    </row>
    <row r="5394" spans="1:13" x14ac:dyDescent="0.25">
      <c r="A5394" s="308">
        <v>45908</v>
      </c>
      <c r="B5394" s="416">
        <v>2002243</v>
      </c>
      <c r="C5394" s="638" t="str">
        <f>IFERROR(INDEX(Table14[],MATCH($B5394,Table14[SAPNo],0),3),"")</f>
        <v>1308 CT188 U-60</v>
      </c>
      <c r="D5394" s="420" t="s">
        <v>12</v>
      </c>
      <c r="E5394" s="421">
        <v>22</v>
      </c>
      <c r="F5394" s="580"/>
      <c r="G5394" s="417" t="s">
        <v>3174</v>
      </c>
      <c r="H5394" s="598">
        <v>14403088</v>
      </c>
      <c r="I5394" s="322" t="s">
        <v>2999</v>
      </c>
      <c r="J5394" s="418"/>
      <c r="K5394" s="248"/>
      <c r="M5394" s="366"/>
    </row>
    <row r="5395" spans="1:13" x14ac:dyDescent="0.25">
      <c r="A5395" s="308">
        <v>45908</v>
      </c>
      <c r="B5395" s="416">
        <v>2002299</v>
      </c>
      <c r="C5395" s="638" t="str">
        <f>IFERROR(INDEX(Table14[],MATCH($B5395,Table14[SAPNo],0),3),"")</f>
        <v>1613 CT187 U-60</v>
      </c>
      <c r="D5395" s="420" t="s">
        <v>12</v>
      </c>
      <c r="E5395" s="421">
        <v>14</v>
      </c>
      <c r="F5395" s="580"/>
      <c r="G5395" s="417" t="s">
        <v>3174</v>
      </c>
      <c r="H5395" s="598">
        <v>14403088</v>
      </c>
      <c r="I5395" s="322" t="s">
        <v>2999</v>
      </c>
      <c r="J5395" s="418"/>
      <c r="K5395" s="248"/>
      <c r="M5395" s="366"/>
    </row>
    <row r="5396" spans="1:13" x14ac:dyDescent="0.25">
      <c r="A5396" s="308">
        <v>45908</v>
      </c>
      <c r="B5396" s="416">
        <v>871781</v>
      </c>
      <c r="C5396" s="638" t="str">
        <f>IFERROR(INDEX(Table14[],MATCH($B5396,Table14[SAPNo],0),3),"")</f>
        <v>Round 1313 CT200  0.018" (B)</v>
      </c>
      <c r="D5396" s="420" t="s">
        <v>12</v>
      </c>
      <c r="E5396" s="421">
        <v>6</v>
      </c>
      <c r="F5396" s="580"/>
      <c r="G5396" s="417" t="s">
        <v>3174</v>
      </c>
      <c r="H5396" s="598">
        <v>14403088</v>
      </c>
      <c r="I5396" s="322" t="s">
        <v>2999</v>
      </c>
      <c r="J5396" s="418"/>
      <c r="K5396" s="248"/>
      <c r="M5396" s="366"/>
    </row>
    <row r="5397" spans="1:13" x14ac:dyDescent="0.25">
      <c r="A5397" s="308">
        <v>45908</v>
      </c>
      <c r="B5397" s="416">
        <v>1201518</v>
      </c>
      <c r="C5397" s="638" t="str">
        <f>IFERROR(INDEX(Table14[],MATCH($B5397,Table14[SAPNo],0),3),"")</f>
        <v>12MM WC­MAT404 NA</v>
      </c>
      <c r="D5397" s="420" t="s">
        <v>12</v>
      </c>
      <c r="E5397" s="421">
        <v>3</v>
      </c>
      <c r="F5397" s="580"/>
      <c r="G5397" s="417" t="s">
        <v>3174</v>
      </c>
      <c r="H5397" s="598">
        <v>14403088</v>
      </c>
      <c r="I5397" s="322" t="s">
        <v>2999</v>
      </c>
      <c r="J5397" s="418"/>
      <c r="K5397" s="248"/>
      <c r="M5397" s="366"/>
    </row>
    <row r="5398" spans="1:13" x14ac:dyDescent="0.25">
      <c r="A5398" s="308">
        <v>45909</v>
      </c>
      <c r="B5398" s="416">
        <v>1146346</v>
      </c>
      <c r="C5398" s="638" t="str">
        <f>IFERROR(INDEX(Table14[],MATCH($B5398,Table14[SAPNo],0),3),"")</f>
        <v>1313 CT418 18-60</v>
      </c>
      <c r="D5398" s="420" t="s">
        <v>12</v>
      </c>
      <c r="E5398" s="421">
        <v>1</v>
      </c>
      <c r="F5398" s="580"/>
      <c r="G5398" s="417">
        <v>20251126</v>
      </c>
      <c r="H5398" s="598" t="s">
        <v>3175</v>
      </c>
      <c r="I5398" s="322" t="s">
        <v>1604</v>
      </c>
      <c r="J5398" s="418"/>
      <c r="K5398" s="248"/>
      <c r="M5398" s="366"/>
    </row>
    <row r="5399" spans="1:13" x14ac:dyDescent="0.25">
      <c r="A5399" s="308">
        <v>45909</v>
      </c>
      <c r="B5399" s="416">
        <v>1146346</v>
      </c>
      <c r="C5399" s="638" t="str">
        <f>IFERROR(INDEX(Table14[],MATCH($B5399,Table14[SAPNo],0),3),"")</f>
        <v>1313 CT418 18-60</v>
      </c>
      <c r="D5399" s="420" t="s">
        <v>11</v>
      </c>
      <c r="E5399" s="421">
        <v>2</v>
      </c>
      <c r="F5399" s="580"/>
      <c r="G5399" s="417">
        <v>20251126</v>
      </c>
      <c r="H5399" s="598" t="s">
        <v>3175</v>
      </c>
      <c r="I5399" s="322" t="s">
        <v>1604</v>
      </c>
      <c r="J5399" s="418" t="s">
        <v>3176</v>
      </c>
      <c r="K5399" s="248"/>
      <c r="M5399" s="366"/>
    </row>
    <row r="5400" spans="1:13" x14ac:dyDescent="0.25">
      <c r="A5400" s="308">
        <v>45909</v>
      </c>
      <c r="B5400" s="416">
        <v>1100696</v>
      </c>
      <c r="C5400" s="638" t="str">
        <f>IFERROR(INDEX(Table14[],MATCH($B5400,Table14[SAPNo],0),3),"")</f>
        <v>Round 1313 CT418  10C (S)</v>
      </c>
      <c r="D5400" s="420" t="s">
        <v>11</v>
      </c>
      <c r="E5400" s="421">
        <v>2</v>
      </c>
      <c r="F5400" s="580"/>
      <c r="G5400" s="417">
        <v>20251126</v>
      </c>
      <c r="H5400" s="598" t="s">
        <v>3175</v>
      </c>
      <c r="I5400" s="322" t="s">
        <v>1604</v>
      </c>
      <c r="J5400" s="418" t="s">
        <v>3176</v>
      </c>
      <c r="K5400" s="248"/>
      <c r="M5400" s="366"/>
    </row>
    <row r="5401" spans="1:13" x14ac:dyDescent="0.25">
      <c r="A5401" s="308">
        <v>45909</v>
      </c>
      <c r="B5401" s="416">
        <v>2002186</v>
      </c>
      <c r="C5401" s="638" t="str">
        <f>IFERROR(INDEX(Table14[],MATCH($B5401,Table14[SAPNo],0),3),"")</f>
        <v>1313 CT187 U-60</v>
      </c>
      <c r="D5401" s="420" t="s">
        <v>12</v>
      </c>
      <c r="E5401" s="421">
        <v>15</v>
      </c>
      <c r="F5401" s="580"/>
      <c r="G5401" s="417" t="s">
        <v>3177</v>
      </c>
      <c r="H5401" s="598">
        <v>14418434</v>
      </c>
      <c r="I5401" s="322" t="s">
        <v>3163</v>
      </c>
      <c r="J5401" s="418"/>
      <c r="K5401" s="248"/>
      <c r="M5401" s="366"/>
    </row>
    <row r="5402" spans="1:13" x14ac:dyDescent="0.25">
      <c r="A5402" s="308">
        <v>45909</v>
      </c>
      <c r="B5402" s="416">
        <v>1228502</v>
      </c>
      <c r="C5402" s="638" t="str">
        <f>IFERROR(INDEX(Table14[],MATCH($B5402,Table14[SAPNo],0),3),"")</f>
        <v>1618 CT182 U-60 Rotor</v>
      </c>
      <c r="D5402" s="420" t="s">
        <v>12</v>
      </c>
      <c r="E5402" s="421">
        <v>10</v>
      </c>
      <c r="F5402" s="580"/>
      <c r="G5402" s="417" t="s">
        <v>3177</v>
      </c>
      <c r="H5402" s="598">
        <v>14418434</v>
      </c>
      <c r="I5402" s="322" t="s">
        <v>3163</v>
      </c>
      <c r="J5402" s="418"/>
      <c r="K5402" s="248"/>
      <c r="M5402" s="366"/>
    </row>
    <row r="5403" spans="1:13" x14ac:dyDescent="0.25">
      <c r="A5403" s="308">
        <v>45909</v>
      </c>
      <c r="B5403" s="416">
        <v>1228501</v>
      </c>
      <c r="C5403" s="638" t="str">
        <f>IFERROR(INDEX(Table14[],MATCH($B5403,Table14[SAPNo],0),3),"")</f>
        <v>1618 CT182 U-60 stator</v>
      </c>
      <c r="D5403" s="420" t="s">
        <v>12</v>
      </c>
      <c r="E5403" s="421">
        <v>10</v>
      </c>
      <c r="F5403" s="580"/>
      <c r="G5403" s="417" t="s">
        <v>3177</v>
      </c>
      <c r="H5403" s="598">
        <v>14418434</v>
      </c>
      <c r="I5403" s="322" t="s">
        <v>3163</v>
      </c>
      <c r="J5403" s="418"/>
      <c r="K5403" s="248"/>
      <c r="M5403" s="366"/>
    </row>
    <row r="5404" spans="1:13" x14ac:dyDescent="0.25">
      <c r="A5404" s="308">
        <v>45909</v>
      </c>
      <c r="B5404" s="416">
        <v>1228503</v>
      </c>
      <c r="C5404" s="638" t="str">
        <f>IFERROR(INDEX(Table14[],MATCH($B5404,Table14[SAPNo],0),3),"")</f>
        <v>1618 CT182 U-60 Ring</v>
      </c>
      <c r="D5404" s="420" t="s">
        <v>12</v>
      </c>
      <c r="E5404" s="421">
        <v>10</v>
      </c>
      <c r="F5404" s="580"/>
      <c r="G5404" s="417" t="s">
        <v>3177</v>
      </c>
      <c r="H5404" s="598">
        <v>14418434</v>
      </c>
      <c r="I5404" s="322" t="s">
        <v>3163</v>
      </c>
      <c r="J5404" s="418"/>
      <c r="K5404" s="248"/>
      <c r="M5404" s="366"/>
    </row>
    <row r="5405" spans="1:13" x14ac:dyDescent="0.25">
      <c r="A5405" s="308">
        <v>45909</v>
      </c>
      <c r="B5405" s="416">
        <v>1220554</v>
      </c>
      <c r="C5405" s="638" t="str">
        <f>IFERROR(INDEX(Table14[],MATCH($B5405,Table14[SAPNo],0),3),"")</f>
        <v xml:space="preserve">1618 CT182 U-60 Carbide </v>
      </c>
      <c r="D5405" s="420" t="s">
        <v>12</v>
      </c>
      <c r="E5405" s="421">
        <v>10</v>
      </c>
      <c r="F5405" s="580"/>
      <c r="G5405" s="417" t="s">
        <v>3177</v>
      </c>
      <c r="H5405" s="598">
        <v>14418434</v>
      </c>
      <c r="I5405" s="322" t="s">
        <v>3163</v>
      </c>
      <c r="J5405" s="418"/>
      <c r="K5405" s="248"/>
      <c r="M5405" s="366"/>
    </row>
    <row r="5406" spans="1:13" x14ac:dyDescent="0.25">
      <c r="A5406" s="308">
        <v>45909</v>
      </c>
      <c r="B5406" s="416">
        <v>2002299</v>
      </c>
      <c r="C5406" s="638" t="str">
        <f>IFERROR(INDEX(Table14[],MATCH($B5406,Table14[SAPNo],0),3),"")</f>
        <v>1613 CT187 U-60</v>
      </c>
      <c r="D5406" s="420" t="s">
        <v>12</v>
      </c>
      <c r="E5406" s="421">
        <v>4</v>
      </c>
      <c r="F5406" s="580"/>
      <c r="G5406" s="417" t="s">
        <v>3177</v>
      </c>
      <c r="H5406" s="598">
        <v>14418434</v>
      </c>
      <c r="I5406" s="322" t="s">
        <v>3163</v>
      </c>
      <c r="J5406" s="418"/>
      <c r="K5406" s="248"/>
      <c r="M5406" s="366"/>
    </row>
    <row r="5407" spans="1:13" x14ac:dyDescent="0.25">
      <c r="A5407" s="308">
        <v>45909</v>
      </c>
      <c r="B5407" s="416">
        <v>871781</v>
      </c>
      <c r="C5407" s="638" t="str">
        <f>IFERROR(INDEX(Table14[],MATCH($B5407,Table14[SAPNo],0),3),"")</f>
        <v>Round 1313 CT200  0.018" (B)</v>
      </c>
      <c r="D5407" s="420" t="s">
        <v>12</v>
      </c>
      <c r="E5407" s="421">
        <v>6</v>
      </c>
      <c r="F5407" s="580"/>
      <c r="G5407" s="417" t="s">
        <v>3177</v>
      </c>
      <c r="H5407" s="598">
        <v>14418434</v>
      </c>
      <c r="I5407" s="322" t="s">
        <v>3163</v>
      </c>
      <c r="J5407" s="418"/>
      <c r="K5407" s="248"/>
      <c r="M5407" s="366"/>
    </row>
    <row r="5408" spans="1:13" x14ac:dyDescent="0.25">
      <c r="A5408" s="308">
        <v>45909</v>
      </c>
      <c r="B5408" s="416">
        <v>2002243</v>
      </c>
      <c r="C5408" s="638" t="str">
        <f>IFERROR(INDEX(Table14[],MATCH($B5408,Table14[SAPNo],0),3),"")</f>
        <v>1308 CT188 U-60</v>
      </c>
      <c r="D5408" s="420" t="s">
        <v>12</v>
      </c>
      <c r="E5408" s="421">
        <v>15</v>
      </c>
      <c r="F5408" s="580"/>
      <c r="G5408" s="417" t="s">
        <v>3177</v>
      </c>
      <c r="H5408" s="598">
        <v>14418434</v>
      </c>
      <c r="I5408" s="322" t="s">
        <v>3163</v>
      </c>
      <c r="J5408" s="418"/>
      <c r="K5408" s="248"/>
      <c r="M5408" s="366"/>
    </row>
    <row r="5409" spans="1:13" x14ac:dyDescent="0.25">
      <c r="A5409" s="308">
        <v>45909</v>
      </c>
      <c r="B5409" s="416">
        <v>1228502</v>
      </c>
      <c r="C5409" s="638" t="str">
        <f>IFERROR(INDEX(Table14[],MATCH($B5409,Table14[SAPNo],0),3),"")</f>
        <v>1618 CT182 U-60 Rotor</v>
      </c>
      <c r="D5409" s="420" t="s">
        <v>12</v>
      </c>
      <c r="E5409" s="421">
        <v>10</v>
      </c>
      <c r="F5409" s="580"/>
      <c r="G5409" s="417" t="s">
        <v>3178</v>
      </c>
      <c r="H5409" s="598">
        <v>14418436</v>
      </c>
      <c r="I5409" s="322" t="s">
        <v>3163</v>
      </c>
      <c r="J5409" s="418"/>
      <c r="K5409" s="248"/>
      <c r="M5409" s="366"/>
    </row>
    <row r="5410" spans="1:13" x14ac:dyDescent="0.25">
      <c r="A5410" s="308">
        <v>45909</v>
      </c>
      <c r="B5410" s="416">
        <v>1228501</v>
      </c>
      <c r="C5410" s="638" t="str">
        <f>IFERROR(INDEX(Table14[],MATCH($B5410,Table14[SAPNo],0),3),"")</f>
        <v>1618 CT182 U-60 stator</v>
      </c>
      <c r="D5410" s="420" t="s">
        <v>12</v>
      </c>
      <c r="E5410" s="421">
        <v>10</v>
      </c>
      <c r="F5410" s="580"/>
      <c r="G5410" s="417" t="s">
        <v>3178</v>
      </c>
      <c r="H5410" s="598">
        <v>14418436</v>
      </c>
      <c r="I5410" s="322" t="s">
        <v>3163</v>
      </c>
      <c r="J5410" s="418"/>
      <c r="K5410" s="248"/>
      <c r="M5410" s="366"/>
    </row>
    <row r="5411" spans="1:13" x14ac:dyDescent="0.25">
      <c r="A5411" s="308">
        <v>45909</v>
      </c>
      <c r="B5411" s="416">
        <v>871781</v>
      </c>
      <c r="C5411" s="638" t="str">
        <f>IFERROR(INDEX(Table14[],MATCH($B5411,Table14[SAPNo],0),3),"")</f>
        <v>Round 1313 CT200  0.018" (B)</v>
      </c>
      <c r="D5411" s="420" t="s">
        <v>12</v>
      </c>
      <c r="E5411" s="421">
        <v>6</v>
      </c>
      <c r="F5411" s="580"/>
      <c r="G5411" s="417" t="s">
        <v>3178</v>
      </c>
      <c r="H5411" s="598">
        <v>14418436</v>
      </c>
      <c r="I5411" s="322" t="s">
        <v>3163</v>
      </c>
      <c r="J5411" s="418"/>
      <c r="K5411" s="248"/>
      <c r="M5411" s="366"/>
    </row>
    <row r="5412" spans="1:13" x14ac:dyDescent="0.25">
      <c r="A5412" s="308">
        <v>45909</v>
      </c>
      <c r="B5412" s="416">
        <v>2002186</v>
      </c>
      <c r="C5412" s="638" t="str">
        <f>IFERROR(INDEX(Table14[],MATCH($B5412,Table14[SAPNo],0),3),"")</f>
        <v>1313 CT187 U-60</v>
      </c>
      <c r="D5412" s="420" t="s">
        <v>12</v>
      </c>
      <c r="E5412" s="421">
        <v>15</v>
      </c>
      <c r="F5412" s="580"/>
      <c r="G5412" s="417" t="s">
        <v>3178</v>
      </c>
      <c r="H5412" s="598">
        <v>14418436</v>
      </c>
      <c r="I5412" s="322" t="s">
        <v>3163</v>
      </c>
      <c r="J5412" s="418"/>
      <c r="K5412" s="248"/>
      <c r="M5412" s="366"/>
    </row>
    <row r="5413" spans="1:13" x14ac:dyDescent="0.25">
      <c r="A5413" s="308">
        <v>45909</v>
      </c>
      <c r="B5413" s="416">
        <v>2002243</v>
      </c>
      <c r="C5413" s="638" t="str">
        <f>IFERROR(INDEX(Table14[],MATCH($B5413,Table14[SAPNo],0),3),"")</f>
        <v>1308 CT188 U-60</v>
      </c>
      <c r="D5413" s="420" t="s">
        <v>12</v>
      </c>
      <c r="E5413" s="421">
        <v>15</v>
      </c>
      <c r="F5413" s="580"/>
      <c r="G5413" s="417" t="s">
        <v>3178</v>
      </c>
      <c r="H5413" s="598">
        <v>14418436</v>
      </c>
      <c r="I5413" s="322" t="s">
        <v>3163</v>
      </c>
      <c r="J5413" s="418"/>
      <c r="K5413" s="248"/>
      <c r="M5413" s="366"/>
    </row>
    <row r="5414" spans="1:13" x14ac:dyDescent="0.25">
      <c r="A5414" s="308">
        <v>45909</v>
      </c>
      <c r="B5414" s="416">
        <v>2002299</v>
      </c>
      <c r="C5414" s="638" t="str">
        <f>IFERROR(INDEX(Table14[],MATCH($B5414,Table14[SAPNo],0),3),"")</f>
        <v>1613 CT187 U-60</v>
      </c>
      <c r="D5414" s="420" t="s">
        <v>12</v>
      </c>
      <c r="E5414" s="421">
        <v>4</v>
      </c>
      <c r="F5414" s="580"/>
      <c r="G5414" s="417" t="s">
        <v>3178</v>
      </c>
      <c r="H5414" s="598">
        <v>14418436</v>
      </c>
      <c r="I5414" s="322" t="s">
        <v>3163</v>
      </c>
      <c r="J5414" s="418"/>
      <c r="K5414" s="248"/>
      <c r="M5414" s="366"/>
    </row>
    <row r="5415" spans="1:13" x14ac:dyDescent="0.25">
      <c r="A5415" s="308">
        <v>45909</v>
      </c>
      <c r="B5415" s="416">
        <v>1228503</v>
      </c>
      <c r="C5415" s="638" t="str">
        <f>IFERROR(INDEX(Table14[],MATCH($B5415,Table14[SAPNo],0),3),"")</f>
        <v>1618 CT182 U-60 Ring</v>
      </c>
      <c r="D5415" s="420" t="s">
        <v>12</v>
      </c>
      <c r="E5415" s="421">
        <v>10</v>
      </c>
      <c r="F5415" s="580"/>
      <c r="G5415" s="417" t="s">
        <v>3178</v>
      </c>
      <c r="H5415" s="598">
        <v>14418436</v>
      </c>
      <c r="I5415" s="322" t="s">
        <v>3163</v>
      </c>
      <c r="J5415" s="418"/>
      <c r="K5415" s="248"/>
      <c r="M5415" s="366"/>
    </row>
    <row r="5416" spans="1:13" x14ac:dyDescent="0.25">
      <c r="A5416" s="308">
        <v>45909</v>
      </c>
      <c r="B5416" s="416">
        <v>1220554</v>
      </c>
      <c r="C5416" s="638" t="str">
        <f>IFERROR(INDEX(Table14[],MATCH($B5416,Table14[SAPNo],0),3),"")</f>
        <v xml:space="preserve">1618 CT182 U-60 Carbide </v>
      </c>
      <c r="D5416" s="420" t="s">
        <v>12</v>
      </c>
      <c r="E5416" s="421">
        <v>10</v>
      </c>
      <c r="F5416" s="580"/>
      <c r="G5416" s="417" t="s">
        <v>3178</v>
      </c>
      <c r="H5416" s="598">
        <v>14418436</v>
      </c>
      <c r="I5416" s="322" t="s">
        <v>3163</v>
      </c>
      <c r="J5416" s="418"/>
      <c r="K5416" s="248"/>
      <c r="M5416" s="366"/>
    </row>
    <row r="5417" spans="1:13" x14ac:dyDescent="0.25">
      <c r="A5417" s="320">
        <v>45907</v>
      </c>
      <c r="B5417" s="419">
        <v>1078377</v>
      </c>
      <c r="C5417" s="638" t="str">
        <f>IFERROR(INDEX(Table14[],MATCH($B5417,Table14[SAPNo],0),3),"")</f>
        <v>13MM CT221 R1</v>
      </c>
      <c r="D5417" s="420" t="s">
        <v>10</v>
      </c>
      <c r="E5417" s="421">
        <v>8</v>
      </c>
      <c r="F5417" s="580"/>
      <c r="G5417" s="420" t="s">
        <v>3171</v>
      </c>
      <c r="H5417" s="599">
        <v>14336288</v>
      </c>
      <c r="I5417" s="322" t="s">
        <v>2742</v>
      </c>
      <c r="J5417" s="421"/>
      <c r="K5417" s="422" t="s">
        <v>3172</v>
      </c>
      <c r="M5417" s="366"/>
    </row>
    <row r="5418" spans="1:13" x14ac:dyDescent="0.25">
      <c r="A5418" s="308">
        <v>45911</v>
      </c>
      <c r="B5418" s="416">
        <v>1263929</v>
      </c>
      <c r="C5418" s="638" t="str">
        <f>IFERROR(INDEX(Table14[],MATCH($B5418,Table14[SAPNo],0),3),"")</f>
        <v>1613 CT437 18-60</v>
      </c>
      <c r="D5418" s="420" t="s">
        <v>12</v>
      </c>
      <c r="E5418" s="421">
        <v>12</v>
      </c>
      <c r="F5418" s="421"/>
      <c r="G5418" s="417" t="s">
        <v>3181</v>
      </c>
      <c r="H5418" s="598">
        <v>14345123</v>
      </c>
      <c r="I5418" s="322" t="s">
        <v>3182</v>
      </c>
      <c r="J5418" s="418"/>
      <c r="K5418" s="248"/>
      <c r="M5418" s="422"/>
    </row>
    <row r="5419" spans="1:13" x14ac:dyDescent="0.25">
      <c r="A5419" s="308">
        <v>45911</v>
      </c>
      <c r="B5419" s="416">
        <v>871781</v>
      </c>
      <c r="C5419" s="638" t="str">
        <f>IFERROR(INDEX(Table14[],MATCH($B5419,Table14[SAPNo],0),3),"")</f>
        <v>Round 1313 CT200  0.018" (B)</v>
      </c>
      <c r="D5419" s="420" t="s">
        <v>12</v>
      </c>
      <c r="E5419" s="421">
        <v>5</v>
      </c>
      <c r="F5419" s="580"/>
      <c r="G5419" s="417" t="s">
        <v>3181</v>
      </c>
      <c r="H5419" s="598">
        <v>14345123</v>
      </c>
      <c r="I5419" s="322" t="s">
        <v>3182</v>
      </c>
      <c r="J5419" s="418"/>
      <c r="K5419" s="248"/>
      <c r="M5419" s="366"/>
    </row>
    <row r="5420" spans="1:13" x14ac:dyDescent="0.25">
      <c r="A5420" s="308">
        <v>45911</v>
      </c>
      <c r="B5420" s="416">
        <v>1130197</v>
      </c>
      <c r="C5420" s="638" t="str">
        <f>IFERROR(INDEX(Table14[],MATCH($B5420,Table14[SAPNo],0),3),"")</f>
        <v>Round 1608 CT182  0.018" (S)</v>
      </c>
      <c r="D5420" s="420" t="s">
        <v>12</v>
      </c>
      <c r="E5420" s="421">
        <v>3</v>
      </c>
      <c r="F5420" s="580"/>
      <c r="G5420" s="417" t="s">
        <v>3181</v>
      </c>
      <c r="H5420" s="598">
        <v>14345123</v>
      </c>
      <c r="I5420" s="322" t="s">
        <v>3182</v>
      </c>
      <c r="J5420" s="418"/>
      <c r="K5420" s="248"/>
      <c r="M5420" s="366"/>
    </row>
    <row r="5421" spans="1:13" x14ac:dyDescent="0.25">
      <c r="A5421" s="308">
        <v>45911</v>
      </c>
      <c r="B5421" s="416">
        <v>1201518</v>
      </c>
      <c r="C5421" s="638" t="str">
        <f>IFERROR(INDEX(Table14[],MATCH($B5421,Table14[SAPNo],0),3),"")</f>
        <v>12MM WC­MAT404 NA</v>
      </c>
      <c r="D5421" s="420" t="s">
        <v>12</v>
      </c>
      <c r="E5421" s="421">
        <v>12</v>
      </c>
      <c r="F5421" s="580"/>
      <c r="G5421" s="417" t="s">
        <v>3181</v>
      </c>
      <c r="H5421" s="598">
        <v>14345123</v>
      </c>
      <c r="I5421" s="322" t="s">
        <v>3182</v>
      </c>
      <c r="J5421" s="418"/>
      <c r="K5421" s="248"/>
      <c r="M5421" s="366"/>
    </row>
    <row r="5422" spans="1:13" x14ac:dyDescent="0.25">
      <c r="A5422" s="308">
        <v>45911</v>
      </c>
      <c r="B5422" s="416">
        <v>1146346</v>
      </c>
      <c r="C5422" s="638" t="str">
        <f>IFERROR(INDEX(Table14[],MATCH($B5422,Table14[SAPNo],0),3),"")</f>
        <v>1313 CT418 18-60</v>
      </c>
      <c r="D5422" s="420" t="s">
        <v>12</v>
      </c>
      <c r="E5422" s="421">
        <v>12</v>
      </c>
      <c r="F5422" s="580"/>
      <c r="G5422" s="417" t="s">
        <v>3183</v>
      </c>
      <c r="H5422" s="598">
        <v>14304771</v>
      </c>
      <c r="I5422" s="322" t="s">
        <v>1604</v>
      </c>
      <c r="J5422" s="418"/>
      <c r="K5422" s="248"/>
      <c r="M5422" s="366"/>
    </row>
    <row r="5423" spans="1:13" x14ac:dyDescent="0.25">
      <c r="A5423" s="308">
        <v>45911</v>
      </c>
      <c r="B5423" s="416">
        <v>1272937</v>
      </c>
      <c r="C5423" s="638" t="str">
        <f>IFERROR(INDEX(Table14[],MATCH($B5423,Table14[SAPNo],0),3),"")</f>
        <v>1313 CT436 18-60</v>
      </c>
      <c r="D5423" s="420" t="s">
        <v>12</v>
      </c>
      <c r="E5423" s="421">
        <v>11</v>
      </c>
      <c r="F5423" s="580"/>
      <c r="G5423" s="417" t="s">
        <v>3183</v>
      </c>
      <c r="H5423" s="598">
        <v>14304771</v>
      </c>
      <c r="I5423" s="322" t="s">
        <v>1604</v>
      </c>
      <c r="J5423" s="418"/>
      <c r="K5423" s="248"/>
      <c r="M5423" s="366"/>
    </row>
    <row r="5424" spans="1:13" x14ac:dyDescent="0.25">
      <c r="A5424" s="308">
        <v>45911</v>
      </c>
      <c r="B5424" s="416">
        <v>418525</v>
      </c>
      <c r="C5424" s="638" t="str">
        <f>IFERROR(INDEX(Table14[],MATCH($B5424,Table14[SAPNo],0),3),"")</f>
        <v>Drop In 1308 CT31   (B)</v>
      </c>
      <c r="D5424" s="420" t="s">
        <v>12</v>
      </c>
      <c r="E5424" s="421">
        <v>10</v>
      </c>
      <c r="F5424" s="580"/>
      <c r="G5424" s="417" t="s">
        <v>3183</v>
      </c>
      <c r="H5424" s="598">
        <v>14304771</v>
      </c>
      <c r="I5424" s="322" t="s">
        <v>1604</v>
      </c>
      <c r="J5424" s="418"/>
      <c r="K5424" s="248"/>
      <c r="M5424" s="366"/>
    </row>
    <row r="5425" spans="1:13" x14ac:dyDescent="0.25">
      <c r="A5425" s="308">
        <v>45911</v>
      </c>
      <c r="B5425" s="416">
        <v>871781</v>
      </c>
      <c r="C5425" s="638" t="str">
        <f>IFERROR(INDEX(Table14[],MATCH($B5425,Table14[SAPNo],0),3),"")</f>
        <v>Round 1313 CT200  0.018" (B)</v>
      </c>
      <c r="D5425" s="420" t="s">
        <v>12</v>
      </c>
      <c r="E5425" s="421">
        <v>6</v>
      </c>
      <c r="F5425" s="580"/>
      <c r="G5425" s="417" t="s">
        <v>3184</v>
      </c>
      <c r="H5425" s="598">
        <v>14403081</v>
      </c>
      <c r="I5425" s="322" t="s">
        <v>2981</v>
      </c>
      <c r="J5425" s="418"/>
      <c r="K5425" s="248"/>
      <c r="M5425" s="366"/>
    </row>
    <row r="5426" spans="1:13" x14ac:dyDescent="0.25">
      <c r="A5426" s="308">
        <v>45911</v>
      </c>
      <c r="B5426" s="416">
        <v>647435</v>
      </c>
      <c r="C5426" s="638" t="str">
        <f>IFERROR(INDEX(Table14[],MATCH($B5426,Table14[SAPNo],0),3),"")</f>
        <v>Round 1608 CT200  0.018" (B)</v>
      </c>
      <c r="D5426" s="420" t="s">
        <v>12</v>
      </c>
      <c r="E5426" s="421">
        <v>23</v>
      </c>
      <c r="F5426" s="580"/>
      <c r="G5426" s="417" t="s">
        <v>3184</v>
      </c>
      <c r="H5426" s="598">
        <v>14403081</v>
      </c>
      <c r="I5426" s="322" t="s">
        <v>2981</v>
      </c>
      <c r="J5426" s="418"/>
      <c r="K5426" s="248"/>
      <c r="M5426" s="366"/>
    </row>
    <row r="5427" spans="1:13" x14ac:dyDescent="0.25">
      <c r="A5427" s="308">
        <v>45911</v>
      </c>
      <c r="B5427" s="416">
        <v>1126402</v>
      </c>
      <c r="C5427" s="638" t="str">
        <f>IFERROR(INDEX(Table14[],MATCH($B5427,Table14[SAPNo],0),3),"")</f>
        <v>1613 CT421 16-60</v>
      </c>
      <c r="D5427" s="420" t="s">
        <v>12</v>
      </c>
      <c r="E5427" s="421">
        <v>33</v>
      </c>
      <c r="F5427" s="580"/>
      <c r="G5427" s="417" t="s">
        <v>3184</v>
      </c>
      <c r="H5427" s="598">
        <v>14403081</v>
      </c>
      <c r="I5427" s="322" t="s">
        <v>2981</v>
      </c>
      <c r="J5427" s="418"/>
      <c r="K5427" s="248"/>
      <c r="M5427" s="366"/>
    </row>
    <row r="5428" spans="1:13" x14ac:dyDescent="0.25">
      <c r="A5428" s="308">
        <v>45907</v>
      </c>
      <c r="B5428" s="416">
        <v>1146737</v>
      </c>
      <c r="C5428" s="638" t="str">
        <f>IFERROR(INDEX(Table14[],MATCH($B5428,Table14[SAPNo],0),3),"")</f>
        <v>1613 CT418 18-60</v>
      </c>
      <c r="D5428" s="420" t="s">
        <v>10</v>
      </c>
      <c r="E5428" s="421">
        <v>1</v>
      </c>
      <c r="F5428" s="580"/>
      <c r="G5428" s="417" t="s">
        <v>3171</v>
      </c>
      <c r="H5428" s="598">
        <v>14336288</v>
      </c>
      <c r="I5428" s="322" t="s">
        <v>2742</v>
      </c>
      <c r="J5428" s="418"/>
      <c r="K5428" s="248" t="s">
        <v>3172</v>
      </c>
      <c r="M5428" s="366"/>
    </row>
    <row r="5429" spans="1:13" x14ac:dyDescent="0.25">
      <c r="A5429" s="308">
        <v>45911</v>
      </c>
      <c r="B5429" s="416">
        <v>418525</v>
      </c>
      <c r="C5429" s="638" t="str">
        <f>IFERROR(INDEX(Table14[],MATCH($B5429,Table14[SAPNo],0),3),"")</f>
        <v>Drop In 1308 CT31   (B)</v>
      </c>
      <c r="D5429" s="420" t="s">
        <v>12</v>
      </c>
      <c r="E5429" s="421">
        <v>2</v>
      </c>
      <c r="F5429" s="580"/>
      <c r="G5429" s="417" t="s">
        <v>3171</v>
      </c>
      <c r="H5429" s="598">
        <v>14336288</v>
      </c>
      <c r="I5429" s="322" t="s">
        <v>2742</v>
      </c>
      <c r="J5429" s="418"/>
      <c r="K5429" s="248" t="s">
        <v>2911</v>
      </c>
      <c r="M5429" s="366"/>
    </row>
    <row r="5430" spans="1:13" x14ac:dyDescent="0.25">
      <c r="A5430" s="308">
        <v>45911</v>
      </c>
      <c r="B5430" s="416">
        <v>1078377</v>
      </c>
      <c r="C5430" s="638" t="str">
        <f>IFERROR(INDEX(Table14[],MATCH($B5430,Table14[SAPNo],0),3),"")</f>
        <v>13MM CT221 R1</v>
      </c>
      <c r="D5430" s="420" t="s">
        <v>10</v>
      </c>
      <c r="E5430" s="421">
        <v>1</v>
      </c>
      <c r="F5430" s="580"/>
      <c r="G5430" s="417" t="s">
        <v>3171</v>
      </c>
      <c r="H5430" s="598">
        <v>14336288</v>
      </c>
      <c r="I5430" s="322" t="s">
        <v>2742</v>
      </c>
      <c r="J5430" s="418"/>
      <c r="K5430" s="248" t="s">
        <v>2911</v>
      </c>
      <c r="M5430" s="366"/>
    </row>
    <row r="5431" spans="1:13" x14ac:dyDescent="0.25">
      <c r="A5431" s="308">
        <v>45911</v>
      </c>
      <c r="B5431" s="416">
        <v>1146737</v>
      </c>
      <c r="C5431" s="638" t="str">
        <f>IFERROR(INDEX(Table14[],MATCH($B5431,Table14[SAPNo],0),3),"")</f>
        <v>1613 CT418 18-60</v>
      </c>
      <c r="D5431" s="420" t="s">
        <v>10</v>
      </c>
      <c r="E5431" s="421">
        <v>1</v>
      </c>
      <c r="F5431" s="580"/>
      <c r="G5431" s="417" t="s">
        <v>3171</v>
      </c>
      <c r="H5431" s="598">
        <v>14336288</v>
      </c>
      <c r="I5431" s="322" t="s">
        <v>2742</v>
      </c>
      <c r="J5431" s="418"/>
      <c r="K5431" s="248" t="s">
        <v>2911</v>
      </c>
      <c r="M5431" s="366"/>
    </row>
    <row r="5432" spans="1:13" x14ac:dyDescent="0.25">
      <c r="A5432" s="308">
        <v>45911</v>
      </c>
      <c r="B5432" s="416">
        <v>717748</v>
      </c>
      <c r="C5432" s="638" t="str">
        <f>IFERROR(INDEX(Table14[],MATCH($B5432,Table14[SAPNo],0),3),"")</f>
        <v>Round 1010 CT200  0.018" (B)</v>
      </c>
      <c r="D5432" s="420" t="s">
        <v>12</v>
      </c>
      <c r="E5432" s="421">
        <v>5</v>
      </c>
      <c r="F5432" s="580"/>
      <c r="G5432" s="417" t="s">
        <v>3186</v>
      </c>
      <c r="H5432" s="598" t="s">
        <v>3187</v>
      </c>
      <c r="I5432" s="322" t="s">
        <v>1069</v>
      </c>
      <c r="J5432" s="418"/>
      <c r="K5432" s="248"/>
      <c r="M5432" s="366"/>
    </row>
    <row r="5433" spans="1:13" x14ac:dyDescent="0.25">
      <c r="A5433" s="320">
        <v>45911</v>
      </c>
      <c r="B5433" s="419">
        <v>717748</v>
      </c>
      <c r="C5433" s="638" t="str">
        <f>IFERROR(INDEX(Table14[],MATCH($B5433,Table14[SAPNo],0),3),"")</f>
        <v>Round 1010 CT200  0.018" (B)</v>
      </c>
      <c r="D5433" s="420" t="s">
        <v>12</v>
      </c>
      <c r="E5433" s="421">
        <v>1</v>
      </c>
      <c r="F5433" s="580"/>
      <c r="G5433" s="420" t="s">
        <v>3188</v>
      </c>
      <c r="H5433" s="599" t="s">
        <v>3189</v>
      </c>
      <c r="I5433" s="322" t="s">
        <v>2362</v>
      </c>
      <c r="J5433" s="421"/>
      <c r="K5433" s="422"/>
      <c r="M5433" s="366"/>
    </row>
    <row r="5434" spans="1:13" x14ac:dyDescent="0.25">
      <c r="A5434" s="308">
        <v>45914</v>
      </c>
      <c r="B5434" s="416">
        <v>1146737</v>
      </c>
      <c r="C5434" s="638" t="str">
        <f>IFERROR(INDEX(Table14[],MATCH($B5434,Table14[SAPNo],0),3),"")</f>
        <v>1613 CT418 18-60</v>
      </c>
      <c r="D5434" s="420" t="s">
        <v>10</v>
      </c>
      <c r="E5434" s="421"/>
      <c r="F5434" s="421">
        <v>7</v>
      </c>
      <c r="G5434" s="417" t="s">
        <v>3190</v>
      </c>
      <c r="H5434" s="598"/>
      <c r="I5434" s="322"/>
      <c r="J5434" s="418"/>
      <c r="K5434" s="248"/>
      <c r="M5434" s="422"/>
    </row>
    <row r="5435" spans="1:13" x14ac:dyDescent="0.25">
      <c r="A5435" s="308">
        <v>45914</v>
      </c>
      <c r="B5435" s="416">
        <v>1208601</v>
      </c>
      <c r="C5435" s="638" t="str">
        <f>IFERROR(INDEX(Table14[],MATCH($B5435,Table14[SAPNo],0),3),"")</f>
        <v>1613 CT418 U-60</v>
      </c>
      <c r="D5435" s="420" t="s">
        <v>10</v>
      </c>
      <c r="E5435" s="421"/>
      <c r="F5435" s="580">
        <v>20</v>
      </c>
      <c r="G5435" s="417" t="s">
        <v>3190</v>
      </c>
      <c r="H5435" s="598"/>
      <c r="I5435" s="322"/>
      <c r="J5435" s="418"/>
      <c r="K5435" s="248"/>
      <c r="M5435" s="366"/>
    </row>
    <row r="5436" spans="1:13" x14ac:dyDescent="0.25">
      <c r="A5436" s="308">
        <v>45914</v>
      </c>
      <c r="B5436" s="416">
        <v>1078377</v>
      </c>
      <c r="C5436" s="638" t="str">
        <f>IFERROR(INDEX(Table14[],MATCH($B5436,Table14[SAPNo],0),3),"")</f>
        <v>13MM CT221 R1</v>
      </c>
      <c r="D5436" s="420" t="s">
        <v>10</v>
      </c>
      <c r="E5436" s="421"/>
      <c r="F5436" s="580">
        <v>42</v>
      </c>
      <c r="G5436" s="417" t="s">
        <v>3190</v>
      </c>
      <c r="H5436" s="598"/>
      <c r="I5436" s="322"/>
      <c r="J5436" s="418"/>
      <c r="K5436" s="248"/>
      <c r="M5436" s="366"/>
    </row>
    <row r="5437" spans="1:13" x14ac:dyDescent="0.25">
      <c r="A5437" s="308">
        <v>45914</v>
      </c>
      <c r="B5437" s="416">
        <v>1271790</v>
      </c>
      <c r="C5437" s="638" t="str">
        <f>IFERROR(INDEX(Table14[],MATCH($B5437,Table14[SAPNo],0),3),"")</f>
        <v xml:space="preserve">1613 CT170 18-60 </v>
      </c>
      <c r="D5437" s="420" t="s">
        <v>10</v>
      </c>
      <c r="E5437" s="421"/>
      <c r="F5437" s="580">
        <v>57</v>
      </c>
      <c r="G5437" s="417" t="s">
        <v>3190</v>
      </c>
      <c r="H5437" s="598"/>
      <c r="I5437" s="322"/>
      <c r="J5437" s="418"/>
      <c r="K5437" s="248"/>
      <c r="M5437" s="366"/>
    </row>
    <row r="5438" spans="1:13" x14ac:dyDescent="0.25">
      <c r="A5438" s="308">
        <v>45914</v>
      </c>
      <c r="B5438" s="416">
        <v>1130198</v>
      </c>
      <c r="C5438" s="638" t="str">
        <f>IFERROR(INDEX(Table14[],MATCH($B5438,Table14[SAPNo],0),3),"")</f>
        <v>Round 1613 CT182  0.018" (S)</v>
      </c>
      <c r="D5438" s="420" t="s">
        <v>8</v>
      </c>
      <c r="E5438" s="421"/>
      <c r="F5438" s="580">
        <v>64</v>
      </c>
      <c r="G5438" s="417" t="s">
        <v>3058</v>
      </c>
      <c r="H5438" s="598" t="s">
        <v>3059</v>
      </c>
      <c r="I5438" s="322" t="s">
        <v>3060</v>
      </c>
      <c r="J5438" s="418"/>
      <c r="K5438" s="248" t="s">
        <v>3068</v>
      </c>
      <c r="M5438" s="366"/>
    </row>
    <row r="5439" spans="1:13" x14ac:dyDescent="0.25">
      <c r="A5439" s="308">
        <v>45914</v>
      </c>
      <c r="B5439" s="416">
        <v>647435</v>
      </c>
      <c r="C5439" s="638" t="str">
        <f>IFERROR(INDEX(Table14[],MATCH($B5439,Table14[SAPNo],0),3),"")</f>
        <v>Round 1608 CT200  0.018" (B)</v>
      </c>
      <c r="D5439" s="420" t="s">
        <v>8</v>
      </c>
      <c r="E5439" s="421"/>
      <c r="F5439" s="580">
        <v>1</v>
      </c>
      <c r="G5439" s="417" t="s">
        <v>3058</v>
      </c>
      <c r="H5439" s="598" t="s">
        <v>3059</v>
      </c>
      <c r="I5439" s="322" t="s">
        <v>3060</v>
      </c>
      <c r="J5439" s="418"/>
      <c r="K5439" s="248" t="s">
        <v>3068</v>
      </c>
      <c r="M5439" s="366"/>
    </row>
    <row r="5440" spans="1:13" x14ac:dyDescent="0.25">
      <c r="A5440" s="308">
        <v>45914</v>
      </c>
      <c r="B5440" s="416">
        <v>647436</v>
      </c>
      <c r="C5440" s="638" t="str">
        <f>IFERROR(INDEX(Table14[],MATCH($B5440,Table14[SAPNo],0),3),"")</f>
        <v>Round 1613 CT200  0.018" (B)</v>
      </c>
      <c r="D5440" s="420" t="s">
        <v>8</v>
      </c>
      <c r="E5440" s="421"/>
      <c r="F5440" s="580">
        <v>6</v>
      </c>
      <c r="G5440" s="417" t="s">
        <v>3058</v>
      </c>
      <c r="H5440" s="598" t="s">
        <v>3059</v>
      </c>
      <c r="I5440" s="322" t="s">
        <v>3060</v>
      </c>
      <c r="J5440" s="418"/>
      <c r="K5440" s="248" t="s">
        <v>3068</v>
      </c>
      <c r="M5440" s="366"/>
    </row>
    <row r="5441" spans="1:13" x14ac:dyDescent="0.25">
      <c r="A5441" s="308">
        <v>45914</v>
      </c>
      <c r="B5441" s="416">
        <v>1209410</v>
      </c>
      <c r="C5441" s="638" t="str">
        <f>IFERROR(INDEX(Table14[],MATCH($B5441,Table14[SAPNo],0),3),"")</f>
        <v>1613 CT430MV3 U TBO</v>
      </c>
      <c r="D5441" s="420" t="s">
        <v>1072</v>
      </c>
      <c r="E5441" s="421"/>
      <c r="F5441" s="580">
        <v>10</v>
      </c>
      <c r="G5441" s="417" t="s">
        <v>3061</v>
      </c>
      <c r="H5441" s="598">
        <v>14162005</v>
      </c>
      <c r="I5441" s="322" t="s">
        <v>1302</v>
      </c>
      <c r="J5441" s="418"/>
      <c r="K5441" s="248" t="s">
        <v>3151</v>
      </c>
      <c r="M5441" s="366"/>
    </row>
    <row r="5442" spans="1:13" x14ac:dyDescent="0.25">
      <c r="A5442" s="320">
        <v>45914</v>
      </c>
      <c r="B5442" s="419">
        <v>1271790</v>
      </c>
      <c r="C5442" s="638" t="str">
        <f>IFERROR(INDEX(Table14[],MATCH($B5442,Table14[SAPNo],0),3),"")</f>
        <v xml:space="preserve">1613 CT170 18-60 </v>
      </c>
      <c r="D5442" s="420" t="s">
        <v>1072</v>
      </c>
      <c r="E5442" s="421"/>
      <c r="F5442" s="580">
        <v>12</v>
      </c>
      <c r="G5442" s="420" t="s">
        <v>3061</v>
      </c>
      <c r="H5442" s="599">
        <v>14162005</v>
      </c>
      <c r="I5442" s="322" t="s">
        <v>1302</v>
      </c>
      <c r="J5442" s="421"/>
      <c r="K5442" s="422" t="s">
        <v>3151</v>
      </c>
      <c r="M5442" s="366"/>
    </row>
    <row r="5443" spans="1:13" x14ac:dyDescent="0.25">
      <c r="A5443" s="320">
        <v>45918</v>
      </c>
      <c r="B5443" s="419">
        <v>1146346</v>
      </c>
      <c r="C5443" s="638" t="str">
        <f>IFERROR(INDEX(Table14[],MATCH($B5443,Table14[SAPNo],0),3),"")</f>
        <v>1313 CT418 18-60</v>
      </c>
      <c r="D5443" s="420" t="s">
        <v>10</v>
      </c>
      <c r="E5443" s="421"/>
      <c r="F5443" s="421">
        <v>7</v>
      </c>
      <c r="G5443" s="420" t="s">
        <v>3191</v>
      </c>
      <c r="H5443" s="599"/>
      <c r="I5443" s="322"/>
      <c r="J5443" s="421"/>
      <c r="K5443" s="422"/>
      <c r="M5443" s="422"/>
    </row>
    <row r="5444" spans="1:13" x14ac:dyDescent="0.25">
      <c r="A5444" s="308">
        <v>45918</v>
      </c>
      <c r="B5444" s="416">
        <v>871781</v>
      </c>
      <c r="C5444" s="638" t="str">
        <f>IFERROR(INDEX(Table14[],MATCH($B5444,Table14[SAPNo],0),3),"")</f>
        <v>Round 1313 CT200  0.018" (B)</v>
      </c>
      <c r="D5444" s="420" t="s">
        <v>10</v>
      </c>
      <c r="E5444" s="421"/>
      <c r="F5444" s="421">
        <v>1</v>
      </c>
      <c r="G5444" s="420" t="s">
        <v>3191</v>
      </c>
      <c r="H5444" s="598"/>
      <c r="I5444" s="322"/>
      <c r="J5444" s="418"/>
      <c r="K5444" s="248"/>
      <c r="M5444" s="422"/>
    </row>
    <row r="5445" spans="1:13" x14ac:dyDescent="0.25">
      <c r="A5445" s="308">
        <v>45918</v>
      </c>
      <c r="B5445" s="416">
        <v>1288783</v>
      </c>
      <c r="C5445" s="638" t="str">
        <f>IFERROR(INDEX(Table14[],MATCH($B5445,Table14[SAPNo],0),3),"")</f>
        <v>1613 CT179 18-60</v>
      </c>
      <c r="D5445" s="420" t="s">
        <v>10</v>
      </c>
      <c r="E5445" s="421"/>
      <c r="F5445" s="580">
        <v>15</v>
      </c>
      <c r="G5445" s="420" t="s">
        <v>3191</v>
      </c>
      <c r="H5445" s="598"/>
      <c r="I5445" s="322"/>
      <c r="J5445" s="418"/>
      <c r="K5445" s="248"/>
      <c r="M5445" s="366"/>
    </row>
    <row r="5446" spans="1:13" x14ac:dyDescent="0.25">
      <c r="A5446" s="308">
        <v>45918</v>
      </c>
      <c r="B5446" s="416">
        <v>1146737</v>
      </c>
      <c r="C5446" s="638" t="str">
        <f>IFERROR(INDEX(Table14[],MATCH($B5446,Table14[SAPNo],0),3),"")</f>
        <v>1613 CT418 18-60</v>
      </c>
      <c r="D5446" s="420" t="s">
        <v>10</v>
      </c>
      <c r="E5446" s="421"/>
      <c r="F5446" s="580">
        <v>9</v>
      </c>
      <c r="G5446" s="420" t="s">
        <v>3191</v>
      </c>
      <c r="H5446" s="598"/>
      <c r="I5446" s="322"/>
      <c r="J5446" s="418"/>
      <c r="K5446" s="248"/>
      <c r="M5446" s="366"/>
    </row>
    <row r="5447" spans="1:13" x14ac:dyDescent="0.25">
      <c r="A5447" s="308">
        <v>45918</v>
      </c>
      <c r="B5447" s="416">
        <v>1208601</v>
      </c>
      <c r="C5447" s="638" t="str">
        <f>IFERROR(INDEX(Table14[],MATCH($B5447,Table14[SAPNo],0),3),"")</f>
        <v>1613 CT418 U-60</v>
      </c>
      <c r="D5447" s="420" t="s">
        <v>10</v>
      </c>
      <c r="E5447" s="421"/>
      <c r="F5447" s="580">
        <v>38</v>
      </c>
      <c r="G5447" s="420" t="s">
        <v>3191</v>
      </c>
      <c r="H5447" s="598"/>
      <c r="I5447" s="322"/>
      <c r="J5447" s="418"/>
      <c r="K5447" s="248"/>
      <c r="M5447" s="366"/>
    </row>
    <row r="5448" spans="1:13" x14ac:dyDescent="0.25">
      <c r="A5448" s="308">
        <v>45918</v>
      </c>
      <c r="B5448" s="416">
        <v>1078377</v>
      </c>
      <c r="C5448" s="638" t="str">
        <f>IFERROR(INDEX(Table14[],MATCH($B5448,Table14[SAPNo],0),3),"")</f>
        <v>13MM CT221 R1</v>
      </c>
      <c r="D5448" s="420" t="s">
        <v>10</v>
      </c>
      <c r="E5448" s="421"/>
      <c r="F5448" s="580">
        <v>29</v>
      </c>
      <c r="G5448" s="420" t="s">
        <v>3191</v>
      </c>
      <c r="H5448" s="598"/>
      <c r="I5448" s="322"/>
      <c r="J5448" s="418"/>
      <c r="K5448" s="248"/>
      <c r="M5448" s="366"/>
    </row>
    <row r="5449" spans="1:13" x14ac:dyDescent="0.25">
      <c r="A5449" s="320">
        <v>45918</v>
      </c>
      <c r="B5449" s="419">
        <v>1271790</v>
      </c>
      <c r="C5449" s="638" t="str">
        <f>IFERROR(INDEX(Table14[],MATCH($B5449,Table14[SAPNo],0),3),"")</f>
        <v xml:space="preserve">1613 CT170 18-60 </v>
      </c>
      <c r="D5449" s="420" t="s">
        <v>10</v>
      </c>
      <c r="E5449" s="421"/>
      <c r="F5449" s="580">
        <v>45</v>
      </c>
      <c r="G5449" s="420" t="s">
        <v>3191</v>
      </c>
      <c r="H5449" s="599"/>
      <c r="I5449" s="322"/>
      <c r="J5449" s="421"/>
      <c r="K5449" s="422"/>
      <c r="M5449" s="366"/>
    </row>
    <row r="5450" spans="1:13" x14ac:dyDescent="0.25">
      <c r="A5450" s="308">
        <v>45918</v>
      </c>
      <c r="B5450" s="416">
        <v>1130198</v>
      </c>
      <c r="C5450" s="638" t="str">
        <f>IFERROR(INDEX(Table14[],MATCH($B5450,Table14[SAPNo],0),3),"")</f>
        <v>Round 1613 CT182  0.018" (S)</v>
      </c>
      <c r="D5450" s="420" t="s">
        <v>10</v>
      </c>
      <c r="E5450" s="421"/>
      <c r="F5450" s="421">
        <v>11</v>
      </c>
      <c r="G5450" s="420" t="s">
        <v>3108</v>
      </c>
      <c r="H5450" s="598">
        <v>14196039</v>
      </c>
      <c r="I5450" s="322" t="s">
        <v>3109</v>
      </c>
      <c r="J5450" s="418"/>
      <c r="K5450" s="248" t="s">
        <v>3192</v>
      </c>
      <c r="M5450" s="422"/>
    </row>
    <row r="5451" spans="1:13" x14ac:dyDescent="0.25">
      <c r="A5451" s="320">
        <v>45918</v>
      </c>
      <c r="B5451" s="419">
        <v>1100741</v>
      </c>
      <c r="C5451" s="638" t="str">
        <f>IFERROR(INDEX(Table14[],MATCH($B5451,Table14[SAPNo],0),3),"")</f>
        <v>Round 1613 CT418  0.018" (S)</v>
      </c>
      <c r="D5451" s="420" t="s">
        <v>10</v>
      </c>
      <c r="E5451" s="421"/>
      <c r="F5451" s="580">
        <v>5</v>
      </c>
      <c r="G5451" s="420" t="s">
        <v>3117</v>
      </c>
      <c r="H5451" s="599">
        <v>14204336</v>
      </c>
      <c r="I5451" s="322" t="s">
        <v>3118</v>
      </c>
      <c r="J5451" s="421"/>
      <c r="K5451" s="248" t="s">
        <v>3192</v>
      </c>
      <c r="M5451" s="366"/>
    </row>
    <row r="5452" spans="1:13" x14ac:dyDescent="0.25">
      <c r="A5452" s="308">
        <v>45916</v>
      </c>
      <c r="B5452" s="416">
        <v>1130198</v>
      </c>
      <c r="C5452" s="638" t="str">
        <f>IFERROR(INDEX(Table14[],MATCH($B5452,Table14[SAPNo],0),3),"")</f>
        <v>Round 1613 CT182  0.018" (S)</v>
      </c>
      <c r="D5452" s="420" t="s">
        <v>1072</v>
      </c>
      <c r="E5452" s="421"/>
      <c r="F5452" s="421">
        <v>81</v>
      </c>
      <c r="G5452" s="417" t="s">
        <v>2626</v>
      </c>
      <c r="H5452" s="598">
        <v>13607749</v>
      </c>
      <c r="I5452" s="322" t="s">
        <v>2627</v>
      </c>
      <c r="J5452" s="418"/>
      <c r="K5452" s="248" t="s">
        <v>3073</v>
      </c>
      <c r="M5452" s="422"/>
    </row>
    <row r="5453" spans="1:13" x14ac:dyDescent="0.25">
      <c r="A5453" s="308">
        <v>45917</v>
      </c>
      <c r="B5453" s="416">
        <v>1100741</v>
      </c>
      <c r="C5453" s="638" t="str">
        <f>IFERROR(INDEX(Table14[],MATCH($B5453,Table14[SAPNo],0),3),"")</f>
        <v>Round 1613 CT418  0.018" (S)</v>
      </c>
      <c r="D5453" s="420" t="s">
        <v>1072</v>
      </c>
      <c r="E5453" s="421"/>
      <c r="F5453" s="580">
        <v>26</v>
      </c>
      <c r="G5453" s="417" t="s">
        <v>3117</v>
      </c>
      <c r="H5453" s="598">
        <v>14204336</v>
      </c>
      <c r="I5453" s="322" t="s">
        <v>3118</v>
      </c>
      <c r="J5453" s="418"/>
      <c r="K5453" s="248" t="s">
        <v>3073</v>
      </c>
      <c r="M5453" s="366"/>
    </row>
    <row r="5454" spans="1:13" x14ac:dyDescent="0.25">
      <c r="A5454" s="320">
        <v>45917</v>
      </c>
      <c r="B5454" s="419">
        <v>1209410</v>
      </c>
      <c r="C5454" s="638" t="str">
        <f>IFERROR(INDEX(Table14[],MATCH($B5454,Table14[SAPNo],0),3),"")</f>
        <v>1613 CT430MV3 U TBO</v>
      </c>
      <c r="D5454" s="420" t="s">
        <v>1072</v>
      </c>
      <c r="E5454" s="421"/>
      <c r="F5454" s="580">
        <v>46</v>
      </c>
      <c r="G5454" s="420" t="s">
        <v>3117</v>
      </c>
      <c r="H5454" s="599">
        <v>14204336</v>
      </c>
      <c r="I5454" s="322" t="s">
        <v>3118</v>
      </c>
      <c r="J5454" s="421"/>
      <c r="K5454" s="248" t="s">
        <v>3073</v>
      </c>
      <c r="M5454" s="366"/>
    </row>
    <row r="5455" spans="1:13" x14ac:dyDescent="0.25">
      <c r="A5455" s="308">
        <v>45914</v>
      </c>
      <c r="B5455" s="416">
        <v>871781</v>
      </c>
      <c r="C5455" s="638" t="str">
        <f>IFERROR(INDEX(Table14[],MATCH($B5455,Table14[SAPNo],0),3),"")</f>
        <v>Round 1313 CT200  0.018" (B)</v>
      </c>
      <c r="D5455" s="420" t="s">
        <v>12</v>
      </c>
      <c r="E5455" s="421">
        <v>6</v>
      </c>
      <c r="F5455" s="421"/>
      <c r="G5455" s="417" t="s">
        <v>3193</v>
      </c>
      <c r="H5455" s="598">
        <v>14418439</v>
      </c>
      <c r="I5455" s="322" t="s">
        <v>3194</v>
      </c>
      <c r="J5455" s="418"/>
      <c r="K5455" s="248"/>
      <c r="M5455" s="422"/>
    </row>
    <row r="5456" spans="1:13" x14ac:dyDescent="0.25">
      <c r="A5456" s="308">
        <v>45914</v>
      </c>
      <c r="B5456" s="416">
        <v>2002235</v>
      </c>
      <c r="C5456" s="638" t="str">
        <f>IFERROR(INDEX(Table14[],MATCH($B5456,Table14[SAPNo],0),3),"")</f>
        <v>1613 CT189 18-60</v>
      </c>
      <c r="D5456" s="420" t="s">
        <v>12</v>
      </c>
      <c r="E5456" s="421">
        <v>30</v>
      </c>
      <c r="F5456" s="580"/>
      <c r="G5456" s="417" t="s">
        <v>3193</v>
      </c>
      <c r="H5456" s="598">
        <v>14418439</v>
      </c>
      <c r="I5456" s="322" t="s">
        <v>3194</v>
      </c>
      <c r="J5456" s="418"/>
      <c r="K5456" s="248"/>
      <c r="M5456" s="366"/>
    </row>
    <row r="5457" spans="1:13" x14ac:dyDescent="0.25">
      <c r="A5457" s="308">
        <v>45914</v>
      </c>
      <c r="B5457" s="416">
        <v>1126402</v>
      </c>
      <c r="C5457" s="638" t="str">
        <f>IFERROR(INDEX(Table14[],MATCH($B5457,Table14[SAPNo],0),3),"")</f>
        <v>1613 CT421 16-60</v>
      </c>
      <c r="D5457" s="420" t="s">
        <v>12</v>
      </c>
      <c r="E5457" s="421">
        <v>3</v>
      </c>
      <c r="F5457" s="580"/>
      <c r="G5457" s="417" t="s">
        <v>3193</v>
      </c>
      <c r="H5457" s="598">
        <v>14418439</v>
      </c>
      <c r="I5457" s="322" t="s">
        <v>3194</v>
      </c>
      <c r="J5457" s="418"/>
      <c r="K5457" s="248"/>
      <c r="M5457" s="366"/>
    </row>
    <row r="5458" spans="1:13" x14ac:dyDescent="0.25">
      <c r="A5458" s="308">
        <v>45914</v>
      </c>
      <c r="B5458" s="416">
        <v>1100739</v>
      </c>
      <c r="C5458" s="638" t="str">
        <f>IFERROR(INDEX(Table14[],MATCH($B5458,Table14[SAPNo],0),3),"")</f>
        <v>1608 CT418 0.018"</v>
      </c>
      <c r="D5458" s="420" t="s">
        <v>12</v>
      </c>
      <c r="E5458" s="421">
        <v>23</v>
      </c>
      <c r="F5458" s="580"/>
      <c r="G5458" s="417" t="s">
        <v>3193</v>
      </c>
      <c r="H5458" s="598">
        <v>14418439</v>
      </c>
      <c r="I5458" s="322" t="s">
        <v>3194</v>
      </c>
      <c r="J5458" s="418"/>
      <c r="K5458" s="248"/>
      <c r="M5458" s="366"/>
    </row>
    <row r="5459" spans="1:13" x14ac:dyDescent="0.25">
      <c r="A5459" s="308">
        <v>45914</v>
      </c>
      <c r="B5459" s="416">
        <v>418525</v>
      </c>
      <c r="C5459" s="638" t="str">
        <f>IFERROR(INDEX(Table14[],MATCH($B5459,Table14[SAPNo],0),3),"")</f>
        <v>Drop In 1308 CT31   (B)</v>
      </c>
      <c r="D5459" s="420" t="s">
        <v>12</v>
      </c>
      <c r="E5459" s="421">
        <v>6</v>
      </c>
      <c r="F5459" s="580"/>
      <c r="G5459" s="417" t="s">
        <v>3195</v>
      </c>
      <c r="H5459" s="598">
        <v>14414023</v>
      </c>
      <c r="I5459" s="322" t="s">
        <v>2943</v>
      </c>
      <c r="J5459" s="418"/>
      <c r="K5459" s="248"/>
      <c r="M5459" s="366"/>
    </row>
    <row r="5460" spans="1:13" x14ac:dyDescent="0.25">
      <c r="A5460" s="308">
        <v>45914</v>
      </c>
      <c r="B5460" s="416">
        <v>1288783</v>
      </c>
      <c r="C5460" s="638" t="str">
        <f>IFERROR(INDEX(Table14[],MATCH($B5460,Table14[SAPNo],0),3),"")</f>
        <v>1613 CT179 18-60</v>
      </c>
      <c r="D5460" s="420" t="s">
        <v>12</v>
      </c>
      <c r="E5460" s="421">
        <v>17</v>
      </c>
      <c r="F5460" s="580"/>
      <c r="G5460" s="417" t="s">
        <v>3195</v>
      </c>
      <c r="H5460" s="598">
        <v>14414023</v>
      </c>
      <c r="I5460" s="322" t="s">
        <v>2943</v>
      </c>
      <c r="J5460" s="418"/>
      <c r="K5460" s="248"/>
      <c r="M5460" s="366"/>
    </row>
    <row r="5461" spans="1:13" x14ac:dyDescent="0.25">
      <c r="A5461" s="308">
        <v>45914</v>
      </c>
      <c r="B5461" s="416">
        <v>1208601</v>
      </c>
      <c r="C5461" s="638" t="str">
        <f>IFERROR(INDEX(Table14[],MATCH($B5461,Table14[SAPNo],0),3),"")</f>
        <v>1613 CT418 U-60</v>
      </c>
      <c r="D5461" s="420" t="s">
        <v>12</v>
      </c>
      <c r="E5461" s="421">
        <v>8</v>
      </c>
      <c r="F5461" s="580"/>
      <c r="G5461" s="417" t="s">
        <v>3195</v>
      </c>
      <c r="H5461" s="598">
        <v>14414023</v>
      </c>
      <c r="I5461" s="322" t="s">
        <v>2943</v>
      </c>
      <c r="J5461" s="418"/>
      <c r="K5461" s="248"/>
      <c r="M5461" s="366"/>
    </row>
    <row r="5462" spans="1:13" x14ac:dyDescent="0.25">
      <c r="A5462" s="308">
        <v>45914</v>
      </c>
      <c r="B5462" s="416">
        <v>1146737</v>
      </c>
      <c r="C5462" s="638" t="str">
        <f>IFERROR(INDEX(Table14[],MATCH($B5462,Table14[SAPNo],0),3),"")</f>
        <v>1613 CT418 18-60</v>
      </c>
      <c r="D5462" s="420" t="s">
        <v>12</v>
      </c>
      <c r="E5462" s="421">
        <v>6</v>
      </c>
      <c r="F5462" s="580"/>
      <c r="G5462" s="417" t="s">
        <v>3195</v>
      </c>
      <c r="H5462" s="598">
        <v>14414023</v>
      </c>
      <c r="I5462" s="322" t="s">
        <v>2943</v>
      </c>
      <c r="J5462" s="418"/>
      <c r="K5462" s="248"/>
      <c r="M5462" s="366"/>
    </row>
    <row r="5463" spans="1:13" x14ac:dyDescent="0.25">
      <c r="A5463" s="320">
        <v>45914</v>
      </c>
      <c r="B5463" s="419">
        <v>1078377</v>
      </c>
      <c r="C5463" s="638" t="str">
        <f>IFERROR(INDEX(Table14[],MATCH($B5463,Table14[SAPNo],0),3),"")</f>
        <v>13MM CT221 R1</v>
      </c>
      <c r="D5463" s="420" t="s">
        <v>12</v>
      </c>
      <c r="E5463" s="421">
        <v>15</v>
      </c>
      <c r="F5463" s="580"/>
      <c r="G5463" s="420" t="s">
        <v>3195</v>
      </c>
      <c r="H5463" s="599">
        <v>14414023</v>
      </c>
      <c r="I5463" s="322" t="s">
        <v>2943</v>
      </c>
      <c r="J5463" s="421"/>
      <c r="K5463" s="422"/>
      <c r="M5463" s="366"/>
    </row>
    <row r="5464" spans="1:13" x14ac:dyDescent="0.25">
      <c r="A5464" s="308">
        <v>45915</v>
      </c>
      <c r="B5464" s="416">
        <v>1146737</v>
      </c>
      <c r="C5464" s="638" t="str">
        <f>IFERROR(INDEX(Table14[],MATCH($B5464,Table14[SAPNo],0),3),"")</f>
        <v>1613 CT418 18-60</v>
      </c>
      <c r="D5464" s="420" t="s">
        <v>12</v>
      </c>
      <c r="E5464" s="421">
        <v>2</v>
      </c>
      <c r="F5464" s="421"/>
      <c r="G5464" s="417" t="s">
        <v>3196</v>
      </c>
      <c r="H5464" s="598">
        <v>14210785</v>
      </c>
      <c r="I5464" s="322" t="s">
        <v>3169</v>
      </c>
      <c r="J5464" s="418"/>
      <c r="K5464" s="248"/>
      <c r="M5464" s="422"/>
    </row>
    <row r="5465" spans="1:13" x14ac:dyDescent="0.25">
      <c r="A5465" s="308">
        <v>45915</v>
      </c>
      <c r="B5465" s="416">
        <v>1271790</v>
      </c>
      <c r="C5465" s="638" t="str">
        <f>IFERROR(INDEX(Table14[],MATCH($B5465,Table14[SAPNo],0),3),"")</f>
        <v xml:space="preserve">1613 CT170 18-60 </v>
      </c>
      <c r="D5465" s="420" t="s">
        <v>10</v>
      </c>
      <c r="E5465" s="421">
        <v>2</v>
      </c>
      <c r="F5465" s="580"/>
      <c r="G5465" s="417" t="s">
        <v>3196</v>
      </c>
      <c r="H5465" s="598">
        <v>14210785</v>
      </c>
      <c r="I5465" s="322" t="s">
        <v>3169</v>
      </c>
      <c r="J5465" s="418"/>
      <c r="K5465" s="248" t="s">
        <v>3197</v>
      </c>
      <c r="M5465" s="366"/>
    </row>
    <row r="5466" spans="1:13" x14ac:dyDescent="0.25">
      <c r="A5466" s="308">
        <v>45916</v>
      </c>
      <c r="B5466" s="416">
        <v>871781</v>
      </c>
      <c r="C5466" s="638" t="str">
        <f>IFERROR(INDEX(Table14[],MATCH($B5466,Table14[SAPNo],0),3),"")</f>
        <v>Round 1313 CT200  0.018" (B)</v>
      </c>
      <c r="D5466" s="420" t="s">
        <v>12</v>
      </c>
      <c r="E5466" s="421">
        <v>6</v>
      </c>
      <c r="F5466" s="580"/>
      <c r="G5466" s="417" t="s">
        <v>3198</v>
      </c>
      <c r="H5466" s="598">
        <v>14418440</v>
      </c>
      <c r="I5466" s="322" t="s">
        <v>3194</v>
      </c>
      <c r="J5466" s="418"/>
      <c r="K5466" s="248"/>
      <c r="M5466" s="366"/>
    </row>
    <row r="5467" spans="1:13" x14ac:dyDescent="0.25">
      <c r="A5467" s="308">
        <v>45916</v>
      </c>
      <c r="B5467" s="416">
        <v>647435</v>
      </c>
      <c r="C5467" s="638" t="str">
        <f>IFERROR(INDEX(Table14[],MATCH($B5467,Table14[SAPNo],0),3),"")</f>
        <v>Round 1608 CT200  0.018" (B)</v>
      </c>
      <c r="D5467" s="420" t="s">
        <v>12</v>
      </c>
      <c r="E5467" s="421">
        <v>23</v>
      </c>
      <c r="F5467" s="580"/>
      <c r="G5467" s="417" t="s">
        <v>3198</v>
      </c>
      <c r="H5467" s="598">
        <v>14418440</v>
      </c>
      <c r="I5467" s="322" t="s">
        <v>3194</v>
      </c>
      <c r="J5467" s="418"/>
      <c r="K5467" s="248"/>
      <c r="M5467" s="366"/>
    </row>
    <row r="5468" spans="1:13" x14ac:dyDescent="0.25">
      <c r="A5468" s="308">
        <v>45916</v>
      </c>
      <c r="B5468" s="416">
        <v>1130198</v>
      </c>
      <c r="C5468" s="638" t="str">
        <f>IFERROR(INDEX(Table14[],MATCH($B5468,Table14[SAPNo],0),3),"")</f>
        <v>Round 1613 CT182  0.018" (S)</v>
      </c>
      <c r="D5468" s="420" t="s">
        <v>1072</v>
      </c>
      <c r="E5468" s="421">
        <v>33</v>
      </c>
      <c r="F5468" s="580"/>
      <c r="G5468" s="417" t="s">
        <v>3198</v>
      </c>
      <c r="H5468" s="598">
        <v>14418440</v>
      </c>
      <c r="I5468" s="322" t="s">
        <v>3194</v>
      </c>
      <c r="J5468" s="418"/>
      <c r="K5468" s="248" t="s">
        <v>3151</v>
      </c>
      <c r="M5468" s="366"/>
    </row>
    <row r="5469" spans="1:13" x14ac:dyDescent="0.25">
      <c r="A5469" s="308">
        <v>45916</v>
      </c>
      <c r="B5469" s="416">
        <v>1288783</v>
      </c>
      <c r="C5469" s="638" t="str">
        <f>IFERROR(INDEX(Table14[],MATCH($B5469,Table14[SAPNo],0),3),"")</f>
        <v>1613 CT179 18-60</v>
      </c>
      <c r="D5469" s="420" t="s">
        <v>12</v>
      </c>
      <c r="E5469" s="421">
        <v>17</v>
      </c>
      <c r="F5469" s="580"/>
      <c r="G5469" s="417" t="s">
        <v>3199</v>
      </c>
      <c r="H5469" s="598">
        <v>14414024</v>
      </c>
      <c r="I5469" s="322" t="s">
        <v>2943</v>
      </c>
      <c r="J5469" s="418"/>
      <c r="K5469" s="248"/>
      <c r="M5469" s="366"/>
    </row>
    <row r="5470" spans="1:13" x14ac:dyDescent="0.25">
      <c r="A5470" s="308">
        <v>45916</v>
      </c>
      <c r="B5470" s="416">
        <v>1146737</v>
      </c>
      <c r="C5470" s="638" t="str">
        <f>IFERROR(INDEX(Table14[],MATCH($B5470,Table14[SAPNo],0),3),"")</f>
        <v>1613 CT418 18-60</v>
      </c>
      <c r="D5470" s="420" t="s">
        <v>12</v>
      </c>
      <c r="E5470" s="421">
        <v>6</v>
      </c>
      <c r="F5470" s="580"/>
      <c r="G5470" s="417" t="s">
        <v>3199</v>
      </c>
      <c r="H5470" s="598">
        <v>14414024</v>
      </c>
      <c r="I5470" s="322" t="s">
        <v>2943</v>
      </c>
      <c r="J5470" s="418"/>
      <c r="K5470" s="248"/>
      <c r="M5470" s="366"/>
    </row>
    <row r="5471" spans="1:13" x14ac:dyDescent="0.25">
      <c r="A5471" s="308">
        <v>45916</v>
      </c>
      <c r="B5471" s="416">
        <v>1208601</v>
      </c>
      <c r="C5471" s="638" t="str">
        <f>IFERROR(INDEX(Table14[],MATCH($B5471,Table14[SAPNo],0),3),"")</f>
        <v>1613 CT418 U-60</v>
      </c>
      <c r="D5471" s="420" t="s">
        <v>12</v>
      </c>
      <c r="E5471" s="421">
        <v>8</v>
      </c>
      <c r="F5471" s="580"/>
      <c r="G5471" s="417" t="s">
        <v>3199</v>
      </c>
      <c r="H5471" s="598">
        <v>14414024</v>
      </c>
      <c r="I5471" s="322" t="s">
        <v>2943</v>
      </c>
      <c r="J5471" s="418"/>
      <c r="K5471" s="248"/>
      <c r="M5471" s="366"/>
    </row>
    <row r="5472" spans="1:13" x14ac:dyDescent="0.25">
      <c r="A5472" s="308">
        <v>45916</v>
      </c>
      <c r="B5472" s="416">
        <v>1078377</v>
      </c>
      <c r="C5472" s="638" t="str">
        <f>IFERROR(INDEX(Table14[],MATCH($B5472,Table14[SAPNo],0),3),"")</f>
        <v>13MM CT221 R1</v>
      </c>
      <c r="D5472" s="420" t="s">
        <v>12</v>
      </c>
      <c r="E5472" s="421">
        <v>15</v>
      </c>
      <c r="F5472" s="580"/>
      <c r="G5472" s="417" t="s">
        <v>3199</v>
      </c>
      <c r="H5472" s="598">
        <v>14414024</v>
      </c>
      <c r="I5472" s="322" t="s">
        <v>2943</v>
      </c>
      <c r="J5472" s="418"/>
      <c r="K5472" s="248"/>
      <c r="M5472" s="366"/>
    </row>
    <row r="5473" spans="1:13" x14ac:dyDescent="0.25">
      <c r="A5473" s="308">
        <v>45916</v>
      </c>
      <c r="B5473" s="416">
        <v>418525</v>
      </c>
      <c r="C5473" s="638" t="str">
        <f>IFERROR(INDEX(Table14[],MATCH($B5473,Table14[SAPNo],0),3),"")</f>
        <v>Drop In 1308 CT31   (B)</v>
      </c>
      <c r="D5473" s="420" t="s">
        <v>12</v>
      </c>
      <c r="E5473" s="421">
        <v>6</v>
      </c>
      <c r="F5473" s="580"/>
      <c r="G5473" s="417" t="s">
        <v>3199</v>
      </c>
      <c r="H5473" s="598">
        <v>14414024</v>
      </c>
      <c r="I5473" s="322" t="s">
        <v>2943</v>
      </c>
      <c r="J5473" s="418"/>
      <c r="K5473" s="248"/>
      <c r="M5473" s="366"/>
    </row>
    <row r="5474" spans="1:13" x14ac:dyDescent="0.25">
      <c r="A5474" s="308">
        <v>45911</v>
      </c>
      <c r="B5474" s="416">
        <v>2001060</v>
      </c>
      <c r="C5474" s="638" t="str">
        <f>IFERROR(INDEX(Table14[],MATCH($B5474,Table14[SAPNo],0),3),"")</f>
        <v>1613 CT179T U-60</v>
      </c>
      <c r="D5474" s="420" t="s">
        <v>12</v>
      </c>
      <c r="E5474" s="421">
        <v>2</v>
      </c>
      <c r="F5474" s="580"/>
      <c r="G5474" s="417" t="s">
        <v>3185</v>
      </c>
      <c r="H5474" s="598">
        <v>14387332</v>
      </c>
      <c r="I5474" s="322" t="s">
        <v>2930</v>
      </c>
      <c r="J5474" s="418"/>
      <c r="K5474" s="248"/>
      <c r="M5474" s="366"/>
    </row>
    <row r="5475" spans="1:13" x14ac:dyDescent="0.25">
      <c r="A5475" s="308">
        <v>45917</v>
      </c>
      <c r="B5475" s="416">
        <v>418525</v>
      </c>
      <c r="C5475" s="638" t="str">
        <f>IFERROR(INDEX(Table14[],MATCH($B5475,Table14[SAPNo],0),3),"")</f>
        <v>Drop In 1308 CT31   (B)</v>
      </c>
      <c r="D5475" s="420" t="s">
        <v>12</v>
      </c>
      <c r="E5475" s="421">
        <v>6</v>
      </c>
      <c r="F5475" s="580"/>
      <c r="G5475" s="417" t="s">
        <v>3204</v>
      </c>
      <c r="H5475" s="598" t="s">
        <v>3205</v>
      </c>
      <c r="I5475" s="322" t="s">
        <v>2311</v>
      </c>
      <c r="J5475" s="418"/>
      <c r="K5475" s="248"/>
      <c r="M5475" s="366"/>
    </row>
    <row r="5476" spans="1:13" x14ac:dyDescent="0.25">
      <c r="A5476" s="308">
        <v>45917</v>
      </c>
      <c r="B5476" s="416">
        <v>1271790</v>
      </c>
      <c r="C5476" s="638" t="str">
        <f>IFERROR(INDEX(Table14[],MATCH($B5476,Table14[SAPNo],0),3),"")</f>
        <v xml:space="preserve">1613 CT170 18-60 </v>
      </c>
      <c r="D5476" s="420" t="s">
        <v>10</v>
      </c>
      <c r="E5476" s="421">
        <v>5</v>
      </c>
      <c r="F5476" s="580"/>
      <c r="G5476" s="417" t="s">
        <v>3204</v>
      </c>
      <c r="H5476" s="598" t="s">
        <v>3205</v>
      </c>
      <c r="I5476" s="322" t="s">
        <v>2311</v>
      </c>
      <c r="J5476" s="418"/>
      <c r="K5476" s="248" t="s">
        <v>3197</v>
      </c>
      <c r="M5476" s="366"/>
    </row>
    <row r="5477" spans="1:13" x14ac:dyDescent="0.25">
      <c r="A5477" s="308">
        <v>45917</v>
      </c>
      <c r="B5477" s="416">
        <v>1288783</v>
      </c>
      <c r="C5477" s="638" t="str">
        <f>IFERROR(INDEX(Table14[],MATCH($B5477,Table14[SAPNo],0),3),"")</f>
        <v>1613 CT179 18-60</v>
      </c>
      <c r="D5477" s="420" t="s">
        <v>12</v>
      </c>
      <c r="E5477" s="421">
        <v>32</v>
      </c>
      <c r="F5477" s="580"/>
      <c r="G5477" s="417" t="s">
        <v>3202</v>
      </c>
      <c r="H5477" s="598">
        <v>14429720</v>
      </c>
      <c r="I5477" s="322" t="s">
        <v>3203</v>
      </c>
      <c r="J5477" s="418"/>
      <c r="K5477" s="248"/>
      <c r="M5477" s="366"/>
    </row>
    <row r="5478" spans="1:13" x14ac:dyDescent="0.25">
      <c r="A5478" s="308">
        <v>45917</v>
      </c>
      <c r="B5478" s="416">
        <v>1146737</v>
      </c>
      <c r="C5478" s="638" t="str">
        <f>IFERROR(INDEX(Table14[],MATCH($B5478,Table14[SAPNo],0),3),"")</f>
        <v>1613 CT418 18-60</v>
      </c>
      <c r="D5478" s="420" t="s">
        <v>12</v>
      </c>
      <c r="E5478" s="421">
        <v>20</v>
      </c>
      <c r="F5478" s="580"/>
      <c r="G5478" s="417" t="s">
        <v>3202</v>
      </c>
      <c r="H5478" s="598">
        <v>14429720</v>
      </c>
      <c r="I5478" s="322" t="s">
        <v>3203</v>
      </c>
      <c r="J5478" s="418"/>
      <c r="K5478" s="248"/>
      <c r="M5478" s="366"/>
    </row>
    <row r="5479" spans="1:13" x14ac:dyDescent="0.25">
      <c r="A5479" s="308">
        <v>45917</v>
      </c>
      <c r="B5479" s="416">
        <v>647436</v>
      </c>
      <c r="C5479" s="638" t="str">
        <f>IFERROR(INDEX(Table14[],MATCH($B5479,Table14[SAPNo],0),3),"")</f>
        <v>Round 1613 CT200  0.018" (B)</v>
      </c>
      <c r="D5479" s="420" t="s">
        <v>12</v>
      </c>
      <c r="E5479" s="421">
        <v>22</v>
      </c>
      <c r="F5479" s="580"/>
      <c r="G5479" s="417" t="s">
        <v>3202</v>
      </c>
      <c r="H5479" s="598">
        <v>14429720</v>
      </c>
      <c r="I5479" s="322" t="s">
        <v>3203</v>
      </c>
      <c r="J5479" s="418"/>
      <c r="K5479" s="248"/>
      <c r="M5479" s="366"/>
    </row>
    <row r="5480" spans="1:13" x14ac:dyDescent="0.25">
      <c r="A5480" s="308">
        <v>45917</v>
      </c>
      <c r="B5480" s="416">
        <v>871781</v>
      </c>
      <c r="C5480" s="638" t="str">
        <f>IFERROR(INDEX(Table14[],MATCH($B5480,Table14[SAPNo],0),3),"")</f>
        <v>Round 1313 CT200  0.018" (B)</v>
      </c>
      <c r="D5480" s="420" t="s">
        <v>12</v>
      </c>
      <c r="E5480" s="421">
        <v>7</v>
      </c>
      <c r="F5480" s="580"/>
      <c r="G5480" s="417" t="s">
        <v>3202</v>
      </c>
      <c r="H5480" s="598">
        <v>14429720</v>
      </c>
      <c r="I5480" s="322" t="s">
        <v>3203</v>
      </c>
      <c r="J5480" s="418"/>
      <c r="K5480" s="248"/>
      <c r="M5480" s="366"/>
    </row>
    <row r="5481" spans="1:13" x14ac:dyDescent="0.25">
      <c r="A5481" s="308">
        <v>45917</v>
      </c>
      <c r="B5481" s="416">
        <v>1130197</v>
      </c>
      <c r="C5481" s="638" t="str">
        <f>IFERROR(INDEX(Table14[],MATCH($B5481,Table14[SAPNo],0),3),"")</f>
        <v>Round 1608 CT182  0.018" (S)</v>
      </c>
      <c r="D5481" s="420" t="s">
        <v>12</v>
      </c>
      <c r="E5481" s="421">
        <v>6</v>
      </c>
      <c r="F5481" s="580"/>
      <c r="G5481" s="417" t="s">
        <v>3202</v>
      </c>
      <c r="H5481" s="598">
        <v>14429720</v>
      </c>
      <c r="I5481" s="322" t="s">
        <v>3203</v>
      </c>
      <c r="J5481" s="418"/>
      <c r="K5481" s="248"/>
      <c r="M5481" s="366"/>
    </row>
    <row r="5482" spans="1:13" x14ac:dyDescent="0.25">
      <c r="A5482" s="308">
        <v>45917</v>
      </c>
      <c r="B5482" s="416">
        <v>1104086</v>
      </c>
      <c r="C5482" s="638" t="str">
        <f>IFERROR(INDEX(Table14[],MATCH($B5482,Table14[SAPNo],0),3),"")</f>
        <v xml:space="preserve"> 1613 CT144H  0.018 ()</v>
      </c>
      <c r="D5482" s="420" t="s">
        <v>12</v>
      </c>
      <c r="E5482" s="421">
        <v>1</v>
      </c>
      <c r="F5482" s="580"/>
      <c r="G5482" s="417" t="s">
        <v>3202</v>
      </c>
      <c r="H5482" s="598">
        <v>14429720</v>
      </c>
      <c r="I5482" s="322" t="s">
        <v>3203</v>
      </c>
      <c r="J5482" s="418"/>
      <c r="K5482" s="248"/>
      <c r="M5482" s="366"/>
    </row>
    <row r="5483" spans="1:13" x14ac:dyDescent="0.25">
      <c r="A5483" s="308">
        <v>45917</v>
      </c>
      <c r="B5483" s="416">
        <v>1208601</v>
      </c>
      <c r="C5483" s="638" t="str">
        <f>IFERROR(INDEX(Table14[],MATCH($B5483,Table14[SAPNo],0),3),"")</f>
        <v>1613 CT418 U-60</v>
      </c>
      <c r="D5483" s="420" t="s">
        <v>10</v>
      </c>
      <c r="E5483" s="421">
        <v>1</v>
      </c>
      <c r="F5483" s="580"/>
      <c r="G5483" s="417" t="s">
        <v>3204</v>
      </c>
      <c r="H5483" s="598" t="s">
        <v>3205</v>
      </c>
      <c r="I5483" s="322" t="s">
        <v>2311</v>
      </c>
      <c r="J5483" s="418"/>
      <c r="K5483" s="248" t="s">
        <v>3197</v>
      </c>
      <c r="M5483" s="366"/>
    </row>
    <row r="5484" spans="1:13" x14ac:dyDescent="0.25">
      <c r="A5484" s="308">
        <v>45917</v>
      </c>
      <c r="B5484" s="416">
        <v>1146737</v>
      </c>
      <c r="C5484" s="638" t="str">
        <f>IFERROR(INDEX(Table14[],MATCH($B5484,Table14[SAPNo],0),3),"")</f>
        <v>1613 CT418 18-60</v>
      </c>
      <c r="D5484" s="420" t="s">
        <v>10</v>
      </c>
      <c r="E5484" s="421">
        <v>2</v>
      </c>
      <c r="F5484" s="580"/>
      <c r="G5484" s="417" t="s">
        <v>3204</v>
      </c>
      <c r="H5484" s="598" t="s">
        <v>3205</v>
      </c>
      <c r="I5484" s="322" t="s">
        <v>2311</v>
      </c>
      <c r="J5484" s="418"/>
      <c r="K5484" s="248" t="s">
        <v>3197</v>
      </c>
      <c r="M5484" s="366"/>
    </row>
    <row r="5485" spans="1:13" x14ac:dyDescent="0.25">
      <c r="A5485" s="308">
        <v>45916</v>
      </c>
      <c r="B5485" s="416">
        <v>1288783</v>
      </c>
      <c r="C5485" s="638" t="str">
        <f>IFERROR(INDEX(Table14[],MATCH($B5485,Table14[SAPNo],0),3),"")</f>
        <v>1613 CT179 18-60</v>
      </c>
      <c r="D5485" s="420" t="s">
        <v>12</v>
      </c>
      <c r="E5485" s="421">
        <v>1</v>
      </c>
      <c r="F5485" s="580"/>
      <c r="G5485" s="417" t="s">
        <v>3200</v>
      </c>
      <c r="H5485" s="598" t="s">
        <v>3201</v>
      </c>
      <c r="I5485" s="322" t="s">
        <v>3135</v>
      </c>
      <c r="J5485" s="418"/>
      <c r="K5485" s="248"/>
      <c r="M5485" s="366"/>
    </row>
    <row r="5486" spans="1:13" x14ac:dyDescent="0.25">
      <c r="A5486" s="308">
        <v>45916</v>
      </c>
      <c r="B5486" s="416">
        <v>1146737</v>
      </c>
      <c r="C5486" s="638" t="str">
        <f>IFERROR(INDEX(Table14[],MATCH($B5486,Table14[SAPNo],0),3),"")</f>
        <v>1613 CT418 18-60</v>
      </c>
      <c r="D5486" s="420" t="s">
        <v>10</v>
      </c>
      <c r="E5486" s="421">
        <v>1</v>
      </c>
      <c r="F5486" s="580"/>
      <c r="G5486" s="417" t="s">
        <v>3200</v>
      </c>
      <c r="H5486" s="598" t="s">
        <v>3201</v>
      </c>
      <c r="I5486" s="322" t="s">
        <v>3135</v>
      </c>
      <c r="J5486" s="418"/>
      <c r="K5486" s="248" t="s">
        <v>3197</v>
      </c>
      <c r="M5486" s="366"/>
    </row>
    <row r="5487" spans="1:13" x14ac:dyDescent="0.25">
      <c r="A5487" s="308">
        <v>45918</v>
      </c>
      <c r="B5487" s="416">
        <v>1152018</v>
      </c>
      <c r="C5487" s="638" t="str">
        <f>IFERROR(INDEX(Table14[],MATCH($B5487,Table14[SAPNo],0),3),"")</f>
        <v>1313 CT418 U</v>
      </c>
      <c r="D5487" s="420" t="s">
        <v>12</v>
      </c>
      <c r="E5487" s="421">
        <v>1</v>
      </c>
      <c r="F5487" s="580"/>
      <c r="G5487" s="417">
        <v>20251127</v>
      </c>
      <c r="H5487" s="598">
        <v>14254494</v>
      </c>
      <c r="I5487" s="322" t="s">
        <v>3206</v>
      </c>
      <c r="J5487" s="418"/>
      <c r="K5487" s="248"/>
      <c r="M5487" s="366"/>
    </row>
    <row r="5488" spans="1:13" x14ac:dyDescent="0.25">
      <c r="A5488" s="308">
        <v>45918</v>
      </c>
      <c r="B5488" s="416">
        <v>418525</v>
      </c>
      <c r="C5488" s="638" t="str">
        <f>IFERROR(INDEX(Table14[],MATCH($B5488,Table14[SAPNo],0),3),"")</f>
        <v>Drop In 1308 CT31   (B)</v>
      </c>
      <c r="D5488" s="420" t="s">
        <v>12</v>
      </c>
      <c r="E5488" s="421">
        <v>1</v>
      </c>
      <c r="F5488" s="580"/>
      <c r="G5488" s="417">
        <v>20251127</v>
      </c>
      <c r="H5488" s="598">
        <v>14254494</v>
      </c>
      <c r="I5488" s="322" t="s">
        <v>3206</v>
      </c>
      <c r="J5488" s="418"/>
      <c r="K5488" s="248"/>
      <c r="M5488" s="366"/>
    </row>
    <row r="5489" spans="1:13" x14ac:dyDescent="0.25">
      <c r="A5489" s="308">
        <v>45918</v>
      </c>
      <c r="B5489" s="416">
        <v>418525</v>
      </c>
      <c r="C5489" s="638" t="str">
        <f>IFERROR(INDEX(Table14[],MATCH($B5489,Table14[SAPNo],0),3),"")</f>
        <v>Drop In 1308 CT31   (B)</v>
      </c>
      <c r="D5489" s="420" t="s">
        <v>12</v>
      </c>
      <c r="E5489" s="421">
        <v>1</v>
      </c>
      <c r="F5489" s="580"/>
      <c r="G5489" s="417">
        <v>20251130</v>
      </c>
      <c r="H5489" s="598">
        <v>14254493</v>
      </c>
      <c r="I5489" s="322" t="s">
        <v>3207</v>
      </c>
      <c r="J5489" s="418"/>
      <c r="K5489" s="248"/>
      <c r="M5489" s="366"/>
    </row>
    <row r="5490" spans="1:13" x14ac:dyDescent="0.25">
      <c r="A5490" s="308">
        <v>45918</v>
      </c>
      <c r="B5490" s="416">
        <v>418525</v>
      </c>
      <c r="C5490" s="638" t="str">
        <f>IFERROR(INDEX(Table14[],MATCH($B5490,Table14[SAPNo],0),3),"")</f>
        <v>Drop In 1308 CT31   (B)</v>
      </c>
      <c r="D5490" s="420" t="s">
        <v>12</v>
      </c>
      <c r="E5490" s="421">
        <v>1</v>
      </c>
      <c r="F5490" s="580"/>
      <c r="G5490" s="417">
        <v>20251131</v>
      </c>
      <c r="H5490" s="598" t="s">
        <v>3208</v>
      </c>
      <c r="I5490" s="322" t="s">
        <v>2590</v>
      </c>
      <c r="J5490" s="418"/>
      <c r="K5490" s="248"/>
      <c r="M5490" s="366"/>
    </row>
    <row r="5491" spans="1:13" x14ac:dyDescent="0.25">
      <c r="A5491" s="308">
        <v>45918</v>
      </c>
      <c r="B5491" s="416">
        <v>1146346</v>
      </c>
      <c r="C5491" s="638" t="str">
        <f>IFERROR(INDEX(Table14[],MATCH($B5491,Table14[SAPNo],0),3),"")</f>
        <v>1313 CT418 18-60</v>
      </c>
      <c r="D5491" s="420" t="s">
        <v>12</v>
      </c>
      <c r="E5491" s="421">
        <v>4</v>
      </c>
      <c r="F5491" s="580"/>
      <c r="G5491" s="417">
        <v>20251131</v>
      </c>
      <c r="H5491" s="598" t="s">
        <v>3208</v>
      </c>
      <c r="I5491" s="322" t="s">
        <v>2590</v>
      </c>
      <c r="J5491" s="418"/>
      <c r="K5491" s="248"/>
      <c r="M5491" s="366"/>
    </row>
    <row r="5492" spans="1:13" x14ac:dyDescent="0.25">
      <c r="A5492" s="308">
        <v>45918</v>
      </c>
      <c r="B5492" s="416">
        <v>1100696</v>
      </c>
      <c r="C5492" s="638" t="str">
        <f>IFERROR(INDEX(Table14[],MATCH($B5492,Table14[SAPNo],0),3),"")</f>
        <v>Round 1313 CT418  10C (S)</v>
      </c>
      <c r="D5492" s="420" t="s">
        <v>11</v>
      </c>
      <c r="E5492" s="421">
        <v>1</v>
      </c>
      <c r="F5492" s="580"/>
      <c r="G5492" s="417">
        <v>20251131</v>
      </c>
      <c r="H5492" s="598" t="s">
        <v>3208</v>
      </c>
      <c r="I5492" s="322" t="s">
        <v>2590</v>
      </c>
      <c r="J5492" s="418"/>
      <c r="K5492" s="248"/>
      <c r="M5492" s="366"/>
    </row>
    <row r="5493" spans="1:13" x14ac:dyDescent="0.25">
      <c r="A5493" s="308">
        <v>45918</v>
      </c>
      <c r="B5493" s="416">
        <v>717748</v>
      </c>
      <c r="C5493" s="638" t="str">
        <f>IFERROR(INDEX(Table14[],MATCH($B5493,Table14[SAPNo],0),3),"")</f>
        <v>Round 1010 CT200  0.018" (B)</v>
      </c>
      <c r="D5493" s="420" t="s">
        <v>12</v>
      </c>
      <c r="E5493" s="421">
        <v>2</v>
      </c>
      <c r="F5493" s="580"/>
      <c r="G5493" s="417">
        <v>20251133</v>
      </c>
      <c r="H5493" s="598" t="s">
        <v>3209</v>
      </c>
      <c r="I5493" s="322" t="s">
        <v>1069</v>
      </c>
      <c r="J5493" s="418"/>
      <c r="K5493" s="248"/>
      <c r="M5493" s="366"/>
    </row>
    <row r="5494" spans="1:13" x14ac:dyDescent="0.25">
      <c r="A5494" s="308">
        <v>45918</v>
      </c>
      <c r="B5494" s="416">
        <v>717748</v>
      </c>
      <c r="C5494" s="638" t="str">
        <f>IFERROR(INDEX(Table14[],MATCH($B5494,Table14[SAPNo],0),3),"")</f>
        <v>Round 1010 CT200  0.018" (B)</v>
      </c>
      <c r="D5494" s="420" t="s">
        <v>12</v>
      </c>
      <c r="E5494" s="421">
        <v>2</v>
      </c>
      <c r="F5494" s="580"/>
      <c r="G5494" s="417">
        <v>20251134</v>
      </c>
      <c r="H5494" s="598" t="s">
        <v>3210</v>
      </c>
      <c r="I5494" s="322" t="s">
        <v>1069</v>
      </c>
      <c r="J5494" s="418"/>
      <c r="K5494" s="248"/>
      <c r="M5494" s="366"/>
    </row>
    <row r="5495" spans="1:13" x14ac:dyDescent="0.25">
      <c r="A5495" s="308">
        <v>45918</v>
      </c>
      <c r="B5495" s="416">
        <v>2002186</v>
      </c>
      <c r="C5495" s="638" t="str">
        <f>IFERROR(INDEX(Table14[],MATCH($B5495,Table14[SAPNo],0),3),"")</f>
        <v>1313 CT187 U-60</v>
      </c>
      <c r="D5495" s="420" t="s">
        <v>12</v>
      </c>
      <c r="E5495" s="421">
        <v>15</v>
      </c>
      <c r="F5495" s="580"/>
      <c r="G5495" s="417" t="s">
        <v>3211</v>
      </c>
      <c r="H5495" s="598">
        <v>14420347</v>
      </c>
      <c r="I5495" s="322" t="s">
        <v>3163</v>
      </c>
      <c r="J5495" s="418"/>
      <c r="K5495" s="248"/>
      <c r="M5495" s="366"/>
    </row>
    <row r="5496" spans="1:13" x14ac:dyDescent="0.25">
      <c r="A5496" s="308">
        <v>45918</v>
      </c>
      <c r="B5496" s="416">
        <v>1228501</v>
      </c>
      <c r="C5496" s="638" t="str">
        <f>IFERROR(INDEX(Table14[],MATCH($B5496,Table14[SAPNo],0),3),"")</f>
        <v>1618 CT182 U-60 stator</v>
      </c>
      <c r="D5496" s="420" t="s">
        <v>12</v>
      </c>
      <c r="E5496" s="421">
        <v>10</v>
      </c>
      <c r="F5496" s="580"/>
      <c r="G5496" s="417" t="s">
        <v>3211</v>
      </c>
      <c r="H5496" s="598">
        <v>14420347</v>
      </c>
      <c r="I5496" s="322" t="s">
        <v>3163</v>
      </c>
      <c r="J5496" s="418"/>
      <c r="K5496" s="248"/>
      <c r="M5496" s="366"/>
    </row>
    <row r="5497" spans="1:13" x14ac:dyDescent="0.25">
      <c r="A5497" s="308">
        <v>45918</v>
      </c>
      <c r="B5497" s="416">
        <v>1228502</v>
      </c>
      <c r="C5497" s="638" t="str">
        <f>IFERROR(INDEX(Table14[],MATCH($B5497,Table14[SAPNo],0),3),"")</f>
        <v>1618 CT182 U-60 Rotor</v>
      </c>
      <c r="D5497" s="420" t="s">
        <v>12</v>
      </c>
      <c r="E5497" s="421">
        <v>10</v>
      </c>
      <c r="F5497" s="580"/>
      <c r="G5497" s="417" t="s">
        <v>3211</v>
      </c>
      <c r="H5497" s="598">
        <v>14420347</v>
      </c>
      <c r="I5497" s="322" t="s">
        <v>3163</v>
      </c>
      <c r="J5497" s="418"/>
      <c r="K5497" s="248"/>
      <c r="M5497" s="366"/>
    </row>
    <row r="5498" spans="1:13" x14ac:dyDescent="0.25">
      <c r="A5498" s="308">
        <v>45918</v>
      </c>
      <c r="B5498" s="416">
        <v>1228503</v>
      </c>
      <c r="C5498" s="638" t="str">
        <f>IFERROR(INDEX(Table14[],MATCH($B5498,Table14[SAPNo],0),3),"")</f>
        <v>1618 CT182 U-60 Ring</v>
      </c>
      <c r="D5498" s="420" t="s">
        <v>12</v>
      </c>
      <c r="E5498" s="421">
        <v>10</v>
      </c>
      <c r="F5498" s="580"/>
      <c r="G5498" s="417" t="s">
        <v>3211</v>
      </c>
      <c r="H5498" s="598">
        <v>14420347</v>
      </c>
      <c r="I5498" s="322" t="s">
        <v>3163</v>
      </c>
      <c r="J5498" s="418"/>
      <c r="K5498" s="248"/>
      <c r="M5498" s="366"/>
    </row>
    <row r="5499" spans="1:13" x14ac:dyDescent="0.25">
      <c r="A5499" s="308">
        <v>45918</v>
      </c>
      <c r="B5499" s="416">
        <v>1220554</v>
      </c>
      <c r="C5499" s="638" t="str">
        <f>IFERROR(INDEX(Table14[],MATCH($B5499,Table14[SAPNo],0),3),"")</f>
        <v xml:space="preserve">1618 CT182 U-60 Carbide </v>
      </c>
      <c r="D5499" s="420" t="s">
        <v>12</v>
      </c>
      <c r="E5499" s="421">
        <v>10</v>
      </c>
      <c r="F5499" s="580"/>
      <c r="G5499" s="417" t="s">
        <v>3211</v>
      </c>
      <c r="H5499" s="598">
        <v>14420347</v>
      </c>
      <c r="I5499" s="322" t="s">
        <v>3163</v>
      </c>
      <c r="J5499" s="418"/>
      <c r="K5499" s="248"/>
      <c r="M5499" s="366"/>
    </row>
    <row r="5500" spans="1:13" x14ac:dyDescent="0.25">
      <c r="A5500" s="308">
        <v>45918</v>
      </c>
      <c r="B5500" s="416">
        <v>2002243</v>
      </c>
      <c r="C5500" s="638" t="str">
        <f>IFERROR(INDEX(Table14[],MATCH($B5500,Table14[SAPNo],0),3),"")</f>
        <v>1308 CT188 U-60</v>
      </c>
      <c r="D5500" s="420" t="s">
        <v>12</v>
      </c>
      <c r="E5500" s="421">
        <v>15</v>
      </c>
      <c r="F5500" s="580"/>
      <c r="G5500" s="417" t="s">
        <v>3211</v>
      </c>
      <c r="H5500" s="598">
        <v>14420347</v>
      </c>
      <c r="I5500" s="322" t="s">
        <v>3163</v>
      </c>
      <c r="J5500" s="418"/>
      <c r="K5500" s="248"/>
      <c r="M5500" s="366"/>
    </row>
    <row r="5501" spans="1:13" x14ac:dyDescent="0.25">
      <c r="A5501" s="308">
        <v>45918</v>
      </c>
      <c r="B5501" s="416">
        <v>871781</v>
      </c>
      <c r="C5501" s="638" t="str">
        <f>IFERROR(INDEX(Table14[],MATCH($B5501,Table14[SAPNo],0),3),"")</f>
        <v>Round 1313 CT200  0.018" (B)</v>
      </c>
      <c r="D5501" s="420" t="s">
        <v>12</v>
      </c>
      <c r="E5501" s="421">
        <v>6</v>
      </c>
      <c r="F5501" s="580"/>
      <c r="G5501" s="417" t="s">
        <v>3211</v>
      </c>
      <c r="H5501" s="598">
        <v>14420347</v>
      </c>
      <c r="I5501" s="322" t="s">
        <v>3163</v>
      </c>
      <c r="J5501" s="418"/>
      <c r="K5501" s="248"/>
      <c r="M5501" s="366"/>
    </row>
    <row r="5502" spans="1:13" x14ac:dyDescent="0.25">
      <c r="A5502" s="308">
        <v>45918</v>
      </c>
      <c r="B5502" s="416">
        <v>2002299</v>
      </c>
      <c r="C5502" s="638" t="str">
        <f>IFERROR(INDEX(Table14[],MATCH($B5502,Table14[SAPNo],0),3),"")</f>
        <v>1613 CT187 U-60</v>
      </c>
      <c r="D5502" s="420" t="s">
        <v>12</v>
      </c>
      <c r="E5502" s="421">
        <v>4</v>
      </c>
      <c r="F5502" s="580"/>
      <c r="G5502" s="417" t="s">
        <v>3211</v>
      </c>
      <c r="H5502" s="598">
        <v>14420347</v>
      </c>
      <c r="I5502" s="322" t="s">
        <v>3163</v>
      </c>
      <c r="J5502" s="418"/>
      <c r="K5502" s="248"/>
      <c r="M5502" s="366"/>
    </row>
    <row r="5503" spans="1:13" x14ac:dyDescent="0.25">
      <c r="A5503" s="308">
        <v>45921</v>
      </c>
      <c r="B5503" s="416">
        <v>1228501</v>
      </c>
      <c r="C5503" s="638" t="str">
        <f>IFERROR(INDEX(Table14[],MATCH($B5503,Table14[SAPNo],0),3),"")</f>
        <v>1618 CT182 U-60 stator</v>
      </c>
      <c r="D5503" s="420" t="s">
        <v>12</v>
      </c>
      <c r="E5503" s="421">
        <v>14</v>
      </c>
      <c r="F5503" s="580"/>
      <c r="G5503" s="417" t="s">
        <v>3212</v>
      </c>
      <c r="H5503" s="598">
        <v>14418441</v>
      </c>
      <c r="I5503" s="322" t="s">
        <v>2999</v>
      </c>
      <c r="J5503" s="418"/>
      <c r="K5503" s="248"/>
      <c r="M5503" s="366"/>
    </row>
    <row r="5504" spans="1:13" x14ac:dyDescent="0.25">
      <c r="A5504" s="308">
        <v>45921</v>
      </c>
      <c r="B5504" s="416">
        <v>1126402</v>
      </c>
      <c r="C5504" s="638" t="str">
        <f>IFERROR(INDEX(Table14[],MATCH($B5504,Table14[SAPNo],0),3),"")</f>
        <v>1613 CT421 16-60</v>
      </c>
      <c r="D5504" s="420" t="s">
        <v>12</v>
      </c>
      <c r="E5504" s="421">
        <v>7</v>
      </c>
      <c r="F5504" s="580"/>
      <c r="G5504" s="417" t="s">
        <v>3212</v>
      </c>
      <c r="H5504" s="598">
        <v>14418441</v>
      </c>
      <c r="I5504" s="322" t="s">
        <v>2999</v>
      </c>
      <c r="J5504" s="418"/>
      <c r="K5504" s="248"/>
      <c r="M5504" s="366"/>
    </row>
    <row r="5505" spans="1:13" x14ac:dyDescent="0.25">
      <c r="A5505" s="308">
        <v>45921</v>
      </c>
      <c r="B5505" s="416">
        <v>2002243</v>
      </c>
      <c r="C5505" s="638" t="str">
        <f>IFERROR(INDEX(Table14[],MATCH($B5505,Table14[SAPNo],0),3),"")</f>
        <v>1308 CT188 U-60</v>
      </c>
      <c r="D5505" s="420" t="s">
        <v>12</v>
      </c>
      <c r="E5505" s="421">
        <v>22</v>
      </c>
      <c r="F5505" s="580"/>
      <c r="G5505" s="417" t="s">
        <v>3212</v>
      </c>
      <c r="H5505" s="598">
        <v>14418441</v>
      </c>
      <c r="I5505" s="322" t="s">
        <v>2999</v>
      </c>
      <c r="J5505" s="418"/>
      <c r="K5505" s="248"/>
      <c r="M5505" s="366"/>
    </row>
    <row r="5506" spans="1:13" x14ac:dyDescent="0.25">
      <c r="A5506" s="308">
        <v>45921</v>
      </c>
      <c r="B5506" s="416">
        <v>871781</v>
      </c>
      <c r="C5506" s="638" t="str">
        <f>IFERROR(INDEX(Table14[],MATCH($B5506,Table14[SAPNo],0),3),"")</f>
        <v>Round 1313 CT200  0.018" (B)</v>
      </c>
      <c r="D5506" s="420" t="s">
        <v>12</v>
      </c>
      <c r="E5506" s="421">
        <v>6</v>
      </c>
      <c r="F5506" s="580"/>
      <c r="G5506" s="417" t="s">
        <v>3212</v>
      </c>
      <c r="H5506" s="598">
        <v>14418441</v>
      </c>
      <c r="I5506" s="322" t="s">
        <v>2999</v>
      </c>
      <c r="J5506" s="418"/>
      <c r="K5506" s="248"/>
      <c r="M5506" s="366"/>
    </row>
    <row r="5507" spans="1:13" x14ac:dyDescent="0.25">
      <c r="A5507" s="308">
        <v>45921</v>
      </c>
      <c r="B5507" s="416">
        <v>1228503</v>
      </c>
      <c r="C5507" s="638" t="str">
        <f>IFERROR(INDEX(Table14[],MATCH($B5507,Table14[SAPNo],0),3),"")</f>
        <v>1618 CT182 U-60 Ring</v>
      </c>
      <c r="D5507" s="420" t="s">
        <v>12</v>
      </c>
      <c r="E5507" s="421">
        <v>14</v>
      </c>
      <c r="F5507" s="580"/>
      <c r="G5507" s="417" t="s">
        <v>3212</v>
      </c>
      <c r="H5507" s="598">
        <v>14418441</v>
      </c>
      <c r="I5507" s="322" t="s">
        <v>2999</v>
      </c>
      <c r="J5507" s="418"/>
      <c r="K5507" s="248"/>
      <c r="M5507" s="366"/>
    </row>
    <row r="5508" spans="1:13" x14ac:dyDescent="0.25">
      <c r="A5508" s="308">
        <v>45921</v>
      </c>
      <c r="B5508" s="416">
        <v>1201518</v>
      </c>
      <c r="C5508" s="638" t="str">
        <f>IFERROR(INDEX(Table14[],MATCH($B5508,Table14[SAPNo],0),3),"")</f>
        <v>12MM WC­MAT404 NA</v>
      </c>
      <c r="D5508" s="420" t="s">
        <v>12</v>
      </c>
      <c r="E5508" s="421">
        <v>3</v>
      </c>
      <c r="F5508" s="580"/>
      <c r="G5508" s="417" t="s">
        <v>3212</v>
      </c>
      <c r="H5508" s="598">
        <v>14418441</v>
      </c>
      <c r="I5508" s="322" t="s">
        <v>2999</v>
      </c>
      <c r="J5508" s="418"/>
      <c r="K5508" s="248"/>
      <c r="M5508" s="366"/>
    </row>
    <row r="5509" spans="1:13" x14ac:dyDescent="0.25">
      <c r="A5509" s="308">
        <v>45921</v>
      </c>
      <c r="B5509" s="416">
        <v>2002299</v>
      </c>
      <c r="C5509" s="638" t="str">
        <f>IFERROR(INDEX(Table14[],MATCH($B5509,Table14[SAPNo],0),3),"")</f>
        <v>1613 CT187 U-60</v>
      </c>
      <c r="D5509" s="420" t="s">
        <v>12</v>
      </c>
      <c r="E5509" s="421">
        <v>20</v>
      </c>
      <c r="F5509" s="580"/>
      <c r="G5509" s="417" t="s">
        <v>3212</v>
      </c>
      <c r="H5509" s="598">
        <v>14418441</v>
      </c>
      <c r="I5509" s="322" t="s">
        <v>2999</v>
      </c>
      <c r="J5509" s="418"/>
      <c r="K5509" s="248"/>
      <c r="M5509" s="366"/>
    </row>
    <row r="5510" spans="1:13" x14ac:dyDescent="0.25">
      <c r="A5510" s="308">
        <v>45921</v>
      </c>
      <c r="B5510" s="416">
        <v>1220554</v>
      </c>
      <c r="C5510" s="638" t="str">
        <f>IFERROR(INDEX(Table14[],MATCH($B5510,Table14[SAPNo],0),3),"")</f>
        <v xml:space="preserve">1618 CT182 U-60 Carbide </v>
      </c>
      <c r="D5510" s="420" t="s">
        <v>12</v>
      </c>
      <c r="E5510" s="421">
        <v>14</v>
      </c>
      <c r="F5510" s="580"/>
      <c r="G5510" s="417" t="s">
        <v>3212</v>
      </c>
      <c r="H5510" s="598">
        <v>14418441</v>
      </c>
      <c r="I5510" s="322" t="s">
        <v>2999</v>
      </c>
      <c r="J5510" s="418"/>
      <c r="K5510" s="248"/>
      <c r="M5510" s="366"/>
    </row>
    <row r="5511" spans="1:13" x14ac:dyDescent="0.25">
      <c r="A5511" s="308">
        <v>45921</v>
      </c>
      <c r="B5511" s="416">
        <v>1228502</v>
      </c>
      <c r="C5511" s="638" t="str">
        <f>IFERROR(INDEX(Table14[],MATCH($B5511,Table14[SAPNo],0),3),"")</f>
        <v>1618 CT182 U-60 Rotor</v>
      </c>
      <c r="D5511" s="420" t="s">
        <v>12</v>
      </c>
      <c r="E5511" s="421">
        <v>14</v>
      </c>
      <c r="F5511" s="580"/>
      <c r="G5511" s="417" t="s">
        <v>3212</v>
      </c>
      <c r="H5511" s="598">
        <v>14418441</v>
      </c>
      <c r="I5511" s="322" t="s">
        <v>2999</v>
      </c>
      <c r="J5511" s="418"/>
      <c r="K5511" s="248"/>
      <c r="M5511" s="366"/>
    </row>
    <row r="5512" spans="1:13" x14ac:dyDescent="0.25">
      <c r="A5512" s="308">
        <v>45921</v>
      </c>
      <c r="B5512" s="416">
        <v>871781</v>
      </c>
      <c r="C5512" s="638" t="str">
        <f>IFERROR(INDEX(Table14[],MATCH($B5512,Table14[SAPNo],0),3),"")</f>
        <v>Round 1313 CT200  0.018" (B)</v>
      </c>
      <c r="D5512" s="420" t="s">
        <v>12</v>
      </c>
      <c r="E5512" s="421">
        <v>6</v>
      </c>
      <c r="F5512" s="580"/>
      <c r="G5512" s="417" t="s">
        <v>3213</v>
      </c>
      <c r="H5512" s="598">
        <v>14420346</v>
      </c>
      <c r="I5512" s="322" t="s">
        <v>3163</v>
      </c>
      <c r="J5512" s="418"/>
      <c r="K5512" s="248"/>
      <c r="M5512" s="366"/>
    </row>
    <row r="5513" spans="1:13" x14ac:dyDescent="0.25">
      <c r="A5513" s="308">
        <v>45921</v>
      </c>
      <c r="B5513" s="416">
        <v>2002299</v>
      </c>
      <c r="C5513" s="638" t="str">
        <f>IFERROR(INDEX(Table14[],MATCH($B5513,Table14[SAPNo],0),3),"")</f>
        <v>1613 CT187 U-60</v>
      </c>
      <c r="D5513" s="420" t="s">
        <v>12</v>
      </c>
      <c r="E5513" s="421">
        <v>4</v>
      </c>
      <c r="F5513" s="580"/>
      <c r="G5513" s="417" t="s">
        <v>3213</v>
      </c>
      <c r="H5513" s="598">
        <v>14420346</v>
      </c>
      <c r="I5513" s="322" t="s">
        <v>3163</v>
      </c>
      <c r="J5513" s="418"/>
      <c r="K5513" s="248"/>
      <c r="M5513" s="366"/>
    </row>
    <row r="5514" spans="1:13" x14ac:dyDescent="0.25">
      <c r="A5514" s="308">
        <v>45921</v>
      </c>
      <c r="B5514" s="416">
        <v>1228501</v>
      </c>
      <c r="C5514" s="638" t="str">
        <f>IFERROR(INDEX(Table14[],MATCH($B5514,Table14[SAPNo],0),3),"")</f>
        <v>1618 CT182 U-60 stator</v>
      </c>
      <c r="D5514" s="420" t="s">
        <v>12</v>
      </c>
      <c r="E5514" s="421">
        <v>10</v>
      </c>
      <c r="F5514" s="580"/>
      <c r="G5514" s="417" t="s">
        <v>3213</v>
      </c>
      <c r="H5514" s="598">
        <v>14420346</v>
      </c>
      <c r="I5514" s="322" t="s">
        <v>3163</v>
      </c>
      <c r="J5514" s="418"/>
      <c r="K5514" s="248"/>
      <c r="M5514" s="366"/>
    </row>
    <row r="5515" spans="1:13" x14ac:dyDescent="0.25">
      <c r="A5515" s="308">
        <v>45921</v>
      </c>
      <c r="B5515" s="416">
        <v>2002186</v>
      </c>
      <c r="C5515" s="638" t="str">
        <f>IFERROR(INDEX(Table14[],MATCH($B5515,Table14[SAPNo],0),3),"")</f>
        <v>1313 CT187 U-60</v>
      </c>
      <c r="D5515" s="420" t="s">
        <v>12</v>
      </c>
      <c r="E5515" s="421">
        <v>15</v>
      </c>
      <c r="F5515" s="580"/>
      <c r="G5515" s="417" t="s">
        <v>3213</v>
      </c>
      <c r="H5515" s="598">
        <v>14420346</v>
      </c>
      <c r="I5515" s="322" t="s">
        <v>3163</v>
      </c>
      <c r="J5515" s="418"/>
      <c r="K5515" s="248"/>
      <c r="M5515" s="366"/>
    </row>
    <row r="5516" spans="1:13" x14ac:dyDescent="0.25">
      <c r="A5516" s="308">
        <v>45921</v>
      </c>
      <c r="B5516" s="416">
        <v>1228502</v>
      </c>
      <c r="C5516" s="638" t="str">
        <f>IFERROR(INDEX(Table14[],MATCH($B5516,Table14[SAPNo],0),3),"")</f>
        <v>1618 CT182 U-60 Rotor</v>
      </c>
      <c r="D5516" s="420" t="s">
        <v>12</v>
      </c>
      <c r="E5516" s="421">
        <v>10</v>
      </c>
      <c r="F5516" s="580"/>
      <c r="G5516" s="417" t="s">
        <v>3213</v>
      </c>
      <c r="H5516" s="598">
        <v>14420346</v>
      </c>
      <c r="I5516" s="322" t="s">
        <v>3163</v>
      </c>
      <c r="J5516" s="418"/>
      <c r="K5516" s="248"/>
      <c r="M5516" s="366"/>
    </row>
    <row r="5517" spans="1:13" x14ac:dyDescent="0.25">
      <c r="A5517" s="308">
        <v>45921</v>
      </c>
      <c r="B5517" s="416">
        <v>2002243</v>
      </c>
      <c r="C5517" s="638" t="str">
        <f>IFERROR(INDEX(Table14[],MATCH($B5517,Table14[SAPNo],0),3),"")</f>
        <v>1308 CT188 U-60</v>
      </c>
      <c r="D5517" s="420" t="s">
        <v>12</v>
      </c>
      <c r="E5517" s="421">
        <v>15</v>
      </c>
      <c r="F5517" s="580"/>
      <c r="G5517" s="417" t="s">
        <v>3213</v>
      </c>
      <c r="H5517" s="598">
        <v>14420346</v>
      </c>
      <c r="I5517" s="322" t="s">
        <v>3163</v>
      </c>
      <c r="J5517" s="418"/>
      <c r="K5517" s="248"/>
      <c r="M5517" s="366"/>
    </row>
    <row r="5518" spans="1:13" x14ac:dyDescent="0.25">
      <c r="A5518" s="308">
        <v>45921</v>
      </c>
      <c r="B5518" s="416">
        <v>1228503</v>
      </c>
      <c r="C5518" s="638" t="str">
        <f>IFERROR(INDEX(Table14[],MATCH($B5518,Table14[SAPNo],0),3),"")</f>
        <v>1618 CT182 U-60 Ring</v>
      </c>
      <c r="D5518" s="420" t="s">
        <v>12</v>
      </c>
      <c r="E5518" s="421">
        <v>10</v>
      </c>
      <c r="F5518" s="580"/>
      <c r="G5518" s="417" t="s">
        <v>3213</v>
      </c>
      <c r="H5518" s="598">
        <v>14420346</v>
      </c>
      <c r="I5518" s="322" t="s">
        <v>3163</v>
      </c>
      <c r="J5518" s="418"/>
      <c r="K5518" s="248"/>
      <c r="M5518" s="366"/>
    </row>
    <row r="5519" spans="1:13" x14ac:dyDescent="0.25">
      <c r="A5519" s="308">
        <v>45921</v>
      </c>
      <c r="B5519" s="416">
        <v>1220554</v>
      </c>
      <c r="C5519" s="638" t="str">
        <f>IFERROR(INDEX(Table14[],MATCH($B5519,Table14[SAPNo],0),3),"")</f>
        <v xml:space="preserve">1618 CT182 U-60 Carbide </v>
      </c>
      <c r="D5519" s="420" t="s">
        <v>12</v>
      </c>
      <c r="E5519" s="421">
        <v>10</v>
      </c>
      <c r="F5519" s="580"/>
      <c r="G5519" s="417" t="s">
        <v>3213</v>
      </c>
      <c r="H5519" s="598">
        <v>14420346</v>
      </c>
      <c r="I5519" s="322" t="s">
        <v>3163</v>
      </c>
      <c r="J5519" s="418"/>
      <c r="K5519" s="248"/>
      <c r="M5519" s="366"/>
    </row>
    <row r="5520" spans="1:13" x14ac:dyDescent="0.25">
      <c r="A5520" s="308">
        <v>45921</v>
      </c>
      <c r="B5520" s="416">
        <v>2002243</v>
      </c>
      <c r="C5520" s="638" t="str">
        <f>IFERROR(INDEX(Table14[],MATCH($B5520,Table14[SAPNo],0),3),"")</f>
        <v>1308 CT188 U-60</v>
      </c>
      <c r="D5520" s="420" t="s">
        <v>12</v>
      </c>
      <c r="E5520" s="421">
        <v>15</v>
      </c>
      <c r="F5520" s="580"/>
      <c r="G5520" s="417" t="s">
        <v>3214</v>
      </c>
      <c r="H5520" s="598">
        <v>14420348</v>
      </c>
      <c r="I5520" s="322" t="s">
        <v>3163</v>
      </c>
      <c r="J5520" s="418"/>
      <c r="K5520" s="248"/>
      <c r="M5520" s="366"/>
    </row>
    <row r="5521" spans="1:13" x14ac:dyDescent="0.25">
      <c r="A5521" s="308">
        <v>45921</v>
      </c>
      <c r="B5521" s="416">
        <v>1228502</v>
      </c>
      <c r="C5521" s="638" t="str">
        <f>IFERROR(INDEX(Table14[],MATCH($B5521,Table14[SAPNo],0),3),"")</f>
        <v>1618 CT182 U-60 Rotor</v>
      </c>
      <c r="D5521" s="420" t="s">
        <v>12</v>
      </c>
      <c r="E5521" s="421">
        <v>10</v>
      </c>
      <c r="F5521" s="580"/>
      <c r="G5521" s="417" t="s">
        <v>3214</v>
      </c>
      <c r="H5521" s="598">
        <v>14420348</v>
      </c>
      <c r="I5521" s="322" t="s">
        <v>3163</v>
      </c>
      <c r="J5521" s="418"/>
      <c r="K5521" s="248"/>
      <c r="M5521" s="366"/>
    </row>
    <row r="5522" spans="1:13" x14ac:dyDescent="0.25">
      <c r="A5522" s="308">
        <v>45921</v>
      </c>
      <c r="B5522" s="416">
        <v>2002299</v>
      </c>
      <c r="C5522" s="638" t="str">
        <f>IFERROR(INDEX(Table14[],MATCH($B5522,Table14[SAPNo],0),3),"")</f>
        <v>1613 CT187 U-60</v>
      </c>
      <c r="D5522" s="420" t="s">
        <v>12</v>
      </c>
      <c r="E5522" s="421">
        <v>4</v>
      </c>
      <c r="F5522" s="580"/>
      <c r="G5522" s="417" t="s">
        <v>3214</v>
      </c>
      <c r="H5522" s="598">
        <v>14420348</v>
      </c>
      <c r="I5522" s="322" t="s">
        <v>3163</v>
      </c>
      <c r="J5522" s="418"/>
      <c r="K5522" s="248"/>
      <c r="M5522" s="366"/>
    </row>
    <row r="5523" spans="1:13" x14ac:dyDescent="0.25">
      <c r="A5523" s="308">
        <v>45921</v>
      </c>
      <c r="B5523" s="416">
        <v>1228503</v>
      </c>
      <c r="C5523" s="638" t="str">
        <f>IFERROR(INDEX(Table14[],MATCH($B5523,Table14[SAPNo],0),3),"")</f>
        <v>1618 CT182 U-60 Ring</v>
      </c>
      <c r="D5523" s="420" t="s">
        <v>12</v>
      </c>
      <c r="E5523" s="421">
        <v>10</v>
      </c>
      <c r="F5523" s="580"/>
      <c r="G5523" s="417" t="s">
        <v>3214</v>
      </c>
      <c r="H5523" s="598">
        <v>14420348</v>
      </c>
      <c r="I5523" s="322" t="s">
        <v>3163</v>
      </c>
      <c r="J5523" s="418"/>
      <c r="K5523" s="248"/>
      <c r="M5523" s="366"/>
    </row>
    <row r="5524" spans="1:13" x14ac:dyDescent="0.25">
      <c r="A5524" s="308">
        <v>45921</v>
      </c>
      <c r="B5524" s="416">
        <v>2002186</v>
      </c>
      <c r="C5524" s="638" t="str">
        <f>IFERROR(INDEX(Table14[],MATCH($B5524,Table14[SAPNo],0),3),"")</f>
        <v>1313 CT187 U-60</v>
      </c>
      <c r="D5524" s="420" t="s">
        <v>12</v>
      </c>
      <c r="E5524" s="421">
        <v>15</v>
      </c>
      <c r="F5524" s="580"/>
      <c r="G5524" s="417" t="s">
        <v>3214</v>
      </c>
      <c r="H5524" s="598">
        <v>14420348</v>
      </c>
      <c r="I5524" s="322" t="s">
        <v>3163</v>
      </c>
      <c r="J5524" s="418"/>
      <c r="K5524" s="248"/>
      <c r="M5524" s="366"/>
    </row>
    <row r="5525" spans="1:13" x14ac:dyDescent="0.25">
      <c r="A5525" s="308">
        <v>45921</v>
      </c>
      <c r="B5525" s="416">
        <v>871781</v>
      </c>
      <c r="C5525" s="638" t="str">
        <f>IFERROR(INDEX(Table14[],MATCH($B5525,Table14[SAPNo],0),3),"")</f>
        <v>Round 1313 CT200  0.018" (B)</v>
      </c>
      <c r="D5525" s="420" t="s">
        <v>12</v>
      </c>
      <c r="E5525" s="421">
        <v>6</v>
      </c>
      <c r="F5525" s="580"/>
      <c r="G5525" s="417" t="s">
        <v>3214</v>
      </c>
      <c r="H5525" s="598">
        <v>14420348</v>
      </c>
      <c r="I5525" s="322" t="s">
        <v>3163</v>
      </c>
      <c r="J5525" s="418"/>
      <c r="K5525" s="248"/>
      <c r="M5525" s="366"/>
    </row>
    <row r="5526" spans="1:13" x14ac:dyDescent="0.25">
      <c r="A5526" s="308">
        <v>45921</v>
      </c>
      <c r="B5526" s="416">
        <v>1228501</v>
      </c>
      <c r="C5526" s="638" t="str">
        <f>IFERROR(INDEX(Table14[],MATCH($B5526,Table14[SAPNo],0),3),"")</f>
        <v>1618 CT182 U-60 stator</v>
      </c>
      <c r="D5526" s="420" t="s">
        <v>12</v>
      </c>
      <c r="E5526" s="421">
        <v>10</v>
      </c>
      <c r="F5526" s="580"/>
      <c r="G5526" s="417" t="s">
        <v>3214</v>
      </c>
      <c r="H5526" s="598">
        <v>14420348</v>
      </c>
      <c r="I5526" s="322" t="s">
        <v>3163</v>
      </c>
      <c r="J5526" s="418"/>
      <c r="K5526" s="248"/>
      <c r="M5526" s="366"/>
    </row>
    <row r="5527" spans="1:13" x14ac:dyDescent="0.25">
      <c r="A5527" s="320">
        <v>45921</v>
      </c>
      <c r="B5527" s="419">
        <v>1220554</v>
      </c>
      <c r="C5527" s="638" t="str">
        <f>IFERROR(INDEX(Table14[],MATCH($B5527,Table14[SAPNo],0),3),"")</f>
        <v xml:space="preserve">1618 CT182 U-60 Carbide </v>
      </c>
      <c r="D5527" s="420" t="s">
        <v>12</v>
      </c>
      <c r="E5527" s="421">
        <v>10</v>
      </c>
      <c r="F5527" s="580"/>
      <c r="G5527" s="420" t="s">
        <v>3214</v>
      </c>
      <c r="H5527" s="599">
        <v>14420348</v>
      </c>
      <c r="I5527" s="322" t="s">
        <v>3163</v>
      </c>
      <c r="J5527" s="421"/>
      <c r="K5527" s="422"/>
      <c r="M5527" s="366"/>
    </row>
    <row r="5528" spans="1:13" x14ac:dyDescent="0.25">
      <c r="A5528" s="308">
        <v>45921</v>
      </c>
      <c r="B5528" s="416">
        <v>2002243</v>
      </c>
      <c r="C5528" s="638" t="str">
        <f>IFERROR(INDEX(Table14[],MATCH($B5528,Table14[SAPNo],0),3),"")</f>
        <v>1308 CT188 U-60</v>
      </c>
      <c r="D5528" s="420" t="s">
        <v>12</v>
      </c>
      <c r="E5528" s="421">
        <v>11</v>
      </c>
      <c r="F5528" s="421"/>
      <c r="G5528" s="420" t="s">
        <v>3215</v>
      </c>
      <c r="H5528" s="598">
        <v>14426674</v>
      </c>
      <c r="I5528" s="322" t="s">
        <v>3163</v>
      </c>
      <c r="J5528" s="418"/>
      <c r="K5528" s="248"/>
      <c r="M5528" s="422"/>
    </row>
    <row r="5529" spans="1:13" x14ac:dyDescent="0.25">
      <c r="A5529" s="308">
        <v>45921</v>
      </c>
      <c r="B5529" s="416">
        <v>2004484</v>
      </c>
      <c r="C5529" s="638" t="str">
        <f>IFERROR(INDEX(Table14[],MATCH($B5529,Table14[SAPNo],0),3),"")</f>
        <v>1308 CT187 U-60</v>
      </c>
      <c r="D5529" s="420" t="s">
        <v>12</v>
      </c>
      <c r="E5529" s="421">
        <v>4</v>
      </c>
      <c r="F5529" s="580"/>
      <c r="G5529" s="417" t="s">
        <v>3215</v>
      </c>
      <c r="H5529" s="598">
        <v>14426674</v>
      </c>
      <c r="I5529" s="322" t="s">
        <v>3163</v>
      </c>
      <c r="J5529" s="418"/>
      <c r="K5529" s="248"/>
      <c r="M5529" s="366"/>
    </row>
    <row r="5530" spans="1:13" x14ac:dyDescent="0.25">
      <c r="A5530" s="308">
        <v>45921</v>
      </c>
      <c r="B5530" s="416">
        <v>2002186</v>
      </c>
      <c r="C5530" s="638" t="str">
        <f>IFERROR(INDEX(Table14[],MATCH($B5530,Table14[SAPNo],0),3),"")</f>
        <v>1313 CT187 U-60</v>
      </c>
      <c r="D5530" s="420" t="s">
        <v>12</v>
      </c>
      <c r="E5530" s="421">
        <v>15</v>
      </c>
      <c r="F5530" s="580"/>
      <c r="G5530" s="417" t="s">
        <v>3215</v>
      </c>
      <c r="H5530" s="598">
        <v>14426674</v>
      </c>
      <c r="I5530" s="322" t="s">
        <v>3163</v>
      </c>
      <c r="J5530" s="418"/>
      <c r="K5530" s="248"/>
      <c r="M5530" s="366"/>
    </row>
    <row r="5531" spans="1:13" x14ac:dyDescent="0.25">
      <c r="A5531" s="308">
        <v>45921</v>
      </c>
      <c r="B5531" s="416">
        <v>1228502</v>
      </c>
      <c r="C5531" s="638" t="str">
        <f>IFERROR(INDEX(Table14[],MATCH($B5531,Table14[SAPNo],0),3),"")</f>
        <v>1618 CT182 U-60 Rotor</v>
      </c>
      <c r="D5531" s="420" t="s">
        <v>12</v>
      </c>
      <c r="E5531" s="421">
        <v>10</v>
      </c>
      <c r="F5531" s="580"/>
      <c r="G5531" s="417" t="s">
        <v>3215</v>
      </c>
      <c r="H5531" s="598">
        <v>14426674</v>
      </c>
      <c r="I5531" s="322" t="s">
        <v>3163</v>
      </c>
      <c r="J5531" s="418"/>
      <c r="K5531" s="248"/>
      <c r="M5531" s="366"/>
    </row>
    <row r="5532" spans="1:13" x14ac:dyDescent="0.25">
      <c r="A5532" s="308">
        <v>45921</v>
      </c>
      <c r="B5532" s="416">
        <v>871781</v>
      </c>
      <c r="C5532" s="638" t="str">
        <f>IFERROR(INDEX(Table14[],MATCH($B5532,Table14[SAPNo],0),3),"")</f>
        <v>Round 1313 CT200  0.018" (B)</v>
      </c>
      <c r="D5532" s="420" t="s">
        <v>12</v>
      </c>
      <c r="E5532" s="421">
        <v>6</v>
      </c>
      <c r="F5532" s="580"/>
      <c r="G5532" s="417" t="s">
        <v>3215</v>
      </c>
      <c r="H5532" s="598">
        <v>14426674</v>
      </c>
      <c r="I5532" s="322" t="s">
        <v>3163</v>
      </c>
      <c r="J5532" s="418"/>
      <c r="K5532" s="248"/>
      <c r="M5532" s="366"/>
    </row>
    <row r="5533" spans="1:13" x14ac:dyDescent="0.25">
      <c r="A5533" s="308">
        <v>45921</v>
      </c>
      <c r="B5533" s="416">
        <v>2002299</v>
      </c>
      <c r="C5533" s="638" t="str">
        <f>IFERROR(INDEX(Table14[],MATCH($B5533,Table14[SAPNo],0),3),"")</f>
        <v>1613 CT187 U-60</v>
      </c>
      <c r="D5533" s="420" t="s">
        <v>12</v>
      </c>
      <c r="E5533" s="421">
        <v>4</v>
      </c>
      <c r="F5533" s="580"/>
      <c r="G5533" s="417" t="s">
        <v>3215</v>
      </c>
      <c r="H5533" s="598">
        <v>14426674</v>
      </c>
      <c r="I5533" s="322" t="s">
        <v>3163</v>
      </c>
      <c r="J5533" s="418"/>
      <c r="K5533" s="248"/>
      <c r="M5533" s="366"/>
    </row>
    <row r="5534" spans="1:13" x14ac:dyDescent="0.25">
      <c r="A5534" s="308">
        <v>45921</v>
      </c>
      <c r="B5534" s="416">
        <v>1228501</v>
      </c>
      <c r="C5534" s="638" t="str">
        <f>IFERROR(INDEX(Table14[],MATCH($B5534,Table14[SAPNo],0),3),"")</f>
        <v>1618 CT182 U-60 stator</v>
      </c>
      <c r="D5534" s="420" t="s">
        <v>12</v>
      </c>
      <c r="E5534" s="421">
        <v>10</v>
      </c>
      <c r="F5534" s="580"/>
      <c r="G5534" s="417" t="s">
        <v>3215</v>
      </c>
      <c r="H5534" s="598">
        <v>14426674</v>
      </c>
      <c r="I5534" s="322" t="s">
        <v>3163</v>
      </c>
      <c r="J5534" s="418"/>
      <c r="K5534" s="248"/>
      <c r="M5534" s="366"/>
    </row>
    <row r="5535" spans="1:13" x14ac:dyDescent="0.25">
      <c r="A5535" s="308">
        <v>45921</v>
      </c>
      <c r="B5535" s="416">
        <v>1228503</v>
      </c>
      <c r="C5535" s="638" t="str">
        <f>IFERROR(INDEX(Table14[],MATCH($B5535,Table14[SAPNo],0),3),"")</f>
        <v>1618 CT182 U-60 Ring</v>
      </c>
      <c r="D5535" s="420" t="s">
        <v>12</v>
      </c>
      <c r="E5535" s="421">
        <v>10</v>
      </c>
      <c r="F5535" s="580"/>
      <c r="G5535" s="417" t="s">
        <v>3215</v>
      </c>
      <c r="H5535" s="598">
        <v>14426674</v>
      </c>
      <c r="I5535" s="322" t="s">
        <v>3163</v>
      </c>
      <c r="J5535" s="418"/>
      <c r="K5535" s="248"/>
      <c r="M5535" s="366"/>
    </row>
    <row r="5536" spans="1:13" x14ac:dyDescent="0.25">
      <c r="A5536" s="320">
        <v>45921</v>
      </c>
      <c r="B5536" s="419">
        <v>1220554</v>
      </c>
      <c r="C5536" s="638" t="str">
        <f>IFERROR(INDEX(Table14[],MATCH($B5536,Table14[SAPNo],0),3),"")</f>
        <v xml:space="preserve">1618 CT182 U-60 Carbide </v>
      </c>
      <c r="D5536" s="420" t="s">
        <v>12</v>
      </c>
      <c r="E5536" s="421">
        <v>10</v>
      </c>
      <c r="F5536" s="580"/>
      <c r="G5536" s="420" t="s">
        <v>3215</v>
      </c>
      <c r="H5536" s="599">
        <v>14426674</v>
      </c>
      <c r="I5536" s="322" t="s">
        <v>3163</v>
      </c>
      <c r="J5536" s="421"/>
      <c r="K5536" s="422"/>
      <c r="M5536" s="366"/>
    </row>
    <row r="5537" spans="1:13" x14ac:dyDescent="0.25">
      <c r="A5537" s="308">
        <v>45921</v>
      </c>
      <c r="B5537" s="416">
        <v>2004484</v>
      </c>
      <c r="C5537" s="638" t="str">
        <f>IFERROR(INDEX(Table14[],MATCH($B5537,Table14[SAPNo],0),3),"")</f>
        <v>1308 CT187 U-60</v>
      </c>
      <c r="D5537" s="420" t="s">
        <v>12</v>
      </c>
      <c r="E5537" s="421">
        <v>15</v>
      </c>
      <c r="F5537" s="421"/>
      <c r="G5537" s="420" t="s">
        <v>3216</v>
      </c>
      <c r="H5537" s="598">
        <v>14426675</v>
      </c>
      <c r="I5537" s="322" t="s">
        <v>3163</v>
      </c>
      <c r="J5537" s="418"/>
      <c r="K5537" s="248"/>
      <c r="M5537" s="422"/>
    </row>
    <row r="5538" spans="1:13" x14ac:dyDescent="0.25">
      <c r="A5538" s="308">
        <v>45921</v>
      </c>
      <c r="B5538" s="416">
        <v>2002186</v>
      </c>
      <c r="C5538" s="638" t="str">
        <f>IFERROR(INDEX(Table14[],MATCH($B5538,Table14[SAPNo],0),3),"")</f>
        <v>1313 CT187 U-60</v>
      </c>
      <c r="D5538" s="420" t="s">
        <v>12</v>
      </c>
      <c r="E5538" s="421">
        <v>15</v>
      </c>
      <c r="F5538" s="580"/>
      <c r="G5538" s="420" t="s">
        <v>3216</v>
      </c>
      <c r="H5538" s="598">
        <v>14426675</v>
      </c>
      <c r="I5538" s="322" t="s">
        <v>3163</v>
      </c>
      <c r="J5538" s="418"/>
      <c r="K5538" s="248"/>
      <c r="M5538" s="366"/>
    </row>
    <row r="5539" spans="1:13" x14ac:dyDescent="0.25">
      <c r="A5539" s="308">
        <v>45921</v>
      </c>
      <c r="B5539" s="416">
        <v>1228502</v>
      </c>
      <c r="C5539" s="638" t="str">
        <f>IFERROR(INDEX(Table14[],MATCH($B5539,Table14[SAPNo],0),3),"")</f>
        <v>1618 CT182 U-60 Rotor</v>
      </c>
      <c r="D5539" s="420" t="s">
        <v>12</v>
      </c>
      <c r="E5539" s="421">
        <v>10</v>
      </c>
      <c r="F5539" s="580"/>
      <c r="G5539" s="420" t="s">
        <v>3216</v>
      </c>
      <c r="H5539" s="598">
        <v>14426675</v>
      </c>
      <c r="I5539" s="322" t="s">
        <v>3163</v>
      </c>
      <c r="J5539" s="418"/>
      <c r="K5539" s="248"/>
      <c r="M5539" s="366"/>
    </row>
    <row r="5540" spans="1:13" x14ac:dyDescent="0.25">
      <c r="A5540" s="308">
        <v>45921</v>
      </c>
      <c r="B5540" s="416">
        <v>871781</v>
      </c>
      <c r="C5540" s="638" t="str">
        <f>IFERROR(INDEX(Table14[],MATCH($B5540,Table14[SAPNo],0),3),"")</f>
        <v>Round 1313 CT200  0.018" (B)</v>
      </c>
      <c r="D5540" s="420" t="s">
        <v>12</v>
      </c>
      <c r="E5540" s="421">
        <v>6</v>
      </c>
      <c r="F5540" s="580"/>
      <c r="G5540" s="420" t="s">
        <v>3216</v>
      </c>
      <c r="H5540" s="598">
        <v>14426675</v>
      </c>
      <c r="I5540" s="322" t="s">
        <v>3163</v>
      </c>
      <c r="J5540" s="418"/>
      <c r="K5540" s="248"/>
      <c r="M5540" s="366"/>
    </row>
    <row r="5541" spans="1:13" x14ac:dyDescent="0.25">
      <c r="A5541" s="308">
        <v>45921</v>
      </c>
      <c r="B5541" s="416">
        <v>2002299</v>
      </c>
      <c r="C5541" s="638" t="str">
        <f>IFERROR(INDEX(Table14[],MATCH($B5541,Table14[SAPNo],0),3),"")</f>
        <v>1613 CT187 U-60</v>
      </c>
      <c r="D5541" s="420" t="s">
        <v>12</v>
      </c>
      <c r="E5541" s="421">
        <v>4</v>
      </c>
      <c r="F5541" s="580"/>
      <c r="G5541" s="420" t="s">
        <v>3216</v>
      </c>
      <c r="H5541" s="598">
        <v>14426675</v>
      </c>
      <c r="I5541" s="322" t="s">
        <v>3163</v>
      </c>
      <c r="J5541" s="418"/>
      <c r="K5541" s="248"/>
      <c r="M5541" s="366"/>
    </row>
    <row r="5542" spans="1:13" x14ac:dyDescent="0.25">
      <c r="A5542" s="308">
        <v>45921</v>
      </c>
      <c r="B5542" s="416">
        <v>1228501</v>
      </c>
      <c r="C5542" s="638" t="str">
        <f>IFERROR(INDEX(Table14[],MATCH($B5542,Table14[SAPNo],0),3),"")</f>
        <v>1618 CT182 U-60 stator</v>
      </c>
      <c r="D5542" s="420" t="s">
        <v>12</v>
      </c>
      <c r="E5542" s="421">
        <v>10</v>
      </c>
      <c r="F5542" s="580"/>
      <c r="G5542" s="420" t="s">
        <v>3216</v>
      </c>
      <c r="H5542" s="598">
        <v>14426675</v>
      </c>
      <c r="I5542" s="322" t="s">
        <v>3163</v>
      </c>
      <c r="J5542" s="418"/>
      <c r="K5542" s="248"/>
      <c r="M5542" s="366"/>
    </row>
    <row r="5543" spans="1:13" x14ac:dyDescent="0.25">
      <c r="A5543" s="308">
        <v>45921</v>
      </c>
      <c r="B5543" s="416">
        <v>1228503</v>
      </c>
      <c r="C5543" s="638" t="str">
        <f>IFERROR(INDEX(Table14[],MATCH($B5543,Table14[SAPNo],0),3),"")</f>
        <v>1618 CT182 U-60 Ring</v>
      </c>
      <c r="D5543" s="420" t="s">
        <v>12</v>
      </c>
      <c r="E5543" s="421">
        <v>10</v>
      </c>
      <c r="F5543" s="580"/>
      <c r="G5543" s="420" t="s">
        <v>3216</v>
      </c>
      <c r="H5543" s="598">
        <v>14426675</v>
      </c>
      <c r="I5543" s="322" t="s">
        <v>3163</v>
      </c>
      <c r="J5543" s="418"/>
      <c r="K5543" s="248"/>
      <c r="M5543" s="366"/>
    </row>
    <row r="5544" spans="1:13" x14ac:dyDescent="0.25">
      <c r="A5544" s="320">
        <v>45921</v>
      </c>
      <c r="B5544" s="419">
        <v>1220554</v>
      </c>
      <c r="C5544" s="638" t="str">
        <f>IFERROR(INDEX(Table14[],MATCH($B5544,Table14[SAPNo],0),3),"")</f>
        <v xml:space="preserve">1618 CT182 U-60 Carbide </v>
      </c>
      <c r="D5544" s="420" t="s">
        <v>12</v>
      </c>
      <c r="E5544" s="421">
        <v>10</v>
      </c>
      <c r="F5544" s="580"/>
      <c r="G5544" s="420" t="s">
        <v>3216</v>
      </c>
      <c r="H5544" s="598">
        <v>14426675</v>
      </c>
      <c r="I5544" s="322" t="s">
        <v>3163</v>
      </c>
      <c r="J5544" s="421"/>
      <c r="K5544" s="422"/>
      <c r="M5544" s="366"/>
    </row>
    <row r="5545" spans="1:13" x14ac:dyDescent="0.25">
      <c r="A5545" s="308">
        <v>45921</v>
      </c>
      <c r="B5545" s="416">
        <v>2004484</v>
      </c>
      <c r="C5545" s="638" t="str">
        <f>IFERROR(INDEX(Table14[],MATCH($B5545,Table14[SAPNo],0),3),"")</f>
        <v>1308 CT187 U-60</v>
      </c>
      <c r="D5545" s="420" t="s">
        <v>12</v>
      </c>
      <c r="E5545" s="421">
        <v>15</v>
      </c>
      <c r="F5545" s="421"/>
      <c r="G5545" s="420" t="s">
        <v>3217</v>
      </c>
      <c r="H5545" s="598">
        <v>14426673</v>
      </c>
      <c r="I5545" s="322" t="s">
        <v>3163</v>
      </c>
      <c r="J5545" s="418"/>
      <c r="K5545" s="248"/>
      <c r="M5545" s="422"/>
    </row>
    <row r="5546" spans="1:13" x14ac:dyDescent="0.25">
      <c r="A5546" s="308">
        <v>45921</v>
      </c>
      <c r="B5546" s="416">
        <v>2002186</v>
      </c>
      <c r="C5546" s="638" t="str">
        <f>IFERROR(INDEX(Table14[],MATCH($B5546,Table14[SAPNo],0),3),"")</f>
        <v>1313 CT187 U-60</v>
      </c>
      <c r="D5546" s="420" t="s">
        <v>12</v>
      </c>
      <c r="E5546" s="421">
        <v>15</v>
      </c>
      <c r="F5546" s="580"/>
      <c r="G5546" s="420" t="s">
        <v>3217</v>
      </c>
      <c r="H5546" s="598">
        <v>14426673</v>
      </c>
      <c r="I5546" s="322" t="s">
        <v>3163</v>
      </c>
      <c r="J5546" s="418"/>
      <c r="K5546" s="248"/>
      <c r="M5546" s="366"/>
    </row>
    <row r="5547" spans="1:13" x14ac:dyDescent="0.25">
      <c r="A5547" s="308">
        <v>45921</v>
      </c>
      <c r="B5547" s="416">
        <v>1228502</v>
      </c>
      <c r="C5547" s="638" t="str">
        <f>IFERROR(INDEX(Table14[],MATCH($B5547,Table14[SAPNo],0),3),"")</f>
        <v>1618 CT182 U-60 Rotor</v>
      </c>
      <c r="D5547" s="420" t="s">
        <v>12</v>
      </c>
      <c r="E5547" s="421">
        <v>10</v>
      </c>
      <c r="F5547" s="580"/>
      <c r="G5547" s="420" t="s">
        <v>3217</v>
      </c>
      <c r="H5547" s="598">
        <v>14426673</v>
      </c>
      <c r="I5547" s="322" t="s">
        <v>3163</v>
      </c>
      <c r="J5547" s="418"/>
      <c r="K5547" s="248"/>
      <c r="M5547" s="366"/>
    </row>
    <row r="5548" spans="1:13" x14ac:dyDescent="0.25">
      <c r="A5548" s="308">
        <v>45921</v>
      </c>
      <c r="B5548" s="416">
        <v>871781</v>
      </c>
      <c r="C5548" s="638" t="str">
        <f>IFERROR(INDEX(Table14[],MATCH($B5548,Table14[SAPNo],0),3),"")</f>
        <v>Round 1313 CT200  0.018" (B)</v>
      </c>
      <c r="D5548" s="420" t="s">
        <v>12</v>
      </c>
      <c r="E5548" s="421">
        <v>6</v>
      </c>
      <c r="F5548" s="580"/>
      <c r="G5548" s="420" t="s">
        <v>3217</v>
      </c>
      <c r="H5548" s="598">
        <v>14426673</v>
      </c>
      <c r="I5548" s="322" t="s">
        <v>3163</v>
      </c>
      <c r="J5548" s="418"/>
      <c r="K5548" s="248"/>
      <c r="M5548" s="366"/>
    </row>
    <row r="5549" spans="1:13" x14ac:dyDescent="0.25">
      <c r="A5549" s="308">
        <v>45921</v>
      </c>
      <c r="B5549" s="416">
        <v>2002299</v>
      </c>
      <c r="C5549" s="638" t="str">
        <f>IFERROR(INDEX(Table14[],MATCH($B5549,Table14[SAPNo],0),3),"")</f>
        <v>1613 CT187 U-60</v>
      </c>
      <c r="D5549" s="420" t="s">
        <v>12</v>
      </c>
      <c r="E5549" s="421">
        <v>4</v>
      </c>
      <c r="F5549" s="580"/>
      <c r="G5549" s="420" t="s">
        <v>3217</v>
      </c>
      <c r="H5549" s="598">
        <v>14426673</v>
      </c>
      <c r="I5549" s="322" t="s">
        <v>3163</v>
      </c>
      <c r="J5549" s="418"/>
      <c r="K5549" s="248"/>
      <c r="M5549" s="366"/>
    </row>
    <row r="5550" spans="1:13" x14ac:dyDescent="0.25">
      <c r="A5550" s="308">
        <v>45921</v>
      </c>
      <c r="B5550" s="416">
        <v>1228501</v>
      </c>
      <c r="C5550" s="638" t="str">
        <f>IFERROR(INDEX(Table14[],MATCH($B5550,Table14[SAPNo],0),3),"")</f>
        <v>1618 CT182 U-60 stator</v>
      </c>
      <c r="D5550" s="420" t="s">
        <v>12</v>
      </c>
      <c r="E5550" s="421">
        <v>10</v>
      </c>
      <c r="F5550" s="580"/>
      <c r="G5550" s="420" t="s">
        <v>3217</v>
      </c>
      <c r="H5550" s="598">
        <v>14426673</v>
      </c>
      <c r="I5550" s="322" t="s">
        <v>3163</v>
      </c>
      <c r="J5550" s="418"/>
      <c r="K5550" s="248"/>
      <c r="M5550" s="366"/>
    </row>
    <row r="5551" spans="1:13" x14ac:dyDescent="0.25">
      <c r="A5551" s="308">
        <v>45921</v>
      </c>
      <c r="B5551" s="416">
        <v>1228503</v>
      </c>
      <c r="C5551" s="638" t="str">
        <f>IFERROR(INDEX(Table14[],MATCH($B5551,Table14[SAPNo],0),3),"")</f>
        <v>1618 CT182 U-60 Ring</v>
      </c>
      <c r="D5551" s="420" t="s">
        <v>12</v>
      </c>
      <c r="E5551" s="421">
        <v>10</v>
      </c>
      <c r="F5551" s="580"/>
      <c r="G5551" s="420" t="s">
        <v>3217</v>
      </c>
      <c r="H5551" s="598">
        <v>14426673</v>
      </c>
      <c r="I5551" s="322" t="s">
        <v>3163</v>
      </c>
      <c r="J5551" s="418"/>
      <c r="K5551" s="248"/>
      <c r="M5551" s="366"/>
    </row>
    <row r="5552" spans="1:13" x14ac:dyDescent="0.25">
      <c r="A5552" s="320">
        <v>45921</v>
      </c>
      <c r="B5552" s="419">
        <v>1220554</v>
      </c>
      <c r="C5552" s="638" t="str">
        <f>IFERROR(INDEX(Table14[],MATCH($B5552,Table14[SAPNo],0),3),"")</f>
        <v xml:space="preserve">1618 CT182 U-60 Carbide </v>
      </c>
      <c r="D5552" s="420" t="s">
        <v>12</v>
      </c>
      <c r="E5552" s="421">
        <v>10</v>
      </c>
      <c r="F5552" s="580"/>
      <c r="G5552" s="420" t="s">
        <v>3217</v>
      </c>
      <c r="H5552" s="598">
        <v>14426673</v>
      </c>
      <c r="I5552" s="322" t="s">
        <v>3163</v>
      </c>
      <c r="J5552" s="421"/>
      <c r="K5552" s="422"/>
      <c r="M5552" s="366"/>
    </row>
    <row r="5553" spans="1:13" x14ac:dyDescent="0.25">
      <c r="A5553" s="308">
        <v>45922</v>
      </c>
      <c r="B5553" s="416">
        <v>1078377</v>
      </c>
      <c r="C5553" s="638" t="str">
        <f>IFERROR(INDEX(Table14[],MATCH($B5553,Table14[SAPNo],0),3),"")</f>
        <v>13MM CT221 R1</v>
      </c>
      <c r="D5553" s="420" t="s">
        <v>12</v>
      </c>
      <c r="E5553" s="421"/>
      <c r="F5553" s="421">
        <v>33</v>
      </c>
      <c r="G5553" s="417" t="s">
        <v>2513</v>
      </c>
      <c r="H5553" s="598"/>
      <c r="I5553" s="322"/>
      <c r="J5553" s="418" t="s">
        <v>1019</v>
      </c>
      <c r="K5553" s="248"/>
      <c r="M5553" s="422"/>
    </row>
    <row r="5554" spans="1:13" x14ac:dyDescent="0.25">
      <c r="A5554" s="308">
        <v>45922</v>
      </c>
      <c r="B5554" s="416">
        <v>1100739</v>
      </c>
      <c r="C5554" s="638" t="str">
        <f>IFERROR(INDEX(Table14[],MATCH($B5554,Table14[SAPNo],0),3),"")</f>
        <v>1608 CT418 0.018"</v>
      </c>
      <c r="D5554" s="420" t="s">
        <v>12</v>
      </c>
      <c r="E5554" s="421"/>
      <c r="F5554" s="580">
        <v>8</v>
      </c>
      <c r="G5554" s="417" t="s">
        <v>2513</v>
      </c>
      <c r="H5554" s="598"/>
      <c r="I5554" s="322"/>
      <c r="J5554" s="418" t="s">
        <v>1019</v>
      </c>
      <c r="K5554" s="248"/>
      <c r="M5554" s="366"/>
    </row>
    <row r="5555" spans="1:13" x14ac:dyDescent="0.25">
      <c r="A5555" s="308">
        <v>45922</v>
      </c>
      <c r="B5555" s="416">
        <v>1126402</v>
      </c>
      <c r="C5555" s="638" t="str">
        <f>IFERROR(INDEX(Table14[],MATCH($B5555,Table14[SAPNo],0),3),"")</f>
        <v>1613 CT421 16-60</v>
      </c>
      <c r="D5555" s="420" t="s">
        <v>12</v>
      </c>
      <c r="E5555" s="421"/>
      <c r="F5555" s="580">
        <v>5</v>
      </c>
      <c r="G5555" s="417" t="s">
        <v>2513</v>
      </c>
      <c r="H5555" s="598"/>
      <c r="I5555" s="322"/>
      <c r="J5555" s="418" t="s">
        <v>1031</v>
      </c>
      <c r="K5555" s="248"/>
      <c r="M5555" s="366"/>
    </row>
    <row r="5556" spans="1:13" x14ac:dyDescent="0.25">
      <c r="A5556" s="308">
        <v>45922</v>
      </c>
      <c r="B5556" s="416">
        <v>1172481</v>
      </c>
      <c r="C5556" s="638" t="str">
        <f>IFERROR(INDEX(Table14[],MATCH($B5556,Table14[SAPNo],0),3),"")</f>
        <v>13mm WC-MAT 404 NA</v>
      </c>
      <c r="D5556" s="420" t="s">
        <v>12</v>
      </c>
      <c r="E5556" s="421"/>
      <c r="F5556" s="580">
        <v>17</v>
      </c>
      <c r="G5556" s="417" t="s">
        <v>2513</v>
      </c>
      <c r="H5556" s="598"/>
      <c r="I5556" s="322"/>
      <c r="J5556" s="418" t="s">
        <v>1031</v>
      </c>
      <c r="K5556" s="248"/>
      <c r="M5556" s="366"/>
    </row>
    <row r="5557" spans="1:13" x14ac:dyDescent="0.25">
      <c r="A5557" s="308">
        <v>45922</v>
      </c>
      <c r="B5557" s="416">
        <v>1228501</v>
      </c>
      <c r="C5557" s="638" t="str">
        <f>IFERROR(INDEX(Table14[],MATCH($B5557,Table14[SAPNo],0),3),"")</f>
        <v>1618 CT182 U-60 stator</v>
      </c>
      <c r="D5557" s="420" t="s">
        <v>12</v>
      </c>
      <c r="E5557" s="421"/>
      <c r="F5557" s="580">
        <v>220</v>
      </c>
      <c r="G5557" s="417" t="s">
        <v>2513</v>
      </c>
      <c r="H5557" s="598"/>
      <c r="I5557" s="322"/>
      <c r="J5557" s="418" t="s">
        <v>1022</v>
      </c>
      <c r="K5557" s="248"/>
      <c r="M5557" s="366"/>
    </row>
    <row r="5558" spans="1:13" x14ac:dyDescent="0.25">
      <c r="A5558" s="308">
        <v>45922</v>
      </c>
      <c r="B5558" s="416">
        <v>1230916</v>
      </c>
      <c r="C5558" s="638" t="str">
        <f>IFERROR(INDEX(Table14[],MATCH($B5558,Table14[SAPNo],0),3),"")</f>
        <v>1005 CT158 0.018"</v>
      </c>
      <c r="D5558" s="420" t="s">
        <v>12</v>
      </c>
      <c r="E5558" s="421"/>
      <c r="F5558" s="580">
        <v>13</v>
      </c>
      <c r="G5558" s="417" t="s">
        <v>2513</v>
      </c>
      <c r="H5558" s="598"/>
      <c r="I5558" s="322"/>
      <c r="J5558" s="418" t="s">
        <v>1019</v>
      </c>
      <c r="K5558" s="248"/>
      <c r="M5558" s="366"/>
    </row>
    <row r="5559" spans="1:13" x14ac:dyDescent="0.25">
      <c r="A5559" s="308">
        <v>45922</v>
      </c>
      <c r="B5559" s="416">
        <v>1291852</v>
      </c>
      <c r="C5559" s="638" t="str">
        <f>IFERROR(INDEX(Table14[],MATCH($B5559,Table14[SAPNo],0),3),"")</f>
        <v>1613 U CT186R U</v>
      </c>
      <c r="D5559" s="420" t="s">
        <v>12</v>
      </c>
      <c r="E5559" s="421"/>
      <c r="F5559" s="580">
        <v>22</v>
      </c>
      <c r="G5559" s="417" t="s">
        <v>2513</v>
      </c>
      <c r="H5559" s="598"/>
      <c r="I5559" s="322"/>
      <c r="J5559" s="418" t="s">
        <v>1022</v>
      </c>
      <c r="K5559" s="248"/>
      <c r="M5559" s="366"/>
    </row>
    <row r="5560" spans="1:13" x14ac:dyDescent="0.25">
      <c r="A5560" s="308">
        <v>45922</v>
      </c>
      <c r="B5560" s="416">
        <v>2001155</v>
      </c>
      <c r="C5560" s="638" t="str">
        <f>IFERROR(INDEX(Table14[],MATCH($B5560,Table14[SAPNo],0),3),"")</f>
        <v>1313 CT179T U-60</v>
      </c>
      <c r="D5560" s="420" t="s">
        <v>12</v>
      </c>
      <c r="E5560" s="421"/>
      <c r="F5560" s="580">
        <v>10</v>
      </c>
      <c r="G5560" s="417" t="s">
        <v>2513</v>
      </c>
      <c r="H5560" s="598"/>
      <c r="I5560" s="322"/>
      <c r="J5560" s="418" t="s">
        <v>1027</v>
      </c>
      <c r="K5560" s="248"/>
      <c r="M5560" s="366"/>
    </row>
    <row r="5561" spans="1:13" x14ac:dyDescent="0.25">
      <c r="A5561" s="308">
        <v>45922</v>
      </c>
      <c r="B5561" s="416">
        <v>2002186</v>
      </c>
      <c r="C5561" s="638" t="str">
        <f>IFERROR(INDEX(Table14[],MATCH($B5561,Table14[SAPNo],0),3),"")</f>
        <v>1313 CT187 U-60</v>
      </c>
      <c r="D5561" s="420" t="s">
        <v>12</v>
      </c>
      <c r="E5561" s="421"/>
      <c r="F5561" s="580">
        <v>205</v>
      </c>
      <c r="G5561" s="417" t="s">
        <v>2513</v>
      </c>
      <c r="H5561" s="598"/>
      <c r="I5561" s="322"/>
      <c r="J5561" s="418" t="s">
        <v>1022</v>
      </c>
      <c r="K5561" s="248"/>
      <c r="M5561" s="366"/>
    </row>
    <row r="5562" spans="1:13" x14ac:dyDescent="0.25">
      <c r="A5562" s="308">
        <v>45922</v>
      </c>
      <c r="B5562" s="416">
        <v>2002299</v>
      </c>
      <c r="C5562" s="638" t="str">
        <f>IFERROR(INDEX(Table14[],MATCH($B5562,Table14[SAPNo],0),3),"")</f>
        <v>1613 CT187 U-60</v>
      </c>
      <c r="D5562" s="420" t="s">
        <v>12</v>
      </c>
      <c r="E5562" s="421"/>
      <c r="F5562" s="580">
        <v>261</v>
      </c>
      <c r="G5562" s="417" t="s">
        <v>2513</v>
      </c>
      <c r="H5562" s="598"/>
      <c r="I5562" s="322"/>
      <c r="J5562" s="418" t="s">
        <v>1022</v>
      </c>
      <c r="K5562" s="248"/>
      <c r="M5562" s="366"/>
    </row>
    <row r="5563" spans="1:13" x14ac:dyDescent="0.25">
      <c r="A5563" s="308">
        <v>45922</v>
      </c>
      <c r="B5563" s="416">
        <v>2004484</v>
      </c>
      <c r="C5563" s="638" t="str">
        <f>IFERROR(INDEX(Table14[],MATCH($B5563,Table14[SAPNo],0),3),"")</f>
        <v>1308 CT187 U-60</v>
      </c>
      <c r="D5563" s="420" t="s">
        <v>12</v>
      </c>
      <c r="E5563" s="421"/>
      <c r="F5563" s="580">
        <v>188</v>
      </c>
      <c r="G5563" s="417" t="s">
        <v>2513</v>
      </c>
      <c r="H5563" s="598"/>
      <c r="I5563" s="322"/>
      <c r="J5563" s="418" t="s">
        <v>1019</v>
      </c>
      <c r="K5563" s="248"/>
      <c r="M5563" s="366"/>
    </row>
    <row r="5564" spans="1:13" x14ac:dyDescent="0.25">
      <c r="A5564" s="308">
        <v>45922</v>
      </c>
      <c r="B5564" s="416">
        <v>2004484</v>
      </c>
      <c r="C5564" s="638" t="str">
        <f>IFERROR(INDEX(Table14[],MATCH($B5564,Table14[SAPNo],0),3),"")</f>
        <v>1308 CT187 U-60</v>
      </c>
      <c r="D5564" s="420" t="s">
        <v>12</v>
      </c>
      <c r="E5564" s="421"/>
      <c r="F5564" s="580">
        <v>100</v>
      </c>
      <c r="G5564" s="417" t="s">
        <v>2513</v>
      </c>
      <c r="H5564" s="598"/>
      <c r="I5564" s="322"/>
      <c r="J5564" s="418" t="s">
        <v>1021</v>
      </c>
      <c r="K5564" s="248"/>
      <c r="M5564" s="366"/>
    </row>
    <row r="5565" spans="1:13" x14ac:dyDescent="0.25">
      <c r="A5565" s="308">
        <v>45922</v>
      </c>
      <c r="B5565" s="416">
        <v>2004484</v>
      </c>
      <c r="C5565" s="638" t="str">
        <f>IFERROR(INDEX(Table14[],MATCH($B5565,Table14[SAPNo],0),3),"")</f>
        <v>1308 CT187 U-60</v>
      </c>
      <c r="D5565" s="420" t="s">
        <v>12</v>
      </c>
      <c r="E5565" s="421"/>
      <c r="F5565" s="580">
        <v>375</v>
      </c>
      <c r="G5565" s="417" t="s">
        <v>2513</v>
      </c>
      <c r="H5565" s="598"/>
      <c r="I5565" s="322"/>
      <c r="J5565" s="418" t="s">
        <v>1022</v>
      </c>
      <c r="K5565" s="248"/>
      <c r="M5565" s="366"/>
    </row>
    <row r="5566" spans="1:13" x14ac:dyDescent="0.25">
      <c r="A5566" s="320">
        <v>45922</v>
      </c>
      <c r="B5566" s="419">
        <v>418525</v>
      </c>
      <c r="C5566" s="638" t="str">
        <f>IFERROR(INDEX(Table14[],MATCH($B5566,Table14[SAPNo],0),3),"")</f>
        <v>Drop In 1308 CT31   (B)</v>
      </c>
      <c r="D5566" s="420" t="s">
        <v>12</v>
      </c>
      <c r="E5566" s="421"/>
      <c r="F5566" s="580">
        <v>65</v>
      </c>
      <c r="G5566" s="417" t="s">
        <v>2513</v>
      </c>
      <c r="H5566" s="599"/>
      <c r="I5566" s="322"/>
      <c r="J5566" s="421" t="s">
        <v>1031</v>
      </c>
      <c r="K5566" s="422"/>
      <c r="M5566" s="366"/>
    </row>
    <row r="5567" spans="1:13" x14ac:dyDescent="0.25">
      <c r="A5567" s="308">
        <v>45922</v>
      </c>
      <c r="B5567" s="416">
        <v>2002299</v>
      </c>
      <c r="C5567" s="638" t="str">
        <f>IFERROR(INDEX(Table14[],MATCH($B5567,Table14[SAPNo],0),3),"")</f>
        <v>1613 CT187 U-60</v>
      </c>
      <c r="D5567" s="420" t="s">
        <v>12</v>
      </c>
      <c r="E5567" s="421">
        <v>19</v>
      </c>
      <c r="F5567" s="421"/>
      <c r="G5567" s="417" t="s">
        <v>3218</v>
      </c>
      <c r="H5567" s="598">
        <v>14426679</v>
      </c>
      <c r="I5567" s="322" t="s">
        <v>3219</v>
      </c>
      <c r="J5567" s="418"/>
      <c r="K5567" s="248"/>
      <c r="M5567" s="422"/>
    </row>
    <row r="5568" spans="1:13" x14ac:dyDescent="0.25">
      <c r="A5568" s="308">
        <v>45922</v>
      </c>
      <c r="B5568" s="416">
        <v>2004484</v>
      </c>
      <c r="C5568" s="638" t="str">
        <f>IFERROR(INDEX(Table14[],MATCH($B5568,Table14[SAPNo],0),3),"")</f>
        <v>1308 CT187 U-60</v>
      </c>
      <c r="D5568" s="420" t="s">
        <v>12</v>
      </c>
      <c r="E5568" s="421">
        <v>21</v>
      </c>
      <c r="F5568" s="580"/>
      <c r="G5568" s="417" t="s">
        <v>3218</v>
      </c>
      <c r="H5568" s="598">
        <v>14426679</v>
      </c>
      <c r="I5568" s="322" t="s">
        <v>3219</v>
      </c>
      <c r="J5568" s="418"/>
      <c r="K5568" s="248"/>
      <c r="M5568" s="366"/>
    </row>
    <row r="5569" spans="1:13" x14ac:dyDescent="0.25">
      <c r="A5569" s="308">
        <v>45922</v>
      </c>
      <c r="B5569" s="416">
        <v>653400</v>
      </c>
      <c r="C5569" s="638" t="str">
        <f>IFERROR(INDEX(Table14[],MATCH($B5569,Table14[SAPNo],0),3),"")</f>
        <v>13MM WC­MAT404 NA</v>
      </c>
      <c r="D5569" s="420" t="s">
        <v>12</v>
      </c>
      <c r="E5569" s="421">
        <v>5</v>
      </c>
      <c r="F5569" s="580"/>
      <c r="G5569" s="417" t="s">
        <v>3218</v>
      </c>
      <c r="H5569" s="598">
        <v>14426679</v>
      </c>
      <c r="I5569" s="322" t="s">
        <v>3219</v>
      </c>
      <c r="J5569" s="418"/>
      <c r="K5569" s="248"/>
      <c r="M5569" s="366"/>
    </row>
    <row r="5570" spans="1:13" x14ac:dyDescent="0.25">
      <c r="A5570" s="308">
        <v>45922</v>
      </c>
      <c r="B5570" s="416">
        <v>1228503</v>
      </c>
      <c r="C5570" s="638" t="str">
        <f>IFERROR(INDEX(Table14[],MATCH($B5570,Table14[SAPNo],0),3),"")</f>
        <v>1618 CT182 U-60 Ring</v>
      </c>
      <c r="D5570" s="420" t="s">
        <v>12</v>
      </c>
      <c r="E5570" s="421">
        <v>16</v>
      </c>
      <c r="F5570" s="580"/>
      <c r="G5570" s="417" t="s">
        <v>3218</v>
      </c>
      <c r="H5570" s="598">
        <v>14426679</v>
      </c>
      <c r="I5570" s="322" t="s">
        <v>3219</v>
      </c>
      <c r="J5570" s="418"/>
      <c r="K5570" s="248"/>
      <c r="M5570" s="366"/>
    </row>
    <row r="5571" spans="1:13" x14ac:dyDescent="0.25">
      <c r="A5571" s="308">
        <v>45922</v>
      </c>
      <c r="B5571" s="416">
        <v>1228501</v>
      </c>
      <c r="C5571" s="638" t="str">
        <f>IFERROR(INDEX(Table14[],MATCH($B5571,Table14[SAPNo],0),3),"")</f>
        <v>1618 CT182 U-60 stator</v>
      </c>
      <c r="D5571" s="420" t="s">
        <v>12</v>
      </c>
      <c r="E5571" s="421">
        <v>16</v>
      </c>
      <c r="F5571" s="580"/>
      <c r="G5571" s="417" t="s">
        <v>3218</v>
      </c>
      <c r="H5571" s="598">
        <v>14426679</v>
      </c>
      <c r="I5571" s="322" t="s">
        <v>3219</v>
      </c>
      <c r="J5571" s="418"/>
      <c r="K5571" s="248"/>
      <c r="M5571" s="366"/>
    </row>
    <row r="5572" spans="1:13" x14ac:dyDescent="0.25">
      <c r="A5572" s="308">
        <v>45922</v>
      </c>
      <c r="B5572" s="416">
        <v>1126402</v>
      </c>
      <c r="C5572" s="638" t="str">
        <f>IFERROR(INDEX(Table14[],MATCH($B5572,Table14[SAPNo],0),3),"")</f>
        <v>1613 CT421 16-60</v>
      </c>
      <c r="D5572" s="420" t="s">
        <v>12</v>
      </c>
      <c r="E5572" s="421">
        <v>6</v>
      </c>
      <c r="F5572" s="580"/>
      <c r="G5572" s="417" t="s">
        <v>3218</v>
      </c>
      <c r="H5572" s="598">
        <v>14426679</v>
      </c>
      <c r="I5572" s="322" t="s">
        <v>3219</v>
      </c>
      <c r="J5572" s="418"/>
      <c r="K5572" s="248"/>
      <c r="M5572" s="366"/>
    </row>
    <row r="5573" spans="1:13" x14ac:dyDescent="0.25">
      <c r="A5573" s="308">
        <v>45922</v>
      </c>
      <c r="B5573" s="416">
        <v>871781</v>
      </c>
      <c r="C5573" s="638" t="str">
        <f>IFERROR(INDEX(Table14[],MATCH($B5573,Table14[SAPNo],0),3),"")</f>
        <v>Round 1313 CT200  0.018" (B)</v>
      </c>
      <c r="D5573" s="420" t="s">
        <v>12</v>
      </c>
      <c r="E5573" s="421">
        <v>7</v>
      </c>
      <c r="F5573" s="580"/>
      <c r="G5573" s="417" t="s">
        <v>3218</v>
      </c>
      <c r="H5573" s="598">
        <v>14426679</v>
      </c>
      <c r="I5573" s="322" t="s">
        <v>3219</v>
      </c>
      <c r="J5573" s="418"/>
      <c r="K5573" s="248"/>
      <c r="M5573" s="366"/>
    </row>
    <row r="5574" spans="1:13" x14ac:dyDescent="0.25">
      <c r="A5574" s="308">
        <v>45922</v>
      </c>
      <c r="B5574" s="416">
        <v>1228502</v>
      </c>
      <c r="C5574" s="638" t="str">
        <f>IFERROR(INDEX(Table14[],MATCH($B5574,Table14[SAPNo],0),3),"")</f>
        <v>1618 CT182 U-60 Rotor</v>
      </c>
      <c r="D5574" s="420" t="s">
        <v>12</v>
      </c>
      <c r="E5574" s="421">
        <v>16</v>
      </c>
      <c r="F5574" s="580"/>
      <c r="G5574" s="417" t="s">
        <v>3218</v>
      </c>
      <c r="H5574" s="598">
        <v>14426679</v>
      </c>
      <c r="I5574" s="322" t="s">
        <v>3219</v>
      </c>
      <c r="J5574" s="418"/>
      <c r="K5574" s="248"/>
      <c r="M5574" s="366"/>
    </row>
    <row r="5575" spans="1:13" x14ac:dyDescent="0.25">
      <c r="A5575" s="308">
        <v>45922</v>
      </c>
      <c r="B5575" s="416">
        <v>1220554</v>
      </c>
      <c r="C5575" s="638" t="str">
        <f>IFERROR(INDEX(Table14[],MATCH($B5575,Table14[SAPNo],0),3),"")</f>
        <v xml:space="preserve">1618 CT182 U-60 Carbide </v>
      </c>
      <c r="D5575" s="420" t="s">
        <v>12</v>
      </c>
      <c r="E5575" s="421">
        <v>16</v>
      </c>
      <c r="F5575" s="580"/>
      <c r="G5575" s="417" t="s">
        <v>3218</v>
      </c>
      <c r="H5575" s="598">
        <v>14426679</v>
      </c>
      <c r="I5575" s="322" t="s">
        <v>3219</v>
      </c>
      <c r="J5575" s="418"/>
      <c r="K5575" s="248"/>
      <c r="M5575" s="366"/>
    </row>
    <row r="5576" spans="1:13" x14ac:dyDescent="0.25">
      <c r="A5576" s="308">
        <v>45922</v>
      </c>
      <c r="B5576" s="416">
        <v>1146737</v>
      </c>
      <c r="C5576" s="638" t="str">
        <f>IFERROR(INDEX(Table14[],MATCH($B5576,Table14[SAPNo],0),3),"")</f>
        <v>1613 CT418 18-60</v>
      </c>
      <c r="D5576" s="420" t="s">
        <v>10</v>
      </c>
      <c r="E5576" s="421">
        <v>2</v>
      </c>
      <c r="F5576" s="580"/>
      <c r="G5576" s="417" t="s">
        <v>3220</v>
      </c>
      <c r="H5576" s="598">
        <v>14210786</v>
      </c>
      <c r="I5576" s="322" t="s">
        <v>1302</v>
      </c>
      <c r="J5576" s="418"/>
      <c r="K5576" s="248" t="s">
        <v>3221</v>
      </c>
      <c r="M5576" s="366"/>
    </row>
    <row r="5577" spans="1:13" x14ac:dyDescent="0.25">
      <c r="A5577" s="308">
        <v>45922</v>
      </c>
      <c r="B5577" s="416">
        <v>1271790</v>
      </c>
      <c r="C5577" s="638" t="str">
        <f>IFERROR(INDEX(Table14[],MATCH($B5577,Table14[SAPNo],0),3),"")</f>
        <v xml:space="preserve">1613 CT170 18-60 </v>
      </c>
      <c r="D5577" s="420" t="s">
        <v>10</v>
      </c>
      <c r="E5577" s="421">
        <v>1</v>
      </c>
      <c r="F5577" s="580"/>
      <c r="G5577" s="417" t="s">
        <v>3220</v>
      </c>
      <c r="H5577" s="598">
        <v>14210786</v>
      </c>
      <c r="I5577" s="322" t="s">
        <v>1302</v>
      </c>
      <c r="J5577" s="418"/>
      <c r="K5577" s="248" t="s">
        <v>3221</v>
      </c>
      <c r="M5577" s="366"/>
    </row>
    <row r="5578" spans="1:13" x14ac:dyDescent="0.25">
      <c r="A5578" s="308">
        <v>45922</v>
      </c>
      <c r="B5578" s="416">
        <v>1288783</v>
      </c>
      <c r="C5578" s="638" t="str">
        <f>IFERROR(INDEX(Table14[],MATCH($B5578,Table14[SAPNo],0),3),"")</f>
        <v>1613 CT179 18-60</v>
      </c>
      <c r="D5578" s="420" t="s">
        <v>12</v>
      </c>
      <c r="E5578" s="421">
        <v>3</v>
      </c>
      <c r="F5578" s="580"/>
      <c r="G5578" s="417" t="s">
        <v>3220</v>
      </c>
      <c r="H5578" s="598">
        <v>14210786</v>
      </c>
      <c r="I5578" s="322" t="s">
        <v>1302</v>
      </c>
      <c r="J5578" s="418"/>
      <c r="K5578" s="248"/>
      <c r="M5578" s="366"/>
    </row>
    <row r="5579" spans="1:13" x14ac:dyDescent="0.25">
      <c r="A5579" s="308">
        <v>45922</v>
      </c>
      <c r="B5579" s="416">
        <v>1282370</v>
      </c>
      <c r="C5579" s="638" t="str">
        <f>IFERROR(INDEX(Table14[],MATCH($B5579,Table14[SAPNo],0),3),"")</f>
        <v>1613 CT436Mv3 U-60</v>
      </c>
      <c r="D5579" s="420" t="s">
        <v>12</v>
      </c>
      <c r="E5579" s="421">
        <v>8</v>
      </c>
      <c r="F5579" s="580"/>
      <c r="G5579" s="417" t="s">
        <v>3220</v>
      </c>
      <c r="H5579" s="598">
        <v>14210786</v>
      </c>
      <c r="I5579" s="322" t="s">
        <v>1302</v>
      </c>
      <c r="J5579" s="418"/>
      <c r="K5579" s="248"/>
      <c r="M5579" s="366"/>
    </row>
    <row r="5580" spans="1:13" x14ac:dyDescent="0.25">
      <c r="A5580" s="308">
        <v>45922</v>
      </c>
      <c r="B5580" s="416">
        <v>1100751</v>
      </c>
      <c r="C5580" s="638" t="str">
        <f>IFERROR(INDEX(Table14[],MATCH($B5580,Table14[SAPNo],0),3),"")</f>
        <v>1313 CT421 0.018"</v>
      </c>
      <c r="D5580" s="420" t="s">
        <v>12</v>
      </c>
      <c r="E5580" s="421">
        <v>2</v>
      </c>
      <c r="F5580" s="580"/>
      <c r="G5580" s="417" t="s">
        <v>3222</v>
      </c>
      <c r="H5580" s="598">
        <v>14210788</v>
      </c>
      <c r="I5580" s="322" t="s">
        <v>3145</v>
      </c>
      <c r="J5580" s="418"/>
      <c r="K5580" s="248"/>
      <c r="M5580" s="366"/>
    </row>
    <row r="5581" spans="1:13" x14ac:dyDescent="0.25">
      <c r="A5581" s="308">
        <v>45922</v>
      </c>
      <c r="B5581" s="416">
        <v>1146737</v>
      </c>
      <c r="C5581" s="638" t="str">
        <f>IFERROR(INDEX(Table14[],MATCH($B5581,Table14[SAPNo],0),3),"")</f>
        <v>1613 CT418 18-60</v>
      </c>
      <c r="D5581" s="420" t="s">
        <v>12</v>
      </c>
      <c r="E5581" s="421">
        <v>2</v>
      </c>
      <c r="F5581" s="580"/>
      <c r="G5581" s="417" t="s">
        <v>3222</v>
      </c>
      <c r="H5581" s="598">
        <v>14210788</v>
      </c>
      <c r="I5581" s="322" t="s">
        <v>3145</v>
      </c>
      <c r="J5581" s="418"/>
      <c r="K5581" s="248"/>
      <c r="M5581" s="366"/>
    </row>
    <row r="5582" spans="1:13" x14ac:dyDescent="0.25">
      <c r="A5582" s="308">
        <v>45922</v>
      </c>
      <c r="B5582" s="416">
        <v>871781</v>
      </c>
      <c r="C5582" s="638" t="str">
        <f>IFERROR(INDEX(Table14[],MATCH($B5582,Table14[SAPNo],0),3),"")</f>
        <v>Round 1313 CT200  0.018" (B)</v>
      </c>
      <c r="D5582" s="420" t="s">
        <v>12</v>
      </c>
      <c r="E5582" s="421">
        <v>1</v>
      </c>
      <c r="F5582" s="580"/>
      <c r="G5582" s="417" t="s">
        <v>3222</v>
      </c>
      <c r="H5582" s="598">
        <v>14210788</v>
      </c>
      <c r="I5582" s="322" t="s">
        <v>3145</v>
      </c>
      <c r="J5582" s="418"/>
      <c r="K5582" s="248"/>
      <c r="M5582" s="366"/>
    </row>
    <row r="5583" spans="1:13" x14ac:dyDescent="0.25">
      <c r="A5583" s="308">
        <v>45922</v>
      </c>
      <c r="B5583" s="416">
        <v>1209410</v>
      </c>
      <c r="C5583" s="638" t="str">
        <f>IFERROR(INDEX(Table14[],MATCH($B5583,Table14[SAPNo],0),3),"")</f>
        <v>1613 CT430MV3 U TBO</v>
      </c>
      <c r="D5583" s="420" t="s">
        <v>1072</v>
      </c>
      <c r="E5583" s="421">
        <v>2</v>
      </c>
      <c r="F5583" s="580"/>
      <c r="G5583" s="417" t="s">
        <v>3222</v>
      </c>
      <c r="H5583" s="598">
        <v>14210788</v>
      </c>
      <c r="I5583" s="322" t="s">
        <v>3145</v>
      </c>
      <c r="J5583" s="418"/>
      <c r="K5583" s="248" t="s">
        <v>3151</v>
      </c>
      <c r="M5583" s="366"/>
    </row>
    <row r="5584" spans="1:13" x14ac:dyDescent="0.25">
      <c r="A5584" s="308">
        <v>45922</v>
      </c>
      <c r="B5584" s="416">
        <v>1271790</v>
      </c>
      <c r="C5584" s="638" t="str">
        <f>IFERROR(INDEX(Table14[],MATCH($B5584,Table14[SAPNo],0),3),"")</f>
        <v xml:space="preserve">1613 CT170 18-60 </v>
      </c>
      <c r="D5584" s="420" t="s">
        <v>1072</v>
      </c>
      <c r="E5584" s="421">
        <v>6</v>
      </c>
      <c r="F5584" s="580"/>
      <c r="G5584" s="417" t="s">
        <v>3222</v>
      </c>
      <c r="H5584" s="598">
        <v>14210788</v>
      </c>
      <c r="I5584" s="322" t="s">
        <v>3145</v>
      </c>
      <c r="J5584" s="418"/>
      <c r="K5584" s="248" t="s">
        <v>3151</v>
      </c>
      <c r="M5584" s="366"/>
    </row>
    <row r="5585" spans="1:13" x14ac:dyDescent="0.25">
      <c r="A5585" s="320">
        <v>45922</v>
      </c>
      <c r="B5585" s="419">
        <v>1271790</v>
      </c>
      <c r="C5585" s="638" t="str">
        <f>IFERROR(INDEX(Table14[],MATCH($B5585,Table14[SAPNo],0),3),"")</f>
        <v xml:space="preserve">1613 CT170 18-60 </v>
      </c>
      <c r="D5585" s="420" t="s">
        <v>10</v>
      </c>
      <c r="E5585" s="421">
        <v>2</v>
      </c>
      <c r="F5585" s="580"/>
      <c r="G5585" s="420" t="s">
        <v>3222</v>
      </c>
      <c r="H5585" s="599">
        <v>14210788</v>
      </c>
      <c r="I5585" s="322" t="s">
        <v>3145</v>
      </c>
      <c r="J5585" s="421"/>
      <c r="K5585" s="422" t="s">
        <v>3221</v>
      </c>
      <c r="M5585" s="366"/>
    </row>
    <row r="5586" spans="1:13" x14ac:dyDescent="0.25">
      <c r="A5586" s="320">
        <v>45925</v>
      </c>
      <c r="B5586" s="419">
        <v>1271790</v>
      </c>
      <c r="C5586" s="639" t="str">
        <f>IFERROR(INDEX(Table14[],MATCH($B5586,Table14[SAPNo],0),3),"")</f>
        <v xml:space="preserve">1613 CT170 18-60 </v>
      </c>
      <c r="D5586" s="420" t="s">
        <v>10</v>
      </c>
      <c r="E5586" s="421">
        <v>2</v>
      </c>
      <c r="F5586" s="421"/>
      <c r="G5586" s="420" t="s">
        <v>3222</v>
      </c>
      <c r="H5586" s="598">
        <v>14210788</v>
      </c>
      <c r="I5586" s="322" t="s">
        <v>3145</v>
      </c>
      <c r="J5586" s="418"/>
      <c r="K5586" s="248" t="s">
        <v>3223</v>
      </c>
      <c r="M5586" s="422"/>
    </row>
    <row r="5587" spans="1:13" x14ac:dyDescent="0.25">
      <c r="A5587" s="308">
        <v>45925</v>
      </c>
      <c r="B5587" s="416">
        <v>1288783</v>
      </c>
      <c r="C5587" s="638" t="str">
        <f>IFERROR(INDEX(Table14[],MATCH($B5587,Table14[SAPNo],0),3),"")</f>
        <v>1613 CT179 18-60</v>
      </c>
      <c r="D5587" s="420" t="s">
        <v>12</v>
      </c>
      <c r="E5587" s="421">
        <v>32</v>
      </c>
      <c r="F5587" s="421"/>
      <c r="G5587" s="417" t="s">
        <v>3224</v>
      </c>
      <c r="H5587" s="598">
        <v>14447949</v>
      </c>
      <c r="I5587" s="322" t="s">
        <v>3203</v>
      </c>
      <c r="J5587" s="418"/>
      <c r="K5587" s="248"/>
      <c r="M5587" s="422"/>
    </row>
    <row r="5588" spans="1:13" x14ac:dyDescent="0.25">
      <c r="A5588" s="308">
        <v>45925</v>
      </c>
      <c r="B5588" s="416">
        <v>871781</v>
      </c>
      <c r="C5588" s="638" t="str">
        <f>IFERROR(INDEX(Table14[],MATCH($B5588,Table14[SAPNo],0),3),"")</f>
        <v>Round 1313 CT200  0.018" (B)</v>
      </c>
      <c r="D5588" s="420" t="s">
        <v>12</v>
      </c>
      <c r="E5588" s="421">
        <v>7</v>
      </c>
      <c r="F5588" s="580"/>
      <c r="G5588" s="417" t="s">
        <v>3224</v>
      </c>
      <c r="H5588" s="598">
        <v>14447949</v>
      </c>
      <c r="I5588" s="322" t="s">
        <v>3203</v>
      </c>
      <c r="J5588" s="418"/>
      <c r="K5588" s="248"/>
      <c r="M5588" s="366"/>
    </row>
    <row r="5589" spans="1:13" x14ac:dyDescent="0.25">
      <c r="A5589" s="308">
        <v>45925</v>
      </c>
      <c r="B5589" s="416">
        <v>738228</v>
      </c>
      <c r="C5589" s="638" t="str">
        <f>IFERROR(INDEX(Table14[],MATCH($B5589,Table14[SAPNo],0),3),"")</f>
        <v>Round 1608 CR31  0.018" (T)</v>
      </c>
      <c r="D5589" s="420" t="s">
        <v>12</v>
      </c>
      <c r="E5589" s="421">
        <v>6</v>
      </c>
      <c r="F5589" s="580"/>
      <c r="G5589" s="417" t="s">
        <v>3224</v>
      </c>
      <c r="H5589" s="598">
        <v>14447949</v>
      </c>
      <c r="I5589" s="322" t="s">
        <v>3203</v>
      </c>
      <c r="J5589" s="418"/>
      <c r="K5589" s="248"/>
      <c r="M5589" s="366"/>
    </row>
    <row r="5590" spans="1:13" x14ac:dyDescent="0.25">
      <c r="A5590" s="308">
        <v>45925</v>
      </c>
      <c r="B5590" s="416">
        <v>647436</v>
      </c>
      <c r="C5590" s="638" t="str">
        <f>IFERROR(INDEX(Table14[],MATCH($B5590,Table14[SAPNo],0),3),"")</f>
        <v>Round 1613 CT200  0.018" (B)</v>
      </c>
      <c r="D5590" s="420" t="s">
        <v>12</v>
      </c>
      <c r="E5590" s="421">
        <v>22</v>
      </c>
      <c r="F5590" s="580"/>
      <c r="G5590" s="417" t="s">
        <v>3224</v>
      </c>
      <c r="H5590" s="598">
        <v>14447949</v>
      </c>
      <c r="I5590" s="322" t="s">
        <v>3203</v>
      </c>
      <c r="J5590" s="418"/>
      <c r="K5590" s="248"/>
      <c r="M5590" s="366"/>
    </row>
    <row r="5591" spans="1:13" x14ac:dyDescent="0.25">
      <c r="A5591" s="308">
        <v>45925</v>
      </c>
      <c r="B5591" s="416">
        <v>1146737</v>
      </c>
      <c r="C5591" s="638" t="str">
        <f>IFERROR(INDEX(Table14[],MATCH($B5591,Table14[SAPNo],0),3),"")</f>
        <v>1613 CT418 18-60</v>
      </c>
      <c r="D5591" s="420" t="s">
        <v>12</v>
      </c>
      <c r="E5591" s="421">
        <v>20</v>
      </c>
      <c r="F5591" s="580"/>
      <c r="G5591" s="417" t="s">
        <v>3224</v>
      </c>
      <c r="H5591" s="598">
        <v>14447949</v>
      </c>
      <c r="I5591" s="322" t="s">
        <v>3203</v>
      </c>
      <c r="J5591" s="418"/>
      <c r="K5591" s="248"/>
      <c r="M5591" s="366"/>
    </row>
    <row r="5592" spans="1:13" x14ac:dyDescent="0.25">
      <c r="A5592" s="308">
        <v>45925</v>
      </c>
      <c r="B5592" s="416">
        <v>1220479</v>
      </c>
      <c r="C5592" s="638" t="str">
        <f>IFERROR(INDEX(Table14[],MATCH($B5592,Table14[SAPNo],0),3),"")</f>
        <v>1613 CT158H 0.018"</v>
      </c>
      <c r="D5592" s="420" t="s">
        <v>12</v>
      </c>
      <c r="E5592" s="421">
        <v>1</v>
      </c>
      <c r="F5592" s="580"/>
      <c r="G5592" s="417" t="s">
        <v>3224</v>
      </c>
      <c r="H5592" s="598">
        <v>14447949</v>
      </c>
      <c r="I5592" s="322" t="s">
        <v>3203</v>
      </c>
      <c r="J5592" s="418"/>
      <c r="K5592" s="248"/>
      <c r="M5592" s="366"/>
    </row>
    <row r="5593" spans="1:13" x14ac:dyDescent="0.25">
      <c r="A5593" s="308">
        <v>45925</v>
      </c>
      <c r="B5593" s="416">
        <v>1078377</v>
      </c>
      <c r="C5593" s="638" t="str">
        <f>IFERROR(INDEX(Table14[],MATCH($B5593,Table14[SAPNo],0),3),"")</f>
        <v>13MM CT221 R1</v>
      </c>
      <c r="D5593" s="420" t="s">
        <v>12</v>
      </c>
      <c r="E5593" s="421">
        <v>15</v>
      </c>
      <c r="F5593" s="580"/>
      <c r="G5593" s="417" t="s">
        <v>3225</v>
      </c>
      <c r="H5593" s="598">
        <v>14414025</v>
      </c>
      <c r="I5593" s="322" t="s">
        <v>2943</v>
      </c>
      <c r="J5593" s="418"/>
      <c r="K5593" s="248"/>
      <c r="M5593" s="366"/>
    </row>
    <row r="5594" spans="1:13" x14ac:dyDescent="0.25">
      <c r="A5594" s="308">
        <v>45925</v>
      </c>
      <c r="B5594" s="416">
        <v>1208601</v>
      </c>
      <c r="C5594" s="638" t="str">
        <f>IFERROR(INDEX(Table14[],MATCH($B5594,Table14[SAPNo],0),3),"")</f>
        <v>1613 CT418 U-60</v>
      </c>
      <c r="D5594" s="420" t="s">
        <v>12</v>
      </c>
      <c r="E5594" s="421">
        <v>8</v>
      </c>
      <c r="F5594" s="580"/>
      <c r="G5594" s="417" t="s">
        <v>3225</v>
      </c>
      <c r="H5594" s="598">
        <v>14414025</v>
      </c>
      <c r="I5594" s="322" t="s">
        <v>2943</v>
      </c>
      <c r="J5594" s="418"/>
      <c r="K5594" s="248"/>
      <c r="M5594" s="366"/>
    </row>
    <row r="5595" spans="1:13" x14ac:dyDescent="0.25">
      <c r="A5595" s="308">
        <v>45925</v>
      </c>
      <c r="B5595" s="416">
        <v>1146737</v>
      </c>
      <c r="C5595" s="638" t="str">
        <f>IFERROR(INDEX(Table14[],MATCH($B5595,Table14[SAPNo],0),3),"")</f>
        <v>1613 CT418 18-60</v>
      </c>
      <c r="D5595" s="420" t="s">
        <v>12</v>
      </c>
      <c r="E5595" s="421">
        <v>6</v>
      </c>
      <c r="F5595" s="580"/>
      <c r="G5595" s="417" t="s">
        <v>3225</v>
      </c>
      <c r="H5595" s="598">
        <v>14414025</v>
      </c>
      <c r="I5595" s="322" t="s">
        <v>2943</v>
      </c>
      <c r="J5595" s="418"/>
      <c r="K5595" s="248"/>
      <c r="M5595" s="366"/>
    </row>
    <row r="5596" spans="1:13" x14ac:dyDescent="0.25">
      <c r="A5596" s="308">
        <v>45925</v>
      </c>
      <c r="B5596" s="416">
        <v>418525</v>
      </c>
      <c r="C5596" s="638" t="str">
        <f>IFERROR(INDEX(Table14[],MATCH($B5596,Table14[SAPNo],0),3),"")</f>
        <v>Drop In 1308 CT31   (B)</v>
      </c>
      <c r="D5596" s="420" t="s">
        <v>12</v>
      </c>
      <c r="E5596" s="421">
        <v>6</v>
      </c>
      <c r="F5596" s="580"/>
      <c r="G5596" s="417" t="s">
        <v>3225</v>
      </c>
      <c r="H5596" s="598">
        <v>14414025</v>
      </c>
      <c r="I5596" s="322" t="s">
        <v>2943</v>
      </c>
      <c r="J5596" s="418"/>
      <c r="K5596" s="248"/>
      <c r="M5596" s="366"/>
    </row>
    <row r="5597" spans="1:13" x14ac:dyDescent="0.25">
      <c r="A5597" s="320">
        <v>45925</v>
      </c>
      <c r="B5597" s="419">
        <v>1288783</v>
      </c>
      <c r="C5597" s="638" t="str">
        <f>IFERROR(INDEX(Table14[],MATCH($B5597,Table14[SAPNo],0),3),"")</f>
        <v>1613 CT179 18-60</v>
      </c>
      <c r="D5597" s="420" t="s">
        <v>12</v>
      </c>
      <c r="E5597" s="421">
        <v>17</v>
      </c>
      <c r="F5597" s="580"/>
      <c r="G5597" s="420" t="s">
        <v>3225</v>
      </c>
      <c r="H5597" s="599">
        <v>14414025</v>
      </c>
      <c r="I5597" s="322" t="s">
        <v>2943</v>
      </c>
      <c r="J5597" s="421"/>
      <c r="K5597" s="422"/>
      <c r="M5597" s="366"/>
    </row>
    <row r="5598" spans="1:13" x14ac:dyDescent="0.25">
      <c r="A5598" s="308">
        <v>45928</v>
      </c>
      <c r="B5598" s="416">
        <v>871781</v>
      </c>
      <c r="C5598" s="638" t="str">
        <f>IFERROR(INDEX(Table14[],MATCH($B5598,Table14[SAPNo],0),3),"")</f>
        <v>Round 1313 CT200  0.018" (B)</v>
      </c>
      <c r="D5598" s="420" t="s">
        <v>12</v>
      </c>
      <c r="E5598" s="421">
        <v>6</v>
      </c>
      <c r="F5598" s="421"/>
      <c r="G5598" s="417" t="s">
        <v>3226</v>
      </c>
      <c r="H5598" s="598" t="s">
        <v>3227</v>
      </c>
      <c r="I5598" s="322" t="s">
        <v>3163</v>
      </c>
      <c r="J5598" s="418"/>
      <c r="K5598" s="248"/>
      <c r="M5598" s="422"/>
    </row>
    <row r="5599" spans="1:13" x14ac:dyDescent="0.25">
      <c r="A5599" s="308">
        <v>45928</v>
      </c>
      <c r="B5599" s="416">
        <v>2004484</v>
      </c>
      <c r="C5599" s="638" t="str">
        <f>IFERROR(INDEX(Table14[],MATCH($B5599,Table14[SAPNo],0),3),"")</f>
        <v>1308 CT187 U-60</v>
      </c>
      <c r="D5599" s="420" t="s">
        <v>12</v>
      </c>
      <c r="E5599" s="421">
        <v>15</v>
      </c>
      <c r="F5599" s="580"/>
      <c r="G5599" s="417" t="s">
        <v>3226</v>
      </c>
      <c r="H5599" s="598" t="s">
        <v>3227</v>
      </c>
      <c r="I5599" s="322" t="s">
        <v>3163</v>
      </c>
      <c r="J5599" s="418"/>
      <c r="K5599" s="248"/>
      <c r="M5599" s="366"/>
    </row>
    <row r="5600" spans="1:13" x14ac:dyDescent="0.25">
      <c r="A5600" s="308">
        <v>45928</v>
      </c>
      <c r="B5600" s="416">
        <v>2002299</v>
      </c>
      <c r="C5600" s="638" t="str">
        <f>IFERROR(INDEX(Table14[],MATCH($B5600,Table14[SAPNo],0),3),"")</f>
        <v>1613 CT187 U-60</v>
      </c>
      <c r="D5600" s="420" t="s">
        <v>12</v>
      </c>
      <c r="E5600" s="421">
        <v>4</v>
      </c>
      <c r="F5600" s="580"/>
      <c r="G5600" s="417" t="s">
        <v>3226</v>
      </c>
      <c r="H5600" s="598" t="s">
        <v>3227</v>
      </c>
      <c r="I5600" s="322" t="s">
        <v>3163</v>
      </c>
      <c r="J5600" s="418"/>
      <c r="K5600" s="248"/>
      <c r="M5600" s="366"/>
    </row>
    <row r="5601" spans="1:13" x14ac:dyDescent="0.25">
      <c r="A5601" s="308">
        <v>45928</v>
      </c>
      <c r="B5601" s="416">
        <v>2002186</v>
      </c>
      <c r="C5601" s="638" t="str">
        <f>IFERROR(INDEX(Table14[],MATCH($B5601,Table14[SAPNo],0),3),"")</f>
        <v>1313 CT187 U-60</v>
      </c>
      <c r="D5601" s="420" t="s">
        <v>12</v>
      </c>
      <c r="E5601" s="421">
        <v>15</v>
      </c>
      <c r="F5601" s="580"/>
      <c r="G5601" s="417" t="s">
        <v>3226</v>
      </c>
      <c r="H5601" s="598" t="s">
        <v>3227</v>
      </c>
      <c r="I5601" s="322" t="s">
        <v>3163</v>
      </c>
      <c r="J5601" s="418"/>
      <c r="K5601" s="248"/>
      <c r="M5601" s="366"/>
    </row>
    <row r="5602" spans="1:13" x14ac:dyDescent="0.25">
      <c r="A5602" s="308">
        <v>45928</v>
      </c>
      <c r="B5602" s="416">
        <v>1228503</v>
      </c>
      <c r="C5602" s="638" t="str">
        <f>IFERROR(INDEX(Table14[],MATCH($B5602,Table14[SAPNo],0),3),"")</f>
        <v>1618 CT182 U-60 Ring</v>
      </c>
      <c r="D5602" s="420" t="s">
        <v>12</v>
      </c>
      <c r="E5602" s="421">
        <v>10</v>
      </c>
      <c r="F5602" s="580"/>
      <c r="G5602" s="417" t="s">
        <v>3226</v>
      </c>
      <c r="H5602" s="598" t="s">
        <v>3227</v>
      </c>
      <c r="I5602" s="322" t="s">
        <v>3163</v>
      </c>
      <c r="J5602" s="418"/>
      <c r="K5602" s="248"/>
      <c r="M5602" s="366"/>
    </row>
    <row r="5603" spans="1:13" x14ac:dyDescent="0.25">
      <c r="A5603" s="308">
        <v>45928</v>
      </c>
      <c r="B5603" s="416">
        <v>1228502</v>
      </c>
      <c r="C5603" s="638" t="str">
        <f>IFERROR(INDEX(Table14[],MATCH($B5603,Table14[SAPNo],0),3),"")</f>
        <v>1618 CT182 U-60 Rotor</v>
      </c>
      <c r="D5603" s="420" t="s">
        <v>12</v>
      </c>
      <c r="E5603" s="421">
        <v>10</v>
      </c>
      <c r="F5603" s="580"/>
      <c r="G5603" s="417" t="s">
        <v>3226</v>
      </c>
      <c r="H5603" s="598" t="s">
        <v>3227</v>
      </c>
      <c r="I5603" s="322" t="s">
        <v>3163</v>
      </c>
      <c r="J5603" s="418"/>
      <c r="K5603" s="248"/>
      <c r="M5603" s="366"/>
    </row>
    <row r="5604" spans="1:13" x14ac:dyDescent="0.25">
      <c r="A5604" s="308">
        <v>45928</v>
      </c>
      <c r="B5604" s="416">
        <v>1228501</v>
      </c>
      <c r="C5604" s="638" t="str">
        <f>IFERROR(INDEX(Table14[],MATCH($B5604,Table14[SAPNo],0),3),"")</f>
        <v>1618 CT182 U-60 stator</v>
      </c>
      <c r="D5604" s="420" t="s">
        <v>12</v>
      </c>
      <c r="E5604" s="421">
        <v>10</v>
      </c>
      <c r="F5604" s="580"/>
      <c r="G5604" s="417" t="s">
        <v>3226</v>
      </c>
      <c r="H5604" s="598" t="s">
        <v>3227</v>
      </c>
      <c r="I5604" s="322" t="s">
        <v>3163</v>
      </c>
      <c r="J5604" s="418"/>
      <c r="K5604" s="248"/>
      <c r="M5604" s="366"/>
    </row>
    <row r="5605" spans="1:13" x14ac:dyDescent="0.25">
      <c r="A5605" s="308">
        <v>45928</v>
      </c>
      <c r="B5605" s="416">
        <v>1220554</v>
      </c>
      <c r="C5605" s="638" t="str">
        <f>IFERROR(INDEX(Table14[],MATCH($B5605,Table14[SAPNo],0),3),"")</f>
        <v xml:space="preserve">1618 CT182 U-60 Carbide </v>
      </c>
      <c r="D5605" s="420" t="s">
        <v>12</v>
      </c>
      <c r="E5605" s="421">
        <v>10</v>
      </c>
      <c r="F5605" s="580"/>
      <c r="G5605" s="417" t="s">
        <v>3226</v>
      </c>
      <c r="H5605" s="598" t="s">
        <v>3227</v>
      </c>
      <c r="I5605" s="322" t="s">
        <v>3163</v>
      </c>
      <c r="J5605" s="418"/>
      <c r="K5605" s="248"/>
      <c r="M5605" s="366"/>
    </row>
    <row r="5606" spans="1:13" x14ac:dyDescent="0.25">
      <c r="A5606" s="308">
        <v>45928</v>
      </c>
      <c r="B5606" s="416">
        <v>418525</v>
      </c>
      <c r="C5606" s="638" t="str">
        <f>IFERROR(INDEX(Table14[],MATCH($B5606,Table14[SAPNo],0),3),"")</f>
        <v>Drop In 1308 CT31   (B)</v>
      </c>
      <c r="D5606" s="420" t="s">
        <v>12</v>
      </c>
      <c r="E5606" s="421">
        <v>6</v>
      </c>
      <c r="F5606" s="580"/>
      <c r="G5606" s="417" t="s">
        <v>3228</v>
      </c>
      <c r="H5606" s="598" t="s">
        <v>3229</v>
      </c>
      <c r="I5606" s="322" t="s">
        <v>3230</v>
      </c>
      <c r="J5606" s="418"/>
      <c r="K5606" s="248"/>
      <c r="M5606" s="366"/>
    </row>
    <row r="5607" spans="1:13" x14ac:dyDescent="0.25">
      <c r="A5607" s="308">
        <v>45928</v>
      </c>
      <c r="B5607" s="416">
        <v>1288783</v>
      </c>
      <c r="C5607" s="638" t="str">
        <f>IFERROR(INDEX(Table14[],MATCH($B5607,Table14[SAPNo],0),3),"")</f>
        <v>1613 CT179 18-60</v>
      </c>
      <c r="D5607" s="420" t="s">
        <v>12</v>
      </c>
      <c r="E5607" s="421">
        <v>17</v>
      </c>
      <c r="F5607" s="580"/>
      <c r="G5607" s="417" t="s">
        <v>3228</v>
      </c>
      <c r="H5607" s="598" t="s">
        <v>3229</v>
      </c>
      <c r="I5607" s="322" t="s">
        <v>3230</v>
      </c>
      <c r="J5607" s="418"/>
      <c r="K5607" s="248"/>
      <c r="M5607" s="366"/>
    </row>
    <row r="5608" spans="1:13" x14ac:dyDescent="0.25">
      <c r="A5608" s="308">
        <v>45928</v>
      </c>
      <c r="B5608" s="416">
        <v>1208601</v>
      </c>
      <c r="C5608" s="638" t="str">
        <f>IFERROR(INDEX(Table14[],MATCH($B5608,Table14[SAPNo],0),3),"")</f>
        <v>1613 CT418 U-60</v>
      </c>
      <c r="D5608" s="420" t="s">
        <v>12</v>
      </c>
      <c r="E5608" s="421">
        <v>8</v>
      </c>
      <c r="F5608" s="580"/>
      <c r="G5608" s="417" t="s">
        <v>3228</v>
      </c>
      <c r="H5608" s="598" t="s">
        <v>3229</v>
      </c>
      <c r="I5608" s="322" t="s">
        <v>3230</v>
      </c>
      <c r="J5608" s="418"/>
      <c r="K5608" s="248"/>
      <c r="M5608" s="366"/>
    </row>
    <row r="5609" spans="1:13" x14ac:dyDescent="0.25">
      <c r="A5609" s="308">
        <v>45928</v>
      </c>
      <c r="B5609" s="416">
        <v>1146737</v>
      </c>
      <c r="C5609" s="638" t="str">
        <f>IFERROR(INDEX(Table14[],MATCH($B5609,Table14[SAPNo],0),3),"")</f>
        <v>1613 CT418 18-60</v>
      </c>
      <c r="D5609" s="420" t="s">
        <v>12</v>
      </c>
      <c r="E5609" s="421">
        <v>6</v>
      </c>
      <c r="F5609" s="580"/>
      <c r="G5609" s="417" t="s">
        <v>3228</v>
      </c>
      <c r="H5609" s="598" t="s">
        <v>3229</v>
      </c>
      <c r="I5609" s="322" t="s">
        <v>3230</v>
      </c>
      <c r="J5609" s="418"/>
      <c r="K5609" s="248"/>
      <c r="M5609" s="366"/>
    </row>
    <row r="5610" spans="1:13" x14ac:dyDescent="0.25">
      <c r="A5610" s="320">
        <v>45928</v>
      </c>
      <c r="B5610" s="419">
        <v>1078377</v>
      </c>
      <c r="C5610" s="638" t="str">
        <f>IFERROR(INDEX(Table14[],MATCH($B5610,Table14[SAPNo],0),3),"")</f>
        <v>13MM CT221 R1</v>
      </c>
      <c r="D5610" s="420" t="s">
        <v>12</v>
      </c>
      <c r="E5610" s="421">
        <v>15</v>
      </c>
      <c r="F5610" s="580"/>
      <c r="G5610" s="420" t="s">
        <v>3228</v>
      </c>
      <c r="H5610" s="599" t="s">
        <v>3229</v>
      </c>
      <c r="I5610" s="322" t="s">
        <v>3230</v>
      </c>
      <c r="J5610" s="421"/>
      <c r="K5610" s="422"/>
      <c r="M5610" s="366"/>
    </row>
    <row r="5611" spans="1:13" x14ac:dyDescent="0.25">
      <c r="A5611" s="320">
        <v>45916</v>
      </c>
      <c r="B5611" s="419">
        <v>418525</v>
      </c>
      <c r="C5611" s="638" t="str">
        <f>IFERROR(INDEX(Table14[],MATCH($B5611,Table14[SAPNo],0),3),"")</f>
        <v>Drop In 1308 CT31   (B)</v>
      </c>
      <c r="D5611" s="420" t="s">
        <v>12</v>
      </c>
      <c r="E5611" s="421">
        <v>6</v>
      </c>
      <c r="F5611" s="421"/>
      <c r="G5611" s="417" t="s">
        <v>3200</v>
      </c>
      <c r="H5611" s="599" t="s">
        <v>3201</v>
      </c>
      <c r="I5611" s="322" t="s">
        <v>3135</v>
      </c>
      <c r="J5611" s="421"/>
      <c r="K5611" s="422"/>
      <c r="M5611" s="422"/>
    </row>
    <row r="5612" spans="1:13" x14ac:dyDescent="0.25">
      <c r="A5612" s="308">
        <v>45929</v>
      </c>
      <c r="B5612" s="416">
        <v>418525</v>
      </c>
      <c r="C5612" s="638" t="str">
        <f>IFERROR(INDEX(Table14[],MATCH($B5612,Table14[SAPNo],0),3),"")</f>
        <v>Drop In 1308 CT31   (B)</v>
      </c>
      <c r="D5612" s="420" t="s">
        <v>12</v>
      </c>
      <c r="E5612" s="421">
        <v>10</v>
      </c>
      <c r="F5612" s="421"/>
      <c r="G5612" s="417" t="s">
        <v>3233</v>
      </c>
      <c r="H5612" s="598">
        <v>14304770</v>
      </c>
      <c r="I5612" s="322" t="s">
        <v>3234</v>
      </c>
      <c r="J5612" s="418"/>
      <c r="K5612" s="248"/>
      <c r="M5612" s="422"/>
    </row>
    <row r="5613" spans="1:13" x14ac:dyDescent="0.25">
      <c r="A5613" s="308">
        <v>45929</v>
      </c>
      <c r="B5613" s="416">
        <v>2001155</v>
      </c>
      <c r="C5613" s="638" t="str">
        <f>IFERROR(INDEX(Table14[],MATCH($B5613,Table14[SAPNo],0),3),"")</f>
        <v>1313 CT179T U-60</v>
      </c>
      <c r="D5613" s="420" t="s">
        <v>12</v>
      </c>
      <c r="E5613" s="421">
        <v>7</v>
      </c>
      <c r="F5613" s="580"/>
      <c r="G5613" s="417" t="s">
        <v>3233</v>
      </c>
      <c r="H5613" s="598">
        <v>14304770</v>
      </c>
      <c r="I5613" s="322" t="s">
        <v>3234</v>
      </c>
      <c r="J5613" s="418"/>
      <c r="K5613" s="248"/>
      <c r="M5613" s="366"/>
    </row>
    <row r="5614" spans="1:13" x14ac:dyDescent="0.25">
      <c r="A5614" s="308">
        <v>45929</v>
      </c>
      <c r="B5614" s="416">
        <v>1152018</v>
      </c>
      <c r="C5614" s="638" t="str">
        <f>IFERROR(INDEX(Table14[],MATCH($B5614,Table14[SAPNo],0),3),"")</f>
        <v>1313 CT418 U</v>
      </c>
      <c r="D5614" s="420" t="s">
        <v>12</v>
      </c>
      <c r="E5614" s="421">
        <v>16</v>
      </c>
      <c r="F5614" s="580"/>
      <c r="G5614" s="417" t="s">
        <v>3233</v>
      </c>
      <c r="H5614" s="598">
        <v>14304770</v>
      </c>
      <c r="I5614" s="322" t="s">
        <v>3234</v>
      </c>
      <c r="J5614" s="418"/>
      <c r="K5614" s="248"/>
      <c r="M5614" s="366"/>
    </row>
    <row r="5615" spans="1:13" x14ac:dyDescent="0.25">
      <c r="A5615" s="308">
        <v>45928</v>
      </c>
      <c r="B5615" s="416">
        <v>418525</v>
      </c>
      <c r="C5615" s="638" t="str">
        <f>IFERROR(INDEX(Table14[],MATCH($B5615,Table14[SAPNo],0),3),"")</f>
        <v>Drop In 1308 CT31   (B)</v>
      </c>
      <c r="D5615" s="420" t="s">
        <v>12</v>
      </c>
      <c r="E5615" s="421">
        <v>6</v>
      </c>
      <c r="F5615" s="580"/>
      <c r="G5615" s="417" t="s">
        <v>3231</v>
      </c>
      <c r="H5615" s="598" t="s">
        <v>3232</v>
      </c>
      <c r="I5615" s="322" t="s">
        <v>2679</v>
      </c>
      <c r="J5615" s="418"/>
      <c r="K5615" s="248"/>
      <c r="M5615" s="366"/>
    </row>
    <row r="5616" spans="1:13" x14ac:dyDescent="0.25">
      <c r="A5616" s="308">
        <v>45929</v>
      </c>
      <c r="B5616" s="416">
        <v>418525</v>
      </c>
      <c r="C5616" s="638" t="str">
        <f>IFERROR(INDEX(Table14[],MATCH($B5616,Table14[SAPNo],0),3),"")</f>
        <v>Drop In 1308 CT31   (B)</v>
      </c>
      <c r="D5616" s="420" t="s">
        <v>12</v>
      </c>
      <c r="E5616" s="421">
        <v>6</v>
      </c>
      <c r="F5616" s="580"/>
      <c r="G5616" s="417" t="s">
        <v>3235</v>
      </c>
      <c r="H5616" s="598" t="s">
        <v>3236</v>
      </c>
      <c r="I5616" s="322" t="s">
        <v>1273</v>
      </c>
      <c r="J5616" s="418"/>
      <c r="K5616" s="248"/>
      <c r="M5616" s="366"/>
    </row>
    <row r="5617" spans="1:13" x14ac:dyDescent="0.25">
      <c r="A5617" s="320">
        <v>45929</v>
      </c>
      <c r="B5617" s="419">
        <v>1271790</v>
      </c>
      <c r="C5617" s="638" t="str">
        <f>IFERROR(INDEX(Table14[],MATCH($B5617,Table14[SAPNo],0),3),"")</f>
        <v xml:space="preserve">1613 CT170 18-60 </v>
      </c>
      <c r="D5617" s="420" t="s">
        <v>10</v>
      </c>
      <c r="E5617" s="421">
        <v>1</v>
      </c>
      <c r="F5617" s="580"/>
      <c r="G5617" s="420" t="s">
        <v>3235</v>
      </c>
      <c r="H5617" s="599" t="s">
        <v>3236</v>
      </c>
      <c r="I5617" s="322" t="s">
        <v>1273</v>
      </c>
      <c r="J5617" s="421"/>
      <c r="K5617" s="422" t="s">
        <v>3237</v>
      </c>
      <c r="M5617" s="366"/>
    </row>
    <row r="5618" spans="1:13" x14ac:dyDescent="0.25">
      <c r="A5618" s="308">
        <v>45930</v>
      </c>
      <c r="B5618" s="416">
        <v>1263823</v>
      </c>
      <c r="C5618" s="638" t="str">
        <f>IFERROR(INDEX(Table14[],MATCH($B5618,Table14[SAPNo],0),3),"")</f>
        <v>1613 CT170R U</v>
      </c>
      <c r="D5618" s="420" t="s">
        <v>12</v>
      </c>
      <c r="E5618" s="421">
        <v>16</v>
      </c>
      <c r="F5618" s="421"/>
      <c r="G5618" s="417" t="s">
        <v>3238</v>
      </c>
      <c r="H5618" s="598">
        <v>14280247</v>
      </c>
      <c r="I5618" s="322" t="s">
        <v>2516</v>
      </c>
      <c r="J5618" s="418"/>
      <c r="K5618" s="248"/>
      <c r="M5618" s="422"/>
    </row>
    <row r="5619" spans="1:13" x14ac:dyDescent="0.25">
      <c r="A5619" s="308">
        <v>45930</v>
      </c>
      <c r="B5619" s="416">
        <v>1146737</v>
      </c>
      <c r="C5619" s="638" t="str">
        <f>IFERROR(INDEX(Table14[],MATCH($B5619,Table14[SAPNo],0),3),"")</f>
        <v>1613 CT418 18-60</v>
      </c>
      <c r="D5619" s="420" t="s">
        <v>12</v>
      </c>
      <c r="E5619" s="421">
        <v>14</v>
      </c>
      <c r="F5619" s="580"/>
      <c r="G5619" s="417" t="s">
        <v>3238</v>
      </c>
      <c r="H5619" s="598">
        <v>14280247</v>
      </c>
      <c r="I5619" s="322" t="s">
        <v>2516</v>
      </c>
      <c r="J5619" s="418"/>
      <c r="K5619" s="248"/>
      <c r="M5619" s="366"/>
    </row>
    <row r="5620" spans="1:13" x14ac:dyDescent="0.25">
      <c r="A5620" s="308">
        <v>45930</v>
      </c>
      <c r="B5620" s="416">
        <v>871781</v>
      </c>
      <c r="C5620" s="638" t="str">
        <f>IFERROR(INDEX(Table14[],MATCH($B5620,Table14[SAPNo],0),3),"")</f>
        <v>Round 1313 CT200  0.018" (B)</v>
      </c>
      <c r="D5620" s="420" t="s">
        <v>12</v>
      </c>
      <c r="E5620" s="421">
        <v>6</v>
      </c>
      <c r="F5620" s="580"/>
      <c r="G5620" s="417" t="s">
        <v>3238</v>
      </c>
      <c r="H5620" s="598">
        <v>14280247</v>
      </c>
      <c r="I5620" s="322" t="s">
        <v>2516</v>
      </c>
      <c r="J5620" s="418"/>
      <c r="K5620" s="248"/>
      <c r="M5620" s="366"/>
    </row>
    <row r="5621" spans="1:13" x14ac:dyDescent="0.25">
      <c r="A5621" s="308">
        <v>45930</v>
      </c>
      <c r="B5621" s="416">
        <v>717751</v>
      </c>
      <c r="C5621" s="638" t="str">
        <f>IFERROR(INDEX(Table14[],MATCH($B5621,Table14[SAPNo],0),3),"")</f>
        <v>Round 1308 CT200  0.018" (B)</v>
      </c>
      <c r="D5621" s="420" t="s">
        <v>12</v>
      </c>
      <c r="E5621" s="421">
        <v>16</v>
      </c>
      <c r="F5621" s="580"/>
      <c r="G5621" s="417" t="s">
        <v>3238</v>
      </c>
      <c r="H5621" s="598">
        <v>14280247</v>
      </c>
      <c r="I5621" s="322" t="s">
        <v>2516</v>
      </c>
      <c r="J5621" s="418"/>
      <c r="K5621" s="248"/>
      <c r="M5621" s="366"/>
    </row>
    <row r="5622" spans="1:13" x14ac:dyDescent="0.25">
      <c r="A5622" s="308">
        <v>45930</v>
      </c>
      <c r="B5622" s="416">
        <v>1271790</v>
      </c>
      <c r="C5622" s="638" t="str">
        <f>IFERROR(INDEX(Table14[],MATCH($B5622,Table14[SAPNo],0),3),"")</f>
        <v xml:space="preserve">1613 CT170 18-60 </v>
      </c>
      <c r="D5622" s="420" t="s">
        <v>1072</v>
      </c>
      <c r="E5622" s="421">
        <v>3</v>
      </c>
      <c r="F5622" s="580"/>
      <c r="G5622" s="417" t="s">
        <v>3238</v>
      </c>
      <c r="H5622" s="598">
        <v>14280247</v>
      </c>
      <c r="I5622" s="322" t="s">
        <v>2516</v>
      </c>
      <c r="J5622" s="418"/>
      <c r="K5622" s="248" t="s">
        <v>3151</v>
      </c>
      <c r="M5622" s="366"/>
    </row>
    <row r="5623" spans="1:13" x14ac:dyDescent="0.25">
      <c r="A5623" s="308">
        <v>45930</v>
      </c>
      <c r="B5623" s="416">
        <v>1228503</v>
      </c>
      <c r="C5623" s="638" t="str">
        <f>IFERROR(INDEX(Table14[],MATCH($B5623,Table14[SAPNo],0),3),"")</f>
        <v>1618 CT182 U-60 Ring</v>
      </c>
      <c r="D5623" s="420" t="s">
        <v>12</v>
      </c>
      <c r="E5623" s="421">
        <v>10</v>
      </c>
      <c r="F5623" s="580"/>
      <c r="G5623" s="417" t="s">
        <v>3239</v>
      </c>
      <c r="H5623" s="598">
        <v>14426677</v>
      </c>
      <c r="I5623" s="322" t="s">
        <v>3163</v>
      </c>
      <c r="J5623" s="418"/>
      <c r="K5623" s="248"/>
      <c r="M5623" s="366"/>
    </row>
    <row r="5624" spans="1:13" x14ac:dyDescent="0.25">
      <c r="A5624" s="308">
        <v>45930</v>
      </c>
      <c r="B5624" s="416">
        <v>2004484</v>
      </c>
      <c r="C5624" s="638" t="str">
        <f>IFERROR(INDEX(Table14[],MATCH($B5624,Table14[SAPNo],0),3),"")</f>
        <v>1308 CT187 U-60</v>
      </c>
      <c r="D5624" s="420" t="s">
        <v>12</v>
      </c>
      <c r="E5624" s="421">
        <v>15</v>
      </c>
      <c r="F5624" s="580"/>
      <c r="G5624" s="417" t="s">
        <v>3239</v>
      </c>
      <c r="H5624" s="598">
        <v>14426677</v>
      </c>
      <c r="I5624" s="322" t="s">
        <v>3163</v>
      </c>
      <c r="J5624" s="418"/>
      <c r="K5624" s="248"/>
      <c r="M5624" s="366"/>
    </row>
    <row r="5625" spans="1:13" x14ac:dyDescent="0.25">
      <c r="A5625" s="308">
        <v>45930</v>
      </c>
      <c r="B5625" s="416">
        <v>871781</v>
      </c>
      <c r="C5625" s="638" t="str">
        <f>IFERROR(INDEX(Table14[],MATCH($B5625,Table14[SAPNo],0),3),"")</f>
        <v>Round 1313 CT200  0.018" (B)</v>
      </c>
      <c r="D5625" s="420" t="s">
        <v>12</v>
      </c>
      <c r="E5625" s="421">
        <v>6</v>
      </c>
      <c r="F5625" s="580"/>
      <c r="G5625" s="417" t="s">
        <v>3239</v>
      </c>
      <c r="H5625" s="598">
        <v>14426677</v>
      </c>
      <c r="I5625" s="322" t="s">
        <v>3163</v>
      </c>
      <c r="J5625" s="418"/>
      <c r="K5625" s="248"/>
      <c r="M5625" s="366"/>
    </row>
    <row r="5626" spans="1:13" x14ac:dyDescent="0.25">
      <c r="A5626" s="308">
        <v>45930</v>
      </c>
      <c r="B5626" s="416">
        <v>2002299</v>
      </c>
      <c r="C5626" s="638" t="str">
        <f>IFERROR(INDEX(Table14[],MATCH($B5626,Table14[SAPNo],0),3),"")</f>
        <v>1613 CT187 U-60</v>
      </c>
      <c r="D5626" s="420" t="s">
        <v>12</v>
      </c>
      <c r="E5626" s="421">
        <v>4</v>
      </c>
      <c r="F5626" s="580"/>
      <c r="G5626" s="417" t="s">
        <v>3239</v>
      </c>
      <c r="H5626" s="598">
        <v>14426677</v>
      </c>
      <c r="I5626" s="322" t="s">
        <v>3163</v>
      </c>
      <c r="J5626" s="418"/>
      <c r="K5626" s="248"/>
      <c r="M5626" s="366"/>
    </row>
    <row r="5627" spans="1:13" x14ac:dyDescent="0.25">
      <c r="A5627" s="308">
        <v>45930</v>
      </c>
      <c r="B5627" s="416">
        <v>2002186</v>
      </c>
      <c r="C5627" s="638" t="str">
        <f>IFERROR(INDEX(Table14[],MATCH($B5627,Table14[SAPNo],0),3),"")</f>
        <v>1313 CT187 U-60</v>
      </c>
      <c r="D5627" s="420" t="s">
        <v>12</v>
      </c>
      <c r="E5627" s="421">
        <v>15</v>
      </c>
      <c r="F5627" s="580"/>
      <c r="G5627" s="417" t="s">
        <v>3239</v>
      </c>
      <c r="H5627" s="598">
        <v>14426677</v>
      </c>
      <c r="I5627" s="322" t="s">
        <v>3163</v>
      </c>
      <c r="J5627" s="418"/>
      <c r="K5627" s="248"/>
      <c r="M5627" s="366"/>
    </row>
    <row r="5628" spans="1:13" x14ac:dyDescent="0.25">
      <c r="A5628" s="308">
        <v>45930</v>
      </c>
      <c r="B5628" s="416">
        <v>1228501</v>
      </c>
      <c r="C5628" s="638" t="str">
        <f>IFERROR(INDEX(Table14[],MATCH($B5628,Table14[SAPNo],0),3),"")</f>
        <v>1618 CT182 U-60 stator</v>
      </c>
      <c r="D5628" s="420" t="s">
        <v>12</v>
      </c>
      <c r="E5628" s="421">
        <v>10</v>
      </c>
      <c r="F5628" s="580"/>
      <c r="G5628" s="417" t="s">
        <v>3239</v>
      </c>
      <c r="H5628" s="598">
        <v>14426677</v>
      </c>
      <c r="I5628" s="322" t="s">
        <v>3163</v>
      </c>
      <c r="J5628" s="418"/>
      <c r="K5628" s="248"/>
      <c r="M5628" s="366"/>
    </row>
    <row r="5629" spans="1:13" x14ac:dyDescent="0.25">
      <c r="A5629" s="308">
        <v>45930</v>
      </c>
      <c r="B5629" s="416">
        <v>1220554</v>
      </c>
      <c r="C5629" s="638" t="str">
        <f>IFERROR(INDEX(Table14[],MATCH($B5629,Table14[SAPNo],0),3),"")</f>
        <v xml:space="preserve">1618 CT182 U-60 Carbide </v>
      </c>
      <c r="D5629" s="420" t="s">
        <v>12</v>
      </c>
      <c r="E5629" s="421">
        <v>10</v>
      </c>
      <c r="F5629" s="580"/>
      <c r="G5629" s="417" t="s">
        <v>3239</v>
      </c>
      <c r="H5629" s="598">
        <v>14426677</v>
      </c>
      <c r="I5629" s="322" t="s">
        <v>3163</v>
      </c>
      <c r="J5629" s="418"/>
      <c r="K5629" s="248"/>
      <c r="M5629" s="366"/>
    </row>
    <row r="5630" spans="1:13" x14ac:dyDescent="0.25">
      <c r="A5630" s="308">
        <v>45930</v>
      </c>
      <c r="B5630" s="416">
        <v>1228502</v>
      </c>
      <c r="C5630" s="638" t="str">
        <f>IFERROR(INDEX(Table14[],MATCH($B5630,Table14[SAPNo],0),3),"")</f>
        <v>1618 CT182 U-60 Rotor</v>
      </c>
      <c r="D5630" s="420" t="s">
        <v>12</v>
      </c>
      <c r="E5630" s="421">
        <v>10</v>
      </c>
      <c r="F5630" s="580"/>
      <c r="G5630" s="417" t="s">
        <v>3239</v>
      </c>
      <c r="H5630" s="598">
        <v>14426677</v>
      </c>
      <c r="I5630" s="322" t="s">
        <v>3163</v>
      </c>
      <c r="J5630" s="418"/>
      <c r="K5630" s="248"/>
      <c r="M5630" s="366"/>
    </row>
    <row r="5631" spans="1:13" x14ac:dyDescent="0.25">
      <c r="A5631" s="308">
        <v>45930</v>
      </c>
      <c r="B5631" s="416">
        <v>1146737</v>
      </c>
      <c r="C5631" s="638" t="str">
        <f>IFERROR(INDEX(Table14[],MATCH($B5631,Table14[SAPNo],0),3),"")</f>
        <v>1613 CT418 18-60</v>
      </c>
      <c r="D5631" s="420" t="s">
        <v>12</v>
      </c>
      <c r="E5631" s="421">
        <v>6</v>
      </c>
      <c r="F5631" s="580"/>
      <c r="G5631" s="417" t="s">
        <v>3240</v>
      </c>
      <c r="H5631" s="598">
        <v>14414028</v>
      </c>
      <c r="I5631" s="322" t="s">
        <v>2729</v>
      </c>
      <c r="J5631" s="418"/>
      <c r="K5631" s="248"/>
      <c r="M5631" s="366"/>
    </row>
    <row r="5632" spans="1:13" x14ac:dyDescent="0.25">
      <c r="A5632" s="308">
        <v>45930</v>
      </c>
      <c r="B5632" s="416">
        <v>1208601</v>
      </c>
      <c r="C5632" s="638" t="str">
        <f>IFERROR(INDEX(Table14[],MATCH($B5632,Table14[SAPNo],0),3),"")</f>
        <v>1613 CT418 U-60</v>
      </c>
      <c r="D5632" s="420" t="s">
        <v>12</v>
      </c>
      <c r="E5632" s="421">
        <v>8</v>
      </c>
      <c r="F5632" s="580"/>
      <c r="G5632" s="417" t="s">
        <v>3240</v>
      </c>
      <c r="H5632" s="598">
        <v>14414028</v>
      </c>
      <c r="I5632" s="322" t="s">
        <v>2729</v>
      </c>
      <c r="J5632" s="418"/>
      <c r="K5632" s="248"/>
      <c r="M5632" s="366"/>
    </row>
    <row r="5633" spans="1:13" x14ac:dyDescent="0.25">
      <c r="A5633" s="308">
        <v>45930</v>
      </c>
      <c r="B5633" s="416">
        <v>1288783</v>
      </c>
      <c r="C5633" s="638" t="str">
        <f>IFERROR(INDEX(Table14[],MATCH($B5633,Table14[SAPNo],0),3),"")</f>
        <v>1613 CT179 18-60</v>
      </c>
      <c r="D5633" s="420" t="s">
        <v>12</v>
      </c>
      <c r="E5633" s="421">
        <v>17</v>
      </c>
      <c r="F5633" s="580"/>
      <c r="G5633" s="417" t="s">
        <v>3240</v>
      </c>
      <c r="H5633" s="598">
        <v>14414028</v>
      </c>
      <c r="I5633" s="322" t="s">
        <v>2729</v>
      </c>
      <c r="J5633" s="418"/>
      <c r="K5633" s="248"/>
      <c r="M5633" s="366"/>
    </row>
    <row r="5634" spans="1:13" x14ac:dyDescent="0.25">
      <c r="A5634" s="308">
        <v>45930</v>
      </c>
      <c r="B5634" s="416">
        <v>1078377</v>
      </c>
      <c r="C5634" s="638" t="str">
        <f>IFERROR(INDEX(Table14[],MATCH($B5634,Table14[SAPNo],0),3),"")</f>
        <v>13MM CT221 R1</v>
      </c>
      <c r="D5634" s="420" t="s">
        <v>12</v>
      </c>
      <c r="E5634" s="421">
        <v>15</v>
      </c>
      <c r="F5634" s="580"/>
      <c r="G5634" s="417" t="s">
        <v>3240</v>
      </c>
      <c r="H5634" s="598">
        <v>14414028</v>
      </c>
      <c r="I5634" s="322" t="s">
        <v>2729</v>
      </c>
      <c r="J5634" s="418"/>
      <c r="K5634" s="248"/>
      <c r="M5634" s="366"/>
    </row>
    <row r="5635" spans="1:13" x14ac:dyDescent="0.25">
      <c r="A5635" s="308">
        <v>45930</v>
      </c>
      <c r="B5635" s="416">
        <v>418525</v>
      </c>
      <c r="C5635" s="638" t="str">
        <f>IFERROR(INDEX(Table14[],MATCH($B5635,Table14[SAPNo],0),3),"")</f>
        <v>Drop In 1308 CT31   (B)</v>
      </c>
      <c r="D5635" s="420" t="s">
        <v>12</v>
      </c>
      <c r="E5635" s="421">
        <v>6</v>
      </c>
      <c r="F5635" s="580"/>
      <c r="G5635" s="417" t="s">
        <v>3240</v>
      </c>
      <c r="H5635" s="598">
        <v>14414028</v>
      </c>
      <c r="I5635" s="322" t="s">
        <v>2729</v>
      </c>
      <c r="J5635" s="418"/>
      <c r="K5635" s="248"/>
      <c r="M5635" s="366"/>
    </row>
    <row r="5636" spans="1:13" x14ac:dyDescent="0.25">
      <c r="A5636" s="308">
        <v>45930</v>
      </c>
      <c r="B5636" s="416">
        <v>1228502</v>
      </c>
      <c r="C5636" s="638" t="str">
        <f>IFERROR(INDEX(Table14[],MATCH($B5636,Table14[SAPNo],0),3),"")</f>
        <v>1618 CT182 U-60 Rotor</v>
      </c>
      <c r="D5636" s="420" t="s">
        <v>12</v>
      </c>
      <c r="E5636" s="421">
        <v>10</v>
      </c>
      <c r="F5636" s="580"/>
      <c r="G5636" s="417" t="s">
        <v>3241</v>
      </c>
      <c r="H5636" s="598">
        <v>14426678</v>
      </c>
      <c r="I5636" s="322" t="s">
        <v>3163</v>
      </c>
      <c r="J5636" s="418"/>
      <c r="K5636" s="248"/>
      <c r="M5636" s="366"/>
    </row>
    <row r="5637" spans="1:13" x14ac:dyDescent="0.25">
      <c r="A5637" s="308">
        <v>45930</v>
      </c>
      <c r="B5637" s="416">
        <v>2004484</v>
      </c>
      <c r="C5637" s="638" t="str">
        <f>IFERROR(INDEX(Table14[],MATCH($B5637,Table14[SAPNo],0),3),"")</f>
        <v>1308 CT187 U-60</v>
      </c>
      <c r="D5637" s="420" t="s">
        <v>12</v>
      </c>
      <c r="E5637" s="421">
        <v>15</v>
      </c>
      <c r="F5637" s="580"/>
      <c r="G5637" s="417" t="s">
        <v>3241</v>
      </c>
      <c r="H5637" s="598">
        <v>14426678</v>
      </c>
      <c r="I5637" s="322" t="s">
        <v>3163</v>
      </c>
      <c r="J5637" s="418"/>
      <c r="K5637" s="248"/>
      <c r="M5637" s="366"/>
    </row>
    <row r="5638" spans="1:13" x14ac:dyDescent="0.25">
      <c r="A5638" s="308">
        <v>45930</v>
      </c>
      <c r="B5638" s="416">
        <v>1228501</v>
      </c>
      <c r="C5638" s="638" t="str">
        <f>IFERROR(INDEX(Table14[],MATCH($B5638,Table14[SAPNo],0),3),"")</f>
        <v>1618 CT182 U-60 stator</v>
      </c>
      <c r="D5638" s="420" t="s">
        <v>12</v>
      </c>
      <c r="E5638" s="421">
        <v>10</v>
      </c>
      <c r="F5638" s="580"/>
      <c r="G5638" s="417" t="s">
        <v>3241</v>
      </c>
      <c r="H5638" s="598">
        <v>14426678</v>
      </c>
      <c r="I5638" s="322" t="s">
        <v>3163</v>
      </c>
      <c r="J5638" s="418"/>
      <c r="K5638" s="248"/>
      <c r="M5638" s="366"/>
    </row>
    <row r="5639" spans="1:13" x14ac:dyDescent="0.25">
      <c r="A5639" s="308">
        <v>45930</v>
      </c>
      <c r="B5639" s="416">
        <v>871781</v>
      </c>
      <c r="C5639" s="638" t="str">
        <f>IFERROR(INDEX(Table14[],MATCH($B5639,Table14[SAPNo],0),3),"")</f>
        <v>Round 1313 CT200  0.018" (B)</v>
      </c>
      <c r="D5639" s="420" t="s">
        <v>12</v>
      </c>
      <c r="E5639" s="421">
        <v>6</v>
      </c>
      <c r="F5639" s="580"/>
      <c r="G5639" s="417" t="s">
        <v>3241</v>
      </c>
      <c r="H5639" s="598">
        <v>14426678</v>
      </c>
      <c r="I5639" s="322" t="s">
        <v>3163</v>
      </c>
      <c r="J5639" s="418"/>
      <c r="K5639" s="248"/>
      <c r="M5639" s="366"/>
    </row>
    <row r="5640" spans="1:13" x14ac:dyDescent="0.25">
      <c r="A5640" s="308">
        <v>45930</v>
      </c>
      <c r="B5640" s="416">
        <v>2002186</v>
      </c>
      <c r="C5640" s="638" t="str">
        <f>IFERROR(INDEX(Table14[],MATCH($B5640,Table14[SAPNo],0),3),"")</f>
        <v>1313 CT187 U-60</v>
      </c>
      <c r="D5640" s="420" t="s">
        <v>12</v>
      </c>
      <c r="E5640" s="421">
        <v>15</v>
      </c>
      <c r="F5640" s="580"/>
      <c r="G5640" s="417" t="s">
        <v>3241</v>
      </c>
      <c r="H5640" s="598">
        <v>14426678</v>
      </c>
      <c r="I5640" s="322" t="s">
        <v>3163</v>
      </c>
      <c r="J5640" s="418"/>
      <c r="K5640" s="248"/>
      <c r="M5640" s="366"/>
    </row>
    <row r="5641" spans="1:13" x14ac:dyDescent="0.25">
      <c r="A5641" s="308">
        <v>45930</v>
      </c>
      <c r="B5641" s="416">
        <v>2002299</v>
      </c>
      <c r="C5641" s="638" t="str">
        <f>IFERROR(INDEX(Table14[],MATCH($B5641,Table14[SAPNo],0),3),"")</f>
        <v>1613 CT187 U-60</v>
      </c>
      <c r="D5641" s="420" t="s">
        <v>12</v>
      </c>
      <c r="E5641" s="421">
        <v>4</v>
      </c>
      <c r="F5641" s="580"/>
      <c r="G5641" s="417" t="s">
        <v>3241</v>
      </c>
      <c r="H5641" s="598">
        <v>14426678</v>
      </c>
      <c r="I5641" s="322" t="s">
        <v>3163</v>
      </c>
      <c r="J5641" s="418"/>
      <c r="K5641" s="248"/>
      <c r="M5641" s="366"/>
    </row>
    <row r="5642" spans="1:13" x14ac:dyDescent="0.25">
      <c r="A5642" s="308">
        <v>45930</v>
      </c>
      <c r="B5642" s="416">
        <v>1228503</v>
      </c>
      <c r="C5642" s="638" t="str">
        <f>IFERROR(INDEX(Table14[],MATCH($B5642,Table14[SAPNo],0),3),"")</f>
        <v>1618 CT182 U-60 Ring</v>
      </c>
      <c r="D5642" s="420" t="s">
        <v>12</v>
      </c>
      <c r="E5642" s="421">
        <v>10</v>
      </c>
      <c r="F5642" s="580"/>
      <c r="G5642" s="417" t="s">
        <v>3241</v>
      </c>
      <c r="H5642" s="598">
        <v>14426678</v>
      </c>
      <c r="I5642" s="322" t="s">
        <v>3163</v>
      </c>
      <c r="J5642" s="418"/>
      <c r="K5642" s="248"/>
      <c r="M5642" s="366"/>
    </row>
    <row r="5643" spans="1:13" x14ac:dyDescent="0.25">
      <c r="A5643" s="320">
        <v>45930</v>
      </c>
      <c r="B5643" s="419">
        <v>1220554</v>
      </c>
      <c r="C5643" s="638" t="str">
        <f>IFERROR(INDEX(Table14[],MATCH($B5643,Table14[SAPNo],0),3),"")</f>
        <v xml:space="preserve">1618 CT182 U-60 Carbide </v>
      </c>
      <c r="D5643" s="420" t="s">
        <v>12</v>
      </c>
      <c r="E5643" s="421">
        <v>10</v>
      </c>
      <c r="F5643" s="580"/>
      <c r="G5643" s="420" t="s">
        <v>3241</v>
      </c>
      <c r="H5643" s="599">
        <v>14426678</v>
      </c>
      <c r="I5643" s="322" t="s">
        <v>3163</v>
      </c>
      <c r="J5643" s="421"/>
      <c r="K5643" s="422"/>
      <c r="M5643" s="366"/>
    </row>
    <row r="5644" spans="1:13" x14ac:dyDescent="0.25">
      <c r="A5644" s="308">
        <v>45931</v>
      </c>
      <c r="B5644" s="416">
        <v>1186963</v>
      </c>
      <c r="C5644" s="638" t="str">
        <f>IFERROR(INDEX(Table14[],MATCH($B5644,Table14[SAPNo],0),3),"")</f>
        <v>1313 CT182H 10C</v>
      </c>
      <c r="D5644" s="420" t="s">
        <v>12</v>
      </c>
      <c r="E5644" s="421">
        <v>1</v>
      </c>
      <c r="F5644" s="421"/>
      <c r="G5644" s="417" t="s">
        <v>3242</v>
      </c>
      <c r="H5644" s="598">
        <v>14451069</v>
      </c>
      <c r="I5644" s="322" t="s">
        <v>2640</v>
      </c>
      <c r="J5644" s="418"/>
      <c r="K5644" s="248"/>
      <c r="M5644" s="422"/>
    </row>
    <row r="5645" spans="1:13" x14ac:dyDescent="0.25">
      <c r="A5645" s="308">
        <v>45931</v>
      </c>
      <c r="B5645" s="416">
        <v>1101509</v>
      </c>
      <c r="C5645" s="638" t="str">
        <f>IFERROR(INDEX(Table14[],MATCH($B5645,Table14[SAPNo],0),3),"")</f>
        <v>Short IA 8    (C)</v>
      </c>
      <c r="D5645" s="420" t="s">
        <v>12</v>
      </c>
      <c r="E5645" s="421">
        <v>5</v>
      </c>
      <c r="F5645" s="580"/>
      <c r="G5645" s="417" t="s">
        <v>3242</v>
      </c>
      <c r="H5645" s="598">
        <v>14451069</v>
      </c>
      <c r="I5645" s="322" t="s">
        <v>2640</v>
      </c>
      <c r="J5645" s="418"/>
      <c r="K5645" s="248"/>
      <c r="M5645" s="366"/>
    </row>
    <row r="5646" spans="1:13" x14ac:dyDescent="0.25">
      <c r="A5646" s="308">
        <v>45931</v>
      </c>
      <c r="B5646" s="416">
        <v>418525</v>
      </c>
      <c r="C5646" s="638" t="str">
        <f>IFERROR(INDEX(Table14[],MATCH($B5646,Table14[SAPNo],0),3),"")</f>
        <v>Drop In 1308 CT31   (B)</v>
      </c>
      <c r="D5646" s="420" t="s">
        <v>12</v>
      </c>
      <c r="E5646" s="421">
        <v>6</v>
      </c>
      <c r="F5646" s="580"/>
      <c r="G5646" s="417" t="s">
        <v>3242</v>
      </c>
      <c r="H5646" s="598">
        <v>14451069</v>
      </c>
      <c r="I5646" s="322" t="s">
        <v>2640</v>
      </c>
      <c r="J5646" s="418"/>
      <c r="K5646" s="248"/>
      <c r="M5646" s="366"/>
    </row>
    <row r="5647" spans="1:13" x14ac:dyDescent="0.25">
      <c r="A5647" s="308">
        <v>45931</v>
      </c>
      <c r="B5647" s="416">
        <v>1136984</v>
      </c>
      <c r="C5647" s="638" t="str">
        <f>IFERROR(INDEX(Table14[],MATCH($B5647,Table14[SAPNo],0),3),"")</f>
        <v>DBLMCHT 1313 CT182DM  10C (S)</v>
      </c>
      <c r="D5647" s="420" t="s">
        <v>12</v>
      </c>
      <c r="E5647" s="421">
        <v>13</v>
      </c>
      <c r="F5647" s="580"/>
      <c r="G5647" s="417" t="s">
        <v>3242</v>
      </c>
      <c r="H5647" s="598">
        <v>14451069</v>
      </c>
      <c r="I5647" s="322" t="s">
        <v>2640</v>
      </c>
      <c r="J5647" s="418"/>
      <c r="K5647" s="248"/>
      <c r="M5647" s="366"/>
    </row>
    <row r="5648" spans="1:13" x14ac:dyDescent="0.25">
      <c r="A5648" s="308">
        <v>45931</v>
      </c>
      <c r="B5648" s="416">
        <v>1146346</v>
      </c>
      <c r="C5648" s="638" t="str">
        <f>IFERROR(INDEX(Table14[],MATCH($B5648,Table14[SAPNo],0),3),"")</f>
        <v>1313 CT418 18-60</v>
      </c>
      <c r="D5648" s="420" t="s">
        <v>12</v>
      </c>
      <c r="E5648" s="421">
        <v>12</v>
      </c>
      <c r="F5648" s="580"/>
      <c r="G5648" s="417" t="s">
        <v>3242</v>
      </c>
      <c r="H5648" s="598">
        <v>14451069</v>
      </c>
      <c r="I5648" s="322" t="s">
        <v>2640</v>
      </c>
      <c r="J5648" s="418"/>
      <c r="K5648" s="248"/>
      <c r="M5648" s="366"/>
    </row>
    <row r="5649" spans="1:13" x14ac:dyDescent="0.25">
      <c r="A5649" s="308">
        <v>45932</v>
      </c>
      <c r="B5649" s="416">
        <v>535656</v>
      </c>
      <c r="C5649" s="638" t="str">
        <f>IFERROR(INDEX(Table14[],MATCH($B5649,Table14[SAPNo],0),3),"")</f>
        <v>Round 1608 CT36  10C (B)</v>
      </c>
      <c r="D5649" s="420" t="s">
        <v>12</v>
      </c>
      <c r="E5649" s="421">
        <v>2</v>
      </c>
      <c r="F5649" s="580"/>
      <c r="G5649" s="417" t="s">
        <v>3243</v>
      </c>
      <c r="H5649" s="598">
        <v>13595129</v>
      </c>
      <c r="I5649" s="322" t="s">
        <v>3244</v>
      </c>
      <c r="J5649" s="418"/>
      <c r="K5649" s="248"/>
      <c r="M5649" s="366"/>
    </row>
    <row r="5650" spans="1:13" x14ac:dyDescent="0.25">
      <c r="A5650" s="308">
        <v>45932</v>
      </c>
      <c r="B5650" s="416">
        <v>1271790</v>
      </c>
      <c r="C5650" s="638" t="str">
        <f>IFERROR(INDEX(Table14[],MATCH($B5650,Table14[SAPNo],0),3),"")</f>
        <v xml:space="preserve">1613 CT170 18-60 </v>
      </c>
      <c r="D5650" s="420" t="s">
        <v>10</v>
      </c>
      <c r="E5650" s="421">
        <v>13</v>
      </c>
      <c r="F5650" s="580"/>
      <c r="G5650" s="417" t="s">
        <v>3243</v>
      </c>
      <c r="H5650" s="598">
        <v>13595129</v>
      </c>
      <c r="I5650" s="322" t="s">
        <v>3244</v>
      </c>
      <c r="J5650" s="418"/>
      <c r="K5650" s="248" t="s">
        <v>3245</v>
      </c>
      <c r="M5650" s="366"/>
    </row>
    <row r="5651" spans="1:13" x14ac:dyDescent="0.25">
      <c r="A5651" s="308">
        <v>45932</v>
      </c>
      <c r="B5651" s="416">
        <v>1146737</v>
      </c>
      <c r="C5651" s="638" t="str">
        <f>IFERROR(INDEX(Table14[],MATCH($B5651,Table14[SAPNo],0),3),"")</f>
        <v>1613 CT418 18-60</v>
      </c>
      <c r="D5651" s="420" t="s">
        <v>10</v>
      </c>
      <c r="E5651" s="421">
        <v>15</v>
      </c>
      <c r="F5651" s="580"/>
      <c r="G5651" s="417" t="s">
        <v>3243</v>
      </c>
      <c r="H5651" s="598">
        <v>13595129</v>
      </c>
      <c r="I5651" s="322" t="s">
        <v>3244</v>
      </c>
      <c r="J5651" s="418"/>
      <c r="K5651" s="248" t="s">
        <v>3245</v>
      </c>
      <c r="M5651" s="366"/>
    </row>
    <row r="5652" spans="1:13" x14ac:dyDescent="0.25">
      <c r="A5652" s="308">
        <v>45932</v>
      </c>
      <c r="B5652" s="416">
        <v>1130198</v>
      </c>
      <c r="C5652" s="638" t="str">
        <f>IFERROR(INDEX(Table14[],MATCH($B5652,Table14[SAPNo],0),3),"")</f>
        <v>Round 1613 CT182  0.018" (S)</v>
      </c>
      <c r="D5652" s="420" t="s">
        <v>10</v>
      </c>
      <c r="E5652" s="421">
        <v>1</v>
      </c>
      <c r="F5652" s="580"/>
      <c r="G5652" s="417" t="s">
        <v>3243</v>
      </c>
      <c r="H5652" s="598">
        <v>13595129</v>
      </c>
      <c r="I5652" s="322" t="s">
        <v>3244</v>
      </c>
      <c r="J5652" s="418"/>
      <c r="K5652" s="248" t="s">
        <v>3245</v>
      </c>
      <c r="M5652" s="366"/>
    </row>
    <row r="5653" spans="1:13" x14ac:dyDescent="0.25">
      <c r="A5653" s="308">
        <v>45932</v>
      </c>
      <c r="B5653" s="416">
        <v>1130197</v>
      </c>
      <c r="C5653" s="638" t="str">
        <f>IFERROR(INDEX(Table14[],MATCH($B5653,Table14[SAPNo],0),3),"")</f>
        <v>Round 1608 CT182  0.018" (S)</v>
      </c>
      <c r="D5653" s="420" t="s">
        <v>12</v>
      </c>
      <c r="E5653" s="421">
        <v>6</v>
      </c>
      <c r="F5653" s="580"/>
      <c r="G5653" s="417" t="s">
        <v>3246</v>
      </c>
      <c r="H5653" s="598">
        <v>14442327</v>
      </c>
      <c r="I5653" s="322" t="s">
        <v>2850</v>
      </c>
      <c r="J5653" s="418"/>
      <c r="K5653" s="248"/>
      <c r="M5653" s="366"/>
    </row>
    <row r="5654" spans="1:13" x14ac:dyDescent="0.25">
      <c r="A5654" s="308">
        <v>45932</v>
      </c>
      <c r="B5654" s="416">
        <v>1134752</v>
      </c>
      <c r="C5654" s="638" t="str">
        <f>IFERROR(INDEX(Table14[],MATCH($B5654,Table14[SAPNo],0),3),"")</f>
        <v>Round 1308 CT182  0.018" (S)</v>
      </c>
      <c r="D5654" s="420" t="s">
        <v>12</v>
      </c>
      <c r="E5654" s="421">
        <v>12</v>
      </c>
      <c r="F5654" s="580"/>
      <c r="G5654" s="417" t="s">
        <v>3246</v>
      </c>
      <c r="H5654" s="598">
        <v>14442327</v>
      </c>
      <c r="I5654" s="322" t="s">
        <v>2850</v>
      </c>
      <c r="J5654" s="418"/>
      <c r="K5654" s="248"/>
      <c r="M5654" s="366"/>
    </row>
    <row r="5655" spans="1:13" x14ac:dyDescent="0.25">
      <c r="A5655" s="308">
        <v>45932</v>
      </c>
      <c r="B5655" s="416">
        <v>1208601</v>
      </c>
      <c r="C5655" s="638" t="str">
        <f>IFERROR(INDEX(Table14[],MATCH($B5655,Table14[SAPNo],0),3),"")</f>
        <v>1613 CT418 U-60</v>
      </c>
      <c r="D5655" s="420" t="s">
        <v>12</v>
      </c>
      <c r="E5655" s="421">
        <v>1</v>
      </c>
      <c r="F5655" s="580"/>
      <c r="G5655" s="417" t="s">
        <v>3246</v>
      </c>
      <c r="H5655" s="598">
        <v>14442327</v>
      </c>
      <c r="I5655" s="322" t="s">
        <v>2850</v>
      </c>
      <c r="J5655" s="418"/>
      <c r="K5655" s="248"/>
      <c r="M5655" s="366"/>
    </row>
    <row r="5656" spans="1:13" x14ac:dyDescent="0.25">
      <c r="A5656" s="308">
        <v>45932</v>
      </c>
      <c r="B5656" s="416">
        <v>1146737</v>
      </c>
      <c r="C5656" s="638" t="str">
        <f>IFERROR(INDEX(Table14[],MATCH($B5656,Table14[SAPNo],0),3),"")</f>
        <v>1613 CT418 18-60</v>
      </c>
      <c r="D5656" s="420" t="s">
        <v>12</v>
      </c>
      <c r="E5656" s="421">
        <v>6</v>
      </c>
      <c r="F5656" s="580"/>
      <c r="G5656" s="417" t="s">
        <v>3246</v>
      </c>
      <c r="H5656" s="598">
        <v>14442327</v>
      </c>
      <c r="I5656" s="322" t="s">
        <v>2850</v>
      </c>
      <c r="J5656" s="418"/>
      <c r="K5656" s="248"/>
      <c r="M5656" s="366"/>
    </row>
    <row r="5657" spans="1:13" x14ac:dyDescent="0.25">
      <c r="A5657" s="308">
        <v>45932</v>
      </c>
      <c r="B5657" s="416">
        <v>2001060</v>
      </c>
      <c r="C5657" s="638" t="str">
        <f>IFERROR(INDEX(Table14[],MATCH($B5657,Table14[SAPNo],0),3),"")</f>
        <v>1613 CT179T U-60</v>
      </c>
      <c r="D5657" s="420" t="s">
        <v>12</v>
      </c>
      <c r="E5657" s="421">
        <v>7</v>
      </c>
      <c r="F5657" s="580"/>
      <c r="G5657" s="417" t="s">
        <v>3246</v>
      </c>
      <c r="H5657" s="598">
        <v>14442327</v>
      </c>
      <c r="I5657" s="322" t="s">
        <v>2850</v>
      </c>
      <c r="J5657" s="418"/>
      <c r="K5657" s="248"/>
      <c r="M5657" s="366"/>
    </row>
    <row r="5658" spans="1:13" x14ac:dyDescent="0.25">
      <c r="A5658" s="308">
        <v>45932</v>
      </c>
      <c r="B5658" s="416">
        <v>1282370</v>
      </c>
      <c r="C5658" s="638" t="str">
        <f>IFERROR(INDEX(Table14[],MATCH($B5658,Table14[SAPNo],0),3),"")</f>
        <v>1613 CT436Mv3 U-60</v>
      </c>
      <c r="D5658" s="420" t="s">
        <v>12</v>
      </c>
      <c r="E5658" s="421">
        <v>12</v>
      </c>
      <c r="F5658" s="580"/>
      <c r="G5658" s="417" t="s">
        <v>3246</v>
      </c>
      <c r="H5658" s="598">
        <v>14442327</v>
      </c>
      <c r="I5658" s="322" t="s">
        <v>2850</v>
      </c>
      <c r="J5658" s="418"/>
      <c r="K5658" s="248"/>
      <c r="M5658" s="366"/>
    </row>
    <row r="5659" spans="1:13" x14ac:dyDescent="0.25">
      <c r="A5659" s="308">
        <v>45932</v>
      </c>
      <c r="B5659" s="416">
        <v>1288783</v>
      </c>
      <c r="C5659" s="638" t="str">
        <f>IFERROR(INDEX(Table14[],MATCH($B5659,Table14[SAPNo],0),3),"")</f>
        <v>1613 CT179 18-60</v>
      </c>
      <c r="D5659" s="420" t="s">
        <v>12</v>
      </c>
      <c r="E5659" s="421">
        <v>5</v>
      </c>
      <c r="F5659" s="580"/>
      <c r="G5659" s="417" t="s">
        <v>3246</v>
      </c>
      <c r="H5659" s="598">
        <v>14442327</v>
      </c>
      <c r="I5659" s="322" t="s">
        <v>2850</v>
      </c>
      <c r="J5659" s="418"/>
      <c r="K5659" s="248"/>
      <c r="M5659" s="366"/>
    </row>
    <row r="5660" spans="1:13" x14ac:dyDescent="0.25">
      <c r="A5660" s="308">
        <v>45932</v>
      </c>
      <c r="B5660" s="416">
        <v>871781</v>
      </c>
      <c r="C5660" s="638" t="str">
        <f>IFERROR(INDEX(Table14[],MATCH($B5660,Table14[SAPNo],0),3),"")</f>
        <v>Round 1313 CT200  0.018" (B)</v>
      </c>
      <c r="D5660" s="420" t="s">
        <v>12</v>
      </c>
      <c r="E5660" s="421">
        <v>6</v>
      </c>
      <c r="F5660" s="580"/>
      <c r="G5660" s="417" t="s">
        <v>3246</v>
      </c>
      <c r="H5660" s="598">
        <v>14442327</v>
      </c>
      <c r="I5660" s="322" t="s">
        <v>2850</v>
      </c>
      <c r="J5660" s="418"/>
      <c r="K5660" s="248"/>
      <c r="M5660" s="366"/>
    </row>
    <row r="5661" spans="1:13" x14ac:dyDescent="0.25">
      <c r="A5661" s="308">
        <v>45932</v>
      </c>
      <c r="B5661" s="416">
        <v>1186963</v>
      </c>
      <c r="C5661" s="638" t="str">
        <f>IFERROR(INDEX(Table14[],MATCH($B5661,Table14[SAPNo],0),3),"")</f>
        <v>1313 CT182H 10C</v>
      </c>
      <c r="D5661" s="420" t="s">
        <v>12</v>
      </c>
      <c r="E5661" s="421">
        <v>1</v>
      </c>
      <c r="F5661" s="580"/>
      <c r="G5661" s="417" t="s">
        <v>3247</v>
      </c>
      <c r="H5661" s="598">
        <v>14447590</v>
      </c>
      <c r="I5661" s="322" t="s">
        <v>2640</v>
      </c>
      <c r="J5661" s="418"/>
      <c r="K5661" s="248"/>
      <c r="M5661" s="366"/>
    </row>
    <row r="5662" spans="1:13" x14ac:dyDescent="0.25">
      <c r="A5662" s="308">
        <v>45932</v>
      </c>
      <c r="B5662" s="416">
        <v>418525</v>
      </c>
      <c r="C5662" s="638" t="str">
        <f>IFERROR(INDEX(Table14[],MATCH($B5662,Table14[SAPNo],0),3),"")</f>
        <v>Drop In 1308 CT31   (B)</v>
      </c>
      <c r="D5662" s="420" t="s">
        <v>12</v>
      </c>
      <c r="E5662" s="421">
        <v>6</v>
      </c>
      <c r="F5662" s="580"/>
      <c r="G5662" s="417" t="s">
        <v>3247</v>
      </c>
      <c r="H5662" s="598">
        <v>14447590</v>
      </c>
      <c r="I5662" s="322" t="s">
        <v>2640</v>
      </c>
      <c r="J5662" s="418"/>
      <c r="K5662" s="248"/>
      <c r="M5662" s="366"/>
    </row>
    <row r="5663" spans="1:13" x14ac:dyDescent="0.25">
      <c r="A5663" s="308">
        <v>45932</v>
      </c>
      <c r="B5663" s="416">
        <v>1146346</v>
      </c>
      <c r="C5663" s="638" t="str">
        <f>IFERROR(INDEX(Table14[],MATCH($B5663,Table14[SAPNo],0),3),"")</f>
        <v>1313 CT418 18-60</v>
      </c>
      <c r="D5663" s="420" t="s">
        <v>12</v>
      </c>
      <c r="E5663" s="421">
        <v>12</v>
      </c>
      <c r="F5663" s="580"/>
      <c r="G5663" s="417" t="s">
        <v>3247</v>
      </c>
      <c r="H5663" s="598">
        <v>14447590</v>
      </c>
      <c r="I5663" s="322" t="s">
        <v>2640</v>
      </c>
      <c r="J5663" s="418"/>
      <c r="K5663" s="248"/>
      <c r="M5663" s="366"/>
    </row>
    <row r="5664" spans="1:13" x14ac:dyDescent="0.25">
      <c r="A5664" s="308">
        <v>45932</v>
      </c>
      <c r="B5664" s="416">
        <v>1136984</v>
      </c>
      <c r="C5664" s="638" t="str">
        <f>IFERROR(INDEX(Table14[],MATCH($B5664,Table14[SAPNo],0),3),"")</f>
        <v>DBLMCHT 1313 CT182DM  10C (S)</v>
      </c>
      <c r="D5664" s="420" t="s">
        <v>12</v>
      </c>
      <c r="E5664" s="421">
        <v>13</v>
      </c>
      <c r="F5664" s="580"/>
      <c r="G5664" s="417" t="s">
        <v>3247</v>
      </c>
      <c r="H5664" s="598">
        <v>14447590</v>
      </c>
      <c r="I5664" s="322" t="s">
        <v>2640</v>
      </c>
      <c r="J5664" s="418"/>
      <c r="K5664" s="248"/>
      <c r="M5664" s="366"/>
    </row>
    <row r="5665" spans="1:13" x14ac:dyDescent="0.25">
      <c r="A5665" s="308">
        <v>45932</v>
      </c>
      <c r="B5665" s="416">
        <v>1101509</v>
      </c>
      <c r="C5665" s="638" t="str">
        <f>IFERROR(INDEX(Table14[],MATCH($B5665,Table14[SAPNo],0),3),"")</f>
        <v>Short IA 8    (C)</v>
      </c>
      <c r="D5665" s="420" t="s">
        <v>12</v>
      </c>
      <c r="E5665" s="421">
        <v>5</v>
      </c>
      <c r="F5665" s="580"/>
      <c r="G5665" s="417" t="s">
        <v>3247</v>
      </c>
      <c r="H5665" s="598">
        <v>14447590</v>
      </c>
      <c r="I5665" s="322" t="s">
        <v>2640</v>
      </c>
      <c r="J5665" s="418"/>
      <c r="K5665" s="248"/>
      <c r="M5665" s="366"/>
    </row>
    <row r="5666" spans="1:13" x14ac:dyDescent="0.25">
      <c r="A5666" s="308">
        <v>45929</v>
      </c>
      <c r="B5666" s="416">
        <v>1146737</v>
      </c>
      <c r="C5666" s="638" t="str">
        <f>IFERROR(INDEX(Table14[],MATCH($B5666,Table14[SAPNo],0),3),"")</f>
        <v>1613 CT418 18-60</v>
      </c>
      <c r="D5666" s="420" t="s">
        <v>10</v>
      </c>
      <c r="E5666" s="421">
        <v>2</v>
      </c>
      <c r="F5666" s="580"/>
      <c r="G5666" s="417" t="s">
        <v>3235</v>
      </c>
      <c r="H5666" s="598" t="s">
        <v>3236</v>
      </c>
      <c r="I5666" s="322" t="s">
        <v>1273</v>
      </c>
      <c r="J5666" s="418"/>
      <c r="K5666" s="248" t="s">
        <v>3237</v>
      </c>
      <c r="M5666" s="366"/>
    </row>
    <row r="5667" spans="1:13" x14ac:dyDescent="0.25">
      <c r="A5667" s="308">
        <v>45932</v>
      </c>
      <c r="B5667" s="416">
        <v>1078377</v>
      </c>
      <c r="C5667" s="638" t="str">
        <f>IFERROR(INDEX(Table14[],MATCH($B5667,Table14[SAPNo],0),3),"")</f>
        <v>13MM CT221 R1</v>
      </c>
      <c r="D5667" s="420" t="s">
        <v>10</v>
      </c>
      <c r="E5667" s="421">
        <v>1</v>
      </c>
      <c r="F5667" s="580"/>
      <c r="G5667" s="417" t="s">
        <v>3248</v>
      </c>
      <c r="H5667" s="598" t="s">
        <v>3249</v>
      </c>
      <c r="I5667" s="322" t="s">
        <v>2136</v>
      </c>
      <c r="J5667" s="418"/>
      <c r="K5667" s="248" t="s">
        <v>3245</v>
      </c>
      <c r="M5667" s="366"/>
    </row>
    <row r="5668" spans="1:13" x14ac:dyDescent="0.25">
      <c r="A5668" s="308">
        <v>45932</v>
      </c>
      <c r="B5668" s="416">
        <v>418525</v>
      </c>
      <c r="C5668" s="638" t="str">
        <f>IFERROR(INDEX(Table14[],MATCH($B5668,Table14[SAPNo],0),3),"")</f>
        <v>Drop In 1308 CT31   (B)</v>
      </c>
      <c r="D5668" s="420" t="s">
        <v>12</v>
      </c>
      <c r="E5668" s="421">
        <v>4</v>
      </c>
      <c r="F5668" s="580"/>
      <c r="G5668" s="417" t="s">
        <v>3248</v>
      </c>
      <c r="H5668" s="598" t="s">
        <v>3249</v>
      </c>
      <c r="I5668" s="322" t="s">
        <v>2136</v>
      </c>
      <c r="J5668" s="418"/>
      <c r="K5668" s="248"/>
      <c r="M5668" s="366"/>
    </row>
    <row r="5669" spans="1:13" x14ac:dyDescent="0.25">
      <c r="A5669" s="308">
        <v>45932</v>
      </c>
      <c r="B5669" s="416">
        <v>1271790</v>
      </c>
      <c r="C5669" s="638" t="str">
        <f>IFERROR(INDEX(Table14[],MATCH($B5669,Table14[SAPNo],0),3),"")</f>
        <v xml:space="preserve">1613 CT170 18-60 </v>
      </c>
      <c r="D5669" s="420" t="s">
        <v>10</v>
      </c>
      <c r="E5669" s="421">
        <v>1</v>
      </c>
      <c r="F5669" s="580"/>
      <c r="G5669" s="417" t="s">
        <v>3250</v>
      </c>
      <c r="H5669" s="598" t="s">
        <v>3251</v>
      </c>
      <c r="I5669" s="322" t="s">
        <v>2600</v>
      </c>
      <c r="J5669" s="418"/>
      <c r="K5669" s="248" t="s">
        <v>3252</v>
      </c>
      <c r="M5669" s="366"/>
    </row>
    <row r="5670" spans="1:13" x14ac:dyDescent="0.25">
      <c r="A5670" s="308">
        <v>45932</v>
      </c>
      <c r="B5670" s="416">
        <v>1078377</v>
      </c>
      <c r="C5670" s="638" t="str">
        <f>IFERROR(INDEX(Table14[],MATCH($B5670,Table14[SAPNo],0),3),"")</f>
        <v>13MM CT221 R1</v>
      </c>
      <c r="D5670" s="420" t="s">
        <v>10</v>
      </c>
      <c r="E5670" s="421">
        <v>1</v>
      </c>
      <c r="F5670" s="580"/>
      <c r="G5670" s="417" t="s">
        <v>3250</v>
      </c>
      <c r="H5670" s="598" t="s">
        <v>3251</v>
      </c>
      <c r="I5670" s="322" t="s">
        <v>2600</v>
      </c>
      <c r="J5670" s="418"/>
      <c r="K5670" s="248" t="s">
        <v>3252</v>
      </c>
      <c r="M5670" s="366"/>
    </row>
    <row r="5671" spans="1:13" x14ac:dyDescent="0.25">
      <c r="A5671" s="308">
        <v>45932</v>
      </c>
      <c r="B5671" s="416">
        <v>1146737</v>
      </c>
      <c r="C5671" s="638" t="str">
        <f>IFERROR(INDEX(Table14[],MATCH($B5671,Table14[SAPNo],0),3),"")</f>
        <v>1613 CT418 18-60</v>
      </c>
      <c r="D5671" s="420" t="s">
        <v>10</v>
      </c>
      <c r="E5671" s="421">
        <v>1</v>
      </c>
      <c r="F5671" s="580"/>
      <c r="G5671" s="417" t="s">
        <v>3250</v>
      </c>
      <c r="H5671" s="598" t="s">
        <v>3251</v>
      </c>
      <c r="I5671" s="322" t="s">
        <v>2600</v>
      </c>
      <c r="J5671" s="418"/>
      <c r="K5671" s="248" t="s">
        <v>3252</v>
      </c>
      <c r="M5671" s="366"/>
    </row>
    <row r="5672" spans="1:13" x14ac:dyDescent="0.25">
      <c r="A5672" s="308">
        <v>45932</v>
      </c>
      <c r="B5672" s="416">
        <v>418525</v>
      </c>
      <c r="C5672" s="638" t="str">
        <f>IFERROR(INDEX(Table14[],MATCH($B5672,Table14[SAPNo],0),3),"")</f>
        <v>Drop In 1308 CT31   (B)</v>
      </c>
      <c r="D5672" s="420" t="s">
        <v>12</v>
      </c>
      <c r="E5672" s="421">
        <v>6</v>
      </c>
      <c r="F5672" s="580"/>
      <c r="G5672" s="417" t="s">
        <v>3250</v>
      </c>
      <c r="H5672" s="598" t="s">
        <v>3251</v>
      </c>
      <c r="I5672" s="322" t="s">
        <v>2600</v>
      </c>
      <c r="J5672" s="418"/>
      <c r="K5672" s="248"/>
      <c r="M5672" s="366"/>
    </row>
    <row r="5673" spans="1:13" x14ac:dyDescent="0.25">
      <c r="A5673" s="308">
        <v>45932</v>
      </c>
      <c r="B5673" s="416">
        <v>1146737</v>
      </c>
      <c r="C5673" s="638" t="str">
        <f>IFERROR(INDEX(Table14[],MATCH($B5673,Table14[SAPNo],0),3),"")</f>
        <v>1613 CT418 18-60</v>
      </c>
      <c r="D5673" s="420" t="s">
        <v>10</v>
      </c>
      <c r="E5673" s="421">
        <v>1</v>
      </c>
      <c r="F5673" s="580"/>
      <c r="G5673" s="417" t="s">
        <v>3253</v>
      </c>
      <c r="H5673" s="598" t="s">
        <v>3254</v>
      </c>
      <c r="I5673" s="322" t="s">
        <v>2311</v>
      </c>
      <c r="J5673" s="418"/>
      <c r="K5673" s="248" t="s">
        <v>3252</v>
      </c>
      <c r="M5673" s="366"/>
    </row>
    <row r="5674" spans="1:13" x14ac:dyDescent="0.25">
      <c r="A5674" s="308">
        <v>45932</v>
      </c>
      <c r="B5674" s="416">
        <v>1078377</v>
      </c>
      <c r="C5674" s="638" t="str">
        <f>IFERROR(INDEX(Table14[],MATCH($B5674,Table14[SAPNo],0),3),"")</f>
        <v>13MM CT221 R1</v>
      </c>
      <c r="D5674" s="420" t="s">
        <v>10</v>
      </c>
      <c r="E5674" s="421">
        <v>2</v>
      </c>
      <c r="F5674" s="580"/>
      <c r="G5674" s="417" t="s">
        <v>3253</v>
      </c>
      <c r="H5674" s="598" t="s">
        <v>3254</v>
      </c>
      <c r="I5674" s="322" t="s">
        <v>2311</v>
      </c>
      <c r="J5674" s="418"/>
      <c r="K5674" s="248" t="s">
        <v>3252</v>
      </c>
      <c r="M5674" s="366"/>
    </row>
    <row r="5675" spans="1:13" x14ac:dyDescent="0.25">
      <c r="A5675" s="308">
        <v>45932</v>
      </c>
      <c r="B5675" s="416">
        <v>418525</v>
      </c>
      <c r="C5675" s="638" t="str">
        <f>IFERROR(INDEX(Table14[],MATCH($B5675,Table14[SAPNo],0),3),"")</f>
        <v>Drop In 1308 CT31   (B)</v>
      </c>
      <c r="D5675" s="420" t="s">
        <v>12</v>
      </c>
      <c r="E5675" s="421">
        <v>6</v>
      </c>
      <c r="F5675" s="580"/>
      <c r="G5675" s="417" t="s">
        <v>3253</v>
      </c>
      <c r="H5675" s="598" t="s">
        <v>3254</v>
      </c>
      <c r="I5675" s="322" t="s">
        <v>2311</v>
      </c>
      <c r="J5675" s="418"/>
      <c r="K5675" s="248"/>
      <c r="M5675" s="366"/>
    </row>
    <row r="5676" spans="1:13" x14ac:dyDescent="0.25">
      <c r="A5676" s="308">
        <v>45938</v>
      </c>
      <c r="B5676" s="416">
        <v>1271790</v>
      </c>
      <c r="C5676" s="638" t="str">
        <f>IFERROR(INDEX(Table14[],MATCH($B5676,Table14[SAPNo],0),3),"")</f>
        <v xml:space="preserve">1613 CT170 18-60 </v>
      </c>
      <c r="D5676" s="420" t="s">
        <v>10</v>
      </c>
      <c r="E5676" s="421">
        <v>5</v>
      </c>
      <c r="F5676" s="580"/>
      <c r="G5676" s="417" t="s">
        <v>3253</v>
      </c>
      <c r="H5676" s="598" t="s">
        <v>3254</v>
      </c>
      <c r="I5676" s="322" t="s">
        <v>2311</v>
      </c>
      <c r="J5676" s="418"/>
      <c r="K5676" s="248" t="s">
        <v>2546</v>
      </c>
      <c r="M5676" s="366"/>
    </row>
    <row r="5677" spans="1:13" x14ac:dyDescent="0.25">
      <c r="A5677" s="308">
        <v>45933</v>
      </c>
      <c r="B5677" s="416">
        <v>1288783</v>
      </c>
      <c r="C5677" s="638" t="str">
        <f>IFERROR(INDEX(Table14[],MATCH($B5677,Table14[SAPNo],0),3),"")</f>
        <v>1613 CT179 18-60</v>
      </c>
      <c r="D5677" s="420" t="s">
        <v>12</v>
      </c>
      <c r="E5677" s="421">
        <v>47</v>
      </c>
      <c r="F5677" s="580"/>
      <c r="G5677" s="417" t="s">
        <v>3257</v>
      </c>
      <c r="H5677" s="598">
        <v>14295361</v>
      </c>
      <c r="I5677" s="322" t="s">
        <v>2976</v>
      </c>
      <c r="J5677" s="418"/>
      <c r="K5677" s="248"/>
      <c r="M5677" s="366"/>
    </row>
    <row r="5678" spans="1:13" x14ac:dyDescent="0.25">
      <c r="A5678" s="308">
        <v>45933</v>
      </c>
      <c r="B5678" s="416">
        <v>1146737</v>
      </c>
      <c r="C5678" s="638" t="str">
        <f>IFERROR(INDEX(Table14[],MATCH($B5678,Table14[SAPNo],0),3),"")</f>
        <v>1613 CT418 18-60</v>
      </c>
      <c r="D5678" s="420" t="s">
        <v>12</v>
      </c>
      <c r="E5678" s="421">
        <v>33</v>
      </c>
      <c r="F5678" s="580"/>
      <c r="G5678" s="417" t="s">
        <v>3257</v>
      </c>
      <c r="H5678" s="598">
        <v>14295361</v>
      </c>
      <c r="I5678" s="322" t="s">
        <v>2976</v>
      </c>
      <c r="J5678" s="418"/>
      <c r="K5678" s="248"/>
      <c r="M5678" s="366"/>
    </row>
    <row r="5679" spans="1:13" x14ac:dyDescent="0.25">
      <c r="A5679" s="308">
        <v>45933</v>
      </c>
      <c r="B5679" s="416">
        <v>647436</v>
      </c>
      <c r="C5679" s="638" t="str">
        <f>IFERROR(INDEX(Table14[],MATCH($B5679,Table14[SAPNo],0),3),"")</f>
        <v>Round 1613 CT200  0.018" (B)</v>
      </c>
      <c r="D5679" s="420" t="s">
        <v>12</v>
      </c>
      <c r="E5679" s="421">
        <v>27</v>
      </c>
      <c r="F5679" s="580"/>
      <c r="G5679" s="417" t="s">
        <v>3257</v>
      </c>
      <c r="H5679" s="598">
        <v>14295361</v>
      </c>
      <c r="I5679" s="322" t="s">
        <v>2976</v>
      </c>
      <c r="J5679" s="418"/>
      <c r="K5679" s="248"/>
      <c r="M5679" s="366"/>
    </row>
    <row r="5680" spans="1:13" x14ac:dyDescent="0.25">
      <c r="A5680" s="308">
        <v>45933</v>
      </c>
      <c r="B5680" s="416">
        <v>179734</v>
      </c>
      <c r="C5680" s="638" t="str">
        <f>IFERROR(INDEX(Table14[],MATCH($B5680,Table14[SAPNo],0),3),"")</f>
        <v>Long IPA 13    (C)</v>
      </c>
      <c r="D5680" s="420" t="s">
        <v>12</v>
      </c>
      <c r="E5680" s="421">
        <v>35</v>
      </c>
      <c r="F5680" s="580"/>
      <c r="G5680" s="417" t="s">
        <v>3257</v>
      </c>
      <c r="H5680" s="598">
        <v>14295361</v>
      </c>
      <c r="I5680" s="322" t="s">
        <v>2976</v>
      </c>
      <c r="J5680" s="418"/>
      <c r="K5680" s="248"/>
      <c r="M5680" s="366"/>
    </row>
    <row r="5681" spans="1:13" x14ac:dyDescent="0.25">
      <c r="A5681" s="308">
        <v>45933</v>
      </c>
      <c r="B5681" s="416">
        <v>410851</v>
      </c>
      <c r="C5681" s="638" t="str">
        <f>IFERROR(INDEX(Table14[],MATCH($B5681,Table14[SAPNo],0),3),"")</f>
        <v>PDC Dome 1308 CT31   (B)</v>
      </c>
      <c r="D5681" s="420" t="s">
        <v>12</v>
      </c>
      <c r="E5681" s="421">
        <v>28</v>
      </c>
      <c r="F5681" s="580"/>
      <c r="G5681" s="417" t="s">
        <v>3257</v>
      </c>
      <c r="H5681" s="598">
        <v>14295361</v>
      </c>
      <c r="I5681" s="322" t="s">
        <v>2976</v>
      </c>
      <c r="J5681" s="418"/>
      <c r="K5681" s="248"/>
      <c r="M5681" s="366"/>
    </row>
    <row r="5682" spans="1:13" x14ac:dyDescent="0.25">
      <c r="A5682" s="308">
        <v>45933</v>
      </c>
      <c r="B5682" s="416">
        <v>418525</v>
      </c>
      <c r="C5682" s="638" t="str">
        <f>IFERROR(INDEX(Table14[],MATCH($B5682,Table14[SAPNo],0),3),"")</f>
        <v>Drop In 1308 CT31   (B)</v>
      </c>
      <c r="D5682" s="420" t="s">
        <v>12</v>
      </c>
      <c r="E5682" s="421">
        <v>14</v>
      </c>
      <c r="F5682" s="580"/>
      <c r="G5682" s="417" t="s">
        <v>3257</v>
      </c>
      <c r="H5682" s="598">
        <v>14295361</v>
      </c>
      <c r="I5682" s="322" t="s">
        <v>2976</v>
      </c>
      <c r="J5682" s="418"/>
      <c r="K5682" s="248"/>
      <c r="M5682" s="366"/>
    </row>
    <row r="5683" spans="1:13" x14ac:dyDescent="0.25">
      <c r="A5683" s="308">
        <v>45933</v>
      </c>
      <c r="B5683" s="416">
        <v>1130219</v>
      </c>
      <c r="C5683" s="638" t="str">
        <f>IFERROR(INDEX(Table14[],MATCH($B5683,Table14[SAPNo],0),3),"")</f>
        <v>Round 1313 CT182  10C (S)</v>
      </c>
      <c r="D5683" s="420" t="s">
        <v>12</v>
      </c>
      <c r="E5683" s="421">
        <v>22</v>
      </c>
      <c r="F5683" s="580"/>
      <c r="G5683" s="417" t="s">
        <v>3258</v>
      </c>
      <c r="H5683" s="598">
        <v>14451064</v>
      </c>
      <c r="I5683" s="322" t="s">
        <v>1302</v>
      </c>
      <c r="J5683" s="418"/>
      <c r="K5683" s="248"/>
      <c r="M5683" s="366"/>
    </row>
    <row r="5684" spans="1:13" x14ac:dyDescent="0.25">
      <c r="A5684" s="308">
        <v>45933</v>
      </c>
      <c r="B5684" s="416">
        <v>1146737</v>
      </c>
      <c r="C5684" s="638" t="str">
        <f>IFERROR(INDEX(Table14[],MATCH($B5684,Table14[SAPNo],0),3),"")</f>
        <v>1613 CT418 18-60</v>
      </c>
      <c r="D5684" s="420" t="s">
        <v>12</v>
      </c>
      <c r="E5684" s="421">
        <v>10</v>
      </c>
      <c r="F5684" s="580"/>
      <c r="G5684" s="417" t="s">
        <v>3258</v>
      </c>
      <c r="H5684" s="598">
        <v>14451064</v>
      </c>
      <c r="I5684" s="322" t="s">
        <v>1302</v>
      </c>
      <c r="J5684" s="418"/>
      <c r="K5684" s="248"/>
      <c r="M5684" s="366"/>
    </row>
    <row r="5685" spans="1:13" x14ac:dyDescent="0.25">
      <c r="A5685" s="308">
        <v>45933</v>
      </c>
      <c r="B5685" s="416">
        <v>1282370</v>
      </c>
      <c r="C5685" s="638" t="str">
        <f>IFERROR(INDEX(Table14[],MATCH($B5685,Table14[SAPNo],0),3),"")</f>
        <v>1613 CT436Mv3 U-60</v>
      </c>
      <c r="D5685" s="420" t="s">
        <v>12</v>
      </c>
      <c r="E5685" s="421">
        <v>10</v>
      </c>
      <c r="F5685" s="580"/>
      <c r="G5685" s="417" t="s">
        <v>3258</v>
      </c>
      <c r="H5685" s="598">
        <v>14451064</v>
      </c>
      <c r="I5685" s="322" t="s">
        <v>1302</v>
      </c>
      <c r="J5685" s="418"/>
      <c r="K5685" s="248"/>
      <c r="M5685" s="366"/>
    </row>
    <row r="5686" spans="1:13" x14ac:dyDescent="0.25">
      <c r="A5686" s="308">
        <v>45933</v>
      </c>
      <c r="B5686" s="416">
        <v>1288783</v>
      </c>
      <c r="C5686" s="638" t="str">
        <f>IFERROR(INDEX(Table14[],MATCH($B5686,Table14[SAPNo],0),3),"")</f>
        <v>1613 CT179 18-60</v>
      </c>
      <c r="D5686" s="420" t="s">
        <v>12</v>
      </c>
      <c r="E5686" s="421">
        <v>30</v>
      </c>
      <c r="F5686" s="580"/>
      <c r="G5686" s="417" t="s">
        <v>3258</v>
      </c>
      <c r="H5686" s="598">
        <v>14451064</v>
      </c>
      <c r="I5686" s="322" t="s">
        <v>1302</v>
      </c>
      <c r="J5686" s="418"/>
      <c r="K5686" s="248"/>
      <c r="M5686" s="366"/>
    </row>
    <row r="5687" spans="1:13" x14ac:dyDescent="0.25">
      <c r="A5687" s="308">
        <v>45933</v>
      </c>
      <c r="B5687" s="416">
        <v>871781</v>
      </c>
      <c r="C5687" s="638" t="str">
        <f>IFERROR(INDEX(Table14[],MATCH($B5687,Table14[SAPNo],0),3),"")</f>
        <v>Round 1313 CT200  0.018" (B)</v>
      </c>
      <c r="D5687" s="420" t="s">
        <v>12</v>
      </c>
      <c r="E5687" s="421">
        <v>5</v>
      </c>
      <c r="F5687" s="580"/>
      <c r="G5687" s="417" t="s">
        <v>3258</v>
      </c>
      <c r="H5687" s="598">
        <v>14451064</v>
      </c>
      <c r="I5687" s="322" t="s">
        <v>1302</v>
      </c>
      <c r="J5687" s="418"/>
      <c r="K5687" s="248"/>
      <c r="M5687" s="366"/>
    </row>
    <row r="5688" spans="1:13" x14ac:dyDescent="0.25">
      <c r="A5688" s="308">
        <v>45933</v>
      </c>
      <c r="B5688" s="416">
        <v>1228503</v>
      </c>
      <c r="C5688" s="638" t="str">
        <f>IFERROR(INDEX(Table14[],MATCH($B5688,Table14[SAPNo],0),3),"")</f>
        <v>1618 CT182 U-60 Ring</v>
      </c>
      <c r="D5688" s="420" t="s">
        <v>12</v>
      </c>
      <c r="E5688" s="421">
        <v>10</v>
      </c>
      <c r="F5688" s="580"/>
      <c r="G5688" s="417" t="s">
        <v>3259</v>
      </c>
      <c r="H5688" s="598">
        <v>14442323</v>
      </c>
      <c r="I5688" s="322" t="s">
        <v>3163</v>
      </c>
      <c r="J5688" s="418"/>
      <c r="K5688" s="248"/>
      <c r="M5688" s="366"/>
    </row>
    <row r="5689" spans="1:13" x14ac:dyDescent="0.25">
      <c r="A5689" s="308">
        <v>45933</v>
      </c>
      <c r="B5689" s="416">
        <v>871781</v>
      </c>
      <c r="C5689" s="638" t="str">
        <f>IFERROR(INDEX(Table14[],MATCH($B5689,Table14[SAPNo],0),3),"")</f>
        <v>Round 1313 CT200  0.018" (B)</v>
      </c>
      <c r="D5689" s="420" t="s">
        <v>12</v>
      </c>
      <c r="E5689" s="421">
        <v>6</v>
      </c>
      <c r="F5689" s="580"/>
      <c r="G5689" s="417" t="s">
        <v>3259</v>
      </c>
      <c r="H5689" s="598">
        <v>14442323</v>
      </c>
      <c r="I5689" s="322" t="s">
        <v>3163</v>
      </c>
      <c r="J5689" s="418"/>
      <c r="K5689" s="248"/>
      <c r="M5689" s="366"/>
    </row>
    <row r="5690" spans="1:13" x14ac:dyDescent="0.25">
      <c r="A5690" s="308">
        <v>45933</v>
      </c>
      <c r="B5690" s="416">
        <v>1228501</v>
      </c>
      <c r="C5690" s="638" t="str">
        <f>IFERROR(INDEX(Table14[],MATCH($B5690,Table14[SAPNo],0),3),"")</f>
        <v>1618 CT182 U-60 stator</v>
      </c>
      <c r="D5690" s="420" t="s">
        <v>12</v>
      </c>
      <c r="E5690" s="421">
        <v>10</v>
      </c>
      <c r="F5690" s="580"/>
      <c r="G5690" s="417" t="s">
        <v>3259</v>
      </c>
      <c r="H5690" s="598">
        <v>14442323</v>
      </c>
      <c r="I5690" s="322" t="s">
        <v>3163</v>
      </c>
      <c r="J5690" s="418"/>
      <c r="K5690" s="248"/>
      <c r="M5690" s="366"/>
    </row>
    <row r="5691" spans="1:13" x14ac:dyDescent="0.25">
      <c r="A5691" s="308">
        <v>45933</v>
      </c>
      <c r="B5691" s="416">
        <v>1220554</v>
      </c>
      <c r="C5691" s="638" t="str">
        <f>IFERROR(INDEX(Table14[],MATCH($B5691,Table14[SAPNo],0),3),"")</f>
        <v xml:space="preserve">1618 CT182 U-60 Carbide </v>
      </c>
      <c r="D5691" s="420" t="s">
        <v>12</v>
      </c>
      <c r="E5691" s="421">
        <v>10</v>
      </c>
      <c r="F5691" s="580"/>
      <c r="G5691" s="417" t="s">
        <v>3259</v>
      </c>
      <c r="H5691" s="598">
        <v>14442323</v>
      </c>
      <c r="I5691" s="322" t="s">
        <v>3163</v>
      </c>
      <c r="J5691" s="418"/>
      <c r="K5691" s="248"/>
      <c r="M5691" s="366"/>
    </row>
    <row r="5692" spans="1:13" x14ac:dyDescent="0.25">
      <c r="A5692" s="308">
        <v>45933</v>
      </c>
      <c r="B5692" s="416">
        <v>1228502</v>
      </c>
      <c r="C5692" s="638" t="str">
        <f>IFERROR(INDEX(Table14[],MATCH($B5692,Table14[SAPNo],0),3),"")</f>
        <v>1618 CT182 U-60 Rotor</v>
      </c>
      <c r="D5692" s="420" t="s">
        <v>12</v>
      </c>
      <c r="E5692" s="421">
        <v>10</v>
      </c>
      <c r="F5692" s="580"/>
      <c r="G5692" s="417" t="s">
        <v>3259</v>
      </c>
      <c r="H5692" s="598">
        <v>14442323</v>
      </c>
      <c r="I5692" s="322" t="s">
        <v>3163</v>
      </c>
      <c r="J5692" s="418"/>
      <c r="K5692" s="248"/>
      <c r="M5692" s="366"/>
    </row>
    <row r="5693" spans="1:13" x14ac:dyDescent="0.25">
      <c r="A5693" s="308">
        <v>45933</v>
      </c>
      <c r="B5693" s="416">
        <v>2002186</v>
      </c>
      <c r="C5693" s="638" t="str">
        <f>IFERROR(INDEX(Table14[],MATCH($B5693,Table14[SAPNo],0),3),"")</f>
        <v>1313 CT187 U-60</v>
      </c>
      <c r="D5693" s="420" t="s">
        <v>12</v>
      </c>
      <c r="E5693" s="421">
        <v>15</v>
      </c>
      <c r="F5693" s="580"/>
      <c r="G5693" s="417" t="s">
        <v>3259</v>
      </c>
      <c r="H5693" s="598">
        <v>14442323</v>
      </c>
      <c r="I5693" s="322" t="s">
        <v>3163</v>
      </c>
      <c r="J5693" s="418"/>
      <c r="K5693" s="248"/>
      <c r="M5693" s="366"/>
    </row>
    <row r="5694" spans="1:13" x14ac:dyDescent="0.25">
      <c r="A5694" s="308">
        <v>45933</v>
      </c>
      <c r="B5694" s="416">
        <v>2002299</v>
      </c>
      <c r="C5694" s="638" t="str">
        <f>IFERROR(INDEX(Table14[],MATCH($B5694,Table14[SAPNo],0),3),"")</f>
        <v>1613 CT187 U-60</v>
      </c>
      <c r="D5694" s="420" t="s">
        <v>12</v>
      </c>
      <c r="E5694" s="421">
        <v>4</v>
      </c>
      <c r="F5694" s="580"/>
      <c r="G5694" s="417" t="s">
        <v>3259</v>
      </c>
      <c r="H5694" s="598">
        <v>14442323</v>
      </c>
      <c r="I5694" s="322" t="s">
        <v>3163</v>
      </c>
      <c r="J5694" s="418"/>
      <c r="K5694" s="248"/>
      <c r="M5694" s="366"/>
    </row>
    <row r="5695" spans="1:13" x14ac:dyDescent="0.25">
      <c r="A5695" s="308">
        <v>45933</v>
      </c>
      <c r="B5695" s="416">
        <v>2004484</v>
      </c>
      <c r="C5695" s="638" t="str">
        <f>IFERROR(INDEX(Table14[],MATCH($B5695,Table14[SAPNo],0),3),"")</f>
        <v>1308 CT187 U-60</v>
      </c>
      <c r="D5695" s="420" t="s">
        <v>12</v>
      </c>
      <c r="E5695" s="421">
        <v>15</v>
      </c>
      <c r="F5695" s="580"/>
      <c r="G5695" s="417" t="s">
        <v>3259</v>
      </c>
      <c r="H5695" s="598">
        <v>14442323</v>
      </c>
      <c r="I5695" s="322" t="s">
        <v>3163</v>
      </c>
      <c r="J5695" s="418"/>
      <c r="K5695" s="248"/>
      <c r="M5695" s="366"/>
    </row>
    <row r="5696" spans="1:13" x14ac:dyDescent="0.25">
      <c r="A5696" s="308">
        <v>45933</v>
      </c>
      <c r="B5696" s="416">
        <v>1228501</v>
      </c>
      <c r="C5696" s="638" t="str">
        <f>IFERROR(INDEX(Table14[],MATCH($B5696,Table14[SAPNo],0),3),"")</f>
        <v>1618 CT182 U-60 stator</v>
      </c>
      <c r="D5696" s="420" t="s">
        <v>12</v>
      </c>
      <c r="E5696" s="421">
        <v>10</v>
      </c>
      <c r="F5696" s="580"/>
      <c r="G5696" s="417" t="s">
        <v>3260</v>
      </c>
      <c r="H5696" s="598">
        <v>14442324</v>
      </c>
      <c r="I5696" s="322" t="s">
        <v>3163</v>
      </c>
      <c r="J5696" s="418"/>
      <c r="K5696" s="248"/>
      <c r="M5696" s="366"/>
    </row>
    <row r="5697" spans="1:13" x14ac:dyDescent="0.25">
      <c r="A5697" s="308">
        <v>45933</v>
      </c>
      <c r="B5697" s="416">
        <v>1220554</v>
      </c>
      <c r="C5697" s="638" t="str">
        <f>IFERROR(INDEX(Table14[],MATCH($B5697,Table14[SAPNo],0),3),"")</f>
        <v xml:space="preserve">1618 CT182 U-60 Carbide </v>
      </c>
      <c r="D5697" s="420" t="s">
        <v>12</v>
      </c>
      <c r="E5697" s="421">
        <v>10</v>
      </c>
      <c r="F5697" s="580"/>
      <c r="G5697" s="417" t="s">
        <v>3260</v>
      </c>
      <c r="H5697" s="598">
        <v>14442324</v>
      </c>
      <c r="I5697" s="322" t="s">
        <v>3163</v>
      </c>
      <c r="J5697" s="418"/>
      <c r="K5697" s="248"/>
      <c r="M5697" s="366"/>
    </row>
    <row r="5698" spans="1:13" x14ac:dyDescent="0.25">
      <c r="A5698" s="308">
        <v>45933</v>
      </c>
      <c r="B5698" s="416">
        <v>871781</v>
      </c>
      <c r="C5698" s="638" t="str">
        <f>IFERROR(INDEX(Table14[],MATCH($B5698,Table14[SAPNo],0),3),"")</f>
        <v>Round 1313 CT200  0.018" (B)</v>
      </c>
      <c r="D5698" s="420" t="s">
        <v>12</v>
      </c>
      <c r="E5698" s="421">
        <v>6</v>
      </c>
      <c r="F5698" s="580"/>
      <c r="G5698" s="417" t="s">
        <v>3260</v>
      </c>
      <c r="H5698" s="598">
        <v>14442324</v>
      </c>
      <c r="I5698" s="322" t="s">
        <v>3163</v>
      </c>
      <c r="J5698" s="418"/>
      <c r="K5698" s="248"/>
      <c r="M5698" s="366"/>
    </row>
    <row r="5699" spans="1:13" x14ac:dyDescent="0.25">
      <c r="A5699" s="308">
        <v>45933</v>
      </c>
      <c r="B5699" s="416">
        <v>1228502</v>
      </c>
      <c r="C5699" s="638" t="str">
        <f>IFERROR(INDEX(Table14[],MATCH($B5699,Table14[SAPNo],0),3),"")</f>
        <v>1618 CT182 U-60 Rotor</v>
      </c>
      <c r="D5699" s="420" t="s">
        <v>12</v>
      </c>
      <c r="E5699" s="421">
        <v>10</v>
      </c>
      <c r="F5699" s="580"/>
      <c r="G5699" s="417" t="s">
        <v>3260</v>
      </c>
      <c r="H5699" s="598">
        <v>14442324</v>
      </c>
      <c r="I5699" s="322" t="s">
        <v>3163</v>
      </c>
      <c r="J5699" s="418"/>
      <c r="K5699" s="248"/>
      <c r="M5699" s="366"/>
    </row>
    <row r="5700" spans="1:13" x14ac:dyDescent="0.25">
      <c r="A5700" s="308">
        <v>45933</v>
      </c>
      <c r="B5700" s="416">
        <v>2004484</v>
      </c>
      <c r="C5700" s="638" t="str">
        <f>IFERROR(INDEX(Table14[],MATCH($B5700,Table14[SAPNo],0),3),"")</f>
        <v>1308 CT187 U-60</v>
      </c>
      <c r="D5700" s="420" t="s">
        <v>12</v>
      </c>
      <c r="E5700" s="421">
        <v>15</v>
      </c>
      <c r="F5700" s="580"/>
      <c r="G5700" s="417" t="s">
        <v>3260</v>
      </c>
      <c r="H5700" s="598">
        <v>14442324</v>
      </c>
      <c r="I5700" s="322" t="s">
        <v>3163</v>
      </c>
      <c r="J5700" s="418"/>
      <c r="K5700" s="248"/>
      <c r="M5700" s="366"/>
    </row>
    <row r="5701" spans="1:13" x14ac:dyDescent="0.25">
      <c r="A5701" s="308">
        <v>45933</v>
      </c>
      <c r="B5701" s="416">
        <v>1228503</v>
      </c>
      <c r="C5701" s="638" t="str">
        <f>IFERROR(INDEX(Table14[],MATCH($B5701,Table14[SAPNo],0),3),"")</f>
        <v>1618 CT182 U-60 Ring</v>
      </c>
      <c r="D5701" s="420" t="s">
        <v>12</v>
      </c>
      <c r="E5701" s="421">
        <v>10</v>
      </c>
      <c r="F5701" s="580"/>
      <c r="G5701" s="417" t="s">
        <v>3260</v>
      </c>
      <c r="H5701" s="598">
        <v>14442324</v>
      </c>
      <c r="I5701" s="322" t="s">
        <v>3163</v>
      </c>
      <c r="J5701" s="418"/>
      <c r="K5701" s="248"/>
      <c r="M5701" s="366"/>
    </row>
    <row r="5702" spans="1:13" x14ac:dyDescent="0.25">
      <c r="A5702" s="308">
        <v>45933</v>
      </c>
      <c r="B5702" s="416">
        <v>2002186</v>
      </c>
      <c r="C5702" s="638" t="str">
        <f>IFERROR(INDEX(Table14[],MATCH($B5702,Table14[SAPNo],0),3),"")</f>
        <v>1313 CT187 U-60</v>
      </c>
      <c r="D5702" s="420" t="s">
        <v>12</v>
      </c>
      <c r="E5702" s="421">
        <v>15</v>
      </c>
      <c r="F5702" s="580"/>
      <c r="G5702" s="417" t="s">
        <v>3260</v>
      </c>
      <c r="H5702" s="598">
        <v>14442324</v>
      </c>
      <c r="I5702" s="322" t="s">
        <v>3163</v>
      </c>
      <c r="J5702" s="418"/>
      <c r="K5702" s="248"/>
      <c r="M5702" s="366"/>
    </row>
    <row r="5703" spans="1:13" x14ac:dyDescent="0.25">
      <c r="A5703" s="320">
        <v>45933</v>
      </c>
      <c r="B5703" s="419">
        <v>2002299</v>
      </c>
      <c r="C5703" s="638" t="str">
        <f>IFERROR(INDEX(Table14[],MATCH($B5703,Table14[SAPNo],0),3),"")</f>
        <v>1613 CT187 U-60</v>
      </c>
      <c r="D5703" s="420" t="s">
        <v>12</v>
      </c>
      <c r="E5703" s="421">
        <v>4</v>
      </c>
      <c r="F5703" s="580"/>
      <c r="G5703" s="420" t="s">
        <v>3260</v>
      </c>
      <c r="H5703" s="599">
        <v>14442324</v>
      </c>
      <c r="I5703" s="322" t="s">
        <v>3163</v>
      </c>
      <c r="J5703" s="418"/>
      <c r="K5703" s="422"/>
      <c r="M5703" s="366"/>
    </row>
    <row r="5704" spans="1:13" x14ac:dyDescent="0.25">
      <c r="A5704" s="308">
        <v>45935</v>
      </c>
      <c r="B5704" s="416">
        <v>1100749</v>
      </c>
      <c r="C5704" s="638" t="str">
        <f>IFERROR(INDEX(Table14[],MATCH($B5704,Table14[SAPNo],0),3),"")</f>
        <v>1308 CT421 0.018"</v>
      </c>
      <c r="D5704" s="420" t="s">
        <v>12</v>
      </c>
      <c r="E5704" s="421"/>
      <c r="F5704" s="421">
        <v>10</v>
      </c>
      <c r="G5704" s="420" t="s">
        <v>2513</v>
      </c>
      <c r="H5704" s="598" t="s">
        <v>2514</v>
      </c>
      <c r="I5704" s="322" t="s">
        <v>103</v>
      </c>
      <c r="J5704" s="418" t="s">
        <v>1031</v>
      </c>
      <c r="K5704" s="248"/>
      <c r="M5704" s="422"/>
    </row>
    <row r="5705" spans="1:13" x14ac:dyDescent="0.25">
      <c r="A5705" s="308">
        <v>45935</v>
      </c>
      <c r="B5705" s="416">
        <v>1199247</v>
      </c>
      <c r="C5705" s="638" t="str">
        <f>IFERROR(INDEX(Table14[],MATCH($B5705,Table14[SAPNo],0),3),"")</f>
        <v>1010 CT158 10C</v>
      </c>
      <c r="D5705" s="420" t="s">
        <v>12</v>
      </c>
      <c r="E5705" s="421"/>
      <c r="F5705" s="580">
        <v>43</v>
      </c>
      <c r="G5705" s="420" t="s">
        <v>2513</v>
      </c>
      <c r="H5705" s="598" t="s">
        <v>2514</v>
      </c>
      <c r="I5705" s="322" t="s">
        <v>103</v>
      </c>
      <c r="J5705" s="418" t="s">
        <v>1019</v>
      </c>
      <c r="K5705" s="248"/>
      <c r="M5705" s="366"/>
    </row>
    <row r="5706" spans="1:13" x14ac:dyDescent="0.25">
      <c r="A5706" s="308">
        <v>45935</v>
      </c>
      <c r="B5706" s="416">
        <v>1228502</v>
      </c>
      <c r="C5706" s="638" t="str">
        <f>IFERROR(INDEX(Table14[],MATCH($B5706,Table14[SAPNo],0),3),"")</f>
        <v>1618 CT182 U-60 Rotor</v>
      </c>
      <c r="D5706" s="420" t="s">
        <v>12</v>
      </c>
      <c r="E5706" s="421"/>
      <c r="F5706" s="580">
        <v>124</v>
      </c>
      <c r="G5706" s="420" t="s">
        <v>2513</v>
      </c>
      <c r="H5706" s="598" t="s">
        <v>2514</v>
      </c>
      <c r="I5706" s="322" t="s">
        <v>103</v>
      </c>
      <c r="J5706" s="418" t="s">
        <v>1022</v>
      </c>
      <c r="K5706" s="248"/>
      <c r="M5706" s="366"/>
    </row>
    <row r="5707" spans="1:13" x14ac:dyDescent="0.25">
      <c r="A5707" s="320">
        <v>45935</v>
      </c>
      <c r="B5707" s="419">
        <v>1220554</v>
      </c>
      <c r="C5707" s="638" t="str">
        <f>IFERROR(INDEX(Table14[],MATCH($B5707,Table14[SAPNo],0),3),"")</f>
        <v xml:space="preserve">1618 CT182 U-60 Carbide </v>
      </c>
      <c r="D5707" s="420" t="s">
        <v>12</v>
      </c>
      <c r="E5707" s="421"/>
      <c r="F5707" s="580">
        <v>197</v>
      </c>
      <c r="G5707" s="420" t="s">
        <v>2513</v>
      </c>
      <c r="H5707" s="599" t="s">
        <v>2514</v>
      </c>
      <c r="I5707" s="322" t="s">
        <v>103</v>
      </c>
      <c r="J5707" s="418" t="s">
        <v>1022</v>
      </c>
      <c r="K5707" s="422"/>
      <c r="M5707" s="366"/>
    </row>
    <row r="5708" spans="1:13" x14ac:dyDescent="0.25">
      <c r="A5708" s="308">
        <v>45936</v>
      </c>
      <c r="B5708" s="416">
        <v>1100755</v>
      </c>
      <c r="C5708" s="638" t="str">
        <f>IFERROR(INDEX(Table14[],MATCH($B5708,Table14[SAPNo],0),3),"")</f>
        <v>Round 1613 CT421  0.018" (S)</v>
      </c>
      <c r="D5708" s="420" t="s">
        <v>1072</v>
      </c>
      <c r="E5708" s="421"/>
      <c r="F5708" s="421">
        <v>30</v>
      </c>
      <c r="G5708" s="417" t="s">
        <v>3261</v>
      </c>
      <c r="H5708" s="598">
        <v>14196041</v>
      </c>
      <c r="I5708" s="322" t="s">
        <v>3101</v>
      </c>
      <c r="J5708" s="418"/>
      <c r="K5708" s="248" t="s">
        <v>3151</v>
      </c>
      <c r="M5708" s="422"/>
    </row>
    <row r="5709" spans="1:13" x14ac:dyDescent="0.25">
      <c r="A5709" s="308">
        <v>45936</v>
      </c>
      <c r="B5709" s="416">
        <v>1146737</v>
      </c>
      <c r="C5709" s="638" t="str">
        <f>IFERROR(INDEX(Table14[],MATCH($B5709,Table14[SAPNo],0),3),"")</f>
        <v>1613 CT418 18-60</v>
      </c>
      <c r="D5709" s="420" t="s">
        <v>12</v>
      </c>
      <c r="E5709" s="421"/>
      <c r="F5709" s="580">
        <v>26</v>
      </c>
      <c r="G5709" s="417" t="s">
        <v>3062</v>
      </c>
      <c r="H5709" s="598">
        <v>14110979</v>
      </c>
      <c r="I5709" s="322" t="s">
        <v>1398</v>
      </c>
      <c r="J5709" s="418"/>
      <c r="K5709" s="248" t="s">
        <v>3151</v>
      </c>
      <c r="M5709" s="366"/>
    </row>
    <row r="5710" spans="1:13" x14ac:dyDescent="0.25">
      <c r="A5710" s="308">
        <v>45936</v>
      </c>
      <c r="B5710" s="416">
        <v>1271790</v>
      </c>
      <c r="C5710" s="638" t="str">
        <f>IFERROR(INDEX(Table14[],MATCH($B5710,Table14[SAPNo],0),3),"")</f>
        <v xml:space="preserve">1613 CT170 18-60 </v>
      </c>
      <c r="D5710" s="420" t="s">
        <v>12</v>
      </c>
      <c r="E5710" s="421"/>
      <c r="F5710" s="580">
        <v>25</v>
      </c>
      <c r="G5710" s="417" t="s">
        <v>3062</v>
      </c>
      <c r="H5710" s="598">
        <v>14110979</v>
      </c>
      <c r="I5710" s="322" t="s">
        <v>1398</v>
      </c>
      <c r="J5710" s="418"/>
      <c r="K5710" s="248" t="s">
        <v>3151</v>
      </c>
      <c r="M5710" s="366"/>
    </row>
    <row r="5711" spans="1:13" x14ac:dyDescent="0.25">
      <c r="A5711" s="308">
        <v>45936</v>
      </c>
      <c r="B5711" s="416">
        <v>1271790</v>
      </c>
      <c r="C5711" s="638" t="str">
        <f>IFERROR(INDEX(Table14[],MATCH($B5711,Table14[SAPNo],0),3),"")</f>
        <v xml:space="preserve">1613 CT170 18-60 </v>
      </c>
      <c r="D5711" s="420" t="s">
        <v>1072</v>
      </c>
      <c r="E5711" s="421"/>
      <c r="F5711" s="580">
        <v>32</v>
      </c>
      <c r="G5711" s="417" t="s">
        <v>3166</v>
      </c>
      <c r="H5711" s="598">
        <v>14159991</v>
      </c>
      <c r="I5711" s="322" t="s">
        <v>3167</v>
      </c>
      <c r="J5711" s="418"/>
      <c r="K5711" s="248" t="s">
        <v>3151</v>
      </c>
      <c r="M5711" s="366"/>
    </row>
    <row r="5712" spans="1:13" x14ac:dyDescent="0.25">
      <c r="A5712" s="320">
        <v>45936</v>
      </c>
      <c r="B5712" s="419">
        <v>647436</v>
      </c>
      <c r="C5712" s="638" t="str">
        <f>IFERROR(INDEX(Table14[],MATCH($B5712,Table14[SAPNo],0),3),"")</f>
        <v>Round 1613 CT200  0.018" (B)</v>
      </c>
      <c r="D5712" s="420" t="s">
        <v>12</v>
      </c>
      <c r="E5712" s="421"/>
      <c r="F5712" s="580">
        <v>19</v>
      </c>
      <c r="G5712" s="420" t="s">
        <v>3062</v>
      </c>
      <c r="H5712" s="599">
        <v>14110979</v>
      </c>
      <c r="I5712" s="322" t="s">
        <v>1398</v>
      </c>
      <c r="J5712" s="421"/>
      <c r="K5712" s="422" t="s">
        <v>3151</v>
      </c>
      <c r="M5712" s="366"/>
    </row>
    <row r="5713" spans="1:13" x14ac:dyDescent="0.25">
      <c r="A5713" s="308">
        <v>45936</v>
      </c>
      <c r="B5713" s="416">
        <v>1100696</v>
      </c>
      <c r="C5713" s="638" t="str">
        <f>IFERROR(INDEX(Table14[],MATCH($B5713,Table14[SAPNo],0),3),"")</f>
        <v>Round 1313 CT418  10C (S)</v>
      </c>
      <c r="D5713" s="420" t="s">
        <v>11</v>
      </c>
      <c r="E5713" s="421"/>
      <c r="F5713" s="421">
        <v>1</v>
      </c>
      <c r="G5713" s="417">
        <v>20251079</v>
      </c>
      <c r="H5713" s="598" t="s">
        <v>3262</v>
      </c>
      <c r="I5713" s="322" t="s">
        <v>2441</v>
      </c>
      <c r="J5713" s="418"/>
      <c r="K5713" s="248" t="s">
        <v>3263</v>
      </c>
      <c r="M5713" s="422"/>
    </row>
    <row r="5714" spans="1:13" x14ac:dyDescent="0.25">
      <c r="A5714" s="308">
        <v>45936</v>
      </c>
      <c r="B5714" s="416">
        <v>1100696</v>
      </c>
      <c r="C5714" s="638" t="str">
        <f>IFERROR(INDEX(Table14[],MATCH($B5714,Table14[SAPNo],0),3),"")</f>
        <v>Round 1313 CT418  10C (S)</v>
      </c>
      <c r="D5714" s="420" t="s">
        <v>11</v>
      </c>
      <c r="E5714" s="421"/>
      <c r="F5714" s="580">
        <v>1</v>
      </c>
      <c r="G5714" s="417">
        <v>20251100</v>
      </c>
      <c r="H5714" s="598" t="s">
        <v>3264</v>
      </c>
      <c r="I5714" s="322" t="s">
        <v>2648</v>
      </c>
      <c r="J5714" s="418"/>
      <c r="K5714" s="248" t="s">
        <v>3263</v>
      </c>
      <c r="M5714" s="366"/>
    </row>
    <row r="5715" spans="1:13" x14ac:dyDescent="0.25">
      <c r="A5715" s="308">
        <v>45936</v>
      </c>
      <c r="B5715" s="416">
        <v>1146346</v>
      </c>
      <c r="C5715" s="638" t="str">
        <f>IFERROR(INDEX(Table14[],MATCH($B5715,Table14[SAPNo],0),3),"")</f>
        <v>1313 CT418 18-60</v>
      </c>
      <c r="D5715" s="420" t="s">
        <v>11</v>
      </c>
      <c r="E5715" s="421"/>
      <c r="F5715" s="580">
        <v>11</v>
      </c>
      <c r="G5715" s="417">
        <v>20251100</v>
      </c>
      <c r="H5715" s="598" t="s">
        <v>3264</v>
      </c>
      <c r="I5715" s="322" t="s">
        <v>2648</v>
      </c>
      <c r="J5715" s="418"/>
      <c r="K5715" s="248" t="s">
        <v>3263</v>
      </c>
      <c r="M5715" s="366"/>
    </row>
    <row r="5716" spans="1:13" x14ac:dyDescent="0.25">
      <c r="A5716" s="320">
        <v>45936</v>
      </c>
      <c r="B5716" s="419">
        <v>1244299</v>
      </c>
      <c r="C5716" s="638" t="str">
        <f>IFERROR(INDEX(Table14[],MATCH($B5716,Table14[SAPNo],0),3),"")</f>
        <v>1313 CT147CV4 U</v>
      </c>
      <c r="D5716" s="420" t="s">
        <v>11</v>
      </c>
      <c r="E5716" s="421"/>
      <c r="F5716" s="580">
        <v>1</v>
      </c>
      <c r="G5716" s="420">
        <v>20251079</v>
      </c>
      <c r="H5716" s="599" t="s">
        <v>3262</v>
      </c>
      <c r="I5716" s="322" t="s">
        <v>2441</v>
      </c>
      <c r="J5716" s="421"/>
      <c r="K5716" s="248" t="s">
        <v>3263</v>
      </c>
      <c r="M5716" s="366"/>
    </row>
    <row r="5717" spans="1:13" x14ac:dyDescent="0.25">
      <c r="A5717" s="320">
        <v>45932</v>
      </c>
      <c r="B5717" s="419">
        <v>1078377</v>
      </c>
      <c r="C5717" s="638" t="str">
        <f>IFERROR(INDEX(Table14[],MATCH($B5717,Table14[SAPNo],0),3),"")</f>
        <v>13MM CT221 R1</v>
      </c>
      <c r="D5717" s="420" t="s">
        <v>10</v>
      </c>
      <c r="E5717" s="421">
        <v>2</v>
      </c>
      <c r="F5717" s="421"/>
      <c r="G5717" s="420" t="s">
        <v>3255</v>
      </c>
      <c r="H5717" s="599" t="s">
        <v>3256</v>
      </c>
      <c r="I5717" s="322" t="s">
        <v>2907</v>
      </c>
      <c r="J5717" s="421"/>
      <c r="K5717" s="422" t="s">
        <v>3252</v>
      </c>
      <c r="M5717" s="422"/>
    </row>
    <row r="5718" spans="1:13" x14ac:dyDescent="0.25">
      <c r="A5718" s="320">
        <v>45938</v>
      </c>
      <c r="B5718" s="419">
        <v>1100753</v>
      </c>
      <c r="C5718" s="638" t="str">
        <f>IFERROR(INDEX(Table14[],MATCH($B5718,Table14[SAPNo],0),3),"")</f>
        <v>1608 18C CT421</v>
      </c>
      <c r="D5718" s="420" t="s">
        <v>12</v>
      </c>
      <c r="E5718" s="421"/>
      <c r="F5718" s="421">
        <v>8</v>
      </c>
      <c r="G5718" s="420" t="s">
        <v>2513</v>
      </c>
      <c r="H5718" s="599" t="s">
        <v>2514</v>
      </c>
      <c r="I5718" s="322" t="s">
        <v>103</v>
      </c>
      <c r="J5718" s="418" t="s">
        <v>1022</v>
      </c>
      <c r="K5718" s="422"/>
      <c r="M5718" s="422"/>
    </row>
    <row r="5719" spans="1:13" x14ac:dyDescent="0.25">
      <c r="A5719" s="320">
        <v>45938</v>
      </c>
      <c r="B5719" s="419">
        <v>717748</v>
      </c>
      <c r="C5719" s="638" t="str">
        <f>IFERROR(INDEX(Table14[],MATCH($B5719,Table14[SAPNo],0),3),"")</f>
        <v>Round 1010 CT200  0.018" (B)</v>
      </c>
      <c r="D5719" s="420" t="s">
        <v>12</v>
      </c>
      <c r="E5719" s="421">
        <v>5</v>
      </c>
      <c r="F5719" s="421"/>
      <c r="G5719" s="420" t="s">
        <v>3266</v>
      </c>
      <c r="H5719" s="599" t="s">
        <v>3267</v>
      </c>
      <c r="I5719" s="322" t="s">
        <v>2362</v>
      </c>
      <c r="J5719" s="421"/>
      <c r="K5719" s="422"/>
      <c r="M5719" s="422"/>
    </row>
    <row r="5720" spans="1:13" x14ac:dyDescent="0.25">
      <c r="A5720" s="320">
        <v>45932</v>
      </c>
      <c r="B5720" s="419">
        <v>418525</v>
      </c>
      <c r="C5720" s="638" t="str">
        <f>IFERROR(INDEX(Table14[],MATCH($B5720,Table14[SAPNo],0),3),"")</f>
        <v>Drop In 1308 CT31   (B)</v>
      </c>
      <c r="D5720" s="420" t="s">
        <v>12</v>
      </c>
      <c r="E5720" s="421">
        <v>5</v>
      </c>
      <c r="F5720" s="421"/>
      <c r="G5720" s="420" t="s">
        <v>3255</v>
      </c>
      <c r="H5720" s="599" t="s">
        <v>3256</v>
      </c>
      <c r="I5720" s="322" t="s">
        <v>2907</v>
      </c>
      <c r="J5720" s="421"/>
      <c r="K5720" s="422"/>
      <c r="M5720" s="422"/>
    </row>
    <row r="5721" spans="1:13" x14ac:dyDescent="0.25">
      <c r="A5721" s="308">
        <v>45938</v>
      </c>
      <c r="B5721" s="416">
        <v>1126402</v>
      </c>
      <c r="C5721" s="638" t="str">
        <f>IFERROR(INDEX(Table14[],MATCH($B5721,Table14[SAPNo],0),3),"")</f>
        <v>1613 CT421 16-60</v>
      </c>
      <c r="D5721" s="420" t="s">
        <v>12</v>
      </c>
      <c r="E5721" s="421"/>
      <c r="F5721" s="421">
        <v>295</v>
      </c>
      <c r="G5721" s="417" t="s">
        <v>2513</v>
      </c>
      <c r="H5721" s="598" t="s">
        <v>2514</v>
      </c>
      <c r="I5721" s="322" t="s">
        <v>103</v>
      </c>
      <c r="J5721" s="418" t="s">
        <v>1031</v>
      </c>
      <c r="K5721" s="248"/>
      <c r="M5721" s="422"/>
    </row>
    <row r="5722" spans="1:13" x14ac:dyDescent="0.25">
      <c r="A5722" s="308">
        <v>45938</v>
      </c>
      <c r="B5722" s="416">
        <v>1172481</v>
      </c>
      <c r="C5722" s="638" t="str">
        <f>IFERROR(INDEX(Table14[],MATCH($B5722,Table14[SAPNo],0),3),"")</f>
        <v>13mm WC-MAT 404 NA</v>
      </c>
      <c r="D5722" s="420" t="s">
        <v>12</v>
      </c>
      <c r="E5722" s="421"/>
      <c r="F5722" s="580">
        <v>8</v>
      </c>
      <c r="G5722" s="417" t="s">
        <v>2513</v>
      </c>
      <c r="H5722" s="598" t="s">
        <v>2514</v>
      </c>
      <c r="I5722" s="322" t="s">
        <v>103</v>
      </c>
      <c r="J5722" s="418" t="s">
        <v>1031</v>
      </c>
      <c r="K5722" s="248"/>
      <c r="M5722" s="366"/>
    </row>
    <row r="5723" spans="1:13" x14ac:dyDescent="0.25">
      <c r="A5723" s="308">
        <v>45938</v>
      </c>
      <c r="B5723" s="416">
        <v>2001155</v>
      </c>
      <c r="C5723" s="638" t="str">
        <f>IFERROR(INDEX(Table14[],MATCH($B5723,Table14[SAPNo],0),3),"")</f>
        <v>1313 CT179T U-60</v>
      </c>
      <c r="D5723" s="420" t="s">
        <v>12</v>
      </c>
      <c r="E5723" s="421"/>
      <c r="F5723" s="580">
        <v>60</v>
      </c>
      <c r="G5723" s="417" t="s">
        <v>2513</v>
      </c>
      <c r="H5723" s="598" t="s">
        <v>2514</v>
      </c>
      <c r="I5723" s="322" t="s">
        <v>103</v>
      </c>
      <c r="J5723" s="418" t="s">
        <v>1031</v>
      </c>
      <c r="K5723" s="248"/>
      <c r="M5723" s="366"/>
    </row>
    <row r="5724" spans="1:13" x14ac:dyDescent="0.25">
      <c r="A5724" s="320">
        <v>45938</v>
      </c>
      <c r="B5724" s="419">
        <v>2022731</v>
      </c>
      <c r="C5724" s="638" t="str">
        <f>IFERROR(INDEX(Table14[],MATCH($B5724,Table14[SAPNo],0),3),"")</f>
        <v>1613 CT179R U-60</v>
      </c>
      <c r="D5724" s="420" t="s">
        <v>12</v>
      </c>
      <c r="E5724" s="421"/>
      <c r="F5724" s="580">
        <v>62</v>
      </c>
      <c r="G5724" s="417" t="s">
        <v>2513</v>
      </c>
      <c r="H5724" s="599" t="s">
        <v>2514</v>
      </c>
      <c r="I5724" s="322" t="s">
        <v>103</v>
      </c>
      <c r="J5724" s="421" t="s">
        <v>1031</v>
      </c>
      <c r="K5724" s="422"/>
      <c r="M5724" s="366"/>
    </row>
    <row r="5725" spans="1:13" x14ac:dyDescent="0.25">
      <c r="A5725" s="308">
        <v>45940</v>
      </c>
      <c r="B5725" s="416">
        <v>1145493</v>
      </c>
      <c r="C5725" s="638" t="str">
        <f>IFERROR(INDEX(Table14[],MATCH($B5725,Table14[SAPNo],0),3),"")</f>
        <v>Round 1313 CT427  10C (S)</v>
      </c>
      <c r="D5725" s="420" t="s">
        <v>11</v>
      </c>
      <c r="E5725" s="421">
        <v>1</v>
      </c>
      <c r="F5725" s="421"/>
      <c r="G5725" s="417">
        <v>20251141</v>
      </c>
      <c r="H5725" s="598" t="s">
        <v>3268</v>
      </c>
      <c r="I5725" s="322" t="s">
        <v>1781</v>
      </c>
      <c r="J5725" s="418"/>
      <c r="K5725" s="248"/>
      <c r="M5725" s="422"/>
    </row>
    <row r="5726" spans="1:13" x14ac:dyDescent="0.25">
      <c r="A5726" s="320">
        <v>45940</v>
      </c>
      <c r="B5726" s="419">
        <v>418525</v>
      </c>
      <c r="C5726" s="638" t="str">
        <f>IFERROR(INDEX(Table14[],MATCH($B5726,Table14[SAPNo],0),3),"")</f>
        <v>Drop In 1308 CT31   (B)</v>
      </c>
      <c r="D5726" s="420" t="s">
        <v>12</v>
      </c>
      <c r="E5726" s="421">
        <v>3</v>
      </c>
      <c r="F5726" s="580"/>
      <c r="G5726" s="420">
        <v>20251141</v>
      </c>
      <c r="H5726" s="599" t="s">
        <v>3268</v>
      </c>
      <c r="I5726" s="322" t="s">
        <v>1781</v>
      </c>
      <c r="J5726" s="421"/>
      <c r="K5726" s="422"/>
      <c r="M5726" s="366"/>
    </row>
    <row r="5727" spans="1:13" x14ac:dyDescent="0.25">
      <c r="A5727" s="320">
        <v>45940</v>
      </c>
      <c r="B5727" s="419">
        <v>1145493</v>
      </c>
      <c r="C5727" s="638" t="str">
        <f>IFERROR(INDEX(Table14[],MATCH($B5727,Table14[SAPNo],0),3),"")</f>
        <v>Round 1313 CT427  10C (S)</v>
      </c>
      <c r="D5727" s="420" t="s">
        <v>11</v>
      </c>
      <c r="E5727" s="421">
        <v>3</v>
      </c>
      <c r="F5727" s="421"/>
      <c r="G5727" s="420">
        <v>20241143</v>
      </c>
      <c r="H5727" s="599" t="s">
        <v>1870</v>
      </c>
      <c r="I5727" s="322" t="s">
        <v>1268</v>
      </c>
      <c r="J5727" s="421"/>
      <c r="K5727" s="422"/>
      <c r="M5727" s="422"/>
    </row>
    <row r="5728" spans="1:13" x14ac:dyDescent="0.25">
      <c r="A5728" s="320">
        <v>45940</v>
      </c>
      <c r="B5728" s="419">
        <v>1244299</v>
      </c>
      <c r="C5728" s="638" t="str">
        <f>IFERROR(INDEX(Table14[],MATCH($B5728,Table14[SAPNo],0),3),"")</f>
        <v>1313 CT147CV4 U</v>
      </c>
      <c r="D5728" s="420" t="s">
        <v>11</v>
      </c>
      <c r="E5728" s="421">
        <v>1</v>
      </c>
      <c r="F5728" s="421"/>
      <c r="G5728" s="420">
        <v>20241143</v>
      </c>
      <c r="H5728" s="599" t="s">
        <v>1870</v>
      </c>
      <c r="I5728" s="322" t="s">
        <v>1268</v>
      </c>
      <c r="J5728" s="421"/>
      <c r="K5728" s="422"/>
      <c r="M5728" s="422"/>
    </row>
    <row r="5729" spans="1:13" x14ac:dyDescent="0.25">
      <c r="A5729" s="308">
        <v>45940</v>
      </c>
      <c r="B5729" s="416">
        <v>1146737</v>
      </c>
      <c r="C5729" s="638" t="str">
        <f>IFERROR(INDEX(Table14[],MATCH($B5729,Table14[SAPNo],0),3),"")</f>
        <v>1613 CT418 18-60</v>
      </c>
      <c r="D5729" s="420" t="s">
        <v>12</v>
      </c>
      <c r="E5729" s="421">
        <v>10</v>
      </c>
      <c r="F5729" s="421"/>
      <c r="G5729" s="417" t="s">
        <v>3269</v>
      </c>
      <c r="H5729" s="598">
        <v>14446145</v>
      </c>
      <c r="I5729" s="322" t="s">
        <v>1358</v>
      </c>
      <c r="J5729" s="418"/>
      <c r="K5729" s="248"/>
      <c r="M5729" s="422"/>
    </row>
    <row r="5730" spans="1:13" x14ac:dyDescent="0.25">
      <c r="A5730" s="308">
        <v>45940</v>
      </c>
      <c r="B5730" s="416">
        <v>871781</v>
      </c>
      <c r="C5730" s="638" t="str">
        <f>IFERROR(INDEX(Table14[],MATCH($B5730,Table14[SAPNo],0),3),"")</f>
        <v>Round 1313 CT200  0.018" (B)</v>
      </c>
      <c r="D5730" s="420" t="s">
        <v>12</v>
      </c>
      <c r="E5730" s="421">
        <v>5</v>
      </c>
      <c r="F5730" s="580"/>
      <c r="G5730" s="417" t="s">
        <v>3269</v>
      </c>
      <c r="H5730" s="598">
        <v>14446145</v>
      </c>
      <c r="I5730" s="322" t="s">
        <v>1358</v>
      </c>
      <c r="J5730" s="418"/>
      <c r="K5730" s="248"/>
      <c r="M5730" s="366"/>
    </row>
    <row r="5731" spans="1:13" x14ac:dyDescent="0.25">
      <c r="A5731" s="308">
        <v>45940</v>
      </c>
      <c r="B5731" s="416">
        <v>1288783</v>
      </c>
      <c r="C5731" s="638" t="str">
        <f>IFERROR(INDEX(Table14[],MATCH($B5731,Table14[SAPNo],0),3),"")</f>
        <v>1613 CT179 18-60</v>
      </c>
      <c r="D5731" s="420" t="s">
        <v>12</v>
      </c>
      <c r="E5731" s="421">
        <v>30</v>
      </c>
      <c r="F5731" s="580"/>
      <c r="G5731" s="417" t="s">
        <v>3269</v>
      </c>
      <c r="H5731" s="598">
        <v>14446145</v>
      </c>
      <c r="I5731" s="322" t="s">
        <v>1358</v>
      </c>
      <c r="J5731" s="418"/>
      <c r="K5731" s="248"/>
      <c r="M5731" s="366"/>
    </row>
    <row r="5732" spans="1:13" x14ac:dyDescent="0.25">
      <c r="A5732" s="308">
        <v>45940</v>
      </c>
      <c r="B5732" s="416">
        <v>1282370</v>
      </c>
      <c r="C5732" s="638" t="str">
        <f>IFERROR(INDEX(Table14[],MATCH($B5732,Table14[SAPNo],0),3),"")</f>
        <v>1613 CT436Mv3 U-60</v>
      </c>
      <c r="D5732" s="420" t="s">
        <v>12</v>
      </c>
      <c r="E5732" s="421">
        <v>10</v>
      </c>
      <c r="F5732" s="580"/>
      <c r="G5732" s="417" t="s">
        <v>3269</v>
      </c>
      <c r="H5732" s="598">
        <v>14446145</v>
      </c>
      <c r="I5732" s="322" t="s">
        <v>1358</v>
      </c>
      <c r="J5732" s="418"/>
      <c r="K5732" s="248"/>
      <c r="M5732" s="366"/>
    </row>
    <row r="5733" spans="1:13" x14ac:dyDescent="0.25">
      <c r="A5733" s="308">
        <v>45940</v>
      </c>
      <c r="B5733" s="419">
        <v>703670</v>
      </c>
      <c r="C5733" s="638" t="str">
        <f>IFERROR(INDEX(Table14[],MATCH($B5733,Table14[SAPNo],0),3),"")</f>
        <v>Round 1313 CT200  10C (B)</v>
      </c>
      <c r="D5733" s="420" t="s">
        <v>12</v>
      </c>
      <c r="E5733" s="421">
        <v>22</v>
      </c>
      <c r="F5733" s="580"/>
      <c r="G5733" s="420" t="s">
        <v>3269</v>
      </c>
      <c r="H5733" s="599">
        <v>14446145</v>
      </c>
      <c r="I5733" s="322" t="s">
        <v>1358</v>
      </c>
      <c r="J5733" s="421"/>
      <c r="K5733" s="422"/>
      <c r="M5733" s="366"/>
    </row>
    <row r="5734" spans="1:13" x14ac:dyDescent="0.25">
      <c r="A5734" s="308">
        <v>45940</v>
      </c>
      <c r="B5734" s="416">
        <v>1146737</v>
      </c>
      <c r="C5734" s="638" t="str">
        <f>IFERROR(INDEX(Table14[],MATCH($B5734,Table14[SAPNo],0),3),"")</f>
        <v>1613 CT418 18-60</v>
      </c>
      <c r="D5734" s="420" t="s">
        <v>12</v>
      </c>
      <c r="E5734" s="421">
        <v>10</v>
      </c>
      <c r="F5734" s="421"/>
      <c r="G5734" s="420" t="s">
        <v>3270</v>
      </c>
      <c r="H5734" s="598">
        <v>14451065</v>
      </c>
      <c r="I5734" s="322" t="s">
        <v>1302</v>
      </c>
      <c r="J5734" s="418"/>
      <c r="K5734" s="248"/>
      <c r="M5734" s="422"/>
    </row>
    <row r="5735" spans="1:13" x14ac:dyDescent="0.25">
      <c r="A5735" s="308">
        <v>45940</v>
      </c>
      <c r="B5735" s="416">
        <v>871781</v>
      </c>
      <c r="C5735" s="638" t="str">
        <f>IFERROR(INDEX(Table14[],MATCH($B5735,Table14[SAPNo],0),3),"")</f>
        <v>Round 1313 CT200  0.018" (B)</v>
      </c>
      <c r="D5735" s="420" t="s">
        <v>12</v>
      </c>
      <c r="E5735" s="421">
        <v>5</v>
      </c>
      <c r="F5735" s="580"/>
      <c r="G5735" s="417" t="s">
        <v>3270</v>
      </c>
      <c r="H5735" s="598">
        <v>14451065</v>
      </c>
      <c r="I5735" s="322" t="s">
        <v>1302</v>
      </c>
      <c r="J5735" s="418"/>
      <c r="K5735" s="248"/>
      <c r="M5735" s="366"/>
    </row>
    <row r="5736" spans="1:13" x14ac:dyDescent="0.25">
      <c r="A5736" s="308">
        <v>45940</v>
      </c>
      <c r="B5736" s="416">
        <v>1288783</v>
      </c>
      <c r="C5736" s="638" t="str">
        <f>IFERROR(INDEX(Table14[],MATCH($B5736,Table14[SAPNo],0),3),"")</f>
        <v>1613 CT179 18-60</v>
      </c>
      <c r="D5736" s="420" t="s">
        <v>12</v>
      </c>
      <c r="E5736" s="421">
        <v>30</v>
      </c>
      <c r="F5736" s="580"/>
      <c r="G5736" s="417" t="s">
        <v>3270</v>
      </c>
      <c r="H5736" s="598">
        <v>14451065</v>
      </c>
      <c r="I5736" s="322" t="s">
        <v>1302</v>
      </c>
      <c r="J5736" s="418"/>
      <c r="K5736" s="248"/>
      <c r="M5736" s="366"/>
    </row>
    <row r="5737" spans="1:13" x14ac:dyDescent="0.25">
      <c r="A5737" s="308">
        <v>45940</v>
      </c>
      <c r="B5737" s="416">
        <v>1282370</v>
      </c>
      <c r="C5737" s="638" t="str">
        <f>IFERROR(INDEX(Table14[],MATCH($B5737,Table14[SAPNo],0),3),"")</f>
        <v>1613 CT436Mv3 U-60</v>
      </c>
      <c r="D5737" s="420" t="s">
        <v>12</v>
      </c>
      <c r="E5737" s="421">
        <v>10</v>
      </c>
      <c r="F5737" s="580"/>
      <c r="G5737" s="417" t="s">
        <v>3270</v>
      </c>
      <c r="H5737" s="598">
        <v>14451065</v>
      </c>
      <c r="I5737" s="322" t="s">
        <v>1302</v>
      </c>
      <c r="J5737" s="418"/>
      <c r="K5737" s="248"/>
      <c r="M5737" s="366"/>
    </row>
    <row r="5738" spans="1:13" x14ac:dyDescent="0.25">
      <c r="A5738" s="320">
        <v>45940</v>
      </c>
      <c r="B5738" s="419">
        <v>703670</v>
      </c>
      <c r="C5738" s="638" t="str">
        <f>IFERROR(INDEX(Table14[],MATCH($B5738,Table14[SAPNo],0),3),"")</f>
        <v>Round 1313 CT200  10C (B)</v>
      </c>
      <c r="D5738" s="420" t="s">
        <v>12</v>
      </c>
      <c r="E5738" s="421">
        <v>22</v>
      </c>
      <c r="F5738" s="580"/>
      <c r="G5738" s="420" t="s">
        <v>3270</v>
      </c>
      <c r="H5738" s="599">
        <v>14451065</v>
      </c>
      <c r="I5738" s="322" t="s">
        <v>1302</v>
      </c>
      <c r="J5738" s="421"/>
      <c r="K5738" s="422"/>
      <c r="M5738" s="366"/>
    </row>
    <row r="5739" spans="1:13" x14ac:dyDescent="0.25">
      <c r="A5739" s="320">
        <v>45941</v>
      </c>
      <c r="B5739" s="419">
        <v>1146346</v>
      </c>
      <c r="C5739" s="638" t="str">
        <f>IFERROR(INDEX(Table14[],MATCH($B5739,Table14[SAPNo],0),3),"")</f>
        <v>1313 CT418 18-60</v>
      </c>
      <c r="D5739" s="420" t="s">
        <v>11</v>
      </c>
      <c r="E5739" s="421">
        <v>2</v>
      </c>
      <c r="F5739" s="421"/>
      <c r="G5739" s="420">
        <v>20251140</v>
      </c>
      <c r="H5739" s="599" t="s">
        <v>3271</v>
      </c>
      <c r="I5739" s="322" t="s">
        <v>2590</v>
      </c>
      <c r="J5739" s="421"/>
      <c r="K5739" s="422"/>
      <c r="M5739" s="422"/>
    </row>
    <row r="5740" spans="1:13" x14ac:dyDescent="0.25">
      <c r="A5740" s="320">
        <v>45941</v>
      </c>
      <c r="B5740" s="419">
        <v>1100696</v>
      </c>
      <c r="C5740" s="638" t="str">
        <f>IFERROR(INDEX(Table14[],MATCH($B5740,Table14[SAPNo],0),3),"")</f>
        <v>Round 1313 CT418  10C (S)</v>
      </c>
      <c r="D5740" s="420" t="s">
        <v>11</v>
      </c>
      <c r="E5740" s="421">
        <v>2</v>
      </c>
      <c r="F5740" s="421"/>
      <c r="G5740" s="420">
        <v>20251137</v>
      </c>
      <c r="H5740" s="599">
        <v>14304771</v>
      </c>
      <c r="I5740" s="322" t="s">
        <v>3272</v>
      </c>
      <c r="J5740" s="421"/>
      <c r="K5740" s="422"/>
      <c r="M5740" s="422"/>
    </row>
    <row r="5741" spans="1:13" x14ac:dyDescent="0.25">
      <c r="A5741" s="320">
        <v>45941</v>
      </c>
      <c r="B5741" s="419">
        <v>418525</v>
      </c>
      <c r="C5741" s="638" t="str">
        <f>IFERROR(INDEX(Table14[],MATCH($B5741,Table14[SAPNo],0),3),"")</f>
        <v>Drop In 1308 CT31   (B)</v>
      </c>
      <c r="D5741" s="420" t="s">
        <v>12</v>
      </c>
      <c r="E5741" s="421">
        <v>1</v>
      </c>
      <c r="F5741" s="421"/>
      <c r="G5741" s="420">
        <v>20251137</v>
      </c>
      <c r="H5741" s="599">
        <v>14304771</v>
      </c>
      <c r="I5741" s="322" t="s">
        <v>3272</v>
      </c>
      <c r="J5741" s="421"/>
      <c r="K5741" s="422"/>
      <c r="M5741" s="422"/>
    </row>
    <row r="5742" spans="1:13" x14ac:dyDescent="0.25">
      <c r="A5742" s="320">
        <v>45941</v>
      </c>
      <c r="B5742" s="419">
        <v>1146346</v>
      </c>
      <c r="C5742" s="638" t="str">
        <f>IFERROR(INDEX(Table14[],MATCH($B5742,Table14[SAPNo],0),3),"")</f>
        <v>1313 CT418 18-60</v>
      </c>
      <c r="D5742" s="420" t="s">
        <v>11</v>
      </c>
      <c r="E5742" s="421">
        <v>5</v>
      </c>
      <c r="F5742" s="421"/>
      <c r="G5742" s="420">
        <v>20251137</v>
      </c>
      <c r="H5742" s="599">
        <v>14304771</v>
      </c>
      <c r="I5742" s="322" t="s">
        <v>3272</v>
      </c>
      <c r="J5742" s="421"/>
      <c r="K5742" s="422"/>
      <c r="M5742" s="422"/>
    </row>
    <row r="5743" spans="1:13" x14ac:dyDescent="0.25">
      <c r="A5743" s="308">
        <v>45942</v>
      </c>
      <c r="B5743" s="416">
        <v>1271790</v>
      </c>
      <c r="C5743" s="639" t="str">
        <f>IFERROR(INDEX(Table14[],MATCH($B5743,Table14[SAPNo],0),3),"")</f>
        <v xml:space="preserve">1613 CT170 18-60 </v>
      </c>
      <c r="D5743" s="420" t="s">
        <v>10</v>
      </c>
      <c r="E5743" s="421">
        <v>8</v>
      </c>
      <c r="F5743" s="421"/>
      <c r="G5743" s="417" t="s">
        <v>3273</v>
      </c>
      <c r="H5743" s="598" t="s">
        <v>3274</v>
      </c>
      <c r="I5743" s="322" t="s">
        <v>3145</v>
      </c>
      <c r="J5743" s="418"/>
      <c r="K5743" s="248"/>
      <c r="M5743" s="422"/>
    </row>
    <row r="5744" spans="1:13" x14ac:dyDescent="0.25">
      <c r="A5744" s="320">
        <v>45942</v>
      </c>
      <c r="B5744" s="419">
        <v>1146737</v>
      </c>
      <c r="C5744" s="638" t="str">
        <f>IFERROR(INDEX(Table14[],MATCH($B5744,Table14[SAPNo],0),3),"")</f>
        <v>1613 CT418 18-60</v>
      </c>
      <c r="D5744" s="420" t="s">
        <v>10</v>
      </c>
      <c r="E5744" s="421">
        <v>7</v>
      </c>
      <c r="F5744" s="421"/>
      <c r="G5744" s="420" t="s">
        <v>3273</v>
      </c>
      <c r="H5744" s="599" t="s">
        <v>3274</v>
      </c>
      <c r="I5744" s="322" t="s">
        <v>3145</v>
      </c>
      <c r="J5744" s="421"/>
      <c r="K5744" s="422"/>
      <c r="M5744" s="422"/>
    </row>
    <row r="5745" spans="1:13" x14ac:dyDescent="0.25">
      <c r="A5745" s="320">
        <v>45942</v>
      </c>
      <c r="B5745" s="419">
        <v>1209410</v>
      </c>
      <c r="C5745" s="638" t="str">
        <f>IFERROR(INDEX(Table14[],MATCH($B5745,Table14[SAPNo],0),3),"")</f>
        <v>1613 CT430MV3 U TBO</v>
      </c>
      <c r="D5745" s="420" t="s">
        <v>1072</v>
      </c>
      <c r="E5745" s="421">
        <v>1</v>
      </c>
      <c r="F5745" s="421"/>
      <c r="G5745" s="420" t="s">
        <v>3273</v>
      </c>
      <c r="H5745" s="599" t="s">
        <v>3274</v>
      </c>
      <c r="I5745" s="322" t="s">
        <v>3145</v>
      </c>
      <c r="J5745" s="421"/>
      <c r="K5745" s="422"/>
      <c r="M5745" s="422"/>
    </row>
    <row r="5746" spans="1:13" x14ac:dyDescent="0.25">
      <c r="A5746" s="308">
        <v>45952</v>
      </c>
      <c r="B5746" s="416">
        <v>1288783</v>
      </c>
      <c r="C5746" s="638" t="str">
        <f>IFERROR(INDEX(Table14[],MATCH($B5746,Table14[SAPNo],0),3),"")</f>
        <v>1613 CT179 18-60</v>
      </c>
      <c r="D5746" s="420" t="s">
        <v>10</v>
      </c>
      <c r="E5746" s="421">
        <v>1</v>
      </c>
      <c r="F5746" s="421"/>
      <c r="G5746" s="417" t="s">
        <v>3255</v>
      </c>
      <c r="H5746" s="598" t="s">
        <v>3256</v>
      </c>
      <c r="I5746" s="322" t="s">
        <v>2907</v>
      </c>
      <c r="J5746" s="418"/>
      <c r="K5746" s="248" t="s">
        <v>3302</v>
      </c>
      <c r="M5746" s="422"/>
    </row>
    <row r="5747" spans="1:13" x14ac:dyDescent="0.25">
      <c r="A5747" s="308">
        <v>45942</v>
      </c>
      <c r="B5747" s="416">
        <v>1220688</v>
      </c>
      <c r="C5747" s="639" t="str">
        <f>IFERROR(INDEX(Table14[],MATCH($B5747,Table14[SAPNo],0),3),"")</f>
        <v>1005 CT155 U-60</v>
      </c>
      <c r="D5747" s="420" t="s">
        <v>12</v>
      </c>
      <c r="E5747" s="421">
        <v>38</v>
      </c>
      <c r="F5747" s="580"/>
      <c r="G5747" s="417" t="s">
        <v>3277</v>
      </c>
      <c r="H5747" s="598">
        <v>14144613</v>
      </c>
      <c r="I5747" s="322" t="s">
        <v>3278</v>
      </c>
      <c r="J5747" s="418"/>
      <c r="K5747" s="248"/>
      <c r="M5747" s="366"/>
    </row>
    <row r="5748" spans="1:13" x14ac:dyDescent="0.25">
      <c r="A5748" s="308">
        <v>45942</v>
      </c>
      <c r="B5748" s="416">
        <v>1220688</v>
      </c>
      <c r="C5748" s="639" t="str">
        <f>IFERROR(INDEX(Table14[],MATCH($B5748,Table14[SAPNo],0),3),"")</f>
        <v>1005 CT155 U-60</v>
      </c>
      <c r="D5748" s="420" t="s">
        <v>12</v>
      </c>
      <c r="E5748" s="421">
        <v>38</v>
      </c>
      <c r="F5748" s="580"/>
      <c r="G5748" s="417" t="s">
        <v>3277</v>
      </c>
      <c r="H5748" s="598">
        <v>14144613</v>
      </c>
      <c r="I5748" s="322" t="s">
        <v>3278</v>
      </c>
      <c r="J5748" s="418"/>
      <c r="K5748" s="248"/>
      <c r="M5748" s="366"/>
    </row>
    <row r="5749" spans="1:13" x14ac:dyDescent="0.25">
      <c r="A5749" s="308">
        <v>45943</v>
      </c>
      <c r="B5749" s="416">
        <v>1146346</v>
      </c>
      <c r="C5749" s="639" t="str">
        <f>IFERROR(INDEX(Table14[],MATCH($B5749,Table14[SAPNo],0),3),"")</f>
        <v>1313 CT418 18-60</v>
      </c>
      <c r="D5749" s="420" t="s">
        <v>11</v>
      </c>
      <c r="E5749" s="421">
        <v>1</v>
      </c>
      <c r="F5749" s="580"/>
      <c r="G5749" s="417">
        <v>20251137</v>
      </c>
      <c r="H5749" s="598">
        <v>14304771</v>
      </c>
      <c r="I5749" s="322" t="s">
        <v>3272</v>
      </c>
      <c r="J5749" s="418"/>
      <c r="K5749" s="248"/>
      <c r="M5749" s="366"/>
    </row>
    <row r="5750" spans="1:13" x14ac:dyDescent="0.25">
      <c r="A5750" s="308">
        <v>45944</v>
      </c>
      <c r="B5750" s="416">
        <v>1078377</v>
      </c>
      <c r="C5750" s="704" t="str">
        <f>IFERROR(INDEX(Table14[],MATCH($B5750,Table14[SAPNo],0),3),"")</f>
        <v>13MM CT221 R1</v>
      </c>
      <c r="D5750" s="420" t="s">
        <v>12</v>
      </c>
      <c r="E5750" s="421">
        <v>15</v>
      </c>
      <c r="F5750" s="421"/>
      <c r="G5750" s="417" t="s">
        <v>3279</v>
      </c>
      <c r="H5750" s="598">
        <v>14414027</v>
      </c>
      <c r="I5750" s="322" t="s">
        <v>2943</v>
      </c>
      <c r="J5750" s="418"/>
      <c r="K5750" s="248"/>
      <c r="M5750" s="422"/>
    </row>
    <row r="5751" spans="1:13" x14ac:dyDescent="0.25">
      <c r="A5751" s="308">
        <v>45944</v>
      </c>
      <c r="B5751" s="416">
        <v>1208601</v>
      </c>
      <c r="C5751" s="638" t="str">
        <f>IFERROR(INDEX(Table14[],MATCH($B5751,Table14[SAPNo],0),3),"")</f>
        <v>1613 CT418 U-60</v>
      </c>
      <c r="D5751" s="420" t="s">
        <v>12</v>
      </c>
      <c r="E5751" s="421">
        <v>8</v>
      </c>
      <c r="F5751" s="421"/>
      <c r="G5751" s="417" t="s">
        <v>3279</v>
      </c>
      <c r="H5751" s="598">
        <v>14414027</v>
      </c>
      <c r="I5751" s="322" t="s">
        <v>2943</v>
      </c>
      <c r="J5751" s="418"/>
      <c r="K5751" s="248"/>
      <c r="M5751" s="422"/>
    </row>
    <row r="5752" spans="1:13" x14ac:dyDescent="0.25">
      <c r="A5752" s="308">
        <v>45944</v>
      </c>
      <c r="B5752" s="416">
        <v>418525</v>
      </c>
      <c r="C5752" s="638" t="str">
        <f>IFERROR(INDEX(Table14[],MATCH($B5752,Table14[SAPNo],0),3),"")</f>
        <v>Drop In 1308 CT31   (B)</v>
      </c>
      <c r="D5752" s="420" t="s">
        <v>12</v>
      </c>
      <c r="E5752" s="421">
        <v>6</v>
      </c>
      <c r="F5752" s="580"/>
      <c r="G5752" s="417" t="s">
        <v>3279</v>
      </c>
      <c r="H5752" s="598">
        <v>14414027</v>
      </c>
      <c r="I5752" s="322" t="s">
        <v>2943</v>
      </c>
      <c r="J5752" s="418"/>
      <c r="K5752" s="248"/>
      <c r="M5752" s="366"/>
    </row>
    <row r="5753" spans="1:13" x14ac:dyDescent="0.25">
      <c r="A5753" s="308">
        <v>45944</v>
      </c>
      <c r="B5753" s="416">
        <v>1146737</v>
      </c>
      <c r="C5753" s="638" t="str">
        <f>IFERROR(INDEX(Table14[],MATCH($B5753,Table14[SAPNo],0),3),"")</f>
        <v>1613 CT418 18-60</v>
      </c>
      <c r="D5753" s="420" t="s">
        <v>12</v>
      </c>
      <c r="E5753" s="421">
        <v>6</v>
      </c>
      <c r="F5753" s="580"/>
      <c r="G5753" s="417" t="s">
        <v>3279</v>
      </c>
      <c r="H5753" s="598">
        <v>14414027</v>
      </c>
      <c r="I5753" s="322" t="s">
        <v>2943</v>
      </c>
      <c r="J5753" s="418"/>
      <c r="K5753" s="248"/>
      <c r="M5753" s="366"/>
    </row>
    <row r="5754" spans="1:13" x14ac:dyDescent="0.25">
      <c r="A5754" s="308">
        <v>45944</v>
      </c>
      <c r="B5754" s="416">
        <v>1288783</v>
      </c>
      <c r="C5754" s="638" t="str">
        <f>IFERROR(INDEX(Table14[],MATCH($B5754,Table14[SAPNo],0),3),"")</f>
        <v>1613 CT179 18-60</v>
      </c>
      <c r="D5754" s="420" t="s">
        <v>12</v>
      </c>
      <c r="E5754" s="421">
        <v>17</v>
      </c>
      <c r="F5754" s="580"/>
      <c r="G5754" s="417" t="s">
        <v>3279</v>
      </c>
      <c r="H5754" s="598">
        <v>14414027</v>
      </c>
      <c r="I5754" s="322" t="s">
        <v>2943</v>
      </c>
      <c r="J5754" s="418"/>
      <c r="K5754" s="248"/>
      <c r="M5754" s="366"/>
    </row>
    <row r="5755" spans="1:13" x14ac:dyDescent="0.25">
      <c r="A5755" s="308">
        <v>45944</v>
      </c>
      <c r="B5755" s="416">
        <v>1078377</v>
      </c>
      <c r="C5755" s="638" t="str">
        <f>IFERROR(INDEX(Table14[],MATCH($B5755,Table14[SAPNo],0),3),"")</f>
        <v>13MM CT221 R1</v>
      </c>
      <c r="D5755" s="420" t="s">
        <v>12</v>
      </c>
      <c r="E5755" s="421">
        <v>15</v>
      </c>
      <c r="F5755" s="580"/>
      <c r="G5755" s="417" t="s">
        <v>3280</v>
      </c>
      <c r="H5755" s="598">
        <v>14414029</v>
      </c>
      <c r="I5755" s="322" t="s">
        <v>2943</v>
      </c>
      <c r="J5755" s="418"/>
      <c r="K5755" s="248"/>
      <c r="M5755" s="366"/>
    </row>
    <row r="5756" spans="1:13" x14ac:dyDescent="0.25">
      <c r="A5756" s="308">
        <v>45944</v>
      </c>
      <c r="B5756" s="416">
        <v>1208601</v>
      </c>
      <c r="C5756" s="638" t="str">
        <f>IFERROR(INDEX(Table14[],MATCH($B5756,Table14[SAPNo],0),3),"")</f>
        <v>1613 CT418 U-60</v>
      </c>
      <c r="D5756" s="420" t="s">
        <v>12</v>
      </c>
      <c r="E5756" s="421">
        <v>8</v>
      </c>
      <c r="F5756" s="580"/>
      <c r="G5756" s="417" t="s">
        <v>3280</v>
      </c>
      <c r="H5756" s="598">
        <v>14414029</v>
      </c>
      <c r="I5756" s="322" t="s">
        <v>2943</v>
      </c>
      <c r="J5756" s="418"/>
      <c r="K5756" s="248"/>
      <c r="M5756" s="366"/>
    </row>
    <row r="5757" spans="1:13" x14ac:dyDescent="0.25">
      <c r="A5757" s="308">
        <v>45944</v>
      </c>
      <c r="B5757" s="416">
        <v>418525</v>
      </c>
      <c r="C5757" s="638" t="str">
        <f>IFERROR(INDEX(Table14[],MATCH($B5757,Table14[SAPNo],0),3),"")</f>
        <v>Drop In 1308 CT31   (B)</v>
      </c>
      <c r="D5757" s="420" t="s">
        <v>12</v>
      </c>
      <c r="E5757" s="421">
        <v>6</v>
      </c>
      <c r="F5757" s="580"/>
      <c r="G5757" s="417" t="s">
        <v>3280</v>
      </c>
      <c r="H5757" s="598">
        <v>14414029</v>
      </c>
      <c r="I5757" s="322" t="s">
        <v>2943</v>
      </c>
      <c r="J5757" s="418"/>
      <c r="K5757" s="248"/>
      <c r="M5757" s="366"/>
    </row>
    <row r="5758" spans="1:13" x14ac:dyDescent="0.25">
      <c r="A5758" s="308">
        <v>45944</v>
      </c>
      <c r="B5758" s="416">
        <v>1146737</v>
      </c>
      <c r="C5758" s="638" t="str">
        <f>IFERROR(INDEX(Table14[],MATCH($B5758,Table14[SAPNo],0),3),"")</f>
        <v>1613 CT418 18-60</v>
      </c>
      <c r="D5758" s="420" t="s">
        <v>12</v>
      </c>
      <c r="E5758" s="421">
        <v>6</v>
      </c>
      <c r="F5758" s="580"/>
      <c r="G5758" s="417" t="s">
        <v>3280</v>
      </c>
      <c r="H5758" s="598">
        <v>14414029</v>
      </c>
      <c r="I5758" s="322" t="s">
        <v>2943</v>
      </c>
      <c r="J5758" s="418"/>
      <c r="K5758" s="248"/>
      <c r="M5758" s="366"/>
    </row>
    <row r="5759" spans="1:13" x14ac:dyDescent="0.25">
      <c r="A5759" s="308">
        <v>45944</v>
      </c>
      <c r="B5759" s="416">
        <v>1288783</v>
      </c>
      <c r="C5759" s="638" t="str">
        <f>IFERROR(INDEX(Table14[],MATCH($B5759,Table14[SAPNo],0),3),"")</f>
        <v>1613 CT179 18-60</v>
      </c>
      <c r="D5759" s="420" t="s">
        <v>12</v>
      </c>
      <c r="E5759" s="421">
        <v>17</v>
      </c>
      <c r="F5759" s="580"/>
      <c r="G5759" s="417" t="s">
        <v>3280</v>
      </c>
      <c r="H5759" s="598">
        <v>14414029</v>
      </c>
      <c r="I5759" s="322" t="s">
        <v>2943</v>
      </c>
      <c r="J5759" s="418"/>
      <c r="K5759" s="248"/>
      <c r="M5759" s="366"/>
    </row>
    <row r="5760" spans="1:13" x14ac:dyDescent="0.25">
      <c r="A5760" s="320">
        <v>45940</v>
      </c>
      <c r="B5760" s="419">
        <v>1146346</v>
      </c>
      <c r="C5760" s="638" t="str">
        <f>IFERROR(INDEX(Table14[],MATCH($B5760,Table14[SAPNo],0),3),"")</f>
        <v>1313 CT418 18-60</v>
      </c>
      <c r="D5760" s="420" t="s">
        <v>10</v>
      </c>
      <c r="E5760" s="421">
        <v>7</v>
      </c>
      <c r="F5760" s="580"/>
      <c r="G5760" s="420">
        <v>20251144</v>
      </c>
      <c r="H5760" s="599" t="s">
        <v>3281</v>
      </c>
      <c r="I5760" s="322" t="s">
        <v>2648</v>
      </c>
      <c r="J5760" s="421"/>
      <c r="K5760" s="422"/>
      <c r="M5760" s="366"/>
    </row>
    <row r="5761" spans="1:13" x14ac:dyDescent="0.25">
      <c r="A5761" s="308">
        <v>45949</v>
      </c>
      <c r="B5761" s="416">
        <v>1100696</v>
      </c>
      <c r="C5761" s="638" t="str">
        <f>IFERROR(INDEX(Table14[],MATCH($B5761,Table14[SAPNo],0),3),"")</f>
        <v>Round 1313 CT418  10C (S)</v>
      </c>
      <c r="D5761" s="420" t="s">
        <v>11</v>
      </c>
      <c r="E5761" s="421"/>
      <c r="F5761" s="421">
        <v>8</v>
      </c>
      <c r="G5761" s="584"/>
      <c r="H5761" s="598"/>
      <c r="I5761" s="322"/>
      <c r="J5761" s="418"/>
      <c r="K5761" s="248"/>
      <c r="M5761" s="422"/>
    </row>
    <row r="5762" spans="1:13" x14ac:dyDescent="0.25">
      <c r="A5762" s="308">
        <v>45949</v>
      </c>
      <c r="B5762" s="416">
        <v>1272309</v>
      </c>
      <c r="C5762" s="638" t="str">
        <f>IFERROR(INDEX(Table14[],MATCH($B5762,Table14[SAPNo],0),3),"")</f>
        <v>1313 CT170T U</v>
      </c>
      <c r="D5762" s="420" t="s">
        <v>11</v>
      </c>
      <c r="E5762" s="421"/>
      <c r="F5762" s="580">
        <v>5</v>
      </c>
      <c r="G5762" s="584"/>
      <c r="H5762" s="598"/>
      <c r="I5762" s="322"/>
      <c r="J5762" s="418"/>
      <c r="K5762" s="248"/>
      <c r="M5762" s="366"/>
    </row>
    <row r="5763" spans="1:13" x14ac:dyDescent="0.25">
      <c r="A5763" s="308">
        <v>45949</v>
      </c>
      <c r="B5763" s="416">
        <v>1100696</v>
      </c>
      <c r="C5763" s="638" t="str">
        <f>IFERROR(INDEX(Table14[],MATCH($B5763,Table14[SAPNo],0),3),"")</f>
        <v>Round 1313 CT418  10C (S)</v>
      </c>
      <c r="D5763" s="420" t="s">
        <v>11</v>
      </c>
      <c r="E5763" s="421"/>
      <c r="F5763" s="580">
        <v>2</v>
      </c>
      <c r="G5763" s="584"/>
      <c r="H5763" s="598"/>
      <c r="I5763" s="322"/>
      <c r="J5763" s="418"/>
      <c r="K5763" s="248"/>
      <c r="M5763" s="366"/>
    </row>
    <row r="5764" spans="1:13" x14ac:dyDescent="0.25">
      <c r="A5764" s="320">
        <v>45949</v>
      </c>
      <c r="B5764" s="419">
        <v>1266910</v>
      </c>
      <c r="C5764" s="638" t="str">
        <f>IFERROR(INDEX(Table14[],MATCH($B5764,Table14[SAPNo],0),3),"")</f>
        <v/>
      </c>
      <c r="D5764" s="420" t="s">
        <v>11</v>
      </c>
      <c r="E5764" s="421"/>
      <c r="F5764" s="580">
        <v>7</v>
      </c>
      <c r="G5764" s="515"/>
      <c r="H5764" s="599"/>
      <c r="I5764" s="322"/>
      <c r="J5764" s="421"/>
      <c r="K5764" s="422"/>
      <c r="M5764" s="366"/>
    </row>
    <row r="5765" spans="1:13" x14ac:dyDescent="0.25">
      <c r="A5765" s="308">
        <v>45946</v>
      </c>
      <c r="B5765" s="416">
        <v>1230916</v>
      </c>
      <c r="C5765" s="638" t="str">
        <f>IFERROR(INDEX(Table14[],MATCH($B5765,Table14[SAPNo],0),3),"")</f>
        <v>1005 CT158 0.018"</v>
      </c>
      <c r="D5765" s="420" t="s">
        <v>12</v>
      </c>
      <c r="E5765" s="421">
        <v>8</v>
      </c>
      <c r="F5765" s="421"/>
      <c r="G5765" s="417" t="s">
        <v>3282</v>
      </c>
      <c r="H5765" s="598">
        <v>14353133</v>
      </c>
      <c r="I5765" s="322" t="s">
        <v>3283</v>
      </c>
      <c r="J5765" s="418"/>
      <c r="K5765" s="248"/>
      <c r="M5765" s="422"/>
    </row>
    <row r="5766" spans="1:13" x14ac:dyDescent="0.25">
      <c r="A5766" s="308">
        <v>45946</v>
      </c>
      <c r="B5766" s="416">
        <v>1199261</v>
      </c>
      <c r="C5766" s="638" t="str">
        <f>IFERROR(INDEX(Table14[],MATCH($B5766,Table14[SAPNo],0),3),"")</f>
        <v>1010 CT158 0.018"</v>
      </c>
      <c r="D5766" s="420" t="s">
        <v>12</v>
      </c>
      <c r="E5766" s="421">
        <v>26</v>
      </c>
      <c r="F5766" s="580"/>
      <c r="G5766" s="417" t="s">
        <v>3282</v>
      </c>
      <c r="H5766" s="598">
        <v>14353133</v>
      </c>
      <c r="I5766" s="322" t="s">
        <v>3283</v>
      </c>
      <c r="J5766" s="418"/>
      <c r="K5766" s="248"/>
      <c r="M5766" s="366"/>
    </row>
    <row r="5767" spans="1:13" x14ac:dyDescent="0.25">
      <c r="A5767" s="308">
        <v>45946</v>
      </c>
      <c r="B5767" s="416">
        <v>1293118</v>
      </c>
      <c r="C5767" s="638" t="str">
        <f>IFERROR(INDEX(Table14[],MATCH($B5767,Table14[SAPNo],0),3),"")</f>
        <v>0808 CT158NL 0.018"</v>
      </c>
      <c r="D5767" s="420" t="s">
        <v>12</v>
      </c>
      <c r="E5767" s="421">
        <v>10</v>
      </c>
      <c r="F5767" s="580"/>
      <c r="G5767" s="417" t="s">
        <v>3282</v>
      </c>
      <c r="H5767" s="598">
        <v>14353133</v>
      </c>
      <c r="I5767" s="322" t="s">
        <v>3283</v>
      </c>
      <c r="J5767" s="418"/>
      <c r="K5767" s="248"/>
      <c r="M5767" s="366"/>
    </row>
    <row r="5768" spans="1:13" x14ac:dyDescent="0.25">
      <c r="A5768" s="308">
        <v>45945</v>
      </c>
      <c r="B5768" s="416">
        <v>1126402</v>
      </c>
      <c r="C5768" s="638" t="str">
        <f>IFERROR(INDEX(Table14[],MATCH($B5768,Table14[SAPNo],0),3),"")</f>
        <v>1613 CT421 16-60</v>
      </c>
      <c r="D5768" s="420" t="s">
        <v>12</v>
      </c>
      <c r="E5768" s="421">
        <v>7</v>
      </c>
      <c r="F5768" s="580"/>
      <c r="G5768" s="417" t="s">
        <v>3284</v>
      </c>
      <c r="H5768" s="598">
        <v>14426680</v>
      </c>
      <c r="I5768" s="322" t="s">
        <v>3285</v>
      </c>
      <c r="J5768" s="418"/>
      <c r="K5768" s="248"/>
      <c r="M5768" s="366"/>
    </row>
    <row r="5769" spans="1:13" x14ac:dyDescent="0.25">
      <c r="A5769" s="308">
        <v>45945</v>
      </c>
      <c r="B5769" s="416">
        <v>871781</v>
      </c>
      <c r="C5769" s="638" t="str">
        <f>IFERROR(INDEX(Table14[],MATCH($B5769,Table14[SAPNo],0),3),"")</f>
        <v>Round 1313 CT200  0.018" (B)</v>
      </c>
      <c r="D5769" s="420" t="s">
        <v>12</v>
      </c>
      <c r="E5769" s="421">
        <v>6</v>
      </c>
      <c r="F5769" s="580"/>
      <c r="G5769" s="417" t="s">
        <v>3284</v>
      </c>
      <c r="H5769" s="598">
        <v>14426680</v>
      </c>
      <c r="I5769" s="322" t="s">
        <v>3285</v>
      </c>
      <c r="J5769" s="418"/>
      <c r="K5769" s="248"/>
      <c r="M5769" s="366"/>
    </row>
    <row r="5770" spans="1:13" x14ac:dyDescent="0.25">
      <c r="A5770" s="308">
        <v>45945</v>
      </c>
      <c r="B5770" s="416">
        <v>1201518</v>
      </c>
      <c r="C5770" s="638" t="str">
        <f>IFERROR(INDEX(Table14[],MATCH($B5770,Table14[SAPNo],0),3),"")</f>
        <v>12MM WC­MAT404 NA</v>
      </c>
      <c r="D5770" s="420" t="s">
        <v>12</v>
      </c>
      <c r="E5770" s="421">
        <v>3</v>
      </c>
      <c r="F5770" s="580"/>
      <c r="G5770" s="417" t="s">
        <v>3284</v>
      </c>
      <c r="H5770" s="598">
        <v>14426680</v>
      </c>
      <c r="I5770" s="322" t="s">
        <v>3285</v>
      </c>
      <c r="J5770" s="418"/>
      <c r="K5770" s="248"/>
      <c r="M5770" s="366"/>
    </row>
    <row r="5771" spans="1:13" x14ac:dyDescent="0.25">
      <c r="A5771" s="308">
        <v>45945</v>
      </c>
      <c r="B5771" s="416">
        <v>2004484</v>
      </c>
      <c r="C5771" s="638" t="str">
        <f>IFERROR(INDEX(Table14[],MATCH($B5771,Table14[SAPNo],0),3),"")</f>
        <v>1308 CT187 U-60</v>
      </c>
      <c r="D5771" s="420" t="s">
        <v>12</v>
      </c>
      <c r="E5771" s="421">
        <v>22</v>
      </c>
      <c r="F5771" s="580"/>
      <c r="G5771" s="417" t="s">
        <v>3284</v>
      </c>
      <c r="H5771" s="598">
        <v>14426680</v>
      </c>
      <c r="I5771" s="322" t="s">
        <v>3285</v>
      </c>
      <c r="J5771" s="418"/>
      <c r="K5771" s="248"/>
      <c r="M5771" s="366"/>
    </row>
    <row r="5772" spans="1:13" x14ac:dyDescent="0.25">
      <c r="A5772" s="308">
        <v>45945</v>
      </c>
      <c r="B5772" s="416">
        <v>2002299</v>
      </c>
      <c r="C5772" s="638" t="str">
        <f>IFERROR(INDEX(Table14[],MATCH($B5772,Table14[SAPNo],0),3),"")</f>
        <v>1613 CT187 U-60</v>
      </c>
      <c r="D5772" s="420" t="s">
        <v>12</v>
      </c>
      <c r="E5772" s="421">
        <v>20</v>
      </c>
      <c r="F5772" s="580"/>
      <c r="G5772" s="417" t="s">
        <v>3284</v>
      </c>
      <c r="H5772" s="598">
        <v>14426680</v>
      </c>
      <c r="I5772" s="322" t="s">
        <v>3285</v>
      </c>
      <c r="J5772" s="418"/>
      <c r="K5772" s="248"/>
      <c r="M5772" s="366"/>
    </row>
    <row r="5773" spans="1:13" x14ac:dyDescent="0.25">
      <c r="A5773" s="308">
        <v>45945</v>
      </c>
      <c r="B5773" s="416">
        <v>1228501</v>
      </c>
      <c r="C5773" s="638" t="str">
        <f>IFERROR(INDEX(Table14[],MATCH($B5773,Table14[SAPNo],0),3),"")</f>
        <v>1618 CT182 U-60 stator</v>
      </c>
      <c r="D5773" s="420" t="s">
        <v>12</v>
      </c>
      <c r="E5773" s="421">
        <v>14</v>
      </c>
      <c r="F5773" s="580"/>
      <c r="G5773" s="417" t="s">
        <v>3284</v>
      </c>
      <c r="H5773" s="598">
        <v>14426680</v>
      </c>
      <c r="I5773" s="322" t="s">
        <v>3285</v>
      </c>
      <c r="J5773" s="418"/>
      <c r="K5773" s="248"/>
      <c r="M5773" s="366"/>
    </row>
    <row r="5774" spans="1:13" x14ac:dyDescent="0.25">
      <c r="A5774" s="308">
        <v>45945</v>
      </c>
      <c r="B5774" s="416">
        <v>1228502</v>
      </c>
      <c r="C5774" s="638" t="str">
        <f>IFERROR(INDEX(Table14[],MATCH($B5774,Table14[SAPNo],0),3),"")</f>
        <v>1618 CT182 U-60 Rotor</v>
      </c>
      <c r="D5774" s="420" t="s">
        <v>12</v>
      </c>
      <c r="E5774" s="421">
        <v>14</v>
      </c>
      <c r="F5774" s="580"/>
      <c r="G5774" s="417" t="s">
        <v>3284</v>
      </c>
      <c r="H5774" s="598">
        <v>14426680</v>
      </c>
      <c r="I5774" s="322" t="s">
        <v>3285</v>
      </c>
      <c r="J5774" s="418"/>
      <c r="K5774" s="248"/>
      <c r="M5774" s="366"/>
    </row>
    <row r="5775" spans="1:13" x14ac:dyDescent="0.25">
      <c r="A5775" s="308">
        <v>45945</v>
      </c>
      <c r="B5775" s="416">
        <v>1228503</v>
      </c>
      <c r="C5775" s="638" t="str">
        <f>IFERROR(INDEX(Table14[],MATCH($B5775,Table14[SAPNo],0),3),"")</f>
        <v>1618 CT182 U-60 Ring</v>
      </c>
      <c r="D5775" s="420" t="s">
        <v>12</v>
      </c>
      <c r="E5775" s="421">
        <v>14</v>
      </c>
      <c r="F5775" s="580"/>
      <c r="G5775" s="417" t="s">
        <v>3284</v>
      </c>
      <c r="H5775" s="598">
        <v>14426680</v>
      </c>
      <c r="I5775" s="322" t="s">
        <v>3285</v>
      </c>
      <c r="J5775" s="418"/>
      <c r="K5775" s="248"/>
      <c r="M5775" s="366"/>
    </row>
    <row r="5776" spans="1:13" x14ac:dyDescent="0.25">
      <c r="A5776" s="308">
        <v>45945</v>
      </c>
      <c r="B5776" s="416">
        <v>1220554</v>
      </c>
      <c r="C5776" s="638" t="str">
        <f>IFERROR(INDEX(Table14[],MATCH($B5776,Table14[SAPNo],0),3),"")</f>
        <v xml:space="preserve">1618 CT182 U-60 Carbide </v>
      </c>
      <c r="D5776" s="420" t="s">
        <v>12</v>
      </c>
      <c r="E5776" s="421">
        <v>14</v>
      </c>
      <c r="F5776" s="580"/>
      <c r="G5776" s="417" t="s">
        <v>3284</v>
      </c>
      <c r="H5776" s="598">
        <v>14426680</v>
      </c>
      <c r="I5776" s="322" t="s">
        <v>3285</v>
      </c>
      <c r="J5776" s="418"/>
      <c r="K5776" s="248"/>
      <c r="M5776" s="366"/>
    </row>
    <row r="5777" spans="1:13" x14ac:dyDescent="0.25">
      <c r="A5777" s="308">
        <v>45946</v>
      </c>
      <c r="B5777" s="416">
        <v>1126402</v>
      </c>
      <c r="C5777" s="638" t="str">
        <f>IFERROR(INDEX(Table14[],MATCH($B5777,Table14[SAPNo],0),3),"")</f>
        <v>1613 CT421 16-60</v>
      </c>
      <c r="D5777" s="420" t="s">
        <v>12</v>
      </c>
      <c r="E5777" s="421">
        <v>8</v>
      </c>
      <c r="F5777" s="580"/>
      <c r="G5777" s="417" t="s">
        <v>3286</v>
      </c>
      <c r="H5777" s="598">
        <v>14426685</v>
      </c>
      <c r="I5777" s="322" t="s">
        <v>3287</v>
      </c>
      <c r="J5777" s="418"/>
      <c r="K5777" s="248"/>
      <c r="M5777" s="366"/>
    </row>
    <row r="5778" spans="1:13" x14ac:dyDescent="0.25">
      <c r="A5778" s="308">
        <v>45946</v>
      </c>
      <c r="B5778" s="416">
        <v>1208601</v>
      </c>
      <c r="C5778" s="638" t="str">
        <f>IFERROR(INDEX(Table14[],MATCH($B5778,Table14[SAPNo],0),3),"")</f>
        <v>1613 CT418 U-60</v>
      </c>
      <c r="D5778" s="420" t="s">
        <v>12</v>
      </c>
      <c r="E5778" s="421">
        <v>11</v>
      </c>
      <c r="F5778" s="580"/>
      <c r="G5778" s="417" t="s">
        <v>3286</v>
      </c>
      <c r="H5778" s="598">
        <v>14426685</v>
      </c>
      <c r="I5778" s="322" t="s">
        <v>3287</v>
      </c>
      <c r="J5778" s="418"/>
      <c r="K5778" s="248"/>
      <c r="M5778" s="366"/>
    </row>
    <row r="5779" spans="1:13" x14ac:dyDescent="0.25">
      <c r="A5779" s="308">
        <v>45946</v>
      </c>
      <c r="B5779" s="416">
        <v>1291870</v>
      </c>
      <c r="C5779" s="638" t="str">
        <f>IFERROR(INDEX(Table14[],MATCH($B5779,Table14[SAPNo],0),3),"")</f>
        <v>1613 CT186 18-60</v>
      </c>
      <c r="D5779" s="420" t="s">
        <v>12</v>
      </c>
      <c r="E5779" s="421">
        <v>6</v>
      </c>
      <c r="F5779" s="580"/>
      <c r="G5779" s="417" t="s">
        <v>3286</v>
      </c>
      <c r="H5779" s="598">
        <v>14426685</v>
      </c>
      <c r="I5779" s="322" t="s">
        <v>3287</v>
      </c>
      <c r="J5779" s="418"/>
      <c r="K5779" s="248"/>
      <c r="M5779" s="366"/>
    </row>
    <row r="5780" spans="1:13" x14ac:dyDescent="0.25">
      <c r="A5780" s="308">
        <v>45946</v>
      </c>
      <c r="B5780" s="416">
        <v>625854</v>
      </c>
      <c r="C5780" s="638" t="str">
        <f>IFERROR(INDEX(Table14[],MATCH($B5780,Table14[SAPNo],0),3),"")</f>
        <v>Carbide IA 1318    (C)</v>
      </c>
      <c r="D5780" s="420" t="s">
        <v>12</v>
      </c>
      <c r="E5780" s="421">
        <v>6</v>
      </c>
      <c r="F5780" s="580"/>
      <c r="G5780" s="417" t="s">
        <v>3286</v>
      </c>
      <c r="H5780" s="598">
        <v>14426685</v>
      </c>
      <c r="I5780" s="322" t="s">
        <v>3287</v>
      </c>
      <c r="J5780" s="418"/>
      <c r="K5780" s="248"/>
      <c r="M5780" s="366"/>
    </row>
    <row r="5781" spans="1:13" x14ac:dyDescent="0.25">
      <c r="A5781" s="308">
        <v>45946</v>
      </c>
      <c r="B5781" s="416">
        <v>871781</v>
      </c>
      <c r="C5781" s="638" t="str">
        <f>IFERROR(INDEX(Table14[],MATCH($B5781,Table14[SAPNo],0),3),"")</f>
        <v>Round 1313 CT200  0.018" (B)</v>
      </c>
      <c r="D5781" s="420" t="s">
        <v>12</v>
      </c>
      <c r="E5781" s="421">
        <v>7</v>
      </c>
      <c r="F5781" s="580"/>
      <c r="G5781" s="417" t="s">
        <v>3286</v>
      </c>
      <c r="H5781" s="598">
        <v>14426685</v>
      </c>
      <c r="I5781" s="322" t="s">
        <v>3287</v>
      </c>
      <c r="J5781" s="418"/>
      <c r="K5781" s="248"/>
      <c r="M5781" s="366"/>
    </row>
    <row r="5782" spans="1:13" x14ac:dyDescent="0.25">
      <c r="A5782" s="308">
        <v>45946</v>
      </c>
      <c r="B5782" s="416">
        <v>1291852</v>
      </c>
      <c r="C5782" s="638" t="str">
        <f>IFERROR(INDEX(Table14[],MATCH($B5782,Table14[SAPNo],0),3),"")</f>
        <v>1613 U CT186R U</v>
      </c>
      <c r="D5782" s="420" t="s">
        <v>12</v>
      </c>
      <c r="E5782" s="421">
        <v>30</v>
      </c>
      <c r="F5782" s="580"/>
      <c r="G5782" s="417" t="s">
        <v>3286</v>
      </c>
      <c r="H5782" s="598">
        <v>14426685</v>
      </c>
      <c r="I5782" s="322" t="s">
        <v>3287</v>
      </c>
      <c r="J5782" s="418"/>
      <c r="K5782" s="248"/>
      <c r="M5782" s="366"/>
    </row>
    <row r="5783" spans="1:13" x14ac:dyDescent="0.25">
      <c r="A5783" s="308">
        <v>45946</v>
      </c>
      <c r="B5783" s="416">
        <v>1100755</v>
      </c>
      <c r="C5783" s="638" t="str">
        <f>IFERROR(INDEX(Table14[],MATCH($B5783,Table14[SAPNo],0),3),"")</f>
        <v>Round 1613 CT421  0.018" (S)</v>
      </c>
      <c r="D5783" s="420" t="s">
        <v>1072</v>
      </c>
      <c r="E5783" s="421">
        <v>21</v>
      </c>
      <c r="F5783" s="580"/>
      <c r="G5783" s="417" t="s">
        <v>3286</v>
      </c>
      <c r="H5783" s="598">
        <v>14426685</v>
      </c>
      <c r="I5783" s="322" t="s">
        <v>3287</v>
      </c>
      <c r="J5783" s="418"/>
      <c r="K5783" s="248"/>
      <c r="M5783" s="366"/>
    </row>
    <row r="5784" spans="1:13" x14ac:dyDescent="0.25">
      <c r="A5784" s="308">
        <v>45945</v>
      </c>
      <c r="B5784" s="416">
        <v>418525</v>
      </c>
      <c r="C5784" s="638" t="str">
        <f>IFERROR(INDEX(Table14[],MATCH($B5784,Table14[SAPNo],0),3),"")</f>
        <v>Drop In 1308 CT31   (B)</v>
      </c>
      <c r="D5784" s="420" t="s">
        <v>12</v>
      </c>
      <c r="E5784" s="421">
        <v>6</v>
      </c>
      <c r="F5784" s="580"/>
      <c r="G5784" s="417" t="s">
        <v>3288</v>
      </c>
      <c r="H5784" s="598" t="s">
        <v>3289</v>
      </c>
      <c r="I5784" s="322" t="s">
        <v>2720</v>
      </c>
      <c r="J5784" s="418"/>
      <c r="K5784" s="248"/>
      <c r="M5784" s="366"/>
    </row>
    <row r="5785" spans="1:13" x14ac:dyDescent="0.25">
      <c r="A5785" s="308">
        <v>45945</v>
      </c>
      <c r="B5785" s="416">
        <v>1271790</v>
      </c>
      <c r="C5785" s="638" t="str">
        <f>IFERROR(INDEX(Table14[],MATCH($B5785,Table14[SAPNo],0),3),"")</f>
        <v xml:space="preserve">1613 CT170 18-60 </v>
      </c>
      <c r="D5785" s="420" t="s">
        <v>10</v>
      </c>
      <c r="E5785" s="421">
        <v>2</v>
      </c>
      <c r="F5785" s="580"/>
      <c r="G5785" s="417" t="s">
        <v>3288</v>
      </c>
      <c r="H5785" s="598" t="s">
        <v>3289</v>
      </c>
      <c r="I5785" s="322" t="s">
        <v>2720</v>
      </c>
      <c r="J5785" s="418"/>
      <c r="K5785" s="248"/>
      <c r="M5785" s="366"/>
    </row>
    <row r="5786" spans="1:13" x14ac:dyDescent="0.25">
      <c r="A5786" s="308">
        <v>45945</v>
      </c>
      <c r="B5786" s="416">
        <v>1078377</v>
      </c>
      <c r="C5786" s="638" t="str">
        <f>IFERROR(INDEX(Table14[],MATCH($B5786,Table14[SAPNo],0),3),"")</f>
        <v>13MM CT221 R1</v>
      </c>
      <c r="D5786" s="420" t="s">
        <v>10</v>
      </c>
      <c r="E5786" s="421">
        <v>1</v>
      </c>
      <c r="F5786" s="580"/>
      <c r="G5786" s="417" t="s">
        <v>3288</v>
      </c>
      <c r="H5786" s="598" t="s">
        <v>3289</v>
      </c>
      <c r="I5786" s="322" t="s">
        <v>2720</v>
      </c>
      <c r="J5786" s="418"/>
      <c r="K5786" s="248"/>
      <c r="M5786" s="366"/>
    </row>
    <row r="5787" spans="1:13" x14ac:dyDescent="0.25">
      <c r="A5787" s="308">
        <v>45946</v>
      </c>
      <c r="B5787" s="416">
        <v>1146737</v>
      </c>
      <c r="C5787" s="638" t="str">
        <f>IFERROR(INDEX(Table14[],MATCH($B5787,Table14[SAPNo],0),3),"")</f>
        <v>1613 CT418 18-60</v>
      </c>
      <c r="D5787" s="420" t="s">
        <v>10</v>
      </c>
      <c r="E5787" s="421">
        <v>1</v>
      </c>
      <c r="F5787" s="580"/>
      <c r="G5787" s="417" t="s">
        <v>3288</v>
      </c>
      <c r="H5787" s="598" t="s">
        <v>3289</v>
      </c>
      <c r="I5787" s="322" t="s">
        <v>2720</v>
      </c>
      <c r="J5787" s="418"/>
      <c r="K5787" s="248"/>
      <c r="M5787" s="366"/>
    </row>
    <row r="5788" spans="1:13" x14ac:dyDescent="0.25">
      <c r="A5788" s="308">
        <v>45942</v>
      </c>
      <c r="B5788" s="416">
        <v>418525</v>
      </c>
      <c r="C5788" s="639" t="str">
        <f>IFERROR(INDEX(Table14[],MATCH($B5788,Table14[SAPNo],0),3),"")</f>
        <v>Drop In 1308 CT31   (B)</v>
      </c>
      <c r="D5788" s="420" t="s">
        <v>12</v>
      </c>
      <c r="E5788" s="421">
        <v>6</v>
      </c>
      <c r="F5788" s="580"/>
      <c r="G5788" s="417" t="s">
        <v>3275</v>
      </c>
      <c r="H5788" s="598">
        <v>14369052</v>
      </c>
      <c r="I5788" s="322" t="s">
        <v>3276</v>
      </c>
      <c r="J5788" s="418"/>
      <c r="K5788" s="248"/>
      <c r="M5788" s="366"/>
    </row>
    <row r="5789" spans="1:13" x14ac:dyDescent="0.25">
      <c r="A5789" s="308">
        <v>45949</v>
      </c>
      <c r="B5789" s="416">
        <v>418525</v>
      </c>
      <c r="C5789" s="638" t="str">
        <f>IFERROR(INDEX(Table14[],MATCH($B5789,Table14[SAPNo],0),3),"")</f>
        <v>Drop In 1308 CT31   (B)</v>
      </c>
      <c r="D5789" s="420" t="s">
        <v>12</v>
      </c>
      <c r="E5789" s="421">
        <v>6</v>
      </c>
      <c r="F5789" s="580"/>
      <c r="G5789" s="417" t="s">
        <v>3293</v>
      </c>
      <c r="H5789" s="598">
        <v>14414023</v>
      </c>
      <c r="I5789" s="322" t="s">
        <v>3276</v>
      </c>
      <c r="J5789" s="418"/>
      <c r="K5789" s="248"/>
      <c r="M5789" s="366"/>
    </row>
    <row r="5790" spans="1:13" x14ac:dyDescent="0.25">
      <c r="A5790" s="308">
        <v>45946</v>
      </c>
      <c r="B5790" s="416">
        <v>418525</v>
      </c>
      <c r="C5790" s="638" t="str">
        <f>IFERROR(INDEX(Table14[],MATCH($B5790,Table14[SAPNo],0),3),"")</f>
        <v>Drop In 1308 CT31   (B)</v>
      </c>
      <c r="D5790" s="420" t="s">
        <v>12</v>
      </c>
      <c r="E5790" s="421">
        <v>2</v>
      </c>
      <c r="F5790" s="580"/>
      <c r="G5790" s="417" t="s">
        <v>3292</v>
      </c>
      <c r="H5790" s="598">
        <v>13742389</v>
      </c>
      <c r="I5790" s="322" t="s">
        <v>3165</v>
      </c>
      <c r="J5790" s="418"/>
      <c r="K5790" s="248"/>
      <c r="M5790" s="366"/>
    </row>
    <row r="5791" spans="1:13" x14ac:dyDescent="0.25">
      <c r="A5791" s="308">
        <v>45946</v>
      </c>
      <c r="B5791" s="416">
        <v>1130198</v>
      </c>
      <c r="C5791" s="638" t="str">
        <f>IFERROR(INDEX(Table14[],MATCH($B5791,Table14[SAPNo],0),3),"")</f>
        <v>Round 1613 CT182  0.018" (S)</v>
      </c>
      <c r="D5791" s="420" t="s">
        <v>10</v>
      </c>
      <c r="E5791" s="421">
        <v>19</v>
      </c>
      <c r="F5791" s="580"/>
      <c r="G5791" s="417" t="s">
        <v>3292</v>
      </c>
      <c r="H5791" s="598">
        <v>13742389</v>
      </c>
      <c r="I5791" s="322" t="s">
        <v>3165</v>
      </c>
      <c r="J5791" s="418"/>
      <c r="K5791" s="248"/>
      <c r="M5791" s="366"/>
    </row>
    <row r="5792" spans="1:13" x14ac:dyDescent="0.25">
      <c r="A5792" s="308">
        <v>45946</v>
      </c>
      <c r="B5792" s="416">
        <v>871781</v>
      </c>
      <c r="C5792" s="638" t="str">
        <f>IFERROR(INDEX(Table14[],MATCH($B5792,Table14[SAPNo],0),3),"")</f>
        <v>Round 1313 CT200  0.018" (B)</v>
      </c>
      <c r="D5792" s="420" t="s">
        <v>10</v>
      </c>
      <c r="E5792" s="421">
        <v>7</v>
      </c>
      <c r="F5792" s="580"/>
      <c r="G5792" s="417" t="s">
        <v>3292</v>
      </c>
      <c r="H5792" s="598">
        <v>13742389</v>
      </c>
      <c r="I5792" s="322" t="s">
        <v>3165</v>
      </c>
      <c r="J5792" s="418"/>
      <c r="K5792" s="248"/>
      <c r="M5792" s="366"/>
    </row>
    <row r="5793" spans="1:13" x14ac:dyDescent="0.25">
      <c r="A5793" s="320">
        <v>45946</v>
      </c>
      <c r="B5793" s="419">
        <v>871781</v>
      </c>
      <c r="C5793" s="638" t="str">
        <f>IFERROR(INDEX(Table14[],MATCH($B5793,Table14[SAPNo],0),3),"")</f>
        <v>Round 1313 CT200  0.018" (B)</v>
      </c>
      <c r="D5793" s="420" t="s">
        <v>8</v>
      </c>
      <c r="E5793" s="421">
        <v>4</v>
      </c>
      <c r="F5793" s="580"/>
      <c r="G5793" s="420" t="s">
        <v>3292</v>
      </c>
      <c r="H5793" s="599">
        <v>13742389</v>
      </c>
      <c r="I5793" s="322" t="s">
        <v>3165</v>
      </c>
      <c r="J5793" s="421"/>
      <c r="K5793" s="422"/>
      <c r="M5793" s="366"/>
    </row>
    <row r="5794" spans="1:13" x14ac:dyDescent="0.25">
      <c r="A5794" s="320">
        <v>45946</v>
      </c>
      <c r="B5794" s="419">
        <v>871781</v>
      </c>
      <c r="C5794" s="639" t="str">
        <f>IFERROR(INDEX(Table14[],MATCH($B5794,Table14[SAPNo],0),3),"")</f>
        <v>Round 1313 CT200  0.018" (B)</v>
      </c>
      <c r="D5794" s="420" t="s">
        <v>9</v>
      </c>
      <c r="E5794" s="421">
        <v>2</v>
      </c>
      <c r="F5794" s="421"/>
      <c r="G5794" s="420" t="s">
        <v>3292</v>
      </c>
      <c r="H5794" s="598">
        <v>13742389</v>
      </c>
      <c r="I5794" s="322" t="s">
        <v>3165</v>
      </c>
      <c r="J5794" s="418"/>
      <c r="K5794" s="248"/>
      <c r="M5794" s="422"/>
    </row>
    <row r="5795" spans="1:13" x14ac:dyDescent="0.25">
      <c r="A5795" s="320">
        <v>45949</v>
      </c>
      <c r="B5795" s="416">
        <v>1146737</v>
      </c>
      <c r="C5795" s="638" t="str">
        <f>IFERROR(INDEX(Table14[],MATCH($B5795,Table14[SAPNo],0),3),"")</f>
        <v>1613 CT418 18-60</v>
      </c>
      <c r="D5795" s="420" t="s">
        <v>10</v>
      </c>
      <c r="E5795" s="421">
        <v>1</v>
      </c>
      <c r="F5795" s="421"/>
      <c r="G5795" s="417" t="s">
        <v>3293</v>
      </c>
      <c r="H5795" s="599">
        <v>14414023</v>
      </c>
      <c r="I5795" s="322" t="s">
        <v>3276</v>
      </c>
      <c r="J5795" s="421"/>
      <c r="K5795" s="422"/>
      <c r="M5795" s="422"/>
    </row>
    <row r="5796" spans="1:13" x14ac:dyDescent="0.25">
      <c r="A5796" s="320">
        <v>45946</v>
      </c>
      <c r="B5796" s="419">
        <v>1288783</v>
      </c>
      <c r="C5796" s="638" t="str">
        <f>IFERROR(INDEX(Table14[],MATCH($B5796,Table14[SAPNo],0),3),"")</f>
        <v>1613 CT179 18-60</v>
      </c>
      <c r="D5796" s="420" t="s">
        <v>10</v>
      </c>
      <c r="E5796" s="421">
        <v>1</v>
      </c>
      <c r="F5796" s="421"/>
      <c r="G5796" s="417" t="s">
        <v>3290</v>
      </c>
      <c r="H5796" s="599">
        <v>14414031</v>
      </c>
      <c r="I5796" s="322" t="s">
        <v>3291</v>
      </c>
      <c r="J5796" s="421"/>
      <c r="K5796" s="422"/>
      <c r="M5796" s="422"/>
    </row>
    <row r="5797" spans="1:13" x14ac:dyDescent="0.25">
      <c r="A5797" s="320">
        <v>45952</v>
      </c>
      <c r="B5797" s="416">
        <v>1146346</v>
      </c>
      <c r="C5797" s="639" t="str">
        <f>IFERROR(INDEX(Table14[],MATCH($B5797,Table14[SAPNo],0),3),"")</f>
        <v>1313 CT418 18-60</v>
      </c>
      <c r="D5797" s="420" t="s">
        <v>12</v>
      </c>
      <c r="E5797" s="421"/>
      <c r="F5797" s="421">
        <v>100</v>
      </c>
      <c r="G5797" s="417" t="s">
        <v>2513</v>
      </c>
      <c r="H5797" s="598"/>
      <c r="I5797" s="322"/>
      <c r="J5797" s="418" t="s">
        <v>1034</v>
      </c>
      <c r="K5797" s="248"/>
      <c r="M5797" s="422"/>
    </row>
    <row r="5798" spans="1:13" x14ac:dyDescent="0.25">
      <c r="A5798" s="308">
        <v>45950</v>
      </c>
      <c r="B5798" s="416">
        <v>1272937</v>
      </c>
      <c r="C5798" s="638" t="str">
        <f>IFERROR(INDEX(Table14[],MATCH($B5798,Table14[SAPNo],0),3),"")</f>
        <v>1313 CT436 18-60</v>
      </c>
      <c r="D5798" s="420" t="s">
        <v>12</v>
      </c>
      <c r="E5798" s="421">
        <v>2</v>
      </c>
      <c r="F5798" s="421"/>
      <c r="G5798" s="417">
        <v>20251137</v>
      </c>
      <c r="H5798" s="598">
        <v>14304771</v>
      </c>
      <c r="I5798" s="322" t="s">
        <v>3272</v>
      </c>
      <c r="J5798" s="418"/>
      <c r="K5798" s="248"/>
      <c r="M5798" s="422"/>
    </row>
    <row r="5799" spans="1:13" x14ac:dyDescent="0.25">
      <c r="A5799" s="308">
        <v>45950</v>
      </c>
      <c r="B5799" s="416">
        <v>717748</v>
      </c>
      <c r="C5799" s="638" t="str">
        <f>IFERROR(INDEX(Table14[],MATCH($B5799,Table14[SAPNo],0),3),"")</f>
        <v>Round 1010 CT200  0.018" (B)</v>
      </c>
      <c r="D5799" s="420" t="s">
        <v>12</v>
      </c>
      <c r="E5799" s="421">
        <v>3</v>
      </c>
      <c r="F5799" s="580"/>
      <c r="G5799" s="417">
        <v>20251146</v>
      </c>
      <c r="H5799" s="598" t="s">
        <v>3294</v>
      </c>
      <c r="I5799" s="322" t="s">
        <v>2529</v>
      </c>
      <c r="J5799" s="418"/>
      <c r="K5799" s="248"/>
      <c r="M5799" s="366"/>
    </row>
    <row r="5800" spans="1:13" x14ac:dyDescent="0.25">
      <c r="A5800" s="308">
        <v>45950</v>
      </c>
      <c r="B5800" s="416">
        <v>717748</v>
      </c>
      <c r="C5800" s="638" t="str">
        <f>IFERROR(INDEX(Table14[],MATCH($B5800,Table14[SAPNo],0),3),"")</f>
        <v>Round 1010 CT200  0.018" (B)</v>
      </c>
      <c r="D5800" s="420" t="s">
        <v>12</v>
      </c>
      <c r="E5800" s="421">
        <v>2</v>
      </c>
      <c r="F5800" s="580"/>
      <c r="G5800" s="417">
        <v>20251147</v>
      </c>
      <c r="H5800" s="598" t="s">
        <v>3295</v>
      </c>
      <c r="I5800" s="322" t="s">
        <v>1069</v>
      </c>
      <c r="J5800" s="418"/>
      <c r="K5800" s="248"/>
      <c r="M5800" s="366"/>
    </row>
    <row r="5801" spans="1:13" x14ac:dyDescent="0.25">
      <c r="A5801" s="308">
        <v>45950</v>
      </c>
      <c r="B5801" s="416">
        <v>717748</v>
      </c>
      <c r="C5801" s="638" t="str">
        <f>IFERROR(INDEX(Table14[],MATCH($B5801,Table14[SAPNo],0),3),"")</f>
        <v>Round 1010 CT200  0.018" (B)</v>
      </c>
      <c r="D5801" s="420" t="s">
        <v>12</v>
      </c>
      <c r="E5801" s="421">
        <v>2</v>
      </c>
      <c r="F5801" s="580"/>
      <c r="G5801" s="417">
        <v>20251149</v>
      </c>
      <c r="H5801" s="598" t="s">
        <v>3296</v>
      </c>
      <c r="I5801" s="322" t="s">
        <v>1069</v>
      </c>
      <c r="J5801" s="418"/>
      <c r="K5801" s="248"/>
      <c r="M5801" s="366"/>
    </row>
    <row r="5802" spans="1:13" x14ac:dyDescent="0.25">
      <c r="A5802" s="308">
        <v>45950</v>
      </c>
      <c r="B5802" s="416">
        <v>2001155</v>
      </c>
      <c r="C5802" s="638" t="str">
        <f>IFERROR(INDEX(Table14[],MATCH($B5802,Table14[SAPNo],0),3),"")</f>
        <v>1313 CT179T U-60</v>
      </c>
      <c r="D5802" s="420" t="s">
        <v>12</v>
      </c>
      <c r="E5802" s="421">
        <v>1</v>
      </c>
      <c r="F5802" s="580"/>
      <c r="G5802" s="417">
        <v>20251150</v>
      </c>
      <c r="H5802" s="598" t="s">
        <v>3297</v>
      </c>
      <c r="I5802" s="322" t="s">
        <v>3206</v>
      </c>
      <c r="J5802" s="418"/>
      <c r="K5802" s="248"/>
      <c r="M5802" s="366"/>
    </row>
    <row r="5803" spans="1:13" x14ac:dyDescent="0.25">
      <c r="A5803" s="308">
        <v>45950</v>
      </c>
      <c r="B5803" s="416">
        <v>1272309</v>
      </c>
      <c r="C5803" s="638" t="str">
        <f>IFERROR(INDEX(Table14[],MATCH($B5803,Table14[SAPNo],0),3),"")</f>
        <v>1313 CT170T U</v>
      </c>
      <c r="D5803" s="420" t="s">
        <v>12</v>
      </c>
      <c r="E5803" s="421">
        <v>1</v>
      </c>
      <c r="F5803" s="580"/>
      <c r="G5803" s="417">
        <v>20251150</v>
      </c>
      <c r="H5803" s="598" t="s">
        <v>3297</v>
      </c>
      <c r="I5803" s="322" t="s">
        <v>3206</v>
      </c>
      <c r="J5803" s="418"/>
      <c r="K5803" s="248"/>
      <c r="M5803" s="366"/>
    </row>
    <row r="5804" spans="1:13" x14ac:dyDescent="0.25">
      <c r="A5804" s="308">
        <v>45950</v>
      </c>
      <c r="B5804" s="416">
        <v>802065</v>
      </c>
      <c r="C5804" s="638" t="str">
        <f>IFERROR(INDEX(Table14[],MATCH($B5804,Table14[SAPNo],0),3),"")</f>
        <v>Round 1313 CT97  10C (P)</v>
      </c>
      <c r="D5804" s="420" t="s">
        <v>11</v>
      </c>
      <c r="E5804" s="421">
        <v>6</v>
      </c>
      <c r="F5804" s="580"/>
      <c r="G5804" s="417">
        <v>20251150</v>
      </c>
      <c r="H5804" s="598" t="s">
        <v>3297</v>
      </c>
      <c r="I5804" s="322" t="s">
        <v>3206</v>
      </c>
      <c r="J5804" s="418"/>
      <c r="K5804" s="248"/>
      <c r="M5804" s="366"/>
    </row>
    <row r="5805" spans="1:13" x14ac:dyDescent="0.25">
      <c r="A5805" s="308">
        <v>45950</v>
      </c>
      <c r="B5805" s="416">
        <v>1293118</v>
      </c>
      <c r="C5805" s="638" t="str">
        <f>IFERROR(INDEX(Table14[],MATCH($B5805,Table14[SAPNo],0),3),"")</f>
        <v>0808 CT158NL 0.018"</v>
      </c>
      <c r="D5805" s="420" t="s">
        <v>12</v>
      </c>
      <c r="E5805" s="421">
        <v>10</v>
      </c>
      <c r="F5805" s="580"/>
      <c r="G5805" s="417" t="s">
        <v>3298</v>
      </c>
      <c r="H5805" s="598">
        <v>14403080</v>
      </c>
      <c r="I5805" s="322" t="s">
        <v>3283</v>
      </c>
      <c r="J5805" s="418"/>
      <c r="K5805" s="248"/>
      <c r="M5805" s="366"/>
    </row>
    <row r="5806" spans="1:13" x14ac:dyDescent="0.25">
      <c r="A5806" s="308">
        <v>45950</v>
      </c>
      <c r="B5806" s="416">
        <v>1230916</v>
      </c>
      <c r="C5806" s="638" t="str">
        <f>IFERROR(INDEX(Table14[],MATCH($B5806,Table14[SAPNo],0),3),"")</f>
        <v>1005 CT158 0.018"</v>
      </c>
      <c r="D5806" s="420" t="s">
        <v>12</v>
      </c>
      <c r="E5806" s="421">
        <v>8</v>
      </c>
      <c r="F5806" s="580"/>
      <c r="G5806" s="417" t="s">
        <v>3298</v>
      </c>
      <c r="H5806" s="598">
        <v>14403080</v>
      </c>
      <c r="I5806" s="322" t="s">
        <v>3283</v>
      </c>
      <c r="J5806" s="418"/>
      <c r="K5806" s="248"/>
      <c r="M5806" s="366"/>
    </row>
    <row r="5807" spans="1:13" x14ac:dyDescent="0.25">
      <c r="A5807" s="308">
        <v>45950</v>
      </c>
      <c r="B5807" s="416">
        <v>1199261</v>
      </c>
      <c r="C5807" s="638" t="str">
        <f>IFERROR(INDEX(Table14[],MATCH($B5807,Table14[SAPNo],0),3),"")</f>
        <v>1010 CT158 0.018"</v>
      </c>
      <c r="D5807" s="420" t="s">
        <v>12</v>
      </c>
      <c r="E5807" s="421">
        <v>26</v>
      </c>
      <c r="F5807" s="580"/>
      <c r="G5807" s="417" t="s">
        <v>3298</v>
      </c>
      <c r="H5807" s="598">
        <v>14403080</v>
      </c>
      <c r="I5807" s="322" t="s">
        <v>3283</v>
      </c>
      <c r="J5807" s="418"/>
      <c r="K5807" s="248"/>
      <c r="M5807" s="366"/>
    </row>
    <row r="5808" spans="1:13" x14ac:dyDescent="0.25">
      <c r="A5808" s="308">
        <v>45950</v>
      </c>
      <c r="B5808" s="416">
        <v>1293118</v>
      </c>
      <c r="C5808" s="638" t="str">
        <f>IFERROR(INDEX(Table14[],MATCH($B5808,Table14[SAPNo],0),3),"")</f>
        <v>0808 CT158NL 0.018"</v>
      </c>
      <c r="D5808" s="420" t="s">
        <v>12</v>
      </c>
      <c r="E5808" s="421">
        <v>10</v>
      </c>
      <c r="F5808" s="580"/>
      <c r="G5808" s="417" t="s">
        <v>3299</v>
      </c>
      <c r="H5808" s="598">
        <v>14403079</v>
      </c>
      <c r="I5808" s="322" t="s">
        <v>3283</v>
      </c>
      <c r="J5808" s="418"/>
      <c r="K5808" s="248"/>
      <c r="M5808" s="366"/>
    </row>
    <row r="5809" spans="1:13" x14ac:dyDescent="0.25">
      <c r="A5809" s="308">
        <v>45950</v>
      </c>
      <c r="B5809" s="416">
        <v>1230916</v>
      </c>
      <c r="C5809" s="638" t="str">
        <f>IFERROR(INDEX(Table14[],MATCH($B5809,Table14[SAPNo],0),3),"")</f>
        <v>1005 CT158 0.018"</v>
      </c>
      <c r="D5809" s="420" t="s">
        <v>12</v>
      </c>
      <c r="E5809" s="421">
        <v>8</v>
      </c>
      <c r="F5809" s="580"/>
      <c r="G5809" s="417" t="s">
        <v>3299</v>
      </c>
      <c r="H5809" s="598">
        <v>14403079</v>
      </c>
      <c r="I5809" s="322" t="s">
        <v>3283</v>
      </c>
      <c r="J5809" s="418"/>
      <c r="K5809" s="248"/>
      <c r="M5809" s="366"/>
    </row>
    <row r="5810" spans="1:13" x14ac:dyDescent="0.25">
      <c r="A5810" s="308">
        <v>45950</v>
      </c>
      <c r="B5810" s="416">
        <v>1199261</v>
      </c>
      <c r="C5810" s="638" t="str">
        <f>IFERROR(INDEX(Table14[],MATCH($B5810,Table14[SAPNo],0),3),"")</f>
        <v>1010 CT158 0.018"</v>
      </c>
      <c r="D5810" s="420" t="s">
        <v>12</v>
      </c>
      <c r="E5810" s="421">
        <v>26</v>
      </c>
      <c r="F5810" s="580"/>
      <c r="G5810" s="417" t="s">
        <v>3299</v>
      </c>
      <c r="H5810" s="598">
        <v>14403079</v>
      </c>
      <c r="I5810" s="322" t="s">
        <v>3283</v>
      </c>
      <c r="J5810" s="418"/>
      <c r="K5810" s="248"/>
      <c r="M5810" s="366"/>
    </row>
    <row r="5811" spans="1:13" x14ac:dyDescent="0.25">
      <c r="A5811" s="308">
        <v>45952</v>
      </c>
      <c r="B5811" s="416">
        <v>773384</v>
      </c>
      <c r="C5811" s="638" t="str">
        <f>IFERROR(INDEX(Table14[],MATCH($B5811,Table14[SAPNo],0),3),"")</f>
        <v>Round 1005 CT200  0.018" (B)</v>
      </c>
      <c r="D5811" s="420" t="s">
        <v>12</v>
      </c>
      <c r="E5811" s="421">
        <v>10</v>
      </c>
      <c r="F5811" s="580"/>
      <c r="G5811" s="417" t="s">
        <v>3300</v>
      </c>
      <c r="H5811" s="598">
        <v>14418446</v>
      </c>
      <c r="I5811" s="322" t="s">
        <v>3301</v>
      </c>
      <c r="J5811" s="418"/>
      <c r="K5811" s="248"/>
      <c r="M5811" s="366"/>
    </row>
    <row r="5812" spans="1:13" x14ac:dyDescent="0.25">
      <c r="A5812" s="308">
        <v>45952</v>
      </c>
      <c r="B5812" s="416">
        <v>717748</v>
      </c>
      <c r="C5812" s="638" t="str">
        <f>IFERROR(INDEX(Table14[],MATCH($B5812,Table14[SAPNo],0),3),"")</f>
        <v>Round 1010 CT200  0.018" (B)</v>
      </c>
      <c r="D5812" s="420" t="s">
        <v>12</v>
      </c>
      <c r="E5812" s="421">
        <v>23</v>
      </c>
      <c r="F5812" s="580"/>
      <c r="G5812" s="417" t="s">
        <v>3300</v>
      </c>
      <c r="H5812" s="598">
        <v>14418446</v>
      </c>
      <c r="I5812" s="322" t="s">
        <v>3301</v>
      </c>
      <c r="J5812" s="418"/>
      <c r="K5812" s="248"/>
      <c r="M5812" s="366"/>
    </row>
    <row r="5813" spans="1:13" x14ac:dyDescent="0.25">
      <c r="A5813" s="308">
        <v>45952</v>
      </c>
      <c r="B5813" s="416">
        <v>1293118</v>
      </c>
      <c r="C5813" s="638" t="str">
        <f>IFERROR(INDEX(Table14[],MATCH($B5813,Table14[SAPNo],0),3),"")</f>
        <v>0808 CT158NL 0.018"</v>
      </c>
      <c r="D5813" s="420" t="s">
        <v>12</v>
      </c>
      <c r="E5813" s="421">
        <v>10</v>
      </c>
      <c r="F5813" s="580"/>
      <c r="G5813" s="417" t="s">
        <v>3300</v>
      </c>
      <c r="H5813" s="598">
        <v>14418446</v>
      </c>
      <c r="I5813" s="322" t="s">
        <v>3301</v>
      </c>
      <c r="J5813" s="418"/>
      <c r="K5813" s="248"/>
      <c r="M5813" s="366"/>
    </row>
    <row r="5814" spans="1:13" x14ac:dyDescent="0.25">
      <c r="A5814" s="320">
        <v>45946</v>
      </c>
      <c r="B5814" s="419">
        <v>418525</v>
      </c>
      <c r="C5814" s="638" t="str">
        <f>IFERROR(INDEX(Table14[],MATCH($B5814,Table14[SAPNo],0),3),"")</f>
        <v>Drop In 1308 CT31   (B)</v>
      </c>
      <c r="D5814" s="420" t="s">
        <v>12</v>
      </c>
      <c r="E5814" s="421">
        <v>6</v>
      </c>
      <c r="F5814" s="580"/>
      <c r="G5814" s="420" t="s">
        <v>3290</v>
      </c>
      <c r="H5814" s="599">
        <v>14414031</v>
      </c>
      <c r="I5814" s="322" t="s">
        <v>3291</v>
      </c>
      <c r="J5814" s="421"/>
      <c r="K5814" s="422"/>
      <c r="M5814" s="366"/>
    </row>
    <row r="5815" spans="1:13" x14ac:dyDescent="0.25">
      <c r="A5815" s="308">
        <v>45953</v>
      </c>
      <c r="B5815" s="416">
        <v>717748</v>
      </c>
      <c r="C5815" s="638" t="str">
        <f>IFERROR(INDEX(Table14[],MATCH($B5815,Table14[SAPNo],0),3),"")</f>
        <v>Round 1010 CT200  0.018" (B)</v>
      </c>
      <c r="D5815" s="420" t="s">
        <v>12</v>
      </c>
      <c r="E5815" s="421">
        <v>5</v>
      </c>
      <c r="F5815" s="421"/>
      <c r="G5815" s="417">
        <v>20251149</v>
      </c>
      <c r="H5815" s="598" t="s">
        <v>3296</v>
      </c>
      <c r="I5815" s="322" t="s">
        <v>1069</v>
      </c>
      <c r="J5815" s="418"/>
      <c r="K5815" s="248"/>
      <c r="M5815" s="422"/>
    </row>
    <row r="5816" spans="1:13" x14ac:dyDescent="0.25">
      <c r="A5816" s="308">
        <v>45953</v>
      </c>
      <c r="B5816" s="416">
        <v>647436</v>
      </c>
      <c r="C5816" s="638" t="str">
        <f>IFERROR(INDEX(Table14[],MATCH($B5816,Table14[SAPNo],0),3),"")</f>
        <v>Round 1613 CT200  0.018" (B)</v>
      </c>
      <c r="D5816" s="420" t="s">
        <v>12</v>
      </c>
      <c r="E5816" s="421">
        <v>27</v>
      </c>
      <c r="F5816" s="580"/>
      <c r="G5816" s="417" t="s">
        <v>3303</v>
      </c>
      <c r="H5816" s="598">
        <v>14247236</v>
      </c>
      <c r="I5816" s="322" t="s">
        <v>3098</v>
      </c>
      <c r="J5816" s="418"/>
      <c r="K5816" s="248"/>
      <c r="M5816" s="366"/>
    </row>
    <row r="5817" spans="1:13" x14ac:dyDescent="0.25">
      <c r="A5817" s="308">
        <v>45953</v>
      </c>
      <c r="B5817" s="416">
        <v>418525</v>
      </c>
      <c r="C5817" s="638" t="str">
        <f>IFERROR(INDEX(Table14[],MATCH($B5817,Table14[SAPNo],0),3),"")</f>
        <v>Drop In 1308 CT31   (B)</v>
      </c>
      <c r="D5817" s="420" t="s">
        <v>12</v>
      </c>
      <c r="E5817" s="421">
        <v>14</v>
      </c>
      <c r="F5817" s="580"/>
      <c r="G5817" s="417" t="s">
        <v>3303</v>
      </c>
      <c r="H5817" s="598">
        <v>14247236</v>
      </c>
      <c r="I5817" s="322" t="s">
        <v>3098</v>
      </c>
      <c r="J5817" s="418"/>
      <c r="K5817" s="248"/>
      <c r="M5817" s="366"/>
    </row>
    <row r="5818" spans="1:13" x14ac:dyDescent="0.25">
      <c r="A5818" s="308">
        <v>45953</v>
      </c>
      <c r="B5818" s="416">
        <v>179734</v>
      </c>
      <c r="C5818" s="638" t="str">
        <f>IFERROR(INDEX(Table14[],MATCH($B5818,Table14[SAPNo],0),3),"")</f>
        <v>Long IPA 13    (C)</v>
      </c>
      <c r="D5818" s="420" t="s">
        <v>12</v>
      </c>
      <c r="E5818" s="421">
        <v>35</v>
      </c>
      <c r="F5818" s="580"/>
      <c r="G5818" s="417" t="s">
        <v>3303</v>
      </c>
      <c r="H5818" s="598">
        <v>14247236</v>
      </c>
      <c r="I5818" s="322" t="s">
        <v>3098</v>
      </c>
      <c r="J5818" s="418"/>
      <c r="K5818" s="248"/>
      <c r="M5818" s="366"/>
    </row>
    <row r="5819" spans="1:13" x14ac:dyDescent="0.25">
      <c r="A5819" s="308">
        <v>45953</v>
      </c>
      <c r="B5819" s="416">
        <v>1288783</v>
      </c>
      <c r="C5819" s="638" t="str">
        <f>IFERROR(INDEX(Table14[],MATCH($B5819,Table14[SAPNo],0),3),"")</f>
        <v>1613 CT179 18-60</v>
      </c>
      <c r="D5819" s="420" t="s">
        <v>12</v>
      </c>
      <c r="E5819" s="421">
        <v>47</v>
      </c>
      <c r="F5819" s="580"/>
      <c r="G5819" s="417" t="s">
        <v>3303</v>
      </c>
      <c r="H5819" s="598">
        <v>14247236</v>
      </c>
      <c r="I5819" s="322" t="s">
        <v>3098</v>
      </c>
      <c r="J5819" s="418"/>
      <c r="K5819" s="248"/>
      <c r="M5819" s="366"/>
    </row>
    <row r="5820" spans="1:13" x14ac:dyDescent="0.25">
      <c r="A5820" s="308">
        <v>45953</v>
      </c>
      <c r="B5820" s="416">
        <v>1146737</v>
      </c>
      <c r="C5820" s="638" t="str">
        <f>IFERROR(INDEX(Table14[],MATCH($B5820,Table14[SAPNo],0),3),"")</f>
        <v>1613 CT418 18-60</v>
      </c>
      <c r="D5820" s="420" t="s">
        <v>12</v>
      </c>
      <c r="E5820" s="421">
        <v>33</v>
      </c>
      <c r="F5820" s="580"/>
      <c r="G5820" s="417" t="s">
        <v>3303</v>
      </c>
      <c r="H5820" s="598">
        <v>14247236</v>
      </c>
      <c r="I5820" s="322" t="s">
        <v>3098</v>
      </c>
      <c r="J5820" s="418"/>
      <c r="K5820" s="248"/>
      <c r="M5820" s="366"/>
    </row>
    <row r="5821" spans="1:13" x14ac:dyDescent="0.25">
      <c r="A5821" s="308">
        <v>45953</v>
      </c>
      <c r="B5821" s="416">
        <v>871781</v>
      </c>
      <c r="C5821" s="638" t="str">
        <f>IFERROR(INDEX(Table14[],MATCH($B5821,Table14[SAPNo],0),3),"")</f>
        <v>Round 1313 CT200  0.018" (B)</v>
      </c>
      <c r="D5821" s="420" t="s">
        <v>12</v>
      </c>
      <c r="E5821" s="421">
        <v>5</v>
      </c>
      <c r="F5821" s="580"/>
      <c r="G5821" s="417" t="s">
        <v>3304</v>
      </c>
      <c r="H5821" s="598">
        <v>14337193</v>
      </c>
      <c r="I5821" s="322" t="s">
        <v>2869</v>
      </c>
      <c r="J5821" s="418"/>
      <c r="K5821" s="248"/>
      <c r="M5821" s="366"/>
    </row>
    <row r="5822" spans="1:13" x14ac:dyDescent="0.25">
      <c r="A5822" s="308">
        <v>45953</v>
      </c>
      <c r="B5822" s="416">
        <v>2001155</v>
      </c>
      <c r="C5822" s="638" t="str">
        <f>IFERROR(INDEX(Table14[],MATCH($B5822,Table14[SAPNo],0),3),"")</f>
        <v>1313 CT179T U-60</v>
      </c>
      <c r="D5822" s="420" t="s">
        <v>12</v>
      </c>
      <c r="E5822" s="421">
        <v>7</v>
      </c>
      <c r="F5822" s="580"/>
      <c r="G5822" s="417" t="s">
        <v>3304</v>
      </c>
      <c r="H5822" s="598">
        <v>14337193</v>
      </c>
      <c r="I5822" s="322" t="s">
        <v>2869</v>
      </c>
      <c r="J5822" s="418"/>
      <c r="K5822" s="248"/>
      <c r="M5822" s="366"/>
    </row>
    <row r="5823" spans="1:13" x14ac:dyDescent="0.25">
      <c r="A5823" s="308">
        <v>45953</v>
      </c>
      <c r="B5823" s="416">
        <v>1146346</v>
      </c>
      <c r="C5823" s="638" t="str">
        <f>IFERROR(INDEX(Table14[],MATCH($B5823,Table14[SAPNo],0),3),"")</f>
        <v>1313 CT418 18-60</v>
      </c>
      <c r="D5823" s="420" t="s">
        <v>12</v>
      </c>
      <c r="E5823" s="421">
        <v>17</v>
      </c>
      <c r="F5823" s="580"/>
      <c r="G5823" s="417" t="s">
        <v>3304</v>
      </c>
      <c r="H5823" s="598">
        <v>14337193</v>
      </c>
      <c r="I5823" s="322" t="s">
        <v>2869</v>
      </c>
      <c r="J5823" s="418"/>
      <c r="K5823" s="248"/>
      <c r="M5823" s="366"/>
    </row>
    <row r="5824" spans="1:13" x14ac:dyDescent="0.25">
      <c r="A5824" s="320">
        <v>45953</v>
      </c>
      <c r="B5824" s="419">
        <v>1101509</v>
      </c>
      <c r="C5824" s="638" t="str">
        <f>IFERROR(INDEX(Table14[],MATCH($B5824,Table14[SAPNo],0),3),"")</f>
        <v>Short IA 8    (C)</v>
      </c>
      <c r="D5824" s="420" t="s">
        <v>12</v>
      </c>
      <c r="E5824" s="421">
        <v>10</v>
      </c>
      <c r="F5824" s="580"/>
      <c r="G5824" s="420" t="s">
        <v>3304</v>
      </c>
      <c r="H5824" s="599">
        <v>14337193</v>
      </c>
      <c r="I5824" s="322" t="s">
        <v>2869</v>
      </c>
      <c r="J5824" s="421"/>
      <c r="K5824" s="422"/>
      <c r="M5824" s="366"/>
    </row>
    <row r="5825" spans="1:13" x14ac:dyDescent="0.25">
      <c r="A5825" s="320">
        <v>45956</v>
      </c>
      <c r="B5825" s="419">
        <v>1126402</v>
      </c>
      <c r="C5825" s="638" t="str">
        <f>IFERROR(INDEX(Table14[],MATCH($B5825,Table14[SAPNo],0),3),"")</f>
        <v>1613 CT421 16-60</v>
      </c>
      <c r="D5825" s="420" t="s">
        <v>12</v>
      </c>
      <c r="E5825" s="421"/>
      <c r="F5825" s="421">
        <v>300</v>
      </c>
      <c r="G5825" s="417" t="s">
        <v>2513</v>
      </c>
      <c r="H5825" s="599"/>
      <c r="I5825" s="322"/>
      <c r="J5825" s="418" t="s">
        <v>1034</v>
      </c>
      <c r="K5825" s="422"/>
      <c r="M5825" s="422"/>
    </row>
    <row r="5826" spans="1:13" x14ac:dyDescent="0.25">
      <c r="A5826" s="320">
        <v>45956</v>
      </c>
      <c r="B5826" s="419">
        <v>1146737</v>
      </c>
      <c r="C5826" s="638" t="str">
        <f>IFERROR(INDEX(Table14[],MATCH($B5826,Table14[SAPNo],0),3),"")</f>
        <v>1613 CT418 18-60</v>
      </c>
      <c r="D5826" s="420" t="s">
        <v>12</v>
      </c>
      <c r="E5826" s="421"/>
      <c r="F5826" s="421">
        <v>200</v>
      </c>
      <c r="G5826" s="417" t="s">
        <v>2513</v>
      </c>
      <c r="H5826" s="599"/>
      <c r="I5826" s="322"/>
      <c r="J5826" s="418" t="s">
        <v>1034</v>
      </c>
      <c r="K5826" s="422"/>
      <c r="M5826" s="422"/>
    </row>
    <row r="5827" spans="1:13" x14ac:dyDescent="0.25">
      <c r="A5827" s="320">
        <v>45956</v>
      </c>
      <c r="B5827" s="419">
        <v>1272937</v>
      </c>
      <c r="C5827" s="638" t="str">
        <f>IFERROR(INDEX(Table14[],MATCH($B5827,Table14[SAPNo],0),3),"")</f>
        <v>1313 CT436 18-60</v>
      </c>
      <c r="D5827" s="420" t="s">
        <v>12</v>
      </c>
      <c r="E5827" s="421"/>
      <c r="F5827" s="421">
        <v>10</v>
      </c>
      <c r="G5827" s="417" t="s">
        <v>2513</v>
      </c>
      <c r="H5827" s="599"/>
      <c r="I5827" s="322"/>
      <c r="J5827" s="418" t="s">
        <v>1034</v>
      </c>
      <c r="K5827" s="422"/>
      <c r="M5827" s="422"/>
    </row>
    <row r="5828" spans="1:13" x14ac:dyDescent="0.25">
      <c r="A5828" s="320">
        <v>45956</v>
      </c>
      <c r="B5828" s="419">
        <v>1282370</v>
      </c>
      <c r="C5828" s="638" t="str">
        <f>IFERROR(INDEX(Table14[],MATCH($B5828,Table14[SAPNo],0),3),"")</f>
        <v>1613 CT436Mv3 U-60</v>
      </c>
      <c r="D5828" s="420" t="s">
        <v>12</v>
      </c>
      <c r="E5828" s="421"/>
      <c r="F5828" s="421">
        <v>40</v>
      </c>
      <c r="G5828" s="417" t="s">
        <v>2513</v>
      </c>
      <c r="H5828" s="599"/>
      <c r="I5828" s="322"/>
      <c r="J5828" s="418" t="s">
        <v>1034</v>
      </c>
      <c r="K5828" s="422"/>
      <c r="M5828" s="422"/>
    </row>
    <row r="5829" spans="1:13" x14ac:dyDescent="0.25">
      <c r="A5829" s="320">
        <v>45956</v>
      </c>
      <c r="B5829" s="419">
        <v>2013427</v>
      </c>
      <c r="C5829" s="638" t="str">
        <f>IFERROR(INDEX(Table14[],MATCH($B5829,Table14[SAPNo],0),3),"")</f>
        <v>1218 UNI M3 Carbide NA</v>
      </c>
      <c r="D5829" s="420" t="s">
        <v>12</v>
      </c>
      <c r="E5829" s="421"/>
      <c r="F5829" s="421">
        <v>15</v>
      </c>
      <c r="G5829" s="417" t="s">
        <v>2513</v>
      </c>
      <c r="H5829" s="599"/>
      <c r="I5829" s="322"/>
      <c r="J5829" s="418" t="s">
        <v>1034</v>
      </c>
      <c r="K5829" s="422"/>
      <c r="M5829" s="422"/>
    </row>
    <row r="5830" spans="1:13" x14ac:dyDescent="0.25">
      <c r="A5830" s="320">
        <v>45956</v>
      </c>
      <c r="B5830" s="419">
        <v>1126404</v>
      </c>
      <c r="C5830" s="638" t="str">
        <f>IFERROR(INDEX(Table14[],MATCH($B5830,Table14[SAPNo],0),3),"")</f>
        <v>1913 CT421 18-60</v>
      </c>
      <c r="D5830" s="420" t="s">
        <v>12</v>
      </c>
      <c r="E5830" s="421"/>
      <c r="F5830" s="421">
        <v>45</v>
      </c>
      <c r="G5830" s="417" t="s">
        <v>2513</v>
      </c>
      <c r="H5830" s="599"/>
      <c r="I5830" s="322"/>
      <c r="J5830" s="418" t="s">
        <v>1034</v>
      </c>
      <c r="K5830" s="422"/>
      <c r="M5830" s="422"/>
    </row>
    <row r="5831" spans="1:13" x14ac:dyDescent="0.25">
      <c r="A5831" s="320">
        <v>45956</v>
      </c>
      <c r="B5831" s="419">
        <v>1146742</v>
      </c>
      <c r="C5831" s="638" t="str">
        <f>IFERROR(INDEX(Table14[],MATCH($B5831,Table14[SAPNo],0),3),"")</f>
        <v>1913 CT418 U-60</v>
      </c>
      <c r="D5831" s="420" t="s">
        <v>12</v>
      </c>
      <c r="E5831" s="421"/>
      <c r="F5831" s="421">
        <v>30</v>
      </c>
      <c r="G5831" s="417" t="s">
        <v>2513</v>
      </c>
      <c r="H5831" s="599"/>
      <c r="I5831" s="322"/>
      <c r="J5831" s="418" t="s">
        <v>1034</v>
      </c>
      <c r="K5831" s="422"/>
      <c r="M5831" s="422"/>
    </row>
    <row r="5832" spans="1:13" x14ac:dyDescent="0.25">
      <c r="A5832" s="320">
        <v>45956</v>
      </c>
      <c r="B5832" s="419">
        <v>418525</v>
      </c>
      <c r="C5832" s="638" t="str">
        <f>IFERROR(INDEX(Table14[],MATCH($B5832,Table14[SAPNo],0),3),"")</f>
        <v>Drop In 1308 CT31   (B)</v>
      </c>
      <c r="D5832" s="420" t="s">
        <v>12</v>
      </c>
      <c r="E5832" s="421"/>
      <c r="F5832" s="421">
        <v>300</v>
      </c>
      <c r="G5832" s="417" t="s">
        <v>2513</v>
      </c>
      <c r="H5832" s="599"/>
      <c r="I5832" s="322"/>
      <c r="J5832" s="418" t="s">
        <v>1034</v>
      </c>
      <c r="K5832" s="422"/>
      <c r="M5832" s="422"/>
    </row>
    <row r="5833" spans="1:13" x14ac:dyDescent="0.25">
      <c r="A5833" s="320">
        <v>45956</v>
      </c>
      <c r="B5833" s="419">
        <v>2017131</v>
      </c>
      <c r="C5833" s="638" t="str">
        <f>IFERROR(INDEX(Table14[],MATCH($B5833,Table14[SAPNo],0),3),"")</f>
        <v>1313 CT179 U-60</v>
      </c>
      <c r="D5833" s="420" t="s">
        <v>12</v>
      </c>
      <c r="E5833" s="421"/>
      <c r="F5833" s="421">
        <v>15</v>
      </c>
      <c r="G5833" s="417" t="s">
        <v>2513</v>
      </c>
      <c r="H5833" s="599"/>
      <c r="I5833" s="322"/>
      <c r="J5833" s="418" t="s">
        <v>1034</v>
      </c>
      <c r="K5833" s="422"/>
      <c r="M5833" s="422"/>
    </row>
    <row r="5834" spans="1:13" x14ac:dyDescent="0.25">
      <c r="A5834" s="320">
        <v>45956</v>
      </c>
      <c r="B5834" s="419">
        <v>1130198</v>
      </c>
      <c r="C5834" s="638" t="str">
        <f>IFERROR(INDEX(Table14[],MATCH($B5834,Table14[SAPNo],0),3),"")</f>
        <v>Round 1613 CT182  0.018" (S)</v>
      </c>
      <c r="D5834" s="420" t="s">
        <v>1072</v>
      </c>
      <c r="E5834" s="421">
        <v>8</v>
      </c>
      <c r="F5834" s="421"/>
      <c r="G5834" s="420" t="s">
        <v>3305</v>
      </c>
      <c r="H5834" s="599">
        <v>13742392</v>
      </c>
      <c r="I5834" s="322" t="s">
        <v>3165</v>
      </c>
      <c r="J5834" s="421"/>
      <c r="K5834" s="422"/>
      <c r="M5834" s="422"/>
    </row>
    <row r="5835" spans="1:13" x14ac:dyDescent="0.25">
      <c r="A5835" s="320">
        <v>45956</v>
      </c>
      <c r="B5835" s="419">
        <v>1130196</v>
      </c>
      <c r="C5835" s="638" t="str">
        <f>IFERROR(INDEX(Table14[],MATCH($B5835,Table14[SAPNo],0),3),"")</f>
        <v>Round 1313 CT182  0.018" (S)</v>
      </c>
      <c r="D5835" s="420" t="s">
        <v>11</v>
      </c>
      <c r="E5835" s="421">
        <v>6</v>
      </c>
      <c r="F5835" s="421"/>
      <c r="G5835" s="420" t="s">
        <v>3305</v>
      </c>
      <c r="H5835" s="599">
        <v>13742392</v>
      </c>
      <c r="I5835" s="322" t="s">
        <v>3165</v>
      </c>
      <c r="J5835" s="421"/>
      <c r="K5835" s="422"/>
      <c r="M5835" s="422"/>
    </row>
    <row r="5836" spans="1:13" x14ac:dyDescent="0.25">
      <c r="A5836" s="320">
        <v>45956</v>
      </c>
      <c r="B5836" s="419">
        <v>1209410</v>
      </c>
      <c r="C5836" s="638" t="str">
        <f>IFERROR(INDEX(Table14[],MATCH($B5836,Table14[SAPNo],0),3),"")</f>
        <v>1613 CT430MV3 U TBO</v>
      </c>
      <c r="D5836" s="420" t="s">
        <v>11</v>
      </c>
      <c r="E5836" s="421">
        <v>6</v>
      </c>
      <c r="F5836" s="421"/>
      <c r="G5836" s="420" t="s">
        <v>3305</v>
      </c>
      <c r="H5836" s="599">
        <v>13742392</v>
      </c>
      <c r="I5836" s="322" t="s">
        <v>3165</v>
      </c>
      <c r="J5836" s="421"/>
      <c r="K5836" s="422"/>
      <c r="M5836" s="422"/>
    </row>
    <row r="5837" spans="1:13" x14ac:dyDescent="0.25">
      <c r="A5837" s="320">
        <v>45956</v>
      </c>
      <c r="B5837" s="419">
        <v>871781</v>
      </c>
      <c r="C5837" s="638" t="str">
        <f>IFERROR(INDEX(Table14[],MATCH($B5837,Table14[SAPNo],0),3),"")</f>
        <v>Round 1313 CT200  0.018" (B)</v>
      </c>
      <c r="D5837" s="420" t="s">
        <v>12</v>
      </c>
      <c r="E5837" s="421">
        <v>1</v>
      </c>
      <c r="F5837" s="421"/>
      <c r="G5837" s="420" t="s">
        <v>3305</v>
      </c>
      <c r="H5837" s="599">
        <v>13742392</v>
      </c>
      <c r="I5837" s="322" t="s">
        <v>3165</v>
      </c>
      <c r="J5837" s="421"/>
      <c r="K5837" s="422"/>
      <c r="M5837" s="422"/>
    </row>
    <row r="5838" spans="1:13" x14ac:dyDescent="0.25">
      <c r="A5838" s="320">
        <v>45956</v>
      </c>
      <c r="B5838" s="419">
        <v>418525</v>
      </c>
      <c r="C5838" s="638" t="str">
        <f>IFERROR(INDEX(Table14[],MATCH($B5838,Table14[SAPNo],0),3),"")</f>
        <v>Drop In 1308 CT31   (B)</v>
      </c>
      <c r="D5838" s="420" t="s">
        <v>12</v>
      </c>
      <c r="E5838" s="421">
        <v>2</v>
      </c>
      <c r="F5838" s="421"/>
      <c r="G5838" s="420" t="s">
        <v>3305</v>
      </c>
      <c r="H5838" s="599">
        <v>13742392</v>
      </c>
      <c r="I5838" s="322" t="s">
        <v>3165</v>
      </c>
      <c r="J5838" s="421"/>
      <c r="K5838" s="422"/>
      <c r="M5838" s="422"/>
    </row>
    <row r="5839" spans="1:13" x14ac:dyDescent="0.25">
      <c r="A5839" s="320">
        <v>45956</v>
      </c>
      <c r="B5839" s="419">
        <v>1126402</v>
      </c>
      <c r="C5839" s="638" t="str">
        <f>IFERROR(INDEX(Table14[],MATCH($B5839,Table14[SAPNo],0),3),"")</f>
        <v>1613 CT421 16-60</v>
      </c>
      <c r="D5839" s="420" t="s">
        <v>12</v>
      </c>
      <c r="E5839" s="421">
        <v>33</v>
      </c>
      <c r="F5839" s="421"/>
      <c r="G5839" s="420" t="s">
        <v>3306</v>
      </c>
      <c r="H5839" s="599">
        <v>14418437</v>
      </c>
      <c r="I5839" s="322" t="s">
        <v>3307</v>
      </c>
      <c r="J5839" s="421"/>
      <c r="K5839" s="422"/>
      <c r="M5839" s="422"/>
    </row>
    <row r="5840" spans="1:13" x14ac:dyDescent="0.25">
      <c r="A5840" s="320">
        <v>45956</v>
      </c>
      <c r="B5840" s="419">
        <v>647435</v>
      </c>
      <c r="C5840" s="638" t="str">
        <f>IFERROR(INDEX(Table14[],MATCH($B5840,Table14[SAPNo],0),3),"")</f>
        <v>Round 1608 CT200  0.018" (B)</v>
      </c>
      <c r="D5840" s="420" t="s">
        <v>12</v>
      </c>
      <c r="E5840" s="421">
        <v>23</v>
      </c>
      <c r="F5840" s="421"/>
      <c r="G5840" s="420" t="s">
        <v>3306</v>
      </c>
      <c r="H5840" s="599">
        <v>14418437</v>
      </c>
      <c r="I5840" s="322" t="s">
        <v>3307</v>
      </c>
      <c r="J5840" s="421"/>
      <c r="K5840" s="422"/>
      <c r="M5840" s="422"/>
    </row>
    <row r="5841" spans="1:13" x14ac:dyDescent="0.25">
      <c r="A5841" s="320">
        <v>45956</v>
      </c>
      <c r="B5841" s="419">
        <v>871781</v>
      </c>
      <c r="C5841" s="638" t="str">
        <f>IFERROR(INDEX(Table14[],MATCH($B5841,Table14[SAPNo],0),3),"")</f>
        <v>Round 1313 CT200  0.018" (B)</v>
      </c>
      <c r="D5841" s="420" t="s">
        <v>12</v>
      </c>
      <c r="E5841" s="421">
        <v>6</v>
      </c>
      <c r="F5841" s="421"/>
      <c r="G5841" s="420" t="s">
        <v>3306</v>
      </c>
      <c r="H5841" s="599">
        <v>14418437</v>
      </c>
      <c r="I5841" s="322" t="s">
        <v>3307</v>
      </c>
      <c r="J5841" s="421"/>
      <c r="K5841" s="422"/>
      <c r="M5841" s="422"/>
    </row>
    <row r="5842" spans="1:13" x14ac:dyDescent="0.25">
      <c r="A5842" s="320">
        <v>45957</v>
      </c>
      <c r="B5842" s="419">
        <v>1290837</v>
      </c>
      <c r="C5842" s="638" t="str">
        <f>IFERROR(INDEX(Table14[],MATCH($B5842,Table14[SAPNo],0),3),"")</f>
        <v>1613 CT184R U</v>
      </c>
      <c r="D5842" s="420" t="s">
        <v>12</v>
      </c>
      <c r="E5842" s="421">
        <v>17</v>
      </c>
      <c r="F5842" s="421"/>
      <c r="G5842" s="420" t="s">
        <v>3308</v>
      </c>
      <c r="H5842" s="599">
        <v>14442331</v>
      </c>
      <c r="I5842" s="322" t="s">
        <v>3150</v>
      </c>
      <c r="J5842" s="421"/>
      <c r="K5842" s="422"/>
      <c r="M5842" s="422"/>
    </row>
    <row r="5843" spans="1:13" x14ac:dyDescent="0.25">
      <c r="A5843" s="320">
        <v>45957</v>
      </c>
      <c r="B5843" s="419">
        <v>1208601</v>
      </c>
      <c r="C5843" s="638" t="str">
        <f>IFERROR(INDEX(Table14[],MATCH($B5843,Table14[SAPNo],0),3),"")</f>
        <v>1613 CT418 U-60</v>
      </c>
      <c r="D5843" s="420" t="s">
        <v>12</v>
      </c>
      <c r="E5843" s="421">
        <v>11</v>
      </c>
      <c r="F5843" s="421"/>
      <c r="G5843" s="420" t="s">
        <v>3308</v>
      </c>
      <c r="H5843" s="599">
        <v>14442331</v>
      </c>
      <c r="I5843" s="322" t="s">
        <v>3150</v>
      </c>
      <c r="J5843" s="421"/>
      <c r="K5843" s="422"/>
      <c r="M5843" s="422"/>
    </row>
    <row r="5844" spans="1:13" x14ac:dyDescent="0.25">
      <c r="A5844" s="320">
        <v>45957</v>
      </c>
      <c r="B5844" s="419">
        <v>1126402</v>
      </c>
      <c r="C5844" s="638" t="str">
        <f>IFERROR(INDEX(Table14[],MATCH($B5844,Table14[SAPNo],0),3),"")</f>
        <v>1613 CT421 16-60</v>
      </c>
      <c r="D5844" s="420" t="s">
        <v>12</v>
      </c>
      <c r="E5844" s="421">
        <v>8</v>
      </c>
      <c r="F5844" s="421"/>
      <c r="G5844" s="420" t="s">
        <v>3308</v>
      </c>
      <c r="H5844" s="599">
        <v>14442331</v>
      </c>
      <c r="I5844" s="322" t="s">
        <v>3150</v>
      </c>
      <c r="J5844" s="421"/>
      <c r="K5844" s="422"/>
      <c r="M5844" s="422"/>
    </row>
    <row r="5845" spans="1:13" x14ac:dyDescent="0.25">
      <c r="A5845" s="308">
        <v>45957</v>
      </c>
      <c r="B5845" s="416">
        <v>871781</v>
      </c>
      <c r="C5845" s="639" t="str">
        <f>IFERROR(INDEX(Table14[],MATCH($B5845,Table14[SAPNo],0),3),"")</f>
        <v>Round 1313 CT200  0.018" (B)</v>
      </c>
      <c r="D5845" s="420" t="s">
        <v>12</v>
      </c>
      <c r="E5845" s="421">
        <v>7</v>
      </c>
      <c r="F5845" s="421"/>
      <c r="G5845" s="420" t="s">
        <v>3308</v>
      </c>
      <c r="H5845" s="598">
        <v>14442331</v>
      </c>
      <c r="I5845" s="322" t="s">
        <v>3150</v>
      </c>
      <c r="J5845" s="418"/>
      <c r="K5845" s="248"/>
      <c r="M5845" s="422"/>
    </row>
    <row r="5846" spans="1:13" x14ac:dyDescent="0.25">
      <c r="A5846" s="308">
        <v>45957</v>
      </c>
      <c r="B5846" s="416">
        <v>625854</v>
      </c>
      <c r="C5846" s="704" t="str">
        <f>IFERROR(INDEX(Table14[],MATCH($B5846,Table14[SAPNo],0),3),"")</f>
        <v>Carbide IA 1318    (C)</v>
      </c>
      <c r="D5846" s="420" t="s">
        <v>12</v>
      </c>
      <c r="E5846" s="421">
        <v>6</v>
      </c>
      <c r="F5846" s="421"/>
      <c r="G5846" s="420" t="s">
        <v>3308</v>
      </c>
      <c r="H5846" s="598">
        <v>14442331</v>
      </c>
      <c r="I5846" s="322" t="s">
        <v>3150</v>
      </c>
      <c r="J5846" s="418"/>
      <c r="K5846" s="248"/>
      <c r="M5846" s="422"/>
    </row>
    <row r="5847" spans="1:13" x14ac:dyDescent="0.25">
      <c r="A5847" s="308">
        <v>45957</v>
      </c>
      <c r="B5847" s="416">
        <v>1291870</v>
      </c>
      <c r="C5847" s="704" t="str">
        <f>IFERROR(INDEX(Table14[],MATCH($B5847,Table14[SAPNo],0),3),"")</f>
        <v>1613 CT186 18-60</v>
      </c>
      <c r="D5847" s="420" t="s">
        <v>12</v>
      </c>
      <c r="E5847" s="421">
        <v>6</v>
      </c>
      <c r="F5847" s="580"/>
      <c r="G5847" s="420" t="s">
        <v>3308</v>
      </c>
      <c r="H5847" s="598">
        <v>14442331</v>
      </c>
      <c r="I5847" s="322" t="s">
        <v>3150</v>
      </c>
      <c r="J5847" s="418"/>
      <c r="K5847" s="248"/>
      <c r="M5847" s="366"/>
    </row>
    <row r="5848" spans="1:13" x14ac:dyDescent="0.25">
      <c r="A5848" s="308">
        <v>45957</v>
      </c>
      <c r="B5848" s="416">
        <v>1291852</v>
      </c>
      <c r="C5848" s="704" t="str">
        <f>IFERROR(INDEX(Table14[],MATCH($B5848,Table14[SAPNo],0),3),"")</f>
        <v>1613 U CT186R U</v>
      </c>
      <c r="D5848" s="420" t="s">
        <v>12</v>
      </c>
      <c r="E5848" s="421">
        <v>13</v>
      </c>
      <c r="F5848" s="580"/>
      <c r="G5848" s="420" t="s">
        <v>3308</v>
      </c>
      <c r="H5848" s="598">
        <v>14442331</v>
      </c>
      <c r="I5848" s="322" t="s">
        <v>3150</v>
      </c>
      <c r="J5848" s="418"/>
      <c r="K5848" s="248"/>
      <c r="M5848" s="366"/>
    </row>
    <row r="5849" spans="1:13" x14ac:dyDescent="0.25">
      <c r="A5849" s="308">
        <v>45957</v>
      </c>
      <c r="B5849" s="416">
        <v>1130198</v>
      </c>
      <c r="C5849" s="704" t="str">
        <f>IFERROR(INDEX(Table14[],MATCH($B5849,Table14[SAPNo],0),3),"")</f>
        <v>Round 1613 CT182  0.018" (S)</v>
      </c>
      <c r="D5849" s="420" t="s">
        <v>1072</v>
      </c>
      <c r="E5849" s="421">
        <v>21</v>
      </c>
      <c r="F5849" s="580"/>
      <c r="G5849" s="420" t="s">
        <v>3308</v>
      </c>
      <c r="H5849" s="598">
        <v>14442331</v>
      </c>
      <c r="I5849" s="322" t="s">
        <v>3150</v>
      </c>
      <c r="J5849" s="418"/>
      <c r="K5849" s="248"/>
      <c r="M5849" s="366"/>
    </row>
    <row r="5850" spans="1:13" x14ac:dyDescent="0.25">
      <c r="A5850" s="320">
        <v>45958</v>
      </c>
      <c r="B5850" s="419">
        <v>2004484</v>
      </c>
      <c r="C5850" s="638" t="str">
        <f>IFERROR(INDEX(Table14[],MATCH($B5850,Table14[SAPNo],0),3),"")</f>
        <v>1308 CT187 U-60</v>
      </c>
      <c r="D5850" s="420" t="s">
        <v>12</v>
      </c>
      <c r="E5850" s="421">
        <v>21</v>
      </c>
      <c r="F5850" s="421"/>
      <c r="G5850" s="420" t="s">
        <v>3309</v>
      </c>
      <c r="H5850" s="599">
        <v>14462148</v>
      </c>
      <c r="I5850" s="322" t="s">
        <v>3103</v>
      </c>
      <c r="J5850" s="421"/>
      <c r="K5850" s="422"/>
      <c r="M5850" s="422"/>
    </row>
    <row r="5851" spans="1:13" x14ac:dyDescent="0.25">
      <c r="A5851" s="320">
        <v>45958</v>
      </c>
      <c r="B5851" s="416">
        <v>2002299</v>
      </c>
      <c r="C5851" s="639" t="str">
        <f>IFERROR(INDEX(Table14[],MATCH($B5851,Table14[SAPNo],0),3),"")</f>
        <v>1613 CT187 U-60</v>
      </c>
      <c r="D5851" s="420" t="s">
        <v>12</v>
      </c>
      <c r="E5851" s="421">
        <v>18</v>
      </c>
      <c r="F5851" s="421"/>
      <c r="G5851" s="420" t="s">
        <v>3309</v>
      </c>
      <c r="H5851" s="599">
        <v>14462148</v>
      </c>
      <c r="I5851" s="322" t="s">
        <v>3103</v>
      </c>
      <c r="J5851" s="418"/>
      <c r="K5851" s="248"/>
      <c r="M5851" s="422"/>
    </row>
    <row r="5852" spans="1:13" x14ac:dyDescent="0.25">
      <c r="A5852" s="320">
        <v>45958</v>
      </c>
      <c r="B5852" s="416">
        <v>1228501</v>
      </c>
      <c r="C5852" s="639" t="str">
        <f>IFERROR(INDEX(Table14[],MATCH($B5852,Table14[SAPNo],0),3),"")</f>
        <v>1618 CT182 U-60 stator</v>
      </c>
      <c r="D5852" s="420" t="s">
        <v>12</v>
      </c>
      <c r="E5852" s="421">
        <v>16</v>
      </c>
      <c r="F5852" s="580"/>
      <c r="G5852" s="420" t="s">
        <v>3309</v>
      </c>
      <c r="H5852" s="599">
        <v>14462148</v>
      </c>
      <c r="I5852" s="322" t="s">
        <v>3103</v>
      </c>
      <c r="J5852" s="418"/>
      <c r="K5852" s="248"/>
      <c r="M5852" s="366"/>
    </row>
    <row r="5853" spans="1:13" x14ac:dyDescent="0.25">
      <c r="A5853" s="320">
        <v>45958</v>
      </c>
      <c r="B5853" s="416">
        <v>1228502</v>
      </c>
      <c r="C5853" s="639" t="str">
        <f>IFERROR(INDEX(Table14[],MATCH($B5853,Table14[SAPNo],0),3),"")</f>
        <v>1618 CT182 U-60 Rotor</v>
      </c>
      <c r="D5853" s="420" t="s">
        <v>12</v>
      </c>
      <c r="E5853" s="421">
        <v>16</v>
      </c>
      <c r="F5853" s="580"/>
      <c r="G5853" s="420" t="s">
        <v>3309</v>
      </c>
      <c r="H5853" s="599">
        <v>14462148</v>
      </c>
      <c r="I5853" s="322" t="s">
        <v>3103</v>
      </c>
      <c r="J5853" s="418"/>
      <c r="K5853" s="248"/>
      <c r="M5853" s="366"/>
    </row>
    <row r="5854" spans="1:13" x14ac:dyDescent="0.25">
      <c r="A5854" s="320">
        <v>45958</v>
      </c>
      <c r="B5854" s="416">
        <v>1228503</v>
      </c>
      <c r="C5854" s="639" t="str">
        <f>IFERROR(INDEX(Table14[],MATCH($B5854,Table14[SAPNo],0),3),"")</f>
        <v>1618 CT182 U-60 Ring</v>
      </c>
      <c r="D5854" s="420" t="s">
        <v>12</v>
      </c>
      <c r="E5854" s="421">
        <v>16</v>
      </c>
      <c r="F5854" s="580"/>
      <c r="G5854" s="420" t="s">
        <v>3309</v>
      </c>
      <c r="H5854" s="599">
        <v>14462148</v>
      </c>
      <c r="I5854" s="322" t="s">
        <v>3103</v>
      </c>
      <c r="J5854" s="418"/>
      <c r="K5854" s="248"/>
      <c r="M5854" s="366"/>
    </row>
    <row r="5855" spans="1:13" x14ac:dyDescent="0.25">
      <c r="A5855" s="320">
        <v>45958</v>
      </c>
      <c r="B5855" s="416">
        <v>1220554</v>
      </c>
      <c r="C5855" s="639" t="str">
        <f>IFERROR(INDEX(Table14[],MATCH($B5855,Table14[SAPNo],0),3),"")</f>
        <v xml:space="preserve">1618 CT182 U-60 Carbide </v>
      </c>
      <c r="D5855" s="420" t="s">
        <v>12</v>
      </c>
      <c r="E5855" s="421">
        <v>16</v>
      </c>
      <c r="F5855" s="580"/>
      <c r="G5855" s="420" t="s">
        <v>3309</v>
      </c>
      <c r="H5855" s="599">
        <v>14462148</v>
      </c>
      <c r="I5855" s="322" t="s">
        <v>3103</v>
      </c>
      <c r="J5855" s="418"/>
      <c r="K5855" s="248"/>
      <c r="M5855" s="366"/>
    </row>
    <row r="5856" spans="1:13" x14ac:dyDescent="0.25">
      <c r="A5856" s="320">
        <v>45958</v>
      </c>
      <c r="B5856" s="416">
        <v>871781</v>
      </c>
      <c r="C5856" s="639" t="str">
        <f>IFERROR(INDEX(Table14[],MATCH($B5856,Table14[SAPNo],0),3),"")</f>
        <v>Round 1313 CT200  0.018" (B)</v>
      </c>
      <c r="D5856" s="420" t="s">
        <v>12</v>
      </c>
      <c r="E5856" s="421">
        <v>7</v>
      </c>
      <c r="F5856" s="580"/>
      <c r="G5856" s="420" t="s">
        <v>3309</v>
      </c>
      <c r="H5856" s="599">
        <v>14462148</v>
      </c>
      <c r="I5856" s="322" t="s">
        <v>3103</v>
      </c>
      <c r="J5856" s="418"/>
      <c r="K5856" s="248"/>
      <c r="M5856" s="366"/>
    </row>
    <row r="5857" spans="1:13" x14ac:dyDescent="0.25">
      <c r="A5857" s="320">
        <v>45958</v>
      </c>
      <c r="B5857" s="416">
        <v>1126402</v>
      </c>
      <c r="C5857" s="639" t="str">
        <f>IFERROR(INDEX(Table14[],MATCH($B5857,Table14[SAPNo],0),3),"")</f>
        <v>1613 CT421 16-60</v>
      </c>
      <c r="D5857" s="420" t="s">
        <v>12</v>
      </c>
      <c r="E5857" s="421">
        <v>7</v>
      </c>
      <c r="F5857" s="580"/>
      <c r="G5857" s="420" t="s">
        <v>3309</v>
      </c>
      <c r="H5857" s="599">
        <v>14462148</v>
      </c>
      <c r="I5857" s="322" t="s">
        <v>3103</v>
      </c>
      <c r="J5857" s="418"/>
      <c r="K5857" s="248"/>
      <c r="M5857" s="366"/>
    </row>
    <row r="5858" spans="1:13" x14ac:dyDescent="0.25">
      <c r="A5858" s="320">
        <v>45958</v>
      </c>
      <c r="B5858" s="416">
        <v>653400</v>
      </c>
      <c r="C5858" s="639" t="str">
        <f>IFERROR(INDEX(Table14[],MATCH($B5858,Table14[SAPNo],0),3),"")</f>
        <v>13MM WC­MAT404 NA</v>
      </c>
      <c r="D5858" s="420" t="s">
        <v>12</v>
      </c>
      <c r="E5858" s="421">
        <v>5</v>
      </c>
      <c r="F5858" s="580"/>
      <c r="G5858" s="420" t="s">
        <v>3309</v>
      </c>
      <c r="H5858" s="599">
        <v>14462148</v>
      </c>
      <c r="I5858" s="322" t="s">
        <v>3103</v>
      </c>
      <c r="J5858" s="418"/>
      <c r="K5858" s="248"/>
      <c r="M5858" s="366"/>
    </row>
    <row r="5859" spans="1:13" x14ac:dyDescent="0.25">
      <c r="A5859" s="320">
        <v>45958</v>
      </c>
      <c r="B5859" s="416">
        <v>717748</v>
      </c>
      <c r="C5859" s="704" t="str">
        <f>IFERROR(INDEX(Table14[],MATCH($B5859,Table14[SAPNo],0),3),"")</f>
        <v>Round 1010 CT200  0.018" (B)</v>
      </c>
      <c r="D5859" s="420" t="s">
        <v>12</v>
      </c>
      <c r="E5859" s="421">
        <v>23</v>
      </c>
      <c r="F5859" s="421"/>
      <c r="G5859" s="420" t="s">
        <v>3310</v>
      </c>
      <c r="H5859" s="598">
        <v>14426669</v>
      </c>
      <c r="I5859" s="322" t="s">
        <v>3301</v>
      </c>
      <c r="J5859" s="418"/>
      <c r="K5859" s="248"/>
      <c r="M5859" s="422"/>
    </row>
    <row r="5860" spans="1:13" x14ac:dyDescent="0.25">
      <c r="A5860" s="320">
        <v>45958</v>
      </c>
      <c r="B5860" s="416">
        <v>773384</v>
      </c>
      <c r="C5860" s="704" t="str">
        <f>IFERROR(INDEX(Table14[],MATCH($B5860,Table14[SAPNo],0),3),"")</f>
        <v>Round 1005 CT200  0.018" (B)</v>
      </c>
      <c r="D5860" s="420" t="s">
        <v>12</v>
      </c>
      <c r="E5860" s="421">
        <v>10</v>
      </c>
      <c r="F5860" s="580"/>
      <c r="G5860" s="420" t="s">
        <v>3310</v>
      </c>
      <c r="H5860" s="598">
        <v>14426669</v>
      </c>
      <c r="I5860" s="322" t="s">
        <v>3301</v>
      </c>
      <c r="J5860" s="418"/>
      <c r="K5860" s="248"/>
      <c r="M5860" s="366"/>
    </row>
    <row r="5861" spans="1:13" x14ac:dyDescent="0.25">
      <c r="A5861" s="320">
        <v>45958</v>
      </c>
      <c r="B5861" s="416">
        <v>1293118</v>
      </c>
      <c r="C5861" s="704" t="str">
        <f>IFERROR(INDEX(Table14[],MATCH($B5861,Table14[SAPNo],0),3),"")</f>
        <v>0808 CT158NL 0.018"</v>
      </c>
      <c r="D5861" s="420" t="s">
        <v>12</v>
      </c>
      <c r="E5861" s="421">
        <v>10</v>
      </c>
      <c r="F5861" s="580"/>
      <c r="G5861" s="420" t="s">
        <v>3310</v>
      </c>
      <c r="H5861" s="598">
        <v>14426669</v>
      </c>
      <c r="I5861" s="322" t="s">
        <v>3301</v>
      </c>
      <c r="J5861" s="418"/>
      <c r="K5861" s="248"/>
      <c r="M5861" s="366"/>
    </row>
    <row r="5862" spans="1:13" x14ac:dyDescent="0.25">
      <c r="A5862" s="308">
        <v>45958</v>
      </c>
      <c r="B5862" s="416">
        <v>1136984</v>
      </c>
      <c r="C5862" s="638" t="str">
        <f>IFERROR(INDEX(Table14[],MATCH($B5862,Table14[SAPNo],0),3),"")</f>
        <v>DBLMCHT 1313 CT182DM  10C (S)</v>
      </c>
      <c r="D5862" s="420" t="s">
        <v>12</v>
      </c>
      <c r="E5862" s="421">
        <v>13</v>
      </c>
      <c r="F5862" s="421"/>
      <c r="G5862" s="420" t="s">
        <v>3311</v>
      </c>
      <c r="H5862" s="598">
        <v>14460085</v>
      </c>
      <c r="I5862" s="322" t="s">
        <v>2640</v>
      </c>
      <c r="J5862" s="418"/>
      <c r="K5862" s="248"/>
      <c r="M5862" s="422"/>
    </row>
    <row r="5863" spans="1:13" x14ac:dyDescent="0.25">
      <c r="A5863" s="308">
        <v>45958</v>
      </c>
      <c r="B5863" s="416">
        <v>1146346</v>
      </c>
      <c r="C5863" s="638" t="str">
        <f>IFERROR(INDEX(Table14[],MATCH($B5863,Table14[SAPNo],0),3),"")</f>
        <v>1313 CT418 18-60</v>
      </c>
      <c r="D5863" s="420" t="s">
        <v>12</v>
      </c>
      <c r="E5863" s="421">
        <v>12</v>
      </c>
      <c r="F5863" s="580"/>
      <c r="G5863" s="420" t="s">
        <v>3311</v>
      </c>
      <c r="H5863" s="598">
        <v>14460085</v>
      </c>
      <c r="I5863" s="322" t="s">
        <v>2640</v>
      </c>
      <c r="J5863" s="418"/>
      <c r="K5863" s="248"/>
      <c r="M5863" s="366"/>
    </row>
    <row r="5864" spans="1:13" x14ac:dyDescent="0.25">
      <c r="A5864" s="308">
        <v>45958</v>
      </c>
      <c r="B5864" s="416">
        <v>418525</v>
      </c>
      <c r="C5864" s="638" t="str">
        <f>IFERROR(INDEX(Table14[],MATCH($B5864,Table14[SAPNo],0),3),"")</f>
        <v>Drop In 1308 CT31   (B)</v>
      </c>
      <c r="D5864" s="420" t="s">
        <v>12</v>
      </c>
      <c r="E5864" s="421">
        <v>6</v>
      </c>
      <c r="F5864" s="580"/>
      <c r="G5864" s="420" t="s">
        <v>3311</v>
      </c>
      <c r="H5864" s="598">
        <v>14460085</v>
      </c>
      <c r="I5864" s="322" t="s">
        <v>2640</v>
      </c>
      <c r="J5864" s="418"/>
      <c r="K5864" s="248"/>
      <c r="M5864" s="366"/>
    </row>
    <row r="5865" spans="1:13" x14ac:dyDescent="0.25">
      <c r="A5865" s="308">
        <v>45958</v>
      </c>
      <c r="B5865" s="416">
        <v>1101509</v>
      </c>
      <c r="C5865" s="638" t="str">
        <f>IFERROR(INDEX(Table14[],MATCH($B5865,Table14[SAPNo],0),3),"")</f>
        <v>Short IA 8    (C)</v>
      </c>
      <c r="D5865" s="420" t="s">
        <v>12</v>
      </c>
      <c r="E5865" s="421">
        <v>5</v>
      </c>
      <c r="F5865" s="580"/>
      <c r="G5865" s="420" t="s">
        <v>3311</v>
      </c>
      <c r="H5865" s="598">
        <v>14460085</v>
      </c>
      <c r="I5865" s="322" t="s">
        <v>2640</v>
      </c>
      <c r="J5865" s="418"/>
      <c r="K5865" s="248"/>
      <c r="M5865" s="366"/>
    </row>
    <row r="5866" spans="1:13" x14ac:dyDescent="0.25">
      <c r="A5866" s="308">
        <v>45958</v>
      </c>
      <c r="B5866" s="416">
        <v>1186963</v>
      </c>
      <c r="C5866" s="638" t="str">
        <f>IFERROR(INDEX(Table14[],MATCH($B5866,Table14[SAPNo],0),3),"")</f>
        <v>1313 CT182H 10C</v>
      </c>
      <c r="D5866" s="420" t="s">
        <v>12</v>
      </c>
      <c r="E5866" s="421">
        <v>1</v>
      </c>
      <c r="F5866" s="580"/>
      <c r="G5866" s="420" t="s">
        <v>3311</v>
      </c>
      <c r="H5866" s="598">
        <v>14460085</v>
      </c>
      <c r="I5866" s="322" t="s">
        <v>2640</v>
      </c>
      <c r="J5866" s="418"/>
      <c r="K5866" s="248"/>
      <c r="M5866" s="366"/>
    </row>
    <row r="5867" spans="1:13" x14ac:dyDescent="0.25">
      <c r="A5867" s="308">
        <v>45958</v>
      </c>
      <c r="B5867" s="416">
        <v>1136984</v>
      </c>
      <c r="C5867" s="638" t="str">
        <f>IFERROR(INDEX(Table14[],MATCH($B5867,Table14[SAPNo],0),3),"")</f>
        <v>DBLMCHT 1313 CT182DM  10C (S)</v>
      </c>
      <c r="D5867" s="420" t="s">
        <v>12</v>
      </c>
      <c r="E5867" s="421">
        <v>13</v>
      </c>
      <c r="F5867" s="580"/>
      <c r="G5867" s="420" t="s">
        <v>3312</v>
      </c>
      <c r="H5867" s="598">
        <v>14460086</v>
      </c>
      <c r="I5867" s="322" t="s">
        <v>2640</v>
      </c>
      <c r="J5867" s="418"/>
      <c r="K5867" s="248"/>
      <c r="M5867" s="366"/>
    </row>
    <row r="5868" spans="1:13" x14ac:dyDescent="0.25">
      <c r="A5868" s="308">
        <v>45958</v>
      </c>
      <c r="B5868" s="416">
        <v>1146346</v>
      </c>
      <c r="C5868" s="638" t="str">
        <f>IFERROR(INDEX(Table14[],MATCH($B5868,Table14[SAPNo],0),3),"")</f>
        <v>1313 CT418 18-60</v>
      </c>
      <c r="D5868" s="420" t="s">
        <v>12</v>
      </c>
      <c r="E5868" s="421">
        <v>12</v>
      </c>
      <c r="F5868" s="580"/>
      <c r="G5868" s="420" t="s">
        <v>3312</v>
      </c>
      <c r="H5868" s="598">
        <v>14460086</v>
      </c>
      <c r="I5868" s="322" t="s">
        <v>2640</v>
      </c>
      <c r="J5868" s="418"/>
      <c r="K5868" s="248"/>
      <c r="M5868" s="366"/>
    </row>
    <row r="5869" spans="1:13" x14ac:dyDescent="0.25">
      <c r="A5869" s="308">
        <v>45958</v>
      </c>
      <c r="B5869" s="416">
        <v>418525</v>
      </c>
      <c r="C5869" s="638" t="str">
        <f>IFERROR(INDEX(Table14[],MATCH($B5869,Table14[SAPNo],0),3),"")</f>
        <v>Drop In 1308 CT31   (B)</v>
      </c>
      <c r="D5869" s="420" t="s">
        <v>12</v>
      </c>
      <c r="E5869" s="421">
        <v>6</v>
      </c>
      <c r="F5869" s="580"/>
      <c r="G5869" s="420" t="s">
        <v>3312</v>
      </c>
      <c r="H5869" s="598">
        <v>14460086</v>
      </c>
      <c r="I5869" s="322" t="s">
        <v>2640</v>
      </c>
      <c r="J5869" s="418"/>
      <c r="K5869" s="248"/>
      <c r="M5869" s="366"/>
    </row>
    <row r="5870" spans="1:13" x14ac:dyDescent="0.25">
      <c r="A5870" s="308">
        <v>45958</v>
      </c>
      <c r="B5870" s="416">
        <v>1101509</v>
      </c>
      <c r="C5870" s="638" t="str">
        <f>IFERROR(INDEX(Table14[],MATCH($B5870,Table14[SAPNo],0),3),"")</f>
        <v>Short IA 8    (C)</v>
      </c>
      <c r="D5870" s="420" t="s">
        <v>12</v>
      </c>
      <c r="E5870" s="421">
        <v>5</v>
      </c>
      <c r="F5870" s="580"/>
      <c r="G5870" s="420" t="s">
        <v>3312</v>
      </c>
      <c r="H5870" s="598">
        <v>14460086</v>
      </c>
      <c r="I5870" s="322" t="s">
        <v>2640</v>
      </c>
      <c r="J5870" s="418"/>
      <c r="K5870" s="248"/>
      <c r="M5870" s="366"/>
    </row>
    <row r="5871" spans="1:13" x14ac:dyDescent="0.25">
      <c r="A5871" s="320">
        <v>45958</v>
      </c>
      <c r="B5871" s="419">
        <v>1186963</v>
      </c>
      <c r="C5871" s="638" t="str">
        <f>IFERROR(INDEX(Table14[],MATCH($B5871,Table14[SAPNo],0),3),"")</f>
        <v>1313 CT182H 10C</v>
      </c>
      <c r="D5871" s="420" t="s">
        <v>12</v>
      </c>
      <c r="E5871" s="421">
        <v>1</v>
      </c>
      <c r="F5871" s="580"/>
      <c r="G5871" s="420" t="s">
        <v>3312</v>
      </c>
      <c r="H5871" s="598">
        <v>14460086</v>
      </c>
      <c r="I5871" s="322" t="s">
        <v>2640</v>
      </c>
      <c r="J5871" s="421"/>
      <c r="K5871" s="422"/>
      <c r="M5871" s="366"/>
    </row>
    <row r="5872" spans="1:13" x14ac:dyDescent="0.25">
      <c r="A5872" s="308">
        <v>45959</v>
      </c>
      <c r="B5872" s="416">
        <v>418525</v>
      </c>
      <c r="C5872" s="638" t="str">
        <f>IFERROR(INDEX(Table14[],MATCH($B5872,Table14[SAPNo],0),3),"")</f>
        <v>Drop In 1308 CT31   (B)</v>
      </c>
      <c r="D5872" s="420" t="s">
        <v>12</v>
      </c>
      <c r="E5872" s="421">
        <v>10</v>
      </c>
      <c r="F5872" s="421"/>
      <c r="G5872" s="417" t="s">
        <v>3313</v>
      </c>
      <c r="H5872" s="598">
        <v>14304769</v>
      </c>
      <c r="I5872" s="322" t="s">
        <v>3111</v>
      </c>
      <c r="J5872" s="418"/>
      <c r="K5872" s="248"/>
      <c r="M5872" s="422"/>
    </row>
    <row r="5873" spans="1:13" x14ac:dyDescent="0.25">
      <c r="A5873" s="308">
        <v>45959</v>
      </c>
      <c r="B5873" s="416">
        <v>2001155</v>
      </c>
      <c r="C5873" s="638" t="str">
        <f>IFERROR(INDEX(Table14[],MATCH($B5873,Table14[SAPNo],0),3),"")</f>
        <v>1313 CT179T U-60</v>
      </c>
      <c r="D5873" s="420" t="s">
        <v>12</v>
      </c>
      <c r="E5873" s="421">
        <v>7</v>
      </c>
      <c r="F5873" s="580"/>
      <c r="G5873" s="417" t="s">
        <v>3313</v>
      </c>
      <c r="H5873" s="598">
        <v>14304769</v>
      </c>
      <c r="I5873" s="322" t="s">
        <v>3111</v>
      </c>
      <c r="J5873" s="418"/>
      <c r="K5873" s="248"/>
      <c r="M5873" s="366"/>
    </row>
    <row r="5874" spans="1:13" x14ac:dyDescent="0.25">
      <c r="A5874" s="308">
        <v>45959</v>
      </c>
      <c r="B5874" s="416">
        <v>1146346</v>
      </c>
      <c r="C5874" s="638" t="str">
        <f>IFERROR(INDEX(Table14[],MATCH($B5874,Table14[SAPNo],0),3),"")</f>
        <v>1313 CT418 18-60</v>
      </c>
      <c r="D5874" s="420" t="s">
        <v>12</v>
      </c>
      <c r="E5874" s="421">
        <v>16</v>
      </c>
      <c r="F5874" s="580"/>
      <c r="G5874" s="417" t="s">
        <v>3313</v>
      </c>
      <c r="H5874" s="598">
        <v>14304769</v>
      </c>
      <c r="I5874" s="322" t="s">
        <v>3111</v>
      </c>
      <c r="J5874" s="418"/>
      <c r="K5874" s="248"/>
      <c r="M5874" s="366"/>
    </row>
    <row r="5875" spans="1:13" x14ac:dyDescent="0.25">
      <c r="A5875" s="308">
        <v>45973</v>
      </c>
      <c r="B5875" s="416">
        <v>418525</v>
      </c>
      <c r="C5875" s="638" t="str">
        <f>IFERROR(INDEX(Table14[],MATCH($B5875,Table14[SAPNo],0),3),"")</f>
        <v>Drop In 1308 CT31   (B)</v>
      </c>
      <c r="D5875" s="420" t="s">
        <v>12</v>
      </c>
      <c r="E5875" s="421">
        <v>6</v>
      </c>
      <c r="F5875" s="580"/>
      <c r="G5875" s="417" t="s">
        <v>3290</v>
      </c>
      <c r="H5875" s="598">
        <v>14414031</v>
      </c>
      <c r="I5875" s="322" t="s">
        <v>3291</v>
      </c>
      <c r="J5875" s="418"/>
      <c r="K5875" s="248"/>
      <c r="M5875" s="366"/>
    </row>
    <row r="5876" spans="1:13" x14ac:dyDescent="0.25">
      <c r="A5876" s="308">
        <v>45973</v>
      </c>
      <c r="B5876" s="416">
        <v>1288783</v>
      </c>
      <c r="C5876" s="638" t="str">
        <f>IFERROR(INDEX(Table14[],MATCH($B5876,Table14[SAPNo],0),3),"")</f>
        <v>1613 CT179 18-60</v>
      </c>
      <c r="D5876" s="420" t="s">
        <v>10</v>
      </c>
      <c r="E5876" s="421">
        <v>2</v>
      </c>
      <c r="F5876" s="580"/>
      <c r="G5876" s="417" t="s">
        <v>3290</v>
      </c>
      <c r="H5876" s="598">
        <v>14414031</v>
      </c>
      <c r="I5876" s="322" t="s">
        <v>3291</v>
      </c>
      <c r="J5876" s="418"/>
      <c r="K5876" s="248"/>
      <c r="M5876" s="366"/>
    </row>
    <row r="5877" spans="1:13" x14ac:dyDescent="0.25">
      <c r="A5877" s="308">
        <v>45960</v>
      </c>
      <c r="B5877" s="416">
        <v>418525</v>
      </c>
      <c r="C5877" s="638" t="str">
        <f>IFERROR(INDEX(Table14[],MATCH($B5877,Table14[SAPNo],0),3),"")</f>
        <v>Drop In 1308 CT31   (B)</v>
      </c>
      <c r="D5877" s="420" t="s">
        <v>12</v>
      </c>
      <c r="E5877" s="421">
        <v>6</v>
      </c>
      <c r="F5877" s="580"/>
      <c r="G5877" s="417" t="s">
        <v>3319</v>
      </c>
      <c r="H5877" s="598">
        <v>14369051</v>
      </c>
      <c r="I5877" s="322" t="s">
        <v>3135</v>
      </c>
      <c r="J5877" s="418"/>
      <c r="K5877" s="248"/>
      <c r="M5877" s="366"/>
    </row>
    <row r="5878" spans="1:13" x14ac:dyDescent="0.25">
      <c r="A5878" s="308">
        <v>45960</v>
      </c>
      <c r="B5878" s="416">
        <v>1146346</v>
      </c>
      <c r="C5878" s="638" t="str">
        <f>IFERROR(INDEX(Table14[],MATCH($B5878,Table14[SAPNo],0),3),"")</f>
        <v>1313 CT418 18-60</v>
      </c>
      <c r="D5878" s="420" t="s">
        <v>12</v>
      </c>
      <c r="E5878" s="421">
        <v>6</v>
      </c>
      <c r="F5878" s="580"/>
      <c r="G5878" s="417">
        <v>20251154</v>
      </c>
      <c r="H5878" s="598" t="s">
        <v>3317</v>
      </c>
      <c r="I5878" s="322" t="s">
        <v>3207</v>
      </c>
      <c r="J5878" s="418"/>
      <c r="K5878" s="248"/>
      <c r="M5878" s="366"/>
    </row>
    <row r="5879" spans="1:13" x14ac:dyDescent="0.25">
      <c r="A5879" s="308">
        <v>45960</v>
      </c>
      <c r="B5879" s="416">
        <v>1272309</v>
      </c>
      <c r="C5879" s="638" t="str">
        <f>IFERROR(INDEX(Table14[],MATCH($B5879,Table14[SAPNo],0),3),"")</f>
        <v>1313 CT170T U</v>
      </c>
      <c r="D5879" s="420" t="s">
        <v>11</v>
      </c>
      <c r="E5879" s="421">
        <v>1</v>
      </c>
      <c r="F5879" s="580"/>
      <c r="G5879" s="417">
        <v>20251154</v>
      </c>
      <c r="H5879" s="598" t="s">
        <v>3317</v>
      </c>
      <c r="I5879" s="322" t="s">
        <v>3207</v>
      </c>
      <c r="J5879" s="418"/>
      <c r="K5879" s="248"/>
      <c r="M5879" s="366"/>
    </row>
    <row r="5880" spans="1:13" x14ac:dyDescent="0.25">
      <c r="A5880" s="308">
        <v>45960</v>
      </c>
      <c r="B5880" s="416">
        <v>1146346</v>
      </c>
      <c r="C5880" s="638" t="str">
        <f>IFERROR(INDEX(Table14[],MATCH($B5880,Table14[SAPNo],0),3),"")</f>
        <v>1313 CT418 18-60</v>
      </c>
      <c r="D5880" s="420" t="s">
        <v>11</v>
      </c>
      <c r="E5880" s="421">
        <v>3</v>
      </c>
      <c r="F5880" s="580"/>
      <c r="G5880" s="417">
        <v>20251154</v>
      </c>
      <c r="H5880" s="598" t="s">
        <v>3317</v>
      </c>
      <c r="I5880" s="322" t="s">
        <v>3207</v>
      </c>
      <c r="J5880" s="418"/>
      <c r="K5880" s="248"/>
      <c r="M5880" s="366"/>
    </row>
    <row r="5881" spans="1:13" x14ac:dyDescent="0.25">
      <c r="A5881" s="308">
        <v>45960</v>
      </c>
      <c r="B5881" s="416">
        <v>418525</v>
      </c>
      <c r="C5881" s="638" t="str">
        <f>IFERROR(INDEX(Table14[],MATCH($B5881,Table14[SAPNo],0),3),"")</f>
        <v>Drop In 1308 CT31   (B)</v>
      </c>
      <c r="D5881" s="420" t="s">
        <v>12</v>
      </c>
      <c r="E5881" s="421">
        <v>6</v>
      </c>
      <c r="F5881" s="580"/>
      <c r="G5881" s="417" t="s">
        <v>3318</v>
      </c>
      <c r="H5881" s="598">
        <v>14460088</v>
      </c>
      <c r="I5881" s="322" t="s">
        <v>2640</v>
      </c>
      <c r="J5881" s="418"/>
      <c r="K5881" s="248"/>
      <c r="M5881" s="366"/>
    </row>
    <row r="5882" spans="1:13" x14ac:dyDescent="0.25">
      <c r="A5882" s="308">
        <v>45960</v>
      </c>
      <c r="B5882" s="416">
        <v>1186963</v>
      </c>
      <c r="C5882" s="638" t="str">
        <f>IFERROR(INDEX(Table14[],MATCH($B5882,Table14[SAPNo],0),3),"")</f>
        <v>1313 CT182H 10C</v>
      </c>
      <c r="D5882" s="420" t="s">
        <v>12</v>
      </c>
      <c r="E5882" s="421">
        <v>1</v>
      </c>
      <c r="F5882" s="580"/>
      <c r="G5882" s="417" t="s">
        <v>3318</v>
      </c>
      <c r="H5882" s="598">
        <v>14460088</v>
      </c>
      <c r="I5882" s="322" t="s">
        <v>2640</v>
      </c>
      <c r="J5882" s="418"/>
      <c r="K5882" s="248"/>
      <c r="M5882" s="366"/>
    </row>
    <row r="5883" spans="1:13" x14ac:dyDescent="0.25">
      <c r="A5883" s="308">
        <v>45960</v>
      </c>
      <c r="B5883" s="416">
        <v>1146346</v>
      </c>
      <c r="C5883" s="638" t="str">
        <f>IFERROR(INDEX(Table14[],MATCH($B5883,Table14[SAPNo],0),3),"")</f>
        <v>1313 CT418 18-60</v>
      </c>
      <c r="D5883" s="420" t="s">
        <v>12</v>
      </c>
      <c r="E5883" s="421">
        <v>12</v>
      </c>
      <c r="F5883" s="580"/>
      <c r="G5883" s="417" t="s">
        <v>3318</v>
      </c>
      <c r="H5883" s="598">
        <v>14460088</v>
      </c>
      <c r="I5883" s="322" t="s">
        <v>2640</v>
      </c>
      <c r="J5883" s="418"/>
      <c r="K5883" s="248"/>
      <c r="M5883" s="366"/>
    </row>
    <row r="5884" spans="1:13" x14ac:dyDescent="0.25">
      <c r="A5884" s="308">
        <v>45960</v>
      </c>
      <c r="B5884" s="416">
        <v>1136984</v>
      </c>
      <c r="C5884" s="638" t="str">
        <f>IFERROR(INDEX(Table14[],MATCH($B5884,Table14[SAPNo],0),3),"")</f>
        <v>DBLMCHT 1313 CT182DM  10C (S)</v>
      </c>
      <c r="D5884" s="420" t="s">
        <v>12</v>
      </c>
      <c r="E5884" s="421">
        <v>13</v>
      </c>
      <c r="F5884" s="580"/>
      <c r="G5884" s="417" t="s">
        <v>3318</v>
      </c>
      <c r="H5884" s="598">
        <v>14460088</v>
      </c>
      <c r="I5884" s="322" t="s">
        <v>2640</v>
      </c>
      <c r="J5884" s="418"/>
      <c r="K5884" s="248"/>
      <c r="M5884" s="366"/>
    </row>
    <row r="5885" spans="1:13" x14ac:dyDescent="0.25">
      <c r="A5885" s="308">
        <v>45960</v>
      </c>
      <c r="B5885" s="416">
        <v>1101509</v>
      </c>
      <c r="C5885" s="638" t="str">
        <f>IFERROR(INDEX(Table14[],MATCH($B5885,Table14[SAPNo],0),3),"")</f>
        <v>Short IA 8    (C)</v>
      </c>
      <c r="D5885" s="420" t="s">
        <v>12</v>
      </c>
      <c r="E5885" s="421">
        <v>5</v>
      </c>
      <c r="F5885" s="580"/>
      <c r="G5885" s="417" t="s">
        <v>3318</v>
      </c>
      <c r="H5885" s="598">
        <v>14460088</v>
      </c>
      <c r="I5885" s="322" t="s">
        <v>2640</v>
      </c>
      <c r="J5885" s="418"/>
      <c r="K5885" s="248"/>
      <c r="M5885" s="366"/>
    </row>
    <row r="5886" spans="1:13" x14ac:dyDescent="0.25">
      <c r="A5886" s="308">
        <v>45960</v>
      </c>
      <c r="B5886" s="416">
        <v>1078377</v>
      </c>
      <c r="C5886" s="638" t="str">
        <f>IFERROR(INDEX(Table14[],MATCH($B5886,Table14[SAPNo],0),3),"")</f>
        <v>13MM CT221 R1</v>
      </c>
      <c r="D5886" s="420" t="s">
        <v>10</v>
      </c>
      <c r="E5886" s="421">
        <v>1</v>
      </c>
      <c r="F5886" s="580"/>
      <c r="G5886" s="417" t="s">
        <v>3319</v>
      </c>
      <c r="H5886" s="598">
        <v>14369051</v>
      </c>
      <c r="I5886" s="322" t="s">
        <v>3135</v>
      </c>
      <c r="J5886" s="418"/>
      <c r="K5886" s="248"/>
      <c r="M5886" s="366"/>
    </row>
    <row r="5887" spans="1:13" x14ac:dyDescent="0.25">
      <c r="A5887" s="308">
        <v>45960</v>
      </c>
      <c r="B5887" s="416">
        <v>1146737</v>
      </c>
      <c r="C5887" s="638" t="str">
        <f>IFERROR(INDEX(Table14[],MATCH($B5887,Table14[SAPNo],0),3),"")</f>
        <v>1613 CT418 18-60</v>
      </c>
      <c r="D5887" s="420" t="s">
        <v>10</v>
      </c>
      <c r="E5887" s="421">
        <v>1</v>
      </c>
      <c r="F5887" s="580"/>
      <c r="G5887" s="417" t="s">
        <v>3319</v>
      </c>
      <c r="H5887" s="598">
        <v>14369051</v>
      </c>
      <c r="I5887" s="322" t="s">
        <v>3135</v>
      </c>
      <c r="J5887" s="418"/>
      <c r="K5887" s="248"/>
      <c r="M5887" s="366"/>
    </row>
    <row r="5888" spans="1:13" x14ac:dyDescent="0.25">
      <c r="A5888" s="308">
        <v>45959</v>
      </c>
      <c r="B5888" s="416">
        <v>871781</v>
      </c>
      <c r="C5888" s="638" t="str">
        <f>IFERROR(INDEX(Table14[],MATCH($B5888,Table14[SAPNo],0),3),"")</f>
        <v>Round 1313 CT200  0.018" (B)</v>
      </c>
      <c r="D5888" s="420" t="s">
        <v>12</v>
      </c>
      <c r="E5888" s="421">
        <v>2</v>
      </c>
      <c r="F5888" s="580"/>
      <c r="G5888" s="417" t="s">
        <v>3314</v>
      </c>
      <c r="H5888" s="598" t="s">
        <v>3315</v>
      </c>
      <c r="I5888" s="322" t="s">
        <v>3316</v>
      </c>
      <c r="J5888" s="418"/>
      <c r="K5888" s="248"/>
      <c r="M5888" s="366"/>
    </row>
    <row r="5889" spans="1:13" x14ac:dyDescent="0.25">
      <c r="A5889" s="320">
        <v>45960</v>
      </c>
      <c r="B5889" s="419">
        <v>717748</v>
      </c>
      <c r="C5889" s="638" t="str">
        <f>IFERROR(INDEX(Table14[],MATCH($B5889,Table14[SAPNo],0),3),"")</f>
        <v>Round 1010 CT200  0.018" (B)</v>
      </c>
      <c r="D5889" s="420" t="s">
        <v>11</v>
      </c>
      <c r="E5889" s="421">
        <v>2</v>
      </c>
      <c r="F5889" s="580"/>
      <c r="G5889" s="420">
        <v>20251153</v>
      </c>
      <c r="H5889" s="599" t="s">
        <v>3320</v>
      </c>
      <c r="I5889" s="322" t="s">
        <v>2362</v>
      </c>
      <c r="J5889" s="421"/>
      <c r="K5889" s="422"/>
      <c r="M5889" s="366"/>
    </row>
    <row r="5890" spans="1:13" x14ac:dyDescent="0.25">
      <c r="A5890" s="308">
        <v>45962</v>
      </c>
      <c r="B5890" s="416">
        <v>418525</v>
      </c>
      <c r="C5890" s="638" t="str">
        <f>IFERROR(INDEX(Table14[],MATCH($B5890,Table14[SAPNo],0),3),"")</f>
        <v>Drop In 1308 CT31   (B)</v>
      </c>
      <c r="D5890" s="420" t="s">
        <v>12</v>
      </c>
      <c r="E5890" s="421">
        <v>6</v>
      </c>
      <c r="F5890" s="421"/>
      <c r="G5890" s="417" t="s">
        <v>3321</v>
      </c>
      <c r="H5890" s="598">
        <v>14460087</v>
      </c>
      <c r="I5890" s="322" t="s">
        <v>2640</v>
      </c>
      <c r="J5890" s="418"/>
      <c r="K5890" s="248"/>
      <c r="M5890" s="422"/>
    </row>
    <row r="5891" spans="1:13" x14ac:dyDescent="0.25">
      <c r="A5891" s="308">
        <v>45962</v>
      </c>
      <c r="B5891" s="416">
        <v>1200972</v>
      </c>
      <c r="C5891" s="638" t="str">
        <f>IFERROR(INDEX(Table14[],MATCH($B5891,Table14[SAPNo],0),3),"")</f>
        <v xml:space="preserve">8MM WC-MAT400 </v>
      </c>
      <c r="D5891" s="420" t="s">
        <v>12</v>
      </c>
      <c r="E5891" s="421">
        <v>1</v>
      </c>
      <c r="F5891" s="580"/>
      <c r="G5891" s="417" t="s">
        <v>3321</v>
      </c>
      <c r="H5891" s="598">
        <v>14460087</v>
      </c>
      <c r="I5891" s="322" t="s">
        <v>2640</v>
      </c>
      <c r="J5891" s="418"/>
      <c r="K5891" s="248"/>
      <c r="M5891" s="366"/>
    </row>
    <row r="5892" spans="1:13" x14ac:dyDescent="0.25">
      <c r="A5892" s="308">
        <v>45962</v>
      </c>
      <c r="B5892" s="416">
        <v>1186963</v>
      </c>
      <c r="C5892" s="638" t="str">
        <f>IFERROR(INDEX(Table14[],MATCH($B5892,Table14[SAPNo],0),3),"")</f>
        <v>1313 CT182H 10C</v>
      </c>
      <c r="D5892" s="420" t="s">
        <v>12</v>
      </c>
      <c r="E5892" s="421">
        <v>1</v>
      </c>
      <c r="F5892" s="580"/>
      <c r="G5892" s="417" t="s">
        <v>3321</v>
      </c>
      <c r="H5892" s="598">
        <v>14460087</v>
      </c>
      <c r="I5892" s="322" t="s">
        <v>2640</v>
      </c>
      <c r="J5892" s="418"/>
      <c r="K5892" s="248"/>
      <c r="M5892" s="366"/>
    </row>
    <row r="5893" spans="1:13" x14ac:dyDescent="0.25">
      <c r="A5893" s="308">
        <v>45962</v>
      </c>
      <c r="B5893" s="416">
        <v>1146346</v>
      </c>
      <c r="C5893" s="638" t="str">
        <f>IFERROR(INDEX(Table14[],MATCH($B5893,Table14[SAPNo],0),3),"")</f>
        <v>1313 CT418 18-60</v>
      </c>
      <c r="D5893" s="420" t="s">
        <v>12</v>
      </c>
      <c r="E5893" s="421">
        <v>12</v>
      </c>
      <c r="F5893" s="580"/>
      <c r="G5893" s="417" t="s">
        <v>3321</v>
      </c>
      <c r="H5893" s="598">
        <v>14460087</v>
      </c>
      <c r="I5893" s="322" t="s">
        <v>2640</v>
      </c>
      <c r="J5893" s="418"/>
      <c r="K5893" s="248"/>
      <c r="M5893" s="366"/>
    </row>
    <row r="5894" spans="1:13" x14ac:dyDescent="0.25">
      <c r="A5894" s="308">
        <v>45962</v>
      </c>
      <c r="B5894" s="416">
        <v>1101509</v>
      </c>
      <c r="C5894" s="638" t="str">
        <f>IFERROR(INDEX(Table14[],MATCH($B5894,Table14[SAPNo],0),3),"")</f>
        <v>Short IA 8    (C)</v>
      </c>
      <c r="D5894" s="420" t="s">
        <v>12</v>
      </c>
      <c r="E5894" s="421">
        <v>4</v>
      </c>
      <c r="F5894" s="580"/>
      <c r="G5894" s="417" t="s">
        <v>3321</v>
      </c>
      <c r="H5894" s="598">
        <v>14460087</v>
      </c>
      <c r="I5894" s="322" t="s">
        <v>2640</v>
      </c>
      <c r="J5894" s="418"/>
      <c r="K5894" s="248"/>
      <c r="M5894" s="366"/>
    </row>
    <row r="5895" spans="1:13" x14ac:dyDescent="0.25">
      <c r="A5895" s="320">
        <v>45962</v>
      </c>
      <c r="B5895" s="419">
        <v>1136984</v>
      </c>
      <c r="C5895" s="638" t="str">
        <f>IFERROR(INDEX(Table14[],MATCH($B5895,Table14[SAPNo],0),3),"")</f>
        <v>DBLMCHT 1313 CT182DM  10C (S)</v>
      </c>
      <c r="D5895" s="420" t="s">
        <v>1072</v>
      </c>
      <c r="E5895" s="421">
        <v>13</v>
      </c>
      <c r="F5895" s="580"/>
      <c r="G5895" s="420" t="s">
        <v>3321</v>
      </c>
      <c r="H5895" s="599">
        <v>14460087</v>
      </c>
      <c r="I5895" s="322" t="s">
        <v>2640</v>
      </c>
      <c r="J5895" s="421"/>
      <c r="K5895" s="422" t="s">
        <v>3151</v>
      </c>
      <c r="M5895" s="366"/>
    </row>
    <row r="5896" spans="1:13" x14ac:dyDescent="0.25">
      <c r="A5896" s="308">
        <v>45963</v>
      </c>
      <c r="B5896" s="416">
        <v>1208601</v>
      </c>
      <c r="C5896" s="638" t="str">
        <f>IFERROR(INDEX(Table14[],MATCH($B5896,Table14[SAPNo],0),3),"")</f>
        <v>1613 CT418 U-60</v>
      </c>
      <c r="D5896" s="420" t="s">
        <v>12</v>
      </c>
      <c r="E5896" s="421">
        <v>2</v>
      </c>
      <c r="F5896" s="421"/>
      <c r="G5896" s="417" t="s">
        <v>3322</v>
      </c>
      <c r="H5896" s="598">
        <v>14178466</v>
      </c>
      <c r="I5896" s="322" t="s">
        <v>3323</v>
      </c>
      <c r="J5896" s="418"/>
      <c r="K5896" s="248"/>
      <c r="M5896" s="422"/>
    </row>
    <row r="5897" spans="1:13" x14ac:dyDescent="0.25">
      <c r="A5897" s="308">
        <v>45963</v>
      </c>
      <c r="B5897" s="416">
        <v>1271790</v>
      </c>
      <c r="C5897" s="638" t="str">
        <f>IFERROR(INDEX(Table14[],MATCH($B5897,Table14[SAPNo],0),3),"")</f>
        <v xml:space="preserve">1613 CT170 18-60 </v>
      </c>
      <c r="D5897" s="420" t="s">
        <v>12</v>
      </c>
      <c r="E5897" s="421">
        <v>1</v>
      </c>
      <c r="F5897" s="580"/>
      <c r="G5897" s="417" t="s">
        <v>3322</v>
      </c>
      <c r="H5897" s="598">
        <v>14178466</v>
      </c>
      <c r="I5897" s="322" t="s">
        <v>3323</v>
      </c>
      <c r="J5897" s="418"/>
      <c r="K5897" s="248"/>
      <c r="M5897" s="366"/>
    </row>
    <row r="5898" spans="1:13" x14ac:dyDescent="0.25">
      <c r="A5898" s="308">
        <v>45963</v>
      </c>
      <c r="B5898" s="416">
        <v>418525</v>
      </c>
      <c r="C5898" s="638" t="str">
        <f>IFERROR(INDEX(Table14[],MATCH($B5898,Table14[SAPNo],0),3),"")</f>
        <v>Drop In 1308 CT31   (B)</v>
      </c>
      <c r="D5898" s="420" t="s">
        <v>12</v>
      </c>
      <c r="E5898" s="421">
        <v>6</v>
      </c>
      <c r="F5898" s="580"/>
      <c r="G5898" s="417" t="s">
        <v>3322</v>
      </c>
      <c r="H5898" s="598">
        <v>14178466</v>
      </c>
      <c r="I5898" s="322" t="s">
        <v>3323</v>
      </c>
      <c r="J5898" s="418"/>
      <c r="K5898" s="248"/>
      <c r="M5898" s="366"/>
    </row>
    <row r="5899" spans="1:13" x14ac:dyDescent="0.25">
      <c r="A5899" s="308">
        <v>45963</v>
      </c>
      <c r="B5899" s="416">
        <v>647435</v>
      </c>
      <c r="C5899" s="638" t="str">
        <f>IFERROR(INDEX(Table14[],MATCH($B5899,Table14[SAPNo],0),3),"")</f>
        <v>Round 1608 CT200  0.018" (B)</v>
      </c>
      <c r="D5899" s="420" t="s">
        <v>12</v>
      </c>
      <c r="E5899" s="421">
        <v>1</v>
      </c>
      <c r="F5899" s="580"/>
      <c r="G5899" s="417" t="s">
        <v>3324</v>
      </c>
      <c r="H5899" s="598">
        <v>14228454</v>
      </c>
      <c r="I5899" s="322" t="s">
        <v>3325</v>
      </c>
      <c r="J5899" s="418"/>
      <c r="K5899" s="248"/>
      <c r="M5899" s="366"/>
    </row>
    <row r="5900" spans="1:13" x14ac:dyDescent="0.25">
      <c r="A5900" s="308">
        <v>45963</v>
      </c>
      <c r="B5900" s="416">
        <v>1130198</v>
      </c>
      <c r="C5900" s="638" t="str">
        <f>IFERROR(INDEX(Table14[],MATCH($B5900,Table14[SAPNo],0),3),"")</f>
        <v>Round 1613 CT182  0.018" (S)</v>
      </c>
      <c r="D5900" s="420" t="s">
        <v>1072</v>
      </c>
      <c r="E5900" s="421">
        <v>4</v>
      </c>
      <c r="F5900" s="580"/>
      <c r="G5900" s="417" t="s">
        <v>3324</v>
      </c>
      <c r="H5900" s="598">
        <v>14228454</v>
      </c>
      <c r="I5900" s="322" t="s">
        <v>3325</v>
      </c>
      <c r="J5900" s="418"/>
      <c r="K5900" s="248" t="s">
        <v>3151</v>
      </c>
      <c r="M5900" s="366"/>
    </row>
    <row r="5901" spans="1:13" x14ac:dyDescent="0.25">
      <c r="A5901" s="308">
        <v>45964</v>
      </c>
      <c r="B5901" s="416">
        <v>1130197</v>
      </c>
      <c r="C5901" s="638" t="str">
        <f>IFERROR(INDEX(Table14[],MATCH($B5901,Table14[SAPNo],0),3),"")</f>
        <v>Round 1608 CT182  0.018" (S)</v>
      </c>
      <c r="D5901" s="420" t="s">
        <v>12</v>
      </c>
      <c r="E5901" s="421">
        <v>1</v>
      </c>
      <c r="F5901" s="580"/>
      <c r="G5901" s="417" t="s">
        <v>3326</v>
      </c>
      <c r="H5901" s="598">
        <v>13567255</v>
      </c>
      <c r="I5901" s="322" t="s">
        <v>2233</v>
      </c>
      <c r="J5901" s="418"/>
      <c r="K5901" s="248"/>
      <c r="M5901" s="366"/>
    </row>
    <row r="5902" spans="1:13" x14ac:dyDescent="0.25">
      <c r="A5902" s="308">
        <v>45964</v>
      </c>
      <c r="B5902" s="416">
        <v>418525</v>
      </c>
      <c r="C5902" s="638" t="str">
        <f>IFERROR(INDEX(Table14[],MATCH($B5902,Table14[SAPNo],0),3),"")</f>
        <v>Drop In 1308 CT31   (B)</v>
      </c>
      <c r="D5902" s="420" t="s">
        <v>12</v>
      </c>
      <c r="E5902" s="421">
        <v>6</v>
      </c>
      <c r="F5902" s="580"/>
      <c r="G5902" s="417" t="s">
        <v>3326</v>
      </c>
      <c r="H5902" s="598">
        <v>13567255</v>
      </c>
      <c r="I5902" s="322" t="s">
        <v>2233</v>
      </c>
      <c r="J5902" s="418"/>
      <c r="K5902" s="248"/>
      <c r="M5902" s="366"/>
    </row>
    <row r="5903" spans="1:13" x14ac:dyDescent="0.25">
      <c r="A5903" s="308">
        <v>45964</v>
      </c>
      <c r="B5903" s="416">
        <v>1130198</v>
      </c>
      <c r="C5903" s="638" t="str">
        <f>IFERROR(INDEX(Table14[],MATCH($B5903,Table14[SAPNo],0),3),"")</f>
        <v>Round 1613 CT182  0.018" (S)</v>
      </c>
      <c r="D5903" s="420" t="s">
        <v>8</v>
      </c>
      <c r="E5903" s="421">
        <v>2</v>
      </c>
      <c r="F5903" s="580"/>
      <c r="G5903" s="417" t="s">
        <v>3326</v>
      </c>
      <c r="H5903" s="598">
        <v>13567255</v>
      </c>
      <c r="I5903" s="322" t="s">
        <v>2233</v>
      </c>
      <c r="J5903" s="418"/>
      <c r="K5903" s="248"/>
      <c r="M5903" s="366"/>
    </row>
    <row r="5904" spans="1:13" x14ac:dyDescent="0.25">
      <c r="A5904" s="308">
        <v>45964</v>
      </c>
      <c r="B5904" s="416">
        <v>1136984</v>
      </c>
      <c r="C5904" s="638" t="str">
        <f>IFERROR(INDEX(Table14[],MATCH($B5904,Table14[SAPNo],0),3),"")</f>
        <v>DBLMCHT 1313 CT182DM  10C (S)</v>
      </c>
      <c r="D5904" s="420" t="s">
        <v>12</v>
      </c>
      <c r="E5904" s="421">
        <v>1</v>
      </c>
      <c r="F5904" s="580"/>
      <c r="G5904" s="417" t="s">
        <v>3321</v>
      </c>
      <c r="H5904" s="598">
        <v>14460087</v>
      </c>
      <c r="I5904" s="322" t="s">
        <v>2640</v>
      </c>
      <c r="J5904" s="418"/>
      <c r="K5904" s="248" t="s">
        <v>2546</v>
      </c>
      <c r="M5904" s="366"/>
    </row>
    <row r="5905" spans="1:13" x14ac:dyDescent="0.25">
      <c r="A5905" s="308">
        <v>45964</v>
      </c>
      <c r="B5905" s="416">
        <v>625854</v>
      </c>
      <c r="C5905" s="638" t="str">
        <f>IFERROR(INDEX(Table14[],MATCH($B5905,Table14[SAPNo],0),3),"")</f>
        <v>Carbide IA 1318    (C)</v>
      </c>
      <c r="D5905" s="420" t="s">
        <v>12</v>
      </c>
      <c r="E5905" s="421">
        <v>19</v>
      </c>
      <c r="F5905" s="580"/>
      <c r="G5905" s="417" t="s">
        <v>3327</v>
      </c>
      <c r="H5905" s="598">
        <v>14403803</v>
      </c>
      <c r="I5905" s="322" t="s">
        <v>3328</v>
      </c>
      <c r="J5905" s="418"/>
      <c r="K5905" s="248"/>
      <c r="M5905" s="366"/>
    </row>
    <row r="5906" spans="1:13" x14ac:dyDescent="0.25">
      <c r="A5906" s="308">
        <v>45964</v>
      </c>
      <c r="B5906" s="416">
        <v>647436</v>
      </c>
      <c r="C5906" s="638" t="str">
        <f>IFERROR(INDEX(Table14[],MATCH($B5906,Table14[SAPNo],0),3),"")</f>
        <v>Round 1613 CT200  0.018" (B)</v>
      </c>
      <c r="D5906" s="420" t="s">
        <v>12</v>
      </c>
      <c r="E5906" s="421">
        <v>33</v>
      </c>
      <c r="F5906" s="580"/>
      <c r="G5906" s="417" t="s">
        <v>3327</v>
      </c>
      <c r="H5906" s="598">
        <v>14403803</v>
      </c>
      <c r="I5906" s="322" t="s">
        <v>3328</v>
      </c>
      <c r="J5906" s="418"/>
      <c r="K5906" s="248"/>
      <c r="M5906" s="366"/>
    </row>
    <row r="5907" spans="1:13" x14ac:dyDescent="0.25">
      <c r="A5907" s="308">
        <v>45964</v>
      </c>
      <c r="B5907" s="416">
        <v>1146738</v>
      </c>
      <c r="C5907" s="638" t="str">
        <f>IFERROR(INDEX(Table14[],MATCH($B5907,Table14[SAPNo],0),3),"")</f>
        <v>1913 CT418 18-60</v>
      </c>
      <c r="D5907" s="420" t="s">
        <v>12</v>
      </c>
      <c r="E5907" s="421">
        <v>13</v>
      </c>
      <c r="F5907" s="580"/>
      <c r="G5907" s="417" t="s">
        <v>3327</v>
      </c>
      <c r="H5907" s="598">
        <v>14403803</v>
      </c>
      <c r="I5907" s="322" t="s">
        <v>3328</v>
      </c>
      <c r="J5907" s="418"/>
      <c r="K5907" s="248"/>
      <c r="M5907" s="366"/>
    </row>
    <row r="5908" spans="1:13" x14ac:dyDescent="0.25">
      <c r="A5908" s="308">
        <v>45964</v>
      </c>
      <c r="B5908" s="416">
        <v>1288783</v>
      </c>
      <c r="C5908" s="638" t="str">
        <f>IFERROR(INDEX(Table14[],MATCH($B5908,Table14[SAPNo],0),3),"")</f>
        <v>1613 CT179 18-60</v>
      </c>
      <c r="D5908" s="420" t="s">
        <v>12</v>
      </c>
      <c r="E5908" s="421">
        <v>15</v>
      </c>
      <c r="F5908" s="580"/>
      <c r="G5908" s="417" t="s">
        <v>3327</v>
      </c>
      <c r="H5908" s="598">
        <v>14403803</v>
      </c>
      <c r="I5908" s="322" t="s">
        <v>3328</v>
      </c>
      <c r="J5908" s="418"/>
      <c r="K5908" s="248"/>
      <c r="M5908" s="366"/>
    </row>
    <row r="5909" spans="1:13" x14ac:dyDescent="0.25">
      <c r="A5909" s="308">
        <v>45964</v>
      </c>
      <c r="B5909" s="416">
        <v>1146737</v>
      </c>
      <c r="C5909" s="638" t="str">
        <f>IFERROR(INDEX(Table14[],MATCH($B5909,Table14[SAPNo],0),3),"")</f>
        <v>1613 CT418 18-60</v>
      </c>
      <c r="D5909" s="420" t="s">
        <v>12</v>
      </c>
      <c r="E5909" s="421">
        <v>11</v>
      </c>
      <c r="F5909" s="580"/>
      <c r="G5909" s="417" t="s">
        <v>3327</v>
      </c>
      <c r="H5909" s="598">
        <v>14403803</v>
      </c>
      <c r="I5909" s="322" t="s">
        <v>3328</v>
      </c>
      <c r="J5909" s="418"/>
      <c r="K5909" s="248"/>
      <c r="M5909" s="366"/>
    </row>
    <row r="5910" spans="1:13" x14ac:dyDescent="0.25">
      <c r="A5910" s="308">
        <v>45964</v>
      </c>
      <c r="B5910" s="416">
        <v>871781</v>
      </c>
      <c r="C5910" s="638" t="str">
        <f>IFERROR(INDEX(Table14[],MATCH($B5910,Table14[SAPNo],0),3),"")</f>
        <v>Round 1313 CT200  0.018" (B)</v>
      </c>
      <c r="D5910" s="420" t="s">
        <v>12</v>
      </c>
      <c r="E5910" s="421">
        <v>7</v>
      </c>
      <c r="F5910" s="580"/>
      <c r="G5910" s="417" t="s">
        <v>3327</v>
      </c>
      <c r="H5910" s="598">
        <v>14403803</v>
      </c>
      <c r="I5910" s="322" t="s">
        <v>3328</v>
      </c>
      <c r="J5910" s="418"/>
      <c r="K5910" s="248"/>
      <c r="M5910" s="366"/>
    </row>
    <row r="5911" spans="1:13" x14ac:dyDescent="0.25">
      <c r="A5911" s="308">
        <v>45964</v>
      </c>
      <c r="B5911" s="416">
        <v>1296685</v>
      </c>
      <c r="C5911" s="638" t="str">
        <f>IFERROR(INDEX(Table14[],MATCH($B5911,Table14[SAPNo],0),3),"")</f>
        <v>1613 CT179R U</v>
      </c>
      <c r="D5911" s="420" t="s">
        <v>12</v>
      </c>
      <c r="E5911" s="421">
        <v>37</v>
      </c>
      <c r="F5911" s="580"/>
      <c r="G5911" s="417" t="s">
        <v>3327</v>
      </c>
      <c r="H5911" s="598">
        <v>14403803</v>
      </c>
      <c r="I5911" s="322" t="s">
        <v>3328</v>
      </c>
      <c r="J5911" s="418"/>
      <c r="K5911" s="248"/>
      <c r="M5911" s="366"/>
    </row>
    <row r="5912" spans="1:13" x14ac:dyDescent="0.25">
      <c r="A5912" s="308">
        <v>45959</v>
      </c>
      <c r="B5912" s="416">
        <v>1282370</v>
      </c>
      <c r="C5912" s="638" t="str">
        <f>IFERROR(INDEX(Table14[],MATCH($B5912,Table14[SAPNo],0),3),"")</f>
        <v>1613 CT436Mv3 U-60</v>
      </c>
      <c r="D5912" s="420" t="s">
        <v>12</v>
      </c>
      <c r="E5912" s="421">
        <v>3</v>
      </c>
      <c r="F5912" s="580"/>
      <c r="G5912" s="417" t="s">
        <v>3314</v>
      </c>
      <c r="H5912" s="598" t="s">
        <v>3315</v>
      </c>
      <c r="I5912" s="322" t="s">
        <v>3316</v>
      </c>
      <c r="J5912" s="418"/>
      <c r="K5912" s="248"/>
      <c r="M5912" s="366"/>
    </row>
    <row r="5913" spans="1:13" x14ac:dyDescent="0.25">
      <c r="A5913" s="308">
        <v>45965</v>
      </c>
      <c r="B5913" s="416">
        <v>1134752</v>
      </c>
      <c r="C5913" s="638" t="str">
        <f>IFERROR(INDEX(Table14[],MATCH($B5913,Table14[SAPNo],0),3),"")</f>
        <v>Round 1308 CT182  0.018" (S)</v>
      </c>
      <c r="D5913" s="420" t="s">
        <v>12</v>
      </c>
      <c r="E5913" s="421">
        <v>2</v>
      </c>
      <c r="F5913" s="580"/>
      <c r="G5913" s="417" t="s">
        <v>3329</v>
      </c>
      <c r="H5913" s="598">
        <v>14442328</v>
      </c>
      <c r="I5913" s="322" t="s">
        <v>3330</v>
      </c>
      <c r="J5913" s="418"/>
      <c r="K5913" s="248"/>
      <c r="M5913" s="366"/>
    </row>
    <row r="5914" spans="1:13" x14ac:dyDescent="0.25">
      <c r="A5914" s="308">
        <v>45965</v>
      </c>
      <c r="B5914" s="416">
        <v>1146737</v>
      </c>
      <c r="C5914" s="638" t="str">
        <f>IFERROR(INDEX(Table14[],MATCH($B5914,Table14[SAPNo],0),3),"")</f>
        <v>1613 CT418 18-60</v>
      </c>
      <c r="D5914" s="420" t="s">
        <v>12</v>
      </c>
      <c r="E5914" s="421">
        <v>6</v>
      </c>
      <c r="F5914" s="580"/>
      <c r="G5914" s="417" t="s">
        <v>3329</v>
      </c>
      <c r="H5914" s="598">
        <v>14442328</v>
      </c>
      <c r="I5914" s="322" t="s">
        <v>3330</v>
      </c>
      <c r="J5914" s="418"/>
      <c r="K5914" s="248"/>
      <c r="M5914" s="366"/>
    </row>
    <row r="5915" spans="1:13" x14ac:dyDescent="0.25">
      <c r="A5915" s="308">
        <v>45965</v>
      </c>
      <c r="B5915" s="416">
        <v>1100749</v>
      </c>
      <c r="C5915" s="638" t="str">
        <f>IFERROR(INDEX(Table14[],MATCH($B5915,Table14[SAPNo],0),3),"")</f>
        <v>1308 CT421 0.018"</v>
      </c>
      <c r="D5915" s="420" t="s">
        <v>12</v>
      </c>
      <c r="E5915" s="421">
        <v>1</v>
      </c>
      <c r="F5915" s="580"/>
      <c r="G5915" s="417" t="s">
        <v>3329</v>
      </c>
      <c r="H5915" s="598">
        <v>14442328</v>
      </c>
      <c r="I5915" s="322" t="s">
        <v>3330</v>
      </c>
      <c r="J5915" s="418"/>
      <c r="K5915" s="248"/>
      <c r="M5915" s="366"/>
    </row>
    <row r="5916" spans="1:13" x14ac:dyDescent="0.25">
      <c r="A5916" s="308">
        <v>45965</v>
      </c>
      <c r="B5916" s="416">
        <v>1282370</v>
      </c>
      <c r="C5916" s="638" t="str">
        <f>IFERROR(INDEX(Table14[],MATCH($B5916,Table14[SAPNo],0),3),"")</f>
        <v>1613 CT436Mv3 U-60</v>
      </c>
      <c r="D5916" s="420" t="s">
        <v>12</v>
      </c>
      <c r="E5916" s="421">
        <v>12</v>
      </c>
      <c r="F5916" s="580"/>
      <c r="G5916" s="417" t="s">
        <v>3329</v>
      </c>
      <c r="H5916" s="598">
        <v>14442328</v>
      </c>
      <c r="I5916" s="322" t="s">
        <v>3330</v>
      </c>
      <c r="J5916" s="418"/>
      <c r="K5916" s="248"/>
      <c r="M5916" s="366"/>
    </row>
    <row r="5917" spans="1:13" x14ac:dyDescent="0.25">
      <c r="A5917" s="308">
        <v>45965</v>
      </c>
      <c r="B5917" s="416">
        <v>871781</v>
      </c>
      <c r="C5917" s="638" t="str">
        <f>IFERROR(INDEX(Table14[],MATCH($B5917,Table14[SAPNo],0),3),"")</f>
        <v>Round 1313 CT200  0.018" (B)</v>
      </c>
      <c r="D5917" s="420" t="s">
        <v>12</v>
      </c>
      <c r="E5917" s="421">
        <v>6</v>
      </c>
      <c r="F5917" s="580"/>
      <c r="G5917" s="417" t="s">
        <v>3329</v>
      </c>
      <c r="H5917" s="598">
        <v>14442328</v>
      </c>
      <c r="I5917" s="322" t="s">
        <v>3330</v>
      </c>
      <c r="J5917" s="418"/>
      <c r="K5917" s="248"/>
      <c r="M5917" s="366"/>
    </row>
    <row r="5918" spans="1:13" x14ac:dyDescent="0.25">
      <c r="A5918" s="308">
        <v>45965</v>
      </c>
      <c r="B5918" s="416">
        <v>1288783</v>
      </c>
      <c r="C5918" s="638" t="str">
        <f>IFERROR(INDEX(Table14[],MATCH($B5918,Table14[SAPNo],0),3),"")</f>
        <v>1613 CT179 18-60</v>
      </c>
      <c r="D5918" s="420" t="s">
        <v>12</v>
      </c>
      <c r="E5918" s="421">
        <v>5</v>
      </c>
      <c r="F5918" s="580"/>
      <c r="G5918" s="417" t="s">
        <v>3329</v>
      </c>
      <c r="H5918" s="598">
        <v>14442328</v>
      </c>
      <c r="I5918" s="322" t="s">
        <v>3330</v>
      </c>
      <c r="J5918" s="418"/>
      <c r="K5918" s="248"/>
      <c r="M5918" s="366"/>
    </row>
    <row r="5919" spans="1:13" x14ac:dyDescent="0.25">
      <c r="A5919" s="308">
        <v>45965</v>
      </c>
      <c r="B5919" s="416">
        <v>2001060</v>
      </c>
      <c r="C5919" s="638" t="str">
        <f>IFERROR(INDEX(Table14[],MATCH($B5919,Table14[SAPNo],0),3),"")</f>
        <v>1613 CT179T U-60</v>
      </c>
      <c r="D5919" s="420" t="s">
        <v>12</v>
      </c>
      <c r="E5919" s="421">
        <v>7</v>
      </c>
      <c r="F5919" s="580"/>
      <c r="G5919" s="417" t="s">
        <v>3329</v>
      </c>
      <c r="H5919" s="598">
        <v>14442328</v>
      </c>
      <c r="I5919" s="322" t="s">
        <v>3330</v>
      </c>
      <c r="J5919" s="418"/>
      <c r="K5919" s="248"/>
      <c r="M5919" s="366"/>
    </row>
    <row r="5920" spans="1:13" x14ac:dyDescent="0.25">
      <c r="A5920" s="308">
        <v>45965</v>
      </c>
      <c r="B5920" s="416">
        <v>1208601</v>
      </c>
      <c r="C5920" s="638" t="str">
        <f>IFERROR(INDEX(Table14[],MATCH($B5920,Table14[SAPNo],0),3),"")</f>
        <v>1613 CT418 U-60</v>
      </c>
      <c r="D5920" s="420" t="s">
        <v>12</v>
      </c>
      <c r="E5920" s="421">
        <v>1</v>
      </c>
      <c r="F5920" s="580"/>
      <c r="G5920" s="417" t="s">
        <v>3329</v>
      </c>
      <c r="H5920" s="598">
        <v>14442328</v>
      </c>
      <c r="I5920" s="322" t="s">
        <v>3330</v>
      </c>
      <c r="J5920" s="418"/>
      <c r="K5920" s="248"/>
      <c r="M5920" s="366"/>
    </row>
    <row r="5921" spans="1:13" x14ac:dyDescent="0.25">
      <c r="A5921" s="308">
        <v>45965</v>
      </c>
      <c r="B5921" s="416">
        <v>1134752</v>
      </c>
      <c r="C5921" s="638" t="str">
        <f>IFERROR(INDEX(Table14[],MATCH($B5921,Table14[SAPNo],0),3),"")</f>
        <v>Round 1308 CT182  0.018" (S)</v>
      </c>
      <c r="D5921" s="420" t="s">
        <v>8</v>
      </c>
      <c r="E5921" s="421">
        <v>6</v>
      </c>
      <c r="F5921" s="580"/>
      <c r="G5921" s="417" t="s">
        <v>3329</v>
      </c>
      <c r="H5921" s="598">
        <v>14442328</v>
      </c>
      <c r="I5921" s="322" t="s">
        <v>3330</v>
      </c>
      <c r="J5921" s="418"/>
      <c r="K5921" s="248" t="s">
        <v>3068</v>
      </c>
      <c r="M5921" s="366"/>
    </row>
    <row r="5922" spans="1:13" x14ac:dyDescent="0.25">
      <c r="A5922" s="308">
        <v>45965</v>
      </c>
      <c r="B5922" s="416">
        <v>643738</v>
      </c>
      <c r="C5922" s="638" t="str">
        <f>IFERROR(INDEX(Table14[],MATCH($B5922,Table14[SAPNo],0),3),"")</f>
        <v>Round 1608 CT70  0.018" (S)</v>
      </c>
      <c r="D5922" s="420" t="s">
        <v>8</v>
      </c>
      <c r="E5922" s="421">
        <v>6</v>
      </c>
      <c r="F5922" s="580"/>
      <c r="G5922" s="417" t="s">
        <v>3329</v>
      </c>
      <c r="H5922" s="598">
        <v>14442328</v>
      </c>
      <c r="I5922" s="322" t="s">
        <v>3330</v>
      </c>
      <c r="J5922" s="418"/>
      <c r="K5922" s="248" t="s">
        <v>3068</v>
      </c>
      <c r="M5922" s="366"/>
    </row>
    <row r="5923" spans="1:13" x14ac:dyDescent="0.25">
      <c r="A5923" s="320">
        <v>45965</v>
      </c>
      <c r="B5923" s="419">
        <v>1134752</v>
      </c>
      <c r="C5923" s="638" t="str">
        <f>IFERROR(INDEX(Table14[],MATCH($B5923,Table14[SAPNo],0),3),"")</f>
        <v>Round 1308 CT182  0.018" (S)</v>
      </c>
      <c r="D5923" s="420" t="s">
        <v>1072</v>
      </c>
      <c r="E5923" s="421">
        <v>3</v>
      </c>
      <c r="F5923" s="580"/>
      <c r="G5923" s="420" t="s">
        <v>3329</v>
      </c>
      <c r="H5923" s="599">
        <v>14442328</v>
      </c>
      <c r="I5923" s="322" t="s">
        <v>3330</v>
      </c>
      <c r="J5923" s="421"/>
      <c r="K5923" s="422" t="s">
        <v>3151</v>
      </c>
      <c r="M5923" s="366"/>
    </row>
    <row r="5924" spans="1:13" x14ac:dyDescent="0.25">
      <c r="A5924" s="308">
        <v>45965</v>
      </c>
      <c r="B5924" s="416">
        <v>647436</v>
      </c>
      <c r="C5924" s="638" t="str">
        <f>IFERROR(INDEX(Table14[],MATCH($B5924,Table14[SAPNo],0),3),"")</f>
        <v>Round 1613 CT200  0.018" (B)</v>
      </c>
      <c r="D5924" s="420" t="s">
        <v>8</v>
      </c>
      <c r="E5924" s="421"/>
      <c r="F5924" s="421">
        <v>22</v>
      </c>
      <c r="G5924" s="417" t="s">
        <v>3331</v>
      </c>
      <c r="H5924" s="598">
        <v>13293022</v>
      </c>
      <c r="I5924" s="322" t="s">
        <v>3332</v>
      </c>
      <c r="J5924" s="418"/>
      <c r="K5924" s="248" t="s">
        <v>3068</v>
      </c>
      <c r="M5924" s="422"/>
    </row>
    <row r="5925" spans="1:13" x14ac:dyDescent="0.25">
      <c r="A5925" s="308">
        <v>45965</v>
      </c>
      <c r="B5925" s="416">
        <v>871781</v>
      </c>
      <c r="C5925" s="638" t="str">
        <f>IFERROR(INDEX(Table14[],MATCH($B5925,Table14[SAPNo],0),3),"")</f>
        <v>Round 1313 CT200  0.018" (B)</v>
      </c>
      <c r="D5925" s="420" t="s">
        <v>8</v>
      </c>
      <c r="E5925" s="421"/>
      <c r="F5925" s="580">
        <v>6</v>
      </c>
      <c r="G5925" s="417" t="s">
        <v>3331</v>
      </c>
      <c r="H5925" s="598">
        <v>13293022</v>
      </c>
      <c r="I5925" s="322" t="s">
        <v>3332</v>
      </c>
      <c r="J5925" s="418"/>
      <c r="K5925" s="248" t="s">
        <v>3068</v>
      </c>
      <c r="M5925" s="366"/>
    </row>
    <row r="5926" spans="1:13" x14ac:dyDescent="0.25">
      <c r="A5926" s="308">
        <v>45965</v>
      </c>
      <c r="B5926" s="416">
        <v>1130200</v>
      </c>
      <c r="C5926" s="638" t="str">
        <f>IFERROR(INDEX(Table14[],MATCH($B5926,Table14[SAPNo],0),3),"")</f>
        <v>Round 1913 CT182  0.018" (S)</v>
      </c>
      <c r="D5926" s="420" t="s">
        <v>8</v>
      </c>
      <c r="E5926" s="421"/>
      <c r="F5926" s="580">
        <v>39</v>
      </c>
      <c r="G5926" s="417" t="s">
        <v>3331</v>
      </c>
      <c r="H5926" s="598">
        <v>13293022</v>
      </c>
      <c r="I5926" s="322" t="s">
        <v>3332</v>
      </c>
      <c r="J5926" s="418"/>
      <c r="K5926" s="248" t="s">
        <v>3068</v>
      </c>
      <c r="M5926" s="366"/>
    </row>
    <row r="5927" spans="1:13" x14ac:dyDescent="0.25">
      <c r="A5927" s="308">
        <v>45965</v>
      </c>
      <c r="B5927" s="416">
        <v>647436</v>
      </c>
      <c r="C5927" s="638" t="str">
        <f>IFERROR(INDEX(Table14[],MATCH($B5927,Table14[SAPNo],0),3),"")</f>
        <v>Round 1613 CT200  0.018" (B)</v>
      </c>
      <c r="D5927" s="420" t="s">
        <v>8</v>
      </c>
      <c r="E5927" s="421"/>
      <c r="F5927" s="580">
        <v>23</v>
      </c>
      <c r="G5927" s="417" t="s">
        <v>3333</v>
      </c>
      <c r="H5927" s="598">
        <v>13293024</v>
      </c>
      <c r="I5927" s="322" t="s">
        <v>3334</v>
      </c>
      <c r="J5927" s="418"/>
      <c r="K5927" s="248" t="s">
        <v>3068</v>
      </c>
      <c r="M5927" s="366"/>
    </row>
    <row r="5928" spans="1:13" x14ac:dyDescent="0.25">
      <c r="A5928" s="308">
        <v>45965</v>
      </c>
      <c r="B5928" s="416">
        <v>871781</v>
      </c>
      <c r="C5928" s="638" t="str">
        <f>IFERROR(INDEX(Table14[],MATCH($B5928,Table14[SAPNo],0),3),"")</f>
        <v>Round 1313 CT200  0.018" (B)</v>
      </c>
      <c r="D5928" s="420" t="s">
        <v>8</v>
      </c>
      <c r="E5928" s="421"/>
      <c r="F5928" s="580">
        <v>6</v>
      </c>
      <c r="G5928" s="417" t="s">
        <v>3333</v>
      </c>
      <c r="H5928" s="598">
        <v>13293024</v>
      </c>
      <c r="I5928" s="322" t="s">
        <v>3334</v>
      </c>
      <c r="J5928" s="418"/>
      <c r="K5928" s="248" t="s">
        <v>3068</v>
      </c>
      <c r="M5928" s="366"/>
    </row>
    <row r="5929" spans="1:13" x14ac:dyDescent="0.25">
      <c r="A5929" s="320">
        <v>45965</v>
      </c>
      <c r="B5929" s="419">
        <v>1130200</v>
      </c>
      <c r="C5929" s="638" t="str">
        <f>IFERROR(INDEX(Table14[],MATCH($B5929,Table14[SAPNo],0),3),"")</f>
        <v>Round 1913 CT182  0.018" (S)</v>
      </c>
      <c r="D5929" s="420" t="s">
        <v>8</v>
      </c>
      <c r="E5929" s="421"/>
      <c r="F5929" s="580">
        <v>40</v>
      </c>
      <c r="G5929" s="420" t="s">
        <v>3333</v>
      </c>
      <c r="H5929" s="599">
        <v>13293024</v>
      </c>
      <c r="I5929" s="322" t="s">
        <v>3334</v>
      </c>
      <c r="J5929" s="421"/>
      <c r="K5929" s="422" t="s">
        <v>3068</v>
      </c>
      <c r="M5929" s="366"/>
    </row>
    <row r="5930" spans="1:13" x14ac:dyDescent="0.25">
      <c r="A5930" s="320">
        <v>45966</v>
      </c>
      <c r="B5930" s="416">
        <v>2002299</v>
      </c>
      <c r="C5930" s="639" t="str">
        <f>IFERROR(INDEX(Table14[],MATCH($B5930,Table14[SAPNo],0),3),"")</f>
        <v>1613 CT187 U-60</v>
      </c>
      <c r="D5930" s="420" t="s">
        <v>12</v>
      </c>
      <c r="E5930" s="421"/>
      <c r="F5930" s="421">
        <v>1</v>
      </c>
      <c r="G5930" s="417" t="s">
        <v>2513</v>
      </c>
      <c r="H5930" s="598"/>
      <c r="I5930" s="322"/>
      <c r="J5930" s="418" t="s">
        <v>1022</v>
      </c>
      <c r="K5930" s="248"/>
      <c r="M5930" s="422"/>
    </row>
    <row r="5931" spans="1:13" x14ac:dyDescent="0.25">
      <c r="A5931" s="308">
        <v>45966</v>
      </c>
      <c r="B5931" s="416">
        <v>418525</v>
      </c>
      <c r="C5931" s="638" t="str">
        <f>IFERROR(INDEX(Table14[],MATCH($B5931,Table14[SAPNo],0),3),"")</f>
        <v>Drop In 1308 CT31   (B)</v>
      </c>
      <c r="D5931" s="420" t="s">
        <v>12</v>
      </c>
      <c r="E5931" s="421">
        <v>6</v>
      </c>
      <c r="F5931" s="421"/>
      <c r="G5931" s="417" t="s">
        <v>3335</v>
      </c>
      <c r="H5931" s="598">
        <v>13606246</v>
      </c>
      <c r="I5931" s="322" t="s">
        <v>2233</v>
      </c>
      <c r="J5931" s="418"/>
      <c r="K5931" s="248"/>
      <c r="M5931" s="422"/>
    </row>
    <row r="5932" spans="1:13" x14ac:dyDescent="0.25">
      <c r="A5932" s="308">
        <v>45966</v>
      </c>
      <c r="B5932" s="416">
        <v>1039058</v>
      </c>
      <c r="C5932" s="638" t="str">
        <f>IFERROR(INDEX(Table14[],MATCH($B5932,Table14[SAPNo],0),3),"")</f>
        <v>Round 1608 CT138  0.018" (S)</v>
      </c>
      <c r="D5932" s="420" t="s">
        <v>12</v>
      </c>
      <c r="E5932" s="421">
        <v>3</v>
      </c>
      <c r="F5932" s="580"/>
      <c r="G5932" s="417" t="s">
        <v>3335</v>
      </c>
      <c r="H5932" s="598">
        <v>13606246</v>
      </c>
      <c r="I5932" s="322" t="s">
        <v>2233</v>
      </c>
      <c r="J5932" s="418"/>
      <c r="K5932" s="248"/>
      <c r="M5932" s="366"/>
    </row>
    <row r="5933" spans="1:13" x14ac:dyDescent="0.25">
      <c r="A5933" s="308">
        <v>45966</v>
      </c>
      <c r="B5933" s="416">
        <v>1130198</v>
      </c>
      <c r="C5933" s="638" t="str">
        <f>IFERROR(INDEX(Table14[],MATCH($B5933,Table14[SAPNo],0),3),"")</f>
        <v>Round 1613 CT182  0.018" (S)</v>
      </c>
      <c r="D5933" s="420" t="s">
        <v>8</v>
      </c>
      <c r="E5933" s="421">
        <v>7</v>
      </c>
      <c r="F5933" s="580"/>
      <c r="G5933" s="417" t="s">
        <v>3335</v>
      </c>
      <c r="H5933" s="598">
        <v>13606246</v>
      </c>
      <c r="I5933" s="322" t="s">
        <v>2233</v>
      </c>
      <c r="J5933" s="418"/>
      <c r="K5933" s="248"/>
      <c r="M5933" s="366"/>
    </row>
    <row r="5934" spans="1:13" x14ac:dyDescent="0.25">
      <c r="A5934" s="308">
        <v>45966</v>
      </c>
      <c r="B5934" s="416">
        <v>1039058</v>
      </c>
      <c r="C5934" s="638" t="str">
        <f>IFERROR(INDEX(Table14[],MATCH($B5934,Table14[SAPNo],0),3),"")</f>
        <v>Round 1608 CT138  0.018" (S)</v>
      </c>
      <c r="D5934" s="420" t="s">
        <v>12</v>
      </c>
      <c r="E5934" s="421">
        <v>1</v>
      </c>
      <c r="F5934" s="580"/>
      <c r="G5934" s="417" t="s">
        <v>3336</v>
      </c>
      <c r="H5934" s="598">
        <v>13719625</v>
      </c>
      <c r="I5934" s="322" t="s">
        <v>3337</v>
      </c>
      <c r="J5934" s="418"/>
      <c r="K5934" s="248"/>
      <c r="M5934" s="366"/>
    </row>
    <row r="5935" spans="1:13" x14ac:dyDescent="0.25">
      <c r="A5935" s="308">
        <v>45966</v>
      </c>
      <c r="B5935" s="416">
        <v>418525</v>
      </c>
      <c r="C5935" s="638" t="str">
        <f>IFERROR(INDEX(Table14[],MATCH($B5935,Table14[SAPNo],0),3),"")</f>
        <v>Drop In 1308 CT31   (B)</v>
      </c>
      <c r="D5935" s="420" t="s">
        <v>12</v>
      </c>
      <c r="E5935" s="421">
        <v>6</v>
      </c>
      <c r="F5935" s="580"/>
      <c r="G5935" s="417" t="s">
        <v>3336</v>
      </c>
      <c r="H5935" s="598">
        <v>13719625</v>
      </c>
      <c r="I5935" s="322" t="s">
        <v>3337</v>
      </c>
      <c r="J5935" s="418"/>
      <c r="K5935" s="248"/>
      <c r="M5935" s="366"/>
    </row>
    <row r="5936" spans="1:13" x14ac:dyDescent="0.25">
      <c r="A5936" s="308">
        <v>45966</v>
      </c>
      <c r="B5936" s="416">
        <v>1130198</v>
      </c>
      <c r="C5936" s="638" t="str">
        <f>IFERROR(INDEX(Table14[],MATCH($B5936,Table14[SAPNo],0),3),"")</f>
        <v>Round 1613 CT182  0.018" (S)</v>
      </c>
      <c r="D5936" s="420" t="s">
        <v>8</v>
      </c>
      <c r="E5936" s="421">
        <v>1</v>
      </c>
      <c r="F5936" s="580"/>
      <c r="G5936" s="417" t="s">
        <v>3336</v>
      </c>
      <c r="H5936" s="598">
        <v>13719625</v>
      </c>
      <c r="I5936" s="322" t="s">
        <v>3337</v>
      </c>
      <c r="J5936" s="418"/>
      <c r="K5936" s="248"/>
      <c r="M5936" s="366"/>
    </row>
    <row r="5937" spans="1:13" x14ac:dyDescent="0.25">
      <c r="A5937" s="308">
        <v>45966</v>
      </c>
      <c r="B5937" s="416">
        <v>418525</v>
      </c>
      <c r="C5937" s="638" t="str">
        <f>IFERROR(INDEX(Table14[],MATCH($B5937,Table14[SAPNo],0),3),"")</f>
        <v>Drop In 1308 CT31   (B)</v>
      </c>
      <c r="D5937" s="420" t="s">
        <v>12</v>
      </c>
      <c r="E5937" s="421">
        <v>6</v>
      </c>
      <c r="F5937" s="580"/>
      <c r="G5937" s="417" t="s">
        <v>3338</v>
      </c>
      <c r="H5937" s="598">
        <v>13753282</v>
      </c>
      <c r="I5937" s="322" t="s">
        <v>2233</v>
      </c>
      <c r="J5937" s="418"/>
      <c r="K5937" s="248"/>
      <c r="M5937" s="366"/>
    </row>
    <row r="5938" spans="1:13" x14ac:dyDescent="0.25">
      <c r="A5938" s="308">
        <v>45966</v>
      </c>
      <c r="B5938" s="416">
        <v>1039058</v>
      </c>
      <c r="C5938" s="638" t="str">
        <f>IFERROR(INDEX(Table14[],MATCH($B5938,Table14[SAPNo],0),3),"")</f>
        <v>Round 1608 CT138  0.018" (S)</v>
      </c>
      <c r="D5938" s="420" t="s">
        <v>12</v>
      </c>
      <c r="E5938" s="421">
        <v>4</v>
      </c>
      <c r="F5938" s="580"/>
      <c r="G5938" s="417" t="s">
        <v>3338</v>
      </c>
      <c r="H5938" s="598">
        <v>13753282</v>
      </c>
      <c r="I5938" s="322" t="s">
        <v>2233</v>
      </c>
      <c r="J5938" s="418"/>
      <c r="K5938" s="248"/>
      <c r="M5938" s="366"/>
    </row>
    <row r="5939" spans="1:13" x14ac:dyDescent="0.25">
      <c r="A5939" s="308">
        <v>45966</v>
      </c>
      <c r="B5939" s="416">
        <v>1130198</v>
      </c>
      <c r="C5939" s="638" t="str">
        <f>IFERROR(INDEX(Table14[],MATCH($B5939,Table14[SAPNo],0),3),"")</f>
        <v>Round 1613 CT182  0.018" (S)</v>
      </c>
      <c r="D5939" s="420" t="s">
        <v>8</v>
      </c>
      <c r="E5939" s="421">
        <v>12</v>
      </c>
      <c r="F5939" s="580"/>
      <c r="G5939" s="417" t="s">
        <v>3338</v>
      </c>
      <c r="H5939" s="598">
        <v>13753282</v>
      </c>
      <c r="I5939" s="322" t="s">
        <v>2233</v>
      </c>
      <c r="J5939" s="418"/>
      <c r="K5939" s="248"/>
      <c r="M5939" s="366"/>
    </row>
    <row r="5940" spans="1:13" x14ac:dyDescent="0.25">
      <c r="A5940" s="308">
        <v>45966</v>
      </c>
      <c r="B5940" s="416">
        <v>418525</v>
      </c>
      <c r="C5940" s="638" t="str">
        <f>IFERROR(INDEX(Table14[],MATCH($B5940,Table14[SAPNo],0),3),"")</f>
        <v>Drop In 1308 CT31   (B)</v>
      </c>
      <c r="D5940" s="420" t="s">
        <v>12</v>
      </c>
      <c r="E5940" s="421">
        <v>6</v>
      </c>
      <c r="F5940" s="580"/>
      <c r="G5940" s="417" t="s">
        <v>3339</v>
      </c>
      <c r="H5940" s="598">
        <v>13845932</v>
      </c>
      <c r="I5940" s="322" t="s">
        <v>3337</v>
      </c>
      <c r="J5940" s="418"/>
      <c r="K5940" s="248"/>
      <c r="M5940" s="366"/>
    </row>
    <row r="5941" spans="1:13" x14ac:dyDescent="0.25">
      <c r="A5941" s="308">
        <v>45966</v>
      </c>
      <c r="B5941" s="416">
        <v>1039058</v>
      </c>
      <c r="C5941" s="638" t="str">
        <f>IFERROR(INDEX(Table14[],MATCH($B5941,Table14[SAPNo],0),3),"")</f>
        <v>Round 1608 CT138  0.018" (S)</v>
      </c>
      <c r="D5941" s="420" t="s">
        <v>12</v>
      </c>
      <c r="E5941" s="421">
        <v>1</v>
      </c>
      <c r="F5941" s="580"/>
      <c r="G5941" s="417" t="s">
        <v>3339</v>
      </c>
      <c r="H5941" s="598">
        <v>13845932</v>
      </c>
      <c r="I5941" s="322" t="s">
        <v>3337</v>
      </c>
      <c r="J5941" s="418"/>
      <c r="K5941" s="248"/>
      <c r="M5941" s="366"/>
    </row>
    <row r="5942" spans="1:13" x14ac:dyDescent="0.25">
      <c r="A5942" s="308">
        <v>45966</v>
      </c>
      <c r="B5942" s="416">
        <v>1130198</v>
      </c>
      <c r="C5942" s="638" t="str">
        <f>IFERROR(INDEX(Table14[],MATCH($B5942,Table14[SAPNo],0),3),"")</f>
        <v>Round 1613 CT182  0.018" (S)</v>
      </c>
      <c r="D5942" s="420" t="s">
        <v>8</v>
      </c>
      <c r="E5942" s="421">
        <v>3</v>
      </c>
      <c r="F5942" s="580"/>
      <c r="G5942" s="417" t="s">
        <v>3339</v>
      </c>
      <c r="H5942" s="598">
        <v>13845932</v>
      </c>
      <c r="I5942" s="322" t="s">
        <v>3337</v>
      </c>
      <c r="J5942" s="418"/>
      <c r="K5942" s="248"/>
      <c r="M5942" s="366"/>
    </row>
    <row r="5943" spans="1:13" x14ac:dyDescent="0.25">
      <c r="A5943" s="308">
        <v>45966</v>
      </c>
      <c r="B5943" s="416">
        <v>1130198</v>
      </c>
      <c r="C5943" s="638" t="str">
        <f>IFERROR(INDEX(Table14[],MATCH($B5943,Table14[SAPNo],0),3),"")</f>
        <v>Round 1613 CT182  0.018" (S)</v>
      </c>
      <c r="D5943" s="420" t="s">
        <v>1072</v>
      </c>
      <c r="E5943" s="421">
        <v>1</v>
      </c>
      <c r="F5943" s="580"/>
      <c r="G5943" s="417" t="s">
        <v>3324</v>
      </c>
      <c r="H5943" s="598">
        <v>14228454</v>
      </c>
      <c r="I5943" s="322" t="s">
        <v>3325</v>
      </c>
      <c r="J5943" s="418"/>
      <c r="K5943" s="248"/>
      <c r="M5943" s="366"/>
    </row>
    <row r="5944" spans="1:13" x14ac:dyDescent="0.25">
      <c r="A5944" s="308">
        <v>45967</v>
      </c>
      <c r="B5944" s="416">
        <v>1126400</v>
      </c>
      <c r="C5944" s="638" t="str">
        <f>IFERROR(INDEX(Table14[],MATCH($B5944,Table14[SAPNo],0),3),"")</f>
        <v>1313 CT421 18-60</v>
      </c>
      <c r="D5944" s="420" t="s">
        <v>12</v>
      </c>
      <c r="E5944" s="421">
        <v>16</v>
      </c>
      <c r="F5944" s="580"/>
      <c r="G5944" s="417" t="s">
        <v>3340</v>
      </c>
      <c r="H5944" s="598">
        <v>14431431</v>
      </c>
      <c r="I5944" s="322" t="s">
        <v>3111</v>
      </c>
      <c r="J5944" s="418"/>
      <c r="K5944" s="248"/>
      <c r="M5944" s="366"/>
    </row>
    <row r="5945" spans="1:13" x14ac:dyDescent="0.25">
      <c r="A5945" s="308">
        <v>45967</v>
      </c>
      <c r="B5945" s="416">
        <v>2001155</v>
      </c>
      <c r="C5945" s="638" t="str">
        <f>IFERROR(INDEX(Table14[],MATCH($B5945,Table14[SAPNo],0),3),"")</f>
        <v>1313 CT179T U-60</v>
      </c>
      <c r="D5945" s="420" t="s">
        <v>12</v>
      </c>
      <c r="E5945" s="421">
        <v>7</v>
      </c>
      <c r="F5945" s="580"/>
      <c r="G5945" s="417" t="s">
        <v>3340</v>
      </c>
      <c r="H5945" s="598">
        <v>14431431</v>
      </c>
      <c r="I5945" s="322" t="s">
        <v>3111</v>
      </c>
      <c r="J5945" s="418"/>
      <c r="K5945" s="248"/>
      <c r="M5945" s="366"/>
    </row>
    <row r="5946" spans="1:13" x14ac:dyDescent="0.25">
      <c r="A5946" s="308">
        <v>45967</v>
      </c>
      <c r="B5946" s="416">
        <v>418525</v>
      </c>
      <c r="C5946" s="638" t="str">
        <f>IFERROR(INDEX(Table14[],MATCH($B5946,Table14[SAPNo],0),3),"")</f>
        <v>Drop In 1308 CT31   (B)</v>
      </c>
      <c r="D5946" s="420" t="s">
        <v>12</v>
      </c>
      <c r="E5946" s="421">
        <v>10</v>
      </c>
      <c r="F5946" s="580"/>
      <c r="G5946" s="417" t="s">
        <v>3340</v>
      </c>
      <c r="H5946" s="598">
        <v>14431431</v>
      </c>
      <c r="I5946" s="322" t="s">
        <v>3111</v>
      </c>
      <c r="J5946" s="418"/>
      <c r="K5946" s="248"/>
      <c r="M5946" s="366"/>
    </row>
    <row r="5947" spans="1:13" x14ac:dyDescent="0.25">
      <c r="A5947" s="308">
        <v>45966</v>
      </c>
      <c r="B5947" s="416">
        <v>418525</v>
      </c>
      <c r="C5947" s="638" t="str">
        <f>IFERROR(INDEX(Table14[],MATCH($B5947,Table14[SAPNo],0),3),"")</f>
        <v>Drop In 1308 CT31   (B)</v>
      </c>
      <c r="D5947" s="420" t="s">
        <v>12</v>
      </c>
      <c r="E5947" s="421">
        <v>10</v>
      </c>
      <c r="F5947" s="580"/>
      <c r="G5947" s="417" t="s">
        <v>3341</v>
      </c>
      <c r="H5947" s="598">
        <v>14321011</v>
      </c>
      <c r="I5947" s="322" t="s">
        <v>3342</v>
      </c>
      <c r="J5947" s="418"/>
      <c r="K5947" s="248"/>
      <c r="M5947" s="366"/>
    </row>
    <row r="5948" spans="1:13" x14ac:dyDescent="0.25">
      <c r="A5948" s="308">
        <v>45966</v>
      </c>
      <c r="B5948" s="416">
        <v>1282369</v>
      </c>
      <c r="C5948" s="638" t="str">
        <f>IFERROR(INDEX(Table14[],MATCH($B5948,Table14[SAPNo],0),3),"")</f>
        <v>1313 CT436Mv3 U-60</v>
      </c>
      <c r="D5948" s="420" t="s">
        <v>12</v>
      </c>
      <c r="E5948" s="421">
        <v>16</v>
      </c>
      <c r="F5948" s="580"/>
      <c r="G5948" s="417" t="s">
        <v>3341</v>
      </c>
      <c r="H5948" s="598">
        <v>14321011</v>
      </c>
      <c r="I5948" s="322" t="s">
        <v>3342</v>
      </c>
      <c r="J5948" s="418"/>
      <c r="K5948" s="248"/>
      <c r="M5948" s="366"/>
    </row>
    <row r="5949" spans="1:13" x14ac:dyDescent="0.25">
      <c r="A5949" s="320">
        <v>45966</v>
      </c>
      <c r="B5949" s="419">
        <v>1146346</v>
      </c>
      <c r="C5949" s="638" t="str">
        <f>IFERROR(INDEX(Table14[],MATCH($B5949,Table14[SAPNo],0),3),"")</f>
        <v>1313 CT418 18-60</v>
      </c>
      <c r="D5949" s="420" t="s">
        <v>12</v>
      </c>
      <c r="E5949" s="421">
        <v>7</v>
      </c>
      <c r="F5949" s="580"/>
      <c r="G5949" s="420" t="s">
        <v>3341</v>
      </c>
      <c r="H5949" s="598">
        <v>14321011</v>
      </c>
      <c r="I5949" s="322" t="s">
        <v>3342</v>
      </c>
      <c r="J5949" s="421"/>
      <c r="K5949" s="422"/>
      <c r="M5949" s="366"/>
    </row>
    <row r="5950" spans="1:13" x14ac:dyDescent="0.25">
      <c r="A5950" s="308">
        <v>45967</v>
      </c>
      <c r="B5950" s="416">
        <v>871781</v>
      </c>
      <c r="C5950" s="638" t="str">
        <f>IFERROR(INDEX(Table14[],MATCH($B5950,Table14[SAPNo],0),3),"")</f>
        <v>Round 1313 CT200  0.018" (B)</v>
      </c>
      <c r="D5950" s="420" t="s">
        <v>12</v>
      </c>
      <c r="E5950" s="421">
        <v>3</v>
      </c>
      <c r="F5950" s="421"/>
      <c r="G5950" s="417" t="s">
        <v>3343</v>
      </c>
      <c r="H5950" s="598">
        <v>13807911</v>
      </c>
      <c r="I5950" s="322" t="s">
        <v>2213</v>
      </c>
      <c r="J5950" s="418"/>
      <c r="K5950" s="248"/>
      <c r="M5950" s="422"/>
    </row>
    <row r="5951" spans="1:13" x14ac:dyDescent="0.25">
      <c r="A5951" s="308">
        <v>45967</v>
      </c>
      <c r="B5951" s="416">
        <v>708306</v>
      </c>
      <c r="C5951" s="638" t="str">
        <f>IFERROR(INDEX(Table14[],MATCH($B5951,Table14[SAPNo],0),3),"")</f>
        <v>Round 1913 CT200  0.018" (B)</v>
      </c>
      <c r="D5951" s="420" t="s">
        <v>12</v>
      </c>
      <c r="E5951" s="421">
        <v>17</v>
      </c>
      <c r="F5951" s="580"/>
      <c r="G5951" s="417" t="s">
        <v>3343</v>
      </c>
      <c r="H5951" s="598">
        <v>13807911</v>
      </c>
      <c r="I5951" s="322" t="s">
        <v>2213</v>
      </c>
      <c r="J5951" s="418"/>
      <c r="K5951" s="248"/>
      <c r="M5951" s="366"/>
    </row>
    <row r="5952" spans="1:13" x14ac:dyDescent="0.25">
      <c r="A5952" s="308">
        <v>45967</v>
      </c>
      <c r="B5952" s="416">
        <v>418525</v>
      </c>
      <c r="C5952" s="638" t="str">
        <f>IFERROR(INDEX(Table14[],MATCH($B5952,Table14[SAPNo],0),3),"")</f>
        <v>Drop In 1308 CT31   (B)</v>
      </c>
      <c r="D5952" s="420" t="s">
        <v>12</v>
      </c>
      <c r="E5952" s="421">
        <v>4</v>
      </c>
      <c r="F5952" s="580"/>
      <c r="G5952" s="417" t="s">
        <v>3343</v>
      </c>
      <c r="H5952" s="598">
        <v>13807911</v>
      </c>
      <c r="I5952" s="322" t="s">
        <v>2213</v>
      </c>
      <c r="J5952" s="418"/>
      <c r="K5952" s="248"/>
      <c r="M5952" s="366"/>
    </row>
    <row r="5953" spans="1:13" x14ac:dyDescent="0.25">
      <c r="A5953" s="308">
        <v>45967</v>
      </c>
      <c r="B5953" s="416">
        <v>1130200</v>
      </c>
      <c r="C5953" s="638" t="str">
        <f>IFERROR(INDEX(Table14[],MATCH($B5953,Table14[SAPNo],0),3),"")</f>
        <v>Round 1913 CT182  0.018" (S)</v>
      </c>
      <c r="D5953" s="420" t="s">
        <v>8</v>
      </c>
      <c r="E5953" s="421">
        <v>13</v>
      </c>
      <c r="F5953" s="580"/>
      <c r="G5953" s="417" t="s">
        <v>3343</v>
      </c>
      <c r="H5953" s="598">
        <v>13807911</v>
      </c>
      <c r="I5953" s="322" t="s">
        <v>2213</v>
      </c>
      <c r="J5953" s="418"/>
      <c r="K5953" s="248"/>
      <c r="M5953" s="366"/>
    </row>
    <row r="5954" spans="1:13" x14ac:dyDescent="0.25">
      <c r="A5954" s="308">
        <v>45967</v>
      </c>
      <c r="B5954" s="416">
        <v>871781</v>
      </c>
      <c r="C5954" s="638" t="str">
        <f>IFERROR(INDEX(Table14[],MATCH($B5954,Table14[SAPNo],0),3),"")</f>
        <v>Round 1313 CT200  0.018" (B)</v>
      </c>
      <c r="D5954" s="420" t="s">
        <v>12</v>
      </c>
      <c r="E5954" s="421">
        <v>1</v>
      </c>
      <c r="F5954" s="580"/>
      <c r="G5954" s="417" t="s">
        <v>3344</v>
      </c>
      <c r="H5954" s="598">
        <v>14162011</v>
      </c>
      <c r="I5954" s="322" t="s">
        <v>1130</v>
      </c>
      <c r="J5954" s="418"/>
      <c r="K5954" s="248"/>
      <c r="M5954" s="366"/>
    </row>
    <row r="5955" spans="1:13" x14ac:dyDescent="0.25">
      <c r="A5955" s="308">
        <v>45967</v>
      </c>
      <c r="B5955" s="416">
        <v>708306</v>
      </c>
      <c r="C5955" s="638" t="str">
        <f>IFERROR(INDEX(Table14[],MATCH($B5955,Table14[SAPNo],0),3),"")</f>
        <v>Round 1913 CT200  0.018" (B)</v>
      </c>
      <c r="D5955" s="420" t="s">
        <v>12</v>
      </c>
      <c r="E5955" s="421">
        <v>15</v>
      </c>
      <c r="F5955" s="580"/>
      <c r="G5955" s="417" t="s">
        <v>3344</v>
      </c>
      <c r="H5955" s="598">
        <v>14162011</v>
      </c>
      <c r="I5955" s="322" t="s">
        <v>1130</v>
      </c>
      <c r="J5955" s="418"/>
      <c r="K5955" s="248"/>
      <c r="M5955" s="366"/>
    </row>
    <row r="5956" spans="1:13" x14ac:dyDescent="0.25">
      <c r="A5956" s="308">
        <v>45967</v>
      </c>
      <c r="B5956" s="416">
        <v>1130200</v>
      </c>
      <c r="C5956" s="638" t="str">
        <f>IFERROR(INDEX(Table14[],MATCH($B5956,Table14[SAPNo],0),3),"")</f>
        <v>Round 1913 CT182  0.018" (S)</v>
      </c>
      <c r="D5956" s="420" t="s">
        <v>8</v>
      </c>
      <c r="E5956" s="421">
        <v>21</v>
      </c>
      <c r="F5956" s="580"/>
      <c r="G5956" s="417" t="s">
        <v>3344</v>
      </c>
      <c r="H5956" s="598">
        <v>14162011</v>
      </c>
      <c r="I5956" s="322" t="s">
        <v>1130</v>
      </c>
      <c r="J5956" s="418"/>
      <c r="K5956" s="248"/>
      <c r="M5956" s="366"/>
    </row>
    <row r="5957" spans="1:13" x14ac:dyDescent="0.25">
      <c r="A5957" s="308">
        <v>45967</v>
      </c>
      <c r="B5957" s="416">
        <v>871781</v>
      </c>
      <c r="C5957" s="638" t="str">
        <f>IFERROR(INDEX(Table14[],MATCH($B5957,Table14[SAPNo],0),3),"")</f>
        <v>Round 1313 CT200  0.018" (B)</v>
      </c>
      <c r="D5957" s="420" t="s">
        <v>12</v>
      </c>
      <c r="E5957" s="421">
        <v>1</v>
      </c>
      <c r="F5957" s="580"/>
      <c r="G5957" s="417" t="s">
        <v>3345</v>
      </c>
      <c r="H5957" s="598">
        <v>14210782</v>
      </c>
      <c r="I5957" s="322" t="s">
        <v>1130</v>
      </c>
      <c r="J5957" s="418"/>
      <c r="K5957" s="248"/>
      <c r="M5957" s="366"/>
    </row>
    <row r="5958" spans="1:13" x14ac:dyDescent="0.25">
      <c r="A5958" s="308">
        <v>45967</v>
      </c>
      <c r="B5958" s="416">
        <v>708306</v>
      </c>
      <c r="C5958" s="638" t="str">
        <f>IFERROR(INDEX(Table14[],MATCH($B5958,Table14[SAPNo],0),3),"")</f>
        <v>Round 1913 CT200  0.018" (B)</v>
      </c>
      <c r="D5958" s="420" t="s">
        <v>12</v>
      </c>
      <c r="E5958" s="421">
        <v>8</v>
      </c>
      <c r="F5958" s="580"/>
      <c r="G5958" s="417" t="s">
        <v>3345</v>
      </c>
      <c r="H5958" s="598">
        <v>14210782</v>
      </c>
      <c r="I5958" s="322" t="s">
        <v>1130</v>
      </c>
      <c r="J5958" s="418"/>
      <c r="K5958" s="248"/>
      <c r="M5958" s="366"/>
    </row>
    <row r="5959" spans="1:13" x14ac:dyDescent="0.25">
      <c r="A5959" s="320">
        <v>45967</v>
      </c>
      <c r="B5959" s="419">
        <v>1130200</v>
      </c>
      <c r="C5959" s="638" t="str">
        <f>IFERROR(INDEX(Table14[],MATCH($B5959,Table14[SAPNo],0),3),"")</f>
        <v>Round 1913 CT182  0.018" (S)</v>
      </c>
      <c r="D5959" s="420" t="s">
        <v>8</v>
      </c>
      <c r="E5959" s="421">
        <v>19</v>
      </c>
      <c r="F5959" s="580"/>
      <c r="G5959" s="420" t="s">
        <v>3345</v>
      </c>
      <c r="H5959" s="598">
        <v>14210782</v>
      </c>
      <c r="I5959" s="322" t="s">
        <v>1130</v>
      </c>
      <c r="J5959" s="421"/>
      <c r="K5959" s="422" t="s">
        <v>3068</v>
      </c>
      <c r="M5959" s="366"/>
    </row>
    <row r="5960" spans="1:13" x14ac:dyDescent="0.25">
      <c r="A5960" s="308">
        <v>45968</v>
      </c>
      <c r="B5960" s="416">
        <v>708306</v>
      </c>
      <c r="C5960" s="638" t="str">
        <f>IFERROR(INDEX(Table14[],MATCH($B5960,Table14[SAPNo],0),3),"")</f>
        <v>Round 1913 CT200  0.018" (B)</v>
      </c>
      <c r="D5960" s="420" t="s">
        <v>12</v>
      </c>
      <c r="E5960" s="421">
        <v>10</v>
      </c>
      <c r="F5960" s="421"/>
      <c r="G5960" s="417" t="s">
        <v>3346</v>
      </c>
      <c r="H5960" s="598">
        <v>14210779</v>
      </c>
      <c r="I5960" s="322" t="s">
        <v>1130</v>
      </c>
      <c r="J5960" s="418"/>
      <c r="K5960" s="248"/>
      <c r="M5960" s="422"/>
    </row>
    <row r="5961" spans="1:13" x14ac:dyDescent="0.25">
      <c r="A5961" s="308">
        <v>45968</v>
      </c>
      <c r="B5961" s="416">
        <v>1130200</v>
      </c>
      <c r="C5961" s="638" t="str">
        <f>IFERROR(INDEX(Table14[],MATCH($B5961,Table14[SAPNo],0),3),"")</f>
        <v>Round 1913 CT182  0.018" (S)</v>
      </c>
      <c r="D5961" s="420" t="s">
        <v>8</v>
      </c>
      <c r="E5961" s="421">
        <v>16</v>
      </c>
      <c r="F5961" s="580"/>
      <c r="G5961" s="417" t="s">
        <v>3346</v>
      </c>
      <c r="H5961" s="598">
        <v>14210779</v>
      </c>
      <c r="I5961" s="322" t="s">
        <v>1130</v>
      </c>
      <c r="J5961" s="418"/>
      <c r="K5961" s="248" t="s">
        <v>3068</v>
      </c>
      <c r="M5961" s="366"/>
    </row>
    <row r="5962" spans="1:13" x14ac:dyDescent="0.25">
      <c r="A5962" s="308">
        <v>45968</v>
      </c>
      <c r="B5962" s="416">
        <v>418525</v>
      </c>
      <c r="C5962" s="638" t="str">
        <f>IFERROR(INDEX(Table14[],MATCH($B5962,Table14[SAPNo],0),3),"")</f>
        <v>Drop In 1308 CT31   (B)</v>
      </c>
      <c r="D5962" s="420" t="s">
        <v>12</v>
      </c>
      <c r="E5962" s="421">
        <v>6</v>
      </c>
      <c r="F5962" s="580"/>
      <c r="G5962" s="417" t="s">
        <v>3347</v>
      </c>
      <c r="H5962" s="598">
        <v>14178464</v>
      </c>
      <c r="I5962" s="322" t="s">
        <v>3323</v>
      </c>
      <c r="J5962" s="418"/>
      <c r="K5962" s="248"/>
      <c r="M5962" s="366"/>
    </row>
    <row r="5963" spans="1:13" x14ac:dyDescent="0.25">
      <c r="A5963" s="308">
        <v>45968</v>
      </c>
      <c r="B5963" s="416">
        <v>1146737</v>
      </c>
      <c r="C5963" s="638" t="str">
        <f>IFERROR(INDEX(Table14[],MATCH($B5963,Table14[SAPNo],0),3),"")</f>
        <v>1613 CT418 18-60</v>
      </c>
      <c r="D5963" s="420" t="s">
        <v>12</v>
      </c>
      <c r="E5963" s="421">
        <v>4</v>
      </c>
      <c r="F5963" s="580"/>
      <c r="G5963" s="417" t="s">
        <v>3347</v>
      </c>
      <c r="H5963" s="598">
        <v>14178464</v>
      </c>
      <c r="I5963" s="322" t="s">
        <v>3323</v>
      </c>
      <c r="J5963" s="418"/>
      <c r="K5963" s="248"/>
      <c r="M5963" s="366"/>
    </row>
    <row r="5964" spans="1:13" x14ac:dyDescent="0.25">
      <c r="A5964" s="308">
        <v>45968</v>
      </c>
      <c r="B5964" s="416">
        <v>1271790</v>
      </c>
      <c r="C5964" s="638" t="str">
        <f>IFERROR(INDEX(Table14[],MATCH($B5964,Table14[SAPNo],0),3),"")</f>
        <v xml:space="preserve">1613 CT170 18-60 </v>
      </c>
      <c r="D5964" s="420" t="s">
        <v>1072</v>
      </c>
      <c r="E5964" s="421">
        <v>1</v>
      </c>
      <c r="F5964" s="580"/>
      <c r="G5964" s="417" t="s">
        <v>3347</v>
      </c>
      <c r="H5964" s="598">
        <v>14178464</v>
      </c>
      <c r="I5964" s="322" t="s">
        <v>3323</v>
      </c>
      <c r="J5964" s="418"/>
      <c r="K5964" s="248" t="s">
        <v>3151</v>
      </c>
      <c r="M5964" s="366"/>
    </row>
    <row r="5965" spans="1:13" x14ac:dyDescent="0.25">
      <c r="A5965" s="308">
        <v>45968</v>
      </c>
      <c r="B5965" s="416">
        <v>1146737</v>
      </c>
      <c r="C5965" s="638" t="str">
        <f>IFERROR(INDEX(Table14[],MATCH($B5965,Table14[SAPNo],0),3),"")</f>
        <v>1613 CT418 18-60</v>
      </c>
      <c r="D5965" s="420" t="s">
        <v>12</v>
      </c>
      <c r="E5965" s="421">
        <v>4</v>
      </c>
      <c r="F5965" s="580"/>
      <c r="G5965" s="417" t="s">
        <v>3348</v>
      </c>
      <c r="H5965" s="598">
        <v>14178468</v>
      </c>
      <c r="I5965" s="322" t="s">
        <v>3323</v>
      </c>
      <c r="J5965" s="418"/>
      <c r="K5965" s="248"/>
      <c r="M5965" s="366"/>
    </row>
    <row r="5966" spans="1:13" x14ac:dyDescent="0.25">
      <c r="A5966" s="308">
        <v>45968</v>
      </c>
      <c r="B5966" s="416">
        <v>418525</v>
      </c>
      <c r="C5966" s="638" t="str">
        <f>IFERROR(INDEX(Table14[],MATCH($B5966,Table14[SAPNo],0),3),"")</f>
        <v>Drop In 1308 CT31   (B)</v>
      </c>
      <c r="D5966" s="420" t="s">
        <v>12</v>
      </c>
      <c r="E5966" s="421">
        <v>6</v>
      </c>
      <c r="F5966" s="580"/>
      <c r="G5966" s="417" t="s">
        <v>3348</v>
      </c>
      <c r="H5966" s="598">
        <v>14178468</v>
      </c>
      <c r="I5966" s="322" t="s">
        <v>3323</v>
      </c>
      <c r="J5966" s="418"/>
      <c r="K5966" s="248"/>
      <c r="M5966" s="366"/>
    </row>
    <row r="5967" spans="1:13" x14ac:dyDescent="0.25">
      <c r="A5967" s="308">
        <v>45968</v>
      </c>
      <c r="B5967" s="416">
        <v>1078377</v>
      </c>
      <c r="C5967" s="638" t="str">
        <f>IFERROR(INDEX(Table14[],MATCH($B5967,Table14[SAPNo],0),3),"")</f>
        <v>13MM CT221 R1</v>
      </c>
      <c r="D5967" s="420" t="s">
        <v>12</v>
      </c>
      <c r="E5967" s="421">
        <v>1</v>
      </c>
      <c r="F5967" s="580"/>
      <c r="G5967" s="417" t="s">
        <v>3348</v>
      </c>
      <c r="H5967" s="598">
        <v>14178468</v>
      </c>
      <c r="I5967" s="322" t="s">
        <v>3323</v>
      </c>
      <c r="J5967" s="418"/>
      <c r="K5967" s="248"/>
      <c r="M5967" s="366"/>
    </row>
    <row r="5968" spans="1:13" x14ac:dyDescent="0.25">
      <c r="A5968" s="308">
        <v>45968</v>
      </c>
      <c r="B5968" s="416">
        <v>418525</v>
      </c>
      <c r="C5968" s="638" t="str">
        <f>IFERROR(INDEX(Table14[],MATCH($B5968,Table14[SAPNo],0),3),"")</f>
        <v>Drop In 1308 CT31   (B)</v>
      </c>
      <c r="D5968" s="420" t="s">
        <v>12</v>
      </c>
      <c r="E5968" s="421">
        <v>6</v>
      </c>
      <c r="F5968" s="580"/>
      <c r="G5968" s="417" t="s">
        <v>3349</v>
      </c>
      <c r="H5968" s="598">
        <v>14190169</v>
      </c>
      <c r="I5968" s="322" t="s">
        <v>3323</v>
      </c>
      <c r="J5968" s="418"/>
      <c r="K5968" s="248"/>
      <c r="M5968" s="366"/>
    </row>
    <row r="5969" spans="1:13" x14ac:dyDescent="0.25">
      <c r="A5969" s="308">
        <v>45968</v>
      </c>
      <c r="B5969" s="416">
        <v>1078377</v>
      </c>
      <c r="C5969" s="638" t="str">
        <f>IFERROR(INDEX(Table14[],MATCH($B5969,Table14[SAPNo],0),3),"")</f>
        <v>13MM CT221 R1</v>
      </c>
      <c r="D5969" s="420" t="s">
        <v>12</v>
      </c>
      <c r="E5969" s="421">
        <v>3</v>
      </c>
      <c r="F5969" s="580"/>
      <c r="G5969" s="417" t="s">
        <v>3349</v>
      </c>
      <c r="H5969" s="598">
        <v>14190169</v>
      </c>
      <c r="I5969" s="322" t="s">
        <v>3323</v>
      </c>
      <c r="J5969" s="418"/>
      <c r="K5969" s="248"/>
      <c r="M5969" s="366"/>
    </row>
    <row r="5970" spans="1:13" x14ac:dyDescent="0.25">
      <c r="A5970" s="308">
        <v>45968</v>
      </c>
      <c r="B5970" s="416">
        <v>1146737</v>
      </c>
      <c r="C5970" s="638" t="str">
        <f>IFERROR(INDEX(Table14[],MATCH($B5970,Table14[SAPNo],0),3),"")</f>
        <v>1613 CT418 18-60</v>
      </c>
      <c r="D5970" s="420" t="s">
        <v>12</v>
      </c>
      <c r="E5970" s="421">
        <v>3</v>
      </c>
      <c r="F5970" s="580"/>
      <c r="G5970" s="417" t="s">
        <v>3349</v>
      </c>
      <c r="H5970" s="598">
        <v>14190169</v>
      </c>
      <c r="I5970" s="322" t="s">
        <v>3323</v>
      </c>
      <c r="J5970" s="418"/>
      <c r="K5970" s="248"/>
      <c r="M5970" s="366"/>
    </row>
    <row r="5971" spans="1:13" x14ac:dyDescent="0.25">
      <c r="A5971" s="308">
        <v>45968</v>
      </c>
      <c r="B5971" s="416">
        <v>1271790</v>
      </c>
      <c r="C5971" s="638" t="str">
        <f>IFERROR(INDEX(Table14[],MATCH($B5971,Table14[SAPNo],0),3),"")</f>
        <v xml:space="preserve">1613 CT170 18-60 </v>
      </c>
      <c r="D5971" s="420" t="s">
        <v>1072</v>
      </c>
      <c r="E5971" s="421">
        <v>2</v>
      </c>
      <c r="F5971" s="580"/>
      <c r="G5971" s="417" t="s">
        <v>3349</v>
      </c>
      <c r="H5971" s="598">
        <v>14190169</v>
      </c>
      <c r="I5971" s="322" t="s">
        <v>3323</v>
      </c>
      <c r="J5971" s="418"/>
      <c r="K5971" s="248" t="s">
        <v>3151</v>
      </c>
      <c r="M5971" s="366"/>
    </row>
    <row r="5972" spans="1:13" x14ac:dyDescent="0.25">
      <c r="A5972" s="308">
        <v>45968</v>
      </c>
      <c r="B5972" s="416">
        <v>1100749</v>
      </c>
      <c r="C5972" s="638" t="str">
        <f>IFERROR(INDEX(Table14[],MATCH($B5972,Table14[SAPNo],0),3),"")</f>
        <v>1308 CT421 0.018"</v>
      </c>
      <c r="D5972" s="420" t="s">
        <v>12</v>
      </c>
      <c r="E5972" s="421">
        <v>1</v>
      </c>
      <c r="F5972" s="580"/>
      <c r="G5972" s="417" t="s">
        <v>3329</v>
      </c>
      <c r="H5972" s="598">
        <v>14442328</v>
      </c>
      <c r="I5972" s="322" t="s">
        <v>3330</v>
      </c>
      <c r="J5972" s="418"/>
      <c r="K5972" s="248" t="s">
        <v>2546</v>
      </c>
      <c r="M5972" s="366"/>
    </row>
    <row r="5973" spans="1:13" x14ac:dyDescent="0.25">
      <c r="A5973" s="308">
        <v>45969</v>
      </c>
      <c r="B5973" s="416">
        <v>1230916</v>
      </c>
      <c r="C5973" s="638" t="str">
        <f>IFERROR(INDEX(Table14[],MATCH($B5973,Table14[SAPNo],0),3),"")</f>
        <v>1005 CT158 0.018"</v>
      </c>
      <c r="D5973" s="420" t="s">
        <v>12</v>
      </c>
      <c r="E5973" s="421">
        <v>5</v>
      </c>
      <c r="F5973" s="580"/>
      <c r="G5973" s="417" t="s">
        <v>3350</v>
      </c>
      <c r="H5973" s="598">
        <v>14459842</v>
      </c>
      <c r="I5973" s="322" t="s">
        <v>3351</v>
      </c>
      <c r="J5973" s="418"/>
      <c r="K5973" s="248"/>
      <c r="M5973" s="366"/>
    </row>
    <row r="5974" spans="1:13" x14ac:dyDescent="0.25">
      <c r="A5974" s="308">
        <v>45969</v>
      </c>
      <c r="B5974" s="416">
        <v>1130193</v>
      </c>
      <c r="C5974" s="638" t="str">
        <f>IFERROR(INDEX(Table14[],MATCH($B5974,Table14[SAPNo],0),3),"")</f>
        <v xml:space="preserve"> 1005 CT182  0.018 (S)</v>
      </c>
      <c r="D5974" s="420" t="s">
        <v>12</v>
      </c>
      <c r="E5974" s="421">
        <v>3</v>
      </c>
      <c r="F5974" s="580"/>
      <c r="G5974" s="417" t="s">
        <v>3350</v>
      </c>
      <c r="H5974" s="598">
        <v>14459842</v>
      </c>
      <c r="I5974" s="322" t="s">
        <v>3351</v>
      </c>
      <c r="J5974" s="418"/>
      <c r="K5974" s="248"/>
      <c r="M5974" s="366"/>
    </row>
    <row r="5975" spans="1:13" x14ac:dyDescent="0.25">
      <c r="A5975" s="308">
        <v>45969</v>
      </c>
      <c r="B5975" s="416">
        <v>1293118</v>
      </c>
      <c r="C5975" s="638" t="str">
        <f>IFERROR(INDEX(Table14[],MATCH($B5975,Table14[SAPNo],0),3),"")</f>
        <v>0808 CT158NL 0.018"</v>
      </c>
      <c r="D5975" s="420" t="s">
        <v>12</v>
      </c>
      <c r="E5975" s="421">
        <v>10</v>
      </c>
      <c r="F5975" s="580"/>
      <c r="G5975" s="417" t="s">
        <v>3350</v>
      </c>
      <c r="H5975" s="598">
        <v>14459842</v>
      </c>
      <c r="I5975" s="322" t="s">
        <v>3351</v>
      </c>
      <c r="J5975" s="418"/>
      <c r="K5975" s="248"/>
      <c r="M5975" s="366"/>
    </row>
    <row r="5976" spans="1:13" x14ac:dyDescent="0.25">
      <c r="A5976" s="308">
        <v>45969</v>
      </c>
      <c r="B5976" s="416">
        <v>1199261</v>
      </c>
      <c r="C5976" s="638" t="str">
        <f>IFERROR(INDEX(Table14[],MATCH($B5976,Table14[SAPNo],0),3),"")</f>
        <v>1010 CT158 0.018"</v>
      </c>
      <c r="D5976" s="420" t="s">
        <v>12</v>
      </c>
      <c r="E5976" s="421">
        <v>26</v>
      </c>
      <c r="F5976" s="580"/>
      <c r="G5976" s="417" t="s">
        <v>3350</v>
      </c>
      <c r="H5976" s="598">
        <v>14459842</v>
      </c>
      <c r="I5976" s="322" t="s">
        <v>3351</v>
      </c>
      <c r="J5976" s="418"/>
      <c r="K5976" s="248"/>
      <c r="M5976" s="366"/>
    </row>
    <row r="5977" spans="1:13" x14ac:dyDescent="0.25">
      <c r="A5977" s="308">
        <v>45970</v>
      </c>
      <c r="B5977" s="416">
        <v>708306</v>
      </c>
      <c r="C5977" s="638" t="str">
        <f>IFERROR(INDEX(Table14[],MATCH($B5977,Table14[SAPNo],0),3),"")</f>
        <v>Round 1913 CT200  0.018" (B)</v>
      </c>
      <c r="D5977" s="420" t="s">
        <v>12</v>
      </c>
      <c r="E5977" s="421">
        <v>1</v>
      </c>
      <c r="F5977" s="580"/>
      <c r="G5977" s="417" t="s">
        <v>3343</v>
      </c>
      <c r="H5977" s="598">
        <v>13807911</v>
      </c>
      <c r="I5977" s="322" t="s">
        <v>2213</v>
      </c>
      <c r="J5977" s="418"/>
      <c r="K5977" s="248" t="s">
        <v>2546</v>
      </c>
      <c r="M5977" s="366"/>
    </row>
    <row r="5978" spans="1:13" x14ac:dyDescent="0.25">
      <c r="A5978" s="308">
        <v>45970</v>
      </c>
      <c r="B5978" s="416">
        <v>1208601</v>
      </c>
      <c r="C5978" s="638" t="str">
        <f>IFERROR(INDEX(Table14[],MATCH($B5978,Table14[SAPNo],0),3),"")</f>
        <v>1613 CT418 U-60</v>
      </c>
      <c r="D5978" s="420" t="s">
        <v>1072</v>
      </c>
      <c r="E5978" s="421">
        <v>1</v>
      </c>
      <c r="F5978" s="580"/>
      <c r="G5978" s="417" t="s">
        <v>3349</v>
      </c>
      <c r="H5978" s="598">
        <v>14190169</v>
      </c>
      <c r="I5978" s="322" t="s">
        <v>3323</v>
      </c>
      <c r="J5978" s="418"/>
      <c r="K5978" s="248" t="s">
        <v>3352</v>
      </c>
      <c r="M5978" s="366"/>
    </row>
    <row r="5979" spans="1:13" x14ac:dyDescent="0.25">
      <c r="A5979" s="308">
        <v>45970</v>
      </c>
      <c r="B5979" s="416">
        <v>418525</v>
      </c>
      <c r="C5979" s="638" t="str">
        <f>IFERROR(INDEX(Table14[],MATCH($B5979,Table14[SAPNo],0),3),"")</f>
        <v>Drop In 1308 CT31   (B)</v>
      </c>
      <c r="D5979" s="420" t="s">
        <v>12</v>
      </c>
      <c r="E5979" s="421">
        <v>1</v>
      </c>
      <c r="F5979" s="580"/>
      <c r="G5979" s="417" t="s">
        <v>3339</v>
      </c>
      <c r="H5979" s="598">
        <v>13845932</v>
      </c>
      <c r="I5979" s="322" t="s">
        <v>3337</v>
      </c>
      <c r="J5979" s="418"/>
      <c r="K5979" s="248"/>
      <c r="M5979" s="366"/>
    </row>
    <row r="5980" spans="1:13" x14ac:dyDescent="0.25">
      <c r="A5980" s="308">
        <v>45970</v>
      </c>
      <c r="B5980" s="416">
        <v>1130198</v>
      </c>
      <c r="C5980" s="638" t="str">
        <f>IFERROR(INDEX(Table14[],MATCH($B5980,Table14[SAPNo],0),3),"")</f>
        <v>Round 1613 CT182  0.018" (S)</v>
      </c>
      <c r="D5980" s="420" t="s">
        <v>8</v>
      </c>
      <c r="E5980" s="421">
        <v>2</v>
      </c>
      <c r="F5980" s="580"/>
      <c r="G5980" s="417" t="s">
        <v>3339</v>
      </c>
      <c r="H5980" s="598">
        <v>13845932</v>
      </c>
      <c r="I5980" s="322" t="s">
        <v>3337</v>
      </c>
      <c r="J5980" s="418"/>
      <c r="K5980" s="248" t="s">
        <v>3068</v>
      </c>
      <c r="M5980" s="366"/>
    </row>
    <row r="5981" spans="1:13" x14ac:dyDescent="0.25">
      <c r="A5981" s="308">
        <v>45970</v>
      </c>
      <c r="B5981" s="416">
        <v>1200972</v>
      </c>
      <c r="C5981" s="638" t="str">
        <f>IFERROR(INDEX(Table14[],MATCH($B5981,Table14[SAPNo],0),3),"")</f>
        <v xml:space="preserve">8MM WC-MAT400 </v>
      </c>
      <c r="D5981" s="420" t="s">
        <v>12</v>
      </c>
      <c r="E5981" s="421">
        <v>5</v>
      </c>
      <c r="F5981" s="580"/>
      <c r="G5981" s="417" t="s">
        <v>3353</v>
      </c>
      <c r="H5981" s="598">
        <v>13730507</v>
      </c>
      <c r="I5981" s="322" t="s">
        <v>3354</v>
      </c>
      <c r="J5981" s="418"/>
      <c r="K5981" s="248"/>
      <c r="M5981" s="366"/>
    </row>
    <row r="5982" spans="1:13" x14ac:dyDescent="0.25">
      <c r="A5982" s="308">
        <v>45970</v>
      </c>
      <c r="B5982" s="416">
        <v>1126400</v>
      </c>
      <c r="C5982" s="638" t="str">
        <f>IFERROR(INDEX(Table14[],MATCH($B5982,Table14[SAPNo],0),3),"")</f>
        <v>1313 CT421 18-60</v>
      </c>
      <c r="D5982" s="420" t="s">
        <v>12</v>
      </c>
      <c r="E5982" s="421">
        <v>5</v>
      </c>
      <c r="F5982" s="580"/>
      <c r="G5982" s="417" t="s">
        <v>3353</v>
      </c>
      <c r="H5982" s="598">
        <v>13730507</v>
      </c>
      <c r="I5982" s="322" t="s">
        <v>3354</v>
      </c>
      <c r="J5982" s="418"/>
      <c r="K5982" s="248"/>
      <c r="M5982" s="366"/>
    </row>
    <row r="5983" spans="1:13" x14ac:dyDescent="0.25">
      <c r="A5983" s="308">
        <v>45970</v>
      </c>
      <c r="B5983" s="416">
        <v>1146346</v>
      </c>
      <c r="C5983" s="638" t="str">
        <f>IFERROR(INDEX(Table14[],MATCH($B5983,Table14[SAPNo],0),3),"")</f>
        <v>1313 CT418 18-60</v>
      </c>
      <c r="D5983" s="420" t="s">
        <v>12</v>
      </c>
      <c r="E5983" s="421">
        <v>7</v>
      </c>
      <c r="F5983" s="580"/>
      <c r="G5983" s="417" t="s">
        <v>3353</v>
      </c>
      <c r="H5983" s="598">
        <v>13730507</v>
      </c>
      <c r="I5983" s="322" t="s">
        <v>3354</v>
      </c>
      <c r="J5983" s="418"/>
      <c r="K5983" s="248"/>
      <c r="M5983" s="366"/>
    </row>
    <row r="5984" spans="1:13" x14ac:dyDescent="0.25">
      <c r="A5984" s="308">
        <v>45970</v>
      </c>
      <c r="B5984" s="416">
        <v>1186963</v>
      </c>
      <c r="C5984" s="638" t="str">
        <f>IFERROR(INDEX(Table14[],MATCH($B5984,Table14[SAPNo],0),3),"")</f>
        <v>1313 CT182H 10C</v>
      </c>
      <c r="D5984" s="420" t="s">
        <v>12</v>
      </c>
      <c r="E5984" s="421">
        <v>1</v>
      </c>
      <c r="F5984" s="580"/>
      <c r="G5984" s="417" t="s">
        <v>3353</v>
      </c>
      <c r="H5984" s="598">
        <v>13730507</v>
      </c>
      <c r="I5984" s="322" t="s">
        <v>3354</v>
      </c>
      <c r="J5984" s="418"/>
      <c r="K5984" s="248"/>
      <c r="M5984" s="366"/>
    </row>
    <row r="5985" spans="1:13" x14ac:dyDescent="0.25">
      <c r="A5985" s="320">
        <v>45970</v>
      </c>
      <c r="B5985" s="419">
        <v>1282369</v>
      </c>
      <c r="C5985" s="638" t="str">
        <f>IFERROR(INDEX(Table14[],MATCH($B5985,Table14[SAPNo],0),3),"")</f>
        <v>1313 CT436Mv3 U-60</v>
      </c>
      <c r="D5985" s="420" t="s">
        <v>12</v>
      </c>
      <c r="E5985" s="421">
        <v>13</v>
      </c>
      <c r="F5985" s="580"/>
      <c r="G5985" s="420" t="s">
        <v>3353</v>
      </c>
      <c r="H5985" s="599">
        <v>13730507</v>
      </c>
      <c r="I5985" s="322" t="s">
        <v>3354</v>
      </c>
      <c r="J5985" s="421"/>
      <c r="K5985" s="422"/>
      <c r="M5985" s="366"/>
    </row>
    <row r="5986" spans="1:13" x14ac:dyDescent="0.25">
      <c r="A5986" s="320">
        <v>45973</v>
      </c>
      <c r="B5986" s="416">
        <v>2001060</v>
      </c>
      <c r="C5986" s="639" t="str">
        <f>IFERROR(INDEX(Table14[],MATCH($B5986,Table14[SAPNo],0),3),"")</f>
        <v>1613 CT179T U-60</v>
      </c>
      <c r="D5986" s="420" t="s">
        <v>12</v>
      </c>
      <c r="E5986" s="421"/>
      <c r="F5986" s="421">
        <v>5</v>
      </c>
      <c r="G5986" s="417" t="s">
        <v>2513</v>
      </c>
      <c r="H5986" s="598"/>
      <c r="I5986" s="322"/>
      <c r="J5986" s="418" t="s">
        <v>1034</v>
      </c>
      <c r="K5986" s="248"/>
      <c r="M5986" s="422"/>
    </row>
    <row r="5987" spans="1:13" x14ac:dyDescent="0.25">
      <c r="A5987" s="308">
        <v>45971</v>
      </c>
      <c r="B5987" s="416">
        <v>1078377</v>
      </c>
      <c r="C5987" s="638" t="str">
        <f>IFERROR(INDEX(Table14[],MATCH($B5987,Table14[SAPNo],0),3),"")</f>
        <v>13MM CT221 R1</v>
      </c>
      <c r="D5987" s="420" t="s">
        <v>12</v>
      </c>
      <c r="E5987" s="421">
        <v>1</v>
      </c>
      <c r="F5987" s="421"/>
      <c r="G5987" s="417" t="s">
        <v>3355</v>
      </c>
      <c r="H5987" s="598">
        <v>14178467</v>
      </c>
      <c r="I5987" s="322" t="s">
        <v>3323</v>
      </c>
      <c r="J5987" s="418"/>
      <c r="K5987" s="248"/>
      <c r="M5987" s="422"/>
    </row>
    <row r="5988" spans="1:13" x14ac:dyDescent="0.25">
      <c r="A5988" s="308">
        <v>45971</v>
      </c>
      <c r="B5988" s="416">
        <v>1146737</v>
      </c>
      <c r="C5988" s="638" t="str">
        <f>IFERROR(INDEX(Table14[],MATCH($B5988,Table14[SAPNo],0),3),"")</f>
        <v>1613 CT418 18-60</v>
      </c>
      <c r="D5988" s="420" t="s">
        <v>12</v>
      </c>
      <c r="E5988" s="421">
        <v>1</v>
      </c>
      <c r="F5988" s="580"/>
      <c r="G5988" s="417" t="s">
        <v>3355</v>
      </c>
      <c r="H5988" s="598">
        <v>14178467</v>
      </c>
      <c r="I5988" s="322" t="s">
        <v>3323</v>
      </c>
      <c r="J5988" s="418"/>
      <c r="K5988" s="248"/>
      <c r="M5988" s="366"/>
    </row>
    <row r="5989" spans="1:13" x14ac:dyDescent="0.25">
      <c r="A5989" s="308">
        <v>45971</v>
      </c>
      <c r="B5989" s="416">
        <v>418525</v>
      </c>
      <c r="C5989" s="638" t="str">
        <f>IFERROR(INDEX(Table14[],MATCH($B5989,Table14[SAPNo],0),3),"")</f>
        <v>Drop In 1308 CT31   (B)</v>
      </c>
      <c r="D5989" s="420" t="s">
        <v>12</v>
      </c>
      <c r="E5989" s="421">
        <v>6</v>
      </c>
      <c r="F5989" s="580"/>
      <c r="G5989" s="417" t="s">
        <v>3355</v>
      </c>
      <c r="H5989" s="598">
        <v>14178467</v>
      </c>
      <c r="I5989" s="322" t="s">
        <v>3323</v>
      </c>
      <c r="J5989" s="418"/>
      <c r="K5989" s="248"/>
      <c r="M5989" s="366"/>
    </row>
    <row r="5990" spans="1:13" x14ac:dyDescent="0.25">
      <c r="A5990" s="308">
        <v>45971</v>
      </c>
      <c r="B5990" s="416">
        <v>1078377</v>
      </c>
      <c r="C5990" s="638" t="str">
        <f>IFERROR(INDEX(Table14[],MATCH($B5990,Table14[SAPNo],0),3),"")</f>
        <v>13MM CT221 R1</v>
      </c>
      <c r="D5990" s="420" t="s">
        <v>12</v>
      </c>
      <c r="E5990" s="421">
        <v>2</v>
      </c>
      <c r="F5990" s="580"/>
      <c r="G5990" s="417" t="s">
        <v>3356</v>
      </c>
      <c r="H5990" s="598">
        <v>14178463</v>
      </c>
      <c r="I5990" s="322" t="s">
        <v>3323</v>
      </c>
      <c r="J5990" s="418"/>
      <c r="K5990" s="248"/>
      <c r="M5990" s="366"/>
    </row>
    <row r="5991" spans="1:13" x14ac:dyDescent="0.25">
      <c r="A5991" s="308">
        <v>45971</v>
      </c>
      <c r="B5991" s="416">
        <v>1146737</v>
      </c>
      <c r="C5991" s="638" t="str">
        <f>IFERROR(INDEX(Table14[],MATCH($B5991,Table14[SAPNo],0),3),"")</f>
        <v>1613 CT418 18-60</v>
      </c>
      <c r="D5991" s="420" t="s">
        <v>12</v>
      </c>
      <c r="E5991" s="421">
        <v>3</v>
      </c>
      <c r="F5991" s="580"/>
      <c r="G5991" s="417" t="s">
        <v>3356</v>
      </c>
      <c r="H5991" s="598">
        <v>14178463</v>
      </c>
      <c r="I5991" s="322" t="s">
        <v>3323</v>
      </c>
      <c r="J5991" s="418"/>
      <c r="K5991" s="248"/>
      <c r="M5991" s="366"/>
    </row>
    <row r="5992" spans="1:13" x14ac:dyDescent="0.25">
      <c r="A5992" s="308">
        <v>45971</v>
      </c>
      <c r="B5992" s="416">
        <v>1271790</v>
      </c>
      <c r="C5992" s="638" t="str">
        <f>IFERROR(INDEX(Table14[],MATCH($B5992,Table14[SAPNo],0),3),"")</f>
        <v xml:space="preserve">1613 CT170 18-60 </v>
      </c>
      <c r="D5992" s="420" t="s">
        <v>12</v>
      </c>
      <c r="E5992" s="421">
        <v>1</v>
      </c>
      <c r="F5992" s="580"/>
      <c r="G5992" s="417" t="s">
        <v>3356</v>
      </c>
      <c r="H5992" s="598">
        <v>14178463</v>
      </c>
      <c r="I5992" s="322" t="s">
        <v>3323</v>
      </c>
      <c r="J5992" s="418"/>
      <c r="K5992" s="248"/>
      <c r="M5992" s="366"/>
    </row>
    <row r="5993" spans="1:13" x14ac:dyDescent="0.25">
      <c r="A5993" s="308">
        <v>45971</v>
      </c>
      <c r="B5993" s="416">
        <v>418525</v>
      </c>
      <c r="C5993" s="638" t="str">
        <f>IFERROR(INDEX(Table14[],MATCH($B5993,Table14[SAPNo],0),3),"")</f>
        <v>Drop In 1308 CT31   (B)</v>
      </c>
      <c r="D5993" s="420" t="s">
        <v>12</v>
      </c>
      <c r="E5993" s="421">
        <v>6</v>
      </c>
      <c r="F5993" s="580"/>
      <c r="G5993" s="417" t="s">
        <v>3356</v>
      </c>
      <c r="H5993" s="598">
        <v>14178463</v>
      </c>
      <c r="I5993" s="322" t="s">
        <v>3323</v>
      </c>
      <c r="J5993" s="418"/>
      <c r="K5993" s="248"/>
      <c r="M5993" s="366"/>
    </row>
    <row r="5994" spans="1:13" x14ac:dyDescent="0.25">
      <c r="A5994" s="308">
        <v>45971</v>
      </c>
      <c r="B5994" s="416">
        <v>1271790</v>
      </c>
      <c r="C5994" s="638" t="str">
        <f>IFERROR(INDEX(Table14[],MATCH($B5994,Table14[SAPNo],0),3),"")</f>
        <v xml:space="preserve">1613 CT170 18-60 </v>
      </c>
      <c r="D5994" s="420" t="s">
        <v>12</v>
      </c>
      <c r="E5994" s="421">
        <v>1</v>
      </c>
      <c r="F5994" s="580"/>
      <c r="G5994" s="417" t="s">
        <v>3356</v>
      </c>
      <c r="H5994" s="598">
        <v>14178463</v>
      </c>
      <c r="I5994" s="322" t="s">
        <v>3323</v>
      </c>
      <c r="J5994" s="418"/>
      <c r="K5994" s="248" t="s">
        <v>3357</v>
      </c>
      <c r="M5994" s="366"/>
    </row>
    <row r="5995" spans="1:13" x14ac:dyDescent="0.25">
      <c r="A5995" s="308">
        <v>45959</v>
      </c>
      <c r="B5995" s="416">
        <v>1146737</v>
      </c>
      <c r="C5995" s="638" t="str">
        <f>IFERROR(INDEX(Table14[],MATCH($B5995,Table14[SAPNo],0),3),"")</f>
        <v>1613 CT418 18-60</v>
      </c>
      <c r="D5995" s="420" t="s">
        <v>10</v>
      </c>
      <c r="E5995" s="421">
        <v>3</v>
      </c>
      <c r="F5995" s="580"/>
      <c r="G5995" s="417" t="s">
        <v>3314</v>
      </c>
      <c r="H5995" s="598" t="s">
        <v>3315</v>
      </c>
      <c r="I5995" s="322" t="s">
        <v>3316</v>
      </c>
      <c r="J5995" s="418"/>
      <c r="K5995" s="248"/>
      <c r="M5995" s="366"/>
    </row>
    <row r="5996" spans="1:13" x14ac:dyDescent="0.25">
      <c r="A5996" s="308">
        <v>45964</v>
      </c>
      <c r="B5996" s="416">
        <v>2001060</v>
      </c>
      <c r="C5996" s="638" t="str">
        <f>IFERROR(INDEX(Table14[],MATCH($B5996,Table14[SAPNo],0),3),"")</f>
        <v>1613 CT179T U-60</v>
      </c>
      <c r="D5996" s="420" t="s">
        <v>12</v>
      </c>
      <c r="E5996" s="421">
        <v>1</v>
      </c>
      <c r="F5996" s="580"/>
      <c r="G5996" s="417" t="s">
        <v>3314</v>
      </c>
      <c r="H5996" s="598" t="s">
        <v>3315</v>
      </c>
      <c r="I5996" s="322" t="s">
        <v>3316</v>
      </c>
      <c r="J5996" s="418"/>
      <c r="K5996" s="248"/>
      <c r="M5996" s="366"/>
    </row>
    <row r="5997" spans="1:13" x14ac:dyDescent="0.25">
      <c r="A5997" s="308">
        <v>45971</v>
      </c>
      <c r="B5997" s="416">
        <v>418525</v>
      </c>
      <c r="C5997" s="638" t="str">
        <f>IFERROR(INDEX(Table14[],MATCH($B5997,Table14[SAPNo],0),3),"")</f>
        <v>Drop In 1308 CT31   (B)</v>
      </c>
      <c r="D5997" s="420" t="s">
        <v>12</v>
      </c>
      <c r="E5997" s="421">
        <v>6</v>
      </c>
      <c r="F5997" s="580"/>
      <c r="G5997" s="417" t="s">
        <v>3358</v>
      </c>
      <c r="H5997" s="598">
        <v>14414026</v>
      </c>
      <c r="I5997" s="322" t="s">
        <v>2311</v>
      </c>
      <c r="J5997" s="418"/>
      <c r="K5997" s="248"/>
      <c r="M5997" s="366"/>
    </row>
    <row r="5998" spans="1:13" x14ac:dyDescent="0.25">
      <c r="A5998" s="308">
        <v>45971</v>
      </c>
      <c r="B5998" s="416">
        <v>1271790</v>
      </c>
      <c r="C5998" s="638" t="str">
        <f>IFERROR(INDEX(Table14[],MATCH($B5998,Table14[SAPNo],0),3),"")</f>
        <v xml:space="preserve">1613 CT170 18-60 </v>
      </c>
      <c r="D5998" s="420" t="s">
        <v>10</v>
      </c>
      <c r="E5998" s="421">
        <v>3</v>
      </c>
      <c r="F5998" s="580"/>
      <c r="G5998" s="417" t="s">
        <v>3358</v>
      </c>
      <c r="H5998" s="598">
        <v>14414026</v>
      </c>
      <c r="I5998" s="322" t="s">
        <v>2311</v>
      </c>
      <c r="J5998" s="418"/>
      <c r="K5998" s="248"/>
      <c r="M5998" s="366"/>
    </row>
    <row r="5999" spans="1:13" x14ac:dyDescent="0.25">
      <c r="A5999" s="308">
        <v>45971</v>
      </c>
      <c r="B5999" s="416">
        <v>1078377</v>
      </c>
      <c r="C5999" s="638" t="str">
        <f>IFERROR(INDEX(Table14[],MATCH($B5999,Table14[SAPNo],0),3),"")</f>
        <v>13MM CT221 R1</v>
      </c>
      <c r="D5999" s="420" t="s">
        <v>10</v>
      </c>
      <c r="E5999" s="421">
        <v>1</v>
      </c>
      <c r="F5999" s="580"/>
      <c r="G5999" s="417" t="s">
        <v>3358</v>
      </c>
      <c r="H5999" s="598">
        <v>14414026</v>
      </c>
      <c r="I5999" s="322" t="s">
        <v>2311</v>
      </c>
      <c r="J5999" s="418"/>
      <c r="K5999" s="248"/>
      <c r="M5999" s="366"/>
    </row>
    <row r="6000" spans="1:13" x14ac:dyDescent="0.25">
      <c r="A6000" s="308">
        <v>45971</v>
      </c>
      <c r="B6000" s="416">
        <v>1146737</v>
      </c>
      <c r="C6000" s="638" t="str">
        <f>IFERROR(INDEX(Table14[],MATCH($B6000,Table14[SAPNo],0),3),"")</f>
        <v>1613 CT418 18-60</v>
      </c>
      <c r="D6000" s="420" t="s">
        <v>10</v>
      </c>
      <c r="E6000" s="421">
        <v>3</v>
      </c>
      <c r="F6000" s="580"/>
      <c r="G6000" s="417" t="s">
        <v>3358</v>
      </c>
      <c r="H6000" s="598">
        <v>14414026</v>
      </c>
      <c r="I6000" s="322" t="s">
        <v>2311</v>
      </c>
      <c r="J6000" s="418"/>
      <c r="K6000" s="248"/>
      <c r="M6000" s="366"/>
    </row>
    <row r="6001" spans="1:13" x14ac:dyDescent="0.25">
      <c r="A6001" s="308">
        <v>45973</v>
      </c>
      <c r="B6001" s="416">
        <v>708306</v>
      </c>
      <c r="C6001" s="638" t="str">
        <f>IFERROR(INDEX(Table14[],MATCH($B6001,Table14[SAPNo],0),3),"")</f>
        <v>Round 1913 CT200  0.018" (B)</v>
      </c>
      <c r="D6001" s="420" t="s">
        <v>12</v>
      </c>
      <c r="E6001" s="421">
        <v>1</v>
      </c>
      <c r="F6001" s="580"/>
      <c r="G6001" s="417" t="s">
        <v>3343</v>
      </c>
      <c r="H6001" s="598">
        <v>13807911</v>
      </c>
      <c r="I6001" s="322" t="s">
        <v>2213</v>
      </c>
      <c r="J6001" s="418"/>
      <c r="K6001" s="248" t="s">
        <v>2546</v>
      </c>
      <c r="M6001" s="366"/>
    </row>
    <row r="6002" spans="1:13" x14ac:dyDescent="0.25">
      <c r="A6002" s="308">
        <v>45973</v>
      </c>
      <c r="B6002" s="416">
        <v>708306</v>
      </c>
      <c r="C6002" s="638" t="str">
        <f>IFERROR(INDEX(Table14[],MATCH($B6002,Table14[SAPNo],0),3),"")</f>
        <v>Round 1913 CT200  0.018" (B)</v>
      </c>
      <c r="D6002" s="420" t="s">
        <v>12</v>
      </c>
      <c r="E6002" s="421">
        <v>4</v>
      </c>
      <c r="F6002" s="580"/>
      <c r="G6002" s="417" t="s">
        <v>3346</v>
      </c>
      <c r="H6002" s="598">
        <v>14210779</v>
      </c>
      <c r="I6002" s="322" t="s">
        <v>1130</v>
      </c>
      <c r="J6002" s="418"/>
      <c r="K6002" s="248" t="s">
        <v>2546</v>
      </c>
      <c r="M6002" s="366"/>
    </row>
    <row r="6003" spans="1:13" x14ac:dyDescent="0.25">
      <c r="A6003" s="308">
        <v>45973</v>
      </c>
      <c r="B6003" s="416">
        <v>1271790</v>
      </c>
      <c r="C6003" s="638" t="str">
        <f>IFERROR(INDEX(Table14[],MATCH($B6003,Table14[SAPNo],0),3),"")</f>
        <v xml:space="preserve">1613 CT170 18-60 </v>
      </c>
      <c r="D6003" s="420" t="s">
        <v>12</v>
      </c>
      <c r="E6003" s="421">
        <v>2</v>
      </c>
      <c r="F6003" s="580"/>
      <c r="G6003" s="417" t="s">
        <v>3360</v>
      </c>
      <c r="H6003" s="598">
        <v>14127565</v>
      </c>
      <c r="I6003" s="322" t="s">
        <v>3323</v>
      </c>
      <c r="J6003" s="418"/>
      <c r="K6003" s="248"/>
      <c r="M6003" s="366"/>
    </row>
    <row r="6004" spans="1:13" x14ac:dyDescent="0.25">
      <c r="A6004" s="308">
        <v>45973</v>
      </c>
      <c r="B6004" s="416">
        <v>1146737</v>
      </c>
      <c r="C6004" s="638" t="str">
        <f>IFERROR(INDEX(Table14[],MATCH($B6004,Table14[SAPNo],0),3),"")</f>
        <v>1613 CT418 18-60</v>
      </c>
      <c r="D6004" s="420" t="s">
        <v>12</v>
      </c>
      <c r="E6004" s="421">
        <v>2</v>
      </c>
      <c r="F6004" s="580"/>
      <c r="G6004" s="417" t="s">
        <v>3360</v>
      </c>
      <c r="H6004" s="598">
        <v>14127565</v>
      </c>
      <c r="I6004" s="322" t="s">
        <v>3323</v>
      </c>
      <c r="J6004" s="418"/>
      <c r="K6004" s="248"/>
      <c r="M6004" s="366"/>
    </row>
    <row r="6005" spans="1:13" x14ac:dyDescent="0.25">
      <c r="A6005" s="308">
        <v>45973</v>
      </c>
      <c r="B6005" s="416">
        <v>418525</v>
      </c>
      <c r="C6005" s="638" t="str">
        <f>IFERROR(INDEX(Table14[],MATCH($B6005,Table14[SAPNo],0),3),"")</f>
        <v>Drop In 1308 CT31   (B)</v>
      </c>
      <c r="D6005" s="420" t="s">
        <v>12</v>
      </c>
      <c r="E6005" s="421">
        <v>6</v>
      </c>
      <c r="F6005" s="580"/>
      <c r="G6005" s="417" t="s">
        <v>3360</v>
      </c>
      <c r="H6005" s="598">
        <v>14127565</v>
      </c>
      <c r="I6005" s="322" t="s">
        <v>3323</v>
      </c>
      <c r="J6005" s="418"/>
      <c r="K6005" s="248"/>
      <c r="M6005" s="366"/>
    </row>
    <row r="6006" spans="1:13" x14ac:dyDescent="0.25">
      <c r="A6006" s="308">
        <v>45973</v>
      </c>
      <c r="B6006" s="416">
        <v>1208601</v>
      </c>
      <c r="C6006" s="638" t="str">
        <f>IFERROR(INDEX(Table14[],MATCH($B6006,Table14[SAPNo],0),3),"")</f>
        <v>1613 CT418 U-60</v>
      </c>
      <c r="D6006" s="420" t="s">
        <v>12</v>
      </c>
      <c r="E6006" s="421">
        <v>1</v>
      </c>
      <c r="F6006" s="580"/>
      <c r="G6006" s="417" t="s">
        <v>3360</v>
      </c>
      <c r="H6006" s="598">
        <v>14127565</v>
      </c>
      <c r="I6006" s="322" t="s">
        <v>3323</v>
      </c>
      <c r="J6006" s="418"/>
      <c r="K6006" s="248"/>
      <c r="M6006" s="366"/>
    </row>
    <row r="6007" spans="1:13" x14ac:dyDescent="0.25">
      <c r="A6007" s="308">
        <v>45973</v>
      </c>
      <c r="B6007" s="416">
        <v>1078377</v>
      </c>
      <c r="C6007" s="638" t="str">
        <f>IFERROR(INDEX(Table14[],MATCH($B6007,Table14[SAPNo],0),3),"")</f>
        <v>13MM CT221 R1</v>
      </c>
      <c r="D6007" s="420" t="s">
        <v>12</v>
      </c>
      <c r="E6007" s="421">
        <v>2</v>
      </c>
      <c r="F6007" s="580"/>
      <c r="G6007" s="417" t="s">
        <v>3360</v>
      </c>
      <c r="H6007" s="598">
        <v>14127565</v>
      </c>
      <c r="I6007" s="322" t="s">
        <v>3323</v>
      </c>
      <c r="J6007" s="418"/>
      <c r="K6007" s="248"/>
      <c r="M6007" s="366"/>
    </row>
    <row r="6008" spans="1:13" x14ac:dyDescent="0.25">
      <c r="A6008" s="308">
        <v>45973</v>
      </c>
      <c r="B6008" s="416">
        <v>1208601</v>
      </c>
      <c r="C6008" s="638" t="str">
        <f>IFERROR(INDEX(Table14[],MATCH($B6008,Table14[SAPNo],0),3),"")</f>
        <v>1613 CT418 U-60</v>
      </c>
      <c r="D6008" s="420" t="s">
        <v>12</v>
      </c>
      <c r="E6008" s="421">
        <v>8</v>
      </c>
      <c r="F6008" s="580"/>
      <c r="G6008" s="417" t="s">
        <v>3361</v>
      </c>
      <c r="H6008" s="598">
        <v>14414030</v>
      </c>
      <c r="I6008" s="322" t="s">
        <v>3362</v>
      </c>
      <c r="J6008" s="418"/>
      <c r="K6008" s="248"/>
      <c r="M6008" s="366"/>
    </row>
    <row r="6009" spans="1:13" x14ac:dyDescent="0.25">
      <c r="A6009" s="308">
        <v>45973</v>
      </c>
      <c r="B6009" s="416">
        <v>1288783</v>
      </c>
      <c r="C6009" s="638" t="str">
        <f>IFERROR(INDEX(Table14[],MATCH($B6009,Table14[SAPNo],0),3),"")</f>
        <v>1613 CT179 18-60</v>
      </c>
      <c r="D6009" s="420" t="s">
        <v>12</v>
      </c>
      <c r="E6009" s="421">
        <v>9</v>
      </c>
      <c r="F6009" s="580"/>
      <c r="G6009" s="417" t="s">
        <v>3361</v>
      </c>
      <c r="H6009" s="598">
        <v>14414030</v>
      </c>
      <c r="I6009" s="322" t="s">
        <v>3362</v>
      </c>
      <c r="J6009" s="418"/>
      <c r="K6009" s="248"/>
      <c r="M6009" s="366"/>
    </row>
    <row r="6010" spans="1:13" x14ac:dyDescent="0.25">
      <c r="A6010" s="308">
        <v>45973</v>
      </c>
      <c r="B6010" s="416">
        <v>1146737</v>
      </c>
      <c r="C6010" s="638" t="str">
        <f>IFERROR(INDEX(Table14[],MATCH($B6010,Table14[SAPNo],0),3),"")</f>
        <v>1613 CT418 18-60</v>
      </c>
      <c r="D6010" s="420" t="s">
        <v>12</v>
      </c>
      <c r="E6010" s="421">
        <v>14</v>
      </c>
      <c r="F6010" s="580"/>
      <c r="G6010" s="417" t="s">
        <v>3361</v>
      </c>
      <c r="H6010" s="598">
        <v>14414030</v>
      </c>
      <c r="I6010" s="322" t="s">
        <v>3362</v>
      </c>
      <c r="J6010" s="418"/>
      <c r="K6010" s="248"/>
      <c r="M6010" s="366"/>
    </row>
    <row r="6011" spans="1:13" x14ac:dyDescent="0.25">
      <c r="A6011" s="308">
        <v>45973</v>
      </c>
      <c r="B6011" s="416">
        <v>418525</v>
      </c>
      <c r="C6011" s="638" t="str">
        <f>IFERROR(INDEX(Table14[],MATCH($B6011,Table14[SAPNo],0),3),"")</f>
        <v>Drop In 1308 CT31   (B)</v>
      </c>
      <c r="D6011" s="420" t="s">
        <v>12</v>
      </c>
      <c r="E6011" s="421">
        <v>6</v>
      </c>
      <c r="F6011" s="580"/>
      <c r="G6011" s="417" t="s">
        <v>3361</v>
      </c>
      <c r="H6011" s="598">
        <v>14414030</v>
      </c>
      <c r="I6011" s="322" t="s">
        <v>3362</v>
      </c>
      <c r="J6011" s="418"/>
      <c r="K6011" s="248"/>
      <c r="M6011" s="366"/>
    </row>
    <row r="6012" spans="1:13" x14ac:dyDescent="0.25">
      <c r="A6012" s="308">
        <v>45973</v>
      </c>
      <c r="B6012" s="416">
        <v>1078377</v>
      </c>
      <c r="C6012" s="638" t="str">
        <f>IFERROR(INDEX(Table14[],MATCH($B6012,Table14[SAPNo],0),3),"")</f>
        <v>13MM CT221 R1</v>
      </c>
      <c r="D6012" s="420" t="s">
        <v>12</v>
      </c>
      <c r="E6012" s="421">
        <v>15</v>
      </c>
      <c r="F6012" s="580"/>
      <c r="G6012" s="417" t="s">
        <v>3361</v>
      </c>
      <c r="H6012" s="598">
        <v>14414030</v>
      </c>
      <c r="I6012" s="322" t="s">
        <v>3362</v>
      </c>
      <c r="J6012" s="418"/>
      <c r="K6012" s="248"/>
      <c r="M6012" s="366"/>
    </row>
    <row r="6013" spans="1:13" x14ac:dyDescent="0.25">
      <c r="A6013" s="759">
        <v>45993</v>
      </c>
      <c r="B6013" s="760">
        <v>1078377</v>
      </c>
      <c r="C6013" s="772" t="str">
        <f>IFERROR(INDEX(Table14[],MATCH($B6013,Table14[SAPNo],0),3),"")</f>
        <v>13MM CT221 R1</v>
      </c>
      <c r="D6013" s="762" t="s">
        <v>10</v>
      </c>
      <c r="E6013" s="763">
        <v>2</v>
      </c>
      <c r="F6013" s="764"/>
      <c r="G6013" s="765" t="s">
        <v>4079</v>
      </c>
      <c r="H6013" s="766" t="s">
        <v>4083</v>
      </c>
      <c r="I6013" s="767" t="s">
        <v>2311</v>
      </c>
      <c r="J6013" s="768"/>
      <c r="K6013" s="248"/>
      <c r="M6013" s="366"/>
    </row>
    <row r="6014" spans="1:13" x14ac:dyDescent="0.25">
      <c r="A6014" s="769">
        <v>45993</v>
      </c>
      <c r="B6014" s="770">
        <v>1208601</v>
      </c>
      <c r="C6014" s="772" t="str">
        <f>IFERROR(INDEX(Table14[],MATCH($B6014,Table14[SAPNo],0),3),"")</f>
        <v>1613 CT418 U-60</v>
      </c>
      <c r="D6014" s="762" t="s">
        <v>10</v>
      </c>
      <c r="E6014" s="763">
        <v>2</v>
      </c>
      <c r="F6014" s="764"/>
      <c r="G6014" s="762" t="s">
        <v>4079</v>
      </c>
      <c r="H6014" s="771" t="s">
        <v>4083</v>
      </c>
      <c r="I6014" s="767" t="s">
        <v>2311</v>
      </c>
      <c r="J6014" s="763"/>
      <c r="K6014" s="422"/>
      <c r="M6014" s="366"/>
    </row>
    <row r="6015" spans="1:13" x14ac:dyDescent="0.25">
      <c r="A6015" s="320">
        <v>45974</v>
      </c>
      <c r="B6015" s="419">
        <v>2017131</v>
      </c>
      <c r="C6015" s="638" t="str">
        <f>IFERROR(INDEX(Table14[],MATCH($B6015,Table14[SAPNo],0),3),"")</f>
        <v>1313 CT179 U-60</v>
      </c>
      <c r="D6015" s="420" t="s">
        <v>12</v>
      </c>
      <c r="E6015" s="421">
        <v>12</v>
      </c>
      <c r="F6015" s="421"/>
      <c r="G6015" s="420" t="s">
        <v>3363</v>
      </c>
      <c r="H6015" s="599">
        <v>14214806</v>
      </c>
      <c r="I6015" s="322" t="s">
        <v>3364</v>
      </c>
      <c r="J6015" s="421"/>
      <c r="K6015" s="422"/>
      <c r="M6015" s="422"/>
    </row>
    <row r="6016" spans="1:13" x14ac:dyDescent="0.25">
      <c r="A6016" s="320">
        <v>45974</v>
      </c>
      <c r="B6016" s="419">
        <v>2001060</v>
      </c>
      <c r="C6016" s="638" t="str">
        <f>IFERROR(INDEX(Table14[],MATCH($B6016,Table14[SAPNo],0),3),"")</f>
        <v>1613 CT179T U-60</v>
      </c>
      <c r="D6016" s="420" t="s">
        <v>12</v>
      </c>
      <c r="E6016" s="421">
        <v>5</v>
      </c>
      <c r="F6016" s="421"/>
      <c r="G6016" s="420" t="s">
        <v>3365</v>
      </c>
      <c r="H6016" s="599">
        <v>14442328</v>
      </c>
      <c r="I6016" s="322" t="s">
        <v>3330</v>
      </c>
      <c r="J6016" s="421"/>
      <c r="K6016" s="422"/>
      <c r="M6016" s="422"/>
    </row>
    <row r="6017" spans="1:13" x14ac:dyDescent="0.25">
      <c r="A6017" s="320">
        <v>45974</v>
      </c>
      <c r="B6017" s="419">
        <v>1208601</v>
      </c>
      <c r="C6017" s="638" t="str">
        <f>IFERROR(INDEX(Table14[],MATCH($B6017,Table14[SAPNo],0),3),"")</f>
        <v>1613 CT418 U-60</v>
      </c>
      <c r="D6017" s="420" t="s">
        <v>12</v>
      </c>
      <c r="E6017" s="421">
        <v>7</v>
      </c>
      <c r="F6017" s="421"/>
      <c r="G6017" s="420" t="s">
        <v>3365</v>
      </c>
      <c r="H6017" s="599">
        <v>14442328</v>
      </c>
      <c r="I6017" s="322" t="s">
        <v>3330</v>
      </c>
      <c r="J6017" s="421"/>
      <c r="K6017" s="422"/>
      <c r="M6017" s="422"/>
    </row>
    <row r="6018" spans="1:13" x14ac:dyDescent="0.25">
      <c r="A6018" s="320">
        <v>45974</v>
      </c>
      <c r="B6018" s="419">
        <v>1130198</v>
      </c>
      <c r="C6018" s="638" t="str">
        <f>IFERROR(INDEX(Table14[],MATCH($B6018,Table14[SAPNo],0),3),"")</f>
        <v>Round 1613 CT182  0.018" (S)</v>
      </c>
      <c r="D6018" s="420" t="s">
        <v>1072</v>
      </c>
      <c r="E6018" s="421">
        <v>1</v>
      </c>
      <c r="F6018" s="421"/>
      <c r="G6018" s="420" t="s">
        <v>3324</v>
      </c>
      <c r="H6018" s="599">
        <v>14228454</v>
      </c>
      <c r="I6018" s="322" t="s">
        <v>3325</v>
      </c>
      <c r="J6018" s="421"/>
      <c r="K6018" s="248" t="s">
        <v>2546</v>
      </c>
      <c r="M6018" s="422"/>
    </row>
    <row r="6019" spans="1:13" x14ac:dyDescent="0.25">
      <c r="A6019" s="320">
        <v>45974</v>
      </c>
      <c r="B6019" s="419">
        <v>708306</v>
      </c>
      <c r="C6019" s="638" t="str">
        <f>IFERROR(INDEX(Table14[],MATCH($B6019,Table14[SAPNo],0),3),"")</f>
        <v>Round 1913 CT200  0.018" (B)</v>
      </c>
      <c r="D6019" s="420" t="s">
        <v>12</v>
      </c>
      <c r="E6019" s="421">
        <v>17</v>
      </c>
      <c r="F6019" s="421"/>
      <c r="G6019" s="420" t="s">
        <v>3366</v>
      </c>
      <c r="H6019" s="599">
        <v>14210780</v>
      </c>
      <c r="I6019" s="322" t="s">
        <v>1130</v>
      </c>
      <c r="J6019" s="421"/>
      <c r="K6019" s="422"/>
      <c r="M6019" s="422"/>
    </row>
    <row r="6020" spans="1:13" x14ac:dyDescent="0.25">
      <c r="A6020" s="320">
        <v>45974</v>
      </c>
      <c r="B6020" s="419">
        <v>871781</v>
      </c>
      <c r="C6020" s="638" t="str">
        <f>IFERROR(INDEX(Table14[],MATCH($B6020,Table14[SAPNo],0),3),"")</f>
        <v>Round 1313 CT200  0.018" (B)</v>
      </c>
      <c r="D6020" s="420" t="s">
        <v>12</v>
      </c>
      <c r="E6020" s="421">
        <v>1</v>
      </c>
      <c r="F6020" s="421"/>
      <c r="G6020" s="420" t="s">
        <v>3366</v>
      </c>
      <c r="H6020" s="599">
        <v>14210780</v>
      </c>
      <c r="I6020" s="322" t="s">
        <v>1130</v>
      </c>
      <c r="J6020" s="421"/>
      <c r="K6020" s="422"/>
      <c r="M6020" s="422"/>
    </row>
    <row r="6021" spans="1:13" x14ac:dyDescent="0.25">
      <c r="A6021" s="320">
        <v>45974</v>
      </c>
      <c r="B6021" s="419">
        <v>1130200</v>
      </c>
      <c r="C6021" s="638" t="str">
        <f>IFERROR(INDEX(Table14[],MATCH($B6021,Table14[SAPNo],0),3),"")</f>
        <v>Round 1913 CT182  0.018" (S)</v>
      </c>
      <c r="D6021" s="420" t="s">
        <v>8</v>
      </c>
      <c r="E6021" s="421">
        <v>39</v>
      </c>
      <c r="F6021" s="421"/>
      <c r="G6021" s="420" t="s">
        <v>3366</v>
      </c>
      <c r="H6021" s="599">
        <v>14210780</v>
      </c>
      <c r="I6021" s="322" t="s">
        <v>1130</v>
      </c>
      <c r="J6021" s="421"/>
      <c r="K6021" s="422"/>
      <c r="M6021" s="422"/>
    </row>
    <row r="6022" spans="1:13" x14ac:dyDescent="0.25">
      <c r="A6022" s="320">
        <v>45974</v>
      </c>
      <c r="B6022" s="419">
        <v>1271790</v>
      </c>
      <c r="C6022" s="638" t="str">
        <f>IFERROR(INDEX(Table14[],MATCH($B6022,Table14[SAPNo],0),3),"")</f>
        <v xml:space="preserve">1613 CT170 18-60 </v>
      </c>
      <c r="D6022" s="420" t="s">
        <v>12</v>
      </c>
      <c r="E6022" s="421">
        <v>1</v>
      </c>
      <c r="F6022" s="421"/>
      <c r="G6022" s="420" t="s">
        <v>3367</v>
      </c>
      <c r="H6022" s="599">
        <v>14167843</v>
      </c>
      <c r="I6022" s="322" t="s">
        <v>3323</v>
      </c>
      <c r="J6022" s="421"/>
      <c r="K6022" s="422"/>
      <c r="M6022" s="422"/>
    </row>
    <row r="6023" spans="1:13" x14ac:dyDescent="0.25">
      <c r="A6023" s="320">
        <v>45974</v>
      </c>
      <c r="B6023" s="419">
        <v>1078377</v>
      </c>
      <c r="C6023" s="638" t="str">
        <f>IFERROR(INDEX(Table14[],MATCH($B6023,Table14[SAPNo],0),3),"")</f>
        <v>13MM CT221 R1</v>
      </c>
      <c r="D6023" s="420" t="s">
        <v>12</v>
      </c>
      <c r="E6023" s="421">
        <v>2</v>
      </c>
      <c r="F6023" s="421"/>
      <c r="G6023" s="420" t="s">
        <v>3367</v>
      </c>
      <c r="H6023" s="599">
        <v>14167843</v>
      </c>
      <c r="I6023" s="322" t="s">
        <v>3323</v>
      </c>
      <c r="J6023" s="421"/>
      <c r="K6023" s="422"/>
      <c r="M6023" s="422"/>
    </row>
    <row r="6024" spans="1:13" x14ac:dyDescent="0.25">
      <c r="A6024" s="320">
        <v>45974</v>
      </c>
      <c r="B6024" s="419">
        <v>418525</v>
      </c>
      <c r="C6024" s="638" t="str">
        <f>IFERROR(INDEX(Table14[],MATCH($B6024,Table14[SAPNo],0),3),"")</f>
        <v>Drop In 1308 CT31   (B)</v>
      </c>
      <c r="D6024" s="420" t="s">
        <v>12</v>
      </c>
      <c r="E6024" s="421">
        <v>6</v>
      </c>
      <c r="F6024" s="421"/>
      <c r="G6024" s="420" t="s">
        <v>3367</v>
      </c>
      <c r="H6024" s="599">
        <v>14167843</v>
      </c>
      <c r="I6024" s="322" t="s">
        <v>3323</v>
      </c>
      <c r="J6024" s="421"/>
      <c r="K6024" s="422"/>
      <c r="M6024" s="422"/>
    </row>
    <row r="6025" spans="1:13" x14ac:dyDescent="0.25">
      <c r="A6025" s="320">
        <v>45974</v>
      </c>
      <c r="B6025" s="419">
        <v>1146737</v>
      </c>
      <c r="C6025" s="638" t="str">
        <f>IFERROR(INDEX(Table14[],MATCH($B6025,Table14[SAPNo],0),3),"")</f>
        <v>1613 CT418 18-60</v>
      </c>
      <c r="D6025" s="420" t="s">
        <v>12</v>
      </c>
      <c r="E6025" s="421">
        <v>2</v>
      </c>
      <c r="F6025" s="421"/>
      <c r="G6025" s="420" t="s">
        <v>3367</v>
      </c>
      <c r="H6025" s="599">
        <v>14167843</v>
      </c>
      <c r="I6025" s="322" t="s">
        <v>3323</v>
      </c>
      <c r="J6025" s="421"/>
      <c r="K6025" s="422"/>
      <c r="M6025" s="422"/>
    </row>
    <row r="6026" spans="1:13" x14ac:dyDescent="0.25">
      <c r="A6026" s="320">
        <v>45974</v>
      </c>
      <c r="B6026" s="419">
        <v>1078377</v>
      </c>
      <c r="C6026" s="638" t="str">
        <f>IFERROR(INDEX(Table14[],MATCH($B6026,Table14[SAPNo],0),3),"")</f>
        <v>13MM CT221 R1</v>
      </c>
      <c r="D6026" s="420" t="s">
        <v>12</v>
      </c>
      <c r="E6026" s="421">
        <v>1</v>
      </c>
      <c r="F6026" s="421"/>
      <c r="G6026" s="420" t="s">
        <v>3368</v>
      </c>
      <c r="H6026" s="599">
        <v>14127564</v>
      </c>
      <c r="I6026" s="322" t="s">
        <v>3323</v>
      </c>
      <c r="J6026" s="421"/>
      <c r="K6026" s="422"/>
      <c r="M6026" s="422"/>
    </row>
    <row r="6027" spans="1:13" x14ac:dyDescent="0.25">
      <c r="A6027" s="320">
        <v>45974</v>
      </c>
      <c r="B6027" s="419">
        <v>418525</v>
      </c>
      <c r="C6027" s="638" t="str">
        <f>IFERROR(INDEX(Table14[],MATCH($B6027,Table14[SAPNo],0),3),"")</f>
        <v>Drop In 1308 CT31   (B)</v>
      </c>
      <c r="D6027" s="420" t="s">
        <v>12</v>
      </c>
      <c r="E6027" s="421">
        <v>6</v>
      </c>
      <c r="F6027" s="421"/>
      <c r="G6027" s="420" t="s">
        <v>3368</v>
      </c>
      <c r="H6027" s="599">
        <v>14127564</v>
      </c>
      <c r="I6027" s="322" t="s">
        <v>3323</v>
      </c>
      <c r="J6027" s="421"/>
      <c r="K6027" s="422"/>
      <c r="M6027" s="422"/>
    </row>
    <row r="6028" spans="1:13" x14ac:dyDescent="0.25">
      <c r="A6028" s="320">
        <v>45974</v>
      </c>
      <c r="B6028" s="419">
        <v>1146737</v>
      </c>
      <c r="C6028" s="638" t="str">
        <f>IFERROR(INDEX(Table14[],MATCH($B6028,Table14[SAPNo],0),3),"")</f>
        <v>1613 CT418 18-60</v>
      </c>
      <c r="D6028" s="420" t="s">
        <v>12</v>
      </c>
      <c r="E6028" s="421">
        <v>3</v>
      </c>
      <c r="F6028" s="421"/>
      <c r="G6028" s="420" t="s">
        <v>3368</v>
      </c>
      <c r="H6028" s="599">
        <v>14127564</v>
      </c>
      <c r="I6028" s="322" t="s">
        <v>3323</v>
      </c>
      <c r="J6028" s="421"/>
      <c r="K6028" s="422"/>
      <c r="M6028" s="422"/>
    </row>
    <row r="6029" spans="1:13" x14ac:dyDescent="0.25">
      <c r="A6029" s="769">
        <v>45993</v>
      </c>
      <c r="B6029" s="770">
        <v>418525</v>
      </c>
      <c r="C6029" s="772" t="str">
        <f>IFERROR(INDEX(Table14[],MATCH($B6029,Table14[SAPNo],0),3),"")</f>
        <v>Drop In 1308 CT31   (B)</v>
      </c>
      <c r="D6029" s="762" t="s">
        <v>12</v>
      </c>
      <c r="E6029" s="763">
        <v>6</v>
      </c>
      <c r="F6029" s="763"/>
      <c r="G6029" s="765" t="s">
        <v>4079</v>
      </c>
      <c r="H6029" s="771" t="s">
        <v>4083</v>
      </c>
      <c r="I6029" s="767" t="s">
        <v>2311</v>
      </c>
      <c r="J6029" s="763"/>
      <c r="K6029" s="422"/>
      <c r="M6029" s="422"/>
    </row>
    <row r="6030" spans="1:13" x14ac:dyDescent="0.25">
      <c r="A6030" s="769">
        <v>45993</v>
      </c>
      <c r="B6030" s="770">
        <v>1146737</v>
      </c>
      <c r="C6030" s="772" t="str">
        <f>IFERROR(INDEX(Table14[],MATCH($B6030,Table14[SAPNo],0),3),"")</f>
        <v>1613 CT418 18-60</v>
      </c>
      <c r="D6030" s="762" t="s">
        <v>10</v>
      </c>
      <c r="E6030" s="763">
        <v>1</v>
      </c>
      <c r="F6030" s="763"/>
      <c r="G6030" s="765" t="s">
        <v>4079</v>
      </c>
      <c r="H6030" s="771" t="s">
        <v>4083</v>
      </c>
      <c r="I6030" s="767" t="s">
        <v>2311</v>
      </c>
      <c r="J6030" s="763"/>
      <c r="K6030" s="422"/>
      <c r="M6030" s="422"/>
    </row>
    <row r="6031" spans="1:13" x14ac:dyDescent="0.25">
      <c r="A6031" s="320">
        <v>45972</v>
      </c>
      <c r="B6031" s="419">
        <v>418525</v>
      </c>
      <c r="C6031" s="638" t="str">
        <f>IFERROR(INDEX(Table14[],MATCH($B6031,Table14[SAPNo],0),3),"")</f>
        <v>Drop In 1308 CT31   (B)</v>
      </c>
      <c r="D6031" s="420" t="s">
        <v>12</v>
      </c>
      <c r="E6031" s="421">
        <v>6</v>
      </c>
      <c r="F6031" s="421"/>
      <c r="G6031" s="420" t="s">
        <v>3359</v>
      </c>
      <c r="H6031" s="599">
        <v>14414024</v>
      </c>
      <c r="I6031" s="322" t="s">
        <v>3276</v>
      </c>
      <c r="J6031" s="421"/>
      <c r="K6031" s="422"/>
      <c r="M6031" s="422"/>
    </row>
    <row r="6032" spans="1:13" x14ac:dyDescent="0.25">
      <c r="A6032" s="320">
        <v>45978</v>
      </c>
      <c r="B6032" s="419">
        <v>1100759</v>
      </c>
      <c r="C6032" s="638" t="str">
        <f>IFERROR(INDEX(Table14[],MATCH($B6032,Table14[SAPNo],0),3),"")</f>
        <v>1913 CT421 0.018"</v>
      </c>
      <c r="D6032" s="420" t="s">
        <v>12</v>
      </c>
      <c r="E6032" s="421">
        <v>1</v>
      </c>
      <c r="F6032" s="421"/>
      <c r="G6032" s="420" t="s">
        <v>3344</v>
      </c>
      <c r="H6032" s="599">
        <v>14162011</v>
      </c>
      <c r="I6032" s="322" t="s">
        <v>1130</v>
      </c>
      <c r="J6032" s="421"/>
      <c r="K6032" s="248" t="s">
        <v>2546</v>
      </c>
      <c r="M6032" s="422"/>
    </row>
    <row r="6033" spans="1:13" x14ac:dyDescent="0.25">
      <c r="A6033" s="320">
        <v>45978</v>
      </c>
      <c r="B6033" s="419">
        <v>708306</v>
      </c>
      <c r="C6033" s="638" t="str">
        <f>IFERROR(INDEX(Table14[],MATCH($B6033,Table14[SAPNo],0),3),"")</f>
        <v>Round 1913 CT200  0.018" (B)</v>
      </c>
      <c r="D6033" s="420" t="s">
        <v>12</v>
      </c>
      <c r="E6033" s="421">
        <v>1</v>
      </c>
      <c r="F6033" s="421"/>
      <c r="G6033" s="420" t="s">
        <v>3344</v>
      </c>
      <c r="H6033" s="599">
        <v>14162011</v>
      </c>
      <c r="I6033" s="322" t="s">
        <v>1130</v>
      </c>
      <c r="J6033" s="421"/>
      <c r="K6033" s="248" t="s">
        <v>2546</v>
      </c>
      <c r="M6033" s="422"/>
    </row>
    <row r="6034" spans="1:13" x14ac:dyDescent="0.25">
      <c r="A6034" s="320">
        <v>45978</v>
      </c>
      <c r="B6034" s="419">
        <v>1100755</v>
      </c>
      <c r="C6034" s="638" t="str">
        <f>IFERROR(INDEX(Table14[],MATCH($B6034,Table14[SAPNo],0),3),"")</f>
        <v>Round 1613 CT421  0.018" (S)</v>
      </c>
      <c r="D6034" s="420" t="s">
        <v>1072</v>
      </c>
      <c r="E6034" s="421">
        <v>1</v>
      </c>
      <c r="F6034" s="421"/>
      <c r="G6034" s="420" t="s">
        <v>3344</v>
      </c>
      <c r="H6034" s="599">
        <v>14162011</v>
      </c>
      <c r="I6034" s="322" t="s">
        <v>1130</v>
      </c>
      <c r="J6034" s="421"/>
      <c r="K6034" s="248" t="s">
        <v>2546</v>
      </c>
      <c r="M6034" s="422"/>
    </row>
    <row r="6035" spans="1:13" x14ac:dyDescent="0.25">
      <c r="A6035" s="320">
        <v>45978</v>
      </c>
      <c r="B6035" s="419">
        <v>1078377</v>
      </c>
      <c r="C6035" s="638" t="str">
        <f>IFERROR(INDEX(Table14[],MATCH($B6035,Table14[SAPNo],0),3),"")</f>
        <v>13MM CT221 R1</v>
      </c>
      <c r="D6035" s="420" t="s">
        <v>12</v>
      </c>
      <c r="E6035" s="421">
        <v>15</v>
      </c>
      <c r="F6035" s="421"/>
      <c r="G6035" s="420" t="s">
        <v>3371</v>
      </c>
      <c r="H6035" s="420">
        <v>14414032</v>
      </c>
      <c r="I6035" s="322" t="s">
        <v>3362</v>
      </c>
      <c r="J6035" s="421"/>
      <c r="K6035" s="422"/>
      <c r="M6035" s="422"/>
    </row>
    <row r="6036" spans="1:13" x14ac:dyDescent="0.25">
      <c r="A6036" s="320">
        <v>45978</v>
      </c>
      <c r="B6036" s="419">
        <v>1208601</v>
      </c>
      <c r="C6036" s="639" t="str">
        <f>IFERROR(INDEX(Table14[],MATCH($B6036,Table14[SAPNo],0),3),"")</f>
        <v>1613 CT418 U-60</v>
      </c>
      <c r="D6036" s="420" t="s">
        <v>12</v>
      </c>
      <c r="E6036" s="421">
        <v>8</v>
      </c>
      <c r="F6036" s="421"/>
      <c r="G6036" s="420" t="s">
        <v>3371</v>
      </c>
      <c r="H6036" s="599">
        <v>14414032</v>
      </c>
      <c r="I6036" s="322" t="s">
        <v>3362</v>
      </c>
      <c r="J6036" s="421"/>
      <c r="K6036" s="422"/>
      <c r="M6036" s="422"/>
    </row>
    <row r="6037" spans="1:13" x14ac:dyDescent="0.25">
      <c r="A6037" s="320">
        <v>45978</v>
      </c>
      <c r="B6037" s="419">
        <v>418525</v>
      </c>
      <c r="C6037" s="638" t="str">
        <f>IFERROR(INDEX(Table14[],MATCH($B6037,Table14[SAPNo],0),3),"")</f>
        <v>Drop In 1308 CT31   (B)</v>
      </c>
      <c r="D6037" s="420" t="s">
        <v>12</v>
      </c>
      <c r="E6037" s="421">
        <v>6</v>
      </c>
      <c r="F6037" s="421"/>
      <c r="G6037" s="420" t="s">
        <v>3371</v>
      </c>
      <c r="H6037" s="599">
        <v>14414032</v>
      </c>
      <c r="I6037" s="322" t="s">
        <v>3362</v>
      </c>
      <c r="J6037" s="421"/>
      <c r="K6037" s="422"/>
      <c r="M6037" s="422"/>
    </row>
    <row r="6038" spans="1:13" x14ac:dyDescent="0.25">
      <c r="A6038" s="320">
        <v>45978</v>
      </c>
      <c r="B6038" s="419">
        <v>1146737</v>
      </c>
      <c r="C6038" s="638" t="str">
        <f>IFERROR(INDEX(Table14[],MATCH($B6038,Table14[SAPNo],0),3),"")</f>
        <v>1613 CT418 18-60</v>
      </c>
      <c r="D6038" s="420" t="s">
        <v>12</v>
      </c>
      <c r="E6038" s="421">
        <v>14</v>
      </c>
      <c r="F6038" s="421"/>
      <c r="G6038" s="420" t="s">
        <v>3371</v>
      </c>
      <c r="H6038" s="599">
        <v>14414032</v>
      </c>
      <c r="I6038" s="322" t="s">
        <v>3362</v>
      </c>
      <c r="J6038" s="421"/>
      <c r="K6038" s="422"/>
      <c r="M6038" s="422"/>
    </row>
    <row r="6039" spans="1:13" x14ac:dyDescent="0.25">
      <c r="A6039" s="320">
        <v>45978</v>
      </c>
      <c r="B6039" s="419">
        <v>1288783</v>
      </c>
      <c r="C6039" s="638" t="str">
        <f>IFERROR(INDEX(Table14[],MATCH($B6039,Table14[SAPNo],0),3),"")</f>
        <v>1613 CT179 18-60</v>
      </c>
      <c r="D6039" s="420" t="s">
        <v>12</v>
      </c>
      <c r="E6039" s="421">
        <v>9</v>
      </c>
      <c r="F6039" s="421"/>
      <c r="G6039" s="420" t="s">
        <v>3371</v>
      </c>
      <c r="H6039" s="599">
        <v>14414032</v>
      </c>
      <c r="I6039" s="322" t="s">
        <v>3362</v>
      </c>
      <c r="J6039" s="421"/>
      <c r="K6039" s="422"/>
      <c r="M6039" s="422"/>
    </row>
    <row r="6040" spans="1:13" x14ac:dyDescent="0.25">
      <c r="A6040" s="320">
        <v>45980</v>
      </c>
      <c r="B6040" s="416">
        <v>1145493</v>
      </c>
      <c r="C6040" s="639" t="str">
        <f>IFERROR(INDEX(Table14[],MATCH($B6040,Table14[SAPNo],0),3),"")</f>
        <v>Round 1313 CT427  10C (S)</v>
      </c>
      <c r="D6040" s="420" t="s">
        <v>11</v>
      </c>
      <c r="E6040" s="421">
        <v>5</v>
      </c>
      <c r="F6040" s="421"/>
      <c r="G6040" s="417">
        <v>20251159</v>
      </c>
      <c r="H6040" s="598" t="s">
        <v>3372</v>
      </c>
      <c r="I6040" s="322" t="s">
        <v>1781</v>
      </c>
      <c r="J6040" s="418"/>
      <c r="K6040" s="248"/>
      <c r="M6040" s="422"/>
    </row>
    <row r="6041" spans="1:13" x14ac:dyDescent="0.25">
      <c r="A6041" s="308">
        <v>45980</v>
      </c>
      <c r="B6041" s="416">
        <v>1209332</v>
      </c>
      <c r="C6041" s="638" t="str">
        <f>IFERROR(INDEX(Table14[],MATCH($B6041,Table14[SAPNo],0),3),"")</f>
        <v>1313 CT147G U</v>
      </c>
      <c r="D6041" s="420" t="s">
        <v>11</v>
      </c>
      <c r="E6041" s="421">
        <v>1</v>
      </c>
      <c r="F6041" s="421"/>
      <c r="G6041" s="417">
        <v>20251159</v>
      </c>
      <c r="H6041" s="598" t="s">
        <v>3372</v>
      </c>
      <c r="I6041" s="322" t="s">
        <v>1781</v>
      </c>
      <c r="J6041" s="418"/>
      <c r="K6041" s="248"/>
      <c r="M6041" s="422"/>
    </row>
    <row r="6042" spans="1:13" x14ac:dyDescent="0.25">
      <c r="A6042" s="308">
        <v>45980</v>
      </c>
      <c r="B6042" s="416">
        <v>2002299</v>
      </c>
      <c r="C6042" s="638" t="str">
        <f>IFERROR(INDEX(Table14[],MATCH($B6042,Table14[SAPNo],0),3),"")</f>
        <v>1613 CT187 U-60</v>
      </c>
      <c r="D6042" s="420" t="s">
        <v>12</v>
      </c>
      <c r="E6042" s="421">
        <v>21</v>
      </c>
      <c r="F6042" s="580"/>
      <c r="G6042" s="417" t="s">
        <v>3373</v>
      </c>
      <c r="H6042" s="598">
        <v>14160195</v>
      </c>
      <c r="I6042" s="322" t="s">
        <v>3374</v>
      </c>
      <c r="J6042" s="418"/>
      <c r="K6042" s="248"/>
      <c r="M6042" s="366"/>
    </row>
    <row r="6043" spans="1:13" x14ac:dyDescent="0.25">
      <c r="A6043" s="320">
        <v>45980</v>
      </c>
      <c r="B6043" s="419">
        <v>1100753</v>
      </c>
      <c r="C6043" s="638" t="str">
        <f>IFERROR(INDEX(Table14[],MATCH($B6043,Table14[SAPNo],0),3),"")</f>
        <v>1608 18C CT421</v>
      </c>
      <c r="D6043" s="420" t="s">
        <v>12</v>
      </c>
      <c r="E6043" s="421">
        <v>6</v>
      </c>
      <c r="F6043" s="580"/>
      <c r="G6043" s="417" t="s">
        <v>3373</v>
      </c>
      <c r="H6043" s="598">
        <v>14160195</v>
      </c>
      <c r="I6043" s="322" t="s">
        <v>3374</v>
      </c>
      <c r="J6043" s="421"/>
      <c r="K6043" s="422"/>
      <c r="M6043" s="366"/>
    </row>
    <row r="6044" spans="1:13" x14ac:dyDescent="0.25">
      <c r="A6044" s="320">
        <v>45980</v>
      </c>
      <c r="B6044" s="419">
        <v>1126402</v>
      </c>
      <c r="C6044" s="638" t="str">
        <f>IFERROR(INDEX(Table14[],MATCH($B6044,Table14[SAPNo],0),3),"")</f>
        <v>1613 CT421 16-60</v>
      </c>
      <c r="D6044" s="420" t="s">
        <v>12</v>
      </c>
      <c r="E6044" s="421">
        <v>12</v>
      </c>
      <c r="F6044" s="421"/>
      <c r="G6044" s="417" t="s">
        <v>3373</v>
      </c>
      <c r="H6044" s="598">
        <v>14160195</v>
      </c>
      <c r="I6044" s="322" t="s">
        <v>3374</v>
      </c>
      <c r="J6044" s="421"/>
      <c r="K6044" s="422"/>
      <c r="M6044" s="422"/>
    </row>
    <row r="6045" spans="1:13" x14ac:dyDescent="0.25">
      <c r="A6045" s="320">
        <v>45981</v>
      </c>
      <c r="B6045" s="416">
        <v>717748</v>
      </c>
      <c r="C6045" s="639" t="str">
        <f>IFERROR(INDEX(Table14[],MATCH($B6045,Table14[SAPNo],0),3),"")</f>
        <v>Round 1010 CT200  0.018" (B)</v>
      </c>
      <c r="D6045" s="420" t="s">
        <v>12</v>
      </c>
      <c r="E6045" s="421">
        <v>6</v>
      </c>
      <c r="F6045" s="421"/>
      <c r="G6045" s="417" t="s">
        <v>3375</v>
      </c>
      <c r="H6045" s="598" t="s">
        <v>3376</v>
      </c>
      <c r="I6045" s="322" t="s">
        <v>2362</v>
      </c>
      <c r="J6045" s="418"/>
      <c r="K6045" s="248"/>
      <c r="M6045" s="422"/>
    </row>
    <row r="6046" spans="1:13" x14ac:dyDescent="0.25">
      <c r="A6046" s="308">
        <v>45981</v>
      </c>
      <c r="B6046" s="416">
        <v>2004484</v>
      </c>
      <c r="C6046" s="638" t="str">
        <f>IFERROR(INDEX(Table14[],MATCH($B6046,Table14[SAPNo],0),3),"")</f>
        <v>1308 CT187 U-60</v>
      </c>
      <c r="D6046" s="420" t="s">
        <v>12</v>
      </c>
      <c r="E6046" s="421">
        <v>21</v>
      </c>
      <c r="F6046" s="421"/>
      <c r="G6046" s="417" t="s">
        <v>3377</v>
      </c>
      <c r="H6046" s="598">
        <v>14462147</v>
      </c>
      <c r="I6046" s="322" t="s">
        <v>3103</v>
      </c>
      <c r="J6046" s="418"/>
      <c r="K6046" s="248"/>
      <c r="M6046" s="422"/>
    </row>
    <row r="6047" spans="1:13" x14ac:dyDescent="0.25">
      <c r="A6047" s="308">
        <v>45981</v>
      </c>
      <c r="B6047" s="416">
        <v>2002299</v>
      </c>
      <c r="C6047" s="638" t="str">
        <f>IFERROR(INDEX(Table14[],MATCH($B6047,Table14[SAPNo],0),3),"")</f>
        <v>1613 CT187 U-60</v>
      </c>
      <c r="D6047" s="420" t="s">
        <v>12</v>
      </c>
      <c r="E6047" s="421">
        <v>18</v>
      </c>
      <c r="F6047" s="580"/>
      <c r="G6047" s="417" t="s">
        <v>3377</v>
      </c>
      <c r="H6047" s="598">
        <v>14462147</v>
      </c>
      <c r="I6047" s="322" t="s">
        <v>3103</v>
      </c>
      <c r="J6047" s="418"/>
      <c r="K6047" s="248"/>
      <c r="M6047" s="366"/>
    </row>
    <row r="6048" spans="1:13" x14ac:dyDescent="0.25">
      <c r="A6048" s="308">
        <v>45981</v>
      </c>
      <c r="B6048" s="416">
        <v>1228502</v>
      </c>
      <c r="C6048" s="638" t="str">
        <f>IFERROR(INDEX(Table14[],MATCH($B6048,Table14[SAPNo],0),3),"")</f>
        <v>1618 CT182 U-60 Rotor</v>
      </c>
      <c r="D6048" s="420" t="s">
        <v>12</v>
      </c>
      <c r="E6048" s="421">
        <v>16</v>
      </c>
      <c r="F6048" s="580"/>
      <c r="G6048" s="417" t="s">
        <v>3377</v>
      </c>
      <c r="H6048" s="598">
        <v>14462147</v>
      </c>
      <c r="I6048" s="322" t="s">
        <v>3103</v>
      </c>
      <c r="J6048" s="418"/>
      <c r="K6048" s="248"/>
      <c r="M6048" s="366"/>
    </row>
    <row r="6049" spans="1:13" x14ac:dyDescent="0.25">
      <c r="A6049" s="308">
        <v>45981</v>
      </c>
      <c r="B6049" s="416">
        <v>871781</v>
      </c>
      <c r="C6049" s="638" t="str">
        <f>IFERROR(INDEX(Table14[],MATCH($B6049,Table14[SAPNo],0),3),"")</f>
        <v>Round 1313 CT200  0.018" (B)</v>
      </c>
      <c r="D6049" s="420" t="s">
        <v>12</v>
      </c>
      <c r="E6049" s="421">
        <v>7</v>
      </c>
      <c r="F6049" s="580"/>
      <c r="G6049" s="417" t="s">
        <v>3377</v>
      </c>
      <c r="H6049" s="598">
        <v>14462147</v>
      </c>
      <c r="I6049" s="322" t="s">
        <v>3103</v>
      </c>
      <c r="J6049" s="418"/>
      <c r="K6049" s="248"/>
      <c r="M6049" s="366"/>
    </row>
    <row r="6050" spans="1:13" x14ac:dyDescent="0.25">
      <c r="A6050" s="308">
        <v>45981</v>
      </c>
      <c r="B6050" s="416">
        <v>1126402</v>
      </c>
      <c r="C6050" s="638" t="str">
        <f>IFERROR(INDEX(Table14[],MATCH($B6050,Table14[SAPNo],0),3),"")</f>
        <v>1613 CT421 16-60</v>
      </c>
      <c r="D6050" s="420" t="s">
        <v>12</v>
      </c>
      <c r="E6050" s="421">
        <v>7</v>
      </c>
      <c r="F6050" s="580"/>
      <c r="G6050" s="417" t="s">
        <v>3377</v>
      </c>
      <c r="H6050" s="598">
        <v>14462147</v>
      </c>
      <c r="I6050" s="322" t="s">
        <v>3103</v>
      </c>
      <c r="J6050" s="418"/>
      <c r="K6050" s="248"/>
      <c r="M6050" s="366"/>
    </row>
    <row r="6051" spans="1:13" x14ac:dyDescent="0.25">
      <c r="A6051" s="308">
        <v>45981</v>
      </c>
      <c r="B6051" s="416">
        <v>653400</v>
      </c>
      <c r="C6051" s="638" t="str">
        <f>IFERROR(INDEX(Table14[],MATCH($B6051,Table14[SAPNo],0),3),"")</f>
        <v>13MM WC­MAT404 NA</v>
      </c>
      <c r="D6051" s="420" t="s">
        <v>12</v>
      </c>
      <c r="E6051" s="421">
        <v>5</v>
      </c>
      <c r="F6051" s="580"/>
      <c r="G6051" s="417" t="s">
        <v>3377</v>
      </c>
      <c r="H6051" s="598">
        <v>14462147</v>
      </c>
      <c r="I6051" s="322" t="s">
        <v>3103</v>
      </c>
      <c r="J6051" s="418"/>
      <c r="K6051" s="248"/>
      <c r="M6051" s="366"/>
    </row>
    <row r="6052" spans="1:13" x14ac:dyDescent="0.25">
      <c r="A6052" s="308">
        <v>45981</v>
      </c>
      <c r="B6052" s="416">
        <v>1228503</v>
      </c>
      <c r="C6052" s="638" t="str">
        <f>IFERROR(INDEX(Table14[],MATCH($B6052,Table14[SAPNo],0),3),"")</f>
        <v>1618 CT182 U-60 Ring</v>
      </c>
      <c r="D6052" s="420" t="s">
        <v>12</v>
      </c>
      <c r="E6052" s="421">
        <v>16</v>
      </c>
      <c r="F6052" s="580"/>
      <c r="G6052" s="417" t="s">
        <v>3377</v>
      </c>
      <c r="H6052" s="598">
        <v>14462147</v>
      </c>
      <c r="I6052" s="322" t="s">
        <v>3103</v>
      </c>
      <c r="J6052" s="418"/>
      <c r="K6052" s="248"/>
      <c r="M6052" s="366"/>
    </row>
    <row r="6053" spans="1:13" x14ac:dyDescent="0.25">
      <c r="A6053" s="320">
        <v>45981</v>
      </c>
      <c r="B6053" s="419">
        <v>1228501</v>
      </c>
      <c r="C6053" s="638" t="str">
        <f>IFERROR(INDEX(Table14[],MATCH($B6053,Table14[SAPNo],0),3),"")</f>
        <v>1618 CT182 U-60 stator</v>
      </c>
      <c r="D6053" s="420" t="s">
        <v>12</v>
      </c>
      <c r="E6053" s="421">
        <v>16</v>
      </c>
      <c r="F6053" s="580"/>
      <c r="G6053" s="417" t="s">
        <v>3377</v>
      </c>
      <c r="H6053" s="598">
        <v>14462147</v>
      </c>
      <c r="I6053" s="322" t="s">
        <v>3103</v>
      </c>
      <c r="J6053" s="421"/>
      <c r="K6053" s="422"/>
      <c r="M6053" s="366"/>
    </row>
    <row r="6054" spans="1:13" x14ac:dyDescent="0.25">
      <c r="A6054" s="308">
        <v>45981</v>
      </c>
      <c r="B6054" s="416">
        <v>1220554</v>
      </c>
      <c r="C6054" s="638" t="str">
        <f>IFERROR(INDEX(Table14[],MATCH($B6054,Table14[SAPNo],0),3),"")</f>
        <v xml:space="preserve">1618 CT182 U-60 Carbide </v>
      </c>
      <c r="D6054" s="420" t="s">
        <v>12</v>
      </c>
      <c r="E6054" s="421">
        <v>16</v>
      </c>
      <c r="F6054" s="421"/>
      <c r="G6054" s="417" t="s">
        <v>3377</v>
      </c>
      <c r="H6054" s="598">
        <v>14462147</v>
      </c>
      <c r="I6054" s="322" t="s">
        <v>3103</v>
      </c>
      <c r="J6054" s="418"/>
      <c r="K6054" s="248"/>
      <c r="M6054" s="422"/>
    </row>
    <row r="6055" spans="1:13" x14ac:dyDescent="0.25">
      <c r="A6055" s="320">
        <v>45972</v>
      </c>
      <c r="B6055" s="419">
        <v>1146737</v>
      </c>
      <c r="C6055" s="638" t="str">
        <f>IFERROR(INDEX(Table14[],MATCH($B6055,Table14[SAPNo],0),3),"")</f>
        <v>1613 CT418 18-60</v>
      </c>
      <c r="D6055" s="420" t="s">
        <v>10</v>
      </c>
      <c r="E6055" s="421">
        <v>1</v>
      </c>
      <c r="F6055" s="580"/>
      <c r="G6055" s="420" t="s">
        <v>3359</v>
      </c>
      <c r="H6055" s="599">
        <v>14414024</v>
      </c>
      <c r="I6055" s="322" t="s">
        <v>3276</v>
      </c>
      <c r="J6055" s="421"/>
      <c r="K6055" s="422"/>
      <c r="M6055" s="366"/>
    </row>
    <row r="6056" spans="1:13" x14ac:dyDescent="0.25">
      <c r="A6056" s="320">
        <v>45981</v>
      </c>
      <c r="B6056" s="419">
        <v>1130200</v>
      </c>
      <c r="C6056" s="638" t="str">
        <f>IFERROR(INDEX(Table14[],MATCH($B6056,Table14[SAPNo],0),3),"")</f>
        <v>Round 1913 CT182  0.018" (S)</v>
      </c>
      <c r="D6056" s="420" t="s">
        <v>8</v>
      </c>
      <c r="E6056" s="421"/>
      <c r="F6056" s="421">
        <v>33</v>
      </c>
      <c r="G6056" s="420" t="s">
        <v>3380</v>
      </c>
      <c r="H6056" s="599">
        <v>13298649</v>
      </c>
      <c r="I6056" s="322" t="s">
        <v>3381</v>
      </c>
      <c r="J6056" s="421"/>
      <c r="K6056" s="422"/>
      <c r="M6056" s="422"/>
    </row>
    <row r="6057" spans="1:13" x14ac:dyDescent="0.25">
      <c r="A6057" s="320">
        <v>45981</v>
      </c>
      <c r="B6057" s="419">
        <v>1130198</v>
      </c>
      <c r="C6057" s="638" t="str">
        <f>IFERROR(INDEX(Table14[],MATCH($B6057,Table14[SAPNo],0),3),"")</f>
        <v>Round 1613 CT182  0.018" (S)</v>
      </c>
      <c r="D6057" s="420" t="s">
        <v>8</v>
      </c>
      <c r="E6057" s="421"/>
      <c r="F6057" s="421">
        <v>13</v>
      </c>
      <c r="G6057" s="420" t="s">
        <v>3380</v>
      </c>
      <c r="H6057" s="599">
        <v>13298649</v>
      </c>
      <c r="I6057" s="322" t="s">
        <v>3381</v>
      </c>
      <c r="J6057" s="421"/>
      <c r="K6057" s="422"/>
      <c r="M6057" s="422"/>
    </row>
    <row r="6058" spans="1:13" x14ac:dyDescent="0.25">
      <c r="A6058" s="320">
        <v>45981</v>
      </c>
      <c r="B6058" s="419">
        <v>871781</v>
      </c>
      <c r="C6058" s="638" t="str">
        <f>IFERROR(INDEX(Table14[],MATCH($B6058,Table14[SAPNo],0),3),"")</f>
        <v>Round 1313 CT200  0.018" (B)</v>
      </c>
      <c r="D6058" s="420" t="s">
        <v>8</v>
      </c>
      <c r="E6058" s="421"/>
      <c r="F6058" s="421">
        <v>6</v>
      </c>
      <c r="G6058" s="420" t="s">
        <v>3380</v>
      </c>
      <c r="H6058" s="599">
        <v>13298649</v>
      </c>
      <c r="I6058" s="322" t="s">
        <v>3381</v>
      </c>
      <c r="J6058" s="421"/>
      <c r="K6058" s="422"/>
      <c r="M6058" s="422"/>
    </row>
    <row r="6059" spans="1:13" x14ac:dyDescent="0.25">
      <c r="A6059" s="308">
        <v>45984</v>
      </c>
      <c r="B6059" s="416">
        <v>418525</v>
      </c>
      <c r="C6059" s="638" t="str">
        <f>IFERROR(INDEX(Table14[],MATCH($B6059,Table14[SAPNo],0),3),"")</f>
        <v>Drop In 1308 CT31   (B)</v>
      </c>
      <c r="D6059" s="420" t="s">
        <v>12</v>
      </c>
      <c r="E6059" s="421">
        <v>10</v>
      </c>
      <c r="F6059" s="421"/>
      <c r="G6059" s="417" t="s">
        <v>3382</v>
      </c>
      <c r="H6059" s="598">
        <v>14431432</v>
      </c>
      <c r="I6059" s="322" t="s">
        <v>3111</v>
      </c>
      <c r="J6059" s="418"/>
      <c r="K6059" s="248"/>
      <c r="M6059" s="422"/>
    </row>
    <row r="6060" spans="1:13" x14ac:dyDescent="0.25">
      <c r="A6060" s="308">
        <v>45984</v>
      </c>
      <c r="B6060" s="416">
        <v>2001155</v>
      </c>
      <c r="C6060" s="638" t="str">
        <f>IFERROR(INDEX(Table14[],MATCH($B6060,Table14[SAPNo],0),3),"")</f>
        <v>1313 CT179T U-60</v>
      </c>
      <c r="D6060" s="420" t="s">
        <v>12</v>
      </c>
      <c r="E6060" s="421">
        <v>7</v>
      </c>
      <c r="F6060" s="580"/>
      <c r="G6060" s="417" t="s">
        <v>3382</v>
      </c>
      <c r="H6060" s="598">
        <v>14431432</v>
      </c>
      <c r="I6060" s="322" t="s">
        <v>3111</v>
      </c>
      <c r="J6060" s="418"/>
      <c r="K6060" s="248"/>
      <c r="M6060" s="366"/>
    </row>
    <row r="6061" spans="1:13" x14ac:dyDescent="0.25">
      <c r="A6061" s="308">
        <v>45984</v>
      </c>
      <c r="B6061" s="416">
        <v>1130219</v>
      </c>
      <c r="C6061" s="638" t="str">
        <f>IFERROR(INDEX(Table14[],MATCH($B6061,Table14[SAPNo],0),3),"")</f>
        <v>Round 1313 CT182  10C (S)</v>
      </c>
      <c r="D6061" s="420" t="s">
        <v>12</v>
      </c>
      <c r="E6061" s="421">
        <v>16</v>
      </c>
      <c r="F6061" s="580"/>
      <c r="G6061" s="417" t="s">
        <v>3382</v>
      </c>
      <c r="H6061" s="598">
        <v>14431432</v>
      </c>
      <c r="I6061" s="322" t="s">
        <v>3111</v>
      </c>
      <c r="J6061" s="418"/>
      <c r="K6061" s="248"/>
      <c r="M6061" s="366"/>
    </row>
    <row r="6062" spans="1:13" x14ac:dyDescent="0.25">
      <c r="A6062" s="308">
        <v>45985</v>
      </c>
      <c r="B6062" s="416">
        <v>418525</v>
      </c>
      <c r="C6062" s="638" t="str">
        <f>IFERROR(INDEX(Table14[],MATCH($B6062,Table14[SAPNo],0),3),"")</f>
        <v>Drop In 1308 CT31   (B)</v>
      </c>
      <c r="D6062" s="420" t="s">
        <v>12</v>
      </c>
      <c r="E6062" s="421">
        <v>7</v>
      </c>
      <c r="F6062" s="580"/>
      <c r="G6062" s="417" t="s">
        <v>3383</v>
      </c>
      <c r="H6062" s="598">
        <v>14425802</v>
      </c>
      <c r="I6062" s="322" t="s">
        <v>3384</v>
      </c>
      <c r="J6062" s="418"/>
      <c r="K6062" s="248"/>
      <c r="M6062" s="366"/>
    </row>
    <row r="6063" spans="1:13" x14ac:dyDescent="0.25">
      <c r="A6063" s="308">
        <v>45985</v>
      </c>
      <c r="B6063" s="416">
        <v>2022731</v>
      </c>
      <c r="C6063" s="638" t="str">
        <f>IFERROR(INDEX(Table14[],MATCH($B6063,Table14[SAPNo],0),3),"")</f>
        <v>1613 CT179R U-60</v>
      </c>
      <c r="D6063" s="420" t="s">
        <v>12</v>
      </c>
      <c r="E6063" s="421">
        <v>41</v>
      </c>
      <c r="F6063" s="580"/>
      <c r="G6063" s="417" t="s">
        <v>3383</v>
      </c>
      <c r="H6063" s="598">
        <v>14425802</v>
      </c>
      <c r="I6063" s="322" t="s">
        <v>3384</v>
      </c>
      <c r="J6063" s="418"/>
      <c r="K6063" s="248"/>
      <c r="M6063" s="366"/>
    </row>
    <row r="6064" spans="1:13" x14ac:dyDescent="0.25">
      <c r="A6064" s="308">
        <v>45985</v>
      </c>
      <c r="B6064" s="416">
        <v>179733</v>
      </c>
      <c r="C6064" s="638" t="str">
        <f>IFERROR(INDEX(Table14[],MATCH($B6064,Table14[SAPNo],0),3),"")</f>
        <v>Short IA 13    (C)</v>
      </c>
      <c r="D6064" s="420" t="s">
        <v>12</v>
      </c>
      <c r="E6064" s="421">
        <v>20</v>
      </c>
      <c r="F6064" s="580"/>
      <c r="G6064" s="417" t="s">
        <v>3383</v>
      </c>
      <c r="H6064" s="598">
        <v>14425802</v>
      </c>
      <c r="I6064" s="322" t="s">
        <v>3384</v>
      </c>
      <c r="J6064" s="418"/>
      <c r="K6064" s="248"/>
      <c r="M6064" s="366"/>
    </row>
    <row r="6065" spans="1:13" x14ac:dyDescent="0.25">
      <c r="A6065" s="308">
        <v>45985</v>
      </c>
      <c r="B6065" s="416">
        <v>1146742</v>
      </c>
      <c r="C6065" s="638" t="str">
        <f>IFERROR(INDEX(Table14[],MATCH($B6065,Table14[SAPNo],0),3),"")</f>
        <v>1913 CT418 U-60</v>
      </c>
      <c r="D6065" s="420" t="s">
        <v>12</v>
      </c>
      <c r="E6065" s="421">
        <v>20</v>
      </c>
      <c r="F6065" s="580"/>
      <c r="G6065" s="417" t="s">
        <v>3383</v>
      </c>
      <c r="H6065" s="598">
        <v>14425802</v>
      </c>
      <c r="I6065" s="322" t="s">
        <v>3384</v>
      </c>
      <c r="J6065" s="418"/>
      <c r="K6065" s="248"/>
      <c r="M6065" s="366"/>
    </row>
    <row r="6066" spans="1:13" x14ac:dyDescent="0.25">
      <c r="A6066" s="320">
        <v>45985</v>
      </c>
      <c r="B6066" s="419">
        <v>1146737</v>
      </c>
      <c r="C6066" s="638" t="str">
        <f>IFERROR(INDEX(Table14[],MATCH($B6066,Table14[SAPNo],0),3),"")</f>
        <v>1613 CT418 18-60</v>
      </c>
      <c r="D6066" s="420" t="s">
        <v>12</v>
      </c>
      <c r="E6066" s="421">
        <v>48</v>
      </c>
      <c r="F6066" s="580"/>
      <c r="G6066" s="420" t="s">
        <v>3383</v>
      </c>
      <c r="H6066" s="599">
        <v>14425802</v>
      </c>
      <c r="I6066" s="322" t="s">
        <v>3384</v>
      </c>
      <c r="J6066" s="421"/>
      <c r="K6066" s="422"/>
      <c r="M6066" s="366"/>
    </row>
    <row r="6067" spans="1:13" x14ac:dyDescent="0.25">
      <c r="A6067" s="308">
        <v>45986</v>
      </c>
      <c r="B6067" s="416">
        <v>871781</v>
      </c>
      <c r="C6067" s="638" t="str">
        <f>IFERROR(INDEX(Table14[],MATCH($B6067,Table14[SAPNo],0),3),"")</f>
        <v>Round 1313 CT200  0.018" (B)</v>
      </c>
      <c r="D6067" s="420" t="s">
        <v>12</v>
      </c>
      <c r="E6067" s="421">
        <v>6</v>
      </c>
      <c r="F6067" s="421"/>
      <c r="G6067" s="417" t="s">
        <v>3385</v>
      </c>
      <c r="H6067" s="598">
        <v>14462462</v>
      </c>
      <c r="I6067" s="322" t="s">
        <v>3386</v>
      </c>
      <c r="J6067" s="418"/>
      <c r="K6067" s="248"/>
      <c r="M6067" s="422"/>
    </row>
    <row r="6068" spans="1:13" x14ac:dyDescent="0.25">
      <c r="A6068" s="308">
        <v>45986</v>
      </c>
      <c r="B6068" s="416">
        <v>638560</v>
      </c>
      <c r="C6068" s="638" t="str">
        <f>IFERROR(INDEX(Table14[],MATCH($B6068,Table14[SAPNo],0),3),"")</f>
        <v>Round 1313 CT70  0.018" (S)</v>
      </c>
      <c r="D6068" s="420" t="s">
        <v>8</v>
      </c>
      <c r="E6068" s="421">
        <v>6</v>
      </c>
      <c r="F6068" s="580"/>
      <c r="G6068" s="417" t="s">
        <v>3385</v>
      </c>
      <c r="H6068" s="598">
        <v>14462462</v>
      </c>
      <c r="I6068" s="322" t="s">
        <v>3386</v>
      </c>
      <c r="J6068" s="418"/>
      <c r="K6068" s="248"/>
      <c r="M6068" s="366"/>
    </row>
    <row r="6069" spans="1:13" x14ac:dyDescent="0.25">
      <c r="A6069" s="308">
        <v>45986</v>
      </c>
      <c r="B6069" s="416">
        <v>418525</v>
      </c>
      <c r="C6069" s="638" t="str">
        <f>IFERROR(INDEX(Table14[],MATCH($B6069,Table14[SAPNo],0),3),"")</f>
        <v>Drop In 1308 CT31   (B)</v>
      </c>
      <c r="D6069" s="420" t="s">
        <v>12</v>
      </c>
      <c r="E6069" s="421">
        <v>6</v>
      </c>
      <c r="F6069" s="580"/>
      <c r="G6069" s="417" t="s">
        <v>3385</v>
      </c>
      <c r="H6069" s="598">
        <v>14462462</v>
      </c>
      <c r="I6069" s="322" t="s">
        <v>3386</v>
      </c>
      <c r="J6069" s="418"/>
      <c r="K6069" s="248"/>
      <c r="M6069" s="366"/>
    </row>
    <row r="6070" spans="1:13" x14ac:dyDescent="0.25">
      <c r="A6070" s="308">
        <v>45986</v>
      </c>
      <c r="B6070" s="416">
        <v>1272937</v>
      </c>
      <c r="C6070" s="638" t="str">
        <f>IFERROR(INDEX(Table14[],MATCH($B6070,Table14[SAPNo],0),3),"")</f>
        <v>1313 CT436 18-60</v>
      </c>
      <c r="D6070" s="420" t="s">
        <v>12</v>
      </c>
      <c r="E6070" s="421">
        <v>12</v>
      </c>
      <c r="F6070" s="580"/>
      <c r="G6070" s="417" t="s">
        <v>3385</v>
      </c>
      <c r="H6070" s="598">
        <v>14462462</v>
      </c>
      <c r="I6070" s="322" t="s">
        <v>3386</v>
      </c>
      <c r="J6070" s="418"/>
      <c r="K6070" s="248"/>
      <c r="M6070" s="366"/>
    </row>
    <row r="6071" spans="1:13" x14ac:dyDescent="0.25">
      <c r="A6071" s="308">
        <v>45986</v>
      </c>
      <c r="B6071" s="416">
        <v>1192902</v>
      </c>
      <c r="C6071" s="638" t="str">
        <f>IFERROR(INDEX(Table14[],MATCH($B6071,Table14[SAPNo],0),3),"")</f>
        <v>12MM CT200NL NA</v>
      </c>
      <c r="D6071" s="420" t="s">
        <v>12</v>
      </c>
      <c r="E6071" s="421">
        <v>3</v>
      </c>
      <c r="F6071" s="580"/>
      <c r="G6071" s="417" t="s">
        <v>3385</v>
      </c>
      <c r="H6071" s="598">
        <v>14462462</v>
      </c>
      <c r="I6071" s="322" t="s">
        <v>3386</v>
      </c>
      <c r="J6071" s="418"/>
      <c r="K6071" s="248"/>
      <c r="M6071" s="366"/>
    </row>
    <row r="6072" spans="1:13" x14ac:dyDescent="0.25">
      <c r="A6072" s="308">
        <v>45986</v>
      </c>
      <c r="B6072" s="416">
        <v>1192901</v>
      </c>
      <c r="C6072" s="638" t="str">
        <f>IFERROR(INDEX(Table14[],MATCH($B6072,Table14[SAPNo],0),3),"")</f>
        <v xml:space="preserve">12MM WC­MAT400 </v>
      </c>
      <c r="D6072" s="420" t="s">
        <v>12</v>
      </c>
      <c r="E6072" s="421">
        <v>6</v>
      </c>
      <c r="F6072" s="580"/>
      <c r="G6072" s="417" t="s">
        <v>3385</v>
      </c>
      <c r="H6072" s="598">
        <v>14462462</v>
      </c>
      <c r="I6072" s="322" t="s">
        <v>3386</v>
      </c>
      <c r="J6072" s="418"/>
      <c r="K6072" s="248"/>
      <c r="M6072" s="366"/>
    </row>
    <row r="6073" spans="1:13" x14ac:dyDescent="0.25">
      <c r="A6073" s="320">
        <v>45986</v>
      </c>
      <c r="B6073" s="419">
        <v>1039035</v>
      </c>
      <c r="C6073" s="638" t="str">
        <f>IFERROR(INDEX(Table14[],MATCH($B6073,Table14[SAPNo],0),3),"")</f>
        <v>Round 1313 CT138  10C (S)</v>
      </c>
      <c r="D6073" s="420" t="s">
        <v>12</v>
      </c>
      <c r="E6073" s="421">
        <v>7</v>
      </c>
      <c r="F6073" s="580"/>
      <c r="G6073" s="420" t="s">
        <v>3385</v>
      </c>
      <c r="H6073" s="599">
        <v>14462462</v>
      </c>
      <c r="I6073" s="322" t="s">
        <v>3386</v>
      </c>
      <c r="J6073" s="421"/>
      <c r="K6073" s="422"/>
      <c r="M6073" s="366"/>
    </row>
    <row r="6074" spans="1:13" x14ac:dyDescent="0.25">
      <c r="A6074" s="308">
        <v>45987</v>
      </c>
      <c r="B6074" s="416">
        <v>1100755</v>
      </c>
      <c r="C6074" s="638" t="str">
        <f>IFERROR(INDEX(Table14[],MATCH($B6074,Table14[SAPNo],0),3),"")</f>
        <v>Round 1613 CT421  0.018" (S)</v>
      </c>
      <c r="D6074" s="420" t="s">
        <v>1072</v>
      </c>
      <c r="E6074" s="421"/>
      <c r="F6074" s="421">
        <v>33</v>
      </c>
      <c r="G6074" s="417" t="s">
        <v>3373</v>
      </c>
      <c r="H6074" s="598">
        <v>14160195</v>
      </c>
      <c r="I6074" s="322" t="s">
        <v>3374</v>
      </c>
      <c r="J6074" s="418"/>
      <c r="K6074" s="248" t="s">
        <v>3151</v>
      </c>
      <c r="M6074" s="422"/>
    </row>
    <row r="6075" spans="1:13" x14ac:dyDescent="0.25">
      <c r="A6075" s="308">
        <v>45987</v>
      </c>
      <c r="B6075" s="416">
        <v>1282370</v>
      </c>
      <c r="C6075" s="638" t="str">
        <f>IFERROR(INDEX(Table14[],MATCH($B6075,Table14[SAPNo],0),3),"")</f>
        <v>1613 CT436Mv3 U-60</v>
      </c>
      <c r="D6075" s="420" t="s">
        <v>1072</v>
      </c>
      <c r="E6075" s="421"/>
      <c r="F6075" s="580">
        <v>12</v>
      </c>
      <c r="G6075" s="417" t="s">
        <v>3365</v>
      </c>
      <c r="H6075" s="598">
        <v>14442328</v>
      </c>
      <c r="I6075" s="322" t="s">
        <v>3330</v>
      </c>
      <c r="J6075" s="418"/>
      <c r="K6075" s="248" t="s">
        <v>3151</v>
      </c>
      <c r="M6075" s="366"/>
    </row>
    <row r="6076" spans="1:13" x14ac:dyDescent="0.25">
      <c r="A6076" s="308">
        <v>45987</v>
      </c>
      <c r="B6076" s="416">
        <v>2001155</v>
      </c>
      <c r="C6076" s="638" t="str">
        <f>IFERROR(INDEX(Table14[],MATCH($B6076,Table14[SAPNo],0),3),"")</f>
        <v>1313 CT179T U-60</v>
      </c>
      <c r="D6076" s="420" t="s">
        <v>1072</v>
      </c>
      <c r="E6076" s="421"/>
      <c r="F6076" s="580">
        <v>12</v>
      </c>
      <c r="G6076" s="417" t="s">
        <v>3363</v>
      </c>
      <c r="H6076" s="598">
        <v>14214806</v>
      </c>
      <c r="I6076" s="322" t="s">
        <v>3364</v>
      </c>
      <c r="J6076" s="418"/>
      <c r="K6076" s="248" t="s">
        <v>3151</v>
      </c>
      <c r="M6076" s="366"/>
    </row>
    <row r="6077" spans="1:13" x14ac:dyDescent="0.25">
      <c r="A6077" s="320">
        <v>45987</v>
      </c>
      <c r="B6077" s="419">
        <v>647435</v>
      </c>
      <c r="C6077" s="638" t="str">
        <f>IFERROR(INDEX(Table14[],MATCH($B6077,Table14[SAPNo],0),3),"")</f>
        <v>Round 1608 CT200  0.018" (B)</v>
      </c>
      <c r="D6077" s="420" t="s">
        <v>1072</v>
      </c>
      <c r="E6077" s="421"/>
      <c r="F6077" s="580">
        <v>6</v>
      </c>
      <c r="G6077" s="420" t="s">
        <v>3373</v>
      </c>
      <c r="H6077" s="599">
        <v>14160195</v>
      </c>
      <c r="I6077" s="322" t="s">
        <v>3374</v>
      </c>
      <c r="J6077" s="421"/>
      <c r="K6077" s="248" t="s">
        <v>3151</v>
      </c>
      <c r="M6077" s="366"/>
    </row>
    <row r="6078" spans="1:13" x14ac:dyDescent="0.25">
      <c r="A6078" s="308">
        <v>45987</v>
      </c>
      <c r="B6078" s="416">
        <v>871781</v>
      </c>
      <c r="C6078" s="638" t="str">
        <f>IFERROR(INDEX(Table14[],MATCH($B6078,Table14[SAPNo],0),3),"")</f>
        <v>Round 1313 CT200  0.018" (B)</v>
      </c>
      <c r="D6078" s="420" t="s">
        <v>12</v>
      </c>
      <c r="E6078" s="421">
        <v>6</v>
      </c>
      <c r="F6078" s="421"/>
      <c r="G6078" s="417" t="s">
        <v>3387</v>
      </c>
      <c r="H6078" s="598">
        <v>14426681</v>
      </c>
      <c r="I6078" s="322" t="s">
        <v>3285</v>
      </c>
      <c r="J6078" s="418"/>
      <c r="K6078" s="248"/>
      <c r="M6078" s="422"/>
    </row>
    <row r="6079" spans="1:13" x14ac:dyDescent="0.25">
      <c r="A6079" s="308">
        <v>45987</v>
      </c>
      <c r="B6079" s="416">
        <v>2004484</v>
      </c>
      <c r="C6079" s="638" t="str">
        <f>IFERROR(INDEX(Table14[],MATCH($B6079,Table14[SAPNo],0),3),"")</f>
        <v>1308 CT187 U-60</v>
      </c>
      <c r="D6079" s="420" t="s">
        <v>12</v>
      </c>
      <c r="E6079" s="421">
        <v>22</v>
      </c>
      <c r="F6079" s="580"/>
      <c r="G6079" s="417" t="s">
        <v>3387</v>
      </c>
      <c r="H6079" s="598">
        <v>14426681</v>
      </c>
      <c r="I6079" s="322" t="s">
        <v>3285</v>
      </c>
      <c r="J6079" s="418"/>
      <c r="K6079" s="248"/>
      <c r="M6079" s="366"/>
    </row>
    <row r="6080" spans="1:13" x14ac:dyDescent="0.25">
      <c r="A6080" s="308">
        <v>45987</v>
      </c>
      <c r="B6080" s="416">
        <v>2002299</v>
      </c>
      <c r="C6080" s="638" t="str">
        <f>IFERROR(INDEX(Table14[],MATCH($B6080,Table14[SAPNo],0),3),"")</f>
        <v>1613 CT187 U-60</v>
      </c>
      <c r="D6080" s="420" t="s">
        <v>12</v>
      </c>
      <c r="E6080" s="421">
        <v>20</v>
      </c>
      <c r="F6080" s="580"/>
      <c r="G6080" s="417" t="s">
        <v>3387</v>
      </c>
      <c r="H6080" s="598">
        <v>14426681</v>
      </c>
      <c r="I6080" s="322" t="s">
        <v>3285</v>
      </c>
      <c r="J6080" s="418"/>
      <c r="K6080" s="248"/>
      <c r="M6080" s="366"/>
    </row>
    <row r="6081" spans="1:13" x14ac:dyDescent="0.25">
      <c r="A6081" s="308">
        <v>45987</v>
      </c>
      <c r="B6081" s="416">
        <v>1228503</v>
      </c>
      <c r="C6081" s="638" t="str">
        <f>IFERROR(INDEX(Table14[],MATCH($B6081,Table14[SAPNo],0),3),"")</f>
        <v>1618 CT182 U-60 Ring</v>
      </c>
      <c r="D6081" s="420" t="s">
        <v>12</v>
      </c>
      <c r="E6081" s="421">
        <v>14</v>
      </c>
      <c r="F6081" s="580"/>
      <c r="G6081" s="417" t="s">
        <v>3387</v>
      </c>
      <c r="H6081" s="598">
        <v>14426681</v>
      </c>
      <c r="I6081" s="322" t="s">
        <v>3285</v>
      </c>
      <c r="J6081" s="418"/>
      <c r="K6081" s="248"/>
      <c r="M6081" s="366"/>
    </row>
    <row r="6082" spans="1:13" x14ac:dyDescent="0.25">
      <c r="A6082" s="308">
        <v>45987</v>
      </c>
      <c r="B6082" s="416">
        <v>1228502</v>
      </c>
      <c r="C6082" s="638" t="str">
        <f>IFERROR(INDEX(Table14[],MATCH($B6082,Table14[SAPNo],0),3),"")</f>
        <v>1618 CT182 U-60 Rotor</v>
      </c>
      <c r="D6082" s="420" t="s">
        <v>12</v>
      </c>
      <c r="E6082" s="421">
        <v>14</v>
      </c>
      <c r="F6082" s="580"/>
      <c r="G6082" s="417" t="s">
        <v>3387</v>
      </c>
      <c r="H6082" s="598">
        <v>14426681</v>
      </c>
      <c r="I6082" s="322" t="s">
        <v>3285</v>
      </c>
      <c r="J6082" s="418"/>
      <c r="K6082" s="248"/>
      <c r="M6082" s="366"/>
    </row>
    <row r="6083" spans="1:13" x14ac:dyDescent="0.25">
      <c r="A6083" s="308">
        <v>45987</v>
      </c>
      <c r="B6083" s="416">
        <v>1228501</v>
      </c>
      <c r="C6083" s="638" t="str">
        <f>IFERROR(INDEX(Table14[],MATCH($B6083,Table14[SAPNo],0),3),"")</f>
        <v>1618 CT182 U-60 stator</v>
      </c>
      <c r="D6083" s="420" t="s">
        <v>12</v>
      </c>
      <c r="E6083" s="421">
        <v>14</v>
      </c>
      <c r="F6083" s="580"/>
      <c r="G6083" s="417" t="s">
        <v>3387</v>
      </c>
      <c r="H6083" s="598">
        <v>14426681</v>
      </c>
      <c r="I6083" s="322" t="s">
        <v>3285</v>
      </c>
      <c r="J6083" s="418"/>
      <c r="K6083" s="248"/>
      <c r="M6083" s="366"/>
    </row>
    <row r="6084" spans="1:13" x14ac:dyDescent="0.25">
      <c r="A6084" s="308">
        <v>45987</v>
      </c>
      <c r="B6084" s="416">
        <v>1220554</v>
      </c>
      <c r="C6084" s="638" t="str">
        <f>IFERROR(INDEX(Table14[],MATCH($B6084,Table14[SAPNo],0),3),"")</f>
        <v xml:space="preserve">1618 CT182 U-60 Carbide </v>
      </c>
      <c r="D6084" s="420" t="s">
        <v>12</v>
      </c>
      <c r="E6084" s="421">
        <v>14</v>
      </c>
      <c r="F6084" s="580"/>
      <c r="G6084" s="417" t="s">
        <v>3387</v>
      </c>
      <c r="H6084" s="598">
        <v>14426681</v>
      </c>
      <c r="I6084" s="322" t="s">
        <v>3285</v>
      </c>
      <c r="J6084" s="418"/>
      <c r="K6084" s="248"/>
      <c r="M6084" s="366"/>
    </row>
    <row r="6085" spans="1:13" x14ac:dyDescent="0.25">
      <c r="A6085" s="308">
        <v>45987</v>
      </c>
      <c r="B6085" s="416">
        <v>1201518</v>
      </c>
      <c r="C6085" s="638" t="str">
        <f>IFERROR(INDEX(Table14[],MATCH($B6085,Table14[SAPNo],0),3),"")</f>
        <v>12MM WC­MAT404 NA</v>
      </c>
      <c r="D6085" s="420" t="s">
        <v>12</v>
      </c>
      <c r="E6085" s="421">
        <v>3</v>
      </c>
      <c r="F6085" s="580"/>
      <c r="G6085" s="417" t="s">
        <v>3387</v>
      </c>
      <c r="H6085" s="598">
        <v>14426681</v>
      </c>
      <c r="I6085" s="322" t="s">
        <v>3285</v>
      </c>
      <c r="J6085" s="418"/>
      <c r="K6085" s="248"/>
      <c r="M6085" s="366"/>
    </row>
    <row r="6086" spans="1:13" x14ac:dyDescent="0.25">
      <c r="A6086" s="308">
        <v>45987</v>
      </c>
      <c r="B6086" s="416">
        <v>1126402</v>
      </c>
      <c r="C6086" s="638" t="str">
        <f>IFERROR(INDEX(Table14[],MATCH($B6086,Table14[SAPNo],0),3),"")</f>
        <v>1613 CT421 16-60</v>
      </c>
      <c r="D6086" s="420" t="s">
        <v>12</v>
      </c>
      <c r="E6086" s="421">
        <v>7</v>
      </c>
      <c r="F6086" s="580"/>
      <c r="G6086" s="417" t="s">
        <v>3387</v>
      </c>
      <c r="H6086" s="598">
        <v>14426681</v>
      </c>
      <c r="I6086" s="322" t="s">
        <v>3285</v>
      </c>
      <c r="J6086" s="418"/>
      <c r="K6086" s="248"/>
      <c r="M6086" s="366"/>
    </row>
    <row r="6087" spans="1:13" x14ac:dyDescent="0.25">
      <c r="A6087" s="320">
        <v>45987</v>
      </c>
      <c r="B6087" s="419">
        <v>717748</v>
      </c>
      <c r="C6087" s="638" t="str">
        <f>IFERROR(INDEX(Table14[],MATCH($B6087,Table14[SAPNo],0),3),"")</f>
        <v>Round 1010 CT200  0.018" (B)</v>
      </c>
      <c r="D6087" s="420" t="s">
        <v>11</v>
      </c>
      <c r="E6087" s="421">
        <v>1</v>
      </c>
      <c r="F6087" s="580"/>
      <c r="G6087" s="420">
        <v>20251160</v>
      </c>
      <c r="H6087" s="599" t="s">
        <v>3388</v>
      </c>
      <c r="I6087" s="322" t="s">
        <v>2362</v>
      </c>
      <c r="J6087" s="421"/>
      <c r="K6087" s="422"/>
      <c r="M6087" s="366"/>
    </row>
    <row r="6088" spans="1:13" x14ac:dyDescent="0.25">
      <c r="A6088" s="779">
        <v>45991</v>
      </c>
      <c r="B6088" s="780">
        <v>1078377</v>
      </c>
      <c r="C6088" s="751" t="str">
        <f>IFERROR(INDEX(Table14[],MATCH($B6088,Table14[SAPNo],0),3),"")</f>
        <v>13MM CT221 R1</v>
      </c>
      <c r="D6088" s="752" t="s">
        <v>10</v>
      </c>
      <c r="E6088" s="753">
        <v>1</v>
      </c>
      <c r="F6088" s="753"/>
      <c r="G6088" s="782" t="s">
        <v>3359</v>
      </c>
      <c r="H6088" s="783">
        <v>14414024</v>
      </c>
      <c r="I6088" s="754" t="s">
        <v>3276</v>
      </c>
      <c r="J6088" s="784"/>
      <c r="K6088" s="248"/>
      <c r="M6088" s="422"/>
    </row>
    <row r="6089" spans="1:13" x14ac:dyDescent="0.25">
      <c r="A6089" s="779">
        <v>45991</v>
      </c>
      <c r="B6089" s="780">
        <v>1146737</v>
      </c>
      <c r="C6089" s="751" t="str">
        <f>IFERROR(INDEX(Table14[],MATCH($B6089,Table14[SAPNo],0),3),"")</f>
        <v>1613 CT418 18-60</v>
      </c>
      <c r="D6089" s="752" t="s">
        <v>10</v>
      </c>
      <c r="E6089" s="753">
        <v>1</v>
      </c>
      <c r="F6089" s="781"/>
      <c r="G6089" s="782" t="s">
        <v>3359</v>
      </c>
      <c r="H6089" s="783">
        <v>14414024</v>
      </c>
      <c r="I6089" s="754" t="s">
        <v>3276</v>
      </c>
      <c r="J6089" s="784"/>
      <c r="K6089" s="248"/>
      <c r="M6089" s="366"/>
    </row>
    <row r="6090" spans="1:13" x14ac:dyDescent="0.25">
      <c r="A6090" s="759">
        <v>45993</v>
      </c>
      <c r="B6090" s="760">
        <v>1282370</v>
      </c>
      <c r="C6090" s="761" t="str">
        <f>IFERROR(INDEX(Table14[],MATCH($B6090,Table14[SAPNo],0),3),"")</f>
        <v>1613 CT436Mv3 U-60</v>
      </c>
      <c r="D6090" s="420" t="s">
        <v>12</v>
      </c>
      <c r="E6090" s="763">
        <v>2</v>
      </c>
      <c r="F6090" s="764"/>
      <c r="G6090" s="765" t="s">
        <v>4078</v>
      </c>
      <c r="H6090" s="766">
        <v>14442327</v>
      </c>
      <c r="I6090" s="767" t="s">
        <v>2850</v>
      </c>
      <c r="J6090" s="768"/>
      <c r="K6090" s="248"/>
      <c r="M6090" s="366"/>
    </row>
    <row r="6091" spans="1:13" x14ac:dyDescent="0.25">
      <c r="A6091" s="759">
        <v>45993</v>
      </c>
      <c r="B6091" s="760">
        <v>2001060</v>
      </c>
      <c r="C6091" s="761" t="str">
        <f>IFERROR(INDEX(Table14[],MATCH($B6091,Table14[SAPNo],0),3),"")</f>
        <v>1613 CT179T U-60</v>
      </c>
      <c r="D6091" s="420" t="s">
        <v>12</v>
      </c>
      <c r="E6091" s="763">
        <v>1</v>
      </c>
      <c r="F6091" s="764"/>
      <c r="G6091" s="765" t="s">
        <v>4078</v>
      </c>
      <c r="H6091" s="766">
        <v>14442327</v>
      </c>
      <c r="I6091" s="767" t="s">
        <v>2850</v>
      </c>
      <c r="J6091" s="768"/>
      <c r="K6091" s="248"/>
      <c r="M6091" s="366"/>
    </row>
    <row r="6092" spans="1:13" x14ac:dyDescent="0.25">
      <c r="A6092" s="769">
        <v>45993</v>
      </c>
      <c r="B6092" s="770">
        <v>871781</v>
      </c>
      <c r="C6092" s="761" t="str">
        <f>IFERROR(INDEX(Table14[],MATCH($B6092,Table14[SAPNo],0),3),"")</f>
        <v>Round 1313 CT200  0.018" (B)</v>
      </c>
      <c r="D6092" s="420" t="s">
        <v>12</v>
      </c>
      <c r="E6092" s="763">
        <v>1</v>
      </c>
      <c r="F6092" s="764"/>
      <c r="G6092" s="762" t="s">
        <v>4078</v>
      </c>
      <c r="H6092" s="771">
        <v>14442327</v>
      </c>
      <c r="I6092" s="767" t="s">
        <v>2850</v>
      </c>
      <c r="J6092" s="763"/>
      <c r="K6092" s="422"/>
      <c r="M6092" s="366"/>
    </row>
    <row r="6093" spans="1:13" x14ac:dyDescent="0.25">
      <c r="A6093" s="308">
        <v>45991</v>
      </c>
      <c r="B6093" s="416">
        <v>785001</v>
      </c>
      <c r="C6093" s="638" t="str">
        <f>IFERROR(INDEX(Table14[],MATCH($B6093,Table14[SAPNo],0),3),"")</f>
        <v>Round 1313 CT97 TBO-Cutter 0.018" (S)</v>
      </c>
      <c r="D6093" s="420" t="s">
        <v>12</v>
      </c>
      <c r="E6093" s="421">
        <v>3</v>
      </c>
      <c r="F6093" s="421"/>
      <c r="G6093" s="417" t="s">
        <v>3391</v>
      </c>
      <c r="H6093" s="598">
        <v>14431433</v>
      </c>
      <c r="I6093" s="322" t="s">
        <v>3111</v>
      </c>
      <c r="J6093" s="418"/>
      <c r="K6093" s="248"/>
      <c r="M6093" s="422"/>
    </row>
    <row r="6094" spans="1:13" x14ac:dyDescent="0.25">
      <c r="A6094" s="308">
        <v>45991</v>
      </c>
      <c r="B6094" s="416">
        <v>703670</v>
      </c>
      <c r="C6094" s="638" t="str">
        <f>IFERROR(INDEX(Table14[],MATCH($B6094,Table14[SAPNo],0),3),"")</f>
        <v>Round 1313 CT200  10C (B)</v>
      </c>
      <c r="D6094" s="420" t="s">
        <v>12</v>
      </c>
      <c r="E6094" s="421">
        <v>5</v>
      </c>
      <c r="F6094" s="580"/>
      <c r="G6094" s="417" t="s">
        <v>3391</v>
      </c>
      <c r="H6094" s="598">
        <v>14431433</v>
      </c>
      <c r="I6094" s="322" t="s">
        <v>3111</v>
      </c>
      <c r="J6094" s="418"/>
      <c r="K6094" s="248"/>
      <c r="M6094" s="366"/>
    </row>
    <row r="6095" spans="1:13" x14ac:dyDescent="0.25">
      <c r="A6095" s="308">
        <v>45991</v>
      </c>
      <c r="B6095" s="416">
        <v>638560</v>
      </c>
      <c r="C6095" s="638" t="str">
        <f>IFERROR(INDEX(Table14[],MATCH($B6095,Table14[SAPNo],0),3),"")</f>
        <v>Round 1313 CT70  0.018" (S)</v>
      </c>
      <c r="D6095" s="420" t="s">
        <v>8</v>
      </c>
      <c r="E6095" s="421">
        <v>3</v>
      </c>
      <c r="F6095" s="580"/>
      <c r="G6095" s="417" t="s">
        <v>3391</v>
      </c>
      <c r="H6095" s="598">
        <v>14431433</v>
      </c>
      <c r="I6095" s="322" t="s">
        <v>3111</v>
      </c>
      <c r="J6095" s="418"/>
      <c r="K6095" s="248"/>
      <c r="M6095" s="366"/>
    </row>
    <row r="6096" spans="1:13" x14ac:dyDescent="0.25">
      <c r="A6096" s="308">
        <v>45991</v>
      </c>
      <c r="B6096" s="416">
        <v>418525</v>
      </c>
      <c r="C6096" s="638" t="str">
        <f>IFERROR(INDEX(Table14[],MATCH($B6096,Table14[SAPNo],0),3),"")</f>
        <v>Drop In 1308 CT31   (B)</v>
      </c>
      <c r="D6096" s="420" t="s">
        <v>12</v>
      </c>
      <c r="E6096" s="421">
        <v>10</v>
      </c>
      <c r="F6096" s="580"/>
      <c r="G6096" s="417" t="s">
        <v>3391</v>
      </c>
      <c r="H6096" s="598">
        <v>14431433</v>
      </c>
      <c r="I6096" s="322" t="s">
        <v>3111</v>
      </c>
      <c r="J6096" s="418"/>
      <c r="K6096" s="248"/>
      <c r="M6096" s="366"/>
    </row>
    <row r="6097" spans="1:13" x14ac:dyDescent="0.25">
      <c r="A6097" s="308">
        <v>45991</v>
      </c>
      <c r="B6097" s="416">
        <v>2001155</v>
      </c>
      <c r="C6097" s="638" t="str">
        <f>IFERROR(INDEX(Table14[],MATCH($B6097,Table14[SAPNo],0),3),"")</f>
        <v>1313 CT179T U-60</v>
      </c>
      <c r="D6097" s="420" t="s">
        <v>12</v>
      </c>
      <c r="E6097" s="421">
        <v>7</v>
      </c>
      <c r="F6097" s="580"/>
      <c r="G6097" s="417" t="s">
        <v>3391</v>
      </c>
      <c r="H6097" s="598">
        <v>14431433</v>
      </c>
      <c r="I6097" s="322" t="s">
        <v>3111</v>
      </c>
      <c r="J6097" s="418"/>
      <c r="K6097" s="248"/>
      <c r="M6097" s="366"/>
    </row>
    <row r="6098" spans="1:13" x14ac:dyDescent="0.25">
      <c r="A6098" s="308">
        <v>45991</v>
      </c>
      <c r="B6098" s="416">
        <v>1130219</v>
      </c>
      <c r="C6098" s="638" t="str">
        <f>IFERROR(INDEX(Table14[],MATCH($B6098,Table14[SAPNo],0),3),"")</f>
        <v>Round 1313 CT182  10C (S)</v>
      </c>
      <c r="D6098" s="420" t="s">
        <v>12</v>
      </c>
      <c r="E6098" s="421">
        <v>4</v>
      </c>
      <c r="F6098" s="580"/>
      <c r="G6098" s="417" t="s">
        <v>3391</v>
      </c>
      <c r="H6098" s="598">
        <v>14431433</v>
      </c>
      <c r="I6098" s="322" t="s">
        <v>3111</v>
      </c>
      <c r="J6098" s="418"/>
      <c r="K6098" s="248"/>
      <c r="M6098" s="366"/>
    </row>
    <row r="6099" spans="1:13" x14ac:dyDescent="0.25">
      <c r="A6099" s="320">
        <v>45991</v>
      </c>
      <c r="B6099" s="419">
        <v>1039035</v>
      </c>
      <c r="C6099" s="638" t="str">
        <f>IFERROR(INDEX(Table14[],MATCH($B6099,Table14[SAPNo],0),3),"")</f>
        <v>Round 1313 CT138  10C (S)</v>
      </c>
      <c r="D6099" s="420" t="s">
        <v>12</v>
      </c>
      <c r="E6099" s="421">
        <v>1</v>
      </c>
      <c r="F6099" s="580"/>
      <c r="G6099" s="420" t="s">
        <v>3391</v>
      </c>
      <c r="H6099" s="599">
        <v>14431433</v>
      </c>
      <c r="I6099" s="322" t="s">
        <v>3111</v>
      </c>
      <c r="J6099" s="421"/>
      <c r="K6099" s="422"/>
      <c r="M6099" s="366"/>
    </row>
    <row r="6100" spans="1:13" x14ac:dyDescent="0.25">
      <c r="A6100" s="308">
        <v>45991</v>
      </c>
      <c r="B6100" s="416">
        <v>1293118</v>
      </c>
      <c r="C6100" s="638" t="str">
        <f>IFERROR(INDEX(Table14[],MATCH($B6100,Table14[SAPNo],0),3),"")</f>
        <v>0808 CT158NL 0.018"</v>
      </c>
      <c r="D6100" s="420" t="s">
        <v>12</v>
      </c>
      <c r="E6100" s="421">
        <v>10</v>
      </c>
      <c r="F6100" s="421"/>
      <c r="G6100" s="417" t="s">
        <v>3392</v>
      </c>
      <c r="H6100" s="598">
        <v>14459843</v>
      </c>
      <c r="I6100" s="322" t="s">
        <v>3351</v>
      </c>
      <c r="J6100" s="418"/>
      <c r="K6100" s="248"/>
      <c r="M6100" s="422"/>
    </row>
    <row r="6101" spans="1:13" x14ac:dyDescent="0.25">
      <c r="A6101" s="308">
        <v>45991</v>
      </c>
      <c r="B6101" s="416">
        <v>1230916</v>
      </c>
      <c r="C6101" s="638" t="str">
        <f>IFERROR(INDEX(Table14[],MATCH($B6101,Table14[SAPNo],0),3),"")</f>
        <v>1005 CT158 0.018"</v>
      </c>
      <c r="D6101" s="420" t="s">
        <v>12</v>
      </c>
      <c r="E6101" s="421">
        <v>8</v>
      </c>
      <c r="F6101" s="580"/>
      <c r="G6101" s="417" t="s">
        <v>3392</v>
      </c>
      <c r="H6101" s="598">
        <v>14459843</v>
      </c>
      <c r="I6101" s="322" t="s">
        <v>3351</v>
      </c>
      <c r="J6101" s="418"/>
      <c r="K6101" s="248"/>
      <c r="M6101" s="366"/>
    </row>
    <row r="6102" spans="1:13" x14ac:dyDescent="0.25">
      <c r="A6102" s="320">
        <v>45991</v>
      </c>
      <c r="B6102" s="419">
        <v>1199261</v>
      </c>
      <c r="C6102" s="638" t="str">
        <f>IFERROR(INDEX(Table14[],MATCH($B6102,Table14[SAPNo],0),3),"")</f>
        <v>1010 CT158 0.018"</v>
      </c>
      <c r="D6102" s="420" t="s">
        <v>12</v>
      </c>
      <c r="E6102" s="421">
        <v>26</v>
      </c>
      <c r="F6102" s="580"/>
      <c r="G6102" s="420" t="s">
        <v>3392</v>
      </c>
      <c r="H6102" s="599">
        <v>14459843</v>
      </c>
      <c r="I6102" s="322" t="s">
        <v>3351</v>
      </c>
      <c r="J6102" s="421"/>
      <c r="K6102" s="422"/>
      <c r="M6102" s="366"/>
    </row>
    <row r="6103" spans="1:13" x14ac:dyDescent="0.25">
      <c r="A6103" s="308">
        <v>45991</v>
      </c>
      <c r="B6103" s="416">
        <v>1228502</v>
      </c>
      <c r="C6103" s="638" t="str">
        <f>IFERROR(INDEX(Table14[],MATCH($B6103,Table14[SAPNo],0),3),"")</f>
        <v>1618 CT182 U-60 Rotor</v>
      </c>
      <c r="D6103" s="420" t="s">
        <v>12</v>
      </c>
      <c r="E6103" s="421">
        <v>14</v>
      </c>
      <c r="F6103" s="421"/>
      <c r="G6103" s="417" t="s">
        <v>3393</v>
      </c>
      <c r="H6103" s="598">
        <v>14462149</v>
      </c>
      <c r="I6103" s="322" t="s">
        <v>3285</v>
      </c>
      <c r="J6103" s="418"/>
      <c r="K6103" s="248"/>
      <c r="M6103" s="422"/>
    </row>
    <row r="6104" spans="1:13" x14ac:dyDescent="0.25">
      <c r="A6104" s="308">
        <v>45991</v>
      </c>
      <c r="B6104" s="416">
        <v>1126402</v>
      </c>
      <c r="C6104" s="638" t="str">
        <f>IFERROR(INDEX(Table14[],MATCH($B6104,Table14[SAPNo],0),3),"")</f>
        <v>1613 CT421 16-60</v>
      </c>
      <c r="D6104" s="420" t="s">
        <v>12</v>
      </c>
      <c r="E6104" s="421">
        <v>7</v>
      </c>
      <c r="F6104" s="580"/>
      <c r="G6104" s="417" t="s">
        <v>3393</v>
      </c>
      <c r="H6104" s="598">
        <v>14462149</v>
      </c>
      <c r="I6104" s="322" t="s">
        <v>3285</v>
      </c>
      <c r="J6104" s="418"/>
      <c r="K6104" s="248"/>
      <c r="M6104" s="366"/>
    </row>
    <row r="6105" spans="1:13" x14ac:dyDescent="0.25">
      <c r="A6105" s="308">
        <v>45991</v>
      </c>
      <c r="B6105" s="416">
        <v>871781</v>
      </c>
      <c r="C6105" s="638" t="str">
        <f>IFERROR(INDEX(Table14[],MATCH($B6105,Table14[SAPNo],0),3),"")</f>
        <v>Round 1313 CT200  0.018" (B)</v>
      </c>
      <c r="D6105" s="420" t="s">
        <v>12</v>
      </c>
      <c r="E6105" s="421">
        <v>6</v>
      </c>
      <c r="F6105" s="580"/>
      <c r="G6105" s="417" t="s">
        <v>3393</v>
      </c>
      <c r="H6105" s="598">
        <v>14462149</v>
      </c>
      <c r="I6105" s="322" t="s">
        <v>3285</v>
      </c>
      <c r="J6105" s="418"/>
      <c r="K6105" s="248"/>
      <c r="M6105" s="366"/>
    </row>
    <row r="6106" spans="1:13" x14ac:dyDescent="0.25">
      <c r="A6106" s="308">
        <v>45991</v>
      </c>
      <c r="B6106" s="416">
        <v>1201518</v>
      </c>
      <c r="C6106" s="638" t="str">
        <f>IFERROR(INDEX(Table14[],MATCH($B6106,Table14[SAPNo],0),3),"")</f>
        <v>12MM WC­MAT404 NA</v>
      </c>
      <c r="D6106" s="420" t="s">
        <v>12</v>
      </c>
      <c r="E6106" s="421">
        <v>3</v>
      </c>
      <c r="F6106" s="580"/>
      <c r="G6106" s="417" t="s">
        <v>3393</v>
      </c>
      <c r="H6106" s="598">
        <v>14462149</v>
      </c>
      <c r="I6106" s="322" t="s">
        <v>3285</v>
      </c>
      <c r="J6106" s="418"/>
      <c r="K6106" s="248"/>
      <c r="M6106" s="366"/>
    </row>
    <row r="6107" spans="1:13" x14ac:dyDescent="0.25">
      <c r="A6107" s="308">
        <v>45991</v>
      </c>
      <c r="B6107" s="416">
        <v>1228501</v>
      </c>
      <c r="C6107" s="638" t="str">
        <f>IFERROR(INDEX(Table14[],MATCH($B6107,Table14[SAPNo],0),3),"")</f>
        <v>1618 CT182 U-60 stator</v>
      </c>
      <c r="D6107" s="420" t="s">
        <v>12</v>
      </c>
      <c r="E6107" s="421">
        <v>14</v>
      </c>
      <c r="F6107" s="580"/>
      <c r="G6107" s="417" t="s">
        <v>3393</v>
      </c>
      <c r="H6107" s="598">
        <v>14462149</v>
      </c>
      <c r="I6107" s="322" t="s">
        <v>3285</v>
      </c>
      <c r="J6107" s="418"/>
      <c r="K6107" s="248"/>
      <c r="M6107" s="366"/>
    </row>
    <row r="6108" spans="1:13" x14ac:dyDescent="0.25">
      <c r="A6108" s="308">
        <v>45991</v>
      </c>
      <c r="B6108" s="416">
        <v>2002299</v>
      </c>
      <c r="C6108" s="638" t="str">
        <f>IFERROR(INDEX(Table14[],MATCH($B6108,Table14[SAPNo],0),3),"")</f>
        <v>1613 CT187 U-60</v>
      </c>
      <c r="D6108" s="420" t="s">
        <v>12</v>
      </c>
      <c r="E6108" s="421">
        <v>20</v>
      </c>
      <c r="F6108" s="580"/>
      <c r="G6108" s="417" t="s">
        <v>3393</v>
      </c>
      <c r="H6108" s="598">
        <v>14462149</v>
      </c>
      <c r="I6108" s="322" t="s">
        <v>3285</v>
      </c>
      <c r="J6108" s="418"/>
      <c r="K6108" s="248"/>
      <c r="M6108" s="366"/>
    </row>
    <row r="6109" spans="1:13" x14ac:dyDescent="0.25">
      <c r="A6109" s="308">
        <v>45991</v>
      </c>
      <c r="B6109" s="416">
        <v>2004484</v>
      </c>
      <c r="C6109" s="638" t="str">
        <f>IFERROR(INDEX(Table14[],MATCH($B6109,Table14[SAPNo],0),3),"")</f>
        <v>1308 CT187 U-60</v>
      </c>
      <c r="D6109" s="420" t="s">
        <v>12</v>
      </c>
      <c r="E6109" s="421">
        <v>22</v>
      </c>
      <c r="F6109" s="580"/>
      <c r="G6109" s="417" t="s">
        <v>3393</v>
      </c>
      <c r="H6109" s="598">
        <v>14462149</v>
      </c>
      <c r="I6109" s="322" t="s">
        <v>3285</v>
      </c>
      <c r="J6109" s="418"/>
      <c r="K6109" s="248"/>
      <c r="M6109" s="366"/>
    </row>
    <row r="6110" spans="1:13" x14ac:dyDescent="0.25">
      <c r="A6110" s="308">
        <v>45991</v>
      </c>
      <c r="B6110" s="416">
        <v>1228503</v>
      </c>
      <c r="C6110" s="638" t="str">
        <f>IFERROR(INDEX(Table14[],MATCH($B6110,Table14[SAPNo],0),3),"")</f>
        <v>1618 CT182 U-60 Ring</v>
      </c>
      <c r="D6110" s="420" t="s">
        <v>12</v>
      </c>
      <c r="E6110" s="421">
        <v>14</v>
      </c>
      <c r="F6110" s="580"/>
      <c r="G6110" s="417" t="s">
        <v>3393</v>
      </c>
      <c r="H6110" s="598">
        <v>14462149</v>
      </c>
      <c r="I6110" s="322" t="s">
        <v>3285</v>
      </c>
      <c r="J6110" s="418"/>
      <c r="K6110" s="248"/>
      <c r="M6110" s="366"/>
    </row>
    <row r="6111" spans="1:13" x14ac:dyDescent="0.25">
      <c r="A6111" s="308">
        <v>45991</v>
      </c>
      <c r="B6111" s="416">
        <v>1220554</v>
      </c>
      <c r="C6111" s="638" t="str">
        <f>IFERROR(INDEX(Table14[],MATCH($B6111,Table14[SAPNo],0),3),"")</f>
        <v xml:space="preserve">1618 CT182 U-60 Carbide </v>
      </c>
      <c r="D6111" s="420" t="s">
        <v>12</v>
      </c>
      <c r="E6111" s="421">
        <v>14</v>
      </c>
      <c r="F6111" s="580"/>
      <c r="G6111" s="417" t="s">
        <v>3393</v>
      </c>
      <c r="H6111" s="598">
        <v>14462149</v>
      </c>
      <c r="I6111" s="322" t="s">
        <v>3285</v>
      </c>
      <c r="J6111" s="418"/>
      <c r="K6111" s="248"/>
      <c r="M6111" s="366"/>
    </row>
    <row r="6112" spans="1:13" x14ac:dyDescent="0.25">
      <c r="A6112" s="308">
        <v>45991</v>
      </c>
      <c r="B6112" s="416">
        <v>1228502</v>
      </c>
      <c r="C6112" s="638" t="str">
        <f>IFERROR(INDEX(Table14[],MATCH($B6112,Table14[SAPNo],0),3),"")</f>
        <v>1618 CT182 U-60 Rotor</v>
      </c>
      <c r="D6112" s="420" t="s">
        <v>12</v>
      </c>
      <c r="E6112" s="421">
        <v>14</v>
      </c>
      <c r="F6112" s="580"/>
      <c r="G6112" s="417" t="s">
        <v>3394</v>
      </c>
      <c r="H6112" s="598">
        <v>14462150</v>
      </c>
      <c r="I6112" s="322" t="s">
        <v>3285</v>
      </c>
      <c r="J6112" s="418"/>
      <c r="K6112" s="248"/>
      <c r="M6112" s="366"/>
    </row>
    <row r="6113" spans="1:15" x14ac:dyDescent="0.25">
      <c r="A6113" s="308">
        <v>45991</v>
      </c>
      <c r="B6113" s="416">
        <v>2004484</v>
      </c>
      <c r="C6113" s="638" t="str">
        <f>IFERROR(INDEX(Table14[],MATCH($B6113,Table14[SAPNo],0),3),"")</f>
        <v>1308 CT187 U-60</v>
      </c>
      <c r="D6113" s="420" t="s">
        <v>12</v>
      </c>
      <c r="E6113" s="421">
        <v>22</v>
      </c>
      <c r="F6113" s="580"/>
      <c r="G6113" s="417" t="s">
        <v>3394</v>
      </c>
      <c r="H6113" s="598">
        <v>14462150</v>
      </c>
      <c r="I6113" s="322" t="s">
        <v>3285</v>
      </c>
      <c r="J6113" s="418"/>
      <c r="K6113" s="248"/>
      <c r="M6113" s="366"/>
    </row>
    <row r="6114" spans="1:15" x14ac:dyDescent="0.25">
      <c r="A6114" s="308">
        <v>45991</v>
      </c>
      <c r="B6114" s="416">
        <v>1201518</v>
      </c>
      <c r="C6114" s="638" t="str">
        <f>IFERROR(INDEX(Table14[],MATCH($B6114,Table14[SAPNo],0),3),"")</f>
        <v>12MM WC­MAT404 NA</v>
      </c>
      <c r="D6114" s="420" t="s">
        <v>12</v>
      </c>
      <c r="E6114" s="421">
        <v>3</v>
      </c>
      <c r="F6114" s="580"/>
      <c r="G6114" s="417" t="s">
        <v>3394</v>
      </c>
      <c r="H6114" s="598">
        <v>14462150</v>
      </c>
      <c r="I6114" s="322" t="s">
        <v>3285</v>
      </c>
      <c r="J6114" s="418"/>
      <c r="K6114" s="248"/>
      <c r="M6114" s="366"/>
    </row>
    <row r="6115" spans="1:15" x14ac:dyDescent="0.25">
      <c r="A6115" s="308">
        <v>45991</v>
      </c>
      <c r="B6115" s="416">
        <v>871781</v>
      </c>
      <c r="C6115" s="638" t="str">
        <f>IFERROR(INDEX(Table14[],MATCH($B6115,Table14[SAPNo],0),3),"")</f>
        <v>Round 1313 CT200  0.018" (B)</v>
      </c>
      <c r="D6115" s="420" t="s">
        <v>12</v>
      </c>
      <c r="E6115" s="421">
        <v>6</v>
      </c>
      <c r="F6115" s="580"/>
      <c r="G6115" s="417" t="s">
        <v>3394</v>
      </c>
      <c r="H6115" s="598">
        <v>14462150</v>
      </c>
      <c r="I6115" s="322" t="s">
        <v>3285</v>
      </c>
      <c r="J6115" s="418"/>
      <c r="K6115" s="248"/>
      <c r="M6115" s="366"/>
    </row>
    <row r="6116" spans="1:15" x14ac:dyDescent="0.25">
      <c r="A6116" s="308">
        <v>45991</v>
      </c>
      <c r="B6116" s="416">
        <v>1126402</v>
      </c>
      <c r="C6116" s="638" t="str">
        <f>IFERROR(INDEX(Table14[],MATCH($B6116,Table14[SAPNo],0),3),"")</f>
        <v>1613 CT421 16-60</v>
      </c>
      <c r="D6116" s="420" t="s">
        <v>12</v>
      </c>
      <c r="E6116" s="421">
        <v>7</v>
      </c>
      <c r="F6116" s="580"/>
      <c r="G6116" s="417" t="s">
        <v>3394</v>
      </c>
      <c r="H6116" s="598">
        <v>14462150</v>
      </c>
      <c r="I6116" s="322" t="s">
        <v>3285</v>
      </c>
      <c r="J6116" s="418"/>
      <c r="K6116" s="248"/>
      <c r="M6116" s="366"/>
    </row>
    <row r="6117" spans="1:15" x14ac:dyDescent="0.25">
      <c r="A6117" s="308">
        <v>45991</v>
      </c>
      <c r="B6117" s="416">
        <v>2002299</v>
      </c>
      <c r="C6117" s="638" t="str">
        <f>IFERROR(INDEX(Table14[],MATCH($B6117,Table14[SAPNo],0),3),"")</f>
        <v>1613 CT187 U-60</v>
      </c>
      <c r="D6117" s="420" t="s">
        <v>12</v>
      </c>
      <c r="E6117" s="421">
        <v>20</v>
      </c>
      <c r="F6117" s="580"/>
      <c r="G6117" s="417" t="s">
        <v>3394</v>
      </c>
      <c r="H6117" s="598">
        <v>14462150</v>
      </c>
      <c r="I6117" s="322" t="s">
        <v>3285</v>
      </c>
      <c r="J6117" s="418"/>
      <c r="K6117" s="248"/>
      <c r="M6117" s="366"/>
    </row>
    <row r="6118" spans="1:15" x14ac:dyDescent="0.25">
      <c r="A6118" s="308">
        <v>45991</v>
      </c>
      <c r="B6118" s="416">
        <v>1228501</v>
      </c>
      <c r="C6118" s="638" t="str">
        <f>IFERROR(INDEX(Table14[],MATCH($B6118,Table14[SAPNo],0),3),"")</f>
        <v>1618 CT182 U-60 stator</v>
      </c>
      <c r="D6118" s="420" t="s">
        <v>12</v>
      </c>
      <c r="E6118" s="421">
        <v>14</v>
      </c>
      <c r="F6118" s="580"/>
      <c r="G6118" s="417" t="s">
        <v>3394</v>
      </c>
      <c r="H6118" s="598">
        <v>14462150</v>
      </c>
      <c r="I6118" s="322" t="s">
        <v>3285</v>
      </c>
      <c r="J6118" s="418"/>
      <c r="K6118" s="248"/>
      <c r="M6118" s="366"/>
    </row>
    <row r="6119" spans="1:15" x14ac:dyDescent="0.25">
      <c r="A6119" s="308">
        <v>45991</v>
      </c>
      <c r="B6119" s="416">
        <v>1220554</v>
      </c>
      <c r="C6119" s="638" t="str">
        <f>IFERROR(INDEX(Table14[],MATCH($B6119,Table14[SAPNo],0),3),"")</f>
        <v xml:space="preserve">1618 CT182 U-60 Carbide </v>
      </c>
      <c r="D6119" s="420" t="s">
        <v>12</v>
      </c>
      <c r="E6119" s="421">
        <v>14</v>
      </c>
      <c r="F6119" s="580"/>
      <c r="G6119" s="417" t="s">
        <v>3394</v>
      </c>
      <c r="H6119" s="598">
        <v>14462150</v>
      </c>
      <c r="I6119" s="322" t="s">
        <v>3285</v>
      </c>
      <c r="J6119" s="418"/>
      <c r="K6119" s="248"/>
      <c r="M6119" s="366"/>
    </row>
    <row r="6120" spans="1:15" x14ac:dyDescent="0.25">
      <c r="A6120" s="320">
        <v>45991</v>
      </c>
      <c r="B6120" s="419">
        <v>1228503</v>
      </c>
      <c r="C6120" s="638" t="str">
        <f>IFERROR(INDEX(Table14[],MATCH($B6120,Table14[SAPNo],0),3),"")</f>
        <v>1618 CT182 U-60 Ring</v>
      </c>
      <c r="D6120" s="420" t="s">
        <v>12</v>
      </c>
      <c r="E6120" s="421">
        <v>14</v>
      </c>
      <c r="F6120" s="580"/>
      <c r="G6120" s="417" t="s">
        <v>3394</v>
      </c>
      <c r="H6120" s="599">
        <v>14462150</v>
      </c>
      <c r="I6120" s="322" t="s">
        <v>3285</v>
      </c>
      <c r="J6120" s="421"/>
      <c r="K6120" s="422"/>
      <c r="M6120" s="366"/>
    </row>
    <row r="6121" spans="1:15" x14ac:dyDescent="0.25">
      <c r="A6121" s="755">
        <v>45991</v>
      </c>
      <c r="B6121" s="756">
        <v>1244299</v>
      </c>
      <c r="C6121" s="751" t="str">
        <f>IFERROR(INDEX(Table14[],MATCH($B6121,Table14[SAPNo],0),3),"")</f>
        <v>1313 CT147CV4 U</v>
      </c>
      <c r="D6121" s="752" t="s">
        <v>11</v>
      </c>
      <c r="E6121" s="753">
        <v>1</v>
      </c>
      <c r="F6121" s="753"/>
      <c r="G6121" s="752">
        <v>20251159</v>
      </c>
      <c r="H6121" s="757" t="s">
        <v>3372</v>
      </c>
      <c r="I6121" s="754" t="s">
        <v>1781</v>
      </c>
      <c r="J6121" s="753"/>
      <c r="K6121" s="422"/>
      <c r="M6121" s="422"/>
    </row>
    <row r="6122" spans="1:15" x14ac:dyDescent="0.25">
      <c r="A6122" s="769">
        <v>45993</v>
      </c>
      <c r="B6122" s="770">
        <v>1282370</v>
      </c>
      <c r="C6122" s="772" t="str">
        <f>IFERROR(INDEX(Table14[],MATCH($B6122,Table14[SAPNo],0),3),"")</f>
        <v>1613 CT436Mv3 U-60</v>
      </c>
      <c r="D6122" s="762" t="s">
        <v>12</v>
      </c>
      <c r="E6122" s="763">
        <v>1</v>
      </c>
      <c r="F6122" s="763"/>
      <c r="G6122" s="762" t="s">
        <v>4078</v>
      </c>
      <c r="H6122" s="771">
        <v>14442327</v>
      </c>
      <c r="I6122" s="767" t="s">
        <v>2850</v>
      </c>
      <c r="J6122" s="763"/>
      <c r="K6122" s="422"/>
      <c r="M6122" s="422"/>
    </row>
    <row r="6123" spans="1:15" x14ac:dyDescent="0.25">
      <c r="A6123" s="320">
        <v>45978</v>
      </c>
      <c r="B6123" s="419">
        <v>1078377</v>
      </c>
      <c r="C6123" s="638" t="str">
        <f>IFERROR(INDEX(Table14[],MATCH($B6123,Table14[SAPNo],0),3),"")</f>
        <v>13MM CT221 R1</v>
      </c>
      <c r="D6123" s="420" t="s">
        <v>10</v>
      </c>
      <c r="E6123" s="421">
        <v>2</v>
      </c>
      <c r="F6123" s="421"/>
      <c r="G6123" s="420" t="s">
        <v>3369</v>
      </c>
      <c r="H6123" s="599" t="s">
        <v>3370</v>
      </c>
      <c r="I6123" s="322" t="s">
        <v>2600</v>
      </c>
      <c r="J6123" s="421"/>
      <c r="K6123" s="422"/>
      <c r="M6123" s="422"/>
    </row>
    <row r="6124" spans="1:15" x14ac:dyDescent="0.25">
      <c r="A6124" s="755">
        <v>45991</v>
      </c>
      <c r="B6124" s="756">
        <v>717748</v>
      </c>
      <c r="C6124" s="751" t="str">
        <f>IFERROR(INDEX(Table14[],MATCH($B6124,Table14[SAPNo],0),3),"")</f>
        <v>Round 1010 CT200  0.018" (B)</v>
      </c>
      <c r="D6124" s="752" t="s">
        <v>12</v>
      </c>
      <c r="E6124" s="753">
        <v>5</v>
      </c>
      <c r="F6124" s="753"/>
      <c r="G6124" s="752" t="s">
        <v>3395</v>
      </c>
      <c r="H6124" s="757" t="s">
        <v>4072</v>
      </c>
      <c r="I6124" s="754" t="s">
        <v>2362</v>
      </c>
      <c r="J6124" s="753"/>
      <c r="K6124" s="422"/>
      <c r="M6124" s="422"/>
    </row>
    <row r="6125" spans="1:15" x14ac:dyDescent="0.25">
      <c r="A6125" s="320">
        <v>45978</v>
      </c>
      <c r="B6125" s="419">
        <v>418525</v>
      </c>
      <c r="C6125" s="638" t="str">
        <f>IFERROR(INDEX(Table14[],MATCH($B6125,Table14[SAPNo],0),3),"")</f>
        <v>Drop In 1308 CT31   (B)</v>
      </c>
      <c r="D6125" s="420" t="s">
        <v>12</v>
      </c>
      <c r="E6125" s="421">
        <v>6</v>
      </c>
      <c r="F6125" s="421"/>
      <c r="G6125" s="420" t="s">
        <v>3369</v>
      </c>
      <c r="H6125" s="599" t="s">
        <v>3370</v>
      </c>
      <c r="I6125" s="322" t="s">
        <v>2600</v>
      </c>
      <c r="J6125" s="421"/>
      <c r="K6125" s="422"/>
      <c r="M6125" s="422"/>
      <c r="O6125">
        <v>2397</v>
      </c>
    </row>
    <row r="6126" spans="1:15" x14ac:dyDescent="0.25">
      <c r="A6126" s="308">
        <v>45992</v>
      </c>
      <c r="B6126" s="416">
        <v>874583</v>
      </c>
      <c r="C6126" s="638" t="str">
        <f>IFERROR(INDEX(Table14[],MATCH($B6126,Table14[SAPNo],0),3),"")</f>
        <v>Round 1313 CT81 RCL PDC 10C (P)</v>
      </c>
      <c r="D6126" s="420" t="s">
        <v>12</v>
      </c>
      <c r="E6126" s="421">
        <v>4</v>
      </c>
      <c r="F6126" s="421"/>
      <c r="G6126" s="417" t="s">
        <v>4071</v>
      </c>
      <c r="H6126" s="598"/>
      <c r="I6126" s="322"/>
      <c r="J6126" s="418"/>
      <c r="K6126" s="248"/>
      <c r="M6126" s="422"/>
    </row>
    <row r="6127" spans="1:15" x14ac:dyDescent="0.25">
      <c r="A6127" s="308">
        <v>45992</v>
      </c>
      <c r="B6127" s="416">
        <v>1118517</v>
      </c>
      <c r="C6127" s="638" t="str">
        <f>IFERROR(INDEX(Table14[],MATCH($B6127,Table14[SAPNo],0),3),"")</f>
        <v>Round 1313 CT421 RCL PDC 10C (S)</v>
      </c>
      <c r="D6127" s="420" t="s">
        <v>12</v>
      </c>
      <c r="E6127" s="421">
        <v>1</v>
      </c>
      <c r="F6127" s="580"/>
      <c r="G6127" s="417" t="s">
        <v>4071</v>
      </c>
      <c r="H6127" s="598"/>
      <c r="I6127" s="322"/>
      <c r="J6127" s="418"/>
      <c r="K6127" s="248"/>
      <c r="M6127" s="366"/>
    </row>
    <row r="6128" spans="1:15" x14ac:dyDescent="0.25">
      <c r="A6128" s="320">
        <v>45992</v>
      </c>
      <c r="B6128" s="419">
        <v>1137793</v>
      </c>
      <c r="C6128" s="638" t="str">
        <f>IFERROR(INDEX(Table14[],MATCH($B6128,Table14[SAPNo],0),3),"")</f>
        <v>2SEAM 1313 CT144H  10C (S)</v>
      </c>
      <c r="D6128" s="420" t="s">
        <v>12</v>
      </c>
      <c r="E6128" s="421">
        <v>1</v>
      </c>
      <c r="F6128" s="580"/>
      <c r="G6128" s="420" t="s">
        <v>4071</v>
      </c>
      <c r="H6128" s="599"/>
      <c r="I6128" s="322"/>
      <c r="J6128" s="421"/>
      <c r="K6128" s="422"/>
      <c r="M6128" s="366"/>
    </row>
    <row r="6129" spans="1:13" x14ac:dyDescent="0.25">
      <c r="A6129" s="320">
        <v>45992</v>
      </c>
      <c r="B6129" s="419">
        <v>983096</v>
      </c>
      <c r="C6129" s="638" t="str">
        <f>IFERROR(INDEX(Table14[],MATCH($B6129,Table14[SAPNo],0),3),"")</f>
        <v>Round 1313 CT216  0.018" (S)</v>
      </c>
      <c r="D6129" s="420" t="s">
        <v>12</v>
      </c>
      <c r="E6129" s="421">
        <v>2</v>
      </c>
      <c r="F6129" s="421"/>
      <c r="G6129" s="420" t="s">
        <v>4071</v>
      </c>
      <c r="H6129" s="599"/>
      <c r="I6129" s="322"/>
      <c r="J6129" s="421"/>
      <c r="K6129" s="422"/>
      <c r="M6129" s="422"/>
    </row>
    <row r="6130" spans="1:13" x14ac:dyDescent="0.25">
      <c r="A6130" s="308">
        <v>45992</v>
      </c>
      <c r="B6130" s="416">
        <v>179790</v>
      </c>
      <c r="C6130" s="639" t="str">
        <f>IFERROR(INDEX(Table14[],MATCH($B6130,Table14[SAPNo],0),3),"")</f>
        <v>Round 1613  OBS ELITE RC 0.018" (O)</v>
      </c>
      <c r="D6130" s="420" t="s">
        <v>8</v>
      </c>
      <c r="E6130" s="421">
        <v>1</v>
      </c>
      <c r="F6130" s="421"/>
      <c r="G6130" s="420" t="s">
        <v>4071</v>
      </c>
      <c r="H6130" s="598"/>
      <c r="I6130" s="322"/>
      <c r="J6130" s="418"/>
      <c r="K6130" s="248"/>
      <c r="M6130" s="422"/>
    </row>
    <row r="6131" spans="1:13" x14ac:dyDescent="0.25">
      <c r="A6131" s="308">
        <v>45992</v>
      </c>
      <c r="B6131" s="416">
        <v>638560</v>
      </c>
      <c r="C6131" s="639" t="str">
        <f>IFERROR(INDEX(Table14[],MATCH($B6131,Table14[SAPNo],0),3),"")</f>
        <v>Round 1313 CT70  0.018" (S)</v>
      </c>
      <c r="D6131" s="420" t="s">
        <v>8</v>
      </c>
      <c r="E6131" s="421">
        <v>19</v>
      </c>
      <c r="F6131" s="580"/>
      <c r="G6131" s="420" t="s">
        <v>4071</v>
      </c>
      <c r="H6131" s="598"/>
      <c r="I6131" s="322"/>
      <c r="J6131" s="418"/>
      <c r="K6131" s="248"/>
      <c r="M6131" s="366"/>
    </row>
    <row r="6132" spans="1:13" x14ac:dyDescent="0.25">
      <c r="A6132" s="759">
        <v>45992</v>
      </c>
      <c r="B6132" s="760">
        <v>802065</v>
      </c>
      <c r="C6132" s="761" t="str">
        <f>IFERROR(INDEX(Table14[],MATCH($B6132,Table14[SAPNo],0),3),"")</f>
        <v>Round 1313 CT97  10C (P)</v>
      </c>
      <c r="D6132" s="762" t="s">
        <v>11</v>
      </c>
      <c r="E6132" s="763">
        <v>5</v>
      </c>
      <c r="F6132" s="763"/>
      <c r="G6132" s="765">
        <v>20251155</v>
      </c>
      <c r="H6132" s="766" t="s">
        <v>4077</v>
      </c>
      <c r="I6132" s="767" t="s">
        <v>3206</v>
      </c>
      <c r="J6132" s="768"/>
      <c r="K6132" s="248"/>
      <c r="M6132" s="422"/>
    </row>
    <row r="6133" spans="1:13" x14ac:dyDescent="0.25">
      <c r="A6133" s="769">
        <v>45992</v>
      </c>
      <c r="B6133" s="770">
        <v>2001155</v>
      </c>
      <c r="C6133" s="761" t="str">
        <f>IFERROR(INDEX(Table14[],MATCH($B6133,Table14[SAPNo],0),3),"")</f>
        <v>1313 CT179T U-60</v>
      </c>
      <c r="D6133" s="762" t="s">
        <v>12</v>
      </c>
      <c r="E6133" s="763">
        <v>2</v>
      </c>
      <c r="F6133" s="764"/>
      <c r="G6133" s="762">
        <v>20251155</v>
      </c>
      <c r="H6133" s="771" t="s">
        <v>4077</v>
      </c>
      <c r="I6133" s="767" t="s">
        <v>3206</v>
      </c>
      <c r="J6133" s="763"/>
      <c r="K6133" s="422"/>
      <c r="M6133" s="366"/>
    </row>
    <row r="6134" spans="1:13" x14ac:dyDescent="0.25">
      <c r="A6134" s="759">
        <v>45994</v>
      </c>
      <c r="B6134" s="760">
        <v>2028302</v>
      </c>
      <c r="C6134" s="761" t="str">
        <f>IFERROR(INDEX(Table14[],MATCH($B6134,Table14[SAPNo],0),3),"")</f>
        <v>1313 CT187P U-60</v>
      </c>
      <c r="D6134" s="420" t="s">
        <v>12</v>
      </c>
      <c r="E6134" s="763"/>
      <c r="F6134" s="763">
        <v>25</v>
      </c>
      <c r="G6134" s="765" t="s">
        <v>2513</v>
      </c>
      <c r="H6134" s="766"/>
      <c r="I6134" s="767"/>
      <c r="J6134" s="768" t="s">
        <v>1036</v>
      </c>
      <c r="K6134" s="248"/>
      <c r="M6134" s="422"/>
    </row>
    <row r="6135" spans="1:13" x14ac:dyDescent="0.25">
      <c r="A6135" s="759">
        <v>45994</v>
      </c>
      <c r="B6135" s="760">
        <v>2024642</v>
      </c>
      <c r="C6135" s="761" t="str">
        <f>IFERROR(INDEX(Table14[],MATCH($B6135,Table14[SAPNo],0),3),"")</f>
        <v>1613 CT179P 18-60</v>
      </c>
      <c r="D6135" s="420" t="s">
        <v>12</v>
      </c>
      <c r="E6135" s="763"/>
      <c r="F6135" s="764">
        <v>55</v>
      </c>
      <c r="G6135" s="765" t="s">
        <v>2513</v>
      </c>
      <c r="H6135" s="766"/>
      <c r="I6135" s="767"/>
      <c r="J6135" s="768" t="s">
        <v>1036</v>
      </c>
      <c r="K6135" s="248"/>
      <c r="M6135" s="366"/>
    </row>
    <row r="6136" spans="1:13" x14ac:dyDescent="0.25">
      <c r="A6136" s="759">
        <v>45994</v>
      </c>
      <c r="B6136" s="642">
        <v>1126402</v>
      </c>
      <c r="C6136" s="761" t="str">
        <f>IFERROR(INDEX(Table14[],MATCH($B6136,Table14[SAPNo],0),3),"")</f>
        <v>1613 CT421 16-60</v>
      </c>
      <c r="D6136" s="420" t="s">
        <v>12</v>
      </c>
      <c r="E6136" s="763"/>
      <c r="F6136" s="764">
        <v>100</v>
      </c>
      <c r="G6136" s="765" t="s">
        <v>2513</v>
      </c>
      <c r="H6136" s="766"/>
      <c r="I6136" s="767"/>
      <c r="J6136" s="768" t="s">
        <v>1036</v>
      </c>
      <c r="K6136" s="248"/>
      <c r="M6136" s="366"/>
    </row>
    <row r="6137" spans="1:13" x14ac:dyDescent="0.25">
      <c r="A6137" s="759">
        <v>45994</v>
      </c>
      <c r="B6137" s="760">
        <v>1244960</v>
      </c>
      <c r="C6137" s="761" t="str">
        <f>IFERROR(INDEX(Table14[],MATCH($B6137,Table14[SAPNo],0),3),"")</f>
        <v>1613 CT418P U-60</v>
      </c>
      <c r="D6137" s="420" t="s">
        <v>12</v>
      </c>
      <c r="E6137" s="763"/>
      <c r="F6137" s="764">
        <v>25</v>
      </c>
      <c r="G6137" s="765" t="s">
        <v>2513</v>
      </c>
      <c r="H6137" s="766"/>
      <c r="I6137" s="767"/>
      <c r="J6137" s="768" t="s">
        <v>1036</v>
      </c>
      <c r="K6137" s="248"/>
      <c r="M6137" s="366"/>
    </row>
    <row r="6138" spans="1:13" x14ac:dyDescent="0.25">
      <c r="A6138" s="759">
        <v>45994</v>
      </c>
      <c r="B6138" s="760">
        <v>2004484</v>
      </c>
      <c r="C6138" s="761" t="str">
        <f>IFERROR(INDEX(Table14[],MATCH($B6138,Table14[SAPNo],0),3),"")</f>
        <v>1308 CT187 U-60</v>
      </c>
      <c r="D6138" s="420" t="s">
        <v>12</v>
      </c>
      <c r="E6138" s="763"/>
      <c r="F6138" s="764">
        <v>22</v>
      </c>
      <c r="G6138" s="765" t="s">
        <v>2513</v>
      </c>
      <c r="H6138" s="766"/>
      <c r="I6138" s="767"/>
      <c r="J6138" s="768" t="s">
        <v>1019</v>
      </c>
      <c r="K6138" s="248"/>
      <c r="M6138" s="366"/>
    </row>
    <row r="6139" spans="1:13" x14ac:dyDescent="0.25">
      <c r="A6139" s="759">
        <v>45994</v>
      </c>
      <c r="B6139" s="760">
        <v>1142710</v>
      </c>
      <c r="C6139" s="761" t="str">
        <f>IFERROR(INDEX(Table14[],MATCH($B6139,Table14[SAPNo],0),3),"")</f>
        <v>1608 CT421 U</v>
      </c>
      <c r="D6139" s="420" t="s">
        <v>12</v>
      </c>
      <c r="E6139" s="763"/>
      <c r="F6139" s="764">
        <v>20</v>
      </c>
      <c r="G6139" s="765" t="s">
        <v>2513</v>
      </c>
      <c r="H6139" s="766"/>
      <c r="I6139" s="767"/>
      <c r="J6139" s="768" t="s">
        <v>1034</v>
      </c>
      <c r="K6139" s="248"/>
      <c r="M6139" s="366"/>
    </row>
    <row r="6140" spans="1:13" x14ac:dyDescent="0.25">
      <c r="A6140" s="759">
        <v>45994</v>
      </c>
      <c r="B6140" s="823">
        <v>1146737</v>
      </c>
      <c r="C6140" s="761" t="str">
        <f>IFERROR(INDEX(Table14[],MATCH($B6140,Table14[SAPNo],0),3),"")</f>
        <v>1613 CT418 18-60</v>
      </c>
      <c r="D6140" s="420" t="s">
        <v>12</v>
      </c>
      <c r="E6140" s="763"/>
      <c r="F6140" s="764">
        <v>200</v>
      </c>
      <c r="G6140" s="765" t="s">
        <v>2513</v>
      </c>
      <c r="H6140" s="766"/>
      <c r="I6140" s="767"/>
      <c r="J6140" s="768" t="s">
        <v>1036</v>
      </c>
      <c r="K6140" s="248"/>
      <c r="M6140" s="366"/>
    </row>
    <row r="6141" spans="1:13" x14ac:dyDescent="0.25">
      <c r="A6141" s="759">
        <v>45994</v>
      </c>
      <c r="B6141" s="760">
        <v>2013427</v>
      </c>
      <c r="C6141" s="761" t="str">
        <f>IFERROR(INDEX(Table14[],MATCH($B6141,Table14[SAPNo],0),3),"")</f>
        <v>1218 UNI M3 Carbide NA</v>
      </c>
      <c r="D6141" s="420" t="s">
        <v>12</v>
      </c>
      <c r="E6141" s="763"/>
      <c r="F6141" s="764">
        <v>10</v>
      </c>
      <c r="G6141" s="765" t="s">
        <v>2513</v>
      </c>
      <c r="H6141" s="766"/>
      <c r="I6141" s="767"/>
      <c r="J6141" s="768" t="s">
        <v>1036</v>
      </c>
      <c r="K6141" s="248"/>
      <c r="M6141" s="366"/>
    </row>
    <row r="6142" spans="1:13" x14ac:dyDescent="0.25">
      <c r="A6142" s="759">
        <v>45994</v>
      </c>
      <c r="B6142" s="760">
        <v>418525</v>
      </c>
      <c r="C6142" s="761" t="str">
        <f>IFERROR(INDEX(Table14[],MATCH($B6142,Table14[SAPNo],0),3),"")</f>
        <v>Drop In 1308 CT31   (B)</v>
      </c>
      <c r="D6142" s="420" t="s">
        <v>12</v>
      </c>
      <c r="E6142" s="763"/>
      <c r="F6142" s="764">
        <v>300</v>
      </c>
      <c r="G6142" s="765" t="s">
        <v>2513</v>
      </c>
      <c r="H6142" s="766"/>
      <c r="I6142" s="767"/>
      <c r="J6142" s="768" t="s">
        <v>1036</v>
      </c>
      <c r="K6142" s="248"/>
      <c r="M6142" s="366"/>
    </row>
    <row r="6143" spans="1:13" x14ac:dyDescent="0.25">
      <c r="A6143" s="759">
        <v>45994</v>
      </c>
      <c r="B6143" s="760">
        <v>1201518</v>
      </c>
      <c r="C6143" s="761" t="str">
        <f>IFERROR(INDEX(Table14[],MATCH($B6143,Table14[SAPNo],0),3),"")</f>
        <v>12MM WC­MAT404 NA</v>
      </c>
      <c r="D6143" s="420" t="s">
        <v>12</v>
      </c>
      <c r="E6143" s="763"/>
      <c r="F6143" s="764">
        <v>24</v>
      </c>
      <c r="G6143" s="765" t="s">
        <v>2513</v>
      </c>
      <c r="H6143" s="766"/>
      <c r="I6143" s="767"/>
      <c r="J6143" s="768" t="s">
        <v>1036</v>
      </c>
      <c r="K6143" s="248"/>
      <c r="M6143" s="366"/>
    </row>
    <row r="6144" spans="1:13" x14ac:dyDescent="0.25">
      <c r="A6144" s="759">
        <v>45994</v>
      </c>
      <c r="B6144" s="760">
        <v>871781</v>
      </c>
      <c r="C6144" s="761" t="str">
        <f>IFERROR(INDEX(Table14[],MATCH($B6144,Table14[SAPNo],0),3),"")</f>
        <v>Round 1313 CT200  0.018" (B)</v>
      </c>
      <c r="D6144" s="420" t="s">
        <v>12</v>
      </c>
      <c r="E6144" s="763"/>
      <c r="F6144" s="764">
        <v>80</v>
      </c>
      <c r="G6144" s="765" t="s">
        <v>2513</v>
      </c>
      <c r="H6144" s="766"/>
      <c r="I6144" s="767"/>
      <c r="J6144" s="768" t="s">
        <v>1036</v>
      </c>
      <c r="K6144" s="248"/>
      <c r="M6144" s="366"/>
    </row>
    <row r="6145" spans="1:13" x14ac:dyDescent="0.25">
      <c r="A6145" s="759">
        <v>45994</v>
      </c>
      <c r="B6145" s="760">
        <v>2017131</v>
      </c>
      <c r="C6145" s="761" t="str">
        <f>IFERROR(INDEX(Table14[],MATCH($B6145,Table14[SAPNo],0),3),"")</f>
        <v>1313 CT179 U-60</v>
      </c>
      <c r="D6145" s="420" t="s">
        <v>12</v>
      </c>
      <c r="E6145" s="763"/>
      <c r="F6145" s="764">
        <v>15</v>
      </c>
      <c r="G6145" s="765" t="s">
        <v>2513</v>
      </c>
      <c r="H6145" s="766"/>
      <c r="I6145" s="767"/>
      <c r="J6145" s="768" t="s">
        <v>1036</v>
      </c>
      <c r="K6145" s="248"/>
      <c r="M6145" s="366"/>
    </row>
    <row r="6146" spans="1:13" x14ac:dyDescent="0.25">
      <c r="A6146" s="759">
        <v>45994</v>
      </c>
      <c r="B6146" s="760">
        <v>647435</v>
      </c>
      <c r="C6146" s="761" t="str">
        <f>IFERROR(INDEX(Table14[],MATCH($B6146,Table14[SAPNo],0),3),"")</f>
        <v>Round 1608 CT200  0.018" (B)</v>
      </c>
      <c r="D6146" s="420" t="s">
        <v>12</v>
      </c>
      <c r="E6146" s="763"/>
      <c r="F6146" s="764">
        <v>100</v>
      </c>
      <c r="G6146" s="765" t="s">
        <v>2513</v>
      </c>
      <c r="H6146" s="766"/>
      <c r="I6146" s="767"/>
      <c r="J6146" s="768" t="s">
        <v>1036</v>
      </c>
      <c r="K6146" s="248"/>
      <c r="M6146" s="366"/>
    </row>
    <row r="6147" spans="1:13" x14ac:dyDescent="0.25">
      <c r="A6147" s="759">
        <v>45994</v>
      </c>
      <c r="B6147" s="760">
        <v>647436</v>
      </c>
      <c r="C6147" s="761" t="str">
        <f>IFERROR(INDEX(Table14[],MATCH($B6147,Table14[SAPNo],0),3),"")</f>
        <v>Round 1613 CT200  0.018" (B)</v>
      </c>
      <c r="D6147" s="420" t="s">
        <v>12</v>
      </c>
      <c r="E6147" s="763"/>
      <c r="F6147" s="764">
        <v>100</v>
      </c>
      <c r="G6147" s="765" t="s">
        <v>2513</v>
      </c>
      <c r="H6147" s="766"/>
      <c r="I6147" s="767"/>
      <c r="J6147" s="768" t="s">
        <v>1036</v>
      </c>
      <c r="K6147" s="248"/>
      <c r="M6147" s="366"/>
    </row>
    <row r="6148" spans="1:13" x14ac:dyDescent="0.25">
      <c r="A6148" s="759">
        <v>45994</v>
      </c>
      <c r="B6148" s="760">
        <v>1101509</v>
      </c>
      <c r="C6148" s="761" t="str">
        <f>IFERROR(INDEX(Table14[],MATCH($B6148,Table14[SAPNo],0),3),"")</f>
        <v>Short IA 8    (C)</v>
      </c>
      <c r="D6148" s="420" t="s">
        <v>12</v>
      </c>
      <c r="E6148" s="763"/>
      <c r="F6148" s="764">
        <v>60</v>
      </c>
      <c r="G6148" s="765" t="s">
        <v>2513</v>
      </c>
      <c r="H6148" s="766"/>
      <c r="I6148" s="767"/>
      <c r="J6148" s="768" t="s">
        <v>1036</v>
      </c>
      <c r="K6148" s="248"/>
      <c r="M6148" s="366"/>
    </row>
    <row r="6149" spans="1:13" x14ac:dyDescent="0.25">
      <c r="A6149" s="759">
        <v>45994</v>
      </c>
      <c r="B6149" s="760">
        <v>1192902</v>
      </c>
      <c r="C6149" s="761" t="str">
        <f>IFERROR(INDEX(Table14[],MATCH($B6149,Table14[SAPNo],0),3),"")</f>
        <v>12MM CT200NL NA</v>
      </c>
      <c r="D6149" s="420" t="s">
        <v>12</v>
      </c>
      <c r="E6149" s="763"/>
      <c r="F6149" s="764">
        <v>15</v>
      </c>
      <c r="G6149" s="765" t="s">
        <v>2513</v>
      </c>
      <c r="H6149" s="766"/>
      <c r="I6149" s="767"/>
      <c r="J6149" s="768" t="s">
        <v>1036</v>
      </c>
      <c r="K6149" s="248"/>
      <c r="M6149" s="366"/>
    </row>
    <row r="6150" spans="1:13" x14ac:dyDescent="0.25">
      <c r="A6150" s="759">
        <v>45994</v>
      </c>
      <c r="B6150" s="760">
        <v>1146346</v>
      </c>
      <c r="C6150" s="761" t="str">
        <f>IFERROR(INDEX(Table14[],MATCH($B6150,Table14[SAPNo],0),3),"")</f>
        <v>1313 CT418 18-60</v>
      </c>
      <c r="D6150" s="420" t="s">
        <v>12</v>
      </c>
      <c r="E6150" s="763"/>
      <c r="F6150" s="764">
        <v>100</v>
      </c>
      <c r="G6150" s="765" t="s">
        <v>2513</v>
      </c>
      <c r="H6150" s="766"/>
      <c r="I6150" s="767"/>
      <c r="J6150" s="768" t="s">
        <v>1034</v>
      </c>
      <c r="K6150" s="248"/>
      <c r="M6150" s="366"/>
    </row>
    <row r="6151" spans="1:13" x14ac:dyDescent="0.25">
      <c r="A6151" s="759">
        <v>45994</v>
      </c>
      <c r="B6151" s="760">
        <v>1126404</v>
      </c>
      <c r="C6151" s="761" t="str">
        <f>IFERROR(INDEX(Table14[],MATCH($B6151,Table14[SAPNo],0),3),"")</f>
        <v>1913 CT421 18-60</v>
      </c>
      <c r="D6151" s="420" t="s">
        <v>12</v>
      </c>
      <c r="E6151" s="763"/>
      <c r="F6151" s="764">
        <v>55</v>
      </c>
      <c r="G6151" s="765" t="s">
        <v>2513</v>
      </c>
      <c r="H6151" s="766"/>
      <c r="I6151" s="767"/>
      <c r="J6151" s="768" t="s">
        <v>1034</v>
      </c>
      <c r="K6151" s="248"/>
      <c r="M6151" s="366"/>
    </row>
    <row r="6152" spans="1:13" x14ac:dyDescent="0.25">
      <c r="A6152" s="759">
        <v>45994</v>
      </c>
      <c r="B6152" s="760">
        <v>1220554</v>
      </c>
      <c r="C6152" s="761" t="str">
        <f>IFERROR(INDEX(Table14[],MATCH($B6152,Table14[SAPNo],0),3),"")</f>
        <v xml:space="preserve">1618 CT182 U-60 Carbide </v>
      </c>
      <c r="D6152" s="420" t="s">
        <v>12</v>
      </c>
      <c r="E6152" s="763"/>
      <c r="F6152" s="764">
        <v>13</v>
      </c>
      <c r="G6152" s="765" t="s">
        <v>2513</v>
      </c>
      <c r="H6152" s="766"/>
      <c r="I6152" s="767"/>
      <c r="J6152" s="768" t="s">
        <v>1015</v>
      </c>
      <c r="K6152" s="248"/>
      <c r="M6152" s="366"/>
    </row>
    <row r="6153" spans="1:13" x14ac:dyDescent="0.25">
      <c r="A6153" s="769">
        <v>45994</v>
      </c>
      <c r="B6153" s="770">
        <v>2023242</v>
      </c>
      <c r="C6153" s="761" t="str">
        <f>IFERROR(INDEX(Table14[],MATCH($B6153,Table14[SAPNo],0),3),"")</f>
        <v>1613 CT421 U-60</v>
      </c>
      <c r="D6153" s="420" t="s">
        <v>12</v>
      </c>
      <c r="E6153" s="763"/>
      <c r="F6153" s="764">
        <v>40</v>
      </c>
      <c r="G6153" s="762" t="s">
        <v>2513</v>
      </c>
      <c r="H6153" s="771"/>
      <c r="I6153" s="767"/>
      <c r="J6153" s="763" t="s">
        <v>1034</v>
      </c>
      <c r="K6153" s="422"/>
      <c r="M6153" s="366"/>
    </row>
    <row r="6154" spans="1:13" x14ac:dyDescent="0.25">
      <c r="A6154" s="320">
        <v>45978</v>
      </c>
      <c r="B6154" s="419">
        <v>1146737</v>
      </c>
      <c r="C6154" s="638" t="str">
        <f>IFERROR(INDEX(Table14[],MATCH($B6154,Table14[SAPNo],0),3),"")</f>
        <v>1613 CT418 18-60</v>
      </c>
      <c r="D6154" s="420" t="s">
        <v>10</v>
      </c>
      <c r="E6154" s="421">
        <v>6</v>
      </c>
      <c r="F6154" s="421"/>
      <c r="G6154" s="420" t="s">
        <v>3369</v>
      </c>
      <c r="H6154" s="599" t="s">
        <v>3370</v>
      </c>
      <c r="I6154" s="322" t="s">
        <v>2600</v>
      </c>
      <c r="J6154" s="421"/>
      <c r="K6154" s="422"/>
      <c r="M6154" s="422"/>
    </row>
    <row r="6155" spans="1:13" x14ac:dyDescent="0.25">
      <c r="A6155" s="320">
        <v>45981</v>
      </c>
      <c r="B6155" s="419">
        <v>418525</v>
      </c>
      <c r="C6155" s="638" t="str">
        <f>IFERROR(INDEX(Table14[],MATCH($B6155,Table14[SAPNo],0),3),"")</f>
        <v>Drop In 1308 CT31   (B)</v>
      </c>
      <c r="D6155" s="420" t="s">
        <v>12</v>
      </c>
      <c r="E6155" s="421">
        <v>6</v>
      </c>
      <c r="F6155" s="421"/>
      <c r="G6155" s="420" t="s">
        <v>3378</v>
      </c>
      <c r="H6155" s="599" t="s">
        <v>3379</v>
      </c>
      <c r="I6155" s="322" t="s">
        <v>1273</v>
      </c>
      <c r="J6155" s="421"/>
      <c r="K6155" s="422"/>
      <c r="M6155" s="422"/>
    </row>
    <row r="6156" spans="1:13" x14ac:dyDescent="0.25">
      <c r="A6156" s="320">
        <v>45987</v>
      </c>
      <c r="B6156" s="419">
        <v>418525</v>
      </c>
      <c r="C6156" s="638" t="str">
        <f>IFERROR(INDEX(Table14[],MATCH($B6156,Table14[SAPNo],0),3),"")</f>
        <v>Drop In 1308 CT31   (B)</v>
      </c>
      <c r="D6156" s="420" t="s">
        <v>12</v>
      </c>
      <c r="E6156" s="421">
        <v>6</v>
      </c>
      <c r="F6156" s="421"/>
      <c r="G6156" s="420" t="s">
        <v>3389</v>
      </c>
      <c r="H6156" s="599" t="s">
        <v>3390</v>
      </c>
      <c r="I6156" s="322" t="s">
        <v>3276</v>
      </c>
      <c r="J6156" s="421"/>
      <c r="K6156" s="422"/>
      <c r="M6156" s="422"/>
    </row>
    <row r="6157" spans="1:13" x14ac:dyDescent="0.25">
      <c r="A6157" s="320">
        <v>45987</v>
      </c>
      <c r="B6157" s="416">
        <v>1078377</v>
      </c>
      <c r="C6157" s="638" t="str">
        <f>IFERROR(INDEX(Table14[],MATCH($B6157,Table14[SAPNo],0),3),"")</f>
        <v>13MM CT221 R1</v>
      </c>
      <c r="D6157" s="420" t="s">
        <v>10</v>
      </c>
      <c r="E6157" s="421">
        <v>4</v>
      </c>
      <c r="F6157" s="421"/>
      <c r="G6157" s="420" t="s">
        <v>3389</v>
      </c>
      <c r="H6157" s="598" t="s">
        <v>3390</v>
      </c>
      <c r="I6157" s="322" t="s">
        <v>3276</v>
      </c>
      <c r="J6157" s="418"/>
      <c r="K6157" s="248"/>
      <c r="M6157" s="422"/>
    </row>
    <row r="6158" spans="1:13" x14ac:dyDescent="0.25">
      <c r="A6158" s="320">
        <v>45987</v>
      </c>
      <c r="B6158" s="416">
        <v>1208601</v>
      </c>
      <c r="C6158" s="638" t="str">
        <f>IFERROR(INDEX(Table14[],MATCH($B6158,Table14[SAPNo],0),3),"")</f>
        <v>1613 CT418 U-60</v>
      </c>
      <c r="D6158" s="420" t="s">
        <v>10</v>
      </c>
      <c r="E6158" s="421">
        <v>1</v>
      </c>
      <c r="F6158" s="580"/>
      <c r="G6158" s="420" t="s">
        <v>3389</v>
      </c>
      <c r="H6158" s="598" t="s">
        <v>3390</v>
      </c>
      <c r="I6158" s="322" t="s">
        <v>3276</v>
      </c>
      <c r="J6158" s="418"/>
      <c r="K6158" s="248"/>
      <c r="M6158" s="366"/>
    </row>
    <row r="6159" spans="1:13" x14ac:dyDescent="0.25">
      <c r="A6159" s="320">
        <v>45987</v>
      </c>
      <c r="B6159" s="416">
        <v>1146737</v>
      </c>
      <c r="C6159" s="638" t="str">
        <f>IFERROR(INDEX(Table14[],MATCH($B6159,Table14[SAPNo],0),3),"")</f>
        <v>1613 CT418 18-60</v>
      </c>
      <c r="D6159" s="420" t="s">
        <v>10</v>
      </c>
      <c r="E6159" s="421">
        <v>6</v>
      </c>
      <c r="F6159" s="580"/>
      <c r="G6159" s="417" t="s">
        <v>3389</v>
      </c>
      <c r="H6159" s="598" t="s">
        <v>3390</v>
      </c>
      <c r="I6159" s="322" t="s">
        <v>3276</v>
      </c>
      <c r="J6159" s="418"/>
      <c r="K6159" s="248"/>
      <c r="M6159" s="366"/>
    </row>
    <row r="6160" spans="1:13" x14ac:dyDescent="0.25">
      <c r="A6160" s="320">
        <v>45987</v>
      </c>
      <c r="B6160" s="416">
        <v>1288783</v>
      </c>
      <c r="C6160" s="638" t="str">
        <f>IFERROR(INDEX(Table14[],MATCH($B6160,Table14[SAPNo],0),3),"")</f>
        <v>1613 CT179 18-60</v>
      </c>
      <c r="D6160" s="420" t="s">
        <v>10</v>
      </c>
      <c r="E6160" s="421">
        <v>3</v>
      </c>
      <c r="F6160" s="580"/>
      <c r="G6160" s="417" t="s">
        <v>3389</v>
      </c>
      <c r="H6160" s="598" t="s">
        <v>3390</v>
      </c>
      <c r="I6160" s="322" t="s">
        <v>3276</v>
      </c>
      <c r="J6160" s="418"/>
      <c r="K6160" s="248"/>
      <c r="M6160" s="366"/>
    </row>
    <row r="6161" spans="1:13" x14ac:dyDescent="0.25">
      <c r="A6161" s="755">
        <v>45991</v>
      </c>
      <c r="B6161" s="780">
        <v>1208601</v>
      </c>
      <c r="C6161" s="751" t="str">
        <f>IFERROR(INDEX(Table14[],MATCH($B6161,Table14[SAPNo],0),3),"")</f>
        <v>1613 CT418 U-60</v>
      </c>
      <c r="D6161" s="752" t="s">
        <v>10</v>
      </c>
      <c r="E6161" s="753">
        <v>2</v>
      </c>
      <c r="F6161" s="781"/>
      <c r="G6161" s="782" t="s">
        <v>3389</v>
      </c>
      <c r="H6161" s="783" t="s">
        <v>3390</v>
      </c>
      <c r="I6161" s="754" t="s">
        <v>3276</v>
      </c>
      <c r="J6161" s="784"/>
      <c r="K6161" s="248"/>
      <c r="M6161" s="366"/>
    </row>
    <row r="6162" spans="1:13" x14ac:dyDescent="0.25">
      <c r="A6162" s="769">
        <v>45993</v>
      </c>
      <c r="B6162" s="760">
        <v>1078377</v>
      </c>
      <c r="C6162" s="772" t="str">
        <f>IFERROR(INDEX(Table14[],MATCH($B6162,Table14[SAPNo],0),3),"")</f>
        <v>13MM CT221 R1</v>
      </c>
      <c r="D6162" s="762" t="s">
        <v>10</v>
      </c>
      <c r="E6162" s="763">
        <v>2</v>
      </c>
      <c r="F6162" s="764"/>
      <c r="G6162" s="765" t="s">
        <v>4081</v>
      </c>
      <c r="H6162" s="766" t="s">
        <v>4085</v>
      </c>
      <c r="I6162" s="767" t="s">
        <v>3135</v>
      </c>
      <c r="J6162" s="768"/>
      <c r="K6162" s="248"/>
      <c r="M6162" s="366"/>
    </row>
    <row r="6163" spans="1:13" x14ac:dyDescent="0.25">
      <c r="A6163" s="769">
        <v>45993</v>
      </c>
      <c r="B6163" s="760">
        <v>1208601</v>
      </c>
      <c r="C6163" s="772" t="str">
        <f>IFERROR(INDEX(Table14[],MATCH($B6163,Table14[SAPNo],0),3),"")</f>
        <v>1613 CT418 U-60</v>
      </c>
      <c r="D6163" s="762" t="s">
        <v>10</v>
      </c>
      <c r="E6163" s="763">
        <v>1</v>
      </c>
      <c r="F6163" s="764"/>
      <c r="G6163" s="765" t="s">
        <v>4081</v>
      </c>
      <c r="H6163" s="766" t="s">
        <v>4085</v>
      </c>
      <c r="I6163" s="767" t="s">
        <v>3135</v>
      </c>
      <c r="J6163" s="768"/>
      <c r="K6163" s="248"/>
      <c r="M6163" s="366"/>
    </row>
    <row r="6164" spans="1:13" x14ac:dyDescent="0.25">
      <c r="A6164" s="769">
        <v>45993</v>
      </c>
      <c r="B6164" s="760">
        <v>418525</v>
      </c>
      <c r="C6164" s="772" t="str">
        <f>IFERROR(INDEX(Table14[],MATCH($B6164,Table14[SAPNo],0),3),"")</f>
        <v>Drop In 1308 CT31   (B)</v>
      </c>
      <c r="D6164" s="762" t="s">
        <v>12</v>
      </c>
      <c r="E6164" s="763">
        <v>6</v>
      </c>
      <c r="F6164" s="764"/>
      <c r="G6164" s="765" t="s">
        <v>4081</v>
      </c>
      <c r="H6164" s="766" t="s">
        <v>4085</v>
      </c>
      <c r="I6164" s="767" t="s">
        <v>3135</v>
      </c>
      <c r="J6164" s="768"/>
      <c r="K6164" s="248"/>
      <c r="M6164" s="366"/>
    </row>
    <row r="6165" spans="1:13" x14ac:dyDescent="0.25">
      <c r="A6165" s="769">
        <v>45993</v>
      </c>
      <c r="B6165" s="760">
        <v>1146737</v>
      </c>
      <c r="C6165" s="772" t="str">
        <f>IFERROR(INDEX(Table14[],MATCH($B6165,Table14[SAPNo],0),3),"")</f>
        <v>1613 CT418 18-60</v>
      </c>
      <c r="D6165" s="762" t="s">
        <v>10</v>
      </c>
      <c r="E6165" s="763">
        <v>6</v>
      </c>
      <c r="F6165" s="764"/>
      <c r="G6165" s="765" t="s">
        <v>4081</v>
      </c>
      <c r="H6165" s="766" t="s">
        <v>4085</v>
      </c>
      <c r="I6165" s="767" t="s">
        <v>3135</v>
      </c>
      <c r="J6165" s="768"/>
      <c r="K6165" s="248"/>
      <c r="M6165" s="366"/>
    </row>
    <row r="6166" spans="1:13" x14ac:dyDescent="0.25">
      <c r="A6166" s="769">
        <v>45993</v>
      </c>
      <c r="B6166" s="760">
        <v>1288783</v>
      </c>
      <c r="C6166" s="772" t="str">
        <f>IFERROR(INDEX(Table14[],MATCH($B6166,Table14[SAPNo],0),3),"")</f>
        <v>1613 CT179 18-60</v>
      </c>
      <c r="D6166" s="762" t="s">
        <v>10</v>
      </c>
      <c r="E6166" s="763">
        <v>1</v>
      </c>
      <c r="F6166" s="764"/>
      <c r="G6166" s="765" t="s">
        <v>4081</v>
      </c>
      <c r="H6166" s="766" t="s">
        <v>4085</v>
      </c>
      <c r="I6166" s="767" t="s">
        <v>3135</v>
      </c>
      <c r="J6166" s="768"/>
      <c r="K6166" s="248"/>
      <c r="M6166" s="366"/>
    </row>
    <row r="6167" spans="1:13" x14ac:dyDescent="0.25">
      <c r="A6167" s="769">
        <v>45993</v>
      </c>
      <c r="B6167" s="760">
        <v>1271790</v>
      </c>
      <c r="C6167" s="772" t="str">
        <f>IFERROR(INDEX(Table14[],MATCH($B6167,Table14[SAPNo],0),3),"")</f>
        <v xml:space="preserve">1613 CT170 18-60 </v>
      </c>
      <c r="D6167" s="762" t="s">
        <v>10</v>
      </c>
      <c r="E6167" s="763">
        <v>1</v>
      </c>
      <c r="F6167" s="764"/>
      <c r="G6167" s="765" t="s">
        <v>4080</v>
      </c>
      <c r="H6167" s="766" t="s">
        <v>4084</v>
      </c>
      <c r="I6167" s="767" t="s">
        <v>2311</v>
      </c>
      <c r="J6167" s="768"/>
      <c r="K6167" s="248"/>
      <c r="M6167" s="366"/>
    </row>
    <row r="6168" spans="1:13" x14ac:dyDescent="0.25">
      <c r="A6168" s="769">
        <v>45993</v>
      </c>
      <c r="B6168" s="760">
        <v>1078377</v>
      </c>
      <c r="C6168" s="772" t="str">
        <f>IFERROR(INDEX(Table14[],MATCH($B6168,Table14[SAPNo],0),3),"")</f>
        <v>13MM CT221 R1</v>
      </c>
      <c r="D6168" s="762" t="s">
        <v>10</v>
      </c>
      <c r="E6168" s="763">
        <v>4</v>
      </c>
      <c r="F6168" s="764"/>
      <c r="G6168" s="765" t="s">
        <v>4080</v>
      </c>
      <c r="H6168" s="766" t="s">
        <v>4084</v>
      </c>
      <c r="I6168" s="767" t="s">
        <v>2311</v>
      </c>
      <c r="J6168" s="768"/>
      <c r="K6168" s="248"/>
      <c r="M6168" s="366"/>
    </row>
    <row r="6169" spans="1:13" x14ac:dyDescent="0.25">
      <c r="A6169" s="769">
        <v>45993</v>
      </c>
      <c r="B6169" s="760">
        <v>418525</v>
      </c>
      <c r="C6169" s="772" t="str">
        <f>IFERROR(INDEX(Table14[],MATCH($B6169,Table14[SAPNo],0),3),"")</f>
        <v>Drop In 1308 CT31   (B)</v>
      </c>
      <c r="D6169" s="762" t="s">
        <v>12</v>
      </c>
      <c r="E6169" s="763">
        <v>6</v>
      </c>
      <c r="F6169" s="764"/>
      <c r="G6169" s="765" t="s">
        <v>4080</v>
      </c>
      <c r="H6169" s="766" t="s">
        <v>4084</v>
      </c>
      <c r="I6169" s="767" t="s">
        <v>2311</v>
      </c>
      <c r="J6169" s="768"/>
      <c r="K6169" s="248"/>
      <c r="M6169" s="366"/>
    </row>
    <row r="6170" spans="1:13" x14ac:dyDescent="0.25">
      <c r="A6170" s="769">
        <v>45993</v>
      </c>
      <c r="B6170" s="760">
        <v>1146737</v>
      </c>
      <c r="C6170" s="772" t="str">
        <f>IFERROR(INDEX(Table14[],MATCH($B6170,Table14[SAPNo],0),3),"")</f>
        <v>1613 CT418 18-60</v>
      </c>
      <c r="D6170" s="762" t="s">
        <v>10</v>
      </c>
      <c r="E6170" s="763">
        <v>6</v>
      </c>
      <c r="F6170" s="764"/>
      <c r="G6170" s="765" t="s">
        <v>4080</v>
      </c>
      <c r="H6170" s="766" t="s">
        <v>4084</v>
      </c>
      <c r="I6170" s="767" t="s">
        <v>2311</v>
      </c>
      <c r="J6170" s="768"/>
      <c r="K6170" s="248"/>
      <c r="M6170" s="366"/>
    </row>
    <row r="6171" spans="1:13" x14ac:dyDescent="0.25">
      <c r="A6171" s="769">
        <v>45993</v>
      </c>
      <c r="B6171" s="760">
        <v>1146737</v>
      </c>
      <c r="C6171" s="772" t="str">
        <f>IFERROR(INDEX(Table14[],MATCH($B6171,Table14[SAPNo],0),3),"")</f>
        <v>1613 CT418 18-60</v>
      </c>
      <c r="D6171" s="762" t="s">
        <v>10</v>
      </c>
      <c r="E6171" s="763">
        <v>3</v>
      </c>
      <c r="F6171" s="764"/>
      <c r="G6171" s="765" t="s">
        <v>4080</v>
      </c>
      <c r="H6171" s="766" t="s">
        <v>4084</v>
      </c>
      <c r="I6171" s="767" t="s">
        <v>2311</v>
      </c>
      <c r="J6171" s="768"/>
      <c r="K6171" s="248"/>
      <c r="M6171" s="366"/>
    </row>
    <row r="6172" spans="1:13" x14ac:dyDescent="0.25">
      <c r="A6172" s="769">
        <v>45993</v>
      </c>
      <c r="B6172" s="760">
        <v>1228502</v>
      </c>
      <c r="C6172" s="772" t="str">
        <f>IFERROR(INDEX(Table14[],MATCH($B6172,Table14[SAPNo],0),3),"")</f>
        <v>1618 CT182 U-60 Rotor</v>
      </c>
      <c r="D6172" s="762" t="s">
        <v>12</v>
      </c>
      <c r="E6172" s="763">
        <v>1</v>
      </c>
      <c r="F6172" s="764"/>
      <c r="G6172" s="765" t="s">
        <v>3394</v>
      </c>
      <c r="H6172" s="766">
        <v>14462150</v>
      </c>
      <c r="I6172" s="767" t="s">
        <v>3285</v>
      </c>
      <c r="J6172" s="768"/>
      <c r="K6172" s="248"/>
      <c r="M6172" s="366"/>
    </row>
    <row r="6173" spans="1:13" x14ac:dyDescent="0.25">
      <c r="A6173" s="769">
        <v>45993</v>
      </c>
      <c r="B6173" s="760">
        <v>1228503</v>
      </c>
      <c r="C6173" s="772" t="str">
        <f>IFERROR(INDEX(Table14[],MATCH($B6173,Table14[SAPNo],0),3),"")</f>
        <v>1618 CT182 U-60 Ring</v>
      </c>
      <c r="D6173" s="762" t="s">
        <v>12</v>
      </c>
      <c r="E6173" s="763">
        <v>1</v>
      </c>
      <c r="F6173" s="764"/>
      <c r="G6173" s="765" t="s">
        <v>3394</v>
      </c>
      <c r="H6173" s="766">
        <v>14462150</v>
      </c>
      <c r="I6173" s="767" t="s">
        <v>3285</v>
      </c>
      <c r="J6173" s="768"/>
      <c r="K6173" s="248"/>
      <c r="M6173" s="366"/>
    </row>
    <row r="6174" spans="1:13" x14ac:dyDescent="0.25">
      <c r="A6174" s="769">
        <v>45994</v>
      </c>
      <c r="B6174" s="760">
        <v>1126402</v>
      </c>
      <c r="C6174" s="772" t="str">
        <f>IFERROR(INDEX(Table14[],MATCH($B6174,Table14[SAPNo],0),3),"")</f>
        <v>1613 CT421 16-60</v>
      </c>
      <c r="D6174" s="762" t="s">
        <v>12</v>
      </c>
      <c r="E6174" s="763">
        <v>33</v>
      </c>
      <c r="F6174" s="764"/>
      <c r="G6174" s="765" t="s">
        <v>4082</v>
      </c>
      <c r="H6174" s="766">
        <v>14442325</v>
      </c>
      <c r="I6174" s="767" t="s">
        <v>2981</v>
      </c>
      <c r="J6174" s="768"/>
      <c r="K6174" s="248"/>
      <c r="M6174" s="366"/>
    </row>
    <row r="6175" spans="1:13" x14ac:dyDescent="0.25">
      <c r="A6175" s="769">
        <v>45994</v>
      </c>
      <c r="B6175" s="760">
        <v>647435</v>
      </c>
      <c r="C6175" s="772" t="str">
        <f>IFERROR(INDEX(Table14[],MATCH($B6175,Table14[SAPNo],0),3),"")</f>
        <v>Round 1608 CT200  0.018" (B)</v>
      </c>
      <c r="D6175" s="762" t="s">
        <v>12</v>
      </c>
      <c r="E6175" s="763">
        <v>23</v>
      </c>
      <c r="F6175" s="764"/>
      <c r="G6175" s="765" t="s">
        <v>4082</v>
      </c>
      <c r="H6175" s="766">
        <v>14442325</v>
      </c>
      <c r="I6175" s="767" t="s">
        <v>2981</v>
      </c>
      <c r="J6175" s="768"/>
      <c r="K6175" s="248"/>
      <c r="M6175" s="366"/>
    </row>
    <row r="6176" spans="1:13" x14ac:dyDescent="0.25">
      <c r="A6176" s="769">
        <v>45994</v>
      </c>
      <c r="B6176" s="770">
        <v>871781</v>
      </c>
      <c r="C6176" s="761" t="str">
        <f>IFERROR(INDEX(Table14[],MATCH($B6176,Table14[SAPNo],0),3),"")</f>
        <v>Round 1313 CT200  0.018" (B)</v>
      </c>
      <c r="D6176" s="762" t="s">
        <v>12</v>
      </c>
      <c r="E6176" s="763">
        <v>6</v>
      </c>
      <c r="F6176" s="763"/>
      <c r="G6176" s="762" t="s">
        <v>4082</v>
      </c>
      <c r="H6176" s="771">
        <v>14442325</v>
      </c>
      <c r="I6176" s="767" t="s">
        <v>2981</v>
      </c>
      <c r="J6176" s="763"/>
      <c r="K6176" s="422"/>
      <c r="M6176" s="422"/>
    </row>
    <row r="6177" spans="1:13" x14ac:dyDescent="0.25">
      <c r="A6177" s="759">
        <v>45998</v>
      </c>
      <c r="B6177" s="760">
        <v>2024640</v>
      </c>
      <c r="C6177" s="761" t="str">
        <f>IFERROR(INDEX(Table14[],MATCH($B6177,Table14[SAPNo],0),3),"")</f>
        <v>1613 CT186P 18-60</v>
      </c>
      <c r="D6177" s="762" t="s">
        <v>12</v>
      </c>
      <c r="E6177" s="763"/>
      <c r="F6177" s="763">
        <v>30</v>
      </c>
      <c r="G6177" s="762" t="s">
        <v>2513</v>
      </c>
      <c r="H6177" s="766"/>
      <c r="I6177" s="767"/>
      <c r="J6177" s="768" t="s">
        <v>4075</v>
      </c>
      <c r="K6177" s="248"/>
      <c r="M6177" s="422"/>
    </row>
    <row r="6178" spans="1:13" x14ac:dyDescent="0.25">
      <c r="A6178" s="759">
        <v>45995</v>
      </c>
      <c r="B6178" s="760">
        <v>1146737</v>
      </c>
      <c r="C6178" s="761" t="str">
        <f>IFERROR(INDEX(Table14[],MATCH($B6178,Table14[SAPNo],0),3),"")</f>
        <v>1613 CT418 18-60</v>
      </c>
      <c r="D6178" s="762" t="s">
        <v>10</v>
      </c>
      <c r="E6178" s="763">
        <v>3</v>
      </c>
      <c r="F6178" s="764"/>
      <c r="G6178" s="765" t="s">
        <v>4080</v>
      </c>
      <c r="H6178" s="766" t="s">
        <v>4084</v>
      </c>
      <c r="I6178" s="767" t="s">
        <v>2311</v>
      </c>
      <c r="J6178" s="768"/>
      <c r="K6178" s="248"/>
      <c r="M6178" s="366"/>
    </row>
    <row r="6179" spans="1:13" x14ac:dyDescent="0.25">
      <c r="A6179" s="759">
        <v>45998</v>
      </c>
      <c r="B6179" s="760">
        <v>1272937</v>
      </c>
      <c r="C6179" s="761" t="str">
        <f>IFERROR(INDEX(Table14[],MATCH($B6179,Table14[SAPNo],0),3),"")</f>
        <v>1313 CT436 18-60</v>
      </c>
      <c r="D6179" s="762" t="s">
        <v>12</v>
      </c>
      <c r="E6179" s="763">
        <v>9</v>
      </c>
      <c r="F6179" s="764"/>
      <c r="G6179" s="765" t="s">
        <v>4103</v>
      </c>
      <c r="H6179" s="766">
        <v>14462463</v>
      </c>
      <c r="I6179" s="767" t="s">
        <v>4121</v>
      </c>
      <c r="J6179" s="768"/>
      <c r="K6179" s="248"/>
      <c r="M6179" s="366"/>
    </row>
    <row r="6180" spans="1:13" x14ac:dyDescent="0.25">
      <c r="A6180" s="759">
        <v>45998</v>
      </c>
      <c r="B6180" s="760">
        <v>418525</v>
      </c>
      <c r="C6180" s="761" t="str">
        <f>IFERROR(INDEX(Table14[],MATCH($B6180,Table14[SAPNo],0),3),"")</f>
        <v>Drop In 1308 CT31   (B)</v>
      </c>
      <c r="D6180" s="762" t="s">
        <v>12</v>
      </c>
      <c r="E6180" s="763">
        <v>6</v>
      </c>
      <c r="F6180" s="764"/>
      <c r="G6180" s="765" t="s">
        <v>4103</v>
      </c>
      <c r="H6180" s="766">
        <v>14462463</v>
      </c>
      <c r="I6180" s="767" t="s">
        <v>4121</v>
      </c>
      <c r="J6180" s="768"/>
      <c r="K6180" s="248"/>
      <c r="M6180" s="366"/>
    </row>
    <row r="6181" spans="1:13" x14ac:dyDescent="0.25">
      <c r="A6181" s="759">
        <v>45998</v>
      </c>
      <c r="B6181" s="760">
        <v>871781</v>
      </c>
      <c r="C6181" s="761" t="str">
        <f>IFERROR(INDEX(Table14[],MATCH($B6181,Table14[SAPNo],0),3),"")</f>
        <v>Round 1313 CT200  0.018" (B)</v>
      </c>
      <c r="D6181" s="762" t="s">
        <v>12</v>
      </c>
      <c r="E6181" s="763">
        <v>6</v>
      </c>
      <c r="F6181" s="764"/>
      <c r="G6181" s="765" t="s">
        <v>4103</v>
      </c>
      <c r="H6181" s="766">
        <v>14462463</v>
      </c>
      <c r="I6181" s="767" t="s">
        <v>4121</v>
      </c>
      <c r="J6181" s="768"/>
      <c r="K6181" s="248"/>
      <c r="M6181" s="366"/>
    </row>
    <row r="6182" spans="1:13" x14ac:dyDescent="0.25">
      <c r="A6182" s="759">
        <v>45998</v>
      </c>
      <c r="B6182" s="760">
        <v>1192901</v>
      </c>
      <c r="C6182" s="761" t="str">
        <f>IFERROR(INDEX(Table14[],MATCH($B6182,Table14[SAPNo],0),3),"")</f>
        <v xml:space="preserve">12MM WC­MAT400 </v>
      </c>
      <c r="D6182" s="762" t="s">
        <v>12</v>
      </c>
      <c r="E6182" s="763">
        <v>6</v>
      </c>
      <c r="F6182" s="764"/>
      <c r="G6182" s="765" t="s">
        <v>4103</v>
      </c>
      <c r="H6182" s="766">
        <v>14462463</v>
      </c>
      <c r="I6182" s="767" t="s">
        <v>4121</v>
      </c>
      <c r="J6182" s="768"/>
      <c r="K6182" s="248"/>
      <c r="M6182" s="366"/>
    </row>
    <row r="6183" spans="1:13" x14ac:dyDescent="0.25">
      <c r="A6183" s="759">
        <v>45998</v>
      </c>
      <c r="B6183" s="760">
        <v>1192902</v>
      </c>
      <c r="C6183" s="761" t="str">
        <f>IFERROR(INDEX(Table14[],MATCH($B6183,Table14[SAPNo],0),3),"")</f>
        <v>12MM CT200NL NA</v>
      </c>
      <c r="D6183" s="762" t="s">
        <v>12</v>
      </c>
      <c r="E6183" s="763">
        <v>3</v>
      </c>
      <c r="F6183" s="764"/>
      <c r="G6183" s="765" t="s">
        <v>4103</v>
      </c>
      <c r="H6183" s="766">
        <v>14462463</v>
      </c>
      <c r="I6183" s="767" t="s">
        <v>4121</v>
      </c>
      <c r="J6183" s="768"/>
      <c r="K6183" s="248"/>
      <c r="M6183" s="366"/>
    </row>
    <row r="6184" spans="1:13" x14ac:dyDescent="0.25">
      <c r="A6184" s="769">
        <v>45998</v>
      </c>
      <c r="B6184" s="770">
        <v>1146346</v>
      </c>
      <c r="C6184" s="761" t="str">
        <f>IFERROR(INDEX(Table14[],MATCH($B6184,Table14[SAPNo],0),3),"")</f>
        <v>1313 CT418 18-60</v>
      </c>
      <c r="D6184" s="762" t="s">
        <v>12</v>
      </c>
      <c r="E6184" s="763">
        <v>10</v>
      </c>
      <c r="F6184" s="764"/>
      <c r="G6184" s="762" t="s">
        <v>4103</v>
      </c>
      <c r="H6184" s="771">
        <v>14462463</v>
      </c>
      <c r="I6184" s="767" t="s">
        <v>4121</v>
      </c>
      <c r="J6184" s="763"/>
      <c r="K6184" s="422"/>
      <c r="M6184" s="366"/>
    </row>
    <row r="6185" spans="1:13" x14ac:dyDescent="0.25">
      <c r="A6185" s="308">
        <v>45998</v>
      </c>
      <c r="B6185" s="416">
        <v>853550</v>
      </c>
      <c r="C6185" s="639" t="str">
        <f>IFERROR(INDEX(Table14[],MATCH($B6185,Table14[SAPNo],0),3),"")</f>
        <v>Round 1313 CT125 GEDB 0.018" (S)</v>
      </c>
      <c r="D6185" s="420" t="s">
        <v>12</v>
      </c>
      <c r="E6185" s="421">
        <v>6</v>
      </c>
      <c r="F6185" s="421"/>
      <c r="G6185" s="417" t="s">
        <v>4103</v>
      </c>
      <c r="H6185" s="598">
        <v>14462463</v>
      </c>
      <c r="I6185" s="322" t="s">
        <v>4121</v>
      </c>
      <c r="J6185" s="418"/>
      <c r="K6185" s="248"/>
      <c r="M6185" s="422"/>
    </row>
    <row r="6186" spans="1:13" x14ac:dyDescent="0.25">
      <c r="A6186" s="308">
        <v>45998</v>
      </c>
      <c r="B6186" s="416">
        <v>717748</v>
      </c>
      <c r="C6186" s="639" t="str">
        <f>IFERROR(INDEX(Table14[],MATCH($B6186,Table14[SAPNo],0),3),"")</f>
        <v>Round 1010 CT200  0.018" (B)</v>
      </c>
      <c r="D6186" s="420" t="s">
        <v>12</v>
      </c>
      <c r="E6186" s="421">
        <v>5</v>
      </c>
      <c r="F6186" s="580"/>
      <c r="G6186" s="417" t="s">
        <v>4117</v>
      </c>
      <c r="H6186" s="598" t="s">
        <v>4122</v>
      </c>
      <c r="I6186" s="322" t="s">
        <v>2362</v>
      </c>
      <c r="J6186" s="418"/>
      <c r="K6186" s="248"/>
      <c r="M6186" s="366"/>
    </row>
    <row r="6187" spans="1:13" x14ac:dyDescent="0.25">
      <c r="A6187" s="308">
        <v>45999</v>
      </c>
      <c r="B6187" s="416">
        <v>2001060</v>
      </c>
      <c r="C6187" s="639" t="str">
        <f>IFERROR(INDEX(Table14[],MATCH($B6187,Table14[SAPNo],0),3),"")</f>
        <v>1613 CT179T U-60</v>
      </c>
      <c r="D6187" s="420" t="s">
        <v>12</v>
      </c>
      <c r="E6187" s="421">
        <v>2</v>
      </c>
      <c r="F6187" s="580"/>
      <c r="G6187" s="417" t="s">
        <v>4118</v>
      </c>
      <c r="H6187" s="598" t="s">
        <v>4123</v>
      </c>
      <c r="I6187" s="322" t="s">
        <v>3316</v>
      </c>
      <c r="J6187" s="418"/>
      <c r="K6187" s="248"/>
      <c r="M6187" s="366"/>
    </row>
    <row r="6188" spans="1:13" x14ac:dyDescent="0.25">
      <c r="A6188" s="308">
        <v>45999</v>
      </c>
      <c r="B6188" s="416">
        <v>871781</v>
      </c>
      <c r="C6188" s="639" t="str">
        <f>IFERROR(INDEX(Table14[],MATCH($B6188,Table14[SAPNo],0),3),"")</f>
        <v>Round 1313 CT200  0.018" (B)</v>
      </c>
      <c r="D6188" s="420" t="s">
        <v>12</v>
      </c>
      <c r="E6188" s="421">
        <v>3</v>
      </c>
      <c r="F6188" s="580"/>
      <c r="G6188" s="417" t="s">
        <v>4118</v>
      </c>
      <c r="H6188" s="598" t="s">
        <v>4123</v>
      </c>
      <c r="I6188" s="322" t="s">
        <v>3316</v>
      </c>
      <c r="J6188" s="418"/>
      <c r="K6188" s="248"/>
      <c r="M6188" s="366"/>
    </row>
    <row r="6189" spans="1:13" x14ac:dyDescent="0.25">
      <c r="A6189" s="308">
        <v>45999</v>
      </c>
      <c r="B6189" s="416">
        <v>1288783</v>
      </c>
      <c r="C6189" s="639" t="str">
        <f>IFERROR(INDEX(Table14[],MATCH($B6189,Table14[SAPNo],0),3),"")</f>
        <v>1613 CT179 18-60</v>
      </c>
      <c r="D6189" s="420" t="s">
        <v>10</v>
      </c>
      <c r="E6189" s="421">
        <v>1</v>
      </c>
      <c r="F6189" s="580"/>
      <c r="G6189" s="417" t="s">
        <v>4118</v>
      </c>
      <c r="H6189" s="598" t="s">
        <v>4123</v>
      </c>
      <c r="I6189" s="322" t="s">
        <v>3316</v>
      </c>
      <c r="J6189" s="418"/>
      <c r="K6189" s="248"/>
      <c r="M6189" s="366"/>
    </row>
    <row r="6190" spans="1:13" x14ac:dyDescent="0.25">
      <c r="A6190" s="308">
        <v>45999</v>
      </c>
      <c r="B6190" s="416">
        <v>1146737</v>
      </c>
      <c r="C6190" s="639" t="str">
        <f>IFERROR(INDEX(Table14[],MATCH($B6190,Table14[SAPNo],0),3),"")</f>
        <v>1613 CT418 18-60</v>
      </c>
      <c r="D6190" s="420" t="s">
        <v>10</v>
      </c>
      <c r="E6190" s="421">
        <v>6</v>
      </c>
      <c r="F6190" s="580"/>
      <c r="G6190" s="417" t="s">
        <v>4118</v>
      </c>
      <c r="H6190" s="598" t="s">
        <v>4123</v>
      </c>
      <c r="I6190" s="322" t="s">
        <v>3316</v>
      </c>
      <c r="J6190" s="418"/>
      <c r="K6190" s="248"/>
      <c r="M6190" s="366"/>
    </row>
    <row r="6191" spans="1:13" x14ac:dyDescent="0.25">
      <c r="A6191" s="308">
        <v>45999</v>
      </c>
      <c r="B6191" s="416">
        <v>1039036</v>
      </c>
      <c r="C6191" s="639" t="str">
        <f>IFERROR(INDEX(Table14[],MATCH($B6191,Table14[SAPNo],0),3),"")</f>
        <v>Round 1313 CT138  0.018" (S)</v>
      </c>
      <c r="D6191" s="420" t="s">
        <v>12</v>
      </c>
      <c r="E6191" s="421">
        <v>2</v>
      </c>
      <c r="F6191" s="580"/>
      <c r="G6191" s="417" t="s">
        <v>3391</v>
      </c>
      <c r="H6191" s="598">
        <v>14431433</v>
      </c>
      <c r="I6191" s="322" t="s">
        <v>3111</v>
      </c>
      <c r="J6191" s="418"/>
      <c r="K6191" s="248"/>
      <c r="M6191" s="366"/>
    </row>
    <row r="6192" spans="1:13" x14ac:dyDescent="0.25">
      <c r="A6192" s="308">
        <v>45999</v>
      </c>
      <c r="B6192" s="416">
        <v>1288783</v>
      </c>
      <c r="C6192" s="639" t="str">
        <f>IFERROR(INDEX(Table14[],MATCH($B6192,Table14[SAPNo],0),3),"")</f>
        <v>1613 CT179 18-60</v>
      </c>
      <c r="D6192" s="420" t="s">
        <v>12</v>
      </c>
      <c r="E6192" s="421">
        <v>17</v>
      </c>
      <c r="F6192" s="580"/>
      <c r="G6192" s="417" t="s">
        <v>4119</v>
      </c>
      <c r="H6192" s="598">
        <v>14462151</v>
      </c>
      <c r="I6192" s="322" t="s">
        <v>3276</v>
      </c>
      <c r="J6192" s="418"/>
      <c r="K6192" s="248"/>
      <c r="M6192" s="366"/>
    </row>
    <row r="6193" spans="1:13" x14ac:dyDescent="0.25">
      <c r="A6193" s="308">
        <v>45999</v>
      </c>
      <c r="B6193" s="416">
        <v>1078377</v>
      </c>
      <c r="C6193" s="639" t="str">
        <f>IFERROR(INDEX(Table14[],MATCH($B6193,Table14[SAPNo],0),3),"")</f>
        <v>13MM CT221 R1</v>
      </c>
      <c r="D6193" s="420" t="s">
        <v>12</v>
      </c>
      <c r="E6193" s="421">
        <v>15</v>
      </c>
      <c r="F6193" s="580"/>
      <c r="G6193" s="417" t="s">
        <v>4119</v>
      </c>
      <c r="H6193" s="598">
        <v>14462151</v>
      </c>
      <c r="I6193" s="322" t="s">
        <v>3276</v>
      </c>
      <c r="J6193" s="418"/>
      <c r="K6193" s="248"/>
      <c r="M6193" s="366"/>
    </row>
    <row r="6194" spans="1:13" x14ac:dyDescent="0.25">
      <c r="A6194" s="308">
        <v>45999</v>
      </c>
      <c r="B6194" s="416">
        <v>1208601</v>
      </c>
      <c r="C6194" s="639" t="str">
        <f>IFERROR(INDEX(Table14[],MATCH($B6194,Table14[SAPNo],0),3),"")</f>
        <v>1613 CT418 U-60</v>
      </c>
      <c r="D6194" s="420" t="s">
        <v>12</v>
      </c>
      <c r="E6194" s="421">
        <v>8</v>
      </c>
      <c r="F6194" s="580"/>
      <c r="G6194" s="417" t="s">
        <v>4119</v>
      </c>
      <c r="H6194" s="598">
        <v>14462151</v>
      </c>
      <c r="I6194" s="322" t="s">
        <v>3276</v>
      </c>
      <c r="J6194" s="418"/>
      <c r="K6194" s="248"/>
      <c r="M6194" s="366"/>
    </row>
    <row r="6195" spans="1:13" x14ac:dyDescent="0.25">
      <c r="A6195" s="308">
        <v>45999</v>
      </c>
      <c r="B6195" s="416">
        <v>1146737</v>
      </c>
      <c r="C6195" s="639" t="str">
        <f>IFERROR(INDEX(Table14[],MATCH($B6195,Table14[SAPNo],0),3),"")</f>
        <v>1613 CT418 18-60</v>
      </c>
      <c r="D6195" s="420" t="s">
        <v>12</v>
      </c>
      <c r="E6195" s="421">
        <v>6</v>
      </c>
      <c r="F6195" s="580"/>
      <c r="G6195" s="417" t="s">
        <v>4119</v>
      </c>
      <c r="H6195" s="598">
        <v>14462151</v>
      </c>
      <c r="I6195" s="322" t="s">
        <v>3276</v>
      </c>
      <c r="J6195" s="418"/>
      <c r="K6195" s="248"/>
      <c r="M6195" s="366"/>
    </row>
    <row r="6196" spans="1:13" x14ac:dyDescent="0.25">
      <c r="A6196" s="308">
        <v>46000</v>
      </c>
      <c r="B6196" s="416">
        <v>717748</v>
      </c>
      <c r="C6196" s="639" t="str">
        <f>IFERROR(INDEX(Table14[],MATCH($B6196,Table14[SAPNo],0),3),"")</f>
        <v>Round 1010 CT200  0.018" (B)</v>
      </c>
      <c r="D6196" s="420" t="s">
        <v>12</v>
      </c>
      <c r="E6196" s="421">
        <v>4</v>
      </c>
      <c r="F6196" s="580"/>
      <c r="G6196" s="417">
        <v>20251166</v>
      </c>
      <c r="H6196" s="598" t="s">
        <v>4124</v>
      </c>
      <c r="I6196" s="322" t="s">
        <v>2529</v>
      </c>
      <c r="J6196" s="418"/>
      <c r="K6196" s="248"/>
      <c r="M6196" s="366"/>
    </row>
    <row r="6197" spans="1:13" x14ac:dyDescent="0.25">
      <c r="A6197" s="308">
        <v>46000</v>
      </c>
      <c r="B6197" s="416">
        <v>871781</v>
      </c>
      <c r="C6197" s="639" t="str">
        <f>IFERROR(INDEX(Table14[],MATCH($B6197,Table14[SAPNo],0),3),"")</f>
        <v>Round 1313 CT200  0.018" (B)</v>
      </c>
      <c r="D6197" s="420" t="s">
        <v>12</v>
      </c>
      <c r="E6197" s="421">
        <v>6</v>
      </c>
      <c r="F6197" s="580"/>
      <c r="G6197" s="417" t="s">
        <v>4119</v>
      </c>
      <c r="H6197" s="598">
        <v>14462151</v>
      </c>
      <c r="I6197" s="322" t="s">
        <v>3276</v>
      </c>
      <c r="J6197" s="418"/>
      <c r="K6197" s="248"/>
      <c r="M6197" s="366"/>
    </row>
    <row r="6198" spans="1:13" x14ac:dyDescent="0.25">
      <c r="A6198" s="308">
        <v>46000</v>
      </c>
      <c r="B6198" s="416">
        <v>1078377</v>
      </c>
      <c r="C6198" s="639" t="str">
        <f>IFERROR(INDEX(Table14[],MATCH($B6198,Table14[SAPNo],0),3),"")</f>
        <v>13MM CT221 R1</v>
      </c>
      <c r="D6198" s="420" t="s">
        <v>10</v>
      </c>
      <c r="E6198" s="421">
        <v>1</v>
      </c>
      <c r="F6198" s="580"/>
      <c r="G6198" s="417" t="s">
        <v>4120</v>
      </c>
      <c r="H6198" s="598" t="s">
        <v>4125</v>
      </c>
      <c r="I6198" s="322" t="s">
        <v>3276</v>
      </c>
      <c r="J6198" s="418"/>
      <c r="K6198" s="248"/>
      <c r="M6198" s="366"/>
    </row>
    <row r="6199" spans="1:13" x14ac:dyDescent="0.25">
      <c r="A6199" s="308">
        <v>46000</v>
      </c>
      <c r="B6199" s="416">
        <v>418525</v>
      </c>
      <c r="C6199" s="639" t="str">
        <f>IFERROR(INDEX(Table14[],MATCH($B6199,Table14[SAPNo],0),3),"")</f>
        <v>Drop In 1308 CT31   (B)</v>
      </c>
      <c r="D6199" s="420" t="s">
        <v>12</v>
      </c>
      <c r="E6199" s="421">
        <v>6</v>
      </c>
      <c r="F6199" s="580"/>
      <c r="G6199" s="417" t="s">
        <v>4120</v>
      </c>
      <c r="H6199" s="598" t="s">
        <v>4125</v>
      </c>
      <c r="I6199" s="322" t="s">
        <v>3276</v>
      </c>
      <c r="J6199" s="418"/>
      <c r="K6199" s="248"/>
      <c r="M6199" s="366"/>
    </row>
    <row r="6200" spans="1:13" x14ac:dyDescent="0.25">
      <c r="A6200" s="308">
        <v>46000</v>
      </c>
      <c r="B6200" s="416">
        <v>1146737</v>
      </c>
      <c r="C6200" s="639" t="str">
        <f>IFERROR(INDEX(Table14[],MATCH($B6200,Table14[SAPNo],0),3),"")</f>
        <v>1613 CT418 18-60</v>
      </c>
      <c r="D6200" s="420" t="s">
        <v>10</v>
      </c>
      <c r="E6200" s="421">
        <v>5</v>
      </c>
      <c r="F6200" s="580"/>
      <c r="G6200" s="417" t="s">
        <v>4120</v>
      </c>
      <c r="H6200" s="598" t="s">
        <v>4125</v>
      </c>
      <c r="I6200" s="322" t="s">
        <v>3276</v>
      </c>
      <c r="J6200" s="418"/>
      <c r="K6200" s="248"/>
      <c r="M6200" s="366"/>
    </row>
    <row r="6201" spans="1:13" x14ac:dyDescent="0.25">
      <c r="A6201" s="308">
        <v>46001</v>
      </c>
      <c r="B6201" s="416">
        <v>1282369</v>
      </c>
      <c r="C6201" s="639" t="str">
        <f>IFERROR(INDEX(Table14[],MATCH($B6201,Table14[SAPNo],0),3),"")</f>
        <v>1313 CT436Mv3 U-60</v>
      </c>
      <c r="D6201" s="420" t="s">
        <v>12</v>
      </c>
      <c r="E6201" s="421">
        <v>2</v>
      </c>
      <c r="F6201" s="580"/>
      <c r="G6201" s="417">
        <v>20251169</v>
      </c>
      <c r="H6201" s="598">
        <v>14321011</v>
      </c>
      <c r="I6201" s="322" t="s">
        <v>4126</v>
      </c>
      <c r="J6201" s="418"/>
      <c r="K6201" s="248"/>
      <c r="M6201" s="366"/>
    </row>
    <row r="6202" spans="1:13" x14ac:dyDescent="0.25">
      <c r="A6202" s="308">
        <v>46001</v>
      </c>
      <c r="B6202" s="416">
        <v>1282370</v>
      </c>
      <c r="C6202" s="639" t="str">
        <f>IFERROR(INDEX(Table14[],MATCH($B6202,Table14[SAPNo],0),3),"")</f>
        <v>1613 CT436Mv3 U-60</v>
      </c>
      <c r="D6202" s="420" t="s">
        <v>12</v>
      </c>
      <c r="E6202" s="421">
        <v>5</v>
      </c>
      <c r="F6202" s="580"/>
      <c r="G6202" s="417" t="s">
        <v>4118</v>
      </c>
      <c r="H6202" s="598" t="s">
        <v>4123</v>
      </c>
      <c r="I6202" s="322" t="s">
        <v>3316</v>
      </c>
      <c r="J6202" s="418"/>
      <c r="K6202" s="248"/>
      <c r="M6202" s="366"/>
    </row>
    <row r="6203" spans="1:13" x14ac:dyDescent="0.25">
      <c r="A6203" s="787">
        <v>46002</v>
      </c>
      <c r="B6203" s="788">
        <v>2024640</v>
      </c>
      <c r="C6203" s="789" t="str">
        <f>IFERROR(INDEX(Table14[],MATCH($B6203,Table14[SAPNo],0),3),"")</f>
        <v>1613 CT186P 18-60</v>
      </c>
      <c r="D6203" s="790" t="s">
        <v>12</v>
      </c>
      <c r="E6203" s="791">
        <v>23</v>
      </c>
      <c r="F6203" s="791"/>
      <c r="G6203" s="793" t="s">
        <v>4142</v>
      </c>
      <c r="H6203" s="794">
        <v>14478099</v>
      </c>
      <c r="I6203" s="795" t="s">
        <v>4160</v>
      </c>
      <c r="J6203" s="796"/>
      <c r="K6203" s="248"/>
      <c r="M6203" s="422"/>
    </row>
    <row r="6204" spans="1:13" x14ac:dyDescent="0.25">
      <c r="A6204" s="787">
        <v>46002</v>
      </c>
      <c r="B6204" s="788">
        <v>1126400</v>
      </c>
      <c r="C6204" s="789" t="str">
        <f>IFERROR(INDEX(Table14[],MATCH($B6204,Table14[SAPNo],0),3),"")</f>
        <v>1313 CT421 18-60</v>
      </c>
      <c r="D6204" s="790" t="s">
        <v>12</v>
      </c>
      <c r="E6204" s="791">
        <v>23</v>
      </c>
      <c r="F6204" s="792"/>
      <c r="G6204" s="793" t="s">
        <v>4142</v>
      </c>
      <c r="H6204" s="794">
        <v>14478099</v>
      </c>
      <c r="I6204" s="795" t="s">
        <v>4160</v>
      </c>
      <c r="J6204" s="796"/>
      <c r="K6204" s="248"/>
      <c r="M6204" s="366"/>
    </row>
    <row r="6205" spans="1:13" x14ac:dyDescent="0.25">
      <c r="A6205" s="787">
        <v>46002</v>
      </c>
      <c r="B6205" s="788">
        <v>1192901</v>
      </c>
      <c r="C6205" s="789" t="str">
        <f>IFERROR(INDEX(Table14[],MATCH($B6205,Table14[SAPNo],0),3),"")</f>
        <v xml:space="preserve">12MM WC­MAT400 </v>
      </c>
      <c r="D6205" s="790" t="s">
        <v>12</v>
      </c>
      <c r="E6205" s="791">
        <v>18</v>
      </c>
      <c r="F6205" s="792"/>
      <c r="G6205" s="793" t="s">
        <v>4142</v>
      </c>
      <c r="H6205" s="794">
        <v>14478099</v>
      </c>
      <c r="I6205" s="795" t="s">
        <v>4160</v>
      </c>
      <c r="J6205" s="796"/>
      <c r="K6205" s="248"/>
      <c r="M6205" s="366"/>
    </row>
    <row r="6206" spans="1:13" x14ac:dyDescent="0.25">
      <c r="A6206" s="787">
        <v>46002</v>
      </c>
      <c r="B6206" s="788">
        <v>1282370</v>
      </c>
      <c r="C6206" s="789" t="str">
        <f>IFERROR(INDEX(Table14[],MATCH($B6206,Table14[SAPNo],0),3),"")</f>
        <v>1613 CT436Mv3 U-60</v>
      </c>
      <c r="D6206" s="790" t="s">
        <v>12</v>
      </c>
      <c r="E6206" s="791">
        <v>13</v>
      </c>
      <c r="F6206" s="792"/>
      <c r="G6206" s="793" t="s">
        <v>4142</v>
      </c>
      <c r="H6206" s="794">
        <v>14478099</v>
      </c>
      <c r="I6206" s="795" t="s">
        <v>4160</v>
      </c>
      <c r="J6206" s="796"/>
      <c r="K6206" s="248"/>
      <c r="M6206" s="366"/>
    </row>
    <row r="6207" spans="1:13" x14ac:dyDescent="0.25">
      <c r="A6207" s="787">
        <v>46002</v>
      </c>
      <c r="B6207" s="788">
        <v>1146737</v>
      </c>
      <c r="C6207" s="789" t="str">
        <f>IFERROR(INDEX(Table14[],MATCH($B6207,Table14[SAPNo],0),3),"")</f>
        <v>1613 CT418 18-60</v>
      </c>
      <c r="D6207" s="790" t="s">
        <v>12</v>
      </c>
      <c r="E6207" s="791">
        <v>10</v>
      </c>
      <c r="F6207" s="792"/>
      <c r="G6207" s="793" t="s">
        <v>4142</v>
      </c>
      <c r="H6207" s="794">
        <v>14478099</v>
      </c>
      <c r="I6207" s="795" t="s">
        <v>4160</v>
      </c>
      <c r="J6207" s="796"/>
      <c r="K6207" s="248"/>
      <c r="M6207" s="366"/>
    </row>
    <row r="6208" spans="1:13" x14ac:dyDescent="0.25">
      <c r="A6208" s="787">
        <v>46002</v>
      </c>
      <c r="B6208" s="788">
        <v>1192902</v>
      </c>
      <c r="C6208" s="789" t="str">
        <f>IFERROR(INDEX(Table14[],MATCH($B6208,Table14[SAPNo],0),3),"")</f>
        <v>12MM CT200NL NA</v>
      </c>
      <c r="D6208" s="790" t="s">
        <v>12</v>
      </c>
      <c r="E6208" s="791">
        <v>7</v>
      </c>
      <c r="F6208" s="792"/>
      <c r="G6208" s="793" t="s">
        <v>4142</v>
      </c>
      <c r="H6208" s="794">
        <v>14478099</v>
      </c>
      <c r="I6208" s="795" t="s">
        <v>4160</v>
      </c>
      <c r="J6208" s="796"/>
      <c r="K6208" s="248"/>
      <c r="M6208" s="366"/>
    </row>
    <row r="6209" spans="1:13" x14ac:dyDescent="0.25">
      <c r="A6209" s="787">
        <v>46002</v>
      </c>
      <c r="B6209" s="788">
        <v>2013427</v>
      </c>
      <c r="C6209" s="789" t="str">
        <f>IFERROR(INDEX(Table14[],MATCH($B6209,Table14[SAPNo],0),3),"")</f>
        <v>1218 UNI M3 Carbide NA</v>
      </c>
      <c r="D6209" s="790" t="s">
        <v>12</v>
      </c>
      <c r="E6209" s="791">
        <v>6</v>
      </c>
      <c r="F6209" s="792"/>
      <c r="G6209" s="793" t="s">
        <v>4142</v>
      </c>
      <c r="H6209" s="794">
        <v>14478099</v>
      </c>
      <c r="I6209" s="795" t="s">
        <v>4160</v>
      </c>
      <c r="J6209" s="796"/>
      <c r="K6209" s="248"/>
      <c r="M6209" s="366"/>
    </row>
    <row r="6210" spans="1:13" x14ac:dyDescent="0.25">
      <c r="A6210" s="787">
        <v>46002</v>
      </c>
      <c r="B6210" s="788">
        <v>1292498</v>
      </c>
      <c r="C6210" s="789" t="str">
        <f>IFERROR(INDEX(Table14[],MATCH($B6210,Table14[SAPNo],0),3),"")</f>
        <v>1613 CT186Mv3 U-60</v>
      </c>
      <c r="D6210" s="790" t="s">
        <v>12</v>
      </c>
      <c r="E6210" s="791">
        <v>5</v>
      </c>
      <c r="F6210" s="792"/>
      <c r="G6210" s="793" t="s">
        <v>4142</v>
      </c>
      <c r="H6210" s="794">
        <v>14478099</v>
      </c>
      <c r="I6210" s="795" t="s">
        <v>4160</v>
      </c>
      <c r="J6210" s="796"/>
      <c r="K6210" s="248"/>
      <c r="M6210" s="366"/>
    </row>
    <row r="6211" spans="1:13" x14ac:dyDescent="0.25">
      <c r="A6211" s="787">
        <v>46002</v>
      </c>
      <c r="B6211" s="788">
        <v>717748</v>
      </c>
      <c r="C6211" s="789" t="str">
        <f>IFERROR(INDEX(Table14[],MATCH($B6211,Table14[SAPNo],0),3),"")</f>
        <v>Round 1010 CT200  0.018" (B)</v>
      </c>
      <c r="D6211" s="790" t="s">
        <v>12</v>
      </c>
      <c r="E6211" s="791">
        <v>23</v>
      </c>
      <c r="F6211" s="792"/>
      <c r="G6211" s="793" t="s">
        <v>4143</v>
      </c>
      <c r="H6211" s="794">
        <v>14426670</v>
      </c>
      <c r="I6211" s="795" t="s">
        <v>4161</v>
      </c>
      <c r="J6211" s="796"/>
      <c r="K6211" s="248"/>
      <c r="M6211" s="366"/>
    </row>
    <row r="6212" spans="1:13" x14ac:dyDescent="0.25">
      <c r="A6212" s="787">
        <v>46002</v>
      </c>
      <c r="B6212" s="788">
        <v>773384</v>
      </c>
      <c r="C6212" s="789" t="str">
        <f>IFERROR(INDEX(Table14[],MATCH($B6212,Table14[SAPNo],0),3),"")</f>
        <v>Round 1005 CT200  0.018" (B)</v>
      </c>
      <c r="D6212" s="790" t="s">
        <v>12</v>
      </c>
      <c r="E6212" s="791">
        <v>10</v>
      </c>
      <c r="F6212" s="792"/>
      <c r="G6212" s="793" t="s">
        <v>4143</v>
      </c>
      <c r="H6212" s="794">
        <v>14426670</v>
      </c>
      <c r="I6212" s="795" t="s">
        <v>4161</v>
      </c>
      <c r="J6212" s="796"/>
      <c r="K6212" s="248"/>
      <c r="M6212" s="366"/>
    </row>
    <row r="6213" spans="1:13" x14ac:dyDescent="0.25">
      <c r="A6213" s="787">
        <v>46002</v>
      </c>
      <c r="B6213" s="788">
        <v>1293118</v>
      </c>
      <c r="C6213" s="789" t="str">
        <f>IFERROR(INDEX(Table14[],MATCH($B6213,Table14[SAPNo],0),3),"")</f>
        <v>0808 CT158NL 0.018"</v>
      </c>
      <c r="D6213" s="790" t="s">
        <v>12</v>
      </c>
      <c r="E6213" s="791">
        <v>10</v>
      </c>
      <c r="F6213" s="792"/>
      <c r="G6213" s="793" t="s">
        <v>4143</v>
      </c>
      <c r="H6213" s="794">
        <v>14426670</v>
      </c>
      <c r="I6213" s="795" t="s">
        <v>4161</v>
      </c>
      <c r="J6213" s="796"/>
      <c r="K6213" s="248"/>
      <c r="M6213" s="366"/>
    </row>
    <row r="6214" spans="1:13" x14ac:dyDescent="0.25">
      <c r="A6214" s="787">
        <v>46005</v>
      </c>
      <c r="B6214" s="788">
        <v>717748</v>
      </c>
      <c r="C6214" s="789" t="str">
        <f>IFERROR(INDEX(Table14[],MATCH($B6214,Table14[SAPNo],0),3),"")</f>
        <v>Round 1010 CT200  0.018" (B)</v>
      </c>
      <c r="D6214" s="790" t="s">
        <v>12</v>
      </c>
      <c r="E6214" s="791">
        <v>23</v>
      </c>
      <c r="F6214" s="792"/>
      <c r="G6214" s="793" t="s">
        <v>4144</v>
      </c>
      <c r="H6214" s="794">
        <v>14460271</v>
      </c>
      <c r="I6214" s="795" t="s">
        <v>4161</v>
      </c>
      <c r="J6214" s="796"/>
      <c r="K6214" s="248"/>
      <c r="M6214" s="366"/>
    </row>
    <row r="6215" spans="1:13" x14ac:dyDescent="0.25">
      <c r="A6215" s="787">
        <v>46005</v>
      </c>
      <c r="B6215" s="788">
        <v>773384</v>
      </c>
      <c r="C6215" s="789" t="str">
        <f>IFERROR(INDEX(Table14[],MATCH($B6215,Table14[SAPNo],0),3),"")</f>
        <v>Round 1005 CT200  0.018" (B)</v>
      </c>
      <c r="D6215" s="790" t="s">
        <v>12</v>
      </c>
      <c r="E6215" s="791">
        <v>10</v>
      </c>
      <c r="F6215" s="792"/>
      <c r="G6215" s="793" t="s">
        <v>4144</v>
      </c>
      <c r="H6215" s="794">
        <v>14460271</v>
      </c>
      <c r="I6215" s="795" t="s">
        <v>4161</v>
      </c>
      <c r="J6215" s="796"/>
      <c r="K6215" s="248"/>
      <c r="M6215" s="366"/>
    </row>
    <row r="6216" spans="1:13" x14ac:dyDescent="0.25">
      <c r="A6216" s="787">
        <v>46005</v>
      </c>
      <c r="B6216" s="788">
        <v>1293118</v>
      </c>
      <c r="C6216" s="789" t="str">
        <f>IFERROR(INDEX(Table14[],MATCH($B6216,Table14[SAPNo],0),3),"")</f>
        <v>0808 CT158NL 0.018"</v>
      </c>
      <c r="D6216" s="790" t="s">
        <v>12</v>
      </c>
      <c r="E6216" s="791">
        <v>10</v>
      </c>
      <c r="F6216" s="792"/>
      <c r="G6216" s="793" t="s">
        <v>4144</v>
      </c>
      <c r="H6216" s="794">
        <v>14460271</v>
      </c>
      <c r="I6216" s="795" t="s">
        <v>4161</v>
      </c>
      <c r="J6216" s="796"/>
      <c r="K6216" s="248"/>
      <c r="M6216" s="366"/>
    </row>
    <row r="6217" spans="1:13" x14ac:dyDescent="0.25">
      <c r="A6217" s="787">
        <v>46005</v>
      </c>
      <c r="B6217" s="788">
        <v>1199247</v>
      </c>
      <c r="C6217" s="789" t="str">
        <f>IFERROR(INDEX(Table14[],MATCH($B6217,Table14[SAPNo],0),3),"")</f>
        <v>1010 CT158 10C</v>
      </c>
      <c r="D6217" s="790" t="s">
        <v>12</v>
      </c>
      <c r="E6217" s="791">
        <v>37</v>
      </c>
      <c r="F6217" s="792"/>
      <c r="G6217" s="793" t="s">
        <v>4145</v>
      </c>
      <c r="H6217" s="794">
        <v>14460272</v>
      </c>
      <c r="I6217" s="795" t="s">
        <v>4162</v>
      </c>
      <c r="J6217" s="796"/>
      <c r="K6217" s="248"/>
      <c r="M6217" s="366"/>
    </row>
    <row r="6218" spans="1:13" x14ac:dyDescent="0.25">
      <c r="A6218" s="787">
        <v>46005</v>
      </c>
      <c r="B6218" s="788">
        <v>773384</v>
      </c>
      <c r="C6218" s="789" t="str">
        <f>IFERROR(INDEX(Table14[],MATCH($B6218,Table14[SAPNo],0),3),"")</f>
        <v>Round 1005 CT200  0.018" (B)</v>
      </c>
      <c r="D6218" s="790" t="s">
        <v>12</v>
      </c>
      <c r="E6218" s="791">
        <v>14</v>
      </c>
      <c r="F6218" s="792"/>
      <c r="G6218" s="793" t="s">
        <v>4145</v>
      </c>
      <c r="H6218" s="794">
        <v>14460272</v>
      </c>
      <c r="I6218" s="795" t="s">
        <v>4162</v>
      </c>
      <c r="J6218" s="796"/>
      <c r="K6218" s="248"/>
      <c r="M6218" s="366"/>
    </row>
    <row r="6219" spans="1:13" x14ac:dyDescent="0.25">
      <c r="A6219" s="787">
        <v>46005</v>
      </c>
      <c r="B6219" s="788">
        <v>871781</v>
      </c>
      <c r="C6219" s="789" t="str">
        <f>IFERROR(INDEX(Table14[],MATCH($B6219,Table14[SAPNo],0),3),"")</f>
        <v>Round 1313 CT200  0.018" (B)</v>
      </c>
      <c r="D6219" s="790" t="s">
        <v>12</v>
      </c>
      <c r="E6219" s="791">
        <v>7</v>
      </c>
      <c r="F6219" s="792"/>
      <c r="G6219" s="793" t="s">
        <v>4145</v>
      </c>
      <c r="H6219" s="794">
        <v>14460272</v>
      </c>
      <c r="I6219" s="795" t="s">
        <v>4162</v>
      </c>
      <c r="J6219" s="796"/>
      <c r="K6219" s="248"/>
      <c r="M6219" s="366"/>
    </row>
    <row r="6220" spans="1:13" x14ac:dyDescent="0.25">
      <c r="A6220" s="787">
        <v>46005</v>
      </c>
      <c r="B6220" s="788">
        <v>1101509</v>
      </c>
      <c r="C6220" s="789" t="str">
        <f>IFERROR(INDEX(Table14[],MATCH($B6220,Table14[SAPNo],0),3),"")</f>
        <v>Short IA 8    (C)</v>
      </c>
      <c r="D6220" s="790" t="s">
        <v>12</v>
      </c>
      <c r="E6220" s="791">
        <v>7</v>
      </c>
      <c r="F6220" s="792"/>
      <c r="G6220" s="793" t="s">
        <v>4145</v>
      </c>
      <c r="H6220" s="794">
        <v>14460272</v>
      </c>
      <c r="I6220" s="795" t="s">
        <v>4162</v>
      </c>
      <c r="J6220" s="796"/>
      <c r="K6220" s="248"/>
      <c r="M6220" s="366"/>
    </row>
    <row r="6221" spans="1:13" x14ac:dyDescent="0.25">
      <c r="A6221" s="787">
        <v>46005</v>
      </c>
      <c r="B6221" s="788">
        <v>1288783</v>
      </c>
      <c r="C6221" s="789" t="str">
        <f>IFERROR(INDEX(Table14[],MATCH($B6221,Table14[SAPNo],0),3),"")</f>
        <v>1613 CT179 18-60</v>
      </c>
      <c r="D6221" s="790" t="s">
        <v>12</v>
      </c>
      <c r="E6221" s="791">
        <v>17</v>
      </c>
      <c r="F6221" s="792"/>
      <c r="G6221" s="793" t="s">
        <v>4146</v>
      </c>
      <c r="H6221" s="794">
        <v>14462152</v>
      </c>
      <c r="I6221" s="795" t="s">
        <v>2943</v>
      </c>
      <c r="J6221" s="796"/>
      <c r="K6221" s="248"/>
      <c r="M6221" s="366"/>
    </row>
    <row r="6222" spans="1:13" x14ac:dyDescent="0.25">
      <c r="A6222" s="787">
        <v>46005</v>
      </c>
      <c r="B6222" s="788">
        <v>1078377</v>
      </c>
      <c r="C6222" s="789" t="str">
        <f>IFERROR(INDEX(Table14[],MATCH($B6222,Table14[SAPNo],0),3),"")</f>
        <v>13MM CT221 R1</v>
      </c>
      <c r="D6222" s="790" t="s">
        <v>12</v>
      </c>
      <c r="E6222" s="791">
        <v>15</v>
      </c>
      <c r="F6222" s="792"/>
      <c r="G6222" s="793" t="s">
        <v>4146</v>
      </c>
      <c r="H6222" s="794">
        <v>14462152</v>
      </c>
      <c r="I6222" s="795" t="s">
        <v>2943</v>
      </c>
      <c r="J6222" s="796"/>
      <c r="K6222" s="248"/>
      <c r="M6222" s="366"/>
    </row>
    <row r="6223" spans="1:13" x14ac:dyDescent="0.25">
      <c r="A6223" s="787">
        <v>46005</v>
      </c>
      <c r="B6223" s="788">
        <v>1208601</v>
      </c>
      <c r="C6223" s="789" t="str">
        <f>IFERROR(INDEX(Table14[],MATCH($B6223,Table14[SAPNo],0),3),"")</f>
        <v>1613 CT418 U-60</v>
      </c>
      <c r="D6223" s="790" t="s">
        <v>12</v>
      </c>
      <c r="E6223" s="791">
        <v>8</v>
      </c>
      <c r="F6223" s="792"/>
      <c r="G6223" s="793" t="s">
        <v>4146</v>
      </c>
      <c r="H6223" s="794">
        <v>14462152</v>
      </c>
      <c r="I6223" s="795" t="s">
        <v>2943</v>
      </c>
      <c r="J6223" s="796"/>
      <c r="K6223" s="248"/>
      <c r="M6223" s="366"/>
    </row>
    <row r="6224" spans="1:13" x14ac:dyDescent="0.25">
      <c r="A6224" s="787">
        <v>46005</v>
      </c>
      <c r="B6224" s="788">
        <v>871781</v>
      </c>
      <c r="C6224" s="789" t="str">
        <f>IFERROR(INDEX(Table14[],MATCH($B6224,Table14[SAPNo],0),3),"")</f>
        <v>Round 1313 CT200  0.018" (B)</v>
      </c>
      <c r="D6224" s="790" t="s">
        <v>12</v>
      </c>
      <c r="E6224" s="791">
        <v>6</v>
      </c>
      <c r="F6224" s="792"/>
      <c r="G6224" s="793" t="s">
        <v>4146</v>
      </c>
      <c r="H6224" s="794">
        <v>14462152</v>
      </c>
      <c r="I6224" s="795" t="s">
        <v>2943</v>
      </c>
      <c r="J6224" s="796"/>
      <c r="K6224" s="248"/>
      <c r="M6224" s="366"/>
    </row>
    <row r="6225" spans="1:13" x14ac:dyDescent="0.25">
      <c r="A6225" s="797">
        <v>46005</v>
      </c>
      <c r="B6225" s="798">
        <v>1146737</v>
      </c>
      <c r="C6225" s="789" t="str">
        <f>IFERROR(INDEX(Table14[],MATCH($B6225,Table14[SAPNo],0),3),"")</f>
        <v>1613 CT418 18-60</v>
      </c>
      <c r="D6225" s="790" t="s">
        <v>12</v>
      </c>
      <c r="E6225" s="791">
        <v>6</v>
      </c>
      <c r="F6225" s="792"/>
      <c r="G6225" s="790" t="s">
        <v>4146</v>
      </c>
      <c r="H6225" s="799">
        <v>14462152</v>
      </c>
      <c r="I6225" s="795" t="s">
        <v>2943</v>
      </c>
      <c r="J6225" s="791"/>
      <c r="K6225" s="422"/>
      <c r="M6225" s="366"/>
    </row>
    <row r="6226" spans="1:13" x14ac:dyDescent="0.25">
      <c r="A6226" s="787">
        <v>46008</v>
      </c>
      <c r="B6226" s="788">
        <v>1126402</v>
      </c>
      <c r="C6226" s="789" t="str">
        <f>IFERROR(INDEX(Table14[],MATCH($B6226,Table14[SAPNo],0),3),"")</f>
        <v>1613 CT421 16-60</v>
      </c>
      <c r="D6226" s="790" t="s">
        <v>12</v>
      </c>
      <c r="E6226" s="791">
        <v>6</v>
      </c>
      <c r="F6226" s="791"/>
      <c r="G6226" s="790" t="s">
        <v>4159</v>
      </c>
      <c r="H6226" s="794">
        <v>14460275</v>
      </c>
      <c r="I6226" s="795" t="s">
        <v>4163</v>
      </c>
      <c r="J6226" s="796"/>
      <c r="K6226" s="248"/>
      <c r="M6226" s="422"/>
    </row>
    <row r="6227" spans="1:13" x14ac:dyDescent="0.25">
      <c r="A6227" s="787">
        <v>46008</v>
      </c>
      <c r="B6227" s="788">
        <v>647435</v>
      </c>
      <c r="C6227" s="789" t="str">
        <f>IFERROR(INDEX(Table14[],MATCH($B6227,Table14[SAPNo],0),3),"")</f>
        <v>Round 1608 CT200  0.018" (B)</v>
      </c>
      <c r="D6227" s="790" t="s">
        <v>12</v>
      </c>
      <c r="E6227" s="791">
        <v>23</v>
      </c>
      <c r="F6227" s="792"/>
      <c r="G6227" s="790" t="s">
        <v>4159</v>
      </c>
      <c r="H6227" s="794">
        <v>14460275</v>
      </c>
      <c r="I6227" s="795" t="s">
        <v>4163</v>
      </c>
      <c r="J6227" s="796"/>
      <c r="K6227" s="248"/>
      <c r="M6227" s="366"/>
    </row>
    <row r="6228" spans="1:13" x14ac:dyDescent="0.25">
      <c r="A6228" s="787">
        <v>46008</v>
      </c>
      <c r="B6228" s="788">
        <v>871781</v>
      </c>
      <c r="C6228" s="789" t="str">
        <f>IFERROR(INDEX(Table14[],MATCH($B6228,Table14[SAPNo],0),3),"")</f>
        <v>Round 1313 CT200  0.018" (B)</v>
      </c>
      <c r="D6228" s="790" t="s">
        <v>12</v>
      </c>
      <c r="E6228" s="791">
        <v>6</v>
      </c>
      <c r="F6228" s="792"/>
      <c r="G6228" s="790" t="s">
        <v>4159</v>
      </c>
      <c r="H6228" s="794">
        <v>14460275</v>
      </c>
      <c r="I6228" s="795" t="s">
        <v>4163</v>
      </c>
      <c r="J6228" s="796"/>
      <c r="K6228" s="248"/>
      <c r="M6228" s="366"/>
    </row>
    <row r="6229" spans="1:13" x14ac:dyDescent="0.25">
      <c r="A6229" s="787">
        <v>46008</v>
      </c>
      <c r="B6229" s="788">
        <v>2023242</v>
      </c>
      <c r="C6229" s="789" t="str">
        <f>IFERROR(INDEX(Table14[],MATCH($B6229,Table14[SAPNo],0),3),"")</f>
        <v>1613 CT421 U-60</v>
      </c>
      <c r="D6229" s="790" t="s">
        <v>12</v>
      </c>
      <c r="E6229" s="791">
        <v>27</v>
      </c>
      <c r="F6229" s="792"/>
      <c r="G6229" s="790" t="s">
        <v>4159</v>
      </c>
      <c r="H6229" s="794">
        <v>14460275</v>
      </c>
      <c r="I6229" s="795" t="s">
        <v>4163</v>
      </c>
      <c r="J6229" s="796"/>
      <c r="K6229" s="248"/>
      <c r="M6229" s="366"/>
    </row>
    <row r="6230" spans="1:13" x14ac:dyDescent="0.25">
      <c r="A6230" s="787">
        <v>46008</v>
      </c>
      <c r="B6230" s="788">
        <v>1282369</v>
      </c>
      <c r="C6230" s="789" t="str">
        <f>IFERROR(INDEX(Table14[],MATCH($B6230,Table14[SAPNo],0),3),"")</f>
        <v>1313 CT436Mv3 U-60</v>
      </c>
      <c r="D6230" s="790" t="s">
        <v>12</v>
      </c>
      <c r="E6230" s="791">
        <v>13</v>
      </c>
      <c r="F6230" s="792"/>
      <c r="G6230" s="793" t="s">
        <v>4153</v>
      </c>
      <c r="H6230" s="794">
        <v>14476921</v>
      </c>
      <c r="I6230" s="795" t="s">
        <v>2640</v>
      </c>
      <c r="J6230" s="796"/>
      <c r="K6230" s="248"/>
      <c r="M6230" s="366"/>
    </row>
    <row r="6231" spans="1:13" x14ac:dyDescent="0.25">
      <c r="A6231" s="787">
        <v>46008</v>
      </c>
      <c r="B6231" s="788">
        <v>1146346</v>
      </c>
      <c r="C6231" s="789" t="str">
        <f>IFERROR(INDEX(Table14[],MATCH($B6231,Table14[SAPNo],0),3),"")</f>
        <v>1313 CT418 18-60</v>
      </c>
      <c r="D6231" s="790" t="s">
        <v>12</v>
      </c>
      <c r="E6231" s="791">
        <v>12</v>
      </c>
      <c r="F6231" s="792"/>
      <c r="G6231" s="793" t="s">
        <v>4153</v>
      </c>
      <c r="H6231" s="794">
        <v>14476921</v>
      </c>
      <c r="I6231" s="795" t="s">
        <v>2640</v>
      </c>
      <c r="J6231" s="796"/>
      <c r="K6231" s="248"/>
      <c r="M6231" s="366"/>
    </row>
    <row r="6232" spans="1:13" x14ac:dyDescent="0.25">
      <c r="A6232" s="787">
        <v>46008</v>
      </c>
      <c r="B6232" s="788">
        <v>418525</v>
      </c>
      <c r="C6232" s="789" t="str">
        <f>IFERROR(INDEX(Table14[],MATCH($B6232,Table14[SAPNo],0),3),"")</f>
        <v>Drop In 1308 CT31   (B)</v>
      </c>
      <c r="D6232" s="790" t="s">
        <v>12</v>
      </c>
      <c r="E6232" s="791">
        <v>6</v>
      </c>
      <c r="F6232" s="792"/>
      <c r="G6232" s="793" t="s">
        <v>4153</v>
      </c>
      <c r="H6232" s="794">
        <v>14476921</v>
      </c>
      <c r="I6232" s="795" t="s">
        <v>2640</v>
      </c>
      <c r="J6232" s="796"/>
      <c r="K6232" s="248"/>
      <c r="M6232" s="366"/>
    </row>
    <row r="6233" spans="1:13" x14ac:dyDescent="0.25">
      <c r="A6233" s="787">
        <v>46008</v>
      </c>
      <c r="B6233" s="788">
        <v>1186963</v>
      </c>
      <c r="C6233" s="789" t="str">
        <f>IFERROR(INDEX(Table14[],MATCH($B6233,Table14[SAPNo],0),3),"")</f>
        <v>1313 CT182H 10C</v>
      </c>
      <c r="D6233" s="790" t="s">
        <v>12</v>
      </c>
      <c r="E6233" s="791">
        <v>1</v>
      </c>
      <c r="F6233" s="792"/>
      <c r="G6233" s="793" t="s">
        <v>4153</v>
      </c>
      <c r="H6233" s="794">
        <v>14476921</v>
      </c>
      <c r="I6233" s="795" t="s">
        <v>2640</v>
      </c>
      <c r="J6233" s="796"/>
      <c r="K6233" s="248"/>
      <c r="M6233" s="366"/>
    </row>
    <row r="6234" spans="1:13" x14ac:dyDescent="0.25">
      <c r="A6234" s="787">
        <v>46008</v>
      </c>
      <c r="B6234" s="788">
        <v>1101509</v>
      </c>
      <c r="C6234" s="789" t="str">
        <f>IFERROR(INDEX(Table14[],MATCH($B6234,Table14[SAPNo],0),3),"")</f>
        <v>Short IA 8    (C)</v>
      </c>
      <c r="D6234" s="790" t="s">
        <v>12</v>
      </c>
      <c r="E6234" s="791">
        <v>5</v>
      </c>
      <c r="F6234" s="792"/>
      <c r="G6234" s="793" t="s">
        <v>4153</v>
      </c>
      <c r="H6234" s="794">
        <v>14476921</v>
      </c>
      <c r="I6234" s="795" t="s">
        <v>2640</v>
      </c>
      <c r="J6234" s="796"/>
      <c r="K6234" s="248"/>
      <c r="M6234" s="366"/>
    </row>
    <row r="6235" spans="1:13" x14ac:dyDescent="0.25">
      <c r="A6235" s="787">
        <v>46008</v>
      </c>
      <c r="B6235" s="788">
        <v>1146346</v>
      </c>
      <c r="C6235" s="789" t="str">
        <f>IFERROR(INDEX(Table14[],MATCH($B6235,Table14[SAPNo],0),3),"")</f>
        <v>1313 CT418 18-60</v>
      </c>
      <c r="D6235" s="790" t="s">
        <v>12</v>
      </c>
      <c r="E6235" s="791">
        <v>6</v>
      </c>
      <c r="F6235" s="792"/>
      <c r="G6235" s="793">
        <v>20251174</v>
      </c>
      <c r="H6235" s="794" t="s">
        <v>4164</v>
      </c>
      <c r="I6235" s="795" t="s">
        <v>3272</v>
      </c>
      <c r="J6235" s="796"/>
      <c r="K6235" s="248"/>
      <c r="M6235" s="366"/>
    </row>
    <row r="6236" spans="1:13" x14ac:dyDescent="0.25">
      <c r="A6236" s="787">
        <v>46009</v>
      </c>
      <c r="B6236" s="788">
        <v>1282369</v>
      </c>
      <c r="C6236" s="789" t="str">
        <f>IFERROR(INDEX(Table14[],MATCH($B6236,Table14[SAPNo],0),3),"")</f>
        <v>1313 CT436Mv3 U-60</v>
      </c>
      <c r="D6236" s="790" t="s">
        <v>12</v>
      </c>
      <c r="E6236" s="791">
        <v>13</v>
      </c>
      <c r="F6236" s="792"/>
      <c r="G6236" s="793" t="s">
        <v>4154</v>
      </c>
      <c r="H6236" s="794">
        <v>14476922</v>
      </c>
      <c r="I6236" s="795" t="s">
        <v>2640</v>
      </c>
      <c r="J6236" s="796"/>
      <c r="K6236" s="248"/>
      <c r="M6236" s="366"/>
    </row>
    <row r="6237" spans="1:13" x14ac:dyDescent="0.25">
      <c r="A6237" s="787">
        <v>46009</v>
      </c>
      <c r="B6237" s="788">
        <v>1146346</v>
      </c>
      <c r="C6237" s="789" t="str">
        <f>IFERROR(INDEX(Table14[],MATCH($B6237,Table14[SAPNo],0),3),"")</f>
        <v>1313 CT418 18-60</v>
      </c>
      <c r="D6237" s="790" t="s">
        <v>12</v>
      </c>
      <c r="E6237" s="791">
        <v>12</v>
      </c>
      <c r="F6237" s="792"/>
      <c r="G6237" s="793" t="s">
        <v>4154</v>
      </c>
      <c r="H6237" s="794">
        <v>14476922</v>
      </c>
      <c r="I6237" s="795" t="s">
        <v>2640</v>
      </c>
      <c r="J6237" s="796"/>
      <c r="K6237" s="248"/>
      <c r="M6237" s="366"/>
    </row>
    <row r="6238" spans="1:13" x14ac:dyDescent="0.25">
      <c r="A6238" s="787">
        <v>46009</v>
      </c>
      <c r="B6238" s="788">
        <v>418525</v>
      </c>
      <c r="C6238" s="789" t="str">
        <f>IFERROR(INDEX(Table14[],MATCH($B6238,Table14[SAPNo],0),3),"")</f>
        <v>Drop In 1308 CT31   (B)</v>
      </c>
      <c r="D6238" s="790" t="s">
        <v>12</v>
      </c>
      <c r="E6238" s="791">
        <v>6</v>
      </c>
      <c r="F6238" s="792"/>
      <c r="G6238" s="793" t="s">
        <v>4154</v>
      </c>
      <c r="H6238" s="794">
        <v>14476922</v>
      </c>
      <c r="I6238" s="795" t="s">
        <v>2640</v>
      </c>
      <c r="J6238" s="796"/>
      <c r="K6238" s="248"/>
      <c r="M6238" s="366"/>
    </row>
    <row r="6239" spans="1:13" x14ac:dyDescent="0.25">
      <c r="A6239" s="787">
        <v>46009</v>
      </c>
      <c r="B6239" s="788">
        <v>1101509</v>
      </c>
      <c r="C6239" s="789" t="str">
        <f>IFERROR(INDEX(Table14[],MATCH($B6239,Table14[SAPNo],0),3),"")</f>
        <v>Short IA 8    (C)</v>
      </c>
      <c r="D6239" s="790" t="s">
        <v>12</v>
      </c>
      <c r="E6239" s="791">
        <v>5</v>
      </c>
      <c r="F6239" s="792"/>
      <c r="G6239" s="793" t="s">
        <v>4154</v>
      </c>
      <c r="H6239" s="794">
        <v>14476922</v>
      </c>
      <c r="I6239" s="795" t="s">
        <v>2640</v>
      </c>
      <c r="J6239" s="796"/>
      <c r="K6239" s="248"/>
      <c r="M6239" s="366"/>
    </row>
    <row r="6240" spans="1:13" x14ac:dyDescent="0.25">
      <c r="A6240" s="787">
        <v>46009</v>
      </c>
      <c r="B6240" s="788">
        <v>1186963</v>
      </c>
      <c r="C6240" s="789" t="str">
        <f>IFERROR(INDEX(Table14[],MATCH($B6240,Table14[SAPNo],0),3),"")</f>
        <v>1313 CT182H 10C</v>
      </c>
      <c r="D6240" s="790" t="s">
        <v>12</v>
      </c>
      <c r="E6240" s="791">
        <v>1</v>
      </c>
      <c r="F6240" s="792"/>
      <c r="G6240" s="793" t="s">
        <v>4154</v>
      </c>
      <c r="H6240" s="794">
        <v>14476922</v>
      </c>
      <c r="I6240" s="795" t="s">
        <v>2640</v>
      </c>
      <c r="J6240" s="796"/>
      <c r="K6240" s="248"/>
      <c r="M6240" s="366"/>
    </row>
    <row r="6241" spans="1:13" x14ac:dyDescent="0.25">
      <c r="A6241" s="787">
        <v>46009</v>
      </c>
      <c r="B6241" s="788">
        <v>1288783</v>
      </c>
      <c r="C6241" s="789" t="str">
        <f>IFERROR(INDEX(Table14[],MATCH($B6241,Table14[SAPNo],0),3),"")</f>
        <v>1613 CT179 18-60</v>
      </c>
      <c r="D6241" s="790" t="s">
        <v>12</v>
      </c>
      <c r="E6241" s="791">
        <v>17</v>
      </c>
      <c r="F6241" s="792"/>
      <c r="G6241" s="793" t="s">
        <v>4155</v>
      </c>
      <c r="H6241" s="794">
        <v>14462153</v>
      </c>
      <c r="I6241" s="795" t="s">
        <v>2943</v>
      </c>
      <c r="J6241" s="796"/>
      <c r="K6241" s="248"/>
      <c r="M6241" s="366"/>
    </row>
    <row r="6242" spans="1:13" x14ac:dyDescent="0.25">
      <c r="A6242" s="787">
        <v>46009</v>
      </c>
      <c r="B6242" s="788">
        <v>1078377</v>
      </c>
      <c r="C6242" s="789" t="str">
        <f>IFERROR(INDEX(Table14[],MATCH($B6242,Table14[SAPNo],0),3),"")</f>
        <v>13MM CT221 R1</v>
      </c>
      <c r="D6242" s="790" t="s">
        <v>12</v>
      </c>
      <c r="E6242" s="791">
        <v>15</v>
      </c>
      <c r="F6242" s="792"/>
      <c r="G6242" s="793" t="s">
        <v>4155</v>
      </c>
      <c r="H6242" s="794">
        <v>14462153</v>
      </c>
      <c r="I6242" s="795" t="s">
        <v>2943</v>
      </c>
      <c r="J6242" s="796"/>
      <c r="K6242" s="248"/>
      <c r="M6242" s="366"/>
    </row>
    <row r="6243" spans="1:13" x14ac:dyDescent="0.25">
      <c r="A6243" s="787">
        <v>46009</v>
      </c>
      <c r="B6243" s="788">
        <v>1208601</v>
      </c>
      <c r="C6243" s="789" t="str">
        <f>IFERROR(INDEX(Table14[],MATCH($B6243,Table14[SAPNo],0),3),"")</f>
        <v>1613 CT418 U-60</v>
      </c>
      <c r="D6243" s="790" t="s">
        <v>12</v>
      </c>
      <c r="E6243" s="791">
        <v>8</v>
      </c>
      <c r="F6243" s="792"/>
      <c r="G6243" s="793" t="s">
        <v>4155</v>
      </c>
      <c r="H6243" s="794">
        <v>14462153</v>
      </c>
      <c r="I6243" s="795" t="s">
        <v>2943</v>
      </c>
      <c r="J6243" s="796"/>
      <c r="K6243" s="248"/>
      <c r="M6243" s="366"/>
    </row>
    <row r="6244" spans="1:13" x14ac:dyDescent="0.25">
      <c r="A6244" s="787">
        <v>46009</v>
      </c>
      <c r="B6244" s="788">
        <v>871781</v>
      </c>
      <c r="C6244" s="789" t="str">
        <f>IFERROR(INDEX(Table14[],MATCH($B6244,Table14[SAPNo],0),3),"")</f>
        <v>Round 1313 CT200  0.018" (B)</v>
      </c>
      <c r="D6244" s="790" t="s">
        <v>12</v>
      </c>
      <c r="E6244" s="791">
        <v>6</v>
      </c>
      <c r="F6244" s="792"/>
      <c r="G6244" s="793" t="s">
        <v>4155</v>
      </c>
      <c r="H6244" s="794">
        <v>14462153</v>
      </c>
      <c r="I6244" s="795" t="s">
        <v>2943</v>
      </c>
      <c r="J6244" s="796"/>
      <c r="K6244" s="248"/>
      <c r="M6244" s="366"/>
    </row>
    <row r="6245" spans="1:13" x14ac:dyDescent="0.25">
      <c r="A6245" s="787">
        <v>46009</v>
      </c>
      <c r="B6245" s="788">
        <v>1146737</v>
      </c>
      <c r="C6245" s="789" t="str">
        <f>IFERROR(INDEX(Table14[],MATCH($B6245,Table14[SAPNo],0),3),"")</f>
        <v>1613 CT418 18-60</v>
      </c>
      <c r="D6245" s="790" t="s">
        <v>12</v>
      </c>
      <c r="E6245" s="791">
        <v>6</v>
      </c>
      <c r="F6245" s="792"/>
      <c r="G6245" s="793" t="s">
        <v>4155</v>
      </c>
      <c r="H6245" s="794">
        <v>14462153</v>
      </c>
      <c r="I6245" s="795" t="s">
        <v>2943</v>
      </c>
      <c r="J6245" s="796"/>
      <c r="K6245" s="248"/>
      <c r="M6245" s="366"/>
    </row>
    <row r="6246" spans="1:13" x14ac:dyDescent="0.25">
      <c r="A6246" s="787">
        <v>46009</v>
      </c>
      <c r="B6246" s="788">
        <v>647435</v>
      </c>
      <c r="C6246" s="789" t="str">
        <f>IFERROR(INDEX(Table14[],MATCH($B6246,Table14[SAPNo],0),3),"")</f>
        <v>Round 1608 CT200  0.018" (B)</v>
      </c>
      <c r="D6246" s="790" t="s">
        <v>12</v>
      </c>
      <c r="E6246" s="791">
        <v>23</v>
      </c>
      <c r="F6246" s="792"/>
      <c r="G6246" s="793" t="s">
        <v>4156</v>
      </c>
      <c r="H6246" s="794">
        <v>14476927</v>
      </c>
      <c r="I6246" s="795" t="s">
        <v>4165</v>
      </c>
      <c r="J6246" s="796"/>
      <c r="K6246" s="248"/>
      <c r="M6246" s="366"/>
    </row>
    <row r="6247" spans="1:13" x14ac:dyDescent="0.25">
      <c r="A6247" s="787">
        <v>46009</v>
      </c>
      <c r="B6247" s="788">
        <v>1288783</v>
      </c>
      <c r="C6247" s="789" t="str">
        <f>IFERROR(INDEX(Table14[],MATCH($B6247,Table14[SAPNo],0),3),"")</f>
        <v>1613 CT179 18-60</v>
      </c>
      <c r="D6247" s="790" t="s">
        <v>12</v>
      </c>
      <c r="E6247" s="791">
        <v>14</v>
      </c>
      <c r="F6247" s="792"/>
      <c r="G6247" s="793" t="s">
        <v>4156</v>
      </c>
      <c r="H6247" s="794">
        <v>14476927</v>
      </c>
      <c r="I6247" s="795" t="s">
        <v>4165</v>
      </c>
      <c r="J6247" s="796"/>
      <c r="K6247" s="248"/>
      <c r="M6247" s="366"/>
    </row>
    <row r="6248" spans="1:13" x14ac:dyDescent="0.25">
      <c r="A6248" s="787">
        <v>46009</v>
      </c>
      <c r="B6248" s="788">
        <v>1146737</v>
      </c>
      <c r="C6248" s="789" t="str">
        <f>IFERROR(INDEX(Table14[],MATCH($B6248,Table14[SAPNo],0),3),"")</f>
        <v>1613 CT418 18-60</v>
      </c>
      <c r="D6248" s="790" t="s">
        <v>12</v>
      </c>
      <c r="E6248" s="791">
        <v>7</v>
      </c>
      <c r="F6248" s="792"/>
      <c r="G6248" s="793" t="s">
        <v>4156</v>
      </c>
      <c r="H6248" s="794">
        <v>14476927</v>
      </c>
      <c r="I6248" s="795" t="s">
        <v>4165</v>
      </c>
      <c r="J6248" s="796"/>
      <c r="K6248" s="248"/>
      <c r="M6248" s="366"/>
    </row>
    <row r="6249" spans="1:13" x14ac:dyDescent="0.25">
      <c r="A6249" s="787">
        <v>46009</v>
      </c>
      <c r="B6249" s="788">
        <v>871781</v>
      </c>
      <c r="C6249" s="789" t="str">
        <f>IFERROR(INDEX(Table14[],MATCH($B6249,Table14[SAPNo],0),3),"")</f>
        <v>Round 1313 CT200  0.018" (B)</v>
      </c>
      <c r="D6249" s="790" t="s">
        <v>12</v>
      </c>
      <c r="E6249" s="791">
        <v>6</v>
      </c>
      <c r="F6249" s="792"/>
      <c r="G6249" s="793" t="s">
        <v>4156</v>
      </c>
      <c r="H6249" s="794">
        <v>14476927</v>
      </c>
      <c r="I6249" s="795" t="s">
        <v>4165</v>
      </c>
      <c r="J6249" s="796"/>
      <c r="K6249" s="248"/>
      <c r="M6249" s="366"/>
    </row>
    <row r="6250" spans="1:13" x14ac:dyDescent="0.25">
      <c r="A6250" s="787">
        <v>46009</v>
      </c>
      <c r="B6250" s="788">
        <v>1282370</v>
      </c>
      <c r="C6250" s="789" t="str">
        <f>IFERROR(INDEX(Table14[],MATCH($B6250,Table14[SAPNo],0),3),"")</f>
        <v>1613 CT436Mv3 U-60</v>
      </c>
      <c r="D6250" s="790" t="s">
        <v>12</v>
      </c>
      <c r="E6250" s="791">
        <v>6</v>
      </c>
      <c r="F6250" s="792"/>
      <c r="G6250" s="793" t="s">
        <v>4156</v>
      </c>
      <c r="H6250" s="794">
        <v>14476927</v>
      </c>
      <c r="I6250" s="795" t="s">
        <v>4165</v>
      </c>
      <c r="J6250" s="796"/>
      <c r="K6250" s="248"/>
      <c r="M6250" s="366"/>
    </row>
    <row r="6251" spans="1:13" x14ac:dyDescent="0.25">
      <c r="A6251" s="787">
        <v>46009</v>
      </c>
      <c r="B6251" s="788">
        <v>2022731</v>
      </c>
      <c r="C6251" s="789" t="str">
        <f>IFERROR(INDEX(Table14[],MATCH($B6251,Table14[SAPNo],0),3),"")</f>
        <v>1613 CT179R U-60</v>
      </c>
      <c r="D6251" s="790" t="s">
        <v>12</v>
      </c>
      <c r="E6251" s="791">
        <v>6</v>
      </c>
      <c r="F6251" s="792"/>
      <c r="G6251" s="793" t="s">
        <v>4156</v>
      </c>
      <c r="H6251" s="794">
        <v>14476927</v>
      </c>
      <c r="I6251" s="795" t="s">
        <v>4165</v>
      </c>
      <c r="J6251" s="796"/>
      <c r="K6251" s="248"/>
      <c r="M6251" s="366"/>
    </row>
    <row r="6252" spans="1:13" x14ac:dyDescent="0.25">
      <c r="A6252" s="787">
        <v>46009</v>
      </c>
      <c r="B6252" s="788">
        <v>717748</v>
      </c>
      <c r="C6252" s="789" t="str">
        <f>IFERROR(INDEX(Table14[],MATCH($B6252,Table14[SAPNo],0),3),"")</f>
        <v>Round 1010 CT200  0.018" (B)</v>
      </c>
      <c r="D6252" s="790" t="s">
        <v>12</v>
      </c>
      <c r="E6252" s="791">
        <v>5</v>
      </c>
      <c r="F6252" s="792"/>
      <c r="G6252" s="793" t="s">
        <v>4157</v>
      </c>
      <c r="H6252" s="794" t="s">
        <v>4166</v>
      </c>
      <c r="I6252" s="795" t="s">
        <v>1069</v>
      </c>
      <c r="J6252" s="796"/>
      <c r="K6252" s="248"/>
      <c r="M6252" s="366"/>
    </row>
    <row r="6253" spans="1:13" x14ac:dyDescent="0.25">
      <c r="A6253" s="787">
        <v>46009</v>
      </c>
      <c r="B6253" s="788">
        <v>717748</v>
      </c>
      <c r="C6253" s="789" t="str">
        <f>IFERROR(INDEX(Table14[],MATCH($B6253,Table14[SAPNo],0),3),"")</f>
        <v>Round 1010 CT200  0.018" (B)</v>
      </c>
      <c r="D6253" s="790" t="s">
        <v>12</v>
      </c>
      <c r="E6253" s="791">
        <v>2</v>
      </c>
      <c r="F6253" s="792"/>
      <c r="G6253" s="793">
        <v>20251168</v>
      </c>
      <c r="H6253" s="794" t="s">
        <v>4167</v>
      </c>
      <c r="I6253" s="795" t="s">
        <v>2362</v>
      </c>
      <c r="J6253" s="796"/>
      <c r="K6253" s="248"/>
      <c r="M6253" s="366"/>
    </row>
    <row r="6254" spans="1:13" x14ac:dyDescent="0.25">
      <c r="A6254" s="787">
        <v>46009</v>
      </c>
      <c r="B6254" s="788">
        <v>717748</v>
      </c>
      <c r="C6254" s="789" t="str">
        <f>IFERROR(INDEX(Table14[],MATCH($B6254,Table14[SAPNo],0),3),"")</f>
        <v>Round 1010 CT200  0.018" (B)</v>
      </c>
      <c r="D6254" s="790" t="s">
        <v>12</v>
      </c>
      <c r="E6254" s="791">
        <v>3</v>
      </c>
      <c r="F6254" s="792"/>
      <c r="G6254" s="793">
        <v>20251178</v>
      </c>
      <c r="H6254" s="794" t="s">
        <v>4168</v>
      </c>
      <c r="I6254" s="795" t="s">
        <v>1069</v>
      </c>
      <c r="J6254" s="796"/>
      <c r="K6254" s="248"/>
      <c r="M6254" s="366"/>
    </row>
    <row r="6255" spans="1:13" x14ac:dyDescent="0.25">
      <c r="A6255" s="787">
        <v>46009</v>
      </c>
      <c r="B6255" s="788">
        <v>1146346</v>
      </c>
      <c r="C6255" s="789" t="str">
        <f>IFERROR(INDEX(Table14[],MATCH($B6255,Table14[SAPNo],0),3),"")</f>
        <v>1313 CT418 18-60</v>
      </c>
      <c r="D6255" s="790" t="s">
        <v>12</v>
      </c>
      <c r="E6255" s="791">
        <v>2</v>
      </c>
      <c r="F6255" s="792"/>
      <c r="G6255" s="793">
        <v>20251171</v>
      </c>
      <c r="H6255" s="794" t="s">
        <v>4169</v>
      </c>
      <c r="I6255" s="795" t="s">
        <v>2590</v>
      </c>
      <c r="J6255" s="796"/>
      <c r="K6255" s="248"/>
      <c r="M6255" s="366"/>
    </row>
    <row r="6256" spans="1:13" x14ac:dyDescent="0.25">
      <c r="A6256" s="787">
        <v>46012</v>
      </c>
      <c r="B6256" s="788">
        <v>2002299</v>
      </c>
      <c r="C6256" s="789" t="str">
        <f>IFERROR(INDEX(Table14[],MATCH($B6256,Table14[SAPNo],0),3),"")</f>
        <v>1613 CT187 U-60</v>
      </c>
      <c r="D6256" s="790" t="s">
        <v>12</v>
      </c>
      <c r="E6256" s="791">
        <v>21</v>
      </c>
      <c r="F6256" s="792"/>
      <c r="G6256" s="793" t="s">
        <v>4158</v>
      </c>
      <c r="H6256" s="794">
        <v>14442326</v>
      </c>
      <c r="I6256" s="795" t="s">
        <v>4170</v>
      </c>
      <c r="J6256" s="796"/>
      <c r="K6256" s="248"/>
      <c r="M6256" s="366"/>
    </row>
    <row r="6257" spans="1:13" x14ac:dyDescent="0.25">
      <c r="A6257" s="787">
        <v>46012</v>
      </c>
      <c r="B6257" s="788">
        <v>871781</v>
      </c>
      <c r="C6257" s="789" t="str">
        <f>IFERROR(INDEX(Table14[],MATCH($B6257,Table14[SAPNo],0),3),"")</f>
        <v>Round 1313 CT200  0.018" (B)</v>
      </c>
      <c r="D6257" s="790" t="s">
        <v>12</v>
      </c>
      <c r="E6257" s="791">
        <v>6</v>
      </c>
      <c r="F6257" s="792"/>
      <c r="G6257" s="793" t="s">
        <v>4158</v>
      </c>
      <c r="H6257" s="794">
        <v>14442326</v>
      </c>
      <c r="I6257" s="795" t="s">
        <v>4170</v>
      </c>
      <c r="J6257" s="796"/>
      <c r="K6257" s="248"/>
      <c r="M6257" s="366"/>
    </row>
    <row r="6258" spans="1:13" x14ac:dyDescent="0.25">
      <c r="A6258" s="787">
        <v>46012</v>
      </c>
      <c r="B6258" s="788">
        <v>1126402</v>
      </c>
      <c r="C6258" s="789" t="str">
        <f>IFERROR(INDEX(Table14[],MATCH($B6258,Table14[SAPNo],0),3),"")</f>
        <v>1613 CT421 16-60</v>
      </c>
      <c r="D6258" s="790" t="s">
        <v>12</v>
      </c>
      <c r="E6258" s="791">
        <v>12</v>
      </c>
      <c r="F6258" s="792"/>
      <c r="G6258" s="793" t="s">
        <v>4158</v>
      </c>
      <c r="H6258" s="794">
        <v>14442326</v>
      </c>
      <c r="I6258" s="795" t="s">
        <v>4170</v>
      </c>
      <c r="J6258" s="796"/>
      <c r="K6258" s="248"/>
      <c r="M6258" s="366"/>
    </row>
    <row r="6259" spans="1:13" x14ac:dyDescent="0.25">
      <c r="A6259" s="787">
        <v>46012</v>
      </c>
      <c r="B6259" s="788">
        <v>647435</v>
      </c>
      <c r="C6259" s="789" t="str">
        <f>IFERROR(INDEX(Table14[],MATCH($B6259,Table14[SAPNo],0),3),"")</f>
        <v>Round 1608 CT200  0.018" (B)</v>
      </c>
      <c r="D6259" s="790" t="s">
        <v>12</v>
      </c>
      <c r="E6259" s="791">
        <v>17</v>
      </c>
      <c r="F6259" s="792"/>
      <c r="G6259" s="793" t="s">
        <v>4158</v>
      </c>
      <c r="H6259" s="794">
        <v>14442326</v>
      </c>
      <c r="I6259" s="795" t="s">
        <v>4170</v>
      </c>
      <c r="J6259" s="796"/>
      <c r="K6259" s="248"/>
      <c r="M6259" s="366"/>
    </row>
    <row r="6260" spans="1:13" x14ac:dyDescent="0.25">
      <c r="A6260" s="787">
        <v>46012</v>
      </c>
      <c r="B6260" s="788">
        <v>1039057</v>
      </c>
      <c r="C6260" s="789" t="str">
        <f>IFERROR(INDEX(Table14[],MATCH($B6260,Table14[SAPNo],0),3),"")</f>
        <v>Round 1608 CT 138  10C (S)</v>
      </c>
      <c r="D6260" s="790" t="s">
        <v>12</v>
      </c>
      <c r="E6260" s="791">
        <v>6</v>
      </c>
      <c r="F6260" s="792"/>
      <c r="G6260" s="793" t="s">
        <v>4158</v>
      </c>
      <c r="H6260" s="794">
        <v>14442326</v>
      </c>
      <c r="I6260" s="795" t="s">
        <v>4170</v>
      </c>
      <c r="J6260" s="796"/>
      <c r="K6260" s="248"/>
      <c r="M6260" s="366"/>
    </row>
    <row r="6261" spans="1:13" x14ac:dyDescent="0.25">
      <c r="A6261" s="797">
        <v>46012</v>
      </c>
      <c r="B6261" s="798">
        <v>717748</v>
      </c>
      <c r="C6261" s="789" t="str">
        <f>IFERROR(INDEX(Table14[],MATCH($B6261,Table14[SAPNo],0),3),"")</f>
        <v>Round 1010 CT200  0.018" (B)</v>
      </c>
      <c r="D6261" s="790" t="s">
        <v>12</v>
      </c>
      <c r="E6261" s="791">
        <v>1</v>
      </c>
      <c r="F6261" s="792"/>
      <c r="G6261" s="790">
        <v>20251168</v>
      </c>
      <c r="H6261" s="799" t="s">
        <v>4167</v>
      </c>
      <c r="I6261" s="795" t="s">
        <v>2362</v>
      </c>
      <c r="J6261" s="791"/>
      <c r="K6261" s="422"/>
      <c r="M6261" s="366"/>
    </row>
    <row r="6262" spans="1:13" x14ac:dyDescent="0.25">
      <c r="A6262" s="820">
        <v>46014</v>
      </c>
      <c r="B6262" s="821">
        <v>1282370</v>
      </c>
      <c r="C6262" s="816" t="str">
        <f>IFERROR(INDEX(Table14[],MATCH($B6262,Table14[SAPNo],0),3),"")</f>
        <v>1613 CT436Mv3 U-60</v>
      </c>
      <c r="D6262" s="790" t="s">
        <v>12</v>
      </c>
      <c r="E6262" s="818">
        <v>2</v>
      </c>
      <c r="F6262" s="818"/>
      <c r="G6262" s="817" t="s">
        <v>4510</v>
      </c>
      <c r="H6262" s="822" t="s">
        <v>4522</v>
      </c>
      <c r="I6262" s="819" t="s">
        <v>3330</v>
      </c>
      <c r="J6262" s="818"/>
      <c r="K6262" s="422"/>
      <c r="M6262" s="422"/>
    </row>
    <row r="6263" spans="1:13" x14ac:dyDescent="0.25">
      <c r="A6263" s="820">
        <v>46014</v>
      </c>
      <c r="B6263" s="821">
        <v>2001060</v>
      </c>
      <c r="C6263" s="816" t="str">
        <f>IFERROR(INDEX(Table14[],MATCH($B6263,Table14[SAPNo],0),3),"")</f>
        <v>1613 CT179T U-60</v>
      </c>
      <c r="D6263" s="790" t="s">
        <v>12</v>
      </c>
      <c r="E6263" s="818">
        <v>1</v>
      </c>
      <c r="F6263" s="818"/>
      <c r="G6263" s="817" t="s">
        <v>4510</v>
      </c>
      <c r="H6263" s="822" t="s">
        <v>4522</v>
      </c>
      <c r="I6263" s="819" t="s">
        <v>3330</v>
      </c>
      <c r="J6263" s="818"/>
      <c r="K6263" s="422"/>
      <c r="M6263" s="422"/>
    </row>
    <row r="6264" spans="1:13" x14ac:dyDescent="0.25">
      <c r="A6264" s="820">
        <v>46014</v>
      </c>
      <c r="B6264" s="821">
        <v>871781</v>
      </c>
      <c r="C6264" s="816" t="str">
        <f>IFERROR(INDEX(Table14[],MATCH($B6264,Table14[SAPNo],0),3),"")</f>
        <v>Round 1313 CT200  0.018" (B)</v>
      </c>
      <c r="D6264" s="790" t="s">
        <v>12</v>
      </c>
      <c r="E6264" s="818">
        <v>1</v>
      </c>
      <c r="F6264" s="818"/>
      <c r="G6264" s="817" t="s">
        <v>4510</v>
      </c>
      <c r="H6264" s="822" t="s">
        <v>4522</v>
      </c>
      <c r="I6264" s="819" t="s">
        <v>3330</v>
      </c>
      <c r="J6264" s="818"/>
      <c r="K6264" s="422"/>
      <c r="M6264" s="422"/>
    </row>
    <row r="6265" spans="1:13" x14ac:dyDescent="0.25">
      <c r="A6265" s="820">
        <v>46014</v>
      </c>
      <c r="B6265" s="821">
        <v>1146737</v>
      </c>
      <c r="C6265" s="816" t="str">
        <f>IFERROR(INDEX(Table14[],MATCH($B6265,Table14[SAPNo],0),3),"")</f>
        <v>1613 CT418 18-60</v>
      </c>
      <c r="D6265" s="790" t="s">
        <v>10</v>
      </c>
      <c r="E6265" s="818">
        <v>6</v>
      </c>
      <c r="F6265" s="818"/>
      <c r="G6265" s="817" t="s">
        <v>4510</v>
      </c>
      <c r="H6265" s="822" t="s">
        <v>4522</v>
      </c>
      <c r="I6265" s="819" t="s">
        <v>3330</v>
      </c>
      <c r="J6265" s="818"/>
      <c r="K6265" s="422"/>
      <c r="M6265" s="422"/>
    </row>
    <row r="6266" spans="1:13" x14ac:dyDescent="0.25">
      <c r="A6266" s="820">
        <v>46014</v>
      </c>
      <c r="B6266" s="821">
        <v>647435</v>
      </c>
      <c r="C6266" s="816" t="str">
        <f>IFERROR(INDEX(Table14[],MATCH($B6266,Table14[SAPNo],0),3),"")</f>
        <v>Round 1608 CT200  0.018" (B)</v>
      </c>
      <c r="D6266" s="790" t="s">
        <v>12</v>
      </c>
      <c r="E6266" s="818">
        <v>6</v>
      </c>
      <c r="F6266" s="818"/>
      <c r="G6266" s="817" t="s">
        <v>4510</v>
      </c>
      <c r="H6266" s="822" t="s">
        <v>4522</v>
      </c>
      <c r="I6266" s="819" t="s">
        <v>3330</v>
      </c>
      <c r="J6266" s="818"/>
      <c r="K6266" s="422"/>
      <c r="M6266" s="422"/>
    </row>
    <row r="6267" spans="1:13" x14ac:dyDescent="0.25">
      <c r="A6267" s="820">
        <v>46014</v>
      </c>
      <c r="B6267" s="821">
        <v>1100696</v>
      </c>
      <c r="C6267" s="816" t="str">
        <f>IFERROR(INDEX(Table14[],MATCH($B6267,Table14[SAPNo],0),3),"")</f>
        <v>Round 1313 CT418  10C (S)</v>
      </c>
      <c r="D6267" s="790" t="s">
        <v>11</v>
      </c>
      <c r="E6267" s="818">
        <v>7</v>
      </c>
      <c r="F6267" s="818"/>
      <c r="G6267" s="817">
        <v>20251148</v>
      </c>
      <c r="H6267" s="822">
        <v>14136228</v>
      </c>
      <c r="I6267" s="819" t="s">
        <v>2124</v>
      </c>
      <c r="J6267" s="818"/>
      <c r="K6267" s="422"/>
      <c r="M6267" s="422"/>
    </row>
    <row r="6268" spans="1:13" x14ac:dyDescent="0.25">
      <c r="A6268" s="820">
        <v>46014</v>
      </c>
      <c r="B6268" s="821">
        <v>1100696</v>
      </c>
      <c r="C6268" s="816" t="str">
        <f>IFERROR(INDEX(Table14[],MATCH($B6268,Table14[SAPNo],0),3),"")</f>
        <v>Round 1313 CT418  10C (S)</v>
      </c>
      <c r="D6268" s="790" t="s">
        <v>11</v>
      </c>
      <c r="E6268" s="818">
        <v>6</v>
      </c>
      <c r="F6268" s="818"/>
      <c r="G6268" s="817">
        <v>20251152</v>
      </c>
      <c r="H6268" s="822" t="s">
        <v>4523</v>
      </c>
      <c r="I6268" s="819" t="s">
        <v>2124</v>
      </c>
      <c r="J6268" s="818"/>
      <c r="K6268" s="422"/>
      <c r="M6268" s="422"/>
    </row>
    <row r="6269" spans="1:13" x14ac:dyDescent="0.25">
      <c r="A6269" s="820">
        <v>46014</v>
      </c>
      <c r="B6269" s="821">
        <v>1271790</v>
      </c>
      <c r="C6269" s="816" t="str">
        <f>IFERROR(INDEX(Table14[],MATCH($B6269,Table14[SAPNo],0),3),"")</f>
        <v xml:space="preserve">1613 CT170 18-60 </v>
      </c>
      <c r="D6269" s="790" t="s">
        <v>10</v>
      </c>
      <c r="E6269" s="818">
        <v>1</v>
      </c>
      <c r="F6269" s="818"/>
      <c r="G6269" s="817" t="s">
        <v>4511</v>
      </c>
      <c r="H6269" s="822" t="s">
        <v>4524</v>
      </c>
      <c r="I6269" s="819" t="s">
        <v>2311</v>
      </c>
      <c r="J6269" s="818"/>
      <c r="K6269" s="422"/>
      <c r="M6269" s="422"/>
    </row>
    <row r="6270" spans="1:13" x14ac:dyDescent="0.25">
      <c r="A6270" s="820">
        <v>46014</v>
      </c>
      <c r="B6270" s="821">
        <v>1146737</v>
      </c>
      <c r="C6270" s="816" t="str">
        <f>IFERROR(INDEX(Table14[],MATCH($B6270,Table14[SAPNo],0),3),"")</f>
        <v>1613 CT418 18-60</v>
      </c>
      <c r="D6270" s="790" t="s">
        <v>10</v>
      </c>
      <c r="E6270" s="818">
        <v>5</v>
      </c>
      <c r="F6270" s="818"/>
      <c r="G6270" s="817" t="s">
        <v>4511</v>
      </c>
      <c r="H6270" s="822" t="s">
        <v>4524</v>
      </c>
      <c r="I6270" s="819" t="s">
        <v>2311</v>
      </c>
      <c r="J6270" s="818"/>
      <c r="K6270" s="422"/>
      <c r="M6270" s="422"/>
    </row>
    <row r="6271" spans="1:13" x14ac:dyDescent="0.25">
      <c r="A6271" s="820">
        <v>46014</v>
      </c>
      <c r="B6271" s="821">
        <v>418525</v>
      </c>
      <c r="C6271" s="816" t="str">
        <f>IFERROR(INDEX(Table14[],MATCH($B6271,Table14[SAPNo],0),3),"")</f>
        <v>Drop In 1308 CT31   (B)</v>
      </c>
      <c r="D6271" s="790" t="s">
        <v>12</v>
      </c>
      <c r="E6271" s="818">
        <v>6</v>
      </c>
      <c r="F6271" s="818"/>
      <c r="G6271" s="817" t="s">
        <v>4511</v>
      </c>
      <c r="H6271" s="822" t="s">
        <v>4524</v>
      </c>
      <c r="I6271" s="819" t="s">
        <v>2311</v>
      </c>
      <c r="J6271" s="818"/>
      <c r="K6271" s="422"/>
      <c r="M6271" s="422"/>
    </row>
    <row r="6272" spans="1:13" x14ac:dyDescent="0.25">
      <c r="A6272" s="820">
        <v>46015</v>
      </c>
      <c r="B6272" s="821">
        <v>2004484</v>
      </c>
      <c r="C6272" s="816" t="str">
        <f>IFERROR(INDEX(Table14[],MATCH($B6272,Table14[SAPNo],0),3),"")</f>
        <v>1308 CT187 U-60</v>
      </c>
      <c r="D6272" s="790" t="s">
        <v>12</v>
      </c>
      <c r="E6272" s="818">
        <v>22</v>
      </c>
      <c r="F6272" s="818"/>
      <c r="G6272" s="817" t="s">
        <v>4512</v>
      </c>
      <c r="H6272" s="822">
        <v>14478095</v>
      </c>
      <c r="I6272" s="819" t="s">
        <v>3285</v>
      </c>
      <c r="J6272" s="818"/>
      <c r="K6272" s="422"/>
      <c r="M6272" s="422"/>
    </row>
    <row r="6273" spans="1:13" x14ac:dyDescent="0.25">
      <c r="A6273" s="820">
        <v>46015</v>
      </c>
      <c r="B6273" s="821">
        <v>1228502</v>
      </c>
      <c r="C6273" s="816" t="str">
        <f>IFERROR(INDEX(Table14[],MATCH($B6273,Table14[SAPNo],0),3),"")</f>
        <v>1618 CT182 U-60 Rotor</v>
      </c>
      <c r="D6273" s="790" t="s">
        <v>12</v>
      </c>
      <c r="E6273" s="818">
        <v>14</v>
      </c>
      <c r="F6273" s="818"/>
      <c r="G6273" s="817" t="s">
        <v>4512</v>
      </c>
      <c r="H6273" s="822">
        <v>14478095</v>
      </c>
      <c r="I6273" s="819" t="s">
        <v>3285</v>
      </c>
      <c r="J6273" s="818"/>
      <c r="K6273" s="422"/>
      <c r="M6273" s="422"/>
    </row>
    <row r="6274" spans="1:13" x14ac:dyDescent="0.25">
      <c r="A6274" s="820">
        <v>46015</v>
      </c>
      <c r="B6274" s="821">
        <v>871781</v>
      </c>
      <c r="C6274" s="816" t="str">
        <f>IFERROR(INDEX(Table14[],MATCH($B6274,Table14[SAPNo],0),3),"")</f>
        <v>Round 1313 CT200  0.018" (B)</v>
      </c>
      <c r="D6274" s="790" t="s">
        <v>12</v>
      </c>
      <c r="E6274" s="818">
        <v>6</v>
      </c>
      <c r="F6274" s="818"/>
      <c r="G6274" s="817" t="s">
        <v>4512</v>
      </c>
      <c r="H6274" s="822">
        <v>14478095</v>
      </c>
      <c r="I6274" s="819" t="s">
        <v>3285</v>
      </c>
      <c r="J6274" s="818"/>
      <c r="K6274" s="422"/>
      <c r="M6274" s="422"/>
    </row>
    <row r="6275" spans="1:13" x14ac:dyDescent="0.25">
      <c r="A6275" s="820">
        <v>46015</v>
      </c>
      <c r="B6275" s="821">
        <v>1126402</v>
      </c>
      <c r="C6275" s="816" t="str">
        <f>IFERROR(INDEX(Table14[],MATCH($B6275,Table14[SAPNo],0),3),"")</f>
        <v>1613 CT421 16-60</v>
      </c>
      <c r="D6275" s="790" t="s">
        <v>12</v>
      </c>
      <c r="E6275" s="818">
        <v>7</v>
      </c>
      <c r="F6275" s="818"/>
      <c r="G6275" s="817" t="s">
        <v>4512</v>
      </c>
      <c r="H6275" s="822">
        <v>14478095</v>
      </c>
      <c r="I6275" s="819" t="s">
        <v>3285</v>
      </c>
      <c r="J6275" s="818"/>
      <c r="K6275" s="422"/>
      <c r="M6275" s="422"/>
    </row>
    <row r="6276" spans="1:13" x14ac:dyDescent="0.25">
      <c r="A6276" s="820">
        <v>46015</v>
      </c>
      <c r="B6276" s="821">
        <v>2002299</v>
      </c>
      <c r="C6276" s="816" t="str">
        <f>IFERROR(INDEX(Table14[],MATCH($B6276,Table14[SAPNo],0),3),"")</f>
        <v>1613 CT187 U-60</v>
      </c>
      <c r="D6276" s="790" t="s">
        <v>12</v>
      </c>
      <c r="E6276" s="818">
        <v>20</v>
      </c>
      <c r="F6276" s="818"/>
      <c r="G6276" s="817" t="s">
        <v>4512</v>
      </c>
      <c r="H6276" s="822">
        <v>14478095</v>
      </c>
      <c r="I6276" s="819" t="s">
        <v>3285</v>
      </c>
      <c r="J6276" s="818"/>
      <c r="K6276" s="422"/>
      <c r="M6276" s="422"/>
    </row>
    <row r="6277" spans="1:13" x14ac:dyDescent="0.25">
      <c r="A6277" s="820">
        <v>46015</v>
      </c>
      <c r="B6277" s="821">
        <v>1228501</v>
      </c>
      <c r="C6277" s="816" t="str">
        <f>IFERROR(INDEX(Table14[],MATCH($B6277,Table14[SAPNo],0),3),"")</f>
        <v>1618 CT182 U-60 stator</v>
      </c>
      <c r="D6277" s="790" t="s">
        <v>12</v>
      </c>
      <c r="E6277" s="818">
        <v>14</v>
      </c>
      <c r="F6277" s="818"/>
      <c r="G6277" s="817" t="s">
        <v>4512</v>
      </c>
      <c r="H6277" s="822">
        <v>14478095</v>
      </c>
      <c r="I6277" s="819" t="s">
        <v>3285</v>
      </c>
      <c r="J6277" s="818"/>
      <c r="K6277" s="422"/>
      <c r="M6277" s="422"/>
    </row>
    <row r="6278" spans="1:13" x14ac:dyDescent="0.25">
      <c r="A6278" s="820">
        <v>46015</v>
      </c>
      <c r="B6278" s="821">
        <v>1201518</v>
      </c>
      <c r="C6278" s="816" t="str">
        <f>IFERROR(INDEX(Table14[],MATCH($B6278,Table14[SAPNo],0),3),"")</f>
        <v>12MM WC­MAT404 NA</v>
      </c>
      <c r="D6278" s="790" t="s">
        <v>12</v>
      </c>
      <c r="E6278" s="818">
        <v>3</v>
      </c>
      <c r="F6278" s="818"/>
      <c r="G6278" s="817" t="s">
        <v>4512</v>
      </c>
      <c r="H6278" s="822">
        <v>14478095</v>
      </c>
      <c r="I6278" s="819" t="s">
        <v>3285</v>
      </c>
      <c r="J6278" s="818"/>
      <c r="K6278" s="422"/>
      <c r="M6278" s="422"/>
    </row>
    <row r="6279" spans="1:13" x14ac:dyDescent="0.25">
      <c r="A6279" s="820">
        <v>46015</v>
      </c>
      <c r="B6279" s="821">
        <v>1228503</v>
      </c>
      <c r="C6279" s="816" t="str">
        <f>IFERROR(INDEX(Table14[],MATCH($B6279,Table14[SAPNo],0),3),"")</f>
        <v>1618 CT182 U-60 Ring</v>
      </c>
      <c r="D6279" s="790" t="s">
        <v>12</v>
      </c>
      <c r="E6279" s="818">
        <v>14</v>
      </c>
      <c r="F6279" s="818"/>
      <c r="G6279" s="817" t="s">
        <v>4512</v>
      </c>
      <c r="H6279" s="822">
        <v>14478095</v>
      </c>
      <c r="I6279" s="819" t="s">
        <v>3285</v>
      </c>
      <c r="J6279" s="818"/>
      <c r="K6279" s="422"/>
      <c r="M6279" s="422"/>
    </row>
    <row r="6280" spans="1:13" x14ac:dyDescent="0.25">
      <c r="A6280" s="820">
        <v>46015</v>
      </c>
      <c r="B6280" s="821">
        <v>1220554</v>
      </c>
      <c r="C6280" s="816" t="str">
        <f>IFERROR(INDEX(Table14[],MATCH($B6280,Table14[SAPNo],0),3),"")</f>
        <v xml:space="preserve">1618 CT182 U-60 Carbide </v>
      </c>
      <c r="D6280" s="790" t="s">
        <v>12</v>
      </c>
      <c r="E6280" s="818">
        <v>14</v>
      </c>
      <c r="F6280" s="818"/>
      <c r="G6280" s="817" t="s">
        <v>4512</v>
      </c>
      <c r="H6280" s="822">
        <v>14478095</v>
      </c>
      <c r="I6280" s="819" t="s">
        <v>3285</v>
      </c>
      <c r="J6280" s="818"/>
      <c r="K6280" s="422"/>
      <c r="M6280" s="422"/>
    </row>
    <row r="6281" spans="1:13" x14ac:dyDescent="0.25">
      <c r="A6281" s="820">
        <v>46019</v>
      </c>
      <c r="B6281" s="821">
        <v>2004484</v>
      </c>
      <c r="C6281" s="816" t="str">
        <f>IFERROR(INDEX(Table14[],MATCH($B6281,Table14[SAPNo],0),3),"")</f>
        <v>1308 CT187 U-60</v>
      </c>
      <c r="D6281" s="790" t="s">
        <v>12</v>
      </c>
      <c r="E6281" s="818">
        <v>15</v>
      </c>
      <c r="F6281" s="818"/>
      <c r="G6281" s="817" t="s">
        <v>4513</v>
      </c>
      <c r="H6281" s="822">
        <v>14478091</v>
      </c>
      <c r="I6281" s="819" t="s">
        <v>4525</v>
      </c>
      <c r="J6281" s="818"/>
      <c r="K6281" s="422"/>
      <c r="M6281" s="422"/>
    </row>
    <row r="6282" spans="1:13" x14ac:dyDescent="0.25">
      <c r="A6282" s="820">
        <v>46019</v>
      </c>
      <c r="B6282" s="821">
        <v>2002186</v>
      </c>
      <c r="C6282" s="816" t="str">
        <f>IFERROR(INDEX(Table14[],MATCH($B6282,Table14[SAPNo],0),3),"")</f>
        <v>1313 CT187 U-60</v>
      </c>
      <c r="D6282" s="790" t="s">
        <v>12</v>
      </c>
      <c r="E6282" s="818">
        <v>15</v>
      </c>
      <c r="F6282" s="818"/>
      <c r="G6282" s="817" t="s">
        <v>4513</v>
      </c>
      <c r="H6282" s="822">
        <v>14478091</v>
      </c>
      <c r="I6282" s="819" t="s">
        <v>4525</v>
      </c>
      <c r="J6282" s="818"/>
      <c r="K6282" s="422"/>
      <c r="M6282" s="422"/>
    </row>
    <row r="6283" spans="1:13" x14ac:dyDescent="0.25">
      <c r="A6283" s="820">
        <v>46019</v>
      </c>
      <c r="B6283" s="821">
        <v>1228502</v>
      </c>
      <c r="C6283" s="816" t="str">
        <f>IFERROR(INDEX(Table14[],MATCH($B6283,Table14[SAPNo],0),3),"")</f>
        <v>1618 CT182 U-60 Rotor</v>
      </c>
      <c r="D6283" s="790" t="s">
        <v>12</v>
      </c>
      <c r="E6283" s="818">
        <v>10</v>
      </c>
      <c r="F6283" s="818"/>
      <c r="G6283" s="817" t="s">
        <v>4513</v>
      </c>
      <c r="H6283" s="822">
        <v>14478091</v>
      </c>
      <c r="I6283" s="819" t="s">
        <v>4525</v>
      </c>
      <c r="J6283" s="818"/>
      <c r="K6283" s="422"/>
      <c r="M6283" s="422"/>
    </row>
    <row r="6284" spans="1:13" x14ac:dyDescent="0.25">
      <c r="A6284" s="820">
        <v>46019</v>
      </c>
      <c r="B6284" s="821">
        <v>871781</v>
      </c>
      <c r="C6284" s="816" t="str">
        <f>IFERROR(INDEX(Table14[],MATCH($B6284,Table14[SAPNo],0),3),"")</f>
        <v>Round 1313 CT200  0.018" (B)</v>
      </c>
      <c r="D6284" s="790" t="s">
        <v>12</v>
      </c>
      <c r="E6284" s="818">
        <v>6</v>
      </c>
      <c r="F6284" s="818"/>
      <c r="G6284" s="817" t="s">
        <v>4513</v>
      </c>
      <c r="H6284" s="822">
        <v>14478091</v>
      </c>
      <c r="I6284" s="819" t="s">
        <v>4525</v>
      </c>
      <c r="J6284" s="818"/>
      <c r="K6284" s="422"/>
      <c r="M6284" s="422"/>
    </row>
    <row r="6285" spans="1:13" x14ac:dyDescent="0.25">
      <c r="A6285" s="820">
        <v>46019</v>
      </c>
      <c r="B6285" s="821">
        <v>2002299</v>
      </c>
      <c r="C6285" s="816" t="str">
        <f>IFERROR(INDEX(Table14[],MATCH($B6285,Table14[SAPNo],0),3),"")</f>
        <v>1613 CT187 U-60</v>
      </c>
      <c r="D6285" s="790" t="s">
        <v>12</v>
      </c>
      <c r="E6285" s="818">
        <v>4</v>
      </c>
      <c r="F6285" s="818"/>
      <c r="G6285" s="817" t="s">
        <v>4513</v>
      </c>
      <c r="H6285" s="822">
        <v>14478091</v>
      </c>
      <c r="I6285" s="819" t="s">
        <v>4525</v>
      </c>
      <c r="J6285" s="818"/>
      <c r="K6285" s="422"/>
      <c r="M6285" s="422"/>
    </row>
    <row r="6286" spans="1:13" x14ac:dyDescent="0.25">
      <c r="A6286" s="820">
        <v>46019</v>
      </c>
      <c r="B6286" s="821">
        <v>1228501</v>
      </c>
      <c r="C6286" s="816" t="str">
        <f>IFERROR(INDEX(Table14[],MATCH($B6286,Table14[SAPNo],0),3),"")</f>
        <v>1618 CT182 U-60 stator</v>
      </c>
      <c r="D6286" s="790" t="s">
        <v>12</v>
      </c>
      <c r="E6286" s="818">
        <v>10</v>
      </c>
      <c r="F6286" s="818"/>
      <c r="G6286" s="817" t="s">
        <v>4513</v>
      </c>
      <c r="H6286" s="822">
        <v>14478091</v>
      </c>
      <c r="I6286" s="819" t="s">
        <v>4525</v>
      </c>
      <c r="J6286" s="818"/>
      <c r="K6286" s="422"/>
      <c r="M6286" s="422"/>
    </row>
    <row r="6287" spans="1:13" x14ac:dyDescent="0.25">
      <c r="A6287" s="820">
        <v>46019</v>
      </c>
      <c r="B6287" s="821">
        <v>2004484</v>
      </c>
      <c r="C6287" s="816" t="str">
        <f>IFERROR(INDEX(Table14[],MATCH($B6287,Table14[SAPNo],0),3),"")</f>
        <v>1308 CT187 U-60</v>
      </c>
      <c r="D6287" s="790" t="s">
        <v>12</v>
      </c>
      <c r="E6287" s="818">
        <v>15</v>
      </c>
      <c r="F6287" s="818"/>
      <c r="G6287" s="817" t="s">
        <v>4514</v>
      </c>
      <c r="H6287" s="822">
        <v>14478090</v>
      </c>
      <c r="I6287" s="819" t="s">
        <v>4525</v>
      </c>
      <c r="J6287" s="818"/>
      <c r="K6287" s="422"/>
      <c r="M6287" s="422"/>
    </row>
    <row r="6288" spans="1:13" x14ac:dyDescent="0.25">
      <c r="A6288" s="820">
        <v>46019</v>
      </c>
      <c r="B6288" s="821">
        <v>2002186</v>
      </c>
      <c r="C6288" s="816" t="str">
        <f>IFERROR(INDEX(Table14[],MATCH($B6288,Table14[SAPNo],0),3),"")</f>
        <v>1313 CT187 U-60</v>
      </c>
      <c r="D6288" s="790" t="s">
        <v>12</v>
      </c>
      <c r="E6288" s="818">
        <v>15</v>
      </c>
      <c r="F6288" s="818"/>
      <c r="G6288" s="817" t="s">
        <v>4514</v>
      </c>
      <c r="H6288" s="822">
        <v>14478090</v>
      </c>
      <c r="I6288" s="819" t="s">
        <v>4525</v>
      </c>
      <c r="J6288" s="818"/>
      <c r="K6288" s="422"/>
      <c r="M6288" s="422"/>
    </row>
    <row r="6289" spans="1:13" x14ac:dyDescent="0.25">
      <c r="A6289" s="820">
        <v>46019</v>
      </c>
      <c r="B6289" s="821">
        <v>1228502</v>
      </c>
      <c r="C6289" s="816" t="str">
        <f>IFERROR(INDEX(Table14[],MATCH($B6289,Table14[SAPNo],0),3),"")</f>
        <v>1618 CT182 U-60 Rotor</v>
      </c>
      <c r="D6289" s="790" t="s">
        <v>12</v>
      </c>
      <c r="E6289" s="818">
        <v>10</v>
      </c>
      <c r="F6289" s="818"/>
      <c r="G6289" s="817" t="s">
        <v>4514</v>
      </c>
      <c r="H6289" s="822">
        <v>14478090</v>
      </c>
      <c r="I6289" s="819" t="s">
        <v>4525</v>
      </c>
      <c r="J6289" s="818"/>
      <c r="K6289" s="422"/>
      <c r="M6289" s="422"/>
    </row>
    <row r="6290" spans="1:13" x14ac:dyDescent="0.25">
      <c r="A6290" s="820">
        <v>46019</v>
      </c>
      <c r="B6290" s="821">
        <v>871781</v>
      </c>
      <c r="C6290" s="816" t="str">
        <f>IFERROR(INDEX(Table14[],MATCH($B6290,Table14[SAPNo],0),3),"")</f>
        <v>Round 1313 CT200  0.018" (B)</v>
      </c>
      <c r="D6290" s="790" t="s">
        <v>12</v>
      </c>
      <c r="E6290" s="818">
        <v>6</v>
      </c>
      <c r="F6290" s="818"/>
      <c r="G6290" s="817" t="s">
        <v>4514</v>
      </c>
      <c r="H6290" s="822">
        <v>14478090</v>
      </c>
      <c r="I6290" s="819" t="s">
        <v>4525</v>
      </c>
      <c r="J6290" s="818"/>
      <c r="K6290" s="422"/>
      <c r="M6290" s="422"/>
    </row>
    <row r="6291" spans="1:13" x14ac:dyDescent="0.25">
      <c r="A6291" s="820">
        <v>46019</v>
      </c>
      <c r="B6291" s="821">
        <v>2002299</v>
      </c>
      <c r="C6291" s="816" t="str">
        <f>IFERROR(INDEX(Table14[],MATCH($B6291,Table14[SAPNo],0),3),"")</f>
        <v>1613 CT187 U-60</v>
      </c>
      <c r="D6291" s="790" t="s">
        <v>12</v>
      </c>
      <c r="E6291" s="818">
        <v>4</v>
      </c>
      <c r="F6291" s="818"/>
      <c r="G6291" s="817" t="s">
        <v>4514</v>
      </c>
      <c r="H6291" s="822">
        <v>14478090</v>
      </c>
      <c r="I6291" s="819" t="s">
        <v>4525</v>
      </c>
      <c r="J6291" s="818"/>
      <c r="K6291" s="422"/>
      <c r="M6291" s="422"/>
    </row>
    <row r="6292" spans="1:13" x14ac:dyDescent="0.25">
      <c r="A6292" s="820">
        <v>46019</v>
      </c>
      <c r="B6292" s="821">
        <v>1228501</v>
      </c>
      <c r="C6292" s="816" t="str">
        <f>IFERROR(INDEX(Table14[],MATCH($B6292,Table14[SAPNo],0),3),"")</f>
        <v>1618 CT182 U-60 stator</v>
      </c>
      <c r="D6292" s="790" t="s">
        <v>12</v>
      </c>
      <c r="E6292" s="818">
        <v>10</v>
      </c>
      <c r="F6292" s="818"/>
      <c r="G6292" s="817" t="s">
        <v>4514</v>
      </c>
      <c r="H6292" s="822">
        <v>14478090</v>
      </c>
      <c r="I6292" s="819" t="s">
        <v>4525</v>
      </c>
      <c r="J6292" s="818"/>
      <c r="K6292" s="422"/>
      <c r="M6292" s="422"/>
    </row>
    <row r="6293" spans="1:13" x14ac:dyDescent="0.25">
      <c r="A6293" s="820">
        <v>46020</v>
      </c>
      <c r="B6293" s="821">
        <v>1296685</v>
      </c>
      <c r="C6293" s="816" t="str">
        <f>IFERROR(INDEX(Table14[],MATCH($B6293,Table14[SAPNo],0),3),"")</f>
        <v>1613 CT179R U</v>
      </c>
      <c r="D6293" s="790" t="s">
        <v>12</v>
      </c>
      <c r="E6293" s="818">
        <v>37</v>
      </c>
      <c r="F6293" s="818"/>
      <c r="G6293" s="817" t="s">
        <v>4515</v>
      </c>
      <c r="H6293" s="822">
        <v>14478096</v>
      </c>
      <c r="I6293" s="819" t="s">
        <v>4526</v>
      </c>
      <c r="J6293" s="818"/>
      <c r="K6293" s="422"/>
      <c r="M6293" s="422"/>
    </row>
    <row r="6294" spans="1:13" x14ac:dyDescent="0.25">
      <c r="A6294" s="820">
        <v>46020</v>
      </c>
      <c r="B6294" s="821">
        <v>647436</v>
      </c>
      <c r="C6294" s="816" t="str">
        <f>IFERROR(INDEX(Table14[],MATCH($B6294,Table14[SAPNo],0),3),"")</f>
        <v>Round 1613 CT200  0.018" (B)</v>
      </c>
      <c r="D6294" s="790" t="s">
        <v>12</v>
      </c>
      <c r="E6294" s="818">
        <v>33</v>
      </c>
      <c r="F6294" s="818"/>
      <c r="G6294" s="817" t="s">
        <v>4515</v>
      </c>
      <c r="H6294" s="822">
        <v>14478096</v>
      </c>
      <c r="I6294" s="819" t="s">
        <v>4526</v>
      </c>
      <c r="J6294" s="818"/>
      <c r="K6294" s="422"/>
      <c r="M6294" s="422"/>
    </row>
    <row r="6295" spans="1:13" x14ac:dyDescent="0.25">
      <c r="A6295" s="820">
        <v>46020</v>
      </c>
      <c r="B6295" s="821">
        <v>625854</v>
      </c>
      <c r="C6295" s="816" t="str">
        <f>IFERROR(INDEX(Table14[],MATCH($B6295,Table14[SAPNo],0),3),"")</f>
        <v>Carbide IA 1318    (C)</v>
      </c>
      <c r="D6295" s="790" t="s">
        <v>12</v>
      </c>
      <c r="E6295" s="818">
        <v>19</v>
      </c>
      <c r="F6295" s="818"/>
      <c r="G6295" s="817" t="s">
        <v>4515</v>
      </c>
      <c r="H6295" s="822">
        <v>14478096</v>
      </c>
      <c r="I6295" s="819" t="s">
        <v>4526</v>
      </c>
      <c r="J6295" s="818"/>
      <c r="K6295" s="422"/>
      <c r="M6295" s="422"/>
    </row>
    <row r="6296" spans="1:13" x14ac:dyDescent="0.25">
      <c r="A6296" s="820">
        <v>46020</v>
      </c>
      <c r="B6296" s="821">
        <v>1288783</v>
      </c>
      <c r="C6296" s="816" t="str">
        <f>IFERROR(INDEX(Table14[],MATCH($B6296,Table14[SAPNo],0),3),"")</f>
        <v>1613 CT179 18-60</v>
      </c>
      <c r="D6296" s="790" t="s">
        <v>12</v>
      </c>
      <c r="E6296" s="818">
        <v>15</v>
      </c>
      <c r="F6296" s="818"/>
      <c r="G6296" s="817" t="s">
        <v>4515</v>
      </c>
      <c r="H6296" s="822">
        <v>14478096</v>
      </c>
      <c r="I6296" s="819" t="s">
        <v>4526</v>
      </c>
      <c r="J6296" s="818"/>
      <c r="K6296" s="422"/>
      <c r="M6296" s="422"/>
    </row>
    <row r="6297" spans="1:13" x14ac:dyDescent="0.25">
      <c r="A6297" s="820">
        <v>46020</v>
      </c>
      <c r="B6297" s="821">
        <v>1146738</v>
      </c>
      <c r="C6297" s="816" t="str">
        <f>IFERROR(INDEX(Table14[],MATCH($B6297,Table14[SAPNo],0),3),"")</f>
        <v>1913 CT418 18-60</v>
      </c>
      <c r="D6297" s="790" t="s">
        <v>12</v>
      </c>
      <c r="E6297" s="818">
        <v>13</v>
      </c>
      <c r="F6297" s="818"/>
      <c r="G6297" s="817" t="s">
        <v>4515</v>
      </c>
      <c r="H6297" s="822">
        <v>14478096</v>
      </c>
      <c r="I6297" s="819" t="s">
        <v>4526</v>
      </c>
      <c r="J6297" s="818"/>
      <c r="K6297" s="422"/>
      <c r="M6297" s="422"/>
    </row>
    <row r="6298" spans="1:13" x14ac:dyDescent="0.25">
      <c r="A6298" s="820">
        <v>46020</v>
      </c>
      <c r="B6298" s="821">
        <v>1146737</v>
      </c>
      <c r="C6298" s="816" t="str">
        <f>IFERROR(INDEX(Table14[],MATCH($B6298,Table14[SAPNo],0),3),"")</f>
        <v>1613 CT418 18-60</v>
      </c>
      <c r="D6298" s="790" t="s">
        <v>12</v>
      </c>
      <c r="E6298" s="818">
        <v>11</v>
      </c>
      <c r="F6298" s="818"/>
      <c r="G6298" s="817" t="s">
        <v>4515</v>
      </c>
      <c r="H6298" s="822">
        <v>14478096</v>
      </c>
      <c r="I6298" s="819" t="s">
        <v>4526</v>
      </c>
      <c r="J6298" s="818"/>
      <c r="K6298" s="422"/>
      <c r="M6298" s="422"/>
    </row>
    <row r="6299" spans="1:13" x14ac:dyDescent="0.25">
      <c r="A6299" s="820">
        <v>46020</v>
      </c>
      <c r="B6299" s="821">
        <v>871781</v>
      </c>
      <c r="C6299" s="816" t="str">
        <f>IFERROR(INDEX(Table14[],MATCH($B6299,Table14[SAPNo],0),3),"")</f>
        <v>Round 1313 CT200  0.018" (B)</v>
      </c>
      <c r="D6299" s="790" t="s">
        <v>12</v>
      </c>
      <c r="E6299" s="818">
        <v>7</v>
      </c>
      <c r="F6299" s="818"/>
      <c r="G6299" s="817" t="s">
        <v>4515</v>
      </c>
      <c r="H6299" s="822">
        <v>14478096</v>
      </c>
      <c r="I6299" s="819" t="s">
        <v>4526</v>
      </c>
      <c r="J6299" s="818"/>
      <c r="K6299" s="422"/>
      <c r="M6299" s="422"/>
    </row>
    <row r="6300" spans="1:13" x14ac:dyDescent="0.25">
      <c r="A6300" s="820">
        <v>46021</v>
      </c>
      <c r="B6300" s="821">
        <v>418525</v>
      </c>
      <c r="C6300" s="816" t="str">
        <f>IFERROR(INDEX(Table14[],MATCH($B6300,Table14[SAPNo],0),3),"")</f>
        <v>Drop In 1308 CT31   (B)</v>
      </c>
      <c r="D6300" s="790" t="s">
        <v>12</v>
      </c>
      <c r="E6300" s="818">
        <v>10</v>
      </c>
      <c r="F6300" s="818"/>
      <c r="G6300" s="817" t="s">
        <v>4516</v>
      </c>
      <c r="H6300" s="822">
        <v>13719614</v>
      </c>
      <c r="I6300" s="819" t="s">
        <v>4527</v>
      </c>
      <c r="J6300" s="818"/>
      <c r="K6300" s="422"/>
      <c r="M6300" s="422"/>
    </row>
    <row r="6301" spans="1:13" x14ac:dyDescent="0.25">
      <c r="A6301" s="820">
        <v>46021</v>
      </c>
      <c r="B6301" s="821">
        <v>1146346</v>
      </c>
      <c r="C6301" s="816" t="str">
        <f>IFERROR(INDEX(Table14[],MATCH($B6301,Table14[SAPNo],0),3),"")</f>
        <v>1313 CT418 18-60</v>
      </c>
      <c r="D6301" s="790" t="s">
        <v>12</v>
      </c>
      <c r="E6301" s="818">
        <v>6</v>
      </c>
      <c r="F6301" s="818"/>
      <c r="G6301" s="817" t="s">
        <v>4516</v>
      </c>
      <c r="H6301" s="822">
        <v>13719614</v>
      </c>
      <c r="I6301" s="819" t="s">
        <v>4527</v>
      </c>
      <c r="J6301" s="818"/>
      <c r="K6301" s="422"/>
      <c r="M6301" s="422"/>
    </row>
    <row r="6302" spans="1:13" x14ac:dyDescent="0.25">
      <c r="A6302" s="820">
        <v>46021</v>
      </c>
      <c r="B6302" s="821">
        <v>2002299</v>
      </c>
      <c r="C6302" s="816" t="str">
        <f>IFERROR(INDEX(Table14[],MATCH($B6302,Table14[SAPNo],0),3),"")</f>
        <v>1613 CT187 U-60</v>
      </c>
      <c r="D6302" s="790" t="s">
        <v>12</v>
      </c>
      <c r="E6302" s="818">
        <v>22</v>
      </c>
      <c r="F6302" s="818"/>
      <c r="G6302" s="817" t="s">
        <v>4517</v>
      </c>
      <c r="H6302" s="822">
        <v>14491277</v>
      </c>
      <c r="I6302" s="819"/>
      <c r="J6302" s="818"/>
      <c r="K6302" s="422"/>
      <c r="M6302" s="422"/>
    </row>
    <row r="6303" spans="1:13" x14ac:dyDescent="0.25">
      <c r="A6303" s="820">
        <v>46021</v>
      </c>
      <c r="B6303" s="821">
        <v>802064</v>
      </c>
      <c r="C6303" s="816" t="str">
        <f>IFERROR(INDEX(Table14[],MATCH($B6303,Table14[SAPNo],0),3),"")</f>
        <v>Round 1308 CT97  10C (P)</v>
      </c>
      <c r="D6303" s="790" t="s">
        <v>12</v>
      </c>
      <c r="E6303" s="818">
        <v>13</v>
      </c>
      <c r="F6303" s="818"/>
      <c r="G6303" s="817" t="s">
        <v>4517</v>
      </c>
      <c r="H6303" s="822">
        <v>14491277</v>
      </c>
      <c r="I6303" s="819"/>
      <c r="J6303" s="818"/>
      <c r="K6303" s="422"/>
      <c r="M6303" s="422"/>
    </row>
    <row r="6304" spans="1:13" x14ac:dyDescent="0.25">
      <c r="A6304" s="820">
        <v>46021</v>
      </c>
      <c r="B6304" s="821">
        <v>418525</v>
      </c>
      <c r="C6304" s="816" t="str">
        <f>IFERROR(INDEX(Table14[],MATCH($B6304,Table14[SAPNo],0),3),"")</f>
        <v>Drop In 1308 CT31   (B)</v>
      </c>
      <c r="D6304" s="790" t="s">
        <v>12</v>
      </c>
      <c r="E6304" s="818">
        <v>5</v>
      </c>
      <c r="F6304" s="818"/>
      <c r="G6304" s="817" t="s">
        <v>4517</v>
      </c>
      <c r="H6304" s="822">
        <v>14491277</v>
      </c>
      <c r="I6304" s="819"/>
      <c r="J6304" s="818"/>
      <c r="K6304" s="422"/>
      <c r="M6304" s="422"/>
    </row>
    <row r="6305" spans="1:13" x14ac:dyDescent="0.25">
      <c r="A6305" s="820">
        <v>46021</v>
      </c>
      <c r="B6305" s="821">
        <v>1126402</v>
      </c>
      <c r="C6305" s="816" t="str">
        <f>IFERROR(INDEX(Table14[],MATCH($B6305,Table14[SAPNo],0),3),"")</f>
        <v>1613 CT421 16-60</v>
      </c>
      <c r="D6305" s="790" t="s">
        <v>12</v>
      </c>
      <c r="E6305" s="818">
        <v>5</v>
      </c>
      <c r="F6305" s="818"/>
      <c r="G6305" s="817" t="s">
        <v>4517</v>
      </c>
      <c r="H6305" s="822">
        <v>14491277</v>
      </c>
      <c r="I6305" s="819"/>
      <c r="J6305" s="818"/>
      <c r="K6305" s="422"/>
      <c r="M6305" s="422"/>
    </row>
    <row r="6306" spans="1:13" x14ac:dyDescent="0.25">
      <c r="A6306" s="820">
        <v>46021</v>
      </c>
      <c r="B6306" s="821">
        <v>1220479</v>
      </c>
      <c r="C6306" s="816" t="str">
        <f>IFERROR(INDEX(Table14[],MATCH($B6306,Table14[SAPNo],0),3),"")</f>
        <v>1613 CT158H 0.018"</v>
      </c>
      <c r="D6306" s="790" t="s">
        <v>12</v>
      </c>
      <c r="E6306" s="818">
        <v>1</v>
      </c>
      <c r="F6306" s="818"/>
      <c r="G6306" s="817" t="s">
        <v>4517</v>
      </c>
      <c r="H6306" s="822">
        <v>14491277</v>
      </c>
      <c r="I6306" s="819"/>
      <c r="J6306" s="818"/>
      <c r="K6306" s="422"/>
      <c r="M6306" s="422"/>
    </row>
    <row r="6307" spans="1:13" x14ac:dyDescent="0.25">
      <c r="A6307" s="820">
        <v>46021</v>
      </c>
      <c r="B6307" s="821">
        <v>1130198</v>
      </c>
      <c r="C6307" s="816" t="str">
        <f>IFERROR(INDEX(Table14[],MATCH($B6307,Table14[SAPNo],0),3),"")</f>
        <v>Round 1613 CT182  0.018" (S)</v>
      </c>
      <c r="D6307" s="790" t="s">
        <v>8</v>
      </c>
      <c r="E6307" s="818">
        <v>17</v>
      </c>
      <c r="F6307" s="818"/>
      <c r="G6307" s="817" t="s">
        <v>4518</v>
      </c>
      <c r="H6307" s="822" t="s">
        <v>4528</v>
      </c>
      <c r="I6307" s="819" t="s">
        <v>2616</v>
      </c>
      <c r="J6307" s="818"/>
      <c r="K6307" s="422"/>
      <c r="M6307" s="422"/>
    </row>
    <row r="6308" spans="1:13" x14ac:dyDescent="0.25">
      <c r="A6308" s="820">
        <v>46021</v>
      </c>
      <c r="B6308" s="821">
        <v>647435</v>
      </c>
      <c r="C6308" s="816" t="str">
        <f>IFERROR(INDEX(Table14[],MATCH($B6308,Table14[SAPNo],0),3),"")</f>
        <v>Round 1608 CT200  0.018" (B)</v>
      </c>
      <c r="D6308" s="790" t="s">
        <v>12</v>
      </c>
      <c r="E6308" s="818">
        <v>2</v>
      </c>
      <c r="F6308" s="818"/>
      <c r="G6308" s="817" t="s">
        <v>4518</v>
      </c>
      <c r="H6308" s="822" t="s">
        <v>4528</v>
      </c>
      <c r="I6308" s="819" t="s">
        <v>2616</v>
      </c>
      <c r="J6308" s="818"/>
      <c r="K6308" s="422"/>
      <c r="M6308" s="422"/>
    </row>
    <row r="6309" spans="1:13" x14ac:dyDescent="0.25">
      <c r="A6309" s="820">
        <v>46021</v>
      </c>
      <c r="B6309" s="821">
        <v>418525</v>
      </c>
      <c r="C6309" s="816" t="str">
        <f>IFERROR(INDEX(Table14[],MATCH($B6309,Table14[SAPNo],0),3),"")</f>
        <v>Drop In 1308 CT31   (B)</v>
      </c>
      <c r="D6309" s="790" t="s">
        <v>12</v>
      </c>
      <c r="E6309" s="818">
        <v>6</v>
      </c>
      <c r="F6309" s="818"/>
      <c r="G6309" s="817" t="s">
        <v>4518</v>
      </c>
      <c r="H6309" s="822" t="s">
        <v>4528</v>
      </c>
      <c r="I6309" s="819" t="s">
        <v>2616</v>
      </c>
      <c r="J6309" s="818"/>
      <c r="K6309" s="422"/>
      <c r="M6309" s="422"/>
    </row>
    <row r="6310" spans="1:13" x14ac:dyDescent="0.25">
      <c r="A6310" s="820">
        <v>46021</v>
      </c>
      <c r="B6310" s="821">
        <v>2004484</v>
      </c>
      <c r="C6310" s="816" t="str">
        <f>IFERROR(INDEX(Table14[],MATCH($B6310,Table14[SAPNo],0),3),"")</f>
        <v>1308 CT187 U-60</v>
      </c>
      <c r="D6310" s="790" t="s">
        <v>12</v>
      </c>
      <c r="E6310" s="818">
        <v>22</v>
      </c>
      <c r="F6310" s="818"/>
      <c r="G6310" s="817" t="s">
        <v>4519</v>
      </c>
      <c r="H6310" s="822">
        <v>14492188</v>
      </c>
      <c r="I6310" s="819"/>
      <c r="J6310" s="818"/>
      <c r="K6310" s="422"/>
      <c r="M6310" s="422"/>
    </row>
    <row r="6311" spans="1:13" x14ac:dyDescent="0.25">
      <c r="A6311" s="820">
        <v>46021</v>
      </c>
      <c r="B6311" s="821">
        <v>1228502</v>
      </c>
      <c r="C6311" s="816" t="str">
        <f>IFERROR(INDEX(Table14[],MATCH($B6311,Table14[SAPNo],0),3),"")</f>
        <v>1618 CT182 U-60 Rotor</v>
      </c>
      <c r="D6311" s="790" t="s">
        <v>12</v>
      </c>
      <c r="E6311" s="818">
        <v>14</v>
      </c>
      <c r="F6311" s="818"/>
      <c r="G6311" s="817" t="s">
        <v>4519</v>
      </c>
      <c r="H6311" s="822">
        <v>14492188</v>
      </c>
      <c r="I6311" s="819"/>
      <c r="J6311" s="818"/>
      <c r="K6311" s="422"/>
      <c r="M6311" s="422"/>
    </row>
    <row r="6312" spans="1:13" x14ac:dyDescent="0.25">
      <c r="A6312" s="820">
        <v>46021</v>
      </c>
      <c r="B6312" s="821">
        <v>871781</v>
      </c>
      <c r="C6312" s="816" t="str">
        <f>IFERROR(INDEX(Table14[],MATCH($B6312,Table14[SAPNo],0),3),"")</f>
        <v>Round 1313 CT200  0.018" (B)</v>
      </c>
      <c r="D6312" s="790" t="s">
        <v>12</v>
      </c>
      <c r="E6312" s="818">
        <v>6</v>
      </c>
      <c r="F6312" s="818"/>
      <c r="G6312" s="817" t="s">
        <v>4519</v>
      </c>
      <c r="H6312" s="822">
        <v>14492188</v>
      </c>
      <c r="I6312" s="819"/>
      <c r="J6312" s="818"/>
      <c r="K6312" s="422"/>
      <c r="M6312" s="422"/>
    </row>
    <row r="6313" spans="1:13" x14ac:dyDescent="0.25">
      <c r="A6313" s="820">
        <v>46021</v>
      </c>
      <c r="B6313" s="821">
        <v>1201518</v>
      </c>
      <c r="C6313" s="816" t="str">
        <f>IFERROR(INDEX(Table14[],MATCH($B6313,Table14[SAPNo],0),3),"")</f>
        <v>12MM WC­MAT404 NA</v>
      </c>
      <c r="D6313" s="790" t="s">
        <v>12</v>
      </c>
      <c r="E6313" s="818">
        <v>3</v>
      </c>
      <c r="F6313" s="818"/>
      <c r="G6313" s="817" t="s">
        <v>4519</v>
      </c>
      <c r="H6313" s="822">
        <v>14492188</v>
      </c>
      <c r="I6313" s="819"/>
      <c r="J6313" s="818"/>
      <c r="K6313" s="422"/>
      <c r="M6313" s="422"/>
    </row>
    <row r="6314" spans="1:13" x14ac:dyDescent="0.25">
      <c r="A6314" s="820">
        <v>46021</v>
      </c>
      <c r="B6314" s="821">
        <v>1126402</v>
      </c>
      <c r="C6314" s="816" t="str">
        <f>IFERROR(INDEX(Table14[],MATCH($B6314,Table14[SAPNo],0),3),"")</f>
        <v>1613 CT421 16-60</v>
      </c>
      <c r="D6314" s="790" t="s">
        <v>12</v>
      </c>
      <c r="E6314" s="818">
        <v>7</v>
      </c>
      <c r="F6314" s="818"/>
      <c r="G6314" s="817" t="s">
        <v>4519</v>
      </c>
      <c r="H6314" s="822">
        <v>14492188</v>
      </c>
      <c r="I6314" s="819"/>
      <c r="J6314" s="818"/>
      <c r="K6314" s="422"/>
      <c r="M6314" s="422"/>
    </row>
    <row r="6315" spans="1:13" x14ac:dyDescent="0.25">
      <c r="A6315" s="820">
        <v>46021</v>
      </c>
      <c r="B6315" s="821">
        <v>2002299</v>
      </c>
      <c r="C6315" s="816" t="str">
        <f>IFERROR(INDEX(Table14[],MATCH($B6315,Table14[SAPNo],0),3),"")</f>
        <v>1613 CT187 U-60</v>
      </c>
      <c r="D6315" s="790" t="s">
        <v>12</v>
      </c>
      <c r="E6315" s="818">
        <v>20</v>
      </c>
      <c r="F6315" s="818"/>
      <c r="G6315" s="817" t="s">
        <v>4519</v>
      </c>
      <c r="H6315" s="822">
        <v>14492188</v>
      </c>
      <c r="I6315" s="819"/>
      <c r="J6315" s="818"/>
      <c r="K6315" s="422"/>
      <c r="M6315" s="422"/>
    </row>
    <row r="6316" spans="1:13" x14ac:dyDescent="0.25">
      <c r="A6316" s="820">
        <v>46021</v>
      </c>
      <c r="B6316" s="821">
        <v>1228501</v>
      </c>
      <c r="C6316" s="816" t="str">
        <f>IFERROR(INDEX(Table14[],MATCH($B6316,Table14[SAPNo],0),3),"")</f>
        <v>1618 CT182 U-60 stator</v>
      </c>
      <c r="D6316" s="790" t="s">
        <v>12</v>
      </c>
      <c r="E6316" s="818">
        <v>14</v>
      </c>
      <c r="F6316" s="818"/>
      <c r="G6316" s="817" t="s">
        <v>4519</v>
      </c>
      <c r="H6316" s="822">
        <v>14492188</v>
      </c>
      <c r="I6316" s="819"/>
      <c r="J6316" s="818"/>
      <c r="K6316" s="422"/>
      <c r="M6316" s="422"/>
    </row>
    <row r="6317" spans="1:13" x14ac:dyDescent="0.25">
      <c r="A6317" s="820">
        <v>46021</v>
      </c>
      <c r="B6317" s="821">
        <v>2004484</v>
      </c>
      <c r="C6317" s="816" t="str">
        <f>IFERROR(INDEX(Table14[],MATCH($B6317,Table14[SAPNo],0),3),"")</f>
        <v>1308 CT187 U-60</v>
      </c>
      <c r="D6317" s="790" t="s">
        <v>12</v>
      </c>
      <c r="E6317" s="818">
        <v>22</v>
      </c>
      <c r="F6317" s="818"/>
      <c r="G6317" s="817" t="s">
        <v>4521</v>
      </c>
      <c r="H6317" s="822">
        <v>14492190</v>
      </c>
      <c r="I6317" s="819"/>
      <c r="J6317" s="818"/>
      <c r="K6317" s="422"/>
      <c r="M6317" s="422"/>
    </row>
    <row r="6318" spans="1:13" x14ac:dyDescent="0.25">
      <c r="A6318" s="820">
        <v>46021</v>
      </c>
      <c r="B6318" s="821">
        <v>1228502</v>
      </c>
      <c r="C6318" s="816" t="str">
        <f>IFERROR(INDEX(Table14[],MATCH($B6318,Table14[SAPNo],0),3),"")</f>
        <v>1618 CT182 U-60 Rotor</v>
      </c>
      <c r="D6318" s="790" t="s">
        <v>12</v>
      </c>
      <c r="E6318" s="818">
        <v>14</v>
      </c>
      <c r="F6318" s="818"/>
      <c r="G6318" s="817" t="s">
        <v>4521</v>
      </c>
      <c r="H6318" s="822">
        <v>14492190</v>
      </c>
      <c r="I6318" s="819"/>
      <c r="J6318" s="818"/>
      <c r="K6318" s="422"/>
      <c r="M6318" s="422"/>
    </row>
    <row r="6319" spans="1:13" x14ac:dyDescent="0.25">
      <c r="A6319" s="820">
        <v>46021</v>
      </c>
      <c r="B6319" s="821">
        <v>871781</v>
      </c>
      <c r="C6319" s="816" t="str">
        <f>IFERROR(INDEX(Table14[],MATCH($B6319,Table14[SAPNo],0),3),"")</f>
        <v>Round 1313 CT200  0.018" (B)</v>
      </c>
      <c r="D6319" s="790" t="s">
        <v>12</v>
      </c>
      <c r="E6319" s="818">
        <v>6</v>
      </c>
      <c r="F6319" s="818"/>
      <c r="G6319" s="817" t="s">
        <v>4521</v>
      </c>
      <c r="H6319" s="822">
        <v>14492190</v>
      </c>
      <c r="I6319" s="819"/>
      <c r="J6319" s="818"/>
      <c r="K6319" s="422"/>
      <c r="M6319" s="422"/>
    </row>
    <row r="6320" spans="1:13" x14ac:dyDescent="0.25">
      <c r="A6320" s="820">
        <v>46021</v>
      </c>
      <c r="B6320" s="821">
        <v>1201518</v>
      </c>
      <c r="C6320" s="816" t="str">
        <f>IFERROR(INDEX(Table14[],MATCH($B6320,Table14[SAPNo],0),3),"")</f>
        <v>12MM WC­MAT404 NA</v>
      </c>
      <c r="D6320" s="790" t="s">
        <v>12</v>
      </c>
      <c r="E6320" s="818">
        <v>3</v>
      </c>
      <c r="F6320" s="818"/>
      <c r="G6320" s="817" t="s">
        <v>4521</v>
      </c>
      <c r="H6320" s="822">
        <v>14492190</v>
      </c>
      <c r="I6320" s="819"/>
      <c r="J6320" s="818"/>
      <c r="K6320" s="422"/>
      <c r="M6320" s="422"/>
    </row>
    <row r="6321" spans="1:13" x14ac:dyDescent="0.25">
      <c r="A6321" s="820">
        <v>46021</v>
      </c>
      <c r="B6321" s="821">
        <v>1126402</v>
      </c>
      <c r="C6321" s="816" t="str">
        <f>IFERROR(INDEX(Table14[],MATCH($B6321,Table14[SAPNo],0),3),"")</f>
        <v>1613 CT421 16-60</v>
      </c>
      <c r="D6321" s="790" t="s">
        <v>12</v>
      </c>
      <c r="E6321" s="818">
        <v>7</v>
      </c>
      <c r="F6321" s="818"/>
      <c r="G6321" s="817" t="s">
        <v>4521</v>
      </c>
      <c r="H6321" s="822">
        <v>14492190</v>
      </c>
      <c r="I6321" s="819"/>
      <c r="J6321" s="818"/>
      <c r="K6321" s="422"/>
      <c r="M6321" s="422"/>
    </row>
    <row r="6322" spans="1:13" x14ac:dyDescent="0.25">
      <c r="A6322" s="820">
        <v>46021</v>
      </c>
      <c r="B6322" s="821">
        <v>2002299</v>
      </c>
      <c r="C6322" s="816" t="str">
        <f>IFERROR(INDEX(Table14[],MATCH($B6322,Table14[SAPNo],0),3),"")</f>
        <v>1613 CT187 U-60</v>
      </c>
      <c r="D6322" s="790" t="s">
        <v>12</v>
      </c>
      <c r="E6322" s="818">
        <v>14</v>
      </c>
      <c r="F6322" s="818"/>
      <c r="G6322" s="817" t="s">
        <v>4521</v>
      </c>
      <c r="H6322" s="822">
        <v>14492190</v>
      </c>
      <c r="I6322" s="819"/>
      <c r="J6322" s="818"/>
      <c r="K6322" s="422"/>
      <c r="M6322" s="422"/>
    </row>
    <row r="6323" spans="1:13" x14ac:dyDescent="0.25">
      <c r="A6323" s="820">
        <v>46021</v>
      </c>
      <c r="B6323" s="821">
        <v>1228501</v>
      </c>
      <c r="C6323" s="816" t="str">
        <f>IFERROR(INDEX(Table14[],MATCH($B6323,Table14[SAPNo],0),3),"")</f>
        <v>1618 CT182 U-60 stator</v>
      </c>
      <c r="D6323" s="790" t="s">
        <v>12</v>
      </c>
      <c r="E6323" s="818">
        <v>14</v>
      </c>
      <c r="F6323" s="818"/>
      <c r="G6323" s="817" t="s">
        <v>4521</v>
      </c>
      <c r="H6323" s="822">
        <v>14492190</v>
      </c>
      <c r="I6323" s="819"/>
      <c r="J6323" s="818"/>
      <c r="K6323" s="422"/>
      <c r="M6323" s="422"/>
    </row>
    <row r="6324" spans="1:13" x14ac:dyDescent="0.25">
      <c r="A6324" s="820">
        <v>46021</v>
      </c>
      <c r="B6324" s="821">
        <v>2028303</v>
      </c>
      <c r="C6324" s="816" t="str">
        <f>IFERROR(INDEX(Table14[],MATCH($B6324,Table14[SAPNo],0),3),"")</f>
        <v>1613 CT187P U-60</v>
      </c>
      <c r="D6324" s="790" t="s">
        <v>12</v>
      </c>
      <c r="E6324" s="818">
        <v>6</v>
      </c>
      <c r="F6324" s="818"/>
      <c r="G6324" s="817" t="s">
        <v>4521</v>
      </c>
      <c r="H6324" s="822">
        <v>14492190</v>
      </c>
      <c r="I6324" s="819"/>
      <c r="J6324" s="818"/>
      <c r="K6324" s="422"/>
      <c r="M6324" s="422"/>
    </row>
    <row r="6325" spans="1:13" x14ac:dyDescent="0.25">
      <c r="A6325" s="820">
        <v>46021</v>
      </c>
      <c r="B6325" s="821">
        <v>2004484</v>
      </c>
      <c r="C6325" s="816" t="str">
        <f>IFERROR(INDEX(Table14[],MATCH($B6325,Table14[SAPNo],0),3),"")</f>
        <v>1308 CT187 U-60</v>
      </c>
      <c r="D6325" s="790" t="s">
        <v>12</v>
      </c>
      <c r="E6325" s="818">
        <v>22</v>
      </c>
      <c r="F6325" s="818"/>
      <c r="G6325" s="817" t="s">
        <v>4520</v>
      </c>
      <c r="H6325" s="822">
        <v>14492189</v>
      </c>
      <c r="I6325" s="819"/>
      <c r="J6325" s="818"/>
      <c r="K6325" s="422"/>
      <c r="M6325" s="422"/>
    </row>
    <row r="6326" spans="1:13" x14ac:dyDescent="0.25">
      <c r="A6326" s="820">
        <v>46021</v>
      </c>
      <c r="B6326" s="821">
        <v>1228502</v>
      </c>
      <c r="C6326" s="816" t="str">
        <f>IFERROR(INDEX(Table14[],MATCH($B6326,Table14[SAPNo],0),3),"")</f>
        <v>1618 CT182 U-60 Rotor</v>
      </c>
      <c r="D6326" s="790" t="s">
        <v>12</v>
      </c>
      <c r="E6326" s="818">
        <v>14</v>
      </c>
      <c r="F6326" s="818"/>
      <c r="G6326" s="817" t="s">
        <v>4520</v>
      </c>
      <c r="H6326" s="822">
        <v>14492189</v>
      </c>
      <c r="I6326" s="819"/>
      <c r="J6326" s="818"/>
      <c r="K6326" s="422"/>
      <c r="M6326" s="422"/>
    </row>
    <row r="6327" spans="1:13" x14ac:dyDescent="0.25">
      <c r="A6327" s="820">
        <v>46021</v>
      </c>
      <c r="B6327" s="821">
        <v>871781</v>
      </c>
      <c r="C6327" s="816" t="str">
        <f>IFERROR(INDEX(Table14[],MATCH($B6327,Table14[SAPNo],0),3),"")</f>
        <v>Round 1313 CT200  0.018" (B)</v>
      </c>
      <c r="D6327" s="790" t="s">
        <v>12</v>
      </c>
      <c r="E6327" s="818">
        <v>6</v>
      </c>
      <c r="F6327" s="818"/>
      <c r="G6327" s="817" t="s">
        <v>4520</v>
      </c>
      <c r="H6327" s="822">
        <v>14492189</v>
      </c>
      <c r="I6327" s="819"/>
      <c r="J6327" s="818"/>
      <c r="K6327" s="422"/>
      <c r="M6327" s="422"/>
    </row>
    <row r="6328" spans="1:13" x14ac:dyDescent="0.25">
      <c r="A6328" s="820">
        <v>46021</v>
      </c>
      <c r="B6328" s="821">
        <v>1201518</v>
      </c>
      <c r="C6328" s="816" t="str">
        <f>IFERROR(INDEX(Table14[],MATCH($B6328,Table14[SAPNo],0),3),"")</f>
        <v>12MM WC­MAT404 NA</v>
      </c>
      <c r="D6328" s="790" t="s">
        <v>12</v>
      </c>
      <c r="E6328" s="818">
        <v>3</v>
      </c>
      <c r="F6328" s="818"/>
      <c r="G6328" s="817" t="s">
        <v>4520</v>
      </c>
      <c r="H6328" s="822">
        <v>14492189</v>
      </c>
      <c r="I6328" s="819"/>
      <c r="J6328" s="818"/>
      <c r="K6328" s="422"/>
      <c r="M6328" s="422"/>
    </row>
    <row r="6329" spans="1:13" x14ac:dyDescent="0.25">
      <c r="A6329" s="820">
        <v>46021</v>
      </c>
      <c r="B6329" s="821">
        <v>1126402</v>
      </c>
      <c r="C6329" s="816" t="str">
        <f>IFERROR(INDEX(Table14[],MATCH($B6329,Table14[SAPNo],0),3),"")</f>
        <v>1613 CT421 16-60</v>
      </c>
      <c r="D6329" s="790" t="s">
        <v>12</v>
      </c>
      <c r="E6329" s="818">
        <v>7</v>
      </c>
      <c r="F6329" s="818"/>
      <c r="G6329" s="817" t="s">
        <v>4520</v>
      </c>
      <c r="H6329" s="822">
        <v>14492189</v>
      </c>
      <c r="I6329" s="819"/>
      <c r="J6329" s="818"/>
      <c r="K6329" s="422"/>
      <c r="M6329" s="422"/>
    </row>
    <row r="6330" spans="1:13" x14ac:dyDescent="0.25">
      <c r="A6330" s="820">
        <v>46021</v>
      </c>
      <c r="B6330" s="821">
        <v>2002299</v>
      </c>
      <c r="C6330" s="816" t="str">
        <f>IFERROR(INDEX(Table14[],MATCH($B6330,Table14[SAPNo],0),3),"")</f>
        <v>1613 CT187 U-60</v>
      </c>
      <c r="D6330" s="790" t="s">
        <v>12</v>
      </c>
      <c r="E6330" s="818">
        <v>14</v>
      </c>
      <c r="F6330" s="818"/>
      <c r="G6330" s="817" t="s">
        <v>4520</v>
      </c>
      <c r="H6330" s="822">
        <v>14492189</v>
      </c>
      <c r="I6330" s="819"/>
      <c r="J6330" s="818"/>
      <c r="K6330" s="422"/>
      <c r="M6330" s="422"/>
    </row>
    <row r="6331" spans="1:13" x14ac:dyDescent="0.25">
      <c r="A6331" s="820">
        <v>46021</v>
      </c>
      <c r="B6331" s="821">
        <v>1228501</v>
      </c>
      <c r="C6331" s="816" t="str">
        <f>IFERROR(INDEX(Table14[],MATCH($B6331,Table14[SAPNo],0),3),"")</f>
        <v>1618 CT182 U-60 stator</v>
      </c>
      <c r="D6331" s="790" t="s">
        <v>12</v>
      </c>
      <c r="E6331" s="818">
        <v>14</v>
      </c>
      <c r="F6331" s="818"/>
      <c r="G6331" s="817" t="s">
        <v>4520</v>
      </c>
      <c r="H6331" s="822">
        <v>14492189</v>
      </c>
      <c r="I6331" s="819"/>
      <c r="J6331" s="818"/>
      <c r="K6331" s="422"/>
      <c r="M6331" s="422"/>
    </row>
    <row r="6332" spans="1:13" x14ac:dyDescent="0.25">
      <c r="A6332" s="820">
        <v>46021</v>
      </c>
      <c r="B6332" s="821">
        <v>2028303</v>
      </c>
      <c r="C6332" s="816" t="str">
        <f>IFERROR(INDEX(Table14[],MATCH($B6332,Table14[SAPNo],0),3),"")</f>
        <v>1613 CT187P U-60</v>
      </c>
      <c r="D6332" s="790" t="s">
        <v>12</v>
      </c>
      <c r="E6332" s="818">
        <v>6</v>
      </c>
      <c r="F6332" s="818"/>
      <c r="G6332" s="817" t="s">
        <v>4520</v>
      </c>
      <c r="H6332" s="822">
        <v>14492189</v>
      </c>
      <c r="I6332" s="819"/>
      <c r="J6332" s="818"/>
      <c r="K6332" s="422"/>
      <c r="M6332" s="422"/>
    </row>
    <row r="6333" spans="1:13" x14ac:dyDescent="0.25">
      <c r="A6333" s="308">
        <v>46016</v>
      </c>
      <c r="B6333" s="416">
        <v>2028303</v>
      </c>
      <c r="C6333" s="638" t="str">
        <f>IFERROR(INDEX(Table14[],MATCH($B6333,Table14[SAPNo],0),3),"")</f>
        <v>1613 CT187P U-60</v>
      </c>
      <c r="D6333" s="790" t="s">
        <v>12</v>
      </c>
      <c r="E6333" s="421"/>
      <c r="F6333" s="421">
        <v>30</v>
      </c>
      <c r="G6333" s="417" t="s">
        <v>3769</v>
      </c>
      <c r="H6333" s="598"/>
      <c r="I6333" s="322"/>
      <c r="J6333" s="418" t="s">
        <v>1036</v>
      </c>
      <c r="K6333" s="248"/>
      <c r="M6333" s="422"/>
    </row>
    <row r="6334" spans="1:13" x14ac:dyDescent="0.25">
      <c r="A6334" s="320">
        <v>45995</v>
      </c>
      <c r="B6334" s="419">
        <v>1282370</v>
      </c>
      <c r="C6334" s="638" t="str">
        <f>IFERROR(INDEX(Table14[],MATCH($B6334,Table14[SAPNo],0),3),"")</f>
        <v>1613 CT436Mv3 U-60</v>
      </c>
      <c r="D6334" s="790" t="s">
        <v>12</v>
      </c>
      <c r="E6334" s="421"/>
      <c r="F6334" s="580">
        <v>100</v>
      </c>
      <c r="G6334" s="420" t="s">
        <v>3769</v>
      </c>
      <c r="H6334" s="599"/>
      <c r="I6334" s="322"/>
      <c r="J6334" s="421" t="s">
        <v>1036</v>
      </c>
      <c r="K6334" s="422"/>
      <c r="M6334" s="366"/>
    </row>
    <row r="6335" spans="1:13" x14ac:dyDescent="0.25">
      <c r="A6335" s="308">
        <v>46014</v>
      </c>
      <c r="B6335" s="416">
        <v>649901</v>
      </c>
      <c r="C6335" s="638" t="str">
        <f>IFERROR(INDEX(Table14[],MATCH($B6335,Table14[SAPNo],0),3),"")</f>
        <v>Carbide IA 8    (C)</v>
      </c>
      <c r="D6335" s="790" t="s">
        <v>12</v>
      </c>
      <c r="E6335" s="421"/>
      <c r="F6335" s="421">
        <v>50</v>
      </c>
      <c r="G6335" s="420" t="s">
        <v>3769</v>
      </c>
      <c r="H6335" s="598"/>
      <c r="I6335" s="322"/>
      <c r="J6335" s="418" t="s">
        <v>4074</v>
      </c>
      <c r="K6335" s="248"/>
      <c r="M6335" s="422"/>
    </row>
    <row r="6336" spans="1:13" x14ac:dyDescent="0.25">
      <c r="A6336" s="320">
        <v>46014</v>
      </c>
      <c r="B6336" s="419">
        <v>1187117</v>
      </c>
      <c r="C6336" s="638" t="str">
        <f>IFERROR(INDEX(Table14[],MATCH($B6336,Table14[SAPNo],0),3),"")</f>
        <v>1313 CT182H 18C</v>
      </c>
      <c r="D6336" s="790" t="s">
        <v>12</v>
      </c>
      <c r="E6336" s="421"/>
      <c r="F6336" s="580">
        <v>15</v>
      </c>
      <c r="G6336" s="420" t="s">
        <v>3769</v>
      </c>
      <c r="H6336" s="599"/>
      <c r="I6336" s="322"/>
      <c r="J6336" s="421" t="s">
        <v>4074</v>
      </c>
      <c r="K6336" s="422"/>
      <c r="M6336" s="366"/>
    </row>
    <row r="6337" spans="1:13" x14ac:dyDescent="0.25">
      <c r="A6337" s="320">
        <v>46014</v>
      </c>
      <c r="B6337" s="419">
        <v>2001657</v>
      </c>
      <c r="C6337" s="638" t="str">
        <f>IFERROR(INDEX(Table14[],MATCH($B6337,Table14[SAPNo],0),3),"")</f>
        <v>1613 CT179T U</v>
      </c>
      <c r="D6337" s="790" t="s">
        <v>12</v>
      </c>
      <c r="E6337" s="421"/>
      <c r="F6337" s="421">
        <v>40</v>
      </c>
      <c r="G6337" s="420" t="s">
        <v>3769</v>
      </c>
      <c r="H6337" s="599"/>
      <c r="I6337" s="322"/>
      <c r="J6337" s="421" t="s">
        <v>4074</v>
      </c>
      <c r="K6337" s="422"/>
      <c r="M6337" s="422"/>
    </row>
    <row r="6338" spans="1:13" x14ac:dyDescent="0.25">
      <c r="A6338" s="320">
        <v>46016</v>
      </c>
      <c r="B6338" s="419">
        <v>2022731</v>
      </c>
      <c r="C6338" s="638" t="str">
        <f>IFERROR(INDEX(Table14[],MATCH($B6338,Table14[SAPNo],0),3),"")</f>
        <v>1613 CT179R U-60</v>
      </c>
      <c r="D6338" s="790" t="s">
        <v>12</v>
      </c>
      <c r="E6338" s="421"/>
      <c r="F6338" s="421">
        <v>13</v>
      </c>
      <c r="G6338" s="420" t="s">
        <v>3769</v>
      </c>
      <c r="H6338" s="599"/>
      <c r="I6338" s="322"/>
      <c r="J6338" s="421" t="s">
        <v>1031</v>
      </c>
      <c r="K6338" s="422"/>
      <c r="M6338" s="422"/>
    </row>
    <row r="6339" spans="1:13" x14ac:dyDescent="0.25">
      <c r="A6339" s="827">
        <v>46016</v>
      </c>
      <c r="B6339" s="828">
        <v>2028303</v>
      </c>
      <c r="C6339" s="832" t="str">
        <f>IFERROR(INDEX(Table14[],MATCH($B6339,Table14[SAPNo],0),3),"")</f>
        <v>1613 CT187P U-60</v>
      </c>
      <c r="D6339" s="817" t="s">
        <v>12</v>
      </c>
      <c r="E6339" s="818"/>
      <c r="F6339" s="818">
        <v>30</v>
      </c>
      <c r="G6339" s="829" t="s">
        <v>2513</v>
      </c>
      <c r="H6339" s="830"/>
      <c r="I6339" s="819"/>
      <c r="J6339" s="831" t="s">
        <v>1036</v>
      </c>
      <c r="K6339" s="248"/>
      <c r="M6339" s="422"/>
    </row>
    <row r="6340" spans="1:13" x14ac:dyDescent="0.25">
      <c r="A6340" s="820">
        <v>46023</v>
      </c>
      <c r="B6340" s="821">
        <v>1126402</v>
      </c>
      <c r="C6340" s="816" t="str">
        <f>IFERROR(INDEX(Table14[],MATCH($B6340,Table14[SAPNo],0),3),"")</f>
        <v>1613 CT421 16-60</v>
      </c>
      <c r="D6340" s="817" t="s">
        <v>12</v>
      </c>
      <c r="E6340" s="818">
        <v>1</v>
      </c>
      <c r="F6340" s="818"/>
      <c r="G6340" s="817" t="s">
        <v>4158</v>
      </c>
      <c r="H6340" s="822"/>
      <c r="I6340" s="819"/>
      <c r="J6340" s="818"/>
      <c r="K6340" s="422"/>
      <c r="M6340" s="422"/>
    </row>
    <row r="6341" spans="1:13" x14ac:dyDescent="0.25">
      <c r="A6341" s="820">
        <v>46023</v>
      </c>
      <c r="B6341" s="821">
        <v>1130198</v>
      </c>
      <c r="C6341" s="816" t="str">
        <f>IFERROR(INDEX(Table14[],MATCH($B6341,Table14[SAPNo],0),3),"")</f>
        <v>Round 1613 CT182  0.018" (S)</v>
      </c>
      <c r="D6341" s="817" t="s">
        <v>8</v>
      </c>
      <c r="E6341" s="818">
        <v>13</v>
      </c>
      <c r="F6341" s="818"/>
      <c r="G6341" s="817" t="s">
        <v>4534</v>
      </c>
      <c r="H6341" s="822"/>
      <c r="I6341" s="819"/>
      <c r="J6341" s="818"/>
      <c r="K6341" s="422"/>
      <c r="M6341" s="422"/>
    </row>
    <row r="6342" spans="1:13" x14ac:dyDescent="0.25">
      <c r="A6342" s="820">
        <v>46023</v>
      </c>
      <c r="B6342" s="821">
        <v>418525</v>
      </c>
      <c r="C6342" s="816" t="str">
        <f>IFERROR(INDEX(Table14[],MATCH($B6342,Table14[SAPNo],0),3),"")</f>
        <v>Drop In 1308 CT31   (B)</v>
      </c>
      <c r="D6342" s="817" t="s">
        <v>12</v>
      </c>
      <c r="E6342" s="818">
        <v>8</v>
      </c>
      <c r="F6342" s="818"/>
      <c r="G6342" s="817" t="s">
        <v>4534</v>
      </c>
      <c r="H6342" s="822"/>
      <c r="I6342" s="819"/>
      <c r="J6342" s="818"/>
      <c r="K6342" s="422"/>
      <c r="M6342" s="422"/>
    </row>
    <row r="6343" spans="1:13" x14ac:dyDescent="0.25">
      <c r="A6343" s="820">
        <v>46024</v>
      </c>
      <c r="B6343" s="821">
        <v>1146346</v>
      </c>
      <c r="C6343" s="816" t="str">
        <f>IFERROR(INDEX(Table14[],MATCH($B6343,Table14[SAPNo],0),3),"")</f>
        <v>1313 CT418 18-60</v>
      </c>
      <c r="D6343" s="817" t="s">
        <v>12</v>
      </c>
      <c r="E6343" s="818">
        <v>19</v>
      </c>
      <c r="F6343" s="818"/>
      <c r="G6343" s="817" t="s">
        <v>2515</v>
      </c>
      <c r="H6343" s="822"/>
      <c r="I6343" s="819"/>
      <c r="J6343" s="818"/>
      <c r="K6343" s="422"/>
      <c r="M6343" s="422"/>
    </row>
    <row r="6344" spans="1:13" x14ac:dyDescent="0.25">
      <c r="A6344" s="820">
        <v>46024</v>
      </c>
      <c r="B6344" s="821">
        <v>1145491</v>
      </c>
      <c r="C6344" s="816" t="str">
        <f>IFERROR(INDEX(Table14[],MATCH($B6344,Table14[SAPNo],0),3),"")</f>
        <v>1308 CT427 10C</v>
      </c>
      <c r="D6344" s="817" t="s">
        <v>12</v>
      </c>
      <c r="E6344" s="818">
        <v>5</v>
      </c>
      <c r="F6344" s="818"/>
      <c r="G6344" s="817" t="s">
        <v>2515</v>
      </c>
      <c r="H6344" s="822"/>
      <c r="I6344" s="819"/>
      <c r="J6344" s="818"/>
      <c r="K6344" s="422"/>
      <c r="M6344" s="422"/>
    </row>
    <row r="6345" spans="1:13" x14ac:dyDescent="0.25">
      <c r="A6345" s="820">
        <v>46024</v>
      </c>
      <c r="B6345" s="821">
        <v>871781</v>
      </c>
      <c r="C6345" s="816" t="str">
        <f>IFERROR(INDEX(Table14[],MATCH($B6345,Table14[SAPNo],0),3),"")</f>
        <v>Round 1313 CT200  0.018" (B)</v>
      </c>
      <c r="D6345" s="817" t="s">
        <v>12</v>
      </c>
      <c r="E6345" s="818">
        <v>5</v>
      </c>
      <c r="F6345" s="818"/>
      <c r="G6345" s="817" t="s">
        <v>2515</v>
      </c>
      <c r="H6345" s="822"/>
      <c r="I6345" s="819"/>
      <c r="J6345" s="818"/>
      <c r="K6345" s="422"/>
      <c r="M6345" s="422"/>
    </row>
    <row r="6346" spans="1:13" x14ac:dyDescent="0.25">
      <c r="A6346" s="820">
        <v>46027</v>
      </c>
      <c r="B6346" s="821">
        <v>1130198</v>
      </c>
      <c r="C6346" s="816" t="str">
        <f>IFERROR(INDEX(Table14[],MATCH($B6346,Table14[SAPNo],0),3),"")</f>
        <v>Round 1613 CT182  0.018" (S)</v>
      </c>
      <c r="D6346" s="817" t="s">
        <v>8</v>
      </c>
      <c r="E6346" s="818">
        <v>14</v>
      </c>
      <c r="F6346" s="818"/>
      <c r="G6346" s="817" t="s">
        <v>4535</v>
      </c>
      <c r="H6346" s="822"/>
      <c r="I6346" s="819"/>
      <c r="J6346" s="818"/>
      <c r="K6346" s="422"/>
      <c r="M6346" s="422"/>
    </row>
    <row r="6347" spans="1:13" x14ac:dyDescent="0.25">
      <c r="A6347" s="820">
        <v>46027</v>
      </c>
      <c r="B6347" s="821">
        <v>418525</v>
      </c>
      <c r="C6347" s="816" t="str">
        <f>IFERROR(INDEX(Table14[],MATCH($B6347,Table14[SAPNo],0),3),"")</f>
        <v>Drop In 1308 CT31   (B)</v>
      </c>
      <c r="D6347" s="817" t="s">
        <v>12</v>
      </c>
      <c r="E6347" s="818">
        <v>8</v>
      </c>
      <c r="F6347" s="818"/>
      <c r="G6347" s="817" t="s">
        <v>4535</v>
      </c>
      <c r="H6347" s="822"/>
      <c r="I6347" s="819"/>
      <c r="J6347" s="818"/>
      <c r="K6347" s="422"/>
      <c r="M6347" s="422"/>
    </row>
    <row r="6348" spans="1:13" x14ac:dyDescent="0.25">
      <c r="A6348" s="820">
        <v>46027</v>
      </c>
      <c r="B6348" s="821">
        <v>717748</v>
      </c>
      <c r="C6348" s="816" t="str">
        <f>IFERROR(INDEX(Table14[],MATCH($B6348,Table14[SAPNo],0),3),"")</f>
        <v>Round 1010 CT200  0.018" (B)</v>
      </c>
      <c r="D6348" s="817" t="s">
        <v>12</v>
      </c>
      <c r="E6348" s="818">
        <v>1</v>
      </c>
      <c r="F6348" s="818"/>
      <c r="G6348" s="817" t="s">
        <v>4536</v>
      </c>
      <c r="H6348" s="822"/>
      <c r="I6348" s="819"/>
      <c r="J6348" s="818"/>
      <c r="K6348" s="422"/>
      <c r="M6348" s="422"/>
    </row>
    <row r="6349" spans="1:13" x14ac:dyDescent="0.25">
      <c r="A6349" s="820">
        <v>46027</v>
      </c>
      <c r="B6349" s="821">
        <v>1208601</v>
      </c>
      <c r="C6349" s="816" t="str">
        <f>IFERROR(INDEX(Table14[],MATCH($B6349,Table14[SAPNo],0),3),"")</f>
        <v>1613 CT418 U-60</v>
      </c>
      <c r="D6349" s="817" t="s">
        <v>10</v>
      </c>
      <c r="E6349" s="818">
        <v>2</v>
      </c>
      <c r="F6349" s="818"/>
      <c r="G6349" s="817" t="s">
        <v>4537</v>
      </c>
      <c r="H6349" s="822"/>
      <c r="I6349" s="819"/>
      <c r="J6349" s="818"/>
      <c r="K6349" s="422"/>
      <c r="M6349" s="422"/>
    </row>
    <row r="6350" spans="1:13" x14ac:dyDescent="0.25">
      <c r="A6350" s="820">
        <v>46027</v>
      </c>
      <c r="B6350" s="821">
        <v>418525</v>
      </c>
      <c r="C6350" s="816" t="str">
        <f>IFERROR(INDEX(Table14[],MATCH($B6350,Table14[SAPNo],0),3),"")</f>
        <v>Drop In 1308 CT31   (B)</v>
      </c>
      <c r="D6350" s="817" t="s">
        <v>12</v>
      </c>
      <c r="E6350" s="818">
        <v>6</v>
      </c>
      <c r="F6350" s="818"/>
      <c r="G6350" s="817" t="s">
        <v>4537</v>
      </c>
      <c r="H6350" s="822"/>
      <c r="I6350" s="819"/>
      <c r="J6350" s="818"/>
      <c r="K6350" s="422"/>
      <c r="M6350" s="422"/>
    </row>
    <row r="6351" spans="1:13" x14ac:dyDescent="0.25">
      <c r="A6351" s="820">
        <v>46027</v>
      </c>
      <c r="B6351" s="821">
        <v>1288783</v>
      </c>
      <c r="C6351" s="816" t="str">
        <f>IFERROR(INDEX(Table14[],MATCH($B6351,Table14[SAPNo],0),3),"")</f>
        <v>1613 CT179 18-60</v>
      </c>
      <c r="D6351" s="817" t="s">
        <v>10</v>
      </c>
      <c r="E6351" s="818">
        <v>3</v>
      </c>
      <c r="F6351" s="818"/>
      <c r="G6351" s="817" t="s">
        <v>4537</v>
      </c>
      <c r="H6351" s="822"/>
      <c r="I6351" s="819"/>
      <c r="J6351" s="818"/>
      <c r="K6351" s="422"/>
      <c r="M6351" s="422"/>
    </row>
    <row r="6352" spans="1:13" x14ac:dyDescent="0.25">
      <c r="A6352" s="820">
        <v>46028</v>
      </c>
      <c r="B6352" s="821">
        <v>1078377</v>
      </c>
      <c r="C6352" s="816" t="str">
        <f>IFERROR(INDEX(Table14[],MATCH($B6352,Table14[SAPNo],0),3),"")</f>
        <v>13MM CT221 R1</v>
      </c>
      <c r="D6352" s="817" t="s">
        <v>12</v>
      </c>
      <c r="E6352" s="818">
        <v>1</v>
      </c>
      <c r="F6352" s="818"/>
      <c r="G6352" s="817" t="s">
        <v>4538</v>
      </c>
      <c r="H6352" s="822"/>
      <c r="I6352" s="819"/>
      <c r="J6352" s="818"/>
      <c r="K6352" s="422"/>
      <c r="M6352" s="422"/>
    </row>
    <row r="6353" spans="1:13" x14ac:dyDescent="0.25">
      <c r="A6353" s="820">
        <v>46028</v>
      </c>
      <c r="B6353" s="821">
        <v>418525</v>
      </c>
      <c r="C6353" s="816" t="str">
        <f>IFERROR(INDEX(Table14[],MATCH($B6353,Table14[SAPNo],0),3),"")</f>
        <v>Drop In 1308 CT31   (B)</v>
      </c>
      <c r="D6353" s="817" t="s">
        <v>12</v>
      </c>
      <c r="E6353" s="818">
        <v>6</v>
      </c>
      <c r="F6353" s="818"/>
      <c r="G6353" s="817" t="s">
        <v>4538</v>
      </c>
      <c r="H6353" s="822"/>
      <c r="I6353" s="819"/>
      <c r="J6353" s="818"/>
      <c r="K6353" s="422"/>
      <c r="M6353" s="422"/>
    </row>
    <row r="6354" spans="1:13" x14ac:dyDescent="0.25">
      <c r="A6354" s="820">
        <v>46028</v>
      </c>
      <c r="B6354" s="821">
        <v>1146737</v>
      </c>
      <c r="C6354" s="816" t="str">
        <f>IFERROR(INDEX(Table14[],MATCH($B6354,Table14[SAPNo],0),3),"")</f>
        <v>1613 CT418 18-60</v>
      </c>
      <c r="D6354" s="817" t="s">
        <v>12</v>
      </c>
      <c r="E6354" s="818">
        <v>3</v>
      </c>
      <c r="F6354" s="818"/>
      <c r="G6354" s="817" t="s">
        <v>4538</v>
      </c>
      <c r="H6354" s="822"/>
      <c r="I6354" s="819"/>
      <c r="J6354" s="818"/>
      <c r="K6354" s="422"/>
      <c r="M6354" s="422"/>
    </row>
    <row r="6355" spans="1:13" x14ac:dyDescent="0.25">
      <c r="A6355" s="820">
        <v>46028</v>
      </c>
      <c r="B6355" s="821">
        <v>418525</v>
      </c>
      <c r="C6355" s="816" t="str">
        <f>IFERROR(INDEX(Table14[],MATCH($B6355,Table14[SAPNo],0),3),"")</f>
        <v>Drop In 1308 CT31   (B)</v>
      </c>
      <c r="D6355" s="817" t="s">
        <v>12</v>
      </c>
      <c r="E6355" s="818">
        <v>10</v>
      </c>
      <c r="F6355" s="818"/>
      <c r="G6355" s="817" t="s">
        <v>4539</v>
      </c>
      <c r="H6355" s="822"/>
      <c r="I6355" s="819"/>
      <c r="J6355" s="818"/>
      <c r="K6355" s="422"/>
      <c r="M6355" s="422"/>
    </row>
    <row r="6356" spans="1:13" x14ac:dyDescent="0.25">
      <c r="A6356" s="820">
        <v>46028</v>
      </c>
      <c r="B6356" s="821">
        <v>1146346</v>
      </c>
      <c r="C6356" s="816" t="str">
        <f>IFERROR(INDEX(Table14[],MATCH($B6356,Table14[SAPNo],0),3),"")</f>
        <v>1313 CT418 18-60</v>
      </c>
      <c r="D6356" s="817" t="s">
        <v>12</v>
      </c>
      <c r="E6356" s="818">
        <v>9</v>
      </c>
      <c r="F6356" s="818"/>
      <c r="G6356" s="817" t="s">
        <v>4539</v>
      </c>
      <c r="H6356" s="822"/>
      <c r="I6356" s="819"/>
      <c r="J6356" s="818"/>
      <c r="K6356" s="422"/>
      <c r="M6356" s="422"/>
    </row>
    <row r="6357" spans="1:13" x14ac:dyDescent="0.25">
      <c r="A6357" s="820">
        <v>46028</v>
      </c>
      <c r="B6357" s="821">
        <v>418525</v>
      </c>
      <c r="C6357" s="816" t="str">
        <f>IFERROR(INDEX(Table14[],MATCH($B6357,Table14[SAPNo],0),3),"")</f>
        <v>Drop In 1308 CT31   (B)</v>
      </c>
      <c r="D6357" s="817" t="s">
        <v>12</v>
      </c>
      <c r="E6357" s="818">
        <v>10</v>
      </c>
      <c r="F6357" s="818"/>
      <c r="G6357" s="817" t="s">
        <v>4540</v>
      </c>
      <c r="H6357" s="822"/>
      <c r="I6357" s="819"/>
      <c r="J6357" s="818"/>
      <c r="K6357" s="422"/>
      <c r="M6357" s="422"/>
    </row>
    <row r="6358" spans="1:13" x14ac:dyDescent="0.25">
      <c r="A6358" s="820">
        <v>46028</v>
      </c>
      <c r="B6358" s="821">
        <v>1146346</v>
      </c>
      <c r="C6358" s="816" t="str">
        <f>IFERROR(INDEX(Table14[],MATCH($B6358,Table14[SAPNo],0),3),"")</f>
        <v>1313 CT418 18-60</v>
      </c>
      <c r="D6358" s="817" t="s">
        <v>12</v>
      </c>
      <c r="E6358" s="818">
        <v>7</v>
      </c>
      <c r="F6358" s="818"/>
      <c r="G6358" s="817" t="s">
        <v>4540</v>
      </c>
      <c r="H6358" s="822"/>
      <c r="I6358" s="819"/>
      <c r="J6358" s="818"/>
      <c r="K6358" s="422"/>
      <c r="M6358" s="422"/>
    </row>
    <row r="6359" spans="1:13" x14ac:dyDescent="0.25">
      <c r="A6359" s="820">
        <v>46028</v>
      </c>
      <c r="B6359" s="821">
        <v>1228501</v>
      </c>
      <c r="C6359" s="816" t="str">
        <f>IFERROR(INDEX(Table14[],MATCH($B6359,Table14[SAPNo],0),3),"")</f>
        <v>1618 CT182 U-60 stator</v>
      </c>
      <c r="D6359" s="817" t="s">
        <v>12</v>
      </c>
      <c r="E6359" s="818">
        <v>5</v>
      </c>
      <c r="F6359" s="818"/>
      <c r="G6359" s="817" t="s">
        <v>4521</v>
      </c>
      <c r="H6359" s="822"/>
      <c r="I6359" s="819"/>
      <c r="J6359" s="818"/>
      <c r="K6359" s="422"/>
      <c r="M6359" s="422"/>
    </row>
    <row r="6360" spans="1:13" x14ac:dyDescent="0.25">
      <c r="A6360" s="820">
        <v>46028</v>
      </c>
      <c r="B6360" s="821">
        <v>1271790</v>
      </c>
      <c r="C6360" s="816" t="str">
        <f>IFERROR(INDEX(Table14[],MATCH($B6360,Table14[SAPNo],0),3),"")</f>
        <v xml:space="preserve">1613 CT170 18-60 </v>
      </c>
      <c r="D6360" s="817" t="s">
        <v>1072</v>
      </c>
      <c r="E6360" s="818">
        <v>1</v>
      </c>
      <c r="F6360" s="818"/>
      <c r="G6360" s="817" t="s">
        <v>4538</v>
      </c>
      <c r="H6360" s="822"/>
      <c r="I6360" s="819"/>
      <c r="J6360" s="818"/>
      <c r="K6360" s="422"/>
      <c r="M6360" s="422"/>
    </row>
    <row r="6361" spans="1:13" x14ac:dyDescent="0.25">
      <c r="A6361" s="820">
        <v>46029</v>
      </c>
      <c r="B6361" s="821">
        <v>1296685</v>
      </c>
      <c r="C6361" s="816" t="str">
        <f>IFERROR(INDEX(Table14[],MATCH($B6361,Table14[SAPNo],0),3),"")</f>
        <v>1613 CT179R U</v>
      </c>
      <c r="D6361" s="817" t="s">
        <v>12</v>
      </c>
      <c r="E6361" s="818">
        <v>24</v>
      </c>
      <c r="F6361" s="818"/>
      <c r="G6361" s="817" t="s">
        <v>4541</v>
      </c>
      <c r="H6361" s="822"/>
      <c r="I6361" s="819"/>
      <c r="J6361" s="818"/>
      <c r="K6361" s="422"/>
      <c r="M6361" s="422"/>
    </row>
    <row r="6362" spans="1:13" x14ac:dyDescent="0.25">
      <c r="A6362" s="820">
        <v>46029</v>
      </c>
      <c r="B6362" s="821">
        <v>1146737</v>
      </c>
      <c r="C6362" s="816" t="str">
        <f>IFERROR(INDEX(Table14[],MATCH($B6362,Table14[SAPNo],0),3),"")</f>
        <v>1613 CT418 18-60</v>
      </c>
      <c r="D6362" s="817" t="s">
        <v>12</v>
      </c>
      <c r="E6362" s="818">
        <v>15</v>
      </c>
      <c r="F6362" s="818"/>
      <c r="G6362" s="817" t="s">
        <v>4541</v>
      </c>
      <c r="H6362" s="822"/>
      <c r="I6362" s="819"/>
      <c r="J6362" s="818"/>
      <c r="K6362" s="422"/>
      <c r="M6362" s="422"/>
    </row>
    <row r="6363" spans="1:13" x14ac:dyDescent="0.25">
      <c r="A6363" s="820">
        <v>46029</v>
      </c>
      <c r="B6363" s="821">
        <v>410851</v>
      </c>
      <c r="C6363" s="816" t="str">
        <f>IFERROR(INDEX(Table14[],MATCH($B6363,Table14[SAPNo],0),3),"")</f>
        <v>PDC Dome 1308 CT31   (B)</v>
      </c>
      <c r="D6363" s="817" t="s">
        <v>12</v>
      </c>
      <c r="E6363" s="818">
        <v>12</v>
      </c>
      <c r="F6363" s="818"/>
      <c r="G6363" s="817" t="s">
        <v>4541</v>
      </c>
      <c r="H6363" s="822"/>
      <c r="I6363" s="819"/>
      <c r="J6363" s="818"/>
      <c r="K6363" s="422"/>
      <c r="M6363" s="422"/>
    </row>
    <row r="6364" spans="1:13" x14ac:dyDescent="0.25">
      <c r="A6364" s="820">
        <v>46029</v>
      </c>
      <c r="B6364" s="821">
        <v>1172481</v>
      </c>
      <c r="C6364" s="816" t="str">
        <f>IFERROR(INDEX(Table14[],MATCH($B6364,Table14[SAPNo],0),3),"")</f>
        <v>13mm WC-MAT 404 NA</v>
      </c>
      <c r="D6364" s="817" t="s">
        <v>12</v>
      </c>
      <c r="E6364" s="818">
        <v>12</v>
      </c>
      <c r="F6364" s="818"/>
      <c r="G6364" s="817" t="s">
        <v>4541</v>
      </c>
      <c r="H6364" s="822"/>
      <c r="I6364" s="819"/>
      <c r="J6364" s="818"/>
      <c r="K6364" s="422"/>
      <c r="M6364" s="422"/>
    </row>
    <row r="6365" spans="1:13" x14ac:dyDescent="0.25">
      <c r="A6365" s="820">
        <v>46029</v>
      </c>
      <c r="B6365" s="821">
        <v>1288783</v>
      </c>
      <c r="C6365" s="816" t="str">
        <f>IFERROR(INDEX(Table14[],MATCH($B6365,Table14[SAPNo],0),3),"")</f>
        <v>1613 CT179 18-60</v>
      </c>
      <c r="D6365" s="817" t="s">
        <v>12</v>
      </c>
      <c r="E6365" s="818">
        <v>12</v>
      </c>
      <c r="F6365" s="818"/>
      <c r="G6365" s="817" t="s">
        <v>4541</v>
      </c>
      <c r="H6365" s="822"/>
      <c r="I6365" s="819"/>
      <c r="J6365" s="818"/>
      <c r="K6365" s="422"/>
      <c r="M6365" s="422"/>
    </row>
    <row r="6366" spans="1:13" x14ac:dyDescent="0.25">
      <c r="A6366" s="820">
        <v>46029</v>
      </c>
      <c r="B6366" s="821">
        <v>871781</v>
      </c>
      <c r="C6366" s="816" t="str">
        <f>IFERROR(INDEX(Table14[],MATCH($B6366,Table14[SAPNo],0),3),"")</f>
        <v>Round 1313 CT200  0.018" (B)</v>
      </c>
      <c r="D6366" s="817" t="s">
        <v>12</v>
      </c>
      <c r="E6366" s="818">
        <v>6</v>
      </c>
      <c r="F6366" s="818"/>
      <c r="G6366" s="817" t="s">
        <v>4541</v>
      </c>
      <c r="H6366" s="822"/>
      <c r="I6366" s="819"/>
      <c r="J6366" s="818"/>
      <c r="K6366" s="422"/>
      <c r="M6366" s="422"/>
    </row>
    <row r="6367" spans="1:13" x14ac:dyDescent="0.25">
      <c r="A6367" s="820">
        <v>46029</v>
      </c>
      <c r="B6367" s="821">
        <v>1130198</v>
      </c>
      <c r="C6367" s="816" t="str">
        <f>IFERROR(INDEX(Table14[],MATCH($B6367,Table14[SAPNo],0),3),"")</f>
        <v>Round 1613 CT182  0.018" (S)</v>
      </c>
      <c r="D6367" s="817" t="s">
        <v>8</v>
      </c>
      <c r="E6367" s="818">
        <v>17</v>
      </c>
      <c r="F6367" s="818"/>
      <c r="G6367" s="817" t="s">
        <v>4542</v>
      </c>
      <c r="H6367" s="822"/>
      <c r="I6367" s="819"/>
      <c r="J6367" s="818"/>
      <c r="K6367" s="422"/>
      <c r="M6367" s="422"/>
    </row>
    <row r="6368" spans="1:13" x14ac:dyDescent="0.25">
      <c r="A6368" s="820">
        <v>46029</v>
      </c>
      <c r="B6368" s="821">
        <v>647435</v>
      </c>
      <c r="C6368" s="816" t="str">
        <f>IFERROR(INDEX(Table14[],MATCH($B6368,Table14[SAPNo],0),3),"")</f>
        <v>Round 1608 CT200  0.018" (B)</v>
      </c>
      <c r="D6368" s="817" t="s">
        <v>12</v>
      </c>
      <c r="E6368" s="818">
        <v>8</v>
      </c>
      <c r="F6368" s="818"/>
      <c r="G6368" s="817" t="s">
        <v>4542</v>
      </c>
      <c r="H6368" s="822"/>
      <c r="I6368" s="819"/>
      <c r="J6368" s="818"/>
      <c r="K6368" s="422"/>
      <c r="M6368" s="422"/>
    </row>
    <row r="6369" spans="1:13" x14ac:dyDescent="0.25">
      <c r="A6369" s="820">
        <v>46029</v>
      </c>
      <c r="B6369" s="821">
        <v>418525</v>
      </c>
      <c r="C6369" s="816" t="str">
        <f>IFERROR(INDEX(Table14[],MATCH($B6369,Table14[SAPNo],0),3),"")</f>
        <v>Drop In 1308 CT31   (B)</v>
      </c>
      <c r="D6369" s="817" t="s">
        <v>12</v>
      </c>
      <c r="E6369" s="818">
        <v>6</v>
      </c>
      <c r="F6369" s="818"/>
      <c r="G6369" s="817" t="s">
        <v>4542</v>
      </c>
      <c r="H6369" s="822"/>
      <c r="I6369" s="819"/>
      <c r="J6369" s="818"/>
      <c r="K6369" s="422"/>
      <c r="M6369" s="422"/>
    </row>
    <row r="6370" spans="1:13" x14ac:dyDescent="0.25">
      <c r="A6370" s="820">
        <v>46030</v>
      </c>
      <c r="B6370" s="821">
        <v>418525</v>
      </c>
      <c r="C6370" s="816" t="str">
        <f>IFERROR(INDEX(Table14[],MATCH($B6370,Table14[SAPNo],0),3),"")</f>
        <v>Drop In 1308 CT31   (B)</v>
      </c>
      <c r="D6370" s="817" t="s">
        <v>12</v>
      </c>
      <c r="E6370" s="818">
        <v>6</v>
      </c>
      <c r="F6370" s="818"/>
      <c r="G6370" s="817" t="s">
        <v>4543</v>
      </c>
      <c r="H6370" s="822"/>
      <c r="I6370" s="819"/>
      <c r="J6370" s="818"/>
      <c r="K6370" s="422"/>
      <c r="M6370" s="422"/>
    </row>
    <row r="6371" spans="1:13" x14ac:dyDescent="0.25">
      <c r="A6371" s="820">
        <v>46030</v>
      </c>
      <c r="B6371" s="821">
        <v>1288783</v>
      </c>
      <c r="C6371" s="816" t="str">
        <f>IFERROR(INDEX(Table14[],MATCH($B6371,Table14[SAPNo],0),3),"")</f>
        <v>1613 CT179 18-60</v>
      </c>
      <c r="D6371" s="817" t="s">
        <v>10</v>
      </c>
      <c r="E6371" s="818">
        <v>4</v>
      </c>
      <c r="F6371" s="818"/>
      <c r="G6371" s="817" t="s">
        <v>4543</v>
      </c>
      <c r="H6371" s="822"/>
      <c r="I6371" s="819"/>
      <c r="J6371" s="818"/>
      <c r="K6371" s="422"/>
      <c r="M6371" s="422"/>
    </row>
    <row r="6372" spans="1:13" x14ac:dyDescent="0.25">
      <c r="A6372" s="820">
        <v>46030</v>
      </c>
      <c r="B6372" s="821">
        <v>1271790</v>
      </c>
      <c r="C6372" s="816" t="str">
        <f>IFERROR(INDEX(Table14[],MATCH($B6372,Table14[SAPNo],0),3),"")</f>
        <v xml:space="preserve">1613 CT170 18-60 </v>
      </c>
      <c r="D6372" s="817" t="s">
        <v>12</v>
      </c>
      <c r="E6372" s="818">
        <v>1</v>
      </c>
      <c r="F6372" s="818"/>
      <c r="G6372" s="817" t="s">
        <v>4544</v>
      </c>
      <c r="H6372" s="822"/>
      <c r="I6372" s="819"/>
      <c r="J6372" s="818"/>
      <c r="K6372" s="422"/>
      <c r="M6372" s="422"/>
    </row>
    <row r="6373" spans="1:13" x14ac:dyDescent="0.25">
      <c r="A6373" s="820">
        <v>46030</v>
      </c>
      <c r="B6373" s="821">
        <v>1078377</v>
      </c>
      <c r="C6373" s="816" t="str">
        <f>IFERROR(INDEX(Table14[],MATCH($B6373,Table14[SAPNo],0),3),"")</f>
        <v>13MM CT221 R1</v>
      </c>
      <c r="D6373" s="817" t="s">
        <v>12</v>
      </c>
      <c r="E6373" s="818">
        <v>2</v>
      </c>
      <c r="F6373" s="818"/>
      <c r="G6373" s="817" t="s">
        <v>4544</v>
      </c>
      <c r="H6373" s="822"/>
      <c r="I6373" s="819"/>
      <c r="J6373" s="818"/>
      <c r="K6373" s="422"/>
      <c r="M6373" s="422"/>
    </row>
    <row r="6374" spans="1:13" x14ac:dyDescent="0.25">
      <c r="A6374" s="820">
        <v>46030</v>
      </c>
      <c r="B6374" s="821">
        <v>1208601</v>
      </c>
      <c r="C6374" s="816" t="str">
        <f>IFERROR(INDEX(Table14[],MATCH($B6374,Table14[SAPNo],0),3),"")</f>
        <v>1613 CT418 U-60</v>
      </c>
      <c r="D6374" s="817" t="s">
        <v>12</v>
      </c>
      <c r="E6374" s="818">
        <v>1</v>
      </c>
      <c r="F6374" s="818"/>
      <c r="G6374" s="817" t="s">
        <v>4544</v>
      </c>
      <c r="H6374" s="822"/>
      <c r="I6374" s="819"/>
      <c r="J6374" s="818"/>
      <c r="K6374" s="422"/>
      <c r="M6374" s="422"/>
    </row>
    <row r="6375" spans="1:13" x14ac:dyDescent="0.25">
      <c r="A6375" s="820">
        <v>46030</v>
      </c>
      <c r="B6375" s="821">
        <v>418525</v>
      </c>
      <c r="C6375" s="816" t="str">
        <f>IFERROR(INDEX(Table14[],MATCH($B6375,Table14[SAPNo],0),3),"")</f>
        <v>Drop In 1308 CT31   (B)</v>
      </c>
      <c r="D6375" s="817" t="s">
        <v>12</v>
      </c>
      <c r="E6375" s="818">
        <v>6</v>
      </c>
      <c r="F6375" s="818"/>
      <c r="G6375" s="817" t="s">
        <v>4544</v>
      </c>
      <c r="H6375" s="822"/>
      <c r="I6375" s="819"/>
      <c r="J6375" s="818"/>
      <c r="K6375" s="422"/>
      <c r="M6375" s="422"/>
    </row>
    <row r="6376" spans="1:13" x14ac:dyDescent="0.25">
      <c r="A6376" s="820">
        <v>46030</v>
      </c>
      <c r="B6376" s="821">
        <v>1146737</v>
      </c>
      <c r="C6376" s="816" t="str">
        <f>IFERROR(INDEX(Table14[],MATCH($B6376,Table14[SAPNo],0),3),"")</f>
        <v>1613 CT418 18-60</v>
      </c>
      <c r="D6376" s="817" t="s">
        <v>12</v>
      </c>
      <c r="E6376" s="818">
        <v>5</v>
      </c>
      <c r="F6376" s="818"/>
      <c r="G6376" s="817" t="s">
        <v>4544</v>
      </c>
      <c r="H6376" s="822"/>
      <c r="I6376" s="819"/>
      <c r="J6376" s="818"/>
      <c r="K6376" s="422"/>
      <c r="M6376" s="422"/>
    </row>
    <row r="6377" spans="1:13" x14ac:dyDescent="0.25">
      <c r="A6377" s="820">
        <v>46026</v>
      </c>
      <c r="B6377" s="821">
        <v>1146346</v>
      </c>
      <c r="C6377" s="816" t="str">
        <f>IFERROR(INDEX(Table14[],MATCH($B6377,Table14[SAPNo],0),3),"")</f>
        <v>1313 CT418 18-60</v>
      </c>
      <c r="D6377" s="817" t="s">
        <v>12</v>
      </c>
      <c r="E6377" s="818">
        <v>150</v>
      </c>
      <c r="F6377" s="818"/>
      <c r="G6377" s="817" t="s">
        <v>2513</v>
      </c>
      <c r="H6377" s="822"/>
      <c r="I6377" s="819"/>
      <c r="J6377" s="818" t="s">
        <v>1036</v>
      </c>
      <c r="K6377" s="422"/>
      <c r="M6377" s="422"/>
    </row>
    <row r="6378" spans="1:13" x14ac:dyDescent="0.25">
      <c r="A6378" s="820">
        <v>46026</v>
      </c>
      <c r="B6378" s="821">
        <v>1192902</v>
      </c>
      <c r="C6378" s="816" t="str">
        <f>IFERROR(INDEX(Table14[],MATCH($B6378,Table14[SAPNo],0),3),"")</f>
        <v>12MM CT200NL NA</v>
      </c>
      <c r="D6378" s="817" t="s">
        <v>12</v>
      </c>
      <c r="E6378" s="818">
        <v>26</v>
      </c>
      <c r="F6378" s="818"/>
      <c r="G6378" s="817" t="s">
        <v>2513</v>
      </c>
      <c r="H6378" s="822"/>
      <c r="I6378" s="819"/>
      <c r="J6378" s="818" t="s">
        <v>4437</v>
      </c>
      <c r="K6378" s="422"/>
      <c r="M6378" s="422"/>
    </row>
    <row r="6379" spans="1:13" x14ac:dyDescent="0.25">
      <c r="A6379" s="820">
        <v>46026</v>
      </c>
      <c r="B6379" s="821">
        <v>1293118</v>
      </c>
      <c r="C6379" s="816" t="str">
        <f>IFERROR(INDEX(Table14[],MATCH($B6379,Table14[SAPNo],0),3),"")</f>
        <v>0808 CT158NL 0.018"</v>
      </c>
      <c r="D6379" s="817" t="s">
        <v>12</v>
      </c>
      <c r="E6379" s="818">
        <v>30</v>
      </c>
      <c r="F6379" s="818"/>
      <c r="G6379" s="817" t="s">
        <v>2513</v>
      </c>
      <c r="H6379" s="822"/>
      <c r="I6379" s="819"/>
      <c r="J6379" s="818" t="s">
        <v>4075</v>
      </c>
      <c r="K6379" s="422"/>
      <c r="M6379" s="422"/>
    </row>
    <row r="6380" spans="1:13" x14ac:dyDescent="0.25">
      <c r="A6380" s="820">
        <v>46026</v>
      </c>
      <c r="B6380" s="821">
        <v>717748</v>
      </c>
      <c r="C6380" s="816" t="str">
        <f>IFERROR(INDEX(Table14[],MATCH($B6380,Table14[SAPNo],0),3),"")</f>
        <v>Round 1010 CT200  0.018" (B)</v>
      </c>
      <c r="D6380" s="817" t="s">
        <v>12</v>
      </c>
      <c r="E6380" s="818">
        <v>50</v>
      </c>
      <c r="F6380" s="818"/>
      <c r="G6380" s="817" t="s">
        <v>2513</v>
      </c>
      <c r="H6380" s="818" t="s">
        <v>4075</v>
      </c>
      <c r="I6380" s="819"/>
      <c r="J6380" s="818" t="s">
        <v>4075</v>
      </c>
      <c r="K6380" s="422"/>
      <c r="M6380" s="422"/>
    </row>
    <row r="6381" spans="1:13" x14ac:dyDescent="0.25">
      <c r="A6381" s="820">
        <v>46026</v>
      </c>
      <c r="B6381" s="821">
        <v>871781</v>
      </c>
      <c r="C6381" s="816" t="str">
        <f>IFERROR(INDEX(Table14[],MATCH($B6381,Table14[SAPNo],0),3),"")</f>
        <v>Round 1313 CT200  0.018" (B)</v>
      </c>
      <c r="D6381" s="817" t="s">
        <v>12</v>
      </c>
      <c r="E6381" s="818">
        <v>100</v>
      </c>
      <c r="F6381" s="818"/>
      <c r="G6381" s="817" t="s">
        <v>2513</v>
      </c>
      <c r="H6381" s="822"/>
      <c r="I6381" s="819"/>
      <c r="J6381" s="818" t="s">
        <v>4075</v>
      </c>
      <c r="K6381" s="422"/>
      <c r="M6381" s="422"/>
    </row>
    <row r="6382" spans="1:13" x14ac:dyDescent="0.25">
      <c r="A6382" s="820">
        <v>46026</v>
      </c>
      <c r="B6382" s="821">
        <v>1282369</v>
      </c>
      <c r="C6382" s="816" t="str">
        <f>IFERROR(INDEX(Table14[],MATCH($B6382,Table14[SAPNo],0),3),"")</f>
        <v>1313 CT436Mv3 U-60</v>
      </c>
      <c r="D6382" s="817" t="s">
        <v>12</v>
      </c>
      <c r="E6382" s="818">
        <v>50</v>
      </c>
      <c r="F6382" s="818"/>
      <c r="G6382" s="817" t="s">
        <v>2513</v>
      </c>
      <c r="H6382" s="822"/>
      <c r="I6382" s="819"/>
      <c r="J6382" s="818" t="s">
        <v>4075</v>
      </c>
      <c r="K6382" s="422"/>
      <c r="M6382" s="422"/>
    </row>
    <row r="6383" spans="1:13" x14ac:dyDescent="0.25">
      <c r="A6383" s="820">
        <v>46026</v>
      </c>
      <c r="B6383" s="821">
        <v>1078377</v>
      </c>
      <c r="C6383" s="816" t="str">
        <f>IFERROR(INDEX(Table14[],MATCH($B6383,Table14[SAPNo],0),3),"")</f>
        <v>13MM CT221 R1</v>
      </c>
      <c r="D6383" s="817" t="s">
        <v>12</v>
      </c>
      <c r="E6383" s="818">
        <v>61</v>
      </c>
      <c r="F6383" s="818"/>
      <c r="G6383" s="817" t="s">
        <v>2513</v>
      </c>
      <c r="H6383" s="822"/>
      <c r="I6383" s="819"/>
      <c r="J6383" s="818" t="s">
        <v>4075</v>
      </c>
      <c r="K6383" s="422"/>
      <c r="M6383" s="422"/>
    </row>
    <row r="6384" spans="1:13" x14ac:dyDescent="0.25">
      <c r="A6384" s="820">
        <v>46026</v>
      </c>
      <c r="B6384" s="821">
        <v>1146738</v>
      </c>
      <c r="C6384" s="816" t="str">
        <f>IFERROR(INDEX(Table14[],MATCH($B6384,Table14[SAPNo],0),3),"")</f>
        <v>1913 CT418 18-60</v>
      </c>
      <c r="D6384" s="817" t="s">
        <v>12</v>
      </c>
      <c r="E6384" s="818">
        <v>30</v>
      </c>
      <c r="F6384" s="818"/>
      <c r="G6384" s="817" t="s">
        <v>2513</v>
      </c>
      <c r="H6384" s="822"/>
      <c r="I6384" s="819"/>
      <c r="J6384" s="818" t="s">
        <v>4075</v>
      </c>
      <c r="K6384" s="422"/>
      <c r="M6384" s="422"/>
    </row>
    <row r="6385" spans="1:13" x14ac:dyDescent="0.25">
      <c r="A6385" s="820">
        <v>46026</v>
      </c>
      <c r="B6385" s="821">
        <v>1272937</v>
      </c>
      <c r="C6385" s="816" t="str">
        <f>IFERROR(INDEX(Table14[],MATCH($B6385,Table14[SAPNo],0),3),"")</f>
        <v>1313 CT436 18-60</v>
      </c>
      <c r="D6385" s="817" t="s">
        <v>12</v>
      </c>
      <c r="E6385" s="818">
        <v>75</v>
      </c>
      <c r="F6385" s="818"/>
      <c r="G6385" s="817" t="s">
        <v>2513</v>
      </c>
      <c r="H6385" s="822"/>
      <c r="I6385" s="819"/>
      <c r="J6385" s="818" t="s">
        <v>4075</v>
      </c>
      <c r="K6385" s="422"/>
      <c r="M6385" s="422"/>
    </row>
    <row r="6386" spans="1:13" x14ac:dyDescent="0.25">
      <c r="A6386" s="820">
        <v>46029</v>
      </c>
      <c r="B6386" s="821">
        <v>2004484</v>
      </c>
      <c r="C6386" s="816" t="str">
        <f>IFERROR(INDEX(Table14[],MATCH($B6386,Table14[SAPNo],0),3),"")</f>
        <v>1308 CT187 U-60</v>
      </c>
      <c r="D6386" s="817" t="s">
        <v>12</v>
      </c>
      <c r="E6386" s="818">
        <v>50</v>
      </c>
      <c r="F6386" s="818"/>
      <c r="G6386" s="817" t="s">
        <v>2513</v>
      </c>
      <c r="H6386" s="822"/>
      <c r="I6386" s="819"/>
      <c r="J6386" s="818" t="s">
        <v>4426</v>
      </c>
      <c r="K6386" s="422"/>
      <c r="M6386" s="422"/>
    </row>
    <row r="6387" spans="1:13" x14ac:dyDescent="0.25">
      <c r="A6387" s="820">
        <v>46029</v>
      </c>
      <c r="B6387" s="821">
        <v>871781</v>
      </c>
      <c r="C6387" s="816" t="str">
        <f>IFERROR(INDEX(Table14[],MATCH($B6387,Table14[SAPNo],0),3),"")</f>
        <v>Round 1313 CT200  0.018" (B)</v>
      </c>
      <c r="D6387" s="817" t="s">
        <v>12</v>
      </c>
      <c r="E6387" s="818">
        <v>200</v>
      </c>
      <c r="F6387" s="818"/>
      <c r="G6387" s="817" t="s">
        <v>2513</v>
      </c>
      <c r="H6387" s="822"/>
      <c r="I6387" s="819"/>
      <c r="J6387" s="818" t="s">
        <v>4426</v>
      </c>
      <c r="K6387" s="422"/>
      <c r="M6387" s="422"/>
    </row>
    <row r="6388" spans="1:13" x14ac:dyDescent="0.25">
      <c r="A6388" s="820">
        <v>46029</v>
      </c>
      <c r="B6388" s="821">
        <v>1201518</v>
      </c>
      <c r="C6388" s="816" t="str">
        <f>IFERROR(INDEX(Table14[],MATCH($B6388,Table14[SAPNo],0),3),"")</f>
        <v>12MM WC­MAT404 NA</v>
      </c>
      <c r="D6388" s="817" t="s">
        <v>12</v>
      </c>
      <c r="E6388" s="818">
        <v>100</v>
      </c>
      <c r="F6388" s="818"/>
      <c r="G6388" s="817" t="s">
        <v>2513</v>
      </c>
      <c r="H6388" s="822"/>
      <c r="I6388" s="819"/>
      <c r="J6388" s="818" t="s">
        <v>4426</v>
      </c>
      <c r="K6388" s="422"/>
      <c r="M6388" s="422"/>
    </row>
    <row r="6389" spans="1:13" x14ac:dyDescent="0.25">
      <c r="A6389" s="820">
        <v>46029</v>
      </c>
      <c r="B6389" s="821">
        <v>1228502</v>
      </c>
      <c r="C6389" s="816" t="str">
        <f>IFERROR(INDEX(Table14[],MATCH($B6389,Table14[SAPNo],0),3),"")</f>
        <v>1618 CT182 U-60 Rotor</v>
      </c>
      <c r="D6389" s="817" t="s">
        <v>12</v>
      </c>
      <c r="E6389" s="818">
        <v>200</v>
      </c>
      <c r="F6389" s="818"/>
      <c r="G6389" s="817" t="s">
        <v>2513</v>
      </c>
      <c r="H6389" s="822"/>
      <c r="I6389" s="819"/>
      <c r="J6389" s="818" t="s">
        <v>4426</v>
      </c>
      <c r="K6389" s="422"/>
      <c r="M6389" s="422"/>
    </row>
    <row r="6390" spans="1:13" x14ac:dyDescent="0.25">
      <c r="A6390" s="820">
        <v>46029</v>
      </c>
      <c r="B6390" s="821">
        <v>1228501</v>
      </c>
      <c r="C6390" s="816" t="str">
        <f>IFERROR(INDEX(Table14[],MATCH($B6390,Table14[SAPNo],0),3),"")</f>
        <v>1618 CT182 U-60 stator</v>
      </c>
      <c r="D6390" s="817" t="s">
        <v>12</v>
      </c>
      <c r="E6390" s="818">
        <v>200</v>
      </c>
      <c r="F6390" s="818"/>
      <c r="G6390" s="817" t="s">
        <v>2513</v>
      </c>
      <c r="H6390" s="822"/>
      <c r="I6390" s="819"/>
      <c r="J6390" s="818" t="s">
        <v>4426</v>
      </c>
      <c r="K6390" s="422"/>
      <c r="M6390" s="422"/>
    </row>
    <row r="6391" spans="1:13" x14ac:dyDescent="0.25">
      <c r="A6391" s="820">
        <v>46029</v>
      </c>
      <c r="B6391" s="821">
        <v>1146737</v>
      </c>
      <c r="C6391" s="816" t="str">
        <f>IFERROR(INDEX(Table14[],MATCH($B6391,Table14[SAPNo],0),3),"")</f>
        <v>1613 CT418 18-60</v>
      </c>
      <c r="D6391" s="817" t="s">
        <v>12</v>
      </c>
      <c r="E6391" s="818">
        <v>300</v>
      </c>
      <c r="F6391" s="818"/>
      <c r="G6391" s="817" t="s">
        <v>2513</v>
      </c>
      <c r="H6391" s="822"/>
      <c r="I6391" s="819"/>
      <c r="J6391" s="818" t="s">
        <v>4426</v>
      </c>
      <c r="K6391" s="422"/>
      <c r="M6391" s="422"/>
    </row>
    <row r="6392" spans="1:13" x14ac:dyDescent="0.25">
      <c r="A6392" s="820">
        <v>46029</v>
      </c>
      <c r="B6392" s="821">
        <v>2024642</v>
      </c>
      <c r="C6392" s="816" t="str">
        <f>IFERROR(INDEX(Table14[],MATCH($B6392,Table14[SAPNo],0),3),"")</f>
        <v>1613 CT179P 18-60</v>
      </c>
      <c r="D6392" s="817" t="s">
        <v>12</v>
      </c>
      <c r="E6392" s="818">
        <v>50</v>
      </c>
      <c r="F6392" s="818"/>
      <c r="G6392" s="817" t="s">
        <v>2513</v>
      </c>
      <c r="H6392" s="822"/>
      <c r="I6392" s="819"/>
      <c r="J6392" s="818" t="s">
        <v>4426</v>
      </c>
      <c r="K6392" s="422"/>
      <c r="M6392" s="422"/>
    </row>
    <row r="6393" spans="1:13" x14ac:dyDescent="0.25">
      <c r="A6393" s="820">
        <v>46029</v>
      </c>
      <c r="B6393" s="821">
        <v>2002299</v>
      </c>
      <c r="C6393" s="816" t="str">
        <f>IFERROR(INDEX(Table14[],MATCH($B6393,Table14[SAPNo],0),3),"")</f>
        <v>1613 CT187 U-60</v>
      </c>
      <c r="D6393" s="817" t="s">
        <v>12</v>
      </c>
      <c r="E6393" s="818">
        <v>75</v>
      </c>
      <c r="F6393" s="818"/>
      <c r="G6393" s="817" t="s">
        <v>2513</v>
      </c>
      <c r="H6393" s="822"/>
      <c r="I6393" s="819"/>
      <c r="J6393" s="818" t="s">
        <v>4426</v>
      </c>
      <c r="K6393" s="422"/>
      <c r="M6393" s="422"/>
    </row>
    <row r="6394" spans="1:13" x14ac:dyDescent="0.25">
      <c r="A6394" s="820">
        <v>46029</v>
      </c>
      <c r="B6394" s="821">
        <v>1146346</v>
      </c>
      <c r="C6394" s="816" t="str">
        <f>IFERROR(INDEX(Table14[],MATCH($B6394,Table14[SAPNo],0),3),"")</f>
        <v>1313 CT418 18-60</v>
      </c>
      <c r="D6394" s="817" t="s">
        <v>12</v>
      </c>
      <c r="E6394" s="818">
        <v>75</v>
      </c>
      <c r="F6394" s="818"/>
      <c r="G6394" s="817" t="s">
        <v>2513</v>
      </c>
      <c r="H6394" s="822"/>
      <c r="I6394" s="819"/>
      <c r="J6394" s="818" t="s">
        <v>4075</v>
      </c>
      <c r="K6394" s="422"/>
      <c r="M6394" s="422"/>
    </row>
    <row r="6395" spans="1:13" x14ac:dyDescent="0.25">
      <c r="A6395" s="820">
        <v>46029</v>
      </c>
      <c r="B6395" s="821">
        <v>1078377</v>
      </c>
      <c r="C6395" s="816" t="str">
        <f>IFERROR(INDEX(Table14[],MATCH($B6395,Table14[SAPNo],0),3),"")</f>
        <v>13MM CT221 R1</v>
      </c>
      <c r="D6395" s="817" t="s">
        <v>12</v>
      </c>
      <c r="E6395" s="818">
        <v>39</v>
      </c>
      <c r="F6395" s="818"/>
      <c r="G6395" s="817" t="s">
        <v>2513</v>
      </c>
      <c r="H6395" s="822"/>
      <c r="I6395" s="819"/>
      <c r="J6395" s="818" t="s">
        <v>4075</v>
      </c>
      <c r="K6395" s="422"/>
      <c r="M6395" s="422"/>
    </row>
    <row r="6396" spans="1:13" x14ac:dyDescent="0.25">
      <c r="A6396" s="820">
        <v>46029</v>
      </c>
      <c r="B6396" s="821">
        <v>1220334</v>
      </c>
      <c r="C6396" s="816" t="str">
        <f>IFERROR(INDEX(Table14[],MATCH($B6396,Table14[SAPNo],0),3),"")</f>
        <v>1313 CT158H 10C</v>
      </c>
      <c r="D6396" s="817" t="s">
        <v>12</v>
      </c>
      <c r="E6396" s="818">
        <v>5</v>
      </c>
      <c r="F6396" s="818"/>
      <c r="G6396" s="817" t="s">
        <v>2513</v>
      </c>
      <c r="H6396" s="822"/>
      <c r="I6396" s="819"/>
      <c r="J6396" s="818" t="s">
        <v>4074</v>
      </c>
      <c r="K6396" s="422"/>
      <c r="M6396" s="422"/>
    </row>
    <row r="6397" spans="1:13" x14ac:dyDescent="0.25">
      <c r="A6397" s="820">
        <v>46029</v>
      </c>
      <c r="B6397" s="821">
        <v>1192902</v>
      </c>
      <c r="C6397" s="816" t="str">
        <f>IFERROR(INDEX(Table14[],MATCH($B6397,Table14[SAPNo],0),3),"")</f>
        <v>12MM CT200NL NA</v>
      </c>
      <c r="D6397" s="817" t="s">
        <v>12</v>
      </c>
      <c r="E6397" s="818">
        <v>24</v>
      </c>
      <c r="F6397" s="818"/>
      <c r="G6397" s="817" t="s">
        <v>2513</v>
      </c>
      <c r="H6397" s="822"/>
      <c r="I6397" s="819"/>
      <c r="J6397" s="818" t="s">
        <v>4437</v>
      </c>
      <c r="K6397" s="422"/>
      <c r="M6397" s="422"/>
    </row>
    <row r="6398" spans="1:13" x14ac:dyDescent="0.25">
      <c r="A6398" s="820">
        <v>46029</v>
      </c>
      <c r="B6398" s="821">
        <v>1199261</v>
      </c>
      <c r="C6398" s="816" t="str">
        <f>IFERROR(INDEX(Table14[],MATCH($B6398,Table14[SAPNo],0),3),"")</f>
        <v>1010 CT158 0.018"</v>
      </c>
      <c r="D6398" s="817" t="s">
        <v>12</v>
      </c>
      <c r="E6398" s="818">
        <v>50</v>
      </c>
      <c r="F6398" s="818"/>
      <c r="G6398" s="817" t="s">
        <v>2513</v>
      </c>
      <c r="H6398" s="822"/>
      <c r="I6398" s="819"/>
      <c r="J6398" s="818" t="s">
        <v>4075</v>
      </c>
      <c r="K6398" s="422"/>
      <c r="M6398" s="422"/>
    </row>
    <row r="6399" spans="1:13" x14ac:dyDescent="0.25">
      <c r="A6399" s="820">
        <v>46034</v>
      </c>
      <c r="B6399" s="821">
        <v>1282370</v>
      </c>
      <c r="C6399" s="816" t="str">
        <f>IFERROR(INDEX(Table14[],MATCH($B6399,Table14[SAPNo],0),3),"")</f>
        <v>1613 CT436Mv3 U-60</v>
      </c>
      <c r="D6399" s="817" t="s">
        <v>12</v>
      </c>
      <c r="E6399" s="818">
        <v>15</v>
      </c>
      <c r="F6399" s="818"/>
      <c r="G6399" s="817" t="s">
        <v>2513</v>
      </c>
      <c r="H6399" s="822"/>
      <c r="I6399" s="819"/>
      <c r="J6399" s="818" t="s">
        <v>4426</v>
      </c>
      <c r="K6399" s="422"/>
      <c r="M6399" s="422"/>
    </row>
    <row r="6400" spans="1:13" x14ac:dyDescent="0.25">
      <c r="A6400" s="820">
        <v>46030</v>
      </c>
      <c r="B6400" s="821">
        <v>1039058</v>
      </c>
      <c r="C6400" s="816" t="str">
        <f>IFERROR(INDEX(Table14[],MATCH($B6400,Table14[SAPNo],0),3),"")</f>
        <v>Round 1608 CT138  0.018" (S)</v>
      </c>
      <c r="D6400" s="817" t="s">
        <v>12</v>
      </c>
      <c r="E6400" s="818">
        <v>6</v>
      </c>
      <c r="F6400" s="818"/>
      <c r="G6400" s="817" t="s">
        <v>4545</v>
      </c>
      <c r="H6400" s="822"/>
      <c r="I6400" s="819"/>
      <c r="J6400" s="818"/>
      <c r="K6400" s="422"/>
      <c r="M6400" s="422"/>
    </row>
    <row r="6401" spans="1:13" x14ac:dyDescent="0.25">
      <c r="A6401" s="820">
        <v>46030</v>
      </c>
      <c r="B6401" s="821">
        <v>418525</v>
      </c>
      <c r="C6401" s="816" t="str">
        <f>IFERROR(INDEX(Table14[],MATCH($B6401,Table14[SAPNo],0),3),"")</f>
        <v>Drop In 1308 CT31   (B)</v>
      </c>
      <c r="D6401" s="817" t="s">
        <v>12</v>
      </c>
      <c r="E6401" s="818">
        <v>7</v>
      </c>
      <c r="F6401" s="818"/>
      <c r="G6401" s="817" t="s">
        <v>4545</v>
      </c>
      <c r="H6401" s="822"/>
      <c r="I6401" s="819"/>
      <c r="J6401" s="818"/>
      <c r="K6401" s="422"/>
      <c r="M6401" s="422"/>
    </row>
    <row r="6402" spans="1:13" x14ac:dyDescent="0.25">
      <c r="A6402" s="820">
        <v>46030</v>
      </c>
      <c r="B6402" s="821">
        <v>1144818</v>
      </c>
      <c r="C6402" s="816" t="str">
        <f>IFERROR(INDEX(Table14[],MATCH($B6402,Table14[SAPNo],0),3),"")</f>
        <v>Round 1308 CT153/CR42 Test Cutter 0.018" (T)</v>
      </c>
      <c r="D6402" s="817" t="s">
        <v>12</v>
      </c>
      <c r="E6402" s="818">
        <v>1</v>
      </c>
      <c r="F6402" s="818"/>
      <c r="G6402" s="817" t="s">
        <v>4545</v>
      </c>
      <c r="H6402" s="822"/>
      <c r="I6402" s="819"/>
      <c r="J6402" s="818"/>
      <c r="K6402" s="422"/>
      <c r="M6402" s="422"/>
    </row>
    <row r="6403" spans="1:13" x14ac:dyDescent="0.25">
      <c r="A6403" s="820">
        <v>46030</v>
      </c>
      <c r="B6403" s="821">
        <v>717748</v>
      </c>
      <c r="C6403" s="816" t="str">
        <f>IFERROR(INDEX(Table14[],MATCH($B6403,Table14[SAPNo],0),3),"")</f>
        <v>Round 1010 CT200  0.018" (B)</v>
      </c>
      <c r="D6403" s="817" t="s">
        <v>12</v>
      </c>
      <c r="E6403" s="818">
        <v>2</v>
      </c>
      <c r="F6403" s="818"/>
      <c r="G6403" s="817" t="s">
        <v>4546</v>
      </c>
      <c r="H6403" s="822"/>
      <c r="I6403" s="819"/>
      <c r="J6403" s="818"/>
      <c r="K6403" s="422"/>
      <c r="M6403" s="422"/>
    </row>
    <row r="6404" spans="1:13" x14ac:dyDescent="0.25">
      <c r="A6404" s="820">
        <v>46030</v>
      </c>
      <c r="B6404" s="821">
        <v>1130198</v>
      </c>
      <c r="C6404" s="816" t="str">
        <f>IFERROR(INDEX(Table14[],MATCH($B6404,Table14[SAPNo],0),3),"")</f>
        <v>Round 1613 CT182  0.018" (S)</v>
      </c>
      <c r="D6404" s="817" t="s">
        <v>8</v>
      </c>
      <c r="E6404" s="818">
        <v>19</v>
      </c>
      <c r="F6404" s="818"/>
      <c r="G6404" s="817" t="s">
        <v>4547</v>
      </c>
      <c r="H6404" s="822"/>
      <c r="I6404" s="819"/>
      <c r="J6404" s="818"/>
      <c r="K6404" s="422"/>
      <c r="M6404" s="422"/>
    </row>
    <row r="6405" spans="1:13" x14ac:dyDescent="0.25">
      <c r="A6405" s="820">
        <v>46030</v>
      </c>
      <c r="B6405" s="821">
        <v>418525</v>
      </c>
      <c r="C6405" s="816" t="str">
        <f>IFERROR(INDEX(Table14[],MATCH($B6405,Table14[SAPNo],0),3),"")</f>
        <v>Drop In 1308 CT31   (B)</v>
      </c>
      <c r="D6405" s="817" t="s">
        <v>12</v>
      </c>
      <c r="E6405" s="818">
        <v>12</v>
      </c>
      <c r="F6405" s="818"/>
      <c r="G6405" s="817" t="s">
        <v>4547</v>
      </c>
      <c r="H6405" s="822"/>
      <c r="I6405" s="819"/>
      <c r="J6405" s="818"/>
      <c r="K6405" s="422"/>
      <c r="M6405" s="422"/>
    </row>
    <row r="6406" spans="1:13" x14ac:dyDescent="0.25">
      <c r="A6406" s="820">
        <v>46030</v>
      </c>
      <c r="B6406" s="821">
        <v>535656</v>
      </c>
      <c r="C6406" s="816" t="str">
        <f>IFERROR(INDEX(Table14[],MATCH($B6406,Table14[SAPNo],0),3),"")</f>
        <v>Round 1608 CT36  10C (B)</v>
      </c>
      <c r="D6406" s="817" t="s">
        <v>12</v>
      </c>
      <c r="E6406" s="818">
        <v>3</v>
      </c>
      <c r="F6406" s="818"/>
      <c r="G6406" s="817" t="s">
        <v>4547</v>
      </c>
      <c r="H6406" s="822"/>
      <c r="I6406" s="819"/>
      <c r="J6406" s="818"/>
      <c r="K6406" s="422"/>
      <c r="M6406" s="422"/>
    </row>
    <row r="6407" spans="1:13" x14ac:dyDescent="0.25">
      <c r="A6407" s="820">
        <v>46030</v>
      </c>
      <c r="B6407" s="821">
        <v>1130198</v>
      </c>
      <c r="C6407" s="816" t="str">
        <f>IFERROR(INDEX(Table14[],MATCH($B6407,Table14[SAPNo],0),3),"")</f>
        <v>Round 1613 CT182  0.018" (S)</v>
      </c>
      <c r="D6407" s="817" t="s">
        <v>8</v>
      </c>
      <c r="E6407" s="818">
        <v>20</v>
      </c>
      <c r="F6407" s="818"/>
      <c r="G6407" s="817" t="s">
        <v>4548</v>
      </c>
      <c r="H6407" s="822"/>
      <c r="I6407" s="819"/>
      <c r="J6407" s="818"/>
      <c r="K6407" s="422"/>
      <c r="M6407" s="422"/>
    </row>
    <row r="6408" spans="1:13" x14ac:dyDescent="0.25">
      <c r="A6408" s="820">
        <v>46030</v>
      </c>
      <c r="B6408" s="821">
        <v>418525</v>
      </c>
      <c r="C6408" s="816" t="str">
        <f>IFERROR(INDEX(Table14[],MATCH($B6408,Table14[SAPNo],0),3),"")</f>
        <v>Drop In 1308 CT31   (B)</v>
      </c>
      <c r="D6408" s="817" t="s">
        <v>12</v>
      </c>
      <c r="E6408" s="818">
        <v>12</v>
      </c>
      <c r="F6408" s="818"/>
      <c r="G6408" s="817" t="s">
        <v>4548</v>
      </c>
      <c r="H6408" s="822"/>
      <c r="I6408" s="819"/>
      <c r="J6408" s="818"/>
      <c r="K6408" s="422"/>
      <c r="M6408" s="422"/>
    </row>
    <row r="6409" spans="1:13" x14ac:dyDescent="0.25">
      <c r="A6409" s="820">
        <v>46030</v>
      </c>
      <c r="B6409" s="821">
        <v>535656</v>
      </c>
      <c r="C6409" s="816" t="str">
        <f>IFERROR(INDEX(Table14[],MATCH($B6409,Table14[SAPNo],0),3),"")</f>
        <v>Round 1608 CT36  10C (B)</v>
      </c>
      <c r="D6409" s="817" t="s">
        <v>12</v>
      </c>
      <c r="E6409" s="818">
        <v>2</v>
      </c>
      <c r="F6409" s="818"/>
      <c r="G6409" s="817" t="s">
        <v>4548</v>
      </c>
      <c r="H6409" s="822"/>
      <c r="I6409" s="819"/>
      <c r="J6409" s="818"/>
      <c r="K6409" s="422"/>
      <c r="M6409" s="422"/>
    </row>
    <row r="6410" spans="1:13" x14ac:dyDescent="0.25">
      <c r="A6410" s="820">
        <v>46030</v>
      </c>
      <c r="B6410" s="821">
        <v>418525</v>
      </c>
      <c r="C6410" s="816" t="str">
        <f>IFERROR(INDEX(Table14[],MATCH($B6410,Table14[SAPNo],0),3),"")</f>
        <v>Drop In 1308 CT31   (B)</v>
      </c>
      <c r="D6410" s="817" t="s">
        <v>12</v>
      </c>
      <c r="E6410" s="818">
        <v>9</v>
      </c>
      <c r="F6410" s="818"/>
      <c r="G6410" s="817" t="s">
        <v>4549</v>
      </c>
      <c r="H6410" s="822"/>
      <c r="I6410" s="819"/>
      <c r="J6410" s="818"/>
      <c r="K6410" s="422"/>
      <c r="M6410" s="422"/>
    </row>
    <row r="6411" spans="1:13" x14ac:dyDescent="0.25">
      <c r="A6411" s="820">
        <v>46030</v>
      </c>
      <c r="B6411" s="821">
        <v>1146346</v>
      </c>
      <c r="C6411" s="816" t="str">
        <f>IFERROR(INDEX(Table14[],MATCH($B6411,Table14[SAPNo],0),3),"")</f>
        <v>1313 CT418 18-60</v>
      </c>
      <c r="D6411" s="817" t="s">
        <v>12</v>
      </c>
      <c r="E6411" s="818">
        <v>6</v>
      </c>
      <c r="F6411" s="818"/>
      <c r="G6411" s="817" t="s">
        <v>4549</v>
      </c>
      <c r="H6411" s="822"/>
      <c r="I6411" s="819"/>
      <c r="J6411" s="818"/>
      <c r="K6411" s="422"/>
      <c r="M6411" s="422"/>
    </row>
    <row r="6412" spans="1:13" x14ac:dyDescent="0.25">
      <c r="A6412" s="820">
        <v>46030</v>
      </c>
      <c r="B6412" s="821">
        <v>418525</v>
      </c>
      <c r="C6412" s="816" t="str">
        <f>IFERROR(INDEX(Table14[],MATCH($B6412,Table14[SAPNo],0),3),"")</f>
        <v>Drop In 1308 CT31   (B)</v>
      </c>
      <c r="D6412" s="817" t="s">
        <v>12</v>
      </c>
      <c r="E6412" s="818">
        <v>8</v>
      </c>
      <c r="F6412" s="818"/>
      <c r="G6412" s="817" t="s">
        <v>4550</v>
      </c>
      <c r="H6412" s="822"/>
      <c r="I6412" s="819"/>
      <c r="J6412" s="818"/>
      <c r="K6412" s="422"/>
      <c r="M6412" s="422"/>
    </row>
    <row r="6413" spans="1:13" x14ac:dyDescent="0.25">
      <c r="A6413" s="820">
        <v>46030</v>
      </c>
      <c r="B6413" s="821">
        <v>1130198</v>
      </c>
      <c r="C6413" s="816" t="str">
        <f>IFERROR(INDEX(Table14[],MATCH($B6413,Table14[SAPNo],0),3),"")</f>
        <v>Round 1613 CT182  0.018" (S)</v>
      </c>
      <c r="D6413" s="817" t="s">
        <v>8</v>
      </c>
      <c r="E6413" s="818">
        <v>28</v>
      </c>
      <c r="F6413" s="818"/>
      <c r="G6413" s="817" t="s">
        <v>4550</v>
      </c>
      <c r="H6413" s="822"/>
      <c r="I6413" s="819"/>
      <c r="J6413" s="818"/>
      <c r="K6413" s="422"/>
      <c r="M6413" s="422"/>
    </row>
    <row r="6414" spans="1:13" x14ac:dyDescent="0.25">
      <c r="A6414" s="820">
        <v>46030</v>
      </c>
      <c r="B6414" s="821">
        <v>1288783</v>
      </c>
      <c r="C6414" s="816" t="str">
        <f>IFERROR(INDEX(Table14[],MATCH($B6414,Table14[SAPNo],0),3),"")</f>
        <v>1613 CT179 18-60</v>
      </c>
      <c r="D6414" s="817" t="s">
        <v>12</v>
      </c>
      <c r="E6414" s="818">
        <v>27</v>
      </c>
      <c r="F6414" s="818"/>
      <c r="G6414" s="817" t="s">
        <v>4551</v>
      </c>
      <c r="H6414" s="822"/>
      <c r="I6414" s="819"/>
      <c r="J6414" s="818"/>
      <c r="K6414" s="422"/>
      <c r="M6414" s="422"/>
    </row>
    <row r="6415" spans="1:13" x14ac:dyDescent="0.25">
      <c r="A6415" s="820">
        <v>46030</v>
      </c>
      <c r="B6415" s="821">
        <v>179734</v>
      </c>
      <c r="C6415" s="816" t="str">
        <f>IFERROR(INDEX(Table14[],MATCH($B6415,Table14[SAPNo],0),3),"")</f>
        <v>Long IPA 13    (C)</v>
      </c>
      <c r="D6415" s="817" t="s">
        <v>12</v>
      </c>
      <c r="E6415" s="818">
        <v>35</v>
      </c>
      <c r="F6415" s="818"/>
      <c r="G6415" s="817" t="s">
        <v>4551</v>
      </c>
      <c r="H6415" s="822"/>
      <c r="I6415" s="819"/>
      <c r="J6415" s="818"/>
      <c r="K6415" s="422"/>
      <c r="M6415" s="422"/>
    </row>
    <row r="6416" spans="1:13" x14ac:dyDescent="0.25">
      <c r="A6416" s="820">
        <v>46030</v>
      </c>
      <c r="B6416" s="821">
        <v>1146737</v>
      </c>
      <c r="C6416" s="816" t="str">
        <f>IFERROR(INDEX(Table14[],MATCH($B6416,Table14[SAPNo],0),3),"")</f>
        <v>1613 CT418 18-60</v>
      </c>
      <c r="D6416" s="817" t="s">
        <v>12</v>
      </c>
      <c r="E6416" s="818">
        <v>33</v>
      </c>
      <c r="F6416" s="818"/>
      <c r="G6416" s="817" t="s">
        <v>4551</v>
      </c>
      <c r="H6416" s="822"/>
      <c r="I6416" s="819"/>
      <c r="J6416" s="818"/>
      <c r="K6416" s="422"/>
      <c r="M6416" s="422"/>
    </row>
    <row r="6417" spans="1:13" x14ac:dyDescent="0.25">
      <c r="A6417" s="820">
        <v>46030</v>
      </c>
      <c r="B6417" s="821">
        <v>410851</v>
      </c>
      <c r="C6417" s="816" t="str">
        <f>IFERROR(INDEX(Table14[],MATCH($B6417,Table14[SAPNo],0),3),"")</f>
        <v>PDC Dome 1308 CT31   (B)</v>
      </c>
      <c r="D6417" s="817" t="s">
        <v>12</v>
      </c>
      <c r="E6417" s="818">
        <v>28</v>
      </c>
      <c r="F6417" s="818"/>
      <c r="G6417" s="817" t="s">
        <v>4551</v>
      </c>
      <c r="H6417" s="822"/>
      <c r="I6417" s="819"/>
      <c r="J6417" s="818"/>
      <c r="K6417" s="422"/>
      <c r="M6417" s="422"/>
    </row>
    <row r="6418" spans="1:13" x14ac:dyDescent="0.25">
      <c r="A6418" s="820">
        <v>46030</v>
      </c>
      <c r="B6418" s="821">
        <v>647436</v>
      </c>
      <c r="C6418" s="816" t="str">
        <f>IFERROR(INDEX(Table14[],MATCH($B6418,Table14[SAPNo],0),3),"")</f>
        <v>Round 1613 CT200  0.018" (B)</v>
      </c>
      <c r="D6418" s="817" t="s">
        <v>12</v>
      </c>
      <c r="E6418" s="818">
        <v>27</v>
      </c>
      <c r="F6418" s="818"/>
      <c r="G6418" s="817" t="s">
        <v>4551</v>
      </c>
      <c r="H6418" s="822"/>
      <c r="I6418" s="819"/>
      <c r="J6418" s="818"/>
      <c r="K6418" s="422"/>
      <c r="M6418" s="422"/>
    </row>
    <row r="6419" spans="1:13" x14ac:dyDescent="0.25">
      <c r="A6419" s="820">
        <v>46030</v>
      </c>
      <c r="B6419" s="821">
        <v>418525</v>
      </c>
      <c r="C6419" s="816" t="str">
        <f>IFERROR(INDEX(Table14[],MATCH($B6419,Table14[SAPNo],0),3),"")</f>
        <v>Drop In 1308 CT31   (B)</v>
      </c>
      <c r="D6419" s="817" t="s">
        <v>12</v>
      </c>
      <c r="E6419" s="818">
        <v>14</v>
      </c>
      <c r="F6419" s="818"/>
      <c r="G6419" s="817" t="s">
        <v>4551</v>
      </c>
      <c r="H6419" s="822"/>
      <c r="I6419" s="819"/>
      <c r="J6419" s="818"/>
      <c r="K6419" s="422"/>
      <c r="M6419" s="422"/>
    </row>
    <row r="6420" spans="1:13" x14ac:dyDescent="0.25">
      <c r="A6420" s="820">
        <v>46030</v>
      </c>
      <c r="B6420" s="821">
        <v>2024642</v>
      </c>
      <c r="C6420" s="816" t="str">
        <f>IFERROR(INDEX(Table14[],MATCH($B6420,Table14[SAPNo],0),3),"")</f>
        <v>1613 CT179P 18-60</v>
      </c>
      <c r="D6420" s="817" t="s">
        <v>12</v>
      </c>
      <c r="E6420" s="818">
        <v>20</v>
      </c>
      <c r="F6420" s="818"/>
      <c r="G6420" s="817" t="s">
        <v>4551</v>
      </c>
      <c r="H6420" s="822"/>
      <c r="I6420" s="819"/>
      <c r="J6420" s="818"/>
      <c r="K6420" s="422"/>
      <c r="M6420" s="422"/>
    </row>
    <row r="6421" spans="1:13" x14ac:dyDescent="0.25">
      <c r="A6421" s="820">
        <v>46034</v>
      </c>
      <c r="B6421" s="821">
        <v>1199261</v>
      </c>
      <c r="C6421" s="816" t="str">
        <f>IFERROR(INDEX(Table14[],MATCH($B6421,Table14[SAPNo],0),3),"")</f>
        <v>1010 CT158 0.018"</v>
      </c>
      <c r="D6421" s="817" t="s">
        <v>12</v>
      </c>
      <c r="E6421" s="818">
        <v>26</v>
      </c>
      <c r="F6421" s="818"/>
      <c r="G6421" s="817" t="s">
        <v>4552</v>
      </c>
      <c r="H6421" s="822"/>
      <c r="I6421" s="819"/>
      <c r="J6421" s="818"/>
      <c r="K6421" s="422"/>
      <c r="M6421" s="422"/>
    </row>
    <row r="6422" spans="1:13" x14ac:dyDescent="0.25">
      <c r="A6422" s="820">
        <v>46034</v>
      </c>
      <c r="B6422" s="821">
        <v>1293118</v>
      </c>
      <c r="C6422" s="816" t="str">
        <f>IFERROR(INDEX(Table14[],MATCH($B6422,Table14[SAPNo],0),3),"")</f>
        <v>0808 CT158NL 0.018"</v>
      </c>
      <c r="D6422" s="817" t="s">
        <v>12</v>
      </c>
      <c r="E6422" s="818">
        <v>10</v>
      </c>
      <c r="F6422" s="818"/>
      <c r="G6422" s="817" t="s">
        <v>4552</v>
      </c>
      <c r="H6422" s="822"/>
      <c r="I6422" s="819"/>
      <c r="J6422" s="818"/>
      <c r="K6422" s="422"/>
      <c r="M6422" s="422"/>
    </row>
    <row r="6423" spans="1:13" x14ac:dyDescent="0.25">
      <c r="A6423" s="820">
        <v>46034</v>
      </c>
      <c r="B6423" s="821">
        <v>1230916</v>
      </c>
      <c r="C6423" s="816" t="str">
        <f>IFERROR(INDEX(Table14[],MATCH($B6423,Table14[SAPNo],0),3),"")</f>
        <v>1005 CT158 0.018"</v>
      </c>
      <c r="D6423" s="817" t="s">
        <v>12</v>
      </c>
      <c r="E6423" s="818">
        <v>8</v>
      </c>
      <c r="F6423" s="818"/>
      <c r="G6423" s="817" t="s">
        <v>4552</v>
      </c>
      <c r="H6423" s="822"/>
      <c r="I6423" s="819"/>
      <c r="J6423" s="818"/>
      <c r="K6423" s="422"/>
      <c r="M6423" s="422"/>
    </row>
    <row r="6424" spans="1:13" x14ac:dyDescent="0.25">
      <c r="A6424" s="820">
        <v>46034</v>
      </c>
      <c r="B6424" s="821">
        <v>1039034</v>
      </c>
      <c r="C6424" s="816" t="str">
        <f>IFERROR(INDEX(Table14[],MATCH($B6424,Table14[SAPNo],0),3),"")</f>
        <v>Round 1308 CT138  0.018" (S)</v>
      </c>
      <c r="D6424" s="817" t="s">
        <v>8</v>
      </c>
      <c r="E6424" s="818">
        <v>22</v>
      </c>
      <c r="F6424" s="818"/>
      <c r="G6424" s="817" t="s">
        <v>4545</v>
      </c>
      <c r="H6424" s="822"/>
      <c r="I6424" s="819"/>
      <c r="J6424" s="818"/>
      <c r="K6424" s="422"/>
      <c r="M6424" s="422"/>
    </row>
    <row r="6425" spans="1:13" x14ac:dyDescent="0.25">
      <c r="A6425" s="820">
        <v>46034</v>
      </c>
      <c r="B6425" s="821">
        <v>647435</v>
      </c>
      <c r="C6425" s="816" t="str">
        <f>IFERROR(INDEX(Table14[],MATCH($B6425,Table14[SAPNo],0),3),"")</f>
        <v>Round 1608 CT200  0.018" (B)</v>
      </c>
      <c r="D6425" s="817" t="s">
        <v>12</v>
      </c>
      <c r="E6425" s="818">
        <v>23</v>
      </c>
      <c r="F6425" s="818"/>
      <c r="G6425" s="817" t="s">
        <v>4553</v>
      </c>
      <c r="H6425" s="822"/>
      <c r="I6425" s="819"/>
      <c r="J6425" s="818"/>
      <c r="K6425" s="422"/>
      <c r="M6425" s="422"/>
    </row>
    <row r="6426" spans="1:13" x14ac:dyDescent="0.25">
      <c r="A6426" s="820">
        <v>46034</v>
      </c>
      <c r="B6426" s="821">
        <v>1288783</v>
      </c>
      <c r="C6426" s="816" t="str">
        <f>IFERROR(INDEX(Table14[],MATCH($B6426,Table14[SAPNo],0),3),"")</f>
        <v>1613 CT179 18-60</v>
      </c>
      <c r="D6426" s="817" t="s">
        <v>12</v>
      </c>
      <c r="E6426" s="818">
        <v>14</v>
      </c>
      <c r="F6426" s="818"/>
      <c r="G6426" s="817" t="s">
        <v>4553</v>
      </c>
      <c r="H6426" s="822"/>
      <c r="I6426" s="819"/>
      <c r="J6426" s="818"/>
      <c r="K6426" s="422"/>
      <c r="M6426" s="422"/>
    </row>
    <row r="6427" spans="1:13" x14ac:dyDescent="0.25">
      <c r="A6427" s="820">
        <v>46034</v>
      </c>
      <c r="B6427" s="821">
        <v>1146737</v>
      </c>
      <c r="C6427" s="816" t="str">
        <f>IFERROR(INDEX(Table14[],MATCH($B6427,Table14[SAPNo],0),3),"")</f>
        <v>1613 CT418 18-60</v>
      </c>
      <c r="D6427" s="817" t="s">
        <v>12</v>
      </c>
      <c r="E6427" s="818">
        <v>7</v>
      </c>
      <c r="F6427" s="818"/>
      <c r="G6427" s="817" t="s">
        <v>4553</v>
      </c>
      <c r="H6427" s="822"/>
      <c r="I6427" s="819"/>
      <c r="J6427" s="818"/>
      <c r="K6427" s="422"/>
      <c r="M6427" s="422"/>
    </row>
    <row r="6428" spans="1:13" x14ac:dyDescent="0.25">
      <c r="A6428" s="820">
        <v>46034</v>
      </c>
      <c r="B6428" s="821">
        <v>871781</v>
      </c>
      <c r="C6428" s="816" t="str">
        <f>IFERROR(INDEX(Table14[],MATCH($B6428,Table14[SAPNo],0),3),"")</f>
        <v>Round 1313 CT200  0.018" (B)</v>
      </c>
      <c r="D6428" s="817" t="s">
        <v>12</v>
      </c>
      <c r="E6428" s="818">
        <v>6</v>
      </c>
      <c r="F6428" s="818"/>
      <c r="G6428" s="817" t="s">
        <v>4553</v>
      </c>
      <c r="H6428" s="822"/>
      <c r="I6428" s="819"/>
      <c r="J6428" s="818"/>
      <c r="K6428" s="422"/>
      <c r="M6428" s="422"/>
    </row>
    <row r="6429" spans="1:13" x14ac:dyDescent="0.25">
      <c r="A6429" s="820">
        <v>46034</v>
      </c>
      <c r="B6429" s="821">
        <v>1282370</v>
      </c>
      <c r="C6429" s="816" t="str">
        <f>IFERROR(INDEX(Table14[],MATCH($B6429,Table14[SAPNo],0),3),"")</f>
        <v>1613 CT436Mv3 U-60</v>
      </c>
      <c r="D6429" s="817" t="s">
        <v>12</v>
      </c>
      <c r="E6429" s="818">
        <v>6</v>
      </c>
      <c r="F6429" s="818"/>
      <c r="G6429" s="817" t="s">
        <v>4553</v>
      </c>
      <c r="H6429" s="822"/>
      <c r="I6429" s="819"/>
      <c r="J6429" s="818"/>
      <c r="K6429" s="422"/>
      <c r="M6429" s="422"/>
    </row>
    <row r="6430" spans="1:13" x14ac:dyDescent="0.25">
      <c r="A6430" s="820">
        <v>46034</v>
      </c>
      <c r="B6430" s="821">
        <v>2022731</v>
      </c>
      <c r="C6430" s="816" t="str">
        <f>IFERROR(INDEX(Table14[],MATCH($B6430,Table14[SAPNo],0),3),"")</f>
        <v>1613 CT179R U-60</v>
      </c>
      <c r="D6430" s="817" t="s">
        <v>12</v>
      </c>
      <c r="E6430" s="818">
        <v>6</v>
      </c>
      <c r="F6430" s="818"/>
      <c r="G6430" s="817" t="s">
        <v>4553</v>
      </c>
      <c r="H6430" s="822"/>
      <c r="I6430" s="819"/>
      <c r="J6430" s="818"/>
      <c r="K6430" s="422"/>
      <c r="M6430" s="422"/>
    </row>
    <row r="6431" spans="1:13" x14ac:dyDescent="0.25">
      <c r="A6431" s="820">
        <v>46034</v>
      </c>
      <c r="B6431" s="821">
        <v>717751</v>
      </c>
      <c r="C6431" s="816" t="str">
        <f>IFERROR(INDEX(Table14[],MATCH($B6431,Table14[SAPNo],0),3),"")</f>
        <v>Round 1308 CT200  0.018" (B)</v>
      </c>
      <c r="D6431" s="817" t="s">
        <v>12</v>
      </c>
      <c r="E6431" s="818">
        <v>12</v>
      </c>
      <c r="F6431" s="818"/>
      <c r="G6431" s="817" t="s">
        <v>4554</v>
      </c>
      <c r="H6431" s="822"/>
      <c r="I6431" s="819"/>
      <c r="J6431" s="818"/>
      <c r="K6431" s="422"/>
      <c r="M6431" s="422"/>
    </row>
    <row r="6432" spans="1:13" x14ac:dyDescent="0.25">
      <c r="A6432" s="820">
        <v>46034</v>
      </c>
      <c r="B6432" s="821">
        <v>2001657</v>
      </c>
      <c r="C6432" s="816" t="str">
        <f>IFERROR(INDEX(Table14[],MATCH($B6432,Table14[SAPNo],0),3),"")</f>
        <v>1613 CT179T U</v>
      </c>
      <c r="D6432" s="817" t="s">
        <v>12</v>
      </c>
      <c r="E6432" s="818">
        <v>12</v>
      </c>
      <c r="F6432" s="818"/>
      <c r="G6432" s="817" t="s">
        <v>4554</v>
      </c>
      <c r="H6432" s="822"/>
      <c r="I6432" s="819"/>
      <c r="J6432" s="818"/>
      <c r="K6432" s="422"/>
      <c r="M6432" s="422"/>
    </row>
    <row r="6433" spans="1:13" x14ac:dyDescent="0.25">
      <c r="A6433" s="820">
        <v>46034</v>
      </c>
      <c r="B6433" s="821">
        <v>1208601</v>
      </c>
      <c r="C6433" s="816" t="str">
        <f>IFERROR(INDEX(Table14[],MATCH($B6433,Table14[SAPNo],0),3),"")</f>
        <v>1613 CT418 U-60</v>
      </c>
      <c r="D6433" s="817" t="s">
        <v>12</v>
      </c>
      <c r="E6433" s="818">
        <v>8</v>
      </c>
      <c r="F6433" s="818"/>
      <c r="G6433" s="817" t="s">
        <v>4554</v>
      </c>
      <c r="H6433" s="822"/>
      <c r="I6433" s="819"/>
      <c r="J6433" s="818"/>
      <c r="K6433" s="422"/>
      <c r="M6433" s="422"/>
    </row>
    <row r="6434" spans="1:13" x14ac:dyDescent="0.25">
      <c r="A6434" s="820">
        <v>46034</v>
      </c>
      <c r="B6434" s="821">
        <v>871781</v>
      </c>
      <c r="C6434" s="816" t="str">
        <f>IFERROR(INDEX(Table14[],MATCH($B6434,Table14[SAPNo],0),3),"")</f>
        <v>Round 1313 CT200  0.018" (B)</v>
      </c>
      <c r="D6434" s="817" t="s">
        <v>12</v>
      </c>
      <c r="E6434" s="818">
        <v>6</v>
      </c>
      <c r="F6434" s="818"/>
      <c r="G6434" s="817" t="s">
        <v>4554</v>
      </c>
      <c r="H6434" s="822"/>
      <c r="I6434" s="819"/>
      <c r="J6434" s="818"/>
      <c r="K6434" s="422"/>
      <c r="M6434" s="422"/>
    </row>
    <row r="6435" spans="1:13" x14ac:dyDescent="0.25">
      <c r="A6435" s="820">
        <v>46034</v>
      </c>
      <c r="B6435" s="821">
        <v>1100739</v>
      </c>
      <c r="C6435" s="816" t="str">
        <f>IFERROR(INDEX(Table14[],MATCH($B6435,Table14[SAPNo],0),3),"")</f>
        <v>1608 CT418 0.018"</v>
      </c>
      <c r="D6435" s="817" t="s">
        <v>12</v>
      </c>
      <c r="E6435" s="818">
        <v>6</v>
      </c>
      <c r="F6435" s="818"/>
      <c r="G6435" s="817" t="s">
        <v>4554</v>
      </c>
      <c r="H6435" s="822"/>
      <c r="I6435" s="819"/>
      <c r="J6435" s="818"/>
      <c r="K6435" s="422"/>
      <c r="M6435" s="422"/>
    </row>
    <row r="6436" spans="1:13" x14ac:dyDescent="0.25">
      <c r="A6436" s="820">
        <v>46034</v>
      </c>
      <c r="B6436" s="821">
        <v>1146737</v>
      </c>
      <c r="C6436" s="816" t="str">
        <f>IFERROR(INDEX(Table14[],MATCH($B6436,Table14[SAPNo],0),3),"")</f>
        <v>1613 CT418 18-60</v>
      </c>
      <c r="D6436" s="817" t="s">
        <v>12</v>
      </c>
      <c r="E6436" s="818">
        <v>6</v>
      </c>
      <c r="F6436" s="818"/>
      <c r="G6436" s="817" t="s">
        <v>4554</v>
      </c>
      <c r="H6436" s="822"/>
      <c r="I6436" s="819"/>
      <c r="J6436" s="818"/>
      <c r="K6436" s="422"/>
      <c r="M6436" s="422"/>
    </row>
    <row r="6437" spans="1:13" x14ac:dyDescent="0.25">
      <c r="A6437" s="820">
        <v>46034</v>
      </c>
      <c r="B6437" s="821">
        <v>1288783</v>
      </c>
      <c r="C6437" s="816" t="str">
        <f>IFERROR(INDEX(Table14[],MATCH($B6437,Table14[SAPNo],0),3),"")</f>
        <v>1613 CT179 18-60</v>
      </c>
      <c r="D6437" s="817" t="s">
        <v>12</v>
      </c>
      <c r="E6437" s="818">
        <v>5</v>
      </c>
      <c r="F6437" s="818"/>
      <c r="G6437" s="817" t="s">
        <v>4554</v>
      </c>
      <c r="H6437" s="822"/>
      <c r="I6437" s="819"/>
      <c r="J6437" s="818"/>
      <c r="K6437" s="422"/>
      <c r="M6437" s="422"/>
    </row>
    <row r="6438" spans="1:13" x14ac:dyDescent="0.25">
      <c r="A6438" s="820">
        <v>46035</v>
      </c>
      <c r="B6438" s="821">
        <v>1078377</v>
      </c>
      <c r="C6438" s="816" t="str">
        <f>IFERROR(INDEX(Table14[],MATCH($B6438,Table14[SAPNo],0),3),"")</f>
        <v>13MM CT221 R1</v>
      </c>
      <c r="D6438" s="817" t="s">
        <v>10</v>
      </c>
      <c r="E6438" s="818">
        <v>5</v>
      </c>
      <c r="F6438" s="818"/>
      <c r="G6438" s="817" t="s">
        <v>4555</v>
      </c>
      <c r="H6438" s="822"/>
      <c r="I6438" s="819"/>
      <c r="J6438" s="818"/>
      <c r="K6438" s="422"/>
      <c r="M6438" s="422"/>
    </row>
    <row r="6439" spans="1:13" x14ac:dyDescent="0.25">
      <c r="A6439" s="820">
        <v>46035</v>
      </c>
      <c r="B6439" s="821">
        <v>1208601</v>
      </c>
      <c r="C6439" s="816" t="str">
        <f>IFERROR(INDEX(Table14[],MATCH($B6439,Table14[SAPNo],0),3),"")</f>
        <v>1613 CT418 U-60</v>
      </c>
      <c r="D6439" s="817" t="s">
        <v>10</v>
      </c>
      <c r="E6439" s="818">
        <v>6</v>
      </c>
      <c r="F6439" s="818"/>
      <c r="G6439" s="817" t="s">
        <v>4555</v>
      </c>
      <c r="H6439" s="822"/>
      <c r="I6439" s="819"/>
      <c r="J6439" s="818"/>
      <c r="K6439" s="422"/>
      <c r="M6439" s="422"/>
    </row>
    <row r="6440" spans="1:13" x14ac:dyDescent="0.25">
      <c r="A6440" s="820">
        <v>46035</v>
      </c>
      <c r="B6440" s="821">
        <v>418525</v>
      </c>
      <c r="C6440" s="816" t="str">
        <f>IFERROR(INDEX(Table14[],MATCH($B6440,Table14[SAPNo],0),3),"")</f>
        <v>Drop In 1308 CT31   (B)</v>
      </c>
      <c r="D6440" s="817" t="s">
        <v>12</v>
      </c>
      <c r="E6440" s="818">
        <v>6</v>
      </c>
      <c r="F6440" s="818"/>
      <c r="G6440" s="817" t="s">
        <v>4555</v>
      </c>
      <c r="H6440" s="822"/>
      <c r="I6440" s="819"/>
      <c r="J6440" s="818"/>
      <c r="K6440" s="422"/>
      <c r="M6440" s="422"/>
    </row>
    <row r="6441" spans="1:13" x14ac:dyDescent="0.25">
      <c r="A6441" s="820">
        <v>46035</v>
      </c>
      <c r="B6441" s="821">
        <v>1146737</v>
      </c>
      <c r="C6441" s="816" t="str">
        <f>IFERROR(INDEX(Table14[],MATCH($B6441,Table14[SAPNo],0),3),"")</f>
        <v>1613 CT418 18-60</v>
      </c>
      <c r="D6441" s="817" t="s">
        <v>10</v>
      </c>
      <c r="E6441" s="818">
        <v>6</v>
      </c>
      <c r="F6441" s="818"/>
      <c r="G6441" s="817" t="s">
        <v>4555</v>
      </c>
      <c r="H6441" s="822"/>
      <c r="I6441" s="819"/>
      <c r="J6441" s="818"/>
      <c r="K6441" s="422"/>
      <c r="M6441" s="422"/>
    </row>
    <row r="6442" spans="1:13" x14ac:dyDescent="0.25">
      <c r="A6442" s="820">
        <v>46035</v>
      </c>
      <c r="B6442" s="821">
        <v>1288783</v>
      </c>
      <c r="C6442" s="816" t="str">
        <f>IFERROR(INDEX(Table14[],MATCH($B6442,Table14[SAPNo],0),3),"")</f>
        <v>1613 CT179 18-60</v>
      </c>
      <c r="D6442" s="817" t="s">
        <v>12</v>
      </c>
      <c r="E6442" s="818">
        <v>13</v>
      </c>
      <c r="F6442" s="818"/>
      <c r="G6442" s="817" t="s">
        <v>4555</v>
      </c>
      <c r="H6442" s="822"/>
      <c r="I6442" s="819"/>
      <c r="J6442" s="818"/>
      <c r="K6442" s="422"/>
      <c r="M6442" s="422"/>
    </row>
    <row r="6443" spans="1:13" x14ac:dyDescent="0.25">
      <c r="A6443" s="820">
        <v>46035</v>
      </c>
      <c r="B6443" s="821">
        <v>1288783</v>
      </c>
      <c r="C6443" s="816" t="str">
        <f>IFERROR(INDEX(Table14[],MATCH($B6443,Table14[SAPNo],0),3),"")</f>
        <v>1613 CT179 18-60</v>
      </c>
      <c r="D6443" s="817" t="s">
        <v>12</v>
      </c>
      <c r="E6443" s="818">
        <v>1</v>
      </c>
      <c r="F6443" s="818"/>
      <c r="G6443" s="817" t="s">
        <v>4555</v>
      </c>
      <c r="H6443" s="822"/>
      <c r="I6443" s="819"/>
      <c r="J6443" s="818"/>
      <c r="K6443" s="422"/>
      <c r="M6443" s="422"/>
    </row>
    <row r="6444" spans="1:13" x14ac:dyDescent="0.25">
      <c r="A6444" s="820">
        <v>46035</v>
      </c>
      <c r="B6444" s="821">
        <v>1039064</v>
      </c>
      <c r="C6444" s="816" t="str">
        <f>IFERROR(INDEX(Table14[],MATCH($B6444,Table14[SAPNo],0),3),"")</f>
        <v>Round 1913 CT138 TSP V 0.018" (S)</v>
      </c>
      <c r="D6444" s="817" t="s">
        <v>8</v>
      </c>
      <c r="E6444" s="818">
        <v>39</v>
      </c>
      <c r="F6444" s="818"/>
      <c r="G6444" s="817" t="s">
        <v>4556</v>
      </c>
      <c r="H6444" s="822"/>
      <c r="I6444" s="819"/>
      <c r="J6444" s="818"/>
      <c r="K6444" s="422"/>
      <c r="M6444" s="422"/>
    </row>
    <row r="6445" spans="1:13" x14ac:dyDescent="0.25">
      <c r="A6445" s="820">
        <v>46035</v>
      </c>
      <c r="B6445" s="821">
        <v>418525</v>
      </c>
      <c r="C6445" s="816" t="str">
        <f>IFERROR(INDEX(Table14[],MATCH($B6445,Table14[SAPNo],0),3),"")</f>
        <v>Drop In 1308 CT31   (B)</v>
      </c>
      <c r="D6445" s="817" t="s">
        <v>12</v>
      </c>
      <c r="E6445" s="818">
        <v>4</v>
      </c>
      <c r="F6445" s="818"/>
      <c r="G6445" s="817" t="s">
        <v>4556</v>
      </c>
      <c r="H6445" s="822"/>
      <c r="I6445" s="819"/>
      <c r="J6445" s="818"/>
      <c r="K6445" s="422"/>
      <c r="M6445" s="422"/>
    </row>
    <row r="6446" spans="1:13" x14ac:dyDescent="0.25">
      <c r="A6446" s="820">
        <v>46035</v>
      </c>
      <c r="B6446" s="821">
        <v>708306</v>
      </c>
      <c r="C6446" s="816" t="str">
        <f>IFERROR(INDEX(Table14[],MATCH($B6446,Table14[SAPNo],0),3),"")</f>
        <v>Round 1913 CT200  0.018" (B)</v>
      </c>
      <c r="D6446" s="817" t="s">
        <v>12</v>
      </c>
      <c r="E6446" s="818">
        <v>8</v>
      </c>
      <c r="F6446" s="818"/>
      <c r="G6446" s="817" t="s">
        <v>4556</v>
      </c>
      <c r="H6446" s="822"/>
      <c r="I6446" s="819"/>
      <c r="J6446" s="818"/>
      <c r="K6446" s="422"/>
      <c r="M6446" s="422"/>
    </row>
    <row r="6447" spans="1:13" x14ac:dyDescent="0.25">
      <c r="A6447" s="820">
        <v>46035</v>
      </c>
      <c r="B6447" s="821">
        <v>1288783</v>
      </c>
      <c r="C6447" s="816" t="str">
        <f>IFERROR(INDEX(Table14[],MATCH($B6447,Table14[SAPNo],0),3),"")</f>
        <v>1613 CT179 18-60</v>
      </c>
      <c r="D6447" s="817" t="s">
        <v>12</v>
      </c>
      <c r="E6447" s="818">
        <v>9</v>
      </c>
      <c r="F6447" s="818"/>
      <c r="G6447" s="817" t="s">
        <v>4557</v>
      </c>
      <c r="H6447" s="822"/>
      <c r="I6447" s="819"/>
      <c r="J6447" s="818"/>
      <c r="K6447" s="422"/>
      <c r="M6447" s="422"/>
    </row>
    <row r="6448" spans="1:13" x14ac:dyDescent="0.25">
      <c r="A6448" s="820">
        <v>46035</v>
      </c>
      <c r="B6448" s="821">
        <v>1078377</v>
      </c>
      <c r="C6448" s="816" t="str">
        <f>IFERROR(INDEX(Table14[],MATCH($B6448,Table14[SAPNo],0),3),"")</f>
        <v>13MM CT221 R1</v>
      </c>
      <c r="D6448" s="817" t="s">
        <v>12</v>
      </c>
      <c r="E6448" s="818">
        <v>15</v>
      </c>
      <c r="F6448" s="818"/>
      <c r="G6448" s="817" t="s">
        <v>4557</v>
      </c>
      <c r="H6448" s="822"/>
      <c r="I6448" s="819"/>
      <c r="J6448" s="818"/>
      <c r="K6448" s="422"/>
      <c r="M6448" s="422"/>
    </row>
    <row r="6449" spans="1:13" x14ac:dyDescent="0.25">
      <c r="A6449" s="820">
        <v>46035</v>
      </c>
      <c r="B6449" s="821">
        <v>1208601</v>
      </c>
      <c r="C6449" s="816" t="str">
        <f>IFERROR(INDEX(Table14[],MATCH($B6449,Table14[SAPNo],0),3),"")</f>
        <v>1613 CT418 U-60</v>
      </c>
      <c r="D6449" s="817" t="s">
        <v>12</v>
      </c>
      <c r="E6449" s="818">
        <v>8</v>
      </c>
      <c r="F6449" s="818"/>
      <c r="G6449" s="817" t="s">
        <v>4557</v>
      </c>
      <c r="H6449" s="822"/>
      <c r="I6449" s="819"/>
      <c r="J6449" s="818"/>
      <c r="K6449" s="422"/>
      <c r="M6449" s="422"/>
    </row>
    <row r="6450" spans="1:13" x14ac:dyDescent="0.25">
      <c r="A6450" s="820">
        <v>46035</v>
      </c>
      <c r="B6450" s="821">
        <v>871781</v>
      </c>
      <c r="C6450" s="816" t="str">
        <f>IFERROR(INDEX(Table14[],MATCH($B6450,Table14[SAPNo],0),3),"")</f>
        <v>Round 1313 CT200  0.018" (B)</v>
      </c>
      <c r="D6450" s="817" t="s">
        <v>12</v>
      </c>
      <c r="E6450" s="818">
        <v>6</v>
      </c>
      <c r="F6450" s="818"/>
      <c r="G6450" s="817" t="s">
        <v>4557</v>
      </c>
      <c r="H6450" s="822"/>
      <c r="I6450" s="819"/>
      <c r="J6450" s="818"/>
      <c r="K6450" s="422"/>
      <c r="M6450" s="422"/>
    </row>
    <row r="6451" spans="1:13" x14ac:dyDescent="0.25">
      <c r="A6451" s="820">
        <v>46035</v>
      </c>
      <c r="B6451" s="821">
        <v>1146737</v>
      </c>
      <c r="C6451" s="816" t="str">
        <f>IFERROR(INDEX(Table14[],MATCH($B6451,Table14[SAPNo],0),3),"")</f>
        <v>1613 CT418 18-60</v>
      </c>
      <c r="D6451" s="817" t="s">
        <v>12</v>
      </c>
      <c r="E6451" s="818">
        <v>6</v>
      </c>
      <c r="F6451" s="818"/>
      <c r="G6451" s="817" t="s">
        <v>4557</v>
      </c>
      <c r="H6451" s="822"/>
      <c r="I6451" s="819"/>
      <c r="J6451" s="818"/>
      <c r="K6451" s="422"/>
      <c r="M6451" s="422"/>
    </row>
    <row r="6452" spans="1:13" x14ac:dyDescent="0.25">
      <c r="A6452" s="820">
        <v>46035</v>
      </c>
      <c r="B6452" s="821">
        <v>2024642</v>
      </c>
      <c r="C6452" s="816" t="str">
        <f>IFERROR(INDEX(Table14[],MATCH($B6452,Table14[SAPNo],0),3),"")</f>
        <v>1613 CT179P 18-60</v>
      </c>
      <c r="D6452" s="817" t="s">
        <v>12</v>
      </c>
      <c r="E6452" s="818">
        <v>8</v>
      </c>
      <c r="F6452" s="818"/>
      <c r="G6452" s="817" t="s">
        <v>4557</v>
      </c>
      <c r="H6452" s="822"/>
      <c r="I6452" s="819"/>
      <c r="J6452" s="818"/>
      <c r="K6452" s="422"/>
      <c r="M6452" s="422"/>
    </row>
    <row r="6453" spans="1:13" x14ac:dyDescent="0.25">
      <c r="A6453" s="820">
        <v>46036</v>
      </c>
      <c r="B6453" s="821">
        <v>2022731</v>
      </c>
      <c r="C6453" s="816" t="str">
        <f>IFERROR(INDEX(Table14[],MATCH($B6453,Table14[SAPNo],0),3),"")</f>
        <v>1613 CT179R U-60</v>
      </c>
      <c r="D6453" s="817" t="s">
        <v>12</v>
      </c>
      <c r="E6453" s="818">
        <v>22</v>
      </c>
      <c r="F6453" s="818"/>
      <c r="G6453" s="817" t="s">
        <v>4558</v>
      </c>
      <c r="H6453" s="822"/>
      <c r="I6453" s="819"/>
      <c r="J6453" s="818"/>
      <c r="K6453" s="422"/>
      <c r="M6453" s="422"/>
    </row>
    <row r="6454" spans="1:13" x14ac:dyDescent="0.25">
      <c r="A6454" s="820">
        <v>46036</v>
      </c>
      <c r="B6454" s="821">
        <v>1288783</v>
      </c>
      <c r="C6454" s="816" t="str">
        <f>IFERROR(INDEX(Table14[],MATCH($B6454,Table14[SAPNo],0),3),"")</f>
        <v>1613 CT179 18-60</v>
      </c>
      <c r="D6454" s="817" t="s">
        <v>12</v>
      </c>
      <c r="E6454" s="818">
        <v>13</v>
      </c>
      <c r="F6454" s="818"/>
      <c r="G6454" s="817" t="s">
        <v>4558</v>
      </c>
      <c r="H6454" s="822"/>
      <c r="I6454" s="819"/>
      <c r="J6454" s="818"/>
      <c r="K6454" s="422"/>
      <c r="M6454" s="422"/>
    </row>
    <row r="6455" spans="1:13" x14ac:dyDescent="0.25">
      <c r="A6455" s="820">
        <v>46036</v>
      </c>
      <c r="B6455" s="821">
        <v>1296685</v>
      </c>
      <c r="C6455" s="816" t="str">
        <f>IFERROR(INDEX(Table14[],MATCH($B6455,Table14[SAPNo],0),3),"")</f>
        <v>1613 CT179R U</v>
      </c>
      <c r="D6455" s="817" t="s">
        <v>12</v>
      </c>
      <c r="E6455" s="818">
        <v>20</v>
      </c>
      <c r="F6455" s="818"/>
      <c r="G6455" s="817" t="s">
        <v>4558</v>
      </c>
      <c r="H6455" s="822"/>
      <c r="I6455" s="819"/>
      <c r="J6455" s="818"/>
      <c r="K6455" s="422"/>
      <c r="M6455" s="422"/>
    </row>
    <row r="6456" spans="1:13" x14ac:dyDescent="0.25">
      <c r="A6456" s="820">
        <v>46036</v>
      </c>
      <c r="B6456" s="821">
        <v>1288783</v>
      </c>
      <c r="C6456" s="816" t="str">
        <f>IFERROR(INDEX(Table14[],MATCH($B6456,Table14[SAPNo],0),3),"")</f>
        <v>1613 CT179 18-60</v>
      </c>
      <c r="D6456" s="817" t="s">
        <v>12</v>
      </c>
      <c r="E6456" s="818">
        <v>9</v>
      </c>
      <c r="F6456" s="818"/>
      <c r="G6456" s="817" t="s">
        <v>4559</v>
      </c>
      <c r="H6456" s="822"/>
      <c r="I6456" s="819"/>
      <c r="J6456" s="818"/>
      <c r="K6456" s="422"/>
      <c r="M6456" s="422"/>
    </row>
    <row r="6457" spans="1:13" x14ac:dyDescent="0.25">
      <c r="A6457" s="820">
        <v>46036</v>
      </c>
      <c r="B6457" s="821">
        <v>1078377</v>
      </c>
      <c r="C6457" s="816" t="str">
        <f>IFERROR(INDEX(Table14[],MATCH($B6457,Table14[SAPNo],0),3),"")</f>
        <v>13MM CT221 R1</v>
      </c>
      <c r="D6457" s="817" t="s">
        <v>12</v>
      </c>
      <c r="E6457" s="818">
        <v>15</v>
      </c>
      <c r="F6457" s="818"/>
      <c r="G6457" s="817" t="s">
        <v>4559</v>
      </c>
      <c r="H6457" s="822"/>
      <c r="I6457" s="819"/>
      <c r="J6457" s="818"/>
      <c r="K6457" s="422"/>
      <c r="M6457" s="422"/>
    </row>
    <row r="6458" spans="1:13" x14ac:dyDescent="0.25">
      <c r="A6458" s="820">
        <v>46036</v>
      </c>
      <c r="B6458" s="821">
        <v>1208601</v>
      </c>
      <c r="C6458" s="816" t="str">
        <f>IFERROR(INDEX(Table14[],MATCH($B6458,Table14[SAPNo],0),3),"")</f>
        <v>1613 CT418 U-60</v>
      </c>
      <c r="D6458" s="817" t="s">
        <v>12</v>
      </c>
      <c r="E6458" s="818">
        <v>8</v>
      </c>
      <c r="F6458" s="818"/>
      <c r="G6458" s="817" t="s">
        <v>4559</v>
      </c>
      <c r="H6458" s="822"/>
      <c r="I6458" s="819"/>
      <c r="J6458" s="818"/>
      <c r="K6458" s="422"/>
      <c r="M6458" s="422"/>
    </row>
    <row r="6459" spans="1:13" x14ac:dyDescent="0.25">
      <c r="A6459" s="820">
        <v>46036</v>
      </c>
      <c r="B6459" s="821">
        <v>871781</v>
      </c>
      <c r="C6459" s="816" t="str">
        <f>IFERROR(INDEX(Table14[],MATCH($B6459,Table14[SAPNo],0),3),"")</f>
        <v>Round 1313 CT200  0.018" (B)</v>
      </c>
      <c r="D6459" s="817" t="s">
        <v>12</v>
      </c>
      <c r="E6459" s="818">
        <v>6</v>
      </c>
      <c r="F6459" s="818"/>
      <c r="G6459" s="817" t="s">
        <v>4559</v>
      </c>
      <c r="H6459" s="822"/>
      <c r="I6459" s="819"/>
      <c r="J6459" s="818"/>
      <c r="K6459" s="422"/>
      <c r="M6459" s="422"/>
    </row>
    <row r="6460" spans="1:13" x14ac:dyDescent="0.25">
      <c r="A6460" s="820">
        <v>46036</v>
      </c>
      <c r="B6460" s="821">
        <v>1146737</v>
      </c>
      <c r="C6460" s="816" t="str">
        <f>IFERROR(INDEX(Table14[],MATCH($B6460,Table14[SAPNo],0),3),"")</f>
        <v>1613 CT418 18-60</v>
      </c>
      <c r="D6460" s="817" t="s">
        <v>12</v>
      </c>
      <c r="E6460" s="818">
        <v>6</v>
      </c>
      <c r="F6460" s="818"/>
      <c r="G6460" s="817" t="s">
        <v>4559</v>
      </c>
      <c r="H6460" s="822"/>
      <c r="I6460" s="819"/>
      <c r="J6460" s="818"/>
      <c r="K6460" s="422"/>
      <c r="M6460" s="422"/>
    </row>
    <row r="6461" spans="1:13" x14ac:dyDescent="0.25">
      <c r="A6461" s="820">
        <v>46036</v>
      </c>
      <c r="B6461" s="821">
        <v>2024642</v>
      </c>
      <c r="C6461" s="816" t="str">
        <f>IFERROR(INDEX(Table14[],MATCH($B6461,Table14[SAPNo],0),3),"")</f>
        <v>1613 CT179P 18-60</v>
      </c>
      <c r="D6461" s="817" t="s">
        <v>12</v>
      </c>
      <c r="E6461" s="818">
        <v>8</v>
      </c>
      <c r="F6461" s="818"/>
      <c r="G6461" s="817" t="s">
        <v>4559</v>
      </c>
      <c r="H6461" s="822"/>
      <c r="I6461" s="819"/>
      <c r="J6461" s="818"/>
      <c r="K6461" s="422"/>
      <c r="M6461" s="422"/>
    </row>
    <row r="6462" spans="1:13" x14ac:dyDescent="0.25">
      <c r="A6462" s="820">
        <v>46036</v>
      </c>
      <c r="B6462" s="821">
        <v>738228</v>
      </c>
      <c r="C6462" s="816" t="str">
        <f>IFERROR(INDEX(Table14[],MATCH($B6462,Table14[SAPNo],0),3),"")</f>
        <v>Round 1608 CR31  0.018" (T)</v>
      </c>
      <c r="D6462" s="817" t="s">
        <v>12</v>
      </c>
      <c r="E6462" s="818">
        <v>23</v>
      </c>
      <c r="F6462" s="818"/>
      <c r="G6462" s="817" t="s">
        <v>4560</v>
      </c>
      <c r="H6462" s="822"/>
      <c r="I6462" s="819"/>
      <c r="J6462" s="818"/>
      <c r="K6462" s="422"/>
      <c r="M6462" s="422"/>
    </row>
    <row r="6463" spans="1:13" x14ac:dyDescent="0.25">
      <c r="A6463" s="820">
        <v>46036</v>
      </c>
      <c r="B6463" s="821">
        <v>2002299</v>
      </c>
      <c r="C6463" s="816" t="str">
        <f>IFERROR(INDEX(Table14[],MATCH($B6463,Table14[SAPNo],0),3),"")</f>
        <v>1613 CT187 U-60</v>
      </c>
      <c r="D6463" s="817" t="s">
        <v>12</v>
      </c>
      <c r="E6463" s="818">
        <v>14</v>
      </c>
      <c r="F6463" s="818"/>
      <c r="G6463" s="817" t="s">
        <v>4560</v>
      </c>
      <c r="H6463" s="822"/>
      <c r="I6463" s="819"/>
      <c r="J6463" s="818"/>
      <c r="K6463" s="422"/>
      <c r="M6463" s="422"/>
    </row>
    <row r="6464" spans="1:13" x14ac:dyDescent="0.25">
      <c r="A6464" s="820">
        <v>46036</v>
      </c>
      <c r="B6464" s="821">
        <v>1126402</v>
      </c>
      <c r="C6464" s="816" t="str">
        <f>IFERROR(INDEX(Table14[],MATCH($B6464,Table14[SAPNo],0),3),"")</f>
        <v>1613 CT421 16-60</v>
      </c>
      <c r="D6464" s="817" t="s">
        <v>12</v>
      </c>
      <c r="E6464" s="818">
        <v>7</v>
      </c>
      <c r="F6464" s="818"/>
      <c r="G6464" s="817" t="s">
        <v>4560</v>
      </c>
      <c r="H6464" s="822"/>
      <c r="I6464" s="819"/>
      <c r="J6464" s="818"/>
      <c r="K6464" s="422"/>
      <c r="M6464" s="422"/>
    </row>
    <row r="6465" spans="1:13" x14ac:dyDescent="0.25">
      <c r="A6465" s="820">
        <v>46036</v>
      </c>
      <c r="B6465" s="821">
        <v>871781</v>
      </c>
      <c r="C6465" s="816" t="str">
        <f>IFERROR(INDEX(Table14[],MATCH($B6465,Table14[SAPNo],0),3),"")</f>
        <v>Round 1313 CT200  0.018" (B)</v>
      </c>
      <c r="D6465" s="817" t="s">
        <v>12</v>
      </c>
      <c r="E6465" s="818">
        <v>6</v>
      </c>
      <c r="F6465" s="818"/>
      <c r="G6465" s="817" t="s">
        <v>4560</v>
      </c>
      <c r="H6465" s="822"/>
      <c r="I6465" s="819"/>
      <c r="J6465" s="818"/>
      <c r="K6465" s="422"/>
      <c r="M6465" s="422"/>
    </row>
    <row r="6466" spans="1:13" x14ac:dyDescent="0.25">
      <c r="A6466" s="820">
        <v>46036</v>
      </c>
      <c r="B6466" s="821">
        <v>1282370</v>
      </c>
      <c r="C6466" s="816" t="str">
        <f>IFERROR(INDEX(Table14[],MATCH($B6466,Table14[SAPNo],0),3),"")</f>
        <v>1613 CT436Mv3 U-60</v>
      </c>
      <c r="D6466" s="817" t="s">
        <v>12</v>
      </c>
      <c r="E6466" s="818">
        <v>6</v>
      </c>
      <c r="F6466" s="818"/>
      <c r="G6466" s="817" t="s">
        <v>4560</v>
      </c>
      <c r="H6466" s="822"/>
      <c r="I6466" s="819"/>
      <c r="J6466" s="818"/>
      <c r="K6466" s="422"/>
      <c r="M6466" s="422"/>
    </row>
    <row r="6467" spans="1:13" x14ac:dyDescent="0.25">
      <c r="A6467" s="820">
        <v>46036</v>
      </c>
      <c r="B6467" s="821">
        <v>1291852</v>
      </c>
      <c r="C6467" s="816" t="str">
        <f>IFERROR(INDEX(Table14[],MATCH($B6467,Table14[SAPNo],0),3),"")</f>
        <v>1613 U CT186R U</v>
      </c>
      <c r="D6467" s="817" t="s">
        <v>12</v>
      </c>
      <c r="E6467" s="818">
        <v>6</v>
      </c>
      <c r="F6467" s="818"/>
      <c r="G6467" s="817" t="s">
        <v>4560</v>
      </c>
      <c r="H6467" s="822"/>
      <c r="I6467" s="819"/>
      <c r="J6467" s="818"/>
      <c r="K6467" s="422"/>
      <c r="M6467" s="422"/>
    </row>
    <row r="6468" spans="1:13" x14ac:dyDescent="0.25">
      <c r="A6468" s="820">
        <v>46036</v>
      </c>
      <c r="B6468" s="821">
        <v>418525</v>
      </c>
      <c r="C6468" s="816" t="str">
        <f>IFERROR(INDEX(Table14[],MATCH($B6468,Table14[SAPNo],0),3),"")</f>
        <v>Drop In 1308 CT31   (B)</v>
      </c>
      <c r="D6468" s="817" t="s">
        <v>12</v>
      </c>
      <c r="E6468" s="818">
        <v>6</v>
      </c>
      <c r="F6468" s="818"/>
      <c r="G6468" s="817" t="s">
        <v>4561</v>
      </c>
      <c r="H6468" s="822"/>
      <c r="I6468" s="819"/>
      <c r="J6468" s="818"/>
      <c r="K6468" s="422"/>
      <c r="M6468" s="422"/>
    </row>
    <row r="6469" spans="1:13" x14ac:dyDescent="0.25">
      <c r="A6469" s="820">
        <v>46036</v>
      </c>
      <c r="B6469" s="821">
        <v>1078377</v>
      </c>
      <c r="C6469" s="816" t="str">
        <f>IFERROR(INDEX(Table14[],MATCH($B6469,Table14[SAPNo],0),3),"")</f>
        <v>13MM CT221 R1</v>
      </c>
      <c r="D6469" s="817" t="s">
        <v>10</v>
      </c>
      <c r="E6469" s="818">
        <v>1</v>
      </c>
      <c r="F6469" s="818"/>
      <c r="G6469" s="817" t="s">
        <v>4561</v>
      </c>
      <c r="H6469" s="822"/>
      <c r="I6469" s="819"/>
      <c r="J6469" s="818"/>
      <c r="K6469" s="422"/>
      <c r="M6469" s="422"/>
    </row>
    <row r="6470" spans="1:13" x14ac:dyDescent="0.25">
      <c r="A6470" s="820">
        <v>46036</v>
      </c>
      <c r="B6470" s="821">
        <v>1146737</v>
      </c>
      <c r="C6470" s="816" t="str">
        <f>IFERROR(INDEX(Table14[],MATCH($B6470,Table14[SAPNo],0),3),"")</f>
        <v>1613 CT418 18-60</v>
      </c>
      <c r="D6470" s="817" t="s">
        <v>10</v>
      </c>
      <c r="E6470" s="818">
        <v>6</v>
      </c>
      <c r="F6470" s="818"/>
      <c r="G6470" s="817" t="s">
        <v>4561</v>
      </c>
      <c r="H6470" s="822"/>
      <c r="I6470" s="819"/>
      <c r="J6470" s="818"/>
      <c r="K6470" s="422"/>
      <c r="M6470" s="422"/>
    </row>
    <row r="6471" spans="1:13" x14ac:dyDescent="0.25">
      <c r="A6471" s="820">
        <v>46037</v>
      </c>
      <c r="B6471" s="821">
        <v>1078377</v>
      </c>
      <c r="C6471" s="816" t="str">
        <f>IFERROR(INDEX(Table14[],MATCH($B6471,Table14[SAPNo],0),3),"")</f>
        <v>13MM CT221 R1</v>
      </c>
      <c r="D6471" s="817" t="s">
        <v>12</v>
      </c>
      <c r="E6471" s="818">
        <v>1</v>
      </c>
      <c r="F6471" s="818"/>
      <c r="G6471" s="817" t="s">
        <v>4562</v>
      </c>
      <c r="H6471" s="822"/>
      <c r="I6471" s="819"/>
      <c r="J6471" s="818"/>
      <c r="K6471" s="422"/>
      <c r="M6471" s="422"/>
    </row>
    <row r="6472" spans="1:13" x14ac:dyDescent="0.25">
      <c r="A6472" s="820">
        <v>46037</v>
      </c>
      <c r="B6472" s="821">
        <v>418525</v>
      </c>
      <c r="C6472" s="816" t="str">
        <f>IFERROR(INDEX(Table14[],MATCH($B6472,Table14[SAPNo],0),3),"")</f>
        <v>Drop In 1308 CT31   (B)</v>
      </c>
      <c r="D6472" s="817" t="s">
        <v>12</v>
      </c>
      <c r="E6472" s="818">
        <v>6</v>
      </c>
      <c r="F6472" s="818"/>
      <c r="G6472" s="817" t="s">
        <v>4562</v>
      </c>
      <c r="H6472" s="822"/>
      <c r="I6472" s="819"/>
      <c r="J6472" s="818"/>
      <c r="K6472" s="422"/>
      <c r="M6472" s="422"/>
    </row>
    <row r="6473" spans="1:13" x14ac:dyDescent="0.25">
      <c r="A6473" s="820">
        <v>46037</v>
      </c>
      <c r="B6473" s="821">
        <v>418525</v>
      </c>
      <c r="C6473" s="816" t="str">
        <f>IFERROR(INDEX(Table14[],MATCH($B6473,Table14[SAPNo],0),3),"")</f>
        <v>Drop In 1308 CT31   (B)</v>
      </c>
      <c r="D6473" s="817" t="s">
        <v>12</v>
      </c>
      <c r="E6473" s="818">
        <v>6</v>
      </c>
      <c r="F6473" s="818"/>
      <c r="G6473" s="817" t="s">
        <v>4563</v>
      </c>
      <c r="H6473" s="822"/>
      <c r="I6473" s="819"/>
      <c r="J6473" s="818"/>
      <c r="K6473" s="422"/>
      <c r="M6473" s="422"/>
    </row>
    <row r="6474" spans="1:13" x14ac:dyDescent="0.25">
      <c r="A6474" s="820">
        <v>46037</v>
      </c>
      <c r="B6474" s="821">
        <v>1146737</v>
      </c>
      <c r="C6474" s="816" t="str">
        <f>IFERROR(INDEX(Table14[],MATCH($B6474,Table14[SAPNo],0),3),"")</f>
        <v>1613 CT418 18-60</v>
      </c>
      <c r="D6474" s="817" t="s">
        <v>12</v>
      </c>
      <c r="E6474" s="818">
        <v>5</v>
      </c>
      <c r="F6474" s="818"/>
      <c r="G6474" s="817" t="s">
        <v>4563</v>
      </c>
      <c r="H6474" s="822"/>
      <c r="I6474" s="819"/>
      <c r="J6474" s="818"/>
      <c r="K6474" s="422"/>
      <c r="M6474" s="422"/>
    </row>
  </sheetData>
  <autoFilter ref="AS1:AZ267" xr:uid="{00000000-0009-0000-0000-000008000000}">
    <filterColumn colId="0">
      <filters>
        <filter val="745576"/>
      </filters>
    </filterColumn>
  </autoFilter>
  <phoneticPr fontId="21" type="noConversion"/>
  <conditionalFormatting sqref="C129 E129:F129">
    <cfRule type="duplicateValues" dxfId="560" priority="165"/>
    <cfRule type="duplicateValues" dxfId="559" priority="166"/>
    <cfRule type="duplicateValues" dxfId="558" priority="167"/>
    <cfRule type="duplicateValues" dxfId="557" priority="168" stopIfTrue="1"/>
    <cfRule type="duplicateValues" dxfId="556" priority="169" stopIfTrue="1"/>
    <cfRule type="duplicateValues" dxfId="555" priority="170" stopIfTrue="1"/>
    <cfRule type="duplicateValues" dxfId="554" priority="171" stopIfTrue="1"/>
  </conditionalFormatting>
  <conditionalFormatting sqref="J3848:J3858">
    <cfRule type="cellIs" dxfId="553" priority="12" stopIfTrue="1" operator="equal">
      <formula>0</formula>
    </cfRule>
  </conditionalFormatting>
  <conditionalFormatting sqref="J3952:J3959">
    <cfRule type="cellIs" dxfId="552" priority="8" stopIfTrue="1" operator="equal">
      <formula>0</formula>
    </cfRule>
  </conditionalFormatting>
  <conditionalFormatting sqref="J3984:J3998">
    <cfRule type="cellIs" dxfId="551" priority="7" stopIfTrue="1" operator="equal">
      <formula>0</formula>
    </cfRule>
  </conditionalFormatting>
  <conditionalFormatting sqref="J4086:J4098">
    <cfRule type="cellIs" dxfId="550" priority="6" stopIfTrue="1" operator="equal">
      <formula>0</formula>
    </cfRule>
  </conditionalFormatting>
  <conditionalFormatting sqref="J4127">
    <cfRule type="cellIs" dxfId="549" priority="5" stopIfTrue="1" operator="equal">
      <formula>0</formula>
    </cfRule>
  </conditionalFormatting>
  <conditionalFormatting sqref="W1:W518 W522:W1048576">
    <cfRule type="duplicateValues" dxfId="548" priority="112"/>
    <cfRule type="duplicateValues" dxfId="547" priority="113"/>
  </conditionalFormatting>
  <conditionalFormatting sqref="W2:W129 W158 W160 W131:W155">
    <cfRule type="duplicateValues" dxfId="546" priority="151"/>
    <cfRule type="duplicateValues" dxfId="545" priority="152" stopIfTrue="1"/>
    <cfRule type="duplicateValues" dxfId="544" priority="153" stopIfTrue="1"/>
    <cfRule type="duplicateValues" dxfId="543" priority="154" stopIfTrue="1"/>
    <cfRule type="duplicateValues" dxfId="542" priority="155" stopIfTrue="1"/>
  </conditionalFormatting>
  <conditionalFormatting sqref="W130">
    <cfRule type="duplicateValues" dxfId="541" priority="116"/>
    <cfRule type="duplicateValues" dxfId="540" priority="117" stopIfTrue="1"/>
    <cfRule type="duplicateValues" dxfId="539" priority="118" stopIfTrue="1"/>
    <cfRule type="duplicateValues" dxfId="538" priority="119" stopIfTrue="1"/>
    <cfRule type="duplicateValues" dxfId="537" priority="120" stopIfTrue="1"/>
  </conditionalFormatting>
  <conditionalFormatting sqref="W156">
    <cfRule type="duplicateValues" dxfId="536" priority="131"/>
    <cfRule type="duplicateValues" dxfId="535" priority="132" stopIfTrue="1"/>
    <cfRule type="duplicateValues" dxfId="534" priority="133" stopIfTrue="1"/>
    <cfRule type="duplicateValues" dxfId="533" priority="134" stopIfTrue="1"/>
    <cfRule type="duplicateValues" dxfId="532" priority="135" stopIfTrue="1"/>
  </conditionalFormatting>
  <conditionalFormatting sqref="W157">
    <cfRule type="duplicateValues" dxfId="531" priority="126"/>
    <cfRule type="duplicateValues" dxfId="530" priority="127" stopIfTrue="1"/>
    <cfRule type="duplicateValues" dxfId="529" priority="128" stopIfTrue="1"/>
    <cfRule type="duplicateValues" dxfId="528" priority="129" stopIfTrue="1"/>
    <cfRule type="duplicateValues" dxfId="527" priority="130" stopIfTrue="1"/>
  </conditionalFormatting>
  <conditionalFormatting sqref="W159">
    <cfRule type="duplicateValues" dxfId="526" priority="121"/>
    <cfRule type="duplicateValues" dxfId="525" priority="122" stopIfTrue="1"/>
    <cfRule type="duplicateValues" dxfId="524" priority="123" stopIfTrue="1"/>
    <cfRule type="duplicateValues" dxfId="523" priority="124" stopIfTrue="1"/>
    <cfRule type="duplicateValues" dxfId="522" priority="125" stopIfTrue="1"/>
  </conditionalFormatting>
  <conditionalFormatting sqref="W161:W167">
    <cfRule type="duplicateValues" dxfId="521" priority="146"/>
    <cfRule type="duplicateValues" dxfId="520" priority="147" stopIfTrue="1"/>
    <cfRule type="duplicateValues" dxfId="519" priority="148" stopIfTrue="1"/>
    <cfRule type="duplicateValues" dxfId="518" priority="149" stopIfTrue="1"/>
    <cfRule type="duplicateValues" dxfId="517" priority="150" stopIfTrue="1"/>
  </conditionalFormatting>
  <conditionalFormatting sqref="W168">
    <cfRule type="duplicateValues" dxfId="516" priority="141"/>
    <cfRule type="duplicateValues" dxfId="515" priority="142" stopIfTrue="1"/>
    <cfRule type="duplicateValues" dxfId="514" priority="143" stopIfTrue="1"/>
    <cfRule type="duplicateValues" dxfId="513" priority="144" stopIfTrue="1"/>
    <cfRule type="duplicateValues" dxfId="512" priority="145" stopIfTrue="1"/>
  </conditionalFormatting>
  <conditionalFormatting sqref="W169">
    <cfRule type="duplicateValues" dxfId="511" priority="136"/>
    <cfRule type="duplicateValues" dxfId="510" priority="137" stopIfTrue="1"/>
    <cfRule type="duplicateValues" dxfId="509" priority="138" stopIfTrue="1"/>
    <cfRule type="duplicateValues" dxfId="508" priority="139" stopIfTrue="1"/>
    <cfRule type="duplicateValues" dxfId="507" priority="140" stopIfTrue="1"/>
  </conditionalFormatting>
  <conditionalFormatting sqref="W235 W1:W190 W499:W518 W522:W1048576">
    <cfRule type="duplicateValues" dxfId="506" priority="114"/>
    <cfRule type="duplicateValues" dxfId="505" priority="115"/>
  </conditionalFormatting>
  <conditionalFormatting sqref="W235">
    <cfRule type="duplicateValues" dxfId="504" priority="156" stopIfTrue="1"/>
    <cfRule type="duplicateValues" dxfId="503" priority="157" stopIfTrue="1"/>
    <cfRule type="duplicateValues" dxfId="502" priority="158" stopIfTrue="1"/>
  </conditionalFormatting>
  <conditionalFormatting sqref="W499:W518 W1 W522:W65045">
    <cfRule type="duplicateValues" dxfId="501" priority="12906" stopIfTrue="1"/>
    <cfRule type="duplicateValues" dxfId="500" priority="12907" stopIfTrue="1"/>
    <cfRule type="duplicateValues" dxfId="499" priority="12908" stopIfTrue="1"/>
  </conditionalFormatting>
  <conditionalFormatting sqref="W499:W518 W522:W65045">
    <cfRule type="duplicateValues" dxfId="498" priority="12918" stopIfTrue="1"/>
  </conditionalFormatting>
  <conditionalFormatting sqref="AH2 AT268:AT1048576 AX268:AY1048576">
    <cfRule type="cellIs" dxfId="497" priority="79" operator="lessThan">
      <formula>0</formula>
    </cfRule>
  </conditionalFormatting>
  <conditionalFormatting sqref="AH6">
    <cfRule type="cellIs" dxfId="496" priority="80" operator="lessThan">
      <formula>0</formula>
    </cfRule>
  </conditionalFormatting>
  <conditionalFormatting sqref="AM20:AM27 W1:W518 W522:W1048576">
    <cfRule type="duplicateValues" dxfId="495" priority="111"/>
  </conditionalFormatting>
  <conditionalFormatting sqref="AS1:AS1048576">
    <cfRule type="duplicateValues" dxfId="494" priority="15"/>
    <cfRule type="duplicateValues" dxfId="493" priority="16"/>
    <cfRule type="duplicateValues" dxfId="492" priority="17"/>
    <cfRule type="duplicateValues" dxfId="491" priority="18"/>
    <cfRule type="duplicateValues" dxfId="490" priority="19"/>
    <cfRule type="duplicateValues" dxfId="489" priority="20"/>
  </conditionalFormatting>
  <conditionalFormatting sqref="AS2:AS129 AS158 AS160 AS131:AS155">
    <cfRule type="duplicateValues" dxfId="488" priority="59"/>
    <cfRule type="duplicateValues" dxfId="487" priority="60" stopIfTrue="1"/>
    <cfRule type="duplicateValues" dxfId="486" priority="61" stopIfTrue="1"/>
    <cfRule type="duplicateValues" dxfId="485" priority="62" stopIfTrue="1"/>
    <cfRule type="duplicateValues" dxfId="484" priority="63" stopIfTrue="1"/>
  </conditionalFormatting>
  <conditionalFormatting sqref="AS130">
    <cfRule type="duplicateValues" dxfId="483" priority="24"/>
    <cfRule type="duplicateValues" dxfId="482" priority="25" stopIfTrue="1"/>
    <cfRule type="duplicateValues" dxfId="481" priority="26" stopIfTrue="1"/>
    <cfRule type="duplicateValues" dxfId="480" priority="27" stopIfTrue="1"/>
    <cfRule type="duplicateValues" dxfId="479" priority="28" stopIfTrue="1"/>
  </conditionalFormatting>
  <conditionalFormatting sqref="AS156">
    <cfRule type="duplicateValues" dxfId="478" priority="39"/>
    <cfRule type="duplicateValues" dxfId="477" priority="40" stopIfTrue="1"/>
    <cfRule type="duplicateValues" dxfId="476" priority="41" stopIfTrue="1"/>
    <cfRule type="duplicateValues" dxfId="475" priority="42" stopIfTrue="1"/>
    <cfRule type="duplicateValues" dxfId="474" priority="43" stopIfTrue="1"/>
  </conditionalFormatting>
  <conditionalFormatting sqref="AS157">
    <cfRule type="duplicateValues" dxfId="473" priority="34"/>
    <cfRule type="duplicateValues" dxfId="472" priority="35" stopIfTrue="1"/>
    <cfRule type="duplicateValues" dxfId="471" priority="36" stopIfTrue="1"/>
    <cfRule type="duplicateValues" dxfId="470" priority="37" stopIfTrue="1"/>
    <cfRule type="duplicateValues" dxfId="469" priority="38" stopIfTrue="1"/>
  </conditionalFormatting>
  <conditionalFormatting sqref="AS159">
    <cfRule type="duplicateValues" dxfId="468" priority="29"/>
    <cfRule type="duplicateValues" dxfId="467" priority="30" stopIfTrue="1"/>
    <cfRule type="duplicateValues" dxfId="466" priority="31" stopIfTrue="1"/>
    <cfRule type="duplicateValues" dxfId="465" priority="32" stopIfTrue="1"/>
    <cfRule type="duplicateValues" dxfId="464" priority="33" stopIfTrue="1"/>
  </conditionalFormatting>
  <conditionalFormatting sqref="AS161:AS167">
    <cfRule type="duplicateValues" dxfId="463" priority="54"/>
    <cfRule type="duplicateValues" dxfId="462" priority="55" stopIfTrue="1"/>
    <cfRule type="duplicateValues" dxfId="461" priority="56" stopIfTrue="1"/>
    <cfRule type="duplicateValues" dxfId="460" priority="57" stopIfTrue="1"/>
    <cfRule type="duplicateValues" dxfId="459" priority="58" stopIfTrue="1"/>
  </conditionalFormatting>
  <conditionalFormatting sqref="AS168">
    <cfRule type="duplicateValues" dxfId="458" priority="49"/>
    <cfRule type="duplicateValues" dxfId="457" priority="50" stopIfTrue="1"/>
    <cfRule type="duplicateValues" dxfId="456" priority="51" stopIfTrue="1"/>
    <cfRule type="duplicateValues" dxfId="455" priority="52" stopIfTrue="1"/>
    <cfRule type="duplicateValues" dxfId="454" priority="53" stopIfTrue="1"/>
  </conditionalFormatting>
  <conditionalFormatting sqref="AS169">
    <cfRule type="duplicateValues" dxfId="453" priority="44"/>
    <cfRule type="duplicateValues" dxfId="452" priority="45" stopIfTrue="1"/>
    <cfRule type="duplicateValues" dxfId="451" priority="46" stopIfTrue="1"/>
    <cfRule type="duplicateValues" dxfId="450" priority="47" stopIfTrue="1"/>
    <cfRule type="duplicateValues" dxfId="449" priority="48" stopIfTrue="1"/>
  </conditionalFormatting>
  <conditionalFormatting sqref="AS267">
    <cfRule type="duplicateValues" dxfId="448" priority="64" stopIfTrue="1"/>
    <cfRule type="duplicateValues" dxfId="447" priority="65" stopIfTrue="1"/>
    <cfRule type="duplicateValues" dxfId="446" priority="66" stopIfTrue="1"/>
  </conditionalFormatting>
  <conditionalFormatting sqref="AS269:AS271">
    <cfRule type="duplicateValues" dxfId="445" priority="21"/>
  </conditionalFormatting>
  <conditionalFormatting sqref="AS279:AS1048576 AS1:AS277">
    <cfRule type="duplicateValues" dxfId="444" priority="71"/>
    <cfRule type="duplicateValues" dxfId="443" priority="72"/>
    <cfRule type="duplicateValues" dxfId="442" priority="73"/>
    <cfRule type="duplicateValues" dxfId="441" priority="74"/>
  </conditionalFormatting>
  <conditionalFormatting sqref="AS279:AS1048576 AS272:AS277 AS1:AS268">
    <cfRule type="duplicateValues" dxfId="440" priority="75"/>
    <cfRule type="duplicateValues" dxfId="439" priority="76"/>
  </conditionalFormatting>
  <conditionalFormatting sqref="AS522:AS65061 AS1">
    <cfRule type="duplicateValues" dxfId="438" priority="12976" stopIfTrue="1"/>
    <cfRule type="duplicateValues" dxfId="437" priority="12977" stopIfTrue="1"/>
    <cfRule type="duplicateValues" dxfId="436" priority="12978" stopIfTrue="1"/>
  </conditionalFormatting>
  <conditionalFormatting sqref="AS522:AS65061">
    <cfRule type="duplicateValues" dxfId="435" priority="12985" stopIfTrue="1"/>
  </conditionalFormatting>
  <conditionalFormatting sqref="AS522:AS1048576 AS267 AS1:AS190">
    <cfRule type="duplicateValues" dxfId="434" priority="22"/>
    <cfRule type="duplicateValues" dxfId="433" priority="23"/>
  </conditionalFormatting>
  <conditionalFormatting sqref="AT1:AT266">
    <cfRule type="cellIs" dxfId="432" priority="77" operator="lessThan">
      <formula>0</formula>
    </cfRule>
  </conditionalFormatting>
  <conditionalFormatting sqref="AX1:AY266">
    <cfRule type="cellIs" dxfId="431" priority="13" operator="lessThan">
      <formula>0</formula>
    </cfRule>
  </conditionalFormatting>
  <dataValidations count="1">
    <dataValidation type="list" allowBlank="1" showInputMessage="1" showErrorMessage="1" sqref="D2:D6474" xr:uid="{00000000-0002-0000-0800-000000000000}">
      <formula1>$AH$2:$AH$7</formula1>
    </dataValidation>
  </dataValidations>
  <pageMargins left="0.7" right="0.7" top="0.75" bottom="0.75" header="0.3" footer="0.3"/>
  <pageSetup orientation="portrait" horizontalDpi="4294967293" verticalDpi="4294967293" r:id="rId1"/>
  <tableParts count="3">
    <tablePart r:id="rId2"/>
    <tablePart r:id="rId3"/>
    <tablePart r:id="rId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>
    <tabColor theme="2" tint="-0.499984740745262"/>
  </sheetPr>
  <dimension ref="A1:AJ1130"/>
  <sheetViews>
    <sheetView topLeftCell="M1" zoomScaleNormal="100" workbookViewId="0">
      <pane ySplit="1" topLeftCell="A2" activePane="bottomLeft" state="frozen"/>
      <selection pane="bottomLeft" activeCell="N35" sqref="N35"/>
    </sheetView>
  </sheetViews>
  <sheetFormatPr defaultColWidth="9.26953125" defaultRowHeight="15.5" x14ac:dyDescent="0.25"/>
  <cols>
    <col min="1" max="1" width="9.26953125" style="36" bestFit="1" customWidth="1"/>
    <col min="2" max="2" width="12.453125" style="36" customWidth="1"/>
    <col min="3" max="3" width="9.26953125" style="36"/>
    <col min="4" max="4" width="9.26953125" style="36" bestFit="1" customWidth="1"/>
    <col min="5" max="7" width="11" style="36" customWidth="1"/>
    <col min="8" max="8" width="38" style="49" bestFit="1" customWidth="1"/>
    <col min="9" max="9" width="22.26953125" style="36" bestFit="1" customWidth="1"/>
    <col min="10" max="10" width="9.7265625" style="36" bestFit="1" customWidth="1"/>
    <col min="11" max="11" width="15.26953125" style="36" bestFit="1" customWidth="1"/>
    <col min="12" max="13" width="20.7265625" style="36" bestFit="1" customWidth="1"/>
    <col min="14" max="14" width="25.7265625" style="36" bestFit="1" customWidth="1"/>
    <col min="15" max="15" width="15.26953125" style="36" bestFit="1" customWidth="1"/>
    <col min="16" max="16" width="9.26953125" style="36"/>
    <col min="17" max="17" width="31.54296875" style="36" bestFit="1" customWidth="1"/>
    <col min="18" max="19" width="9.26953125" style="36"/>
    <col min="20" max="20" width="5.7265625" style="36" customWidth="1"/>
    <col min="21" max="21" width="9.7265625" style="36" customWidth="1"/>
    <col min="22" max="22" width="45.7265625" style="36" bestFit="1" customWidth="1"/>
    <col min="23" max="23" width="5.81640625" style="470" bestFit="1" customWidth="1"/>
    <col min="24" max="24" width="11.1796875" style="36" bestFit="1" customWidth="1"/>
    <col min="25" max="25" width="10.453125" style="36" bestFit="1" customWidth="1"/>
    <col min="26" max="26" width="21.54296875" style="36" bestFit="1" customWidth="1"/>
    <col min="27" max="27" width="11.26953125" style="36" customWidth="1"/>
    <col min="28" max="30" width="15.54296875" style="36" bestFit="1" customWidth="1"/>
    <col min="31" max="31" width="9.7265625" style="36" bestFit="1" customWidth="1"/>
    <col min="32" max="32" width="14.54296875" style="36" bestFit="1" customWidth="1"/>
    <col min="33" max="33" width="12.7265625" style="36" bestFit="1" customWidth="1"/>
    <col min="34" max="34" width="16.7265625" style="36" bestFit="1" customWidth="1"/>
    <col min="35" max="35" width="17" style="36" bestFit="1" customWidth="1"/>
    <col min="36" max="36" width="11.7265625" style="36" bestFit="1" customWidth="1"/>
    <col min="37" max="16384" width="9.26953125" style="36"/>
  </cols>
  <sheetData>
    <row r="1" spans="1:22" ht="29.25" customHeight="1" x14ac:dyDescent="0.25">
      <c r="A1" s="34" t="s">
        <v>346</v>
      </c>
      <c r="B1" s="35" t="s">
        <v>343</v>
      </c>
      <c r="C1" s="35" t="s">
        <v>258</v>
      </c>
      <c r="D1" s="35" t="s">
        <v>4</v>
      </c>
      <c r="E1" s="35" t="s">
        <v>3396</v>
      </c>
      <c r="F1" s="35" t="s">
        <v>339</v>
      </c>
      <c r="G1" s="35" t="s">
        <v>340</v>
      </c>
      <c r="H1" s="47" t="s">
        <v>514</v>
      </c>
      <c r="I1" s="35" t="s">
        <v>342</v>
      </c>
      <c r="J1" s="36" t="s">
        <v>3397</v>
      </c>
      <c r="K1" s="34" t="s">
        <v>3398</v>
      </c>
      <c r="L1" s="34" t="s">
        <v>3399</v>
      </c>
      <c r="M1" s="34" t="s">
        <v>3400</v>
      </c>
      <c r="N1" s="34" t="s">
        <v>3401</v>
      </c>
      <c r="O1" s="34" t="s">
        <v>3402</v>
      </c>
      <c r="T1" s="39" t="s">
        <v>3403</v>
      </c>
      <c r="U1" s="40" t="s">
        <v>1</v>
      </c>
      <c r="V1" s="41" t="s">
        <v>514</v>
      </c>
    </row>
    <row r="2" spans="1:22" x14ac:dyDescent="0.25">
      <c r="A2" s="37">
        <v>1</v>
      </c>
      <c r="B2" s="37"/>
      <c r="C2" s="37">
        <v>8.5</v>
      </c>
      <c r="D2" s="37" t="s">
        <v>282</v>
      </c>
      <c r="E2" s="37">
        <v>1079481</v>
      </c>
      <c r="F2" s="37">
        <v>1</v>
      </c>
      <c r="G2" s="37">
        <v>418525</v>
      </c>
      <c r="H2" s="48" t="str">
        <f>IFERROR(INDEX(Table14[],MATCH($G2,Table14[SAPNo],0),3),"")</f>
        <v>Drop In 1308 CT31   (B)</v>
      </c>
      <c r="I2" s="37">
        <v>6</v>
      </c>
      <c r="J2" s="37">
        <f>IF(Table412[[#This Row],[MAT]]&lt;&gt;"",COUNTIF(Table3[LEVEL 5 MAT NO.],Table412[[#This Row],[MAT]]),"")</f>
        <v>0</v>
      </c>
      <c r="K2" s="36">
        <f>IFERROR(INDEX(Table3[],MATCH($E2,Table3[LEVEL 5 MAT NO.],0),2),0)</f>
        <v>0</v>
      </c>
      <c r="L2" s="36">
        <f>Table412[[#This Row],[Quantity in BOM]]*Table412[[#This Row],[Freq]]</f>
        <v>0</v>
      </c>
      <c r="M2" s="36" t="str">
        <f>IF(Table412[[#This Row],[Exist]]=1,Table412[[#This Row],[MAT]],"")</f>
        <v/>
      </c>
      <c r="N2" s="36" t="str">
        <f>IF(Table412[[#This Row],[Exist]]=1,Table412[[#This Row],[Component]],"")</f>
        <v/>
      </c>
      <c r="O2" s="36">
        <f>IFERROR(VALUE(Table412[[#This Row],[MAT]]&amp;Table412[[#This Row],[X'#]]),IF(COUNTIF(Table412[[#This Row],[MAT]],"*M"),Table412[[#This Row],[MAT]]&amp;Table412[[#This Row],[X'#]],""))</f>
        <v>10794811</v>
      </c>
      <c r="T2" s="42">
        <v>1</v>
      </c>
      <c r="U2" s="2">
        <v>802065</v>
      </c>
      <c r="V2" s="43" t="s">
        <v>4180</v>
      </c>
    </row>
    <row r="3" spans="1:22" x14ac:dyDescent="0.35">
      <c r="A3" s="37">
        <f t="shared" ref="A3:A66" si="0">A2+K2</f>
        <v>1</v>
      </c>
      <c r="B3" s="37"/>
      <c r="C3" s="37">
        <v>8.5</v>
      </c>
      <c r="D3" s="37" t="s">
        <v>282</v>
      </c>
      <c r="E3" s="37">
        <v>1079481</v>
      </c>
      <c r="F3" s="37">
        <v>2</v>
      </c>
      <c r="G3" s="37">
        <v>871781</v>
      </c>
      <c r="H3" s="48" t="str">
        <f>IFERROR(INDEX(Table14[],MATCH($G3,Table14[SAPNo],0),3),"")</f>
        <v>Round 1313 CT200  0.018" (B)</v>
      </c>
      <c r="I3" s="37">
        <v>3</v>
      </c>
      <c r="J3" s="37">
        <f>IF(Table412[[#This Row],[MAT]]&lt;&gt;"",COUNTIF(Table3[LEVEL 5 MAT NO.],Table412[[#This Row],[MAT]]),"")</f>
        <v>0</v>
      </c>
      <c r="K3" s="36">
        <f>IFERROR(INDEX(Table3[],MATCH($E3,Table3[LEVEL 5 MAT NO.],0),2),0)</f>
        <v>0</v>
      </c>
      <c r="L3" s="36">
        <f>Table412[[#This Row],[Quantity in BOM]]*Table412[[#This Row],[Freq]]</f>
        <v>0</v>
      </c>
      <c r="M3" s="36" t="str">
        <f>IF(Table412[[#This Row],[Exist]]=1,Table412[[#This Row],[MAT]],"")</f>
        <v/>
      </c>
      <c r="N3" s="36" t="str">
        <f>IF(Table412[[#This Row],[Exist]]=1,Table412[[#This Row],[Component]],"")</f>
        <v/>
      </c>
      <c r="O3" s="36">
        <f>IFERROR(VALUE(Table412[[#This Row],[MAT]]&amp;Table412[[#This Row],[X'#]]),IF(COUNTIF(Table412[[#This Row],[MAT]],"*M"),Table412[[#This Row],[MAT]]&amp;Table412[[#This Row],[X'#]],""))</f>
        <v>10794812</v>
      </c>
      <c r="Q3" s="56">
        <v>1096183</v>
      </c>
      <c r="T3" s="42">
        <v>2</v>
      </c>
      <c r="U3" s="2">
        <v>179692</v>
      </c>
      <c r="V3" s="43" t="s">
        <v>3404</v>
      </c>
    </row>
    <row r="4" spans="1:22" x14ac:dyDescent="0.35">
      <c r="A4" s="37">
        <f t="shared" si="0"/>
        <v>1</v>
      </c>
      <c r="B4" s="37"/>
      <c r="C4" s="37">
        <v>8.5</v>
      </c>
      <c r="D4" s="37" t="s">
        <v>282</v>
      </c>
      <c r="E4" s="37">
        <v>1079481</v>
      </c>
      <c r="F4" s="37">
        <v>3</v>
      </c>
      <c r="G4" s="37">
        <v>853550</v>
      </c>
      <c r="H4" s="48" t="str">
        <f>IFERROR(INDEX(Table14[],MATCH($G4,Table14[SAPNo],0),3),"")</f>
        <v>Round 1313 CT125 GEDB 0.018" (S)</v>
      </c>
      <c r="I4" s="37">
        <v>3</v>
      </c>
      <c r="J4" s="37">
        <f>IF(Table412[[#This Row],[MAT]]&lt;&gt;"",COUNTIF(Table3[LEVEL 5 MAT NO.],Table412[[#This Row],[MAT]]),"")</f>
        <v>0</v>
      </c>
      <c r="K4" s="36">
        <f>IFERROR(INDEX(Table3[],MATCH($E4,Table3[LEVEL 5 MAT NO.],0),2),0)</f>
        <v>0</v>
      </c>
      <c r="L4" s="36">
        <f>Table412[[#This Row],[Quantity in BOM]]*Table412[[#This Row],[Freq]]</f>
        <v>0</v>
      </c>
      <c r="M4" s="36" t="str">
        <f>IF(Table412[[#This Row],[Exist]]=1,Table412[[#This Row],[MAT]],"")</f>
        <v/>
      </c>
      <c r="N4" s="36" t="str">
        <f>IF(Table412[[#This Row],[Exist]]=1,Table412[[#This Row],[Component]],"")</f>
        <v/>
      </c>
      <c r="O4" s="36">
        <f>IFERROR(VALUE(Table412[[#This Row],[MAT]]&amp;Table412[[#This Row],[X'#]]),IF(COUNTIF(Table412[[#This Row],[MAT]],"*M"),Table412[[#This Row],[MAT]]&amp;Table412[[#This Row],[X'#]],""))</f>
        <v>10794813</v>
      </c>
      <c r="Q4" s="56">
        <v>1138896</v>
      </c>
      <c r="T4" s="42">
        <v>3</v>
      </c>
      <c r="U4" s="2">
        <v>179694</v>
      </c>
      <c r="V4" s="43" t="s">
        <v>3405</v>
      </c>
    </row>
    <row r="5" spans="1:22" x14ac:dyDescent="0.35">
      <c r="A5" s="37">
        <f t="shared" si="0"/>
        <v>1</v>
      </c>
      <c r="C5" s="36">
        <v>8.5</v>
      </c>
      <c r="D5" s="36" t="s">
        <v>282</v>
      </c>
      <c r="E5" s="37">
        <v>1079481</v>
      </c>
      <c r="F5" s="37">
        <v>4</v>
      </c>
      <c r="G5" s="37">
        <v>853551</v>
      </c>
      <c r="H5" s="48" t="str">
        <f>IFERROR(INDEX(Table14[],MATCH($G5,Table14[SAPNo],0),3),"")</f>
        <v>Round 1613 CT125 GEDB 0.018" (S)</v>
      </c>
      <c r="I5" s="37">
        <v>28</v>
      </c>
      <c r="J5" s="37">
        <f>IF(Table412[[#This Row],[MAT]]&lt;&gt;"",COUNTIF(Table3[LEVEL 5 MAT NO.],Table412[[#This Row],[MAT]]),"")</f>
        <v>0</v>
      </c>
      <c r="K5" s="36">
        <f>IFERROR(INDEX(Table3[],MATCH($E5,Table3[LEVEL 5 MAT NO.],0),2),0)</f>
        <v>0</v>
      </c>
      <c r="L5" s="36">
        <f>Table412[[#This Row],[Quantity in BOM]]*Table412[[#This Row],[Freq]]</f>
        <v>0</v>
      </c>
      <c r="M5" s="36" t="str">
        <f>IF(Table412[[#This Row],[Exist]]=1,Table412[[#This Row],[MAT]],"")</f>
        <v/>
      </c>
      <c r="N5" s="36" t="str">
        <f>IF(Table412[[#This Row],[Exist]]=1,Table412[[#This Row],[Component]],"")</f>
        <v/>
      </c>
      <c r="O5" s="36">
        <f>IFERROR(VALUE(Table412[[#This Row],[MAT]]&amp;Table412[[#This Row],[X'#]]),IF(COUNTIF(Table412[[#This Row],[MAT]],"*M"),Table412[[#This Row],[MAT]]&amp;Table412[[#This Row],[X'#]],""))</f>
        <v>10794814</v>
      </c>
      <c r="Q5" s="56">
        <v>1159702</v>
      </c>
      <c r="T5" s="42">
        <v>4</v>
      </c>
      <c r="U5" s="2">
        <v>179734</v>
      </c>
      <c r="V5" s="43" t="s">
        <v>3406</v>
      </c>
    </row>
    <row r="6" spans="1:22" x14ac:dyDescent="0.35">
      <c r="A6" s="37">
        <f t="shared" si="0"/>
        <v>1</v>
      </c>
      <c r="C6" s="36">
        <v>6.125</v>
      </c>
      <c r="D6" s="36" t="s">
        <v>621</v>
      </c>
      <c r="E6" s="37">
        <v>874733</v>
      </c>
      <c r="F6" s="37">
        <v>1</v>
      </c>
      <c r="G6" s="37">
        <v>871781</v>
      </c>
      <c r="H6" s="48" t="str">
        <f>IFERROR(INDEX(Table14[],MATCH($G6,Table14[SAPNo],0),3),"")</f>
        <v>Round 1313 CT200  0.018" (B)</v>
      </c>
      <c r="I6" s="37">
        <v>6</v>
      </c>
      <c r="J6" s="37">
        <f>IF(Table412[[#This Row],[MAT]]&lt;&gt;"",COUNTIF(Table3[LEVEL 5 MAT NO.],Table412[[#This Row],[MAT]]),"")</f>
        <v>0</v>
      </c>
      <c r="K6" s="36">
        <f>IFERROR(INDEX(Table3[],MATCH($E6,Table3[LEVEL 5 MAT NO.],0),2),0)</f>
        <v>0</v>
      </c>
      <c r="L6" s="36">
        <f>Table412[[#This Row],[Quantity in BOM]]*Table412[[#This Row],[Freq]]</f>
        <v>0</v>
      </c>
      <c r="M6" s="36" t="str">
        <f>IF(Table412[[#This Row],[Exist]]=1,Table412[[#This Row],[MAT]],"")</f>
        <v/>
      </c>
      <c r="N6" s="36" t="str">
        <f>IF(Table412[[#This Row],[Exist]]=1,Table412[[#This Row],[Component]],"")</f>
        <v/>
      </c>
      <c r="O6" s="36">
        <f>IFERROR(VALUE(Table412[[#This Row],[MAT]]&amp;Table412[[#This Row],[X'#]]),IF(COUNTIF(Table412[[#This Row],[MAT]],"*M"),Table412[[#This Row],[MAT]]&amp;Table412[[#This Row],[X'#]],""))</f>
        <v>8747331</v>
      </c>
      <c r="Q6" s="56">
        <v>1145826</v>
      </c>
      <c r="T6" s="42">
        <v>5</v>
      </c>
      <c r="U6" s="2">
        <v>179790</v>
      </c>
      <c r="V6" s="43" t="s">
        <v>3407</v>
      </c>
    </row>
    <row r="7" spans="1:22" x14ac:dyDescent="0.35">
      <c r="A7" s="37">
        <f t="shared" si="0"/>
        <v>1</v>
      </c>
      <c r="B7" s="37"/>
      <c r="C7" s="37">
        <v>6.125</v>
      </c>
      <c r="D7" s="37" t="s">
        <v>621</v>
      </c>
      <c r="E7" s="37">
        <v>874733</v>
      </c>
      <c r="F7" s="37">
        <v>2</v>
      </c>
      <c r="G7" s="37">
        <v>729689</v>
      </c>
      <c r="H7" s="48" t="str">
        <f>IFERROR(INDEX(Table14[],MATCH($G7,Table14[SAPNo],0),3),"")</f>
        <v>Round 1313 CT82  0.018" (S)</v>
      </c>
      <c r="I7" s="37">
        <v>23</v>
      </c>
      <c r="J7" s="37">
        <f>IF(Table412[[#This Row],[MAT]]&lt;&gt;"",COUNTIF(Table3[LEVEL 5 MAT NO.],Table412[[#This Row],[MAT]]),"")</f>
        <v>0</v>
      </c>
      <c r="K7" s="36">
        <f>IFERROR(INDEX(Table3[],MATCH($E7,Table3[LEVEL 5 MAT NO.],0),2),0)</f>
        <v>0</v>
      </c>
      <c r="L7" s="36">
        <f>Table412[[#This Row],[Quantity in BOM]]*Table412[[#This Row],[Freq]]</f>
        <v>0</v>
      </c>
      <c r="M7" s="36" t="str">
        <f>IF(Table412[[#This Row],[Exist]]=1,Table412[[#This Row],[MAT]],"")</f>
        <v/>
      </c>
      <c r="N7" s="36" t="str">
        <f>IF(Table412[[#This Row],[Exist]]=1,Table412[[#This Row],[Component]],"")</f>
        <v/>
      </c>
      <c r="O7" s="36">
        <f>IFERROR(VALUE(Table412[[#This Row],[MAT]]&amp;Table412[[#This Row],[X'#]]),IF(COUNTIF(Table412[[#This Row],[MAT]],"*M"),Table412[[#This Row],[MAT]]&amp;Table412[[#This Row],[X'#]],""))</f>
        <v>8747332</v>
      </c>
      <c r="Q7" s="56">
        <v>1201087</v>
      </c>
      <c r="T7" s="42">
        <v>6</v>
      </c>
      <c r="U7" s="2">
        <v>375538</v>
      </c>
      <c r="V7" s="43" t="s">
        <v>3408</v>
      </c>
    </row>
    <row r="8" spans="1:22" x14ac:dyDescent="0.35">
      <c r="A8" s="37">
        <f t="shared" si="0"/>
        <v>1</v>
      </c>
      <c r="B8" s="37"/>
      <c r="C8" s="37">
        <v>6.125</v>
      </c>
      <c r="D8" s="37" t="s">
        <v>621</v>
      </c>
      <c r="E8" s="37">
        <v>874733</v>
      </c>
      <c r="F8" s="37">
        <v>3</v>
      </c>
      <c r="G8" s="37">
        <v>729688</v>
      </c>
      <c r="H8" s="48" t="str">
        <f>IFERROR(INDEX(Table14[],MATCH($G8,Table14[SAPNo],0),3),"")</f>
        <v>Round 1308 CT82  0.018" (S)</v>
      </c>
      <c r="I8" s="37">
        <v>3</v>
      </c>
      <c r="J8" s="37">
        <f>IF(Table412[[#This Row],[MAT]]&lt;&gt;"",COUNTIF(Table3[LEVEL 5 MAT NO.],Table412[[#This Row],[MAT]]),"")</f>
        <v>0</v>
      </c>
      <c r="K8" s="36">
        <f>IFERROR(INDEX(Table3[],MATCH($E8,Table3[LEVEL 5 MAT NO.],0),2),0)</f>
        <v>0</v>
      </c>
      <c r="L8" s="36">
        <f>Table412[[#This Row],[Quantity in BOM]]*Table412[[#This Row],[Freq]]</f>
        <v>0</v>
      </c>
      <c r="M8" s="36" t="str">
        <f>IF(Table412[[#This Row],[Exist]]=1,Table412[[#This Row],[MAT]],"")</f>
        <v/>
      </c>
      <c r="N8" s="36" t="str">
        <f>IF(Table412[[#This Row],[Exist]]=1,Table412[[#This Row],[Component]],"")</f>
        <v/>
      </c>
      <c r="O8" s="36">
        <f>IFERROR(VALUE(Table412[[#This Row],[MAT]]&amp;Table412[[#This Row],[X'#]]),IF(COUNTIF(Table412[[#This Row],[MAT]],"*M"),Table412[[#This Row],[MAT]]&amp;Table412[[#This Row],[X'#]],""))</f>
        <v>8747333</v>
      </c>
      <c r="Q8" s="56">
        <v>1212043</v>
      </c>
      <c r="T8" s="42">
        <v>7</v>
      </c>
      <c r="U8" s="2">
        <v>399930</v>
      </c>
      <c r="V8" s="43" t="s">
        <v>3409</v>
      </c>
    </row>
    <row r="9" spans="1:22" x14ac:dyDescent="0.35">
      <c r="A9" s="37">
        <f t="shared" si="0"/>
        <v>1</v>
      </c>
      <c r="B9" s="37"/>
      <c r="C9" s="37">
        <v>6.125</v>
      </c>
      <c r="D9" s="37" t="s">
        <v>621</v>
      </c>
      <c r="E9" s="37">
        <v>874733</v>
      </c>
      <c r="F9" s="37">
        <v>4</v>
      </c>
      <c r="G9" s="37">
        <v>375538</v>
      </c>
      <c r="H9" s="48" t="str">
        <f>IFERROR(INDEX(Table14[],MATCH($G9,Table14[SAPNo],0),3),"")</f>
        <v>R1 13  R1 PEP .012R LG BEVEL  (D)</v>
      </c>
      <c r="I9" s="37">
        <v>12</v>
      </c>
      <c r="J9" s="37">
        <f>IF(Table412[[#This Row],[MAT]]&lt;&gt;"",COUNTIF(Table3[LEVEL 5 MAT NO.],Table412[[#This Row],[MAT]]),"")</f>
        <v>0</v>
      </c>
      <c r="K9" s="36">
        <f>IFERROR(INDEX(Table3[],MATCH($E9,Table3[LEVEL 5 MAT NO.],0),2),0)</f>
        <v>0</v>
      </c>
      <c r="L9" s="36">
        <f>Table412[[#This Row],[Quantity in BOM]]*Table412[[#This Row],[Freq]]</f>
        <v>0</v>
      </c>
      <c r="M9" s="36" t="str">
        <f>IF(Table412[[#This Row],[Exist]]=1,Table412[[#This Row],[MAT]],"")</f>
        <v/>
      </c>
      <c r="N9" s="36" t="str">
        <f>IF(Table412[[#This Row],[Exist]]=1,Table412[[#This Row],[Component]],"")</f>
        <v/>
      </c>
      <c r="O9" s="36">
        <f>IFERROR(VALUE(Table412[[#This Row],[MAT]]&amp;Table412[[#This Row],[X'#]]),IF(COUNTIF(Table412[[#This Row],[MAT]],"*M"),Table412[[#This Row],[MAT]]&amp;Table412[[#This Row],[X'#]],""))</f>
        <v>8747334</v>
      </c>
      <c r="Q9" s="56" t="s">
        <v>354</v>
      </c>
      <c r="T9" s="42">
        <v>8</v>
      </c>
      <c r="U9" s="2">
        <v>584832</v>
      </c>
      <c r="V9" s="43" t="s">
        <v>4181</v>
      </c>
    </row>
    <row r="10" spans="1:22" x14ac:dyDescent="0.35">
      <c r="A10" s="37">
        <f t="shared" si="0"/>
        <v>1</v>
      </c>
      <c r="B10" s="37"/>
      <c r="C10" s="37">
        <v>3.875</v>
      </c>
      <c r="D10" s="37" t="s">
        <v>308</v>
      </c>
      <c r="E10" s="37">
        <v>1025815</v>
      </c>
      <c r="F10" s="37">
        <v>1</v>
      </c>
      <c r="G10" s="37">
        <v>971055</v>
      </c>
      <c r="H10" s="48" t="str">
        <f>IFERROR(INDEX(Table14[],MATCH($G10,Table14[SAPNo],0),3),"")</f>
        <v>MED Bullet 10.5 CT217 MBL 0.018" (B)</v>
      </c>
      <c r="I10" s="37">
        <v>7</v>
      </c>
      <c r="J10" s="37">
        <f>IF(Table412[[#This Row],[MAT]]&lt;&gt;"",COUNTIF(Table3[LEVEL 5 MAT NO.],Table412[[#This Row],[MAT]]),"")</f>
        <v>0</v>
      </c>
      <c r="K10" s="36">
        <f>IFERROR(INDEX(Table3[],MATCH($E10,Table3[LEVEL 5 MAT NO.],0),2),0)</f>
        <v>0</v>
      </c>
      <c r="L10" s="36">
        <f>Table412[[#This Row],[Quantity in BOM]]*Table412[[#This Row],[Freq]]</f>
        <v>0</v>
      </c>
      <c r="M10" s="36" t="str">
        <f>IF(Table412[[#This Row],[Exist]]=1,Table412[[#This Row],[MAT]],"")</f>
        <v/>
      </c>
      <c r="N10" s="36" t="str">
        <f>IF(Table412[[#This Row],[Exist]]=1,Table412[[#This Row],[Component]],"")</f>
        <v/>
      </c>
      <c r="O10" s="36">
        <f>IFERROR(VALUE(Table412[[#This Row],[MAT]]&amp;Table412[[#This Row],[X'#]]),IF(COUNTIF(Table412[[#This Row],[MAT]],"*M"),Table412[[#This Row],[MAT]]&amp;Table412[[#This Row],[X'#]],""))</f>
        <v>10258151</v>
      </c>
      <c r="Q10" s="56" t="s">
        <v>355</v>
      </c>
      <c r="T10" s="42">
        <v>9</v>
      </c>
      <c r="U10" s="2">
        <v>467367</v>
      </c>
      <c r="V10" s="43" t="s">
        <v>3410</v>
      </c>
    </row>
    <row r="11" spans="1:22" x14ac:dyDescent="0.25">
      <c r="A11" s="37">
        <f t="shared" si="0"/>
        <v>1</v>
      </c>
      <c r="C11" s="36">
        <v>3.875</v>
      </c>
      <c r="D11" s="36" t="s">
        <v>308</v>
      </c>
      <c r="E11" s="37">
        <v>1025815</v>
      </c>
      <c r="F11" s="37">
        <v>2</v>
      </c>
      <c r="G11" s="37">
        <v>773384</v>
      </c>
      <c r="H11" s="48" t="str">
        <f>IFERROR(INDEX(Table14[],MATCH($G11,Table14[SAPNo],0),3),"")</f>
        <v>Round 1005 CT200  0.018" (B)</v>
      </c>
      <c r="I11" s="37">
        <v>12</v>
      </c>
      <c r="J11" s="37">
        <f>IF(Table412[[#This Row],[MAT]]&lt;&gt;"",COUNTIF(Table3[LEVEL 5 MAT NO.],Table412[[#This Row],[MAT]]),"")</f>
        <v>0</v>
      </c>
      <c r="K11" s="36">
        <f>IFERROR(INDEX(Table3[],MATCH($E11,Table3[LEVEL 5 MAT NO.],0),2),0)</f>
        <v>0</v>
      </c>
      <c r="L11" s="36">
        <f>Table412[[#This Row],[Quantity in BOM]]*Table412[[#This Row],[Freq]]</f>
        <v>0</v>
      </c>
      <c r="M11" s="36" t="str">
        <f>IF(Table412[[#This Row],[Exist]]=1,Table412[[#This Row],[MAT]],"")</f>
        <v/>
      </c>
      <c r="N11" s="36" t="str">
        <f>IF(Table412[[#This Row],[Exist]]=1,Table412[[#This Row],[Component]],"")</f>
        <v/>
      </c>
      <c r="O11" s="36">
        <f>IFERROR(VALUE(Table412[[#This Row],[MAT]]&amp;Table412[[#This Row],[X'#]]),IF(COUNTIF(Table412[[#This Row],[MAT]],"*M"),Table412[[#This Row],[MAT]]&amp;Table412[[#This Row],[X'#]],""))</f>
        <v>10258152</v>
      </c>
      <c r="T11" s="42">
        <v>10</v>
      </c>
      <c r="U11" s="2">
        <v>535656</v>
      </c>
      <c r="V11" s="43" t="s">
        <v>4182</v>
      </c>
    </row>
    <row r="12" spans="1:22" x14ac:dyDescent="0.25">
      <c r="A12" s="37">
        <f t="shared" si="0"/>
        <v>1</v>
      </c>
      <c r="C12" s="36">
        <v>6.125</v>
      </c>
      <c r="D12" s="36" t="s">
        <v>3411</v>
      </c>
      <c r="E12" s="37">
        <v>859588</v>
      </c>
      <c r="F12" s="37">
        <v>1</v>
      </c>
      <c r="G12" s="37">
        <v>418525</v>
      </c>
      <c r="H12" s="48" t="str">
        <f>IFERROR(INDEX(Table14[],MATCH($G12,Table14[SAPNo],0),3),"")</f>
        <v>Drop In 1308 CT31   (B)</v>
      </c>
      <c r="I12" s="37">
        <v>12</v>
      </c>
      <c r="J12" s="37">
        <f>IF(Table412[[#This Row],[MAT]]&lt;&gt;"",COUNTIF(Table3[LEVEL 5 MAT NO.],Table412[[#This Row],[MAT]]),"")</f>
        <v>0</v>
      </c>
      <c r="K12" s="36">
        <f>IFERROR(INDEX(Table3[],MATCH($E12,Table3[LEVEL 5 MAT NO.],0),2),0)</f>
        <v>0</v>
      </c>
      <c r="L12" s="36">
        <f>Table412[[#This Row],[Quantity in BOM]]*Table412[[#This Row],[Freq]]</f>
        <v>0</v>
      </c>
      <c r="M12" s="36" t="str">
        <f>IF(Table412[[#This Row],[Exist]]=1,Table412[[#This Row],[MAT]],"")</f>
        <v/>
      </c>
      <c r="N12" s="36" t="str">
        <f>IF(Table412[[#This Row],[Exist]]=1,Table412[[#This Row],[Component]],"")</f>
        <v/>
      </c>
      <c r="O12" s="36">
        <f>IFERROR(VALUE(Table412[[#This Row],[MAT]]&amp;Table412[[#This Row],[X'#]]),IF(COUNTIF(Table412[[#This Row],[MAT]],"*M"),Table412[[#This Row],[MAT]]&amp;Table412[[#This Row],[X'#]],""))</f>
        <v>8595881</v>
      </c>
      <c r="T12" s="42">
        <v>11</v>
      </c>
      <c r="U12" s="2">
        <v>471108</v>
      </c>
      <c r="V12" s="43" t="s">
        <v>4183</v>
      </c>
    </row>
    <row r="13" spans="1:22" x14ac:dyDescent="0.25">
      <c r="A13" s="37">
        <f t="shared" si="0"/>
        <v>1</v>
      </c>
      <c r="B13" s="37"/>
      <c r="C13" s="37">
        <v>6.125</v>
      </c>
      <c r="D13" s="37" t="s">
        <v>3411</v>
      </c>
      <c r="E13" s="37">
        <v>859588</v>
      </c>
      <c r="F13" s="37">
        <v>2</v>
      </c>
      <c r="G13" s="37">
        <v>781580</v>
      </c>
      <c r="H13" s="48" t="str">
        <f>IFERROR(INDEX(Table14[],MATCH($G13,Table14[SAPNo],0),3),"")</f>
        <v>Round 1010 CT80  0.018" (B)</v>
      </c>
      <c r="I13" s="37">
        <v>39</v>
      </c>
      <c r="J13" s="37">
        <f>IF(Table412[[#This Row],[MAT]]&lt;&gt;"",COUNTIF(Table3[LEVEL 5 MAT NO.],Table412[[#This Row],[MAT]]),"")</f>
        <v>0</v>
      </c>
      <c r="K13" s="36">
        <f>IFERROR(INDEX(Table3[],MATCH($E13,Table3[LEVEL 5 MAT NO.],0),2),0)</f>
        <v>0</v>
      </c>
      <c r="L13" s="36">
        <f>Table412[[#This Row],[Quantity in BOM]]*Table412[[#This Row],[Freq]]</f>
        <v>0</v>
      </c>
      <c r="M13" s="36" t="str">
        <f>IF(Table412[[#This Row],[Exist]]=1,Table412[[#This Row],[MAT]],"")</f>
        <v/>
      </c>
      <c r="N13" s="36" t="str">
        <f>IF(Table412[[#This Row],[Exist]]=1,Table412[[#This Row],[Component]],"")</f>
        <v/>
      </c>
      <c r="O13" s="36">
        <f>IFERROR(VALUE(Table412[[#This Row],[MAT]]&amp;Table412[[#This Row],[X'#]]),IF(COUNTIF(Table412[[#This Row],[MAT]],"*M"),Table412[[#This Row],[MAT]]&amp;Table412[[#This Row],[X'#]],""))</f>
        <v>8595882</v>
      </c>
      <c r="T13" s="42">
        <v>12</v>
      </c>
      <c r="U13" s="2">
        <v>471109</v>
      </c>
      <c r="V13" s="43" t="s">
        <v>4184</v>
      </c>
    </row>
    <row r="14" spans="1:22" x14ac:dyDescent="0.25">
      <c r="A14" s="37">
        <f t="shared" si="0"/>
        <v>1</v>
      </c>
      <c r="B14" s="37"/>
      <c r="C14" s="37">
        <v>6.125</v>
      </c>
      <c r="D14" s="37" t="s">
        <v>3411</v>
      </c>
      <c r="E14" s="37">
        <v>952071</v>
      </c>
      <c r="F14" s="37">
        <v>1</v>
      </c>
      <c r="G14" s="37">
        <v>717748</v>
      </c>
      <c r="H14" s="48" t="str">
        <f>IFERROR(INDEX(Table14[],MATCH($G14,Table14[SAPNo],0),3),"")</f>
        <v>Round 1010 CT200  0.018" (B)</v>
      </c>
      <c r="I14" s="37">
        <v>3</v>
      </c>
      <c r="J14" s="37">
        <f>IF(Table412[[#This Row],[MAT]]&lt;&gt;"",COUNTIF(Table3[LEVEL 5 MAT NO.],Table412[[#This Row],[MAT]]),"")</f>
        <v>0</v>
      </c>
      <c r="K14" s="36">
        <f>IFERROR(INDEX(Table3[],MATCH($E14,Table3[LEVEL 5 MAT NO.],0),2),0)</f>
        <v>0</v>
      </c>
      <c r="L14" s="36">
        <f>Table412[[#This Row],[Quantity in BOM]]*Table412[[#This Row],[Freq]]</f>
        <v>0</v>
      </c>
      <c r="M14" s="36" t="str">
        <f>IF(Table412[[#This Row],[Exist]]=1,Table412[[#This Row],[MAT]],"")</f>
        <v/>
      </c>
      <c r="N14" s="36" t="str">
        <f>IF(Table412[[#This Row],[Exist]]=1,Table412[[#This Row],[Component]],"")</f>
        <v/>
      </c>
      <c r="O14" s="36">
        <f>IFERROR(VALUE(Table412[[#This Row],[MAT]]&amp;Table412[[#This Row],[X'#]]),IF(COUNTIF(Table412[[#This Row],[MAT]],"*M"),Table412[[#This Row],[MAT]]&amp;Table412[[#This Row],[X'#]],""))</f>
        <v>9520711</v>
      </c>
      <c r="T14" s="42">
        <v>13</v>
      </c>
      <c r="U14" s="2">
        <v>587493</v>
      </c>
      <c r="V14" s="43" t="s">
        <v>3412</v>
      </c>
    </row>
    <row r="15" spans="1:22" x14ac:dyDescent="0.25">
      <c r="A15" s="37">
        <f t="shared" si="0"/>
        <v>1</v>
      </c>
      <c r="B15" s="37"/>
      <c r="C15" s="37">
        <v>6.125</v>
      </c>
      <c r="D15" s="37" t="s">
        <v>3411</v>
      </c>
      <c r="E15" s="37">
        <v>952071</v>
      </c>
      <c r="F15" s="37">
        <v>2</v>
      </c>
      <c r="G15" s="37">
        <v>418525</v>
      </c>
      <c r="H15" s="48" t="str">
        <f>IFERROR(INDEX(Table14[],MATCH($G15,Table14[SAPNo],0),3),"")</f>
        <v>Drop In 1308 CT31   (B)</v>
      </c>
      <c r="I15" s="37">
        <v>12</v>
      </c>
      <c r="J15" s="37">
        <f>IF(Table412[[#This Row],[MAT]]&lt;&gt;"",COUNTIF(Table3[LEVEL 5 MAT NO.],Table412[[#This Row],[MAT]]),"")</f>
        <v>0</v>
      </c>
      <c r="K15" s="36">
        <f>IFERROR(INDEX(Table3[],MATCH($E15,Table3[LEVEL 5 MAT NO.],0),2),0)</f>
        <v>0</v>
      </c>
      <c r="L15" s="36">
        <f>Table412[[#This Row],[Quantity in BOM]]*Table412[[#This Row],[Freq]]</f>
        <v>0</v>
      </c>
      <c r="M15" s="36" t="str">
        <f>IF(Table412[[#This Row],[Exist]]=1,Table412[[#This Row],[MAT]],"")</f>
        <v/>
      </c>
      <c r="N15" s="36" t="str">
        <f>IF(Table412[[#This Row],[Exist]]=1,Table412[[#This Row],[Component]],"")</f>
        <v/>
      </c>
      <c r="O15" s="36">
        <f>IFERROR(VALUE(Table412[[#This Row],[MAT]]&amp;Table412[[#This Row],[X'#]]),IF(COUNTIF(Table412[[#This Row],[MAT]],"*M"),Table412[[#This Row],[MAT]]&amp;Table412[[#This Row],[X'#]],""))</f>
        <v>9520712</v>
      </c>
      <c r="T15" s="42">
        <v>14</v>
      </c>
      <c r="U15" s="2">
        <v>565884</v>
      </c>
      <c r="V15" s="43" t="s">
        <v>3413</v>
      </c>
    </row>
    <row r="16" spans="1:22" x14ac:dyDescent="0.25">
      <c r="A16" s="37">
        <f t="shared" si="0"/>
        <v>1</v>
      </c>
      <c r="B16" s="37"/>
      <c r="C16" s="37">
        <v>6.125</v>
      </c>
      <c r="D16" s="37" t="s">
        <v>3411</v>
      </c>
      <c r="E16" s="37">
        <v>952071</v>
      </c>
      <c r="F16" s="37">
        <v>3</v>
      </c>
      <c r="G16" s="37">
        <v>781580</v>
      </c>
      <c r="H16" s="48" t="str">
        <f>IFERROR(INDEX(Table14[],MATCH($G16,Table14[SAPNo],0),3),"")</f>
        <v>Round 1010 CT80  0.018" (B)</v>
      </c>
      <c r="I16" s="37">
        <v>36</v>
      </c>
      <c r="J16" s="37">
        <f>IF(Table412[[#This Row],[MAT]]&lt;&gt;"",COUNTIF(Table3[LEVEL 5 MAT NO.],Table412[[#This Row],[MAT]]),"")</f>
        <v>0</v>
      </c>
      <c r="K16" s="36">
        <f>IFERROR(INDEX(Table3[],MATCH($E16,Table3[LEVEL 5 MAT NO.],0),2),0)</f>
        <v>0</v>
      </c>
      <c r="L16" s="36">
        <f>Table412[[#This Row],[Quantity in BOM]]*Table412[[#This Row],[Freq]]</f>
        <v>0</v>
      </c>
      <c r="M16" s="36" t="str">
        <f>IF(Table412[[#This Row],[Exist]]=1,Table412[[#This Row],[MAT]],"")</f>
        <v/>
      </c>
      <c r="N16" s="36" t="str">
        <f>IF(Table412[[#This Row],[Exist]]=1,Table412[[#This Row],[Component]],"")</f>
        <v/>
      </c>
      <c r="O16" s="36">
        <f>IFERROR(VALUE(Table412[[#This Row],[MAT]]&amp;Table412[[#This Row],[X'#]]),IF(COUNTIF(Table412[[#This Row],[MAT]],"*M"),Table412[[#This Row],[MAT]]&amp;Table412[[#This Row],[X'#]],""))</f>
        <v>9520713</v>
      </c>
      <c r="T16" s="42">
        <v>15</v>
      </c>
      <c r="U16" s="2">
        <v>703670</v>
      </c>
      <c r="V16" s="43" t="s">
        <v>4185</v>
      </c>
    </row>
    <row r="17" spans="1:22" x14ac:dyDescent="0.25">
      <c r="A17" s="37">
        <f t="shared" si="0"/>
        <v>1</v>
      </c>
      <c r="B17" s="37"/>
      <c r="C17" s="37">
        <v>6.125</v>
      </c>
      <c r="D17" s="37" t="s">
        <v>3414</v>
      </c>
      <c r="E17" s="37">
        <v>952636</v>
      </c>
      <c r="F17" s="37">
        <v>1</v>
      </c>
      <c r="G17" s="37">
        <v>717749</v>
      </c>
      <c r="H17" s="48" t="str">
        <f>IFERROR(INDEX(Table14[],MATCH($G17,Table14[SAPNo],0),3),"")</f>
        <v>Round 1308 CT200  10C (B)</v>
      </c>
      <c r="I17" s="37">
        <v>3</v>
      </c>
      <c r="J17" s="37">
        <f>IF(Table412[[#This Row],[MAT]]&lt;&gt;"",COUNTIF(Table3[LEVEL 5 MAT NO.],Table412[[#This Row],[MAT]]),"")</f>
        <v>0</v>
      </c>
      <c r="K17" s="36">
        <f>IFERROR(INDEX(Table3[],MATCH($E17,Table3[LEVEL 5 MAT NO.],0),2),0)</f>
        <v>0</v>
      </c>
      <c r="L17" s="36">
        <f>Table412[[#This Row],[Quantity in BOM]]*Table412[[#This Row],[Freq]]</f>
        <v>0</v>
      </c>
      <c r="M17" s="36" t="str">
        <f>IF(Table412[[#This Row],[Exist]]=1,Table412[[#This Row],[MAT]],"")</f>
        <v/>
      </c>
      <c r="N17" s="36" t="str">
        <f>IF(Table412[[#This Row],[Exist]]=1,Table412[[#This Row],[Component]],"")</f>
        <v/>
      </c>
      <c r="O17" s="36">
        <f>IFERROR(VALUE(Table412[[#This Row],[MAT]]&amp;Table412[[#This Row],[X'#]]),IF(COUNTIF(Table412[[#This Row],[MAT]],"*M"),Table412[[#This Row],[MAT]]&amp;Table412[[#This Row],[X'#]],""))</f>
        <v>9526361</v>
      </c>
      <c r="T17" s="42">
        <v>16</v>
      </c>
      <c r="U17" s="2">
        <v>708305</v>
      </c>
      <c r="V17" s="43" t="s">
        <v>4186</v>
      </c>
    </row>
    <row r="18" spans="1:22" x14ac:dyDescent="0.25">
      <c r="A18" s="37">
        <f t="shared" si="0"/>
        <v>1</v>
      </c>
      <c r="B18" s="37"/>
      <c r="C18" s="37">
        <v>6.125</v>
      </c>
      <c r="D18" s="37" t="s">
        <v>3414</v>
      </c>
      <c r="E18" s="37">
        <v>952636</v>
      </c>
      <c r="F18" s="37">
        <v>2</v>
      </c>
      <c r="G18" s="37">
        <v>418525</v>
      </c>
      <c r="H18" s="48" t="str">
        <f>IFERROR(INDEX(Table14[],MATCH($G18,Table14[SAPNo],0),3),"")</f>
        <v>Drop In 1308 CT31   (B)</v>
      </c>
      <c r="I18" s="37">
        <v>5</v>
      </c>
      <c r="J18" s="37">
        <f>IF(Table412[[#This Row],[MAT]]&lt;&gt;"",COUNTIF(Table3[LEVEL 5 MAT NO.],Table412[[#This Row],[MAT]]),"")</f>
        <v>0</v>
      </c>
      <c r="K18" s="36">
        <f>IFERROR(INDEX(Table3[],MATCH($E18,Table3[LEVEL 5 MAT NO.],0),2),0)</f>
        <v>0</v>
      </c>
      <c r="L18" s="36">
        <f>Table412[[#This Row],[Quantity in BOM]]*Table412[[#This Row],[Freq]]</f>
        <v>0</v>
      </c>
      <c r="M18" s="36" t="str">
        <f>IF(Table412[[#This Row],[Exist]]=1,Table412[[#This Row],[MAT]],"")</f>
        <v/>
      </c>
      <c r="N18" s="36" t="str">
        <f>IF(Table412[[#This Row],[Exist]]=1,Table412[[#This Row],[Component]],"")</f>
        <v/>
      </c>
      <c r="O18" s="36">
        <f>IFERROR(VALUE(Table412[[#This Row],[MAT]]&amp;Table412[[#This Row],[X'#]]),IF(COUNTIF(Table412[[#This Row],[MAT]],"*M"),Table412[[#This Row],[MAT]]&amp;Table412[[#This Row],[X'#]],""))</f>
        <v>9526362</v>
      </c>
      <c r="T18" s="42">
        <v>17</v>
      </c>
      <c r="U18" s="2">
        <v>717749</v>
      </c>
      <c r="V18" s="43" t="s">
        <v>4187</v>
      </c>
    </row>
    <row r="19" spans="1:22" x14ac:dyDescent="0.25">
      <c r="A19" s="37">
        <f t="shared" si="0"/>
        <v>1</v>
      </c>
      <c r="B19" s="37"/>
      <c r="C19" s="37">
        <v>6.125</v>
      </c>
      <c r="D19" s="37" t="s">
        <v>3414</v>
      </c>
      <c r="E19" s="37">
        <v>952636</v>
      </c>
      <c r="F19" s="37">
        <v>3</v>
      </c>
      <c r="G19" s="37">
        <v>703670</v>
      </c>
      <c r="H19" s="48" t="str">
        <f>IFERROR(INDEX(Table14[],MATCH($G19,Table14[SAPNo],0),3),"")</f>
        <v>Round 1313 CT200  10C (B)</v>
      </c>
      <c r="I19" s="37">
        <v>5</v>
      </c>
      <c r="J19" s="37">
        <f>IF(Table412[[#This Row],[MAT]]&lt;&gt;"",COUNTIF(Table3[LEVEL 5 MAT NO.],Table412[[#This Row],[MAT]]),"")</f>
        <v>0</v>
      </c>
      <c r="K19" s="36">
        <f>IFERROR(INDEX(Table3[],MATCH($E19,Table3[LEVEL 5 MAT NO.],0),2),0)</f>
        <v>0</v>
      </c>
      <c r="L19" s="36">
        <f>Table412[[#This Row],[Quantity in BOM]]*Table412[[#This Row],[Freq]]</f>
        <v>0</v>
      </c>
      <c r="M19" s="36" t="str">
        <f>IF(Table412[[#This Row],[Exist]]=1,Table412[[#This Row],[MAT]],"")</f>
        <v/>
      </c>
      <c r="N19" s="36" t="str">
        <f>IF(Table412[[#This Row],[Exist]]=1,Table412[[#This Row],[Component]],"")</f>
        <v/>
      </c>
      <c r="O19" s="36">
        <f>IFERROR(VALUE(Table412[[#This Row],[MAT]]&amp;Table412[[#This Row],[X'#]]),IF(COUNTIF(Table412[[#This Row],[MAT]],"*M"),Table412[[#This Row],[MAT]]&amp;Table412[[#This Row],[X'#]],""))</f>
        <v>9526363</v>
      </c>
      <c r="T19" s="42">
        <v>18</v>
      </c>
      <c r="U19" s="2">
        <v>745171</v>
      </c>
      <c r="V19" s="43" t="s">
        <v>4188</v>
      </c>
    </row>
    <row r="20" spans="1:22" x14ac:dyDescent="0.25">
      <c r="A20" s="37">
        <f t="shared" si="0"/>
        <v>1</v>
      </c>
      <c r="B20" s="37"/>
      <c r="C20" s="37">
        <v>6.125</v>
      </c>
      <c r="D20" s="37" t="s">
        <v>3414</v>
      </c>
      <c r="E20" s="37">
        <v>952636</v>
      </c>
      <c r="F20" s="37">
        <v>4</v>
      </c>
      <c r="G20" s="37">
        <v>802064</v>
      </c>
      <c r="H20" s="48" t="str">
        <f>IFERROR(INDEX(Table14[],MATCH($G20,Table14[SAPNo],0),3),"")</f>
        <v>Round 1308 CT97  10C (P)</v>
      </c>
      <c r="I20" s="37">
        <v>20</v>
      </c>
      <c r="J20" s="37">
        <f>IF(Table412[[#This Row],[MAT]]&lt;&gt;"",COUNTIF(Table3[LEVEL 5 MAT NO.],Table412[[#This Row],[MAT]]),"")</f>
        <v>0</v>
      </c>
      <c r="K20" s="36">
        <f>IFERROR(INDEX(Table3[],MATCH($E20,Table3[LEVEL 5 MAT NO.],0),2),0)</f>
        <v>0</v>
      </c>
      <c r="L20" s="36">
        <f>Table412[[#This Row],[Quantity in BOM]]*Table412[[#This Row],[Freq]]</f>
        <v>0</v>
      </c>
      <c r="M20" s="36" t="str">
        <f>IF(Table412[[#This Row],[Exist]]=1,Table412[[#This Row],[MAT]],"")</f>
        <v/>
      </c>
      <c r="N20" s="36" t="str">
        <f>IF(Table412[[#This Row],[Exist]]=1,Table412[[#This Row],[Component]],"")</f>
        <v/>
      </c>
      <c r="O20" s="36">
        <f>IFERROR(VALUE(Table412[[#This Row],[MAT]]&amp;Table412[[#This Row],[X'#]]),IF(COUNTIF(Table412[[#This Row],[MAT]],"*M"),Table412[[#This Row],[MAT]]&amp;Table412[[#This Row],[X'#]],""))</f>
        <v>9526364</v>
      </c>
      <c r="T20" s="42">
        <v>19</v>
      </c>
      <c r="U20" s="2">
        <v>376826</v>
      </c>
      <c r="V20" s="43" t="s">
        <v>3415</v>
      </c>
    </row>
    <row r="21" spans="1:22" x14ac:dyDescent="0.25">
      <c r="A21" s="37">
        <f t="shared" si="0"/>
        <v>1</v>
      </c>
      <c r="B21" s="37"/>
      <c r="C21" s="37">
        <v>6.125</v>
      </c>
      <c r="D21" s="37" t="s">
        <v>3416</v>
      </c>
      <c r="E21" s="37">
        <v>953042</v>
      </c>
      <c r="F21" s="37">
        <v>1</v>
      </c>
      <c r="G21" s="37">
        <v>418525</v>
      </c>
      <c r="H21" s="48" t="str">
        <f>IFERROR(INDEX(Table14[],MATCH($G21,Table14[SAPNo],0),3),"")</f>
        <v>Drop In 1308 CT31   (B)</v>
      </c>
      <c r="I21" s="37">
        <v>6</v>
      </c>
      <c r="J21" s="37">
        <f>IF(Table412[[#This Row],[MAT]]&lt;&gt;"",COUNTIF(Table3[LEVEL 5 MAT NO.],Table412[[#This Row],[MAT]]),"")</f>
        <v>0</v>
      </c>
      <c r="K21" s="36">
        <f>IFERROR(INDEX(Table3[],MATCH($E21,Table3[LEVEL 5 MAT NO.],0),2),0)</f>
        <v>0</v>
      </c>
      <c r="L21" s="36">
        <f>Table412[[#This Row],[Quantity in BOM]]*Table412[[#This Row],[Freq]]</f>
        <v>0</v>
      </c>
      <c r="M21" s="36" t="str">
        <f>IF(Table412[[#This Row],[Exist]]=1,Table412[[#This Row],[MAT]],"")</f>
        <v/>
      </c>
      <c r="N21" s="36" t="str">
        <f>IF(Table412[[#This Row],[Exist]]=1,Table412[[#This Row],[Component]],"")</f>
        <v/>
      </c>
      <c r="O21" s="36">
        <f>IFERROR(VALUE(Table412[[#This Row],[MAT]]&amp;Table412[[#This Row],[X'#]]),IF(COUNTIF(Table412[[#This Row],[MAT]],"*M"),Table412[[#This Row],[MAT]]&amp;Table412[[#This Row],[X'#]],""))</f>
        <v>9530421</v>
      </c>
      <c r="T21" s="42">
        <v>20</v>
      </c>
      <c r="U21" s="2">
        <v>621152</v>
      </c>
      <c r="V21" s="43" t="s">
        <v>3417</v>
      </c>
    </row>
    <row r="22" spans="1:22" x14ac:dyDescent="0.25">
      <c r="A22" s="37">
        <f t="shared" si="0"/>
        <v>1</v>
      </c>
      <c r="B22" s="37"/>
      <c r="C22" s="37">
        <v>6.125</v>
      </c>
      <c r="D22" s="37" t="s">
        <v>3416</v>
      </c>
      <c r="E22" s="37">
        <v>953042</v>
      </c>
      <c r="F22" s="37">
        <v>2</v>
      </c>
      <c r="G22" s="37">
        <v>742617</v>
      </c>
      <c r="H22" s="48" t="str">
        <f>IFERROR(INDEX(Table14[],MATCH($G22,Table14[SAPNo],0),3),"")</f>
        <v>Round 1308 CT91  0.018" (B)</v>
      </c>
      <c r="I22" s="37">
        <v>20</v>
      </c>
      <c r="J22" s="37">
        <f>IF(Table412[[#This Row],[MAT]]&lt;&gt;"",COUNTIF(Table3[LEVEL 5 MAT NO.],Table412[[#This Row],[MAT]]),"")</f>
        <v>0</v>
      </c>
      <c r="K22" s="36">
        <f>IFERROR(INDEX(Table3[],MATCH($E22,Table3[LEVEL 5 MAT NO.],0),2),0)</f>
        <v>0</v>
      </c>
      <c r="L22" s="36">
        <f>Table412[[#This Row],[Quantity in BOM]]*Table412[[#This Row],[Freq]]</f>
        <v>0</v>
      </c>
      <c r="M22" s="36" t="str">
        <f>IF(Table412[[#This Row],[Exist]]=1,Table412[[#This Row],[MAT]],"")</f>
        <v/>
      </c>
      <c r="N22" s="36" t="str">
        <f>IF(Table412[[#This Row],[Exist]]=1,Table412[[#This Row],[Component]],"")</f>
        <v/>
      </c>
      <c r="O22" s="36">
        <f>IFERROR(VALUE(Table412[[#This Row],[MAT]]&amp;Table412[[#This Row],[X'#]]),IF(COUNTIF(Table412[[#This Row],[MAT]],"*M"),Table412[[#This Row],[MAT]]&amp;Table412[[#This Row],[X'#]],""))</f>
        <v>9530422</v>
      </c>
      <c r="T22" s="42">
        <v>21</v>
      </c>
      <c r="U22" s="2">
        <v>643435</v>
      </c>
      <c r="V22" s="43" t="s">
        <v>3418</v>
      </c>
    </row>
    <row r="23" spans="1:22" x14ac:dyDescent="0.25">
      <c r="A23" s="37">
        <f t="shared" si="0"/>
        <v>1</v>
      </c>
      <c r="B23" s="37"/>
      <c r="C23" s="37">
        <v>6.125</v>
      </c>
      <c r="D23" s="37" t="s">
        <v>3416</v>
      </c>
      <c r="E23" s="37">
        <v>953042</v>
      </c>
      <c r="F23" s="37">
        <v>3</v>
      </c>
      <c r="G23" s="37">
        <v>717751</v>
      </c>
      <c r="H23" s="48" t="str">
        <f>IFERROR(INDEX(Table14[],MATCH($G23,Table14[SAPNo],0),3),"")</f>
        <v>Round 1308 CT200  0.018" (B)</v>
      </c>
      <c r="I23" s="37">
        <v>9</v>
      </c>
      <c r="J23" s="37">
        <f>IF(Table412[[#This Row],[MAT]]&lt;&gt;"",COUNTIF(Table3[LEVEL 5 MAT NO.],Table412[[#This Row],[MAT]]),"")</f>
        <v>0</v>
      </c>
      <c r="K23" s="36">
        <f>IFERROR(INDEX(Table3[],MATCH($E23,Table3[LEVEL 5 MAT NO.],0),2),0)</f>
        <v>0</v>
      </c>
      <c r="L23" s="36">
        <f>Table412[[#This Row],[Quantity in BOM]]*Table412[[#This Row],[Freq]]</f>
        <v>0</v>
      </c>
      <c r="M23" s="36" t="str">
        <f>IF(Table412[[#This Row],[Exist]]=1,Table412[[#This Row],[MAT]],"")</f>
        <v/>
      </c>
      <c r="N23" s="36" t="str">
        <f>IF(Table412[[#This Row],[Exist]]=1,Table412[[#This Row],[Component]],"")</f>
        <v/>
      </c>
      <c r="O23" s="36">
        <f>IFERROR(VALUE(Table412[[#This Row],[MAT]]&amp;Table412[[#This Row],[X'#]]),IF(COUNTIF(Table412[[#This Row],[MAT]],"*M"),Table412[[#This Row],[MAT]]&amp;Table412[[#This Row],[X'#]],""))</f>
        <v>9530423</v>
      </c>
      <c r="T23" s="42">
        <v>22</v>
      </c>
      <c r="U23" s="2">
        <v>638561</v>
      </c>
      <c r="V23" s="43" t="s">
        <v>3419</v>
      </c>
    </row>
    <row r="24" spans="1:22" x14ac:dyDescent="0.25">
      <c r="A24" s="37">
        <f t="shared" si="0"/>
        <v>1</v>
      </c>
      <c r="B24" s="37"/>
      <c r="C24" s="37">
        <v>6.125</v>
      </c>
      <c r="D24" s="37" t="s">
        <v>3414</v>
      </c>
      <c r="E24" s="37">
        <v>986403</v>
      </c>
      <c r="F24" s="37">
        <v>1</v>
      </c>
      <c r="G24" s="37">
        <v>418525</v>
      </c>
      <c r="H24" s="48" t="str">
        <f>IFERROR(INDEX(Table14[],MATCH($G24,Table14[SAPNo],0),3),"")</f>
        <v>Drop In 1308 CT31   (B)</v>
      </c>
      <c r="I24" s="37">
        <v>5</v>
      </c>
      <c r="J24" s="37">
        <f>IF(Table412[[#This Row],[MAT]]&lt;&gt;"",COUNTIF(Table3[LEVEL 5 MAT NO.],Table412[[#This Row],[MAT]]),"")</f>
        <v>0</v>
      </c>
      <c r="K24" s="36">
        <f>IFERROR(INDEX(Table3[],MATCH($E24,Table3[LEVEL 5 MAT NO.],0),2),0)</f>
        <v>0</v>
      </c>
      <c r="L24" s="36">
        <f>Table412[[#This Row],[Quantity in BOM]]*Table412[[#This Row],[Freq]]</f>
        <v>0</v>
      </c>
      <c r="M24" s="36" t="str">
        <f>IF(Table412[[#This Row],[Exist]]=1,Table412[[#This Row],[MAT]],"")</f>
        <v/>
      </c>
      <c r="N24" s="36" t="str">
        <f>IF(Table412[[#This Row],[Exist]]=1,Table412[[#This Row],[Component]],"")</f>
        <v/>
      </c>
      <c r="O24" s="36">
        <f>IFERROR(VALUE(Table412[[#This Row],[MAT]]&amp;Table412[[#This Row],[X'#]]),IF(COUNTIF(Table412[[#This Row],[MAT]],"*M"),Table412[[#This Row],[MAT]]&amp;Table412[[#This Row],[X'#]],""))</f>
        <v>9864031</v>
      </c>
      <c r="T24" s="42">
        <v>23</v>
      </c>
      <c r="U24" s="2">
        <v>745576</v>
      </c>
      <c r="V24" s="43" t="s">
        <v>3420</v>
      </c>
    </row>
    <row r="25" spans="1:22" x14ac:dyDescent="0.25">
      <c r="A25" s="37">
        <f t="shared" si="0"/>
        <v>1</v>
      </c>
      <c r="B25" s="37"/>
      <c r="C25" s="37">
        <v>6.125</v>
      </c>
      <c r="D25" s="37" t="s">
        <v>3414</v>
      </c>
      <c r="E25" s="37">
        <v>986403</v>
      </c>
      <c r="F25" s="37">
        <v>2</v>
      </c>
      <c r="G25" s="37">
        <v>703670</v>
      </c>
      <c r="H25" s="48" t="str">
        <f>IFERROR(INDEX(Table14[],MATCH($G25,Table14[SAPNo],0),3),"")</f>
        <v>Round 1313 CT200  10C (B)</v>
      </c>
      <c r="I25" s="37">
        <v>8</v>
      </c>
      <c r="J25" s="37">
        <f>IF(Table412[[#This Row],[MAT]]&lt;&gt;"",COUNTIF(Table3[LEVEL 5 MAT NO.],Table412[[#This Row],[MAT]]),"")</f>
        <v>0</v>
      </c>
      <c r="K25" s="36">
        <f>IFERROR(INDEX(Table3[],MATCH($E25,Table3[LEVEL 5 MAT NO.],0),2),0)</f>
        <v>0</v>
      </c>
      <c r="L25" s="36">
        <f>Table412[[#This Row],[Quantity in BOM]]*Table412[[#This Row],[Freq]]</f>
        <v>0</v>
      </c>
      <c r="M25" s="36" t="str">
        <f>IF(Table412[[#This Row],[Exist]]=1,Table412[[#This Row],[MAT]],"")</f>
        <v/>
      </c>
      <c r="N25" s="36" t="str">
        <f>IF(Table412[[#This Row],[Exist]]=1,Table412[[#This Row],[Component]],"")</f>
        <v/>
      </c>
      <c r="O25" s="36">
        <f>IFERROR(VALUE(Table412[[#This Row],[MAT]]&amp;Table412[[#This Row],[X'#]]),IF(COUNTIF(Table412[[#This Row],[MAT]],"*M"),Table412[[#This Row],[MAT]]&amp;Table412[[#This Row],[X'#]],""))</f>
        <v>9864032</v>
      </c>
      <c r="T25" s="42">
        <v>24</v>
      </c>
      <c r="U25" s="2">
        <v>729688</v>
      </c>
      <c r="V25" s="43" t="s">
        <v>3421</v>
      </c>
    </row>
    <row r="26" spans="1:22" x14ac:dyDescent="0.25">
      <c r="A26" s="37">
        <f t="shared" si="0"/>
        <v>1</v>
      </c>
      <c r="B26" s="37"/>
      <c r="C26" s="37">
        <v>6.125</v>
      </c>
      <c r="D26" s="37" t="s">
        <v>3414</v>
      </c>
      <c r="E26" s="37">
        <v>986403</v>
      </c>
      <c r="F26" s="37">
        <v>3</v>
      </c>
      <c r="G26" s="37">
        <v>802065</v>
      </c>
      <c r="H26" s="48" t="str">
        <f>IFERROR(INDEX(Table14[],MATCH($G26,Table14[SAPNo],0),3),"")</f>
        <v>Round 1313 CT97  10C (P)</v>
      </c>
      <c r="I26" s="37">
        <v>20</v>
      </c>
      <c r="J26" s="37">
        <f>IF(Table412[[#This Row],[MAT]]&lt;&gt;"",COUNTIF(Table3[LEVEL 5 MAT NO.],Table412[[#This Row],[MAT]]),"")</f>
        <v>0</v>
      </c>
      <c r="K26" s="36">
        <f>IFERROR(INDEX(Table3[],MATCH($E26,Table3[LEVEL 5 MAT NO.],0),2),0)</f>
        <v>0</v>
      </c>
      <c r="L26" s="36">
        <f>Table412[[#This Row],[Quantity in BOM]]*Table412[[#This Row],[Freq]]</f>
        <v>0</v>
      </c>
      <c r="M26" s="36" t="str">
        <f>IF(Table412[[#This Row],[Exist]]=1,Table412[[#This Row],[MAT]],"")</f>
        <v/>
      </c>
      <c r="N26" s="36" t="str">
        <f>IF(Table412[[#This Row],[Exist]]=1,Table412[[#This Row],[Component]],"")</f>
        <v/>
      </c>
      <c r="O26" s="36">
        <f>IFERROR(VALUE(Table412[[#This Row],[MAT]]&amp;Table412[[#This Row],[X'#]]),IF(COUNTIF(Table412[[#This Row],[MAT]],"*M"),Table412[[#This Row],[MAT]]&amp;Table412[[#This Row],[X'#]],""))</f>
        <v>9864033</v>
      </c>
      <c r="T26" s="42">
        <v>25</v>
      </c>
      <c r="U26" s="2">
        <v>729691</v>
      </c>
      <c r="V26" s="43" t="s">
        <v>3422</v>
      </c>
    </row>
    <row r="27" spans="1:22" x14ac:dyDescent="0.25">
      <c r="A27" s="37">
        <f t="shared" si="0"/>
        <v>1</v>
      </c>
      <c r="B27" s="37"/>
      <c r="C27" s="37">
        <v>6.125</v>
      </c>
      <c r="D27" s="37" t="s">
        <v>3423</v>
      </c>
      <c r="E27" s="37">
        <v>1002869</v>
      </c>
      <c r="F27" s="37">
        <v>1</v>
      </c>
      <c r="G27" s="37">
        <v>703670</v>
      </c>
      <c r="H27" s="48" t="str">
        <f>IFERROR(INDEX(Table14[],MATCH($G27,Table14[SAPNo],0),3),"")</f>
        <v>Round 1313 CT200  10C (B)</v>
      </c>
      <c r="I27" s="37">
        <v>9</v>
      </c>
      <c r="J27" s="37">
        <f>IF(Table412[[#This Row],[MAT]]&lt;&gt;"",COUNTIF(Table3[LEVEL 5 MAT NO.],Table412[[#This Row],[MAT]]),"")</f>
        <v>0</v>
      </c>
      <c r="K27" s="36">
        <f>IFERROR(INDEX(Table3[],MATCH($E27,Table3[LEVEL 5 MAT NO.],0),2),0)</f>
        <v>0</v>
      </c>
      <c r="L27" s="36">
        <f>Table412[[#This Row],[Quantity in BOM]]*Table412[[#This Row],[Freq]]</f>
        <v>0</v>
      </c>
      <c r="M27" s="36" t="str">
        <f>IF(Table412[[#This Row],[Exist]]=1,Table412[[#This Row],[MAT]],"")</f>
        <v/>
      </c>
      <c r="N27" s="36" t="str">
        <f>IF(Table412[[#This Row],[Exist]]=1,Table412[[#This Row],[Component]],"")</f>
        <v/>
      </c>
      <c r="O27" s="36">
        <f>IFERROR(VALUE(Table412[[#This Row],[MAT]]&amp;Table412[[#This Row],[X'#]]),IF(COUNTIF(Table412[[#This Row],[MAT]],"*M"),Table412[[#This Row],[MAT]]&amp;Table412[[#This Row],[X'#]],""))</f>
        <v>10028691</v>
      </c>
      <c r="T27" s="42">
        <v>26</v>
      </c>
      <c r="U27" s="2">
        <v>643433</v>
      </c>
      <c r="V27" s="43" t="s">
        <v>4189</v>
      </c>
    </row>
    <row r="28" spans="1:22" x14ac:dyDescent="0.25">
      <c r="A28" s="37">
        <f t="shared" si="0"/>
        <v>1</v>
      </c>
      <c r="B28" s="37"/>
      <c r="C28" s="37">
        <v>6.125</v>
      </c>
      <c r="D28" s="37" t="s">
        <v>3423</v>
      </c>
      <c r="E28" s="37">
        <v>1002869</v>
      </c>
      <c r="F28" s="37">
        <v>2</v>
      </c>
      <c r="G28" s="37">
        <v>932725</v>
      </c>
      <c r="H28" s="48" t="str">
        <f>IFERROR(INDEX(Table14[],MATCH($G28,Table14[SAPNo],0),3),"")</f>
        <v>Round 1313 CT405  10C (P)</v>
      </c>
      <c r="I28" s="37">
        <v>22</v>
      </c>
      <c r="J28" s="37">
        <f>IF(Table412[[#This Row],[MAT]]&lt;&gt;"",COUNTIF(Table3[LEVEL 5 MAT NO.],Table412[[#This Row],[MAT]]),"")</f>
        <v>0</v>
      </c>
      <c r="K28" s="36">
        <f>IFERROR(INDEX(Table3[],MATCH($E28,Table3[LEVEL 5 MAT NO.],0),2),0)</f>
        <v>0</v>
      </c>
      <c r="L28" s="36">
        <f>Table412[[#This Row],[Quantity in BOM]]*Table412[[#This Row],[Freq]]</f>
        <v>0</v>
      </c>
      <c r="M28" s="36" t="str">
        <f>IF(Table412[[#This Row],[Exist]]=1,Table412[[#This Row],[MAT]],"")</f>
        <v/>
      </c>
      <c r="N28" s="36" t="str">
        <f>IF(Table412[[#This Row],[Exist]]=1,Table412[[#This Row],[Component]],"")</f>
        <v/>
      </c>
      <c r="O28" s="36">
        <f>IFERROR(VALUE(Table412[[#This Row],[MAT]]&amp;Table412[[#This Row],[X'#]]),IF(COUNTIF(Table412[[#This Row],[MAT]],"*M"),Table412[[#This Row],[MAT]]&amp;Table412[[#This Row],[X'#]],""))</f>
        <v>10028692</v>
      </c>
      <c r="T28" s="42">
        <v>27</v>
      </c>
      <c r="U28" s="2">
        <v>729687</v>
      </c>
      <c r="V28" s="43" t="s">
        <v>4190</v>
      </c>
    </row>
    <row r="29" spans="1:22" x14ac:dyDescent="0.25">
      <c r="A29" s="37">
        <f t="shared" si="0"/>
        <v>1</v>
      </c>
      <c r="B29" s="37"/>
      <c r="C29" s="37">
        <v>6.125</v>
      </c>
      <c r="D29" s="37" t="s">
        <v>3423</v>
      </c>
      <c r="E29" s="37">
        <v>1032847</v>
      </c>
      <c r="F29" s="37">
        <v>1</v>
      </c>
      <c r="G29" s="37">
        <v>802065</v>
      </c>
      <c r="H29" s="48" t="str">
        <f>IFERROR(INDEX(Table14[],MATCH($G29,Table14[SAPNo],0),3),"")</f>
        <v>Round 1313 CT97  10C (P)</v>
      </c>
      <c r="I29" s="37">
        <v>22</v>
      </c>
      <c r="J29" s="37">
        <f>IF(Table412[[#This Row],[MAT]]&lt;&gt;"",COUNTIF(Table3[LEVEL 5 MAT NO.],Table412[[#This Row],[MAT]]),"")</f>
        <v>0</v>
      </c>
      <c r="K29" s="36">
        <f>IFERROR(INDEX(Table3[],MATCH($E29,Table3[LEVEL 5 MAT NO.],0),2),0)</f>
        <v>0</v>
      </c>
      <c r="L29" s="36">
        <f>Table412[[#This Row],[Quantity in BOM]]*Table412[[#This Row],[Freq]]</f>
        <v>0</v>
      </c>
      <c r="M29" s="36" t="str">
        <f>IF(Table412[[#This Row],[Exist]]=1,Table412[[#This Row],[MAT]],"")</f>
        <v/>
      </c>
      <c r="N29" s="36" t="str">
        <f>IF(Table412[[#This Row],[Exist]]=1,Table412[[#This Row],[Component]],"")</f>
        <v/>
      </c>
      <c r="O29" s="36">
        <f>IFERROR(VALUE(Table412[[#This Row],[MAT]]&amp;Table412[[#This Row],[X'#]]),IF(COUNTIF(Table412[[#This Row],[MAT]],"*M"),Table412[[#This Row],[MAT]]&amp;Table412[[#This Row],[X'#]],""))</f>
        <v>10328471</v>
      </c>
      <c r="T29" s="42">
        <v>28</v>
      </c>
      <c r="U29" s="2">
        <v>177778</v>
      </c>
      <c r="V29" s="43" t="s">
        <v>3424</v>
      </c>
    </row>
    <row r="30" spans="1:22" x14ac:dyDescent="0.25">
      <c r="A30" s="37">
        <f t="shared" si="0"/>
        <v>1</v>
      </c>
      <c r="B30" s="37"/>
      <c r="C30" s="37">
        <v>6.125</v>
      </c>
      <c r="D30" s="37" t="s">
        <v>3423</v>
      </c>
      <c r="E30" s="37">
        <v>1032847</v>
      </c>
      <c r="F30" s="37">
        <v>2</v>
      </c>
      <c r="G30" s="37">
        <v>703670</v>
      </c>
      <c r="H30" s="48" t="str">
        <f>IFERROR(INDEX(Table14[],MATCH($G30,Table14[SAPNo],0),3),"")</f>
        <v>Round 1313 CT200  10C (B)</v>
      </c>
      <c r="I30" s="37">
        <v>9</v>
      </c>
      <c r="J30" s="37">
        <f>IF(Table412[[#This Row],[MAT]]&lt;&gt;"",COUNTIF(Table3[LEVEL 5 MAT NO.],Table412[[#This Row],[MAT]]),"")</f>
        <v>0</v>
      </c>
      <c r="K30" s="36">
        <f>IFERROR(INDEX(Table3[],MATCH($E30,Table3[LEVEL 5 MAT NO.],0),2),0)</f>
        <v>0</v>
      </c>
      <c r="L30" s="36">
        <f>Table412[[#This Row],[Quantity in BOM]]*Table412[[#This Row],[Freq]]</f>
        <v>0</v>
      </c>
      <c r="M30" s="36" t="str">
        <f>IF(Table412[[#This Row],[Exist]]=1,Table412[[#This Row],[MAT]],"")</f>
        <v/>
      </c>
      <c r="N30" s="36" t="str">
        <f>IF(Table412[[#This Row],[Exist]]=1,Table412[[#This Row],[Component]],"")</f>
        <v/>
      </c>
      <c r="O30" s="36">
        <f>IFERROR(VALUE(Table412[[#This Row],[MAT]]&amp;Table412[[#This Row],[X'#]]),IF(COUNTIF(Table412[[#This Row],[MAT]],"*M"),Table412[[#This Row],[MAT]]&amp;Table412[[#This Row],[X'#]],""))</f>
        <v>10328472</v>
      </c>
      <c r="T30" s="42">
        <v>29</v>
      </c>
      <c r="U30" s="2">
        <v>638560</v>
      </c>
      <c r="V30" s="43" t="s">
        <v>3425</v>
      </c>
    </row>
    <row r="31" spans="1:22" x14ac:dyDescent="0.25">
      <c r="A31" s="37">
        <f t="shared" si="0"/>
        <v>1</v>
      </c>
      <c r="B31" s="37"/>
      <c r="C31" s="37">
        <v>8.5</v>
      </c>
      <c r="D31" s="37" t="s">
        <v>3426</v>
      </c>
      <c r="E31" s="37">
        <v>639070</v>
      </c>
      <c r="F31" s="37">
        <v>1</v>
      </c>
      <c r="G31" s="37">
        <v>418525</v>
      </c>
      <c r="H31" s="48" t="str">
        <f>IFERROR(INDEX(Table14[],MATCH($G31,Table14[SAPNo],0),3),"")</f>
        <v>Drop In 1308 CT31   (B)</v>
      </c>
      <c r="I31" s="37">
        <v>6</v>
      </c>
      <c r="J31" s="37">
        <f>IF(Table412[[#This Row],[MAT]]&lt;&gt;"",COUNTIF(Table3[LEVEL 5 MAT NO.],Table412[[#This Row],[MAT]]),"")</f>
        <v>0</v>
      </c>
      <c r="K31" s="36">
        <f>IFERROR(INDEX(Table3[],MATCH($E31,Table3[LEVEL 5 MAT NO.],0),2),0)</f>
        <v>0</v>
      </c>
      <c r="L31" s="36">
        <f>Table412[[#This Row],[Quantity in BOM]]*Table412[[#This Row],[Freq]]</f>
        <v>0</v>
      </c>
      <c r="M31" s="36" t="str">
        <f>IF(Table412[[#This Row],[Exist]]=1,Table412[[#This Row],[MAT]],"")</f>
        <v/>
      </c>
      <c r="N31" s="36" t="str">
        <f>IF(Table412[[#This Row],[Exist]]=1,Table412[[#This Row],[Component]],"")</f>
        <v/>
      </c>
      <c r="O31" s="36">
        <f>IFERROR(VALUE(Table412[[#This Row],[MAT]]&amp;Table412[[#This Row],[X'#]]),IF(COUNTIF(Table412[[#This Row],[MAT]],"*M"),Table412[[#This Row],[MAT]]&amp;Table412[[#This Row],[X'#]],""))</f>
        <v>6390701</v>
      </c>
      <c r="T31" s="42">
        <v>30</v>
      </c>
      <c r="U31" s="2">
        <v>578502</v>
      </c>
      <c r="V31" s="43" t="s">
        <v>3427</v>
      </c>
    </row>
    <row r="32" spans="1:22" x14ac:dyDescent="0.25">
      <c r="A32" s="37">
        <f t="shared" si="0"/>
        <v>1</v>
      </c>
      <c r="B32" s="37"/>
      <c r="C32" s="37">
        <v>8.5</v>
      </c>
      <c r="D32" s="37" t="s">
        <v>3426</v>
      </c>
      <c r="E32" s="37">
        <v>639070</v>
      </c>
      <c r="F32" s="37">
        <v>2</v>
      </c>
      <c r="G32" s="37">
        <v>471108</v>
      </c>
      <c r="H32" s="48" t="str">
        <f>IFERROR(INDEX(Table14[],MATCH($G32,Table14[SAPNo],0),3),"")</f>
        <v>Round 1313 CT36  10C (S)</v>
      </c>
      <c r="I32" s="37">
        <v>6</v>
      </c>
      <c r="J32" s="37">
        <f>IF(Table412[[#This Row],[MAT]]&lt;&gt;"",COUNTIF(Table3[LEVEL 5 MAT NO.],Table412[[#This Row],[MAT]]),"")</f>
        <v>0</v>
      </c>
      <c r="K32" s="36">
        <f>IFERROR(INDEX(Table3[],MATCH($E32,Table3[LEVEL 5 MAT NO.],0),2),0)</f>
        <v>0</v>
      </c>
      <c r="L32" s="36">
        <f>Table412[[#This Row],[Quantity in BOM]]*Table412[[#This Row],[Freq]]</f>
        <v>0</v>
      </c>
      <c r="M32" s="36" t="str">
        <f>IF(Table412[[#This Row],[Exist]]=1,Table412[[#This Row],[MAT]],"")</f>
        <v/>
      </c>
      <c r="N32" s="36" t="str">
        <f>IF(Table412[[#This Row],[Exist]]=1,Table412[[#This Row],[Component]],"")</f>
        <v/>
      </c>
      <c r="O32" s="36">
        <f>IFERROR(VALUE(Table412[[#This Row],[MAT]]&amp;Table412[[#This Row],[X'#]]),IF(COUNTIF(Table412[[#This Row],[MAT]],"*M"),Table412[[#This Row],[MAT]]&amp;Table412[[#This Row],[X'#]],""))</f>
        <v>6390702</v>
      </c>
      <c r="T32" s="42">
        <v>31</v>
      </c>
      <c r="U32" s="2">
        <v>781580</v>
      </c>
      <c r="V32" s="43" t="s">
        <v>3428</v>
      </c>
    </row>
    <row r="33" spans="1:22" x14ac:dyDescent="0.25">
      <c r="A33" s="37">
        <f t="shared" si="0"/>
        <v>1</v>
      </c>
      <c r="B33" s="37"/>
      <c r="C33" s="37">
        <v>8.5</v>
      </c>
      <c r="D33" s="37" t="s">
        <v>3426</v>
      </c>
      <c r="E33" s="37">
        <v>639070</v>
      </c>
      <c r="F33" s="37">
        <v>3</v>
      </c>
      <c r="G33" s="37">
        <v>471109</v>
      </c>
      <c r="H33" s="48" t="str">
        <f>IFERROR(INDEX(Table14[],MATCH($G33,Table14[SAPNo],0),3),"")</f>
        <v>Round 1613 CT36  10C (S)</v>
      </c>
      <c r="I33" s="37">
        <v>28</v>
      </c>
      <c r="J33" s="37">
        <f>IF(Table412[[#This Row],[MAT]]&lt;&gt;"",COUNTIF(Table3[LEVEL 5 MAT NO.],Table412[[#This Row],[MAT]]),"")</f>
        <v>0</v>
      </c>
      <c r="K33" s="36">
        <f>IFERROR(INDEX(Table3[],MATCH($E33,Table3[LEVEL 5 MAT NO.],0),2),0)</f>
        <v>0</v>
      </c>
      <c r="L33" s="36">
        <f>Table412[[#This Row],[Quantity in BOM]]*Table412[[#This Row],[Freq]]</f>
        <v>0</v>
      </c>
      <c r="M33" s="36" t="str">
        <f>IF(Table412[[#This Row],[Exist]]=1,Table412[[#This Row],[MAT]],"")</f>
        <v/>
      </c>
      <c r="N33" s="36" t="str">
        <f>IF(Table412[[#This Row],[Exist]]=1,Table412[[#This Row],[Component]],"")</f>
        <v/>
      </c>
      <c r="O33" s="36">
        <f>IFERROR(VALUE(Table412[[#This Row],[MAT]]&amp;Table412[[#This Row],[X'#]]),IF(COUNTIF(Table412[[#This Row],[MAT]],"*M"),Table412[[#This Row],[MAT]]&amp;Table412[[#This Row],[X'#]],""))</f>
        <v>6390703</v>
      </c>
      <c r="T33" s="42">
        <v>32</v>
      </c>
      <c r="U33" s="2">
        <v>646938</v>
      </c>
      <c r="V33" s="43" t="s">
        <v>4191</v>
      </c>
    </row>
    <row r="34" spans="1:22" x14ac:dyDescent="0.25">
      <c r="A34" s="37">
        <f t="shared" si="0"/>
        <v>1</v>
      </c>
      <c r="B34" s="37"/>
      <c r="C34" s="37">
        <v>8.5</v>
      </c>
      <c r="D34" s="37" t="s">
        <v>282</v>
      </c>
      <c r="E34" s="37">
        <v>791578</v>
      </c>
      <c r="F34" s="37">
        <v>1</v>
      </c>
      <c r="G34" s="37">
        <v>703670</v>
      </c>
      <c r="H34" s="48" t="str">
        <f>IFERROR(INDEX(Table14[],MATCH($G34,Table14[SAPNo],0),3),"")</f>
        <v>Round 1313 CT200  10C (B)</v>
      </c>
      <c r="I34" s="37">
        <v>3</v>
      </c>
      <c r="J34" s="37">
        <f>IF(Table412[[#This Row],[MAT]]&lt;&gt;"",COUNTIF(Table3[LEVEL 5 MAT NO.],Table412[[#This Row],[MAT]]),"")</f>
        <v>0</v>
      </c>
      <c r="K34" s="36">
        <f>IFERROR(INDEX(Table3[],MATCH($E34,Table3[LEVEL 5 MAT NO.],0),2),0)</f>
        <v>0</v>
      </c>
      <c r="L34" s="36">
        <f>Table412[[#This Row],[Quantity in BOM]]*Table412[[#This Row],[Freq]]</f>
        <v>0</v>
      </c>
      <c r="M34" s="36" t="str">
        <f>IF(Table412[[#This Row],[Exist]]=1,Table412[[#This Row],[MAT]],"")</f>
        <v/>
      </c>
      <c r="N34" s="36" t="str">
        <f>IF(Table412[[#This Row],[Exist]]=1,Table412[[#This Row],[Component]],"")</f>
        <v/>
      </c>
      <c r="O34" s="36">
        <f>IFERROR(VALUE(Table412[[#This Row],[MAT]]&amp;Table412[[#This Row],[X'#]]),IF(COUNTIF(Table412[[#This Row],[MAT]],"*M"),Table412[[#This Row],[MAT]]&amp;Table412[[#This Row],[X'#]],""))</f>
        <v>7915781</v>
      </c>
      <c r="T34" s="42">
        <v>33</v>
      </c>
      <c r="U34" s="2">
        <v>780654</v>
      </c>
      <c r="V34" s="43" t="s">
        <v>4192</v>
      </c>
    </row>
    <row r="35" spans="1:22" x14ac:dyDescent="0.25">
      <c r="A35" s="37">
        <f t="shared" si="0"/>
        <v>1</v>
      </c>
      <c r="B35" s="37"/>
      <c r="C35" s="37">
        <v>8.5</v>
      </c>
      <c r="D35" s="37" t="s">
        <v>282</v>
      </c>
      <c r="E35" s="37">
        <v>791578</v>
      </c>
      <c r="F35" s="37">
        <v>2</v>
      </c>
      <c r="G35" s="37">
        <v>729435</v>
      </c>
      <c r="H35" s="48" t="str">
        <f>IFERROR(INDEX(Table14[],MATCH($G35,Table14[SAPNo],0),3),"")</f>
        <v>Round 1313 CT82  10C (S)</v>
      </c>
      <c r="I35" s="37">
        <v>6</v>
      </c>
      <c r="J35" s="37">
        <f>IF(Table412[[#This Row],[MAT]]&lt;&gt;"",COUNTIF(Table3[LEVEL 5 MAT NO.],Table412[[#This Row],[MAT]]),"")</f>
        <v>0</v>
      </c>
      <c r="K35" s="36">
        <f>IFERROR(INDEX(Table3[],MATCH($E35,Table3[LEVEL 5 MAT NO.],0),2),0)</f>
        <v>0</v>
      </c>
      <c r="L35" s="36">
        <f>Table412[[#This Row],[Quantity in BOM]]*Table412[[#This Row],[Freq]]</f>
        <v>0</v>
      </c>
      <c r="M35" s="36" t="str">
        <f>IF(Table412[[#This Row],[Exist]]=1,Table412[[#This Row],[MAT]],"")</f>
        <v/>
      </c>
      <c r="N35" s="36" t="str">
        <f>IF(Table412[[#This Row],[Exist]]=1,Table412[[#This Row],[Component]],"")</f>
        <v/>
      </c>
      <c r="O35" s="36">
        <f>IFERROR(VALUE(Table412[[#This Row],[MAT]]&amp;Table412[[#This Row],[X'#]]),IF(COUNTIF(Table412[[#This Row],[MAT]],"*M"),Table412[[#This Row],[MAT]]&amp;Table412[[#This Row],[X'#]],""))</f>
        <v>7915782</v>
      </c>
      <c r="T35" s="42">
        <v>34</v>
      </c>
      <c r="U35" s="2">
        <v>729434</v>
      </c>
      <c r="V35" s="43" t="s">
        <v>4193</v>
      </c>
    </row>
    <row r="36" spans="1:22" x14ac:dyDescent="0.25">
      <c r="A36" s="37">
        <f t="shared" si="0"/>
        <v>1</v>
      </c>
      <c r="B36" s="37"/>
      <c r="C36" s="37">
        <v>8.5</v>
      </c>
      <c r="D36" s="37" t="s">
        <v>282</v>
      </c>
      <c r="E36" s="37">
        <v>791578</v>
      </c>
      <c r="F36" s="37">
        <v>3</v>
      </c>
      <c r="G36" s="37">
        <v>729687</v>
      </c>
      <c r="H36" s="48" t="str">
        <f>IFERROR(INDEX(Table14[],MATCH($G36,Table14[SAPNo],0),3),"")</f>
        <v>Round 1613 CT82  10C (S)</v>
      </c>
      <c r="I36" s="37">
        <v>28</v>
      </c>
      <c r="J36" s="37">
        <f>IF(Table412[[#This Row],[MAT]]&lt;&gt;"",COUNTIF(Table3[LEVEL 5 MAT NO.],Table412[[#This Row],[MAT]]),"")</f>
        <v>0</v>
      </c>
      <c r="K36" s="36">
        <f>IFERROR(INDEX(Table3[],MATCH($E36,Table3[LEVEL 5 MAT NO.],0),2),0)</f>
        <v>0</v>
      </c>
      <c r="L36" s="36">
        <f>Table412[[#This Row],[Quantity in BOM]]*Table412[[#This Row],[Freq]]</f>
        <v>0</v>
      </c>
      <c r="M36" s="36" t="str">
        <f>IF(Table412[[#This Row],[Exist]]=1,Table412[[#This Row],[MAT]],"")</f>
        <v/>
      </c>
      <c r="N36" s="36" t="str">
        <f>IF(Table412[[#This Row],[Exist]]=1,Table412[[#This Row],[Component]],"")</f>
        <v/>
      </c>
      <c r="O36" s="36">
        <f>IFERROR(VALUE(Table412[[#This Row],[MAT]]&amp;Table412[[#This Row],[X'#]]),IF(COUNTIF(Table412[[#This Row],[MAT]],"*M"),Table412[[#This Row],[MAT]]&amp;Table412[[#This Row],[X'#]],""))</f>
        <v>7915783</v>
      </c>
      <c r="T36" s="42">
        <v>35</v>
      </c>
      <c r="U36" s="2">
        <v>802064</v>
      </c>
      <c r="V36" s="43" t="s">
        <v>4194</v>
      </c>
    </row>
    <row r="37" spans="1:22" x14ac:dyDescent="0.25">
      <c r="A37" s="37">
        <f t="shared" si="0"/>
        <v>1</v>
      </c>
      <c r="B37" s="37"/>
      <c r="C37" s="37">
        <v>8.5</v>
      </c>
      <c r="D37" s="37" t="s">
        <v>282</v>
      </c>
      <c r="E37" s="37">
        <v>791578</v>
      </c>
      <c r="F37" s="37">
        <v>4</v>
      </c>
      <c r="G37" s="37">
        <v>418525</v>
      </c>
      <c r="H37" s="48" t="str">
        <f>IFERROR(INDEX(Table14[],MATCH($G37,Table14[SAPNo],0),3),"")</f>
        <v>Drop In 1308 CT31   (B)</v>
      </c>
      <c r="I37" s="37">
        <v>9</v>
      </c>
      <c r="J37" s="37">
        <f>IF(Table412[[#This Row],[MAT]]&lt;&gt;"",COUNTIF(Table3[LEVEL 5 MAT NO.],Table412[[#This Row],[MAT]]),"")</f>
        <v>0</v>
      </c>
      <c r="K37" s="36">
        <f>IFERROR(INDEX(Table3[],MATCH($E37,Table3[LEVEL 5 MAT NO.],0),2),0)</f>
        <v>0</v>
      </c>
      <c r="L37" s="36">
        <f>Table412[[#This Row],[Quantity in BOM]]*Table412[[#This Row],[Freq]]</f>
        <v>0</v>
      </c>
      <c r="M37" s="36" t="str">
        <f>IF(Table412[[#This Row],[Exist]]=1,Table412[[#This Row],[MAT]],"")</f>
        <v/>
      </c>
      <c r="N37" s="36" t="str">
        <f>IF(Table412[[#This Row],[Exist]]=1,Table412[[#This Row],[Component]],"")</f>
        <v/>
      </c>
      <c r="O37" s="36">
        <f>IFERROR(VALUE(Table412[[#This Row],[MAT]]&amp;Table412[[#This Row],[X'#]]),IF(COUNTIF(Table412[[#This Row],[MAT]],"*M"),Table412[[#This Row],[MAT]]&amp;Table412[[#This Row],[X'#]],""))</f>
        <v>7915784</v>
      </c>
      <c r="T37" s="42">
        <v>36</v>
      </c>
      <c r="U37" s="2">
        <v>717748</v>
      </c>
      <c r="V37" s="43" t="s">
        <v>1999</v>
      </c>
    </row>
    <row r="38" spans="1:22" x14ac:dyDescent="0.25">
      <c r="A38" s="37">
        <f t="shared" si="0"/>
        <v>1</v>
      </c>
      <c r="B38" s="37"/>
      <c r="C38" s="37">
        <v>8.5</v>
      </c>
      <c r="D38" s="37" t="s">
        <v>282</v>
      </c>
      <c r="E38" s="37">
        <v>952724</v>
      </c>
      <c r="F38" s="37">
        <v>1</v>
      </c>
      <c r="G38" s="37">
        <v>703670</v>
      </c>
      <c r="H38" s="48" t="str">
        <f>IFERROR(INDEX(Table14[],MATCH($G38,Table14[SAPNo],0),3),"")</f>
        <v>Round 1313 CT200  10C (B)</v>
      </c>
      <c r="I38" s="37">
        <v>3</v>
      </c>
      <c r="J38" s="37">
        <f>IF(Table412[[#This Row],[MAT]]&lt;&gt;"",COUNTIF(Table3[LEVEL 5 MAT NO.],Table412[[#This Row],[MAT]]),"")</f>
        <v>0</v>
      </c>
      <c r="K38" s="36">
        <f>IFERROR(INDEX(Table3[],MATCH($E38,Table3[LEVEL 5 MAT NO.],0),2),0)</f>
        <v>0</v>
      </c>
      <c r="L38" s="36">
        <f>Table412[[#This Row],[Quantity in BOM]]*Table412[[#This Row],[Freq]]</f>
        <v>0</v>
      </c>
      <c r="M38" s="36" t="str">
        <f>IF(Table412[[#This Row],[Exist]]=1,Table412[[#This Row],[MAT]],"")</f>
        <v/>
      </c>
      <c r="N38" s="36" t="str">
        <f>IF(Table412[[#This Row],[Exist]]=1,Table412[[#This Row],[Component]],"")</f>
        <v/>
      </c>
      <c r="O38" s="36">
        <f>IFERROR(VALUE(Table412[[#This Row],[MAT]]&amp;Table412[[#This Row],[X'#]]),IF(COUNTIF(Table412[[#This Row],[MAT]],"*M"),Table412[[#This Row],[MAT]]&amp;Table412[[#This Row],[X'#]],""))</f>
        <v>9527241</v>
      </c>
      <c r="T38" s="42">
        <v>37</v>
      </c>
      <c r="U38" s="2">
        <v>752294</v>
      </c>
      <c r="V38" s="43" t="s">
        <v>3429</v>
      </c>
    </row>
    <row r="39" spans="1:22" x14ac:dyDescent="0.25">
      <c r="A39" s="37">
        <f t="shared" si="0"/>
        <v>1</v>
      </c>
      <c r="B39" s="37"/>
      <c r="C39" s="37">
        <v>8.5</v>
      </c>
      <c r="D39" s="37" t="s">
        <v>282</v>
      </c>
      <c r="E39" s="37">
        <v>952724</v>
      </c>
      <c r="F39" s="37">
        <v>2</v>
      </c>
      <c r="G39" s="37">
        <v>418525</v>
      </c>
      <c r="H39" s="48" t="str">
        <f>IFERROR(INDEX(Table14[],MATCH($G39,Table14[SAPNo],0),3),"")</f>
        <v>Drop In 1308 CT31   (B)</v>
      </c>
      <c r="I39" s="37">
        <v>12</v>
      </c>
      <c r="J39" s="37">
        <f>IF(Table412[[#This Row],[MAT]]&lt;&gt;"",COUNTIF(Table3[LEVEL 5 MAT NO.],Table412[[#This Row],[MAT]]),"")</f>
        <v>0</v>
      </c>
      <c r="K39" s="36">
        <f>IFERROR(INDEX(Table3[],MATCH($E39,Table3[LEVEL 5 MAT NO.],0),2),0)</f>
        <v>0</v>
      </c>
      <c r="L39" s="36">
        <f>Table412[[#This Row],[Quantity in BOM]]*Table412[[#This Row],[Freq]]</f>
        <v>0</v>
      </c>
      <c r="M39" s="36" t="str">
        <f>IF(Table412[[#This Row],[Exist]]=1,Table412[[#This Row],[MAT]],"")</f>
        <v/>
      </c>
      <c r="N39" s="36" t="str">
        <f>IF(Table412[[#This Row],[Exist]]=1,Table412[[#This Row],[Component]],"")</f>
        <v/>
      </c>
      <c r="O39" s="36">
        <f>IFERROR(VALUE(Table412[[#This Row],[MAT]]&amp;Table412[[#This Row],[X'#]]),IF(COUNTIF(Table412[[#This Row],[MAT]],"*M"),Table412[[#This Row],[MAT]]&amp;Table412[[#This Row],[X'#]],""))</f>
        <v>9527242</v>
      </c>
      <c r="T39" s="42">
        <v>38</v>
      </c>
      <c r="U39" s="2">
        <v>761304</v>
      </c>
      <c r="V39" s="43" t="s">
        <v>4195</v>
      </c>
    </row>
    <row r="40" spans="1:22" x14ac:dyDescent="0.25">
      <c r="A40" s="37">
        <f t="shared" si="0"/>
        <v>1</v>
      </c>
      <c r="B40" s="37"/>
      <c r="C40" s="37">
        <v>8.5</v>
      </c>
      <c r="D40" s="37" t="s">
        <v>282</v>
      </c>
      <c r="E40" s="37">
        <v>952724</v>
      </c>
      <c r="F40" s="37">
        <v>3</v>
      </c>
      <c r="G40" s="37">
        <v>729435</v>
      </c>
      <c r="H40" s="48" t="str">
        <f>IFERROR(INDEX(Table14[],MATCH($G40,Table14[SAPNo],0),3),"")</f>
        <v>Round 1313 CT82  10C (S)</v>
      </c>
      <c r="I40" s="37">
        <v>3</v>
      </c>
      <c r="J40" s="37">
        <f>IF(Table412[[#This Row],[MAT]]&lt;&gt;"",COUNTIF(Table3[LEVEL 5 MAT NO.],Table412[[#This Row],[MAT]]),"")</f>
        <v>0</v>
      </c>
      <c r="K40" s="36">
        <f>IFERROR(INDEX(Table3[],MATCH($E40,Table3[LEVEL 5 MAT NO.],0),2),0)</f>
        <v>0</v>
      </c>
      <c r="L40" s="36">
        <f>Table412[[#This Row],[Quantity in BOM]]*Table412[[#This Row],[Freq]]</f>
        <v>0</v>
      </c>
      <c r="M40" s="36" t="str">
        <f>IF(Table412[[#This Row],[Exist]]=1,Table412[[#This Row],[MAT]],"")</f>
        <v/>
      </c>
      <c r="N40" s="36" t="str">
        <f>IF(Table412[[#This Row],[Exist]]=1,Table412[[#This Row],[Component]],"")</f>
        <v/>
      </c>
      <c r="O40" s="36">
        <f>IFERROR(VALUE(Table412[[#This Row],[MAT]]&amp;Table412[[#This Row],[X'#]]),IF(COUNTIF(Table412[[#This Row],[MAT]],"*M"),Table412[[#This Row],[MAT]]&amp;Table412[[#This Row],[X'#]],""))</f>
        <v>9527243</v>
      </c>
      <c r="T40" s="42">
        <v>39</v>
      </c>
      <c r="U40" s="2">
        <v>770450</v>
      </c>
      <c r="V40" s="43" t="s">
        <v>3430</v>
      </c>
    </row>
    <row r="41" spans="1:22" x14ac:dyDescent="0.25">
      <c r="A41" s="37">
        <f t="shared" si="0"/>
        <v>1</v>
      </c>
      <c r="B41" s="37"/>
      <c r="C41" s="37">
        <v>8.5</v>
      </c>
      <c r="D41" s="37" t="s">
        <v>282</v>
      </c>
      <c r="E41" s="37">
        <v>952724</v>
      </c>
      <c r="F41" s="37">
        <v>4</v>
      </c>
      <c r="G41" s="37">
        <v>729687</v>
      </c>
      <c r="H41" s="48" t="str">
        <f>IFERROR(INDEX(Table14[],MATCH($G41,Table14[SAPNo],0),3),"")</f>
        <v>Round 1613 CT82  10C (S)</v>
      </c>
      <c r="I41" s="37">
        <v>28</v>
      </c>
      <c r="J41" s="37">
        <f>IF(Table412[[#This Row],[MAT]]&lt;&gt;"",COUNTIF(Table3[LEVEL 5 MAT NO.],Table412[[#This Row],[MAT]]),"")</f>
        <v>0</v>
      </c>
      <c r="K41" s="36">
        <f>IFERROR(INDEX(Table3[],MATCH($E41,Table3[LEVEL 5 MAT NO.],0),2),0)</f>
        <v>0</v>
      </c>
      <c r="L41" s="36">
        <f>Table412[[#This Row],[Quantity in BOM]]*Table412[[#This Row],[Freq]]</f>
        <v>0</v>
      </c>
      <c r="M41" s="36" t="str">
        <f>IF(Table412[[#This Row],[Exist]]=1,Table412[[#This Row],[MAT]],"")</f>
        <v/>
      </c>
      <c r="N41" s="36" t="str">
        <f>IF(Table412[[#This Row],[Exist]]=1,Table412[[#This Row],[Component]],"")</f>
        <v/>
      </c>
      <c r="O41" s="36">
        <f>IFERROR(VALUE(Table412[[#This Row],[MAT]]&amp;Table412[[#This Row],[X'#]]),IF(COUNTIF(Table412[[#This Row],[MAT]],"*M"),Table412[[#This Row],[MAT]]&amp;Table412[[#This Row],[X'#]],""))</f>
        <v>9527244</v>
      </c>
      <c r="T41" s="42">
        <v>40</v>
      </c>
      <c r="U41" s="2">
        <v>761246</v>
      </c>
      <c r="V41" s="43" t="s">
        <v>3431</v>
      </c>
    </row>
    <row r="42" spans="1:22" x14ac:dyDescent="0.25">
      <c r="A42" s="37">
        <f t="shared" si="0"/>
        <v>1</v>
      </c>
      <c r="B42" s="37"/>
      <c r="C42" s="37">
        <v>8.5</v>
      </c>
      <c r="D42" s="37" t="s">
        <v>282</v>
      </c>
      <c r="E42" s="37">
        <v>1011366</v>
      </c>
      <c r="F42" s="37">
        <v>1</v>
      </c>
      <c r="G42" s="37">
        <v>703670</v>
      </c>
      <c r="H42" s="48" t="str">
        <f>IFERROR(INDEX(Table14[],MATCH($G42,Table14[SAPNo],0),3),"")</f>
        <v>Round 1313 CT200  10C (B)</v>
      </c>
      <c r="I42" s="37">
        <v>3</v>
      </c>
      <c r="J42" s="37">
        <f>IF(Table412[[#This Row],[MAT]]&lt;&gt;"",COUNTIF(Table3[LEVEL 5 MAT NO.],Table412[[#This Row],[MAT]]),"")</f>
        <v>0</v>
      </c>
      <c r="K42" s="36">
        <f>IFERROR(INDEX(Table3[],MATCH($E42,Table3[LEVEL 5 MAT NO.],0),2),0)</f>
        <v>0</v>
      </c>
      <c r="L42" s="36">
        <f>Table412[[#This Row],[Quantity in BOM]]*Table412[[#This Row],[Freq]]</f>
        <v>0</v>
      </c>
      <c r="M42" s="36" t="str">
        <f>IF(Table412[[#This Row],[Exist]]=1,Table412[[#This Row],[MAT]],"")</f>
        <v/>
      </c>
      <c r="N42" s="36" t="str">
        <f>IF(Table412[[#This Row],[Exist]]=1,Table412[[#This Row],[Component]],"")</f>
        <v/>
      </c>
      <c r="O42" s="36">
        <f>IFERROR(VALUE(Table412[[#This Row],[MAT]]&amp;Table412[[#This Row],[X'#]]),IF(COUNTIF(Table412[[#This Row],[MAT]],"*M"),Table412[[#This Row],[MAT]]&amp;Table412[[#This Row],[X'#]],""))</f>
        <v>10113661</v>
      </c>
      <c r="T42" s="42">
        <v>41</v>
      </c>
      <c r="U42" s="2">
        <v>745573</v>
      </c>
      <c r="V42" s="43" t="s">
        <v>4196</v>
      </c>
    </row>
    <row r="43" spans="1:22" x14ac:dyDescent="0.25">
      <c r="A43" s="37">
        <f t="shared" si="0"/>
        <v>1</v>
      </c>
      <c r="B43" s="37"/>
      <c r="C43" s="37">
        <v>8.5</v>
      </c>
      <c r="D43" s="37" t="s">
        <v>282</v>
      </c>
      <c r="E43" s="37">
        <v>1011366</v>
      </c>
      <c r="F43" s="37">
        <v>2</v>
      </c>
      <c r="G43" s="37">
        <v>418525</v>
      </c>
      <c r="H43" s="48" t="str">
        <f>IFERROR(INDEX(Table14[],MATCH($G43,Table14[SAPNo],0),3),"")</f>
        <v>Drop In 1308 CT31   (B)</v>
      </c>
      <c r="I43" s="37">
        <v>12</v>
      </c>
      <c r="J43" s="37">
        <f>IF(Table412[[#This Row],[MAT]]&lt;&gt;"",COUNTIF(Table3[LEVEL 5 MAT NO.],Table412[[#This Row],[MAT]]),"")</f>
        <v>0</v>
      </c>
      <c r="K43" s="36">
        <f>IFERROR(INDEX(Table3[],MATCH($E43,Table3[LEVEL 5 MAT NO.],0),2),0)</f>
        <v>0</v>
      </c>
      <c r="L43" s="36">
        <f>Table412[[#This Row],[Quantity in BOM]]*Table412[[#This Row],[Freq]]</f>
        <v>0</v>
      </c>
      <c r="M43" s="36" t="str">
        <f>IF(Table412[[#This Row],[Exist]]=1,Table412[[#This Row],[MAT]],"")</f>
        <v/>
      </c>
      <c r="N43" s="36" t="str">
        <f>IF(Table412[[#This Row],[Exist]]=1,Table412[[#This Row],[Component]],"")</f>
        <v/>
      </c>
      <c r="O43" s="36">
        <f>IFERROR(VALUE(Table412[[#This Row],[MAT]]&amp;Table412[[#This Row],[X'#]]),IF(COUNTIF(Table412[[#This Row],[MAT]],"*M"),Table412[[#This Row],[MAT]]&amp;Table412[[#This Row],[X'#]],""))</f>
        <v>10113662</v>
      </c>
      <c r="T43" s="42">
        <v>42</v>
      </c>
      <c r="U43" s="2">
        <v>418525</v>
      </c>
      <c r="V43" s="43" t="s">
        <v>3432</v>
      </c>
    </row>
    <row r="44" spans="1:22" x14ac:dyDescent="0.25">
      <c r="A44" s="37">
        <f t="shared" si="0"/>
        <v>1</v>
      </c>
      <c r="B44" s="37"/>
      <c r="C44" s="37">
        <v>8.5</v>
      </c>
      <c r="D44" s="37" t="s">
        <v>282</v>
      </c>
      <c r="E44" s="37">
        <v>1011366</v>
      </c>
      <c r="F44" s="37">
        <v>3</v>
      </c>
      <c r="G44" s="37">
        <v>729435</v>
      </c>
      <c r="H44" s="48" t="str">
        <f>IFERROR(INDEX(Table14[],MATCH($G44,Table14[SAPNo],0),3),"")</f>
        <v>Round 1313 CT82  10C (S)</v>
      </c>
      <c r="I44" s="37">
        <v>3</v>
      </c>
      <c r="J44" s="37">
        <f>IF(Table412[[#This Row],[MAT]]&lt;&gt;"",COUNTIF(Table3[LEVEL 5 MAT NO.],Table412[[#This Row],[MAT]]),"")</f>
        <v>0</v>
      </c>
      <c r="K44" s="36">
        <f>IFERROR(INDEX(Table3[],MATCH($E44,Table3[LEVEL 5 MAT NO.],0),2),0)</f>
        <v>0</v>
      </c>
      <c r="L44" s="36">
        <f>Table412[[#This Row],[Quantity in BOM]]*Table412[[#This Row],[Freq]]</f>
        <v>0</v>
      </c>
      <c r="M44" s="36" t="str">
        <f>IF(Table412[[#This Row],[Exist]]=1,Table412[[#This Row],[MAT]],"")</f>
        <v/>
      </c>
      <c r="N44" s="36" t="str">
        <f>IF(Table412[[#This Row],[Exist]]=1,Table412[[#This Row],[Component]],"")</f>
        <v/>
      </c>
      <c r="O44" s="36">
        <f>IFERROR(VALUE(Table412[[#This Row],[MAT]]&amp;Table412[[#This Row],[X'#]]),IF(COUNTIF(Table412[[#This Row],[MAT]],"*M"),Table412[[#This Row],[MAT]]&amp;Table412[[#This Row],[X'#]],""))</f>
        <v>10113663</v>
      </c>
      <c r="T44" s="42">
        <v>43</v>
      </c>
      <c r="U44" s="2">
        <v>717751</v>
      </c>
      <c r="V44" s="43" t="s">
        <v>3433</v>
      </c>
    </row>
    <row r="45" spans="1:22" x14ac:dyDescent="0.25">
      <c r="A45" s="37">
        <f t="shared" si="0"/>
        <v>1</v>
      </c>
      <c r="B45" s="37"/>
      <c r="C45" s="37">
        <v>8.5</v>
      </c>
      <c r="D45" s="37" t="s">
        <v>282</v>
      </c>
      <c r="E45" s="37">
        <v>1011366</v>
      </c>
      <c r="F45" s="37">
        <v>4</v>
      </c>
      <c r="G45" s="37">
        <v>729687</v>
      </c>
      <c r="H45" s="48" t="str">
        <f>IFERROR(INDEX(Table14[],MATCH($G45,Table14[SAPNo],0),3),"")</f>
        <v>Round 1613 CT82  10C (S)</v>
      </c>
      <c r="I45" s="37">
        <v>28</v>
      </c>
      <c r="J45" s="37">
        <f>IF(Table412[[#This Row],[MAT]]&lt;&gt;"",COUNTIF(Table3[LEVEL 5 MAT NO.],Table412[[#This Row],[MAT]]),"")</f>
        <v>0</v>
      </c>
      <c r="K45" s="36">
        <f>IFERROR(INDEX(Table3[],MATCH($E45,Table3[LEVEL 5 MAT NO.],0),2),0)</f>
        <v>0</v>
      </c>
      <c r="L45" s="36">
        <f>Table412[[#This Row],[Quantity in BOM]]*Table412[[#This Row],[Freq]]</f>
        <v>0</v>
      </c>
      <c r="M45" s="36" t="str">
        <f>IF(Table412[[#This Row],[Exist]]=1,Table412[[#This Row],[MAT]],"")</f>
        <v/>
      </c>
      <c r="N45" s="36" t="str">
        <f>IF(Table412[[#This Row],[Exist]]=1,Table412[[#This Row],[Component]],"")</f>
        <v/>
      </c>
      <c r="O45" s="36">
        <f>IFERROR(VALUE(Table412[[#This Row],[MAT]]&amp;Table412[[#This Row],[X'#]]),IF(COUNTIF(Table412[[#This Row],[MAT]],"*M"),Table412[[#This Row],[MAT]]&amp;Table412[[#This Row],[X'#]],""))</f>
        <v>10113664</v>
      </c>
      <c r="T45" s="42">
        <v>44</v>
      </c>
      <c r="U45" s="2">
        <v>729435</v>
      </c>
      <c r="V45" s="43" t="s">
        <v>4197</v>
      </c>
    </row>
    <row r="46" spans="1:22" x14ac:dyDescent="0.25">
      <c r="A46" s="37">
        <f t="shared" si="0"/>
        <v>1</v>
      </c>
      <c r="B46" s="37"/>
      <c r="C46" s="37">
        <v>8.5</v>
      </c>
      <c r="D46" s="37" t="s">
        <v>282</v>
      </c>
      <c r="E46" s="37">
        <v>1041673</v>
      </c>
      <c r="F46" s="37">
        <v>1</v>
      </c>
      <c r="G46" s="37">
        <v>871781</v>
      </c>
      <c r="H46" s="48" t="str">
        <f>IFERROR(INDEX(Table14[],MATCH($G46,Table14[SAPNo],0),3),"")</f>
        <v>Round 1313 CT200  0.018" (B)</v>
      </c>
      <c r="I46" s="37">
        <v>3</v>
      </c>
      <c r="J46" s="37">
        <f>IF(Table412[[#This Row],[MAT]]&lt;&gt;"",COUNTIF(Table3[LEVEL 5 MAT NO.],Table412[[#This Row],[MAT]]),"")</f>
        <v>0</v>
      </c>
      <c r="K46" s="36">
        <f>IFERROR(INDEX(Table3[],MATCH($E46,Table3[LEVEL 5 MAT NO.],0),2),0)</f>
        <v>0</v>
      </c>
      <c r="L46" s="36">
        <f>Table412[[#This Row],[Quantity in BOM]]*Table412[[#This Row],[Freq]]</f>
        <v>0</v>
      </c>
      <c r="M46" s="36" t="str">
        <f>IF(Table412[[#This Row],[Exist]]=1,Table412[[#This Row],[MAT]],"")</f>
        <v/>
      </c>
      <c r="N46" s="36" t="str">
        <f>IF(Table412[[#This Row],[Exist]]=1,Table412[[#This Row],[Component]],"")</f>
        <v/>
      </c>
      <c r="O46" s="36">
        <f>IFERROR(VALUE(Table412[[#This Row],[MAT]]&amp;Table412[[#This Row],[X'#]]),IF(COUNTIF(Table412[[#This Row],[MAT]],"*M"),Table412[[#This Row],[MAT]]&amp;Table412[[#This Row],[X'#]],""))</f>
        <v>10416731</v>
      </c>
      <c r="T46" s="42">
        <v>45</v>
      </c>
      <c r="U46" s="2">
        <v>729689</v>
      </c>
      <c r="V46" s="43" t="s">
        <v>3434</v>
      </c>
    </row>
    <row r="47" spans="1:22" x14ac:dyDescent="0.25">
      <c r="A47" s="37">
        <f t="shared" si="0"/>
        <v>1</v>
      </c>
      <c r="B47" s="37"/>
      <c r="C47" s="37">
        <v>8.5</v>
      </c>
      <c r="D47" s="37" t="s">
        <v>282</v>
      </c>
      <c r="E47" s="37">
        <v>1041673</v>
      </c>
      <c r="F47" s="37">
        <v>2</v>
      </c>
      <c r="G47" s="37">
        <v>744015</v>
      </c>
      <c r="H47" s="48" t="str">
        <f>IFERROR(INDEX(Table14[],MATCH($G47,Table14[SAPNo],0),3),"")</f>
        <v>Round 1613 CT81  0.018" (P)</v>
      </c>
      <c r="I47" s="37">
        <v>28</v>
      </c>
      <c r="J47" s="37">
        <f>IF(Table412[[#This Row],[MAT]]&lt;&gt;"",COUNTIF(Table3[LEVEL 5 MAT NO.],Table412[[#This Row],[MAT]]),"")</f>
        <v>0</v>
      </c>
      <c r="K47" s="36">
        <f>IFERROR(INDEX(Table3[],MATCH($E47,Table3[LEVEL 5 MAT NO.],0),2),0)</f>
        <v>0</v>
      </c>
      <c r="L47" s="36">
        <f>Table412[[#This Row],[Quantity in BOM]]*Table412[[#This Row],[Freq]]</f>
        <v>0</v>
      </c>
      <c r="M47" s="36" t="str">
        <f>IF(Table412[[#This Row],[Exist]]=1,Table412[[#This Row],[MAT]],"")</f>
        <v/>
      </c>
      <c r="N47" s="36" t="str">
        <f>IF(Table412[[#This Row],[Exist]]=1,Table412[[#This Row],[Component]],"")</f>
        <v/>
      </c>
      <c r="O47" s="36">
        <f>IFERROR(VALUE(Table412[[#This Row],[MAT]]&amp;Table412[[#This Row],[X'#]]),IF(COUNTIF(Table412[[#This Row],[MAT]],"*M"),Table412[[#This Row],[MAT]]&amp;Table412[[#This Row],[X'#]],""))</f>
        <v>10416732</v>
      </c>
      <c r="T47" s="42">
        <v>46</v>
      </c>
      <c r="U47" s="2">
        <v>742473</v>
      </c>
      <c r="V47" s="43" t="s">
        <v>4198</v>
      </c>
    </row>
    <row r="48" spans="1:22" x14ac:dyDescent="0.25">
      <c r="A48" s="37">
        <f t="shared" si="0"/>
        <v>1</v>
      </c>
      <c r="B48" s="37"/>
      <c r="C48" s="37">
        <v>8.5</v>
      </c>
      <c r="D48" s="37" t="s">
        <v>282</v>
      </c>
      <c r="E48" s="37">
        <v>1041673</v>
      </c>
      <c r="F48" s="37">
        <v>3</v>
      </c>
      <c r="G48" s="37">
        <v>752555</v>
      </c>
      <c r="H48" s="48" t="str">
        <f>IFERROR(INDEX(Table14[],MATCH($G48,Table14[SAPNo],0),3),"")</f>
        <v>Round 1313 CT81  0.018" (P)</v>
      </c>
      <c r="I48" s="37">
        <v>3</v>
      </c>
      <c r="J48" s="37">
        <f>IF(Table412[[#This Row],[MAT]]&lt;&gt;"",COUNTIF(Table3[LEVEL 5 MAT NO.],Table412[[#This Row],[MAT]]),"")</f>
        <v>0</v>
      </c>
      <c r="K48" s="36">
        <f>IFERROR(INDEX(Table3[],MATCH($E48,Table3[LEVEL 5 MAT NO.],0),2),0)</f>
        <v>0</v>
      </c>
      <c r="L48" s="36">
        <f>Table412[[#This Row],[Quantity in BOM]]*Table412[[#This Row],[Freq]]</f>
        <v>0</v>
      </c>
      <c r="M48" s="36" t="str">
        <f>IF(Table412[[#This Row],[Exist]]=1,Table412[[#This Row],[MAT]],"")</f>
        <v/>
      </c>
      <c r="N48" s="36" t="str">
        <f>IF(Table412[[#This Row],[Exist]]=1,Table412[[#This Row],[Component]],"")</f>
        <v/>
      </c>
      <c r="O48" s="36">
        <f>IFERROR(VALUE(Table412[[#This Row],[MAT]]&amp;Table412[[#This Row],[X'#]]),IF(COUNTIF(Table412[[#This Row],[MAT]],"*M"),Table412[[#This Row],[MAT]]&amp;Table412[[#This Row],[X'#]],""))</f>
        <v>10416733</v>
      </c>
      <c r="T48" s="42">
        <v>47</v>
      </c>
      <c r="U48" s="2">
        <v>742617</v>
      </c>
      <c r="V48" s="43" t="s">
        <v>3435</v>
      </c>
    </row>
    <row r="49" spans="1:22" x14ac:dyDescent="0.25">
      <c r="A49" s="37">
        <f t="shared" si="0"/>
        <v>1</v>
      </c>
      <c r="B49" s="37"/>
      <c r="C49" s="37">
        <v>8.5</v>
      </c>
      <c r="D49" s="37" t="s">
        <v>282</v>
      </c>
      <c r="E49" s="37">
        <v>1041673</v>
      </c>
      <c r="F49" s="37">
        <v>4</v>
      </c>
      <c r="G49" s="37">
        <v>418525</v>
      </c>
      <c r="H49" s="48" t="str">
        <f>IFERROR(INDEX(Table14[],MATCH($G49,Table14[SAPNo],0),3),"")</f>
        <v>Drop In 1308 CT31   (B)</v>
      </c>
      <c r="I49" s="37">
        <v>12</v>
      </c>
      <c r="J49" s="37">
        <f>IF(Table412[[#This Row],[MAT]]&lt;&gt;"",COUNTIF(Table3[LEVEL 5 MAT NO.],Table412[[#This Row],[MAT]]),"")</f>
        <v>0</v>
      </c>
      <c r="K49" s="36">
        <f>IFERROR(INDEX(Table3[],MATCH($E49,Table3[LEVEL 5 MAT NO.],0),2),0)</f>
        <v>0</v>
      </c>
      <c r="L49" s="36">
        <f>Table412[[#This Row],[Quantity in BOM]]*Table412[[#This Row],[Freq]]</f>
        <v>0</v>
      </c>
      <c r="M49" s="36" t="str">
        <f>IF(Table412[[#This Row],[Exist]]=1,Table412[[#This Row],[MAT]],"")</f>
        <v/>
      </c>
      <c r="N49" s="36" t="str">
        <f>IF(Table412[[#This Row],[Exist]]=1,Table412[[#This Row],[Component]],"")</f>
        <v/>
      </c>
      <c r="O49" s="36">
        <f>IFERROR(VALUE(Table412[[#This Row],[MAT]]&amp;Table412[[#This Row],[X'#]]),IF(COUNTIF(Table412[[#This Row],[MAT]],"*M"),Table412[[#This Row],[MAT]]&amp;Table412[[#This Row],[X'#]],""))</f>
        <v>10416734</v>
      </c>
      <c r="T49" s="42">
        <v>48</v>
      </c>
      <c r="U49" s="2">
        <v>882800</v>
      </c>
      <c r="V49" s="43" t="s">
        <v>1389</v>
      </c>
    </row>
    <row r="50" spans="1:22" x14ac:dyDescent="0.25">
      <c r="A50" s="37">
        <f t="shared" si="0"/>
        <v>1</v>
      </c>
      <c r="B50" s="37"/>
      <c r="C50" s="37">
        <v>8.5</v>
      </c>
      <c r="D50" s="37" t="s">
        <v>282</v>
      </c>
      <c r="E50" s="37">
        <v>1041673</v>
      </c>
      <c r="F50" s="37">
        <v>5</v>
      </c>
      <c r="G50" s="37">
        <v>649901</v>
      </c>
      <c r="H50" s="48" t="str">
        <f>IFERROR(INDEX(Table14[],MATCH($G50,Table14[SAPNo],0),3),"")</f>
        <v>Carbide IA 8    (C)</v>
      </c>
      <c r="I50" s="37">
        <v>31</v>
      </c>
      <c r="J50" s="37">
        <f>IF(Table412[[#This Row],[MAT]]&lt;&gt;"",COUNTIF(Table3[LEVEL 5 MAT NO.],Table412[[#This Row],[MAT]]),"")</f>
        <v>0</v>
      </c>
      <c r="K50" s="36">
        <f>IFERROR(INDEX(Table3[],MATCH($E50,Table3[LEVEL 5 MAT NO.],0),2),0)</f>
        <v>0</v>
      </c>
      <c r="L50" s="36">
        <f>Table412[[#This Row],[Quantity in BOM]]*Table412[[#This Row],[Freq]]</f>
        <v>0</v>
      </c>
      <c r="M50" s="36" t="str">
        <f>IF(Table412[[#This Row],[Exist]]=1,Table412[[#This Row],[MAT]],"")</f>
        <v/>
      </c>
      <c r="N50" s="36" t="str">
        <f>IF(Table412[[#This Row],[Exist]]=1,Table412[[#This Row],[Component]],"")</f>
        <v/>
      </c>
      <c r="O50" s="36">
        <f>IFERROR(VALUE(Table412[[#This Row],[MAT]]&amp;Table412[[#This Row],[X'#]]),IF(COUNTIF(Table412[[#This Row],[MAT]],"*M"),Table412[[#This Row],[MAT]]&amp;Table412[[#This Row],[X'#]],""))</f>
        <v>10416735</v>
      </c>
      <c r="T50" s="42">
        <v>49</v>
      </c>
      <c r="U50" s="2">
        <v>729690</v>
      </c>
      <c r="V50" s="43" t="s">
        <v>3436</v>
      </c>
    </row>
    <row r="51" spans="1:22" x14ac:dyDescent="0.25">
      <c r="A51" s="37">
        <f t="shared" si="0"/>
        <v>1</v>
      </c>
      <c r="B51" s="37"/>
      <c r="C51" s="37">
        <v>12.25</v>
      </c>
      <c r="D51" s="37" t="s">
        <v>3437</v>
      </c>
      <c r="E51" s="37">
        <v>952533</v>
      </c>
      <c r="F51" s="37">
        <v>1</v>
      </c>
      <c r="G51" s="37">
        <v>418525</v>
      </c>
      <c r="H51" s="48" t="str">
        <f>IFERROR(INDEX(Table14[],MATCH($G51,Table14[SAPNo],0),3),"")</f>
        <v>Drop In 1308 CT31   (B)</v>
      </c>
      <c r="I51" s="37">
        <v>14</v>
      </c>
      <c r="J51" s="37">
        <f>IF(Table412[[#This Row],[MAT]]&lt;&gt;"",COUNTIF(Table3[LEVEL 5 MAT NO.],Table412[[#This Row],[MAT]]),"")</f>
        <v>0</v>
      </c>
      <c r="K51" s="36">
        <f>IFERROR(INDEX(Table3[],MATCH($E51,Table3[LEVEL 5 MAT NO.],0),2),0)</f>
        <v>0</v>
      </c>
      <c r="L51" s="36">
        <f>Table412[[#This Row],[Quantity in BOM]]*Table412[[#This Row],[Freq]]</f>
        <v>0</v>
      </c>
      <c r="M51" s="36" t="str">
        <f>IF(Table412[[#This Row],[Exist]]=1,Table412[[#This Row],[MAT]],"")</f>
        <v/>
      </c>
      <c r="N51" s="36" t="str">
        <f>IF(Table412[[#This Row],[Exist]]=1,Table412[[#This Row],[Component]],"")</f>
        <v/>
      </c>
      <c r="O51" s="36">
        <f>IFERROR(VALUE(Table412[[#This Row],[MAT]]&amp;Table412[[#This Row],[X'#]]),IF(COUNTIF(Table412[[#This Row],[MAT]],"*M"),Table412[[#This Row],[MAT]]&amp;Table412[[#This Row],[X'#]],""))</f>
        <v>9525331</v>
      </c>
      <c r="T51" s="42">
        <v>50</v>
      </c>
      <c r="U51" s="2">
        <v>1010264</v>
      </c>
      <c r="V51" s="43" t="s">
        <v>4199</v>
      </c>
    </row>
    <row r="52" spans="1:22" x14ac:dyDescent="0.25">
      <c r="A52" s="37">
        <f t="shared" si="0"/>
        <v>1</v>
      </c>
      <c r="B52" s="37"/>
      <c r="C52" s="37">
        <v>12.25</v>
      </c>
      <c r="D52" s="37" t="s">
        <v>3437</v>
      </c>
      <c r="E52" s="37">
        <v>952533</v>
      </c>
      <c r="F52" s="37">
        <v>2</v>
      </c>
      <c r="G52" s="37">
        <v>708305</v>
      </c>
      <c r="H52" s="48" t="str">
        <f>IFERROR(INDEX(Table14[],MATCH($G52,Table14[SAPNo],0),3),"")</f>
        <v>Round 1913 CT200  10C (B)</v>
      </c>
      <c r="I52" s="37">
        <v>3</v>
      </c>
      <c r="J52" s="37">
        <f>IF(Table412[[#This Row],[MAT]]&lt;&gt;"",COUNTIF(Table3[LEVEL 5 MAT NO.],Table412[[#This Row],[MAT]]),"")</f>
        <v>0</v>
      </c>
      <c r="K52" s="36">
        <f>IFERROR(INDEX(Table3[],MATCH($E52,Table3[LEVEL 5 MAT NO.],0),2),0)</f>
        <v>0</v>
      </c>
      <c r="L52" s="36">
        <f>Table412[[#This Row],[Quantity in BOM]]*Table412[[#This Row],[Freq]]</f>
        <v>0</v>
      </c>
      <c r="M52" s="36" t="str">
        <f>IF(Table412[[#This Row],[Exist]]=1,Table412[[#This Row],[MAT]],"")</f>
        <v/>
      </c>
      <c r="N52" s="36" t="str">
        <f>IF(Table412[[#This Row],[Exist]]=1,Table412[[#This Row],[Component]],"")</f>
        <v/>
      </c>
      <c r="O52" s="36">
        <f>IFERROR(VALUE(Table412[[#This Row],[MAT]]&amp;Table412[[#This Row],[X'#]]),IF(COUNTIF(Table412[[#This Row],[MAT]],"*M"),Table412[[#This Row],[MAT]]&amp;Table412[[#This Row],[X'#]],""))</f>
        <v>9525332</v>
      </c>
      <c r="T52" s="42">
        <v>51</v>
      </c>
      <c r="U52" s="2">
        <v>930925</v>
      </c>
      <c r="V52" s="43" t="s">
        <v>4200</v>
      </c>
    </row>
    <row r="53" spans="1:22" x14ac:dyDescent="0.25">
      <c r="A53" s="37">
        <f t="shared" si="0"/>
        <v>1</v>
      </c>
      <c r="B53" s="37"/>
      <c r="C53" s="37">
        <v>12.25</v>
      </c>
      <c r="D53" s="37" t="s">
        <v>3437</v>
      </c>
      <c r="E53" s="37">
        <v>952533</v>
      </c>
      <c r="F53" s="37">
        <v>3</v>
      </c>
      <c r="G53" s="37">
        <v>745573</v>
      </c>
      <c r="H53" s="48" t="str">
        <f>IFERROR(INDEX(Table14[],MATCH($G53,Table14[SAPNo],0),3),"")</f>
        <v>Round 1913 CT82  10C (S)</v>
      </c>
      <c r="I53" s="37">
        <v>45</v>
      </c>
      <c r="J53" s="37">
        <f>IF(Table412[[#This Row],[MAT]]&lt;&gt;"",COUNTIF(Table3[LEVEL 5 MAT NO.],Table412[[#This Row],[MAT]]),"")</f>
        <v>0</v>
      </c>
      <c r="K53" s="36">
        <f>IFERROR(INDEX(Table3[],MATCH($E53,Table3[LEVEL 5 MAT NO.],0),2),0)</f>
        <v>0</v>
      </c>
      <c r="L53" s="36">
        <f>Table412[[#This Row],[Quantity in BOM]]*Table412[[#This Row],[Freq]]</f>
        <v>0</v>
      </c>
      <c r="M53" s="36" t="str">
        <f>IF(Table412[[#This Row],[Exist]]=1,Table412[[#This Row],[MAT]],"")</f>
        <v/>
      </c>
      <c r="N53" s="36" t="str">
        <f>IF(Table412[[#This Row],[Exist]]=1,Table412[[#This Row],[Component]],"")</f>
        <v/>
      </c>
      <c r="O53" s="36">
        <f>IFERROR(VALUE(Table412[[#This Row],[MAT]]&amp;Table412[[#This Row],[X'#]]),IF(COUNTIF(Table412[[#This Row],[MAT]],"*M"),Table412[[#This Row],[MAT]]&amp;Table412[[#This Row],[X'#]],""))</f>
        <v>9525333</v>
      </c>
      <c r="T53" s="42">
        <v>52</v>
      </c>
      <c r="U53" s="2">
        <v>752563</v>
      </c>
      <c r="V53" s="43" t="s">
        <v>3438</v>
      </c>
    </row>
    <row r="54" spans="1:22" x14ac:dyDescent="0.25">
      <c r="A54" s="37">
        <f t="shared" si="0"/>
        <v>1</v>
      </c>
      <c r="B54" s="37"/>
      <c r="C54" s="37">
        <v>12.25</v>
      </c>
      <c r="D54" s="37" t="s">
        <v>3437</v>
      </c>
      <c r="E54" s="37">
        <v>952533</v>
      </c>
      <c r="F54" s="37">
        <v>4</v>
      </c>
      <c r="G54" s="37">
        <v>621152</v>
      </c>
      <c r="H54" s="48" t="str">
        <f>IFERROR(INDEX(Table14[],MATCH($G54,Table14[SAPNo],0),3),"")</f>
        <v>MDR 1318    (D)</v>
      </c>
      <c r="I54" s="37">
        <v>7</v>
      </c>
      <c r="J54" s="37">
        <f>IF(Table412[[#This Row],[MAT]]&lt;&gt;"",COUNTIF(Table3[LEVEL 5 MAT NO.],Table412[[#This Row],[MAT]]),"")</f>
        <v>0</v>
      </c>
      <c r="K54" s="36">
        <f>IFERROR(INDEX(Table3[],MATCH($E54,Table3[LEVEL 5 MAT NO.],0),2),0)</f>
        <v>0</v>
      </c>
      <c r="L54" s="36">
        <f>Table412[[#This Row],[Quantity in BOM]]*Table412[[#This Row],[Freq]]</f>
        <v>0</v>
      </c>
      <c r="M54" s="36" t="str">
        <f>IF(Table412[[#This Row],[Exist]]=1,Table412[[#This Row],[MAT]],"")</f>
        <v/>
      </c>
      <c r="N54" s="36" t="str">
        <f>IF(Table412[[#This Row],[Exist]]=1,Table412[[#This Row],[Component]],"")</f>
        <v/>
      </c>
      <c r="O54" s="36">
        <f>IFERROR(VALUE(Table412[[#This Row],[MAT]]&amp;Table412[[#This Row],[X'#]]),IF(COUNTIF(Table412[[#This Row],[MAT]],"*M"),Table412[[#This Row],[MAT]]&amp;Table412[[#This Row],[X'#]],""))</f>
        <v>9525334</v>
      </c>
      <c r="T54" s="42">
        <v>53</v>
      </c>
      <c r="U54" s="2">
        <v>708306</v>
      </c>
      <c r="V54" s="43" t="s">
        <v>3439</v>
      </c>
    </row>
    <row r="55" spans="1:22" x14ac:dyDescent="0.25">
      <c r="A55" s="37">
        <f t="shared" si="0"/>
        <v>1</v>
      </c>
      <c r="B55" s="37"/>
      <c r="C55" s="37">
        <v>12.25</v>
      </c>
      <c r="D55" s="37" t="s">
        <v>3440</v>
      </c>
      <c r="E55" s="37">
        <v>870474</v>
      </c>
      <c r="F55" s="37">
        <v>1</v>
      </c>
      <c r="G55" s="37">
        <v>418525</v>
      </c>
      <c r="H55" s="48" t="str">
        <f>IFERROR(INDEX(Table14[],MATCH($G55,Table14[SAPNo],0),3),"")</f>
        <v>Drop In 1308 CT31   (B)</v>
      </c>
      <c r="I55" s="37">
        <v>9</v>
      </c>
      <c r="J55" s="37">
        <f>IF(Table412[[#This Row],[MAT]]&lt;&gt;"",COUNTIF(Table3[LEVEL 5 MAT NO.],Table412[[#This Row],[MAT]]),"")</f>
        <v>0</v>
      </c>
      <c r="K55" s="36">
        <f>IFERROR(INDEX(Table3[],MATCH($E55,Table3[LEVEL 5 MAT NO.],0),2),0)</f>
        <v>0</v>
      </c>
      <c r="L55" s="36">
        <f>Table412[[#This Row],[Quantity in BOM]]*Table412[[#This Row],[Freq]]</f>
        <v>0</v>
      </c>
      <c r="M55" s="36" t="str">
        <f>IF(Table412[[#This Row],[Exist]]=1,Table412[[#This Row],[MAT]],"")</f>
        <v/>
      </c>
      <c r="N55" s="36" t="str">
        <f>IF(Table412[[#This Row],[Exist]]=1,Table412[[#This Row],[Component]],"")</f>
        <v/>
      </c>
      <c r="O55" s="36">
        <f>IFERROR(VALUE(Table412[[#This Row],[MAT]]&amp;Table412[[#This Row],[X'#]]),IF(COUNTIF(Table412[[#This Row],[MAT]],"*M"),Table412[[#This Row],[MAT]]&amp;Table412[[#This Row],[X'#]],""))</f>
        <v>8704741</v>
      </c>
      <c r="T55" s="42">
        <v>54</v>
      </c>
      <c r="U55" s="2">
        <v>744015</v>
      </c>
      <c r="V55" s="43" t="s">
        <v>3441</v>
      </c>
    </row>
    <row r="56" spans="1:22" x14ac:dyDescent="0.25">
      <c r="A56" s="37">
        <f t="shared" si="0"/>
        <v>1</v>
      </c>
      <c r="B56" s="37"/>
      <c r="C56" s="37">
        <v>12.25</v>
      </c>
      <c r="D56" s="37" t="s">
        <v>3440</v>
      </c>
      <c r="E56" s="37">
        <v>870474</v>
      </c>
      <c r="F56" s="37">
        <v>2</v>
      </c>
      <c r="G56" s="37">
        <v>871781</v>
      </c>
      <c r="H56" s="48" t="str">
        <f>IFERROR(INDEX(Table14[],MATCH($G56,Table14[SAPNo],0),3),"")</f>
        <v>Round 1313 CT200  0.018" (B)</v>
      </c>
      <c r="I56" s="37">
        <v>3</v>
      </c>
      <c r="J56" s="37">
        <f>IF(Table412[[#This Row],[MAT]]&lt;&gt;"",COUNTIF(Table3[LEVEL 5 MAT NO.],Table412[[#This Row],[MAT]]),"")</f>
        <v>0</v>
      </c>
      <c r="K56" s="36">
        <f>IFERROR(INDEX(Table3[],MATCH($E56,Table3[LEVEL 5 MAT NO.],0),2),0)</f>
        <v>0</v>
      </c>
      <c r="L56" s="36">
        <f>Table412[[#This Row],[Quantity in BOM]]*Table412[[#This Row],[Freq]]</f>
        <v>0</v>
      </c>
      <c r="M56" s="36" t="str">
        <f>IF(Table412[[#This Row],[Exist]]=1,Table412[[#This Row],[MAT]],"")</f>
        <v/>
      </c>
      <c r="N56" s="36" t="str">
        <f>IF(Table412[[#This Row],[Exist]]=1,Table412[[#This Row],[Component]],"")</f>
        <v/>
      </c>
      <c r="O56" s="36">
        <f>IFERROR(VALUE(Table412[[#This Row],[MAT]]&amp;Table412[[#This Row],[X'#]]),IF(COUNTIF(Table412[[#This Row],[MAT]],"*M"),Table412[[#This Row],[MAT]]&amp;Table412[[#This Row],[X'#]],""))</f>
        <v>8704742</v>
      </c>
      <c r="T56" s="42">
        <v>55</v>
      </c>
      <c r="U56" s="2">
        <v>932725</v>
      </c>
      <c r="V56" s="43" t="s">
        <v>4201</v>
      </c>
    </row>
    <row r="57" spans="1:22" x14ac:dyDescent="0.25">
      <c r="A57" s="37">
        <f t="shared" si="0"/>
        <v>1</v>
      </c>
      <c r="B57" s="37"/>
      <c r="C57" s="37">
        <v>12.25</v>
      </c>
      <c r="D57" s="37" t="s">
        <v>3440</v>
      </c>
      <c r="E57" s="37">
        <v>870474</v>
      </c>
      <c r="F57" s="37">
        <v>3</v>
      </c>
      <c r="G57" s="37">
        <v>770451</v>
      </c>
      <c r="H57" s="48" t="str">
        <f>IFERROR(INDEX(Table14[],MATCH($G57,Table14[SAPNo],0),3),"")</f>
        <v>Short Bullet 19 CT80 SBL 0.018" (B)</v>
      </c>
      <c r="I57" s="37">
        <v>10</v>
      </c>
      <c r="J57" s="37">
        <f>IF(Table412[[#This Row],[MAT]]&lt;&gt;"",COUNTIF(Table3[LEVEL 5 MAT NO.],Table412[[#This Row],[MAT]]),"")</f>
        <v>0</v>
      </c>
      <c r="K57" s="36">
        <f>IFERROR(INDEX(Table3[],MATCH($E57,Table3[LEVEL 5 MAT NO.],0),2),0)</f>
        <v>0</v>
      </c>
      <c r="L57" s="36">
        <f>Table412[[#This Row],[Quantity in BOM]]*Table412[[#This Row],[Freq]]</f>
        <v>0</v>
      </c>
      <c r="M57" s="36" t="str">
        <f>IF(Table412[[#This Row],[Exist]]=1,Table412[[#This Row],[MAT]],"")</f>
        <v/>
      </c>
      <c r="N57" s="36" t="str">
        <f>IF(Table412[[#This Row],[Exist]]=1,Table412[[#This Row],[Component]],"")</f>
        <v/>
      </c>
      <c r="O57" s="36">
        <f>IFERROR(VALUE(Table412[[#This Row],[MAT]]&amp;Table412[[#This Row],[X'#]]),IF(COUNTIF(Table412[[#This Row],[MAT]],"*M"),Table412[[#This Row],[MAT]]&amp;Table412[[#This Row],[X'#]],""))</f>
        <v>8704743</v>
      </c>
      <c r="T57" s="42">
        <v>56</v>
      </c>
      <c r="U57" s="2">
        <v>983094</v>
      </c>
      <c r="V57" s="43" t="s">
        <v>3442</v>
      </c>
    </row>
    <row r="58" spans="1:22" x14ac:dyDescent="0.25">
      <c r="A58" s="37">
        <f t="shared" si="0"/>
        <v>1</v>
      </c>
      <c r="B58" s="37"/>
      <c r="C58" s="37">
        <v>12.25</v>
      </c>
      <c r="D58" s="37" t="s">
        <v>3440</v>
      </c>
      <c r="E58" s="37">
        <v>870474</v>
      </c>
      <c r="F58" s="37">
        <v>4</v>
      </c>
      <c r="G58" s="37">
        <v>755975</v>
      </c>
      <c r="H58" s="48" t="str">
        <f>IFERROR(INDEX(Table14[],MATCH($G58,Table14[SAPNo],0),3),"")</f>
        <v>Round 1913 CT80  0.018" (B)</v>
      </c>
      <c r="I58" s="37">
        <v>20</v>
      </c>
      <c r="J58" s="37">
        <f>IF(Table412[[#This Row],[MAT]]&lt;&gt;"",COUNTIF(Table3[LEVEL 5 MAT NO.],Table412[[#This Row],[MAT]]),"")</f>
        <v>0</v>
      </c>
      <c r="K58" s="36">
        <f>IFERROR(INDEX(Table3[],MATCH($E58,Table3[LEVEL 5 MAT NO.],0),2),0)</f>
        <v>0</v>
      </c>
      <c r="L58" s="36">
        <f>Table412[[#This Row],[Quantity in BOM]]*Table412[[#This Row],[Freq]]</f>
        <v>0</v>
      </c>
      <c r="M58" s="36" t="str">
        <f>IF(Table412[[#This Row],[Exist]]=1,Table412[[#This Row],[MAT]],"")</f>
        <v/>
      </c>
      <c r="N58" s="36" t="str">
        <f>IF(Table412[[#This Row],[Exist]]=1,Table412[[#This Row],[Component]],"")</f>
        <v/>
      </c>
      <c r="O58" s="36">
        <f>IFERROR(VALUE(Table412[[#This Row],[MAT]]&amp;Table412[[#This Row],[X'#]]),IF(COUNTIF(Table412[[#This Row],[MAT]],"*M"),Table412[[#This Row],[MAT]]&amp;Table412[[#This Row],[X'#]],""))</f>
        <v>8704744</v>
      </c>
      <c r="T58" s="42">
        <v>57</v>
      </c>
      <c r="U58" s="2">
        <v>752555</v>
      </c>
      <c r="V58" s="43" t="s">
        <v>3443</v>
      </c>
    </row>
    <row r="59" spans="1:22" x14ac:dyDescent="0.25">
      <c r="A59" s="37">
        <f t="shared" si="0"/>
        <v>1</v>
      </c>
      <c r="B59" s="37"/>
      <c r="C59" s="37">
        <v>12.25</v>
      </c>
      <c r="D59" s="37" t="s">
        <v>3440</v>
      </c>
      <c r="E59" s="37">
        <v>870474</v>
      </c>
      <c r="F59" s="37">
        <v>5</v>
      </c>
      <c r="G59" s="37">
        <v>745338</v>
      </c>
      <c r="H59" s="48" t="str">
        <f>IFERROR(INDEX(Table14[],MATCH($G59,Table14[SAPNo],0),3),"")</f>
        <v>Round 1613 CT80  0.018" (B)</v>
      </c>
      <c r="I59" s="37">
        <v>14</v>
      </c>
      <c r="J59" s="37">
        <f>IF(Table412[[#This Row],[MAT]]&lt;&gt;"",COUNTIF(Table3[LEVEL 5 MAT NO.],Table412[[#This Row],[MAT]]),"")</f>
        <v>0</v>
      </c>
      <c r="K59" s="36">
        <f>IFERROR(INDEX(Table3[],MATCH($E59,Table3[LEVEL 5 MAT NO.],0),2),0)</f>
        <v>0</v>
      </c>
      <c r="L59" s="36">
        <f>Table412[[#This Row],[Quantity in BOM]]*Table412[[#This Row],[Freq]]</f>
        <v>0</v>
      </c>
      <c r="M59" s="36" t="str">
        <f>IF(Table412[[#This Row],[Exist]]=1,Table412[[#This Row],[MAT]],"")</f>
        <v/>
      </c>
      <c r="N59" s="36" t="str">
        <f>IF(Table412[[#This Row],[Exist]]=1,Table412[[#This Row],[Component]],"")</f>
        <v/>
      </c>
      <c r="O59" s="36">
        <f>IFERROR(VALUE(Table412[[#This Row],[MAT]]&amp;Table412[[#This Row],[X'#]]),IF(COUNTIF(Table412[[#This Row],[MAT]],"*M"),Table412[[#This Row],[MAT]]&amp;Table412[[#This Row],[X'#]],""))</f>
        <v>8704745</v>
      </c>
      <c r="T59" s="42">
        <v>58</v>
      </c>
      <c r="U59" s="2">
        <v>647436</v>
      </c>
      <c r="V59" s="43" t="s">
        <v>3444</v>
      </c>
    </row>
    <row r="60" spans="1:22" x14ac:dyDescent="0.25">
      <c r="A60" s="37">
        <f t="shared" si="0"/>
        <v>1</v>
      </c>
      <c r="B60" s="37"/>
      <c r="C60" s="37">
        <v>6.125</v>
      </c>
      <c r="D60" s="37" t="s">
        <v>3414</v>
      </c>
      <c r="E60" s="37">
        <v>1061431</v>
      </c>
      <c r="F60" s="37">
        <v>1</v>
      </c>
      <c r="G60" s="37">
        <v>907609</v>
      </c>
      <c r="H60" s="48" t="str">
        <f>IFERROR(INDEX(Table14[],MATCH($G60,Table14[SAPNo],0),3),"")</f>
        <v>Round 1313 CT125 GEDB 10C (S)</v>
      </c>
      <c r="I60" s="37">
        <v>20</v>
      </c>
      <c r="J60" s="37">
        <f>IF(Table412[[#This Row],[MAT]]&lt;&gt;"",COUNTIF(Table3[LEVEL 5 MAT NO.],Table412[[#This Row],[MAT]]),"")</f>
        <v>0</v>
      </c>
      <c r="K60" s="36">
        <f>IFERROR(INDEX(Table3[],MATCH($E60,Table3[LEVEL 5 MAT NO.],0),2),0)</f>
        <v>0</v>
      </c>
      <c r="L60" s="36">
        <f>Table412[[#This Row],[Quantity in BOM]]*Table412[[#This Row],[Freq]]</f>
        <v>0</v>
      </c>
      <c r="M60" s="36" t="str">
        <f>IF(Table412[[#This Row],[Exist]]=1,Table412[[#This Row],[MAT]],"")</f>
        <v/>
      </c>
      <c r="N60" s="36" t="str">
        <f>IF(Table412[[#This Row],[Exist]]=1,Table412[[#This Row],[Component]],"")</f>
        <v/>
      </c>
      <c r="O60" s="36">
        <f>IFERROR(VALUE(Table412[[#This Row],[MAT]]&amp;Table412[[#This Row],[X'#]]),IF(COUNTIF(Table412[[#This Row],[MAT]],"*M"),Table412[[#This Row],[MAT]]&amp;Table412[[#This Row],[X'#]],""))</f>
        <v>10614311</v>
      </c>
      <c r="T60" s="42">
        <v>59</v>
      </c>
      <c r="U60" s="2">
        <v>871781</v>
      </c>
      <c r="V60" s="43" t="s">
        <v>3445</v>
      </c>
    </row>
    <row r="61" spans="1:22" x14ac:dyDescent="0.25">
      <c r="A61" s="37">
        <f t="shared" si="0"/>
        <v>1</v>
      </c>
      <c r="B61" s="37"/>
      <c r="C61" s="37">
        <v>6.125</v>
      </c>
      <c r="D61" s="37" t="s">
        <v>3414</v>
      </c>
      <c r="E61" s="37">
        <v>1061431</v>
      </c>
      <c r="F61" s="37">
        <v>2</v>
      </c>
      <c r="G61" s="37">
        <v>703670</v>
      </c>
      <c r="H61" s="48" t="str">
        <f>IFERROR(INDEX(Table14[],MATCH($G61,Table14[SAPNo],0),3),"")</f>
        <v>Round 1313 CT200  10C (B)</v>
      </c>
      <c r="I61" s="37">
        <v>3</v>
      </c>
      <c r="J61" s="37">
        <f>IF(Table412[[#This Row],[MAT]]&lt;&gt;"",COUNTIF(Table3[LEVEL 5 MAT NO.],Table412[[#This Row],[MAT]]),"")</f>
        <v>0</v>
      </c>
      <c r="K61" s="36">
        <f>IFERROR(INDEX(Table3[],MATCH($E61,Table3[LEVEL 5 MAT NO.],0),2),0)</f>
        <v>0</v>
      </c>
      <c r="L61" s="36">
        <f>Table412[[#This Row],[Quantity in BOM]]*Table412[[#This Row],[Freq]]</f>
        <v>0</v>
      </c>
      <c r="M61" s="36" t="str">
        <f>IF(Table412[[#This Row],[Exist]]=1,Table412[[#This Row],[MAT]],"")</f>
        <v/>
      </c>
      <c r="N61" s="36" t="str">
        <f>IF(Table412[[#This Row],[Exist]]=1,Table412[[#This Row],[Component]],"")</f>
        <v/>
      </c>
      <c r="O61" s="36">
        <f>IFERROR(VALUE(Table412[[#This Row],[MAT]]&amp;Table412[[#This Row],[X'#]]),IF(COUNTIF(Table412[[#This Row],[MAT]],"*M"),Table412[[#This Row],[MAT]]&amp;Table412[[#This Row],[X'#]],""))</f>
        <v>10614312</v>
      </c>
      <c r="T61" s="42">
        <v>60</v>
      </c>
      <c r="U61" s="2">
        <v>625854</v>
      </c>
      <c r="V61" s="43" t="s">
        <v>3446</v>
      </c>
    </row>
    <row r="62" spans="1:22" x14ac:dyDescent="0.25">
      <c r="A62" s="37">
        <f t="shared" si="0"/>
        <v>1</v>
      </c>
      <c r="B62" s="37"/>
      <c r="C62" s="37">
        <v>6.125</v>
      </c>
      <c r="D62" s="37" t="s">
        <v>3414</v>
      </c>
      <c r="E62" s="37">
        <v>1061431</v>
      </c>
      <c r="F62" s="37">
        <v>3</v>
      </c>
      <c r="G62" s="37">
        <v>418525</v>
      </c>
      <c r="H62" s="48" t="str">
        <f>IFERROR(INDEX(Table14[],MATCH($G62,Table14[SAPNo],0),3),"")</f>
        <v>Drop In 1308 CT31   (B)</v>
      </c>
      <c r="I62" s="37">
        <v>10</v>
      </c>
      <c r="J62" s="37">
        <f>IF(Table412[[#This Row],[MAT]]&lt;&gt;"",COUNTIF(Table3[LEVEL 5 MAT NO.],Table412[[#This Row],[MAT]]),"")</f>
        <v>0</v>
      </c>
      <c r="K62" s="36">
        <f>IFERROR(INDEX(Table3[],MATCH($E62,Table3[LEVEL 5 MAT NO.],0),2),0)</f>
        <v>0</v>
      </c>
      <c r="L62" s="36">
        <f>Table412[[#This Row],[Quantity in BOM]]*Table412[[#This Row],[Freq]]</f>
        <v>0</v>
      </c>
      <c r="M62" s="36" t="str">
        <f>IF(Table412[[#This Row],[Exist]]=1,Table412[[#This Row],[MAT]],"")</f>
        <v/>
      </c>
      <c r="N62" s="36" t="str">
        <f>IF(Table412[[#This Row],[Exist]]=1,Table412[[#This Row],[Component]],"")</f>
        <v/>
      </c>
      <c r="O62" s="36">
        <f>IFERROR(VALUE(Table412[[#This Row],[MAT]]&amp;Table412[[#This Row],[X'#]]),IF(COUNTIF(Table412[[#This Row],[MAT]],"*M"),Table412[[#This Row],[MAT]]&amp;Table412[[#This Row],[X'#]],""))</f>
        <v>10614313</v>
      </c>
      <c r="T62" s="42">
        <v>61</v>
      </c>
      <c r="U62" s="2">
        <v>770451</v>
      </c>
      <c r="V62" s="43" t="s">
        <v>3447</v>
      </c>
    </row>
    <row r="63" spans="1:22" x14ac:dyDescent="0.25">
      <c r="A63" s="37">
        <f t="shared" si="0"/>
        <v>1</v>
      </c>
      <c r="C63" s="38" t="s">
        <v>309</v>
      </c>
      <c r="D63" s="36" t="s">
        <v>635</v>
      </c>
      <c r="E63" s="36">
        <v>965522</v>
      </c>
      <c r="F63" s="36">
        <v>1</v>
      </c>
      <c r="G63" s="36">
        <v>1130196</v>
      </c>
      <c r="H63" s="48" t="str">
        <f>IFERROR(INDEX(Table14[],MATCH($G63,Table14[SAPNo],0),3),"")</f>
        <v>Round 1313 CT182  0.018" (S)</v>
      </c>
      <c r="I63" s="37">
        <v>23</v>
      </c>
      <c r="J63" s="37">
        <f>IF(Table412[[#This Row],[MAT]]&lt;&gt;"",COUNTIF(Table3[LEVEL 5 MAT NO.],Table412[[#This Row],[MAT]]),"")</f>
        <v>1</v>
      </c>
      <c r="K63" s="36">
        <f>IFERROR(INDEX(Table3[],MATCH($E63,Table3[LEVEL 5 MAT NO.],0),2),0)</f>
        <v>2</v>
      </c>
      <c r="L63" s="36">
        <f>Table412[[#This Row],[Quantity in BOM]]*Table412[[#This Row],[Freq]]</f>
        <v>46</v>
      </c>
      <c r="M63" s="36">
        <f>IF(Table412[[#This Row],[Exist]]=1,Table412[[#This Row],[MAT]],"")</f>
        <v>965522</v>
      </c>
      <c r="N63" s="36">
        <f>IF(Table412[[#This Row],[Exist]]=1,Table412[[#This Row],[Component]],"")</f>
        <v>1130196</v>
      </c>
      <c r="O63" s="36">
        <f>IFERROR(VALUE(Table412[[#This Row],[MAT]]&amp;Table412[[#This Row],[X'#]]),IF(COUNTIF(Table412[[#This Row],[MAT]],"*M"),Table412[[#This Row],[MAT]]&amp;Table412[[#This Row],[X'#]],""))</f>
        <v>9655221</v>
      </c>
      <c r="T63" s="42">
        <v>62</v>
      </c>
      <c r="U63" s="2">
        <v>755975</v>
      </c>
      <c r="V63" s="43" t="s">
        <v>3448</v>
      </c>
    </row>
    <row r="64" spans="1:22" x14ac:dyDescent="0.25">
      <c r="A64" s="37">
        <f t="shared" si="0"/>
        <v>3</v>
      </c>
      <c r="B64" s="37"/>
      <c r="C64" s="37" t="s">
        <v>3449</v>
      </c>
      <c r="D64" s="37" t="s">
        <v>3450</v>
      </c>
      <c r="E64" s="37">
        <v>899327</v>
      </c>
      <c r="F64" s="37">
        <v>1</v>
      </c>
      <c r="G64" s="37">
        <v>768848</v>
      </c>
      <c r="H64" s="48" t="str">
        <f>IFERROR(INDEX(Table14[],MATCH($G64,Table14[SAPNo],0),3),"")</f>
        <v>Round 0808 CT82  10C (S)</v>
      </c>
      <c r="I64" s="37">
        <v>3</v>
      </c>
      <c r="J64" s="37">
        <f>IF(Table412[[#This Row],[MAT]]&lt;&gt;"",COUNTIF(Table3[LEVEL 5 MAT NO.],Table412[[#This Row],[MAT]]),"")</f>
        <v>0</v>
      </c>
      <c r="K64" s="36">
        <f>IFERROR(INDEX(Table3[],MATCH($E64,Table3[LEVEL 5 MAT NO.],0),2),0)</f>
        <v>0</v>
      </c>
      <c r="L64" s="36">
        <f>Table412[[#This Row],[Quantity in BOM]]*Table412[[#This Row],[Freq]]</f>
        <v>0</v>
      </c>
      <c r="M64" s="36" t="str">
        <f>IF(Table412[[#This Row],[Exist]]=1,Table412[[#This Row],[MAT]],"")</f>
        <v/>
      </c>
      <c r="N64" s="36" t="str">
        <f>IF(Table412[[#This Row],[Exist]]=1,Table412[[#This Row],[Component]],"")</f>
        <v/>
      </c>
      <c r="O64" s="36">
        <f>IFERROR(VALUE(Table412[[#This Row],[MAT]]&amp;Table412[[#This Row],[X'#]]),IF(COUNTIF(Table412[[#This Row],[MAT]],"*M"),Table412[[#This Row],[MAT]]&amp;Table412[[#This Row],[X'#]],""))</f>
        <v>8993271</v>
      </c>
      <c r="T64" s="42">
        <v>63</v>
      </c>
      <c r="U64" s="2">
        <v>745338</v>
      </c>
      <c r="V64" s="43" t="s">
        <v>3451</v>
      </c>
    </row>
    <row r="65" spans="1:22" x14ac:dyDescent="0.25">
      <c r="A65" s="37">
        <f t="shared" si="0"/>
        <v>3</v>
      </c>
      <c r="B65" s="37"/>
      <c r="C65" s="37" t="s">
        <v>3449</v>
      </c>
      <c r="D65" s="37" t="s">
        <v>3450</v>
      </c>
      <c r="E65" s="37">
        <v>899327</v>
      </c>
      <c r="F65" s="37">
        <v>2</v>
      </c>
      <c r="G65" s="37">
        <v>729434</v>
      </c>
      <c r="H65" s="48" t="str">
        <f>IFERROR(INDEX(Table14[],MATCH($G65,Table14[SAPNo],0),3),"")</f>
        <v>Round 1308 CT82  10C (S)</v>
      </c>
      <c r="I65" s="37">
        <v>33</v>
      </c>
      <c r="J65" s="37">
        <f>IF(Table412[[#This Row],[MAT]]&lt;&gt;"",COUNTIF(Table3[LEVEL 5 MAT NO.],Table412[[#This Row],[MAT]]),"")</f>
        <v>0</v>
      </c>
      <c r="K65" s="36">
        <f>IFERROR(INDEX(Table3[],MATCH($E65,Table3[LEVEL 5 MAT NO.],0),2),0)</f>
        <v>0</v>
      </c>
      <c r="L65" s="36">
        <f>Table412[[#This Row],[Quantity in BOM]]*Table412[[#This Row],[Freq]]</f>
        <v>0</v>
      </c>
      <c r="M65" s="36" t="str">
        <f>IF(Table412[[#This Row],[Exist]]=1,Table412[[#This Row],[MAT]],"")</f>
        <v/>
      </c>
      <c r="N65" s="36" t="str">
        <f>IF(Table412[[#This Row],[Exist]]=1,Table412[[#This Row],[Component]],"")</f>
        <v/>
      </c>
      <c r="O65" s="36">
        <f>IFERROR(VALUE(Table412[[#This Row],[MAT]]&amp;Table412[[#This Row],[X'#]]),IF(COUNTIF(Table412[[#This Row],[MAT]],"*M"),Table412[[#This Row],[MAT]]&amp;Table412[[#This Row],[X'#]],""))</f>
        <v>8993272</v>
      </c>
      <c r="T65" s="42">
        <v>64</v>
      </c>
      <c r="U65" s="2">
        <v>642299</v>
      </c>
      <c r="V65" s="43" t="s">
        <v>3452</v>
      </c>
    </row>
    <row r="66" spans="1:22" x14ac:dyDescent="0.25">
      <c r="A66" s="37">
        <f t="shared" si="0"/>
        <v>3</v>
      </c>
      <c r="B66" s="37"/>
      <c r="C66" s="37" t="s">
        <v>3449</v>
      </c>
      <c r="D66" s="37" t="s">
        <v>3450</v>
      </c>
      <c r="E66" s="37">
        <v>899327</v>
      </c>
      <c r="F66" s="37">
        <v>3</v>
      </c>
      <c r="G66" s="37">
        <v>717749</v>
      </c>
      <c r="H66" s="48" t="str">
        <f>IFERROR(INDEX(Table14[],MATCH($G66,Table14[SAPNo],0),3),"")</f>
        <v>Round 1308 CT200  10C (B)</v>
      </c>
      <c r="I66" s="37">
        <v>9</v>
      </c>
      <c r="J66" s="37">
        <f>IF(Table412[[#This Row],[MAT]]&lt;&gt;"",COUNTIF(Table3[LEVEL 5 MAT NO.],Table412[[#This Row],[MAT]]),"")</f>
        <v>0</v>
      </c>
      <c r="K66" s="36">
        <f>IFERROR(INDEX(Table3[],MATCH($E66,Table3[LEVEL 5 MAT NO.],0),2),0)</f>
        <v>0</v>
      </c>
      <c r="L66" s="36">
        <f>Table412[[#This Row],[Quantity in BOM]]*Table412[[#This Row],[Freq]]</f>
        <v>0</v>
      </c>
      <c r="M66" s="36" t="str">
        <f>IF(Table412[[#This Row],[Exist]]=1,Table412[[#This Row],[MAT]],"")</f>
        <v/>
      </c>
      <c r="N66" s="36" t="str">
        <f>IF(Table412[[#This Row],[Exist]]=1,Table412[[#This Row],[Component]],"")</f>
        <v/>
      </c>
      <c r="O66" s="36">
        <f>IFERROR(VALUE(Table412[[#This Row],[MAT]]&amp;Table412[[#This Row],[X'#]]),IF(COUNTIF(Table412[[#This Row],[MAT]],"*M"),Table412[[#This Row],[MAT]]&amp;Table412[[#This Row],[X'#]],""))</f>
        <v>8993273</v>
      </c>
      <c r="T66" s="42">
        <v>65</v>
      </c>
      <c r="U66" s="2">
        <v>661065</v>
      </c>
      <c r="V66" s="43" t="s">
        <v>3453</v>
      </c>
    </row>
    <row r="67" spans="1:22" x14ac:dyDescent="0.25">
      <c r="A67" s="37">
        <f t="shared" ref="A67:A130" si="1">A66+K66</f>
        <v>3</v>
      </c>
      <c r="B67" s="37"/>
      <c r="C67" s="37" t="s">
        <v>3449</v>
      </c>
      <c r="D67" s="37" t="s">
        <v>3450</v>
      </c>
      <c r="E67" s="37">
        <v>899327</v>
      </c>
      <c r="F67" s="37">
        <v>4</v>
      </c>
      <c r="G67" s="37">
        <v>418525</v>
      </c>
      <c r="H67" s="48" t="str">
        <f>IFERROR(INDEX(Table14[],MATCH($G67,Table14[SAPNo],0),3),"")</f>
        <v>Drop In 1308 CT31   (B)</v>
      </c>
      <c r="I67" s="37">
        <v>9</v>
      </c>
      <c r="J67" s="37">
        <f>IF(Table412[[#This Row],[MAT]]&lt;&gt;"",COUNTIF(Table3[LEVEL 5 MAT NO.],Table412[[#This Row],[MAT]]),"")</f>
        <v>0</v>
      </c>
      <c r="K67" s="36">
        <f>IFERROR(INDEX(Table3[],MATCH($E67,Table3[LEVEL 5 MAT NO.],0),2),0)</f>
        <v>0</v>
      </c>
      <c r="L67" s="36">
        <f>Table412[[#This Row],[Quantity in BOM]]*Table412[[#This Row],[Freq]]</f>
        <v>0</v>
      </c>
      <c r="M67" s="36" t="str">
        <f>IF(Table412[[#This Row],[Exist]]=1,Table412[[#This Row],[MAT]],"")</f>
        <v/>
      </c>
      <c r="N67" s="36" t="str">
        <f>IF(Table412[[#This Row],[Exist]]=1,Table412[[#This Row],[Component]],"")</f>
        <v/>
      </c>
      <c r="O67" s="36">
        <f>IFERROR(VALUE(Table412[[#This Row],[MAT]]&amp;Table412[[#This Row],[X'#]]),IF(COUNTIF(Table412[[#This Row],[MAT]],"*M"),Table412[[#This Row],[MAT]]&amp;Table412[[#This Row],[X'#]],""))</f>
        <v>8993274</v>
      </c>
      <c r="T67" s="42">
        <v>66</v>
      </c>
      <c r="U67" s="2">
        <v>738227</v>
      </c>
      <c r="V67" s="43" t="s">
        <v>3454</v>
      </c>
    </row>
    <row r="68" spans="1:22" x14ac:dyDescent="0.25">
      <c r="A68" s="37">
        <f t="shared" si="1"/>
        <v>3</v>
      </c>
      <c r="B68" s="37"/>
      <c r="C68" s="37" t="s">
        <v>3449</v>
      </c>
      <c r="D68" s="37" t="s">
        <v>3455</v>
      </c>
      <c r="E68" s="37">
        <v>792414</v>
      </c>
      <c r="F68" s="37">
        <v>1</v>
      </c>
      <c r="G68" s="37">
        <v>717747</v>
      </c>
      <c r="H68" s="48" t="str">
        <f>IFERROR(INDEX(Table14[],MATCH($G68,Table14[SAPNo],0),3),"")</f>
        <v>Round 1010 CT200  10C (B)</v>
      </c>
      <c r="I68" s="37">
        <v>54</v>
      </c>
      <c r="J68" s="37">
        <f>IF(Table412[[#This Row],[MAT]]&lt;&gt;"",COUNTIF(Table3[LEVEL 5 MAT NO.],Table412[[#This Row],[MAT]]),"")</f>
        <v>0</v>
      </c>
      <c r="K68" s="36">
        <f>IFERROR(INDEX(Table3[],MATCH($E68,Table3[LEVEL 5 MAT NO.],0),2),0)</f>
        <v>0</v>
      </c>
      <c r="L68" s="36">
        <f>Table412[[#This Row],[Quantity in BOM]]*Table412[[#This Row],[Freq]]</f>
        <v>0</v>
      </c>
      <c r="M68" s="36" t="str">
        <f>IF(Table412[[#This Row],[Exist]]=1,Table412[[#This Row],[MAT]],"")</f>
        <v/>
      </c>
      <c r="N68" s="36" t="str">
        <f>IF(Table412[[#This Row],[Exist]]=1,Table412[[#This Row],[Component]],"")</f>
        <v/>
      </c>
      <c r="O68" s="36">
        <f>IFERROR(VALUE(Table412[[#This Row],[MAT]]&amp;Table412[[#This Row],[X'#]]),IF(COUNTIF(Table412[[#This Row],[MAT]],"*M"),Table412[[#This Row],[MAT]]&amp;Table412[[#This Row],[X'#]],""))</f>
        <v>7924141</v>
      </c>
      <c r="T68" s="42">
        <v>67</v>
      </c>
      <c r="U68" s="2">
        <v>886466</v>
      </c>
      <c r="V68" s="43" t="s">
        <v>3456</v>
      </c>
    </row>
    <row r="69" spans="1:22" x14ac:dyDescent="0.25">
      <c r="A69" s="37">
        <f t="shared" si="1"/>
        <v>3</v>
      </c>
      <c r="B69" s="37"/>
      <c r="C69" s="37" t="s">
        <v>3449</v>
      </c>
      <c r="D69" s="37" t="s">
        <v>3455</v>
      </c>
      <c r="E69" s="37">
        <v>792414</v>
      </c>
      <c r="F69" s="37">
        <v>2</v>
      </c>
      <c r="G69" s="37">
        <v>703670</v>
      </c>
      <c r="H69" s="48" t="str">
        <f>IFERROR(INDEX(Table14[],MATCH($G69,Table14[SAPNo],0),3),"")</f>
        <v>Round 1313 CT200  10C (B)</v>
      </c>
      <c r="I69" s="37">
        <v>12</v>
      </c>
      <c r="J69" s="37">
        <f>IF(Table412[[#This Row],[MAT]]&lt;&gt;"",COUNTIF(Table3[LEVEL 5 MAT NO.],Table412[[#This Row],[MAT]]),"")</f>
        <v>0</v>
      </c>
      <c r="K69" s="36">
        <f>IFERROR(INDEX(Table3[],MATCH($E69,Table3[LEVEL 5 MAT NO.],0),2),0)</f>
        <v>0</v>
      </c>
      <c r="L69" s="36">
        <f>Table412[[#This Row],[Quantity in BOM]]*Table412[[#This Row],[Freq]]</f>
        <v>0</v>
      </c>
      <c r="M69" s="36" t="str">
        <f>IF(Table412[[#This Row],[Exist]]=1,Table412[[#This Row],[MAT]],"")</f>
        <v/>
      </c>
      <c r="N69" s="36" t="str">
        <f>IF(Table412[[#This Row],[Exist]]=1,Table412[[#This Row],[Component]],"")</f>
        <v/>
      </c>
      <c r="O69" s="36">
        <f>IFERROR(VALUE(Table412[[#This Row],[MAT]]&amp;Table412[[#This Row],[X'#]]),IF(COUNTIF(Table412[[#This Row],[MAT]],"*M"),Table412[[#This Row],[MAT]]&amp;Table412[[#This Row],[X'#]],""))</f>
        <v>7924142</v>
      </c>
      <c r="T69" s="42">
        <v>68</v>
      </c>
      <c r="U69" s="2">
        <v>887028</v>
      </c>
      <c r="V69" s="43" t="s">
        <v>3457</v>
      </c>
    </row>
    <row r="70" spans="1:22" x14ac:dyDescent="0.25">
      <c r="A70" s="37">
        <f t="shared" si="1"/>
        <v>3</v>
      </c>
      <c r="B70" s="37"/>
      <c r="C70" s="37" t="s">
        <v>3449</v>
      </c>
      <c r="D70" s="37" t="s">
        <v>3455</v>
      </c>
      <c r="E70" s="37">
        <v>792414</v>
      </c>
      <c r="F70" s="37">
        <v>3</v>
      </c>
      <c r="G70" s="37">
        <v>418525</v>
      </c>
      <c r="H70" s="48" t="str">
        <f>IFERROR(INDEX(Table14[],MATCH($G70,Table14[SAPNo],0),3),"")</f>
        <v>Drop In 1308 CT31   (B)</v>
      </c>
      <c r="I70" s="37">
        <v>9</v>
      </c>
      <c r="J70" s="37">
        <f>IF(Table412[[#This Row],[MAT]]&lt;&gt;"",COUNTIF(Table3[LEVEL 5 MAT NO.],Table412[[#This Row],[MAT]]),"")</f>
        <v>0</v>
      </c>
      <c r="K70" s="36">
        <f>IFERROR(INDEX(Table3[],MATCH($E70,Table3[LEVEL 5 MAT NO.],0),2),0)</f>
        <v>0</v>
      </c>
      <c r="L70" s="36">
        <f>Table412[[#This Row],[Quantity in BOM]]*Table412[[#This Row],[Freq]]</f>
        <v>0</v>
      </c>
      <c r="M70" s="36" t="str">
        <f>IF(Table412[[#This Row],[Exist]]=1,Table412[[#This Row],[MAT]],"")</f>
        <v/>
      </c>
      <c r="N70" s="36" t="str">
        <f>IF(Table412[[#This Row],[Exist]]=1,Table412[[#This Row],[Component]],"")</f>
        <v/>
      </c>
      <c r="O70" s="36">
        <f>IFERROR(VALUE(Table412[[#This Row],[MAT]]&amp;Table412[[#This Row],[X'#]]),IF(COUNTIF(Table412[[#This Row],[MAT]],"*M"),Table412[[#This Row],[MAT]]&amp;Table412[[#This Row],[X'#]],""))</f>
        <v>7924143</v>
      </c>
      <c r="T70" s="42">
        <v>69</v>
      </c>
      <c r="U70" s="2">
        <v>773384</v>
      </c>
      <c r="V70" s="43" t="s">
        <v>1998</v>
      </c>
    </row>
    <row r="71" spans="1:22" x14ac:dyDescent="0.25">
      <c r="A71" s="37">
        <f t="shared" si="1"/>
        <v>3</v>
      </c>
      <c r="B71" s="37"/>
      <c r="C71" s="37" t="s">
        <v>3449</v>
      </c>
      <c r="D71" s="37" t="s">
        <v>3458</v>
      </c>
      <c r="E71" s="37">
        <v>509477</v>
      </c>
      <c r="F71" s="37">
        <v>1</v>
      </c>
      <c r="G71" s="37">
        <v>717749</v>
      </c>
      <c r="H71" s="48" t="str">
        <f>IFERROR(INDEX(Table14[],MATCH($G71,Table14[SAPNo],0),3),"")</f>
        <v>Round 1308 CT200  10C (B)</v>
      </c>
      <c r="I71" s="37">
        <v>31</v>
      </c>
      <c r="J71" s="37">
        <f>IF(Table412[[#This Row],[MAT]]&lt;&gt;"",COUNTIF(Table3[LEVEL 5 MAT NO.],Table412[[#This Row],[MAT]]),"")</f>
        <v>0</v>
      </c>
      <c r="K71" s="36">
        <f>IFERROR(INDEX(Table3[],MATCH($E71,Table3[LEVEL 5 MAT NO.],0),2),0)</f>
        <v>0</v>
      </c>
      <c r="L71" s="36">
        <f>Table412[[#This Row],[Quantity in BOM]]*Table412[[#This Row],[Freq]]</f>
        <v>0</v>
      </c>
      <c r="M71" s="36" t="str">
        <f>IF(Table412[[#This Row],[Exist]]=1,Table412[[#This Row],[MAT]],"")</f>
        <v/>
      </c>
      <c r="N71" s="36" t="str">
        <f>IF(Table412[[#This Row],[Exist]]=1,Table412[[#This Row],[Component]],"")</f>
        <v/>
      </c>
      <c r="O71" s="36">
        <f>IFERROR(VALUE(Table412[[#This Row],[MAT]]&amp;Table412[[#This Row],[X'#]]),IF(COUNTIF(Table412[[#This Row],[MAT]],"*M"),Table412[[#This Row],[MAT]]&amp;Table412[[#This Row],[X'#]],""))</f>
        <v>5094771</v>
      </c>
      <c r="T71" s="42">
        <v>70</v>
      </c>
      <c r="U71" s="2">
        <v>971055</v>
      </c>
      <c r="V71" s="43" t="s">
        <v>2000</v>
      </c>
    </row>
    <row r="72" spans="1:22" x14ac:dyDescent="0.25">
      <c r="A72" s="37">
        <f t="shared" si="1"/>
        <v>3</v>
      </c>
      <c r="B72" s="37"/>
      <c r="C72" s="37" t="s">
        <v>3459</v>
      </c>
      <c r="D72" s="37" t="s">
        <v>3460</v>
      </c>
      <c r="E72" s="37">
        <v>671133</v>
      </c>
      <c r="F72" s="37">
        <v>1</v>
      </c>
      <c r="G72" s="37">
        <v>780654</v>
      </c>
      <c r="H72" s="48" t="str">
        <f>IFERROR(INDEX(Table14[],MATCH($G72,Table14[SAPNo],0),3),"")</f>
        <v>Round 1010 CT80  10C (B)</v>
      </c>
      <c r="I72" s="37">
        <v>42</v>
      </c>
      <c r="J72" s="37">
        <f>IF(Table412[[#This Row],[MAT]]&lt;&gt;"",COUNTIF(Table3[LEVEL 5 MAT NO.],Table412[[#This Row],[MAT]]),"")</f>
        <v>0</v>
      </c>
      <c r="K72" s="36">
        <f>IFERROR(INDEX(Table3[],MATCH($E72,Table3[LEVEL 5 MAT NO.],0),2),0)</f>
        <v>0</v>
      </c>
      <c r="L72" s="36">
        <f>Table412[[#This Row],[Quantity in BOM]]*Table412[[#This Row],[Freq]]</f>
        <v>0</v>
      </c>
      <c r="M72" s="36" t="str">
        <f>IF(Table412[[#This Row],[Exist]]=1,Table412[[#This Row],[MAT]],"")</f>
        <v/>
      </c>
      <c r="N72" s="36" t="str">
        <f>IF(Table412[[#This Row],[Exist]]=1,Table412[[#This Row],[Component]],"")</f>
        <v/>
      </c>
      <c r="O72" s="36">
        <f>IFERROR(VALUE(Table412[[#This Row],[MAT]]&amp;Table412[[#This Row],[X'#]]),IF(COUNTIF(Table412[[#This Row],[MAT]],"*M"),Table412[[#This Row],[MAT]]&amp;Table412[[#This Row],[X'#]],""))</f>
        <v>6711331</v>
      </c>
      <c r="T72" s="42">
        <v>71</v>
      </c>
      <c r="U72" s="2">
        <v>1039036</v>
      </c>
      <c r="V72" s="43" t="s">
        <v>3461</v>
      </c>
    </row>
    <row r="73" spans="1:22" x14ac:dyDescent="0.25">
      <c r="A73" s="37">
        <f t="shared" si="1"/>
        <v>3</v>
      </c>
      <c r="B73" s="37"/>
      <c r="C73" s="37" t="s">
        <v>3459</v>
      </c>
      <c r="D73" s="37" t="s">
        <v>3460</v>
      </c>
      <c r="E73" s="37">
        <v>671133</v>
      </c>
      <c r="F73" s="37">
        <v>2</v>
      </c>
      <c r="G73" s="37">
        <v>717747</v>
      </c>
      <c r="H73" s="48" t="str">
        <f>IFERROR(INDEX(Table14[],MATCH($G73,Table14[SAPNo],0),3),"")</f>
        <v>Round 1010 CT200  10C (B)</v>
      </c>
      <c r="I73" s="37">
        <v>18</v>
      </c>
      <c r="J73" s="37">
        <f>IF(Table412[[#This Row],[MAT]]&lt;&gt;"",COUNTIF(Table3[LEVEL 5 MAT NO.],Table412[[#This Row],[MAT]]),"")</f>
        <v>0</v>
      </c>
      <c r="K73" s="36">
        <f>IFERROR(INDEX(Table3[],MATCH($E73,Table3[LEVEL 5 MAT NO.],0),2),0)</f>
        <v>0</v>
      </c>
      <c r="L73" s="36">
        <f>Table412[[#This Row],[Quantity in BOM]]*Table412[[#This Row],[Freq]]</f>
        <v>0</v>
      </c>
      <c r="M73" s="36" t="str">
        <f>IF(Table412[[#This Row],[Exist]]=1,Table412[[#This Row],[MAT]],"")</f>
        <v/>
      </c>
      <c r="N73" s="36" t="str">
        <f>IF(Table412[[#This Row],[Exist]]=1,Table412[[#This Row],[Component]],"")</f>
        <v/>
      </c>
      <c r="O73" s="36">
        <f>IFERROR(VALUE(Table412[[#This Row],[MAT]]&amp;Table412[[#This Row],[X'#]]),IF(COUNTIF(Table412[[#This Row],[MAT]],"*M"),Table412[[#This Row],[MAT]]&amp;Table412[[#This Row],[X'#]],""))</f>
        <v>6711332</v>
      </c>
      <c r="T73" s="42">
        <v>72</v>
      </c>
      <c r="U73" s="2">
        <v>1039034</v>
      </c>
      <c r="V73" s="43" t="s">
        <v>3462</v>
      </c>
    </row>
    <row r="74" spans="1:22" x14ac:dyDescent="0.25">
      <c r="A74" s="37">
        <f t="shared" si="1"/>
        <v>3</v>
      </c>
      <c r="B74" s="37"/>
      <c r="C74" s="37" t="s">
        <v>3459</v>
      </c>
      <c r="D74" s="37" t="s">
        <v>3460</v>
      </c>
      <c r="E74" s="37">
        <v>671133</v>
      </c>
      <c r="F74" s="37">
        <v>3</v>
      </c>
      <c r="G74" s="37">
        <v>418525</v>
      </c>
      <c r="H74" s="48" t="str">
        <f>IFERROR(INDEX(Table14[],MATCH($G74,Table14[SAPNo],0),3),"")</f>
        <v>Drop In 1308 CT31   (B)</v>
      </c>
      <c r="I74" s="37">
        <v>9</v>
      </c>
      <c r="J74" s="37">
        <f>IF(Table412[[#This Row],[MAT]]&lt;&gt;"",COUNTIF(Table3[LEVEL 5 MAT NO.],Table412[[#This Row],[MAT]]),"")</f>
        <v>0</v>
      </c>
      <c r="K74" s="36">
        <f>IFERROR(INDEX(Table3[],MATCH($E74,Table3[LEVEL 5 MAT NO.],0),2),0)</f>
        <v>0</v>
      </c>
      <c r="L74" s="36">
        <f>Table412[[#This Row],[Quantity in BOM]]*Table412[[#This Row],[Freq]]</f>
        <v>0</v>
      </c>
      <c r="M74" s="36" t="str">
        <f>IF(Table412[[#This Row],[Exist]]=1,Table412[[#This Row],[MAT]],"")</f>
        <v/>
      </c>
      <c r="N74" s="36" t="str">
        <f>IF(Table412[[#This Row],[Exist]]=1,Table412[[#This Row],[Component]],"")</f>
        <v/>
      </c>
      <c r="O74" s="36">
        <f>IFERROR(VALUE(Table412[[#This Row],[MAT]]&amp;Table412[[#This Row],[X'#]]),IF(COUNTIF(Table412[[#This Row],[MAT]],"*M"),Table412[[#This Row],[MAT]]&amp;Table412[[#This Row],[X'#]],""))</f>
        <v>6711333</v>
      </c>
      <c r="T74" s="42">
        <v>73</v>
      </c>
      <c r="U74" s="2">
        <v>1017002</v>
      </c>
      <c r="V74" s="43" t="s">
        <v>3463</v>
      </c>
    </row>
    <row r="75" spans="1:22" x14ac:dyDescent="0.25">
      <c r="A75" s="37">
        <f t="shared" si="1"/>
        <v>3</v>
      </c>
      <c r="B75" s="37"/>
      <c r="C75" s="37">
        <v>12.25</v>
      </c>
      <c r="D75" s="37" t="s">
        <v>3464</v>
      </c>
      <c r="E75" s="37">
        <v>1034046</v>
      </c>
      <c r="F75" s="37">
        <v>1</v>
      </c>
      <c r="G75" s="37">
        <v>703671</v>
      </c>
      <c r="H75" s="48" t="str">
        <f>IFERROR(INDEX(Table14[],MATCH($G75,Table14[SAPNo],0),3),"")</f>
        <v>Round 1613 CT200  10C (B)</v>
      </c>
      <c r="I75" s="37">
        <v>6</v>
      </c>
      <c r="J75" s="37">
        <f>IF(Table412[[#This Row],[MAT]]&lt;&gt;"",COUNTIF(Table3[LEVEL 5 MAT NO.],Table412[[#This Row],[MAT]]),"")</f>
        <v>0</v>
      </c>
      <c r="K75" s="36">
        <f>IFERROR(INDEX(Table3[],MATCH($E75,Table3[LEVEL 5 MAT NO.],0),2),0)</f>
        <v>0</v>
      </c>
      <c r="L75" s="36">
        <f>Table412[[#This Row],[Quantity in BOM]]*Table412[[#This Row],[Freq]]</f>
        <v>0</v>
      </c>
      <c r="M75" s="36" t="str">
        <f>IF(Table412[[#This Row],[Exist]]=1,Table412[[#This Row],[MAT]],"")</f>
        <v/>
      </c>
      <c r="N75" s="36" t="str">
        <f>IF(Table412[[#This Row],[Exist]]=1,Table412[[#This Row],[Component]],"")</f>
        <v/>
      </c>
      <c r="O75" s="36">
        <f>IFERROR(VALUE(Table412[[#This Row],[MAT]]&amp;Table412[[#This Row],[X'#]]),IF(COUNTIF(Table412[[#This Row],[MAT]],"*M"),Table412[[#This Row],[MAT]]&amp;Table412[[#This Row],[X'#]],""))</f>
        <v>10340461</v>
      </c>
      <c r="T75" s="42">
        <v>74</v>
      </c>
      <c r="U75" s="2">
        <v>1039060</v>
      </c>
      <c r="V75" s="43" t="s">
        <v>3465</v>
      </c>
    </row>
    <row r="76" spans="1:22" x14ac:dyDescent="0.25">
      <c r="A76" s="37">
        <f t="shared" si="1"/>
        <v>3</v>
      </c>
      <c r="B76" s="37"/>
      <c r="C76" s="37">
        <v>12.25</v>
      </c>
      <c r="D76" s="37" t="s">
        <v>3464</v>
      </c>
      <c r="E76" s="37">
        <v>1034046</v>
      </c>
      <c r="F76" s="37">
        <v>2</v>
      </c>
      <c r="G76" s="37">
        <v>932811</v>
      </c>
      <c r="H76" s="48" t="str">
        <f>IFERROR(INDEX(Table14[],MATCH($G76,Table14[SAPNo],0),3),"")</f>
        <v>Round 1613 CT404 GEDB 10C (B)</v>
      </c>
      <c r="I76" s="37">
        <v>36</v>
      </c>
      <c r="J76" s="37">
        <f>IF(Table412[[#This Row],[MAT]]&lt;&gt;"",COUNTIF(Table3[LEVEL 5 MAT NO.],Table412[[#This Row],[MAT]]),"")</f>
        <v>0</v>
      </c>
      <c r="K76" s="36">
        <f>IFERROR(INDEX(Table3[],MATCH($E76,Table3[LEVEL 5 MAT NO.],0),2),0)</f>
        <v>0</v>
      </c>
      <c r="L76" s="36">
        <f>Table412[[#This Row],[Quantity in BOM]]*Table412[[#This Row],[Freq]]</f>
        <v>0</v>
      </c>
      <c r="M76" s="36" t="str">
        <f>IF(Table412[[#This Row],[Exist]]=1,Table412[[#This Row],[MAT]],"")</f>
        <v/>
      </c>
      <c r="N76" s="36" t="str">
        <f>IF(Table412[[#This Row],[Exist]]=1,Table412[[#This Row],[Component]],"")</f>
        <v/>
      </c>
      <c r="O76" s="36">
        <f>IFERROR(VALUE(Table412[[#This Row],[MAT]]&amp;Table412[[#This Row],[X'#]]),IF(COUNTIF(Table412[[#This Row],[MAT]],"*M"),Table412[[#This Row],[MAT]]&amp;Table412[[#This Row],[X'#]],""))</f>
        <v>10340462</v>
      </c>
      <c r="T76" s="42">
        <v>75</v>
      </c>
      <c r="U76" s="2">
        <v>1039058</v>
      </c>
      <c r="V76" s="43" t="s">
        <v>3466</v>
      </c>
    </row>
    <row r="77" spans="1:22" x14ac:dyDescent="0.25">
      <c r="A77" s="37">
        <f t="shared" si="1"/>
        <v>3</v>
      </c>
      <c r="B77" s="37"/>
      <c r="C77" s="37">
        <v>12.25</v>
      </c>
      <c r="D77" s="37" t="s">
        <v>3464</v>
      </c>
      <c r="E77" s="37">
        <v>1034046</v>
      </c>
      <c r="F77" s="37">
        <v>3</v>
      </c>
      <c r="G77" s="37">
        <v>932807</v>
      </c>
      <c r="H77" s="48" t="str">
        <f>IFERROR(INDEX(Table14[],MATCH($G77,Table14[SAPNo],0),3),"")</f>
        <v>Round 1313 CT404 GEDB 10C (B)</v>
      </c>
      <c r="I77" s="37">
        <v>6</v>
      </c>
      <c r="J77" s="37">
        <f>IF(Table412[[#This Row],[MAT]]&lt;&gt;"",COUNTIF(Table3[LEVEL 5 MAT NO.],Table412[[#This Row],[MAT]]),"")</f>
        <v>0</v>
      </c>
      <c r="K77" s="36">
        <f>IFERROR(INDEX(Table3[],MATCH($E77,Table3[LEVEL 5 MAT NO.],0),2),0)</f>
        <v>0</v>
      </c>
      <c r="L77" s="36">
        <f>Table412[[#This Row],[Quantity in BOM]]*Table412[[#This Row],[Freq]]</f>
        <v>0</v>
      </c>
      <c r="M77" s="36" t="str">
        <f>IF(Table412[[#This Row],[Exist]]=1,Table412[[#This Row],[MAT]],"")</f>
        <v/>
      </c>
      <c r="N77" s="36" t="str">
        <f>IF(Table412[[#This Row],[Exist]]=1,Table412[[#This Row],[Component]],"")</f>
        <v/>
      </c>
      <c r="O77" s="36">
        <f>IFERROR(VALUE(Table412[[#This Row],[MAT]]&amp;Table412[[#This Row],[X'#]]),IF(COUNTIF(Table412[[#This Row],[MAT]],"*M"),Table412[[#This Row],[MAT]]&amp;Table412[[#This Row],[X'#]],""))</f>
        <v>10340463</v>
      </c>
      <c r="T77" s="42">
        <v>76</v>
      </c>
      <c r="U77" s="2">
        <v>1014885</v>
      </c>
      <c r="V77" s="43" t="s">
        <v>3467</v>
      </c>
    </row>
    <row r="78" spans="1:22" x14ac:dyDescent="0.25">
      <c r="A78" s="37">
        <f t="shared" si="1"/>
        <v>3</v>
      </c>
      <c r="B78" s="37"/>
      <c r="C78" s="37">
        <v>12.25</v>
      </c>
      <c r="D78" s="37" t="s">
        <v>3464</v>
      </c>
      <c r="E78" s="37">
        <v>1034046</v>
      </c>
      <c r="F78" s="37">
        <v>4</v>
      </c>
      <c r="G78" s="37">
        <v>703670</v>
      </c>
      <c r="H78" s="48" t="str">
        <f>IFERROR(INDEX(Table14[],MATCH($G78,Table14[SAPNo],0),3),"")</f>
        <v>Round 1313 CT200  10C (B)</v>
      </c>
      <c r="I78" s="37">
        <v>6</v>
      </c>
      <c r="J78" s="37">
        <f>IF(Table412[[#This Row],[MAT]]&lt;&gt;"",COUNTIF(Table3[LEVEL 5 MAT NO.],Table412[[#This Row],[MAT]]),"")</f>
        <v>0</v>
      </c>
      <c r="K78" s="36">
        <f>IFERROR(INDEX(Table3[],MATCH($E78,Table3[LEVEL 5 MAT NO.],0),2),0)</f>
        <v>0</v>
      </c>
      <c r="L78" s="36">
        <f>Table412[[#This Row],[Quantity in BOM]]*Table412[[#This Row],[Freq]]</f>
        <v>0</v>
      </c>
      <c r="M78" s="36" t="str">
        <f>IF(Table412[[#This Row],[Exist]]=1,Table412[[#This Row],[MAT]],"")</f>
        <v/>
      </c>
      <c r="N78" s="36" t="str">
        <f>IF(Table412[[#This Row],[Exist]]=1,Table412[[#This Row],[Component]],"")</f>
        <v/>
      </c>
      <c r="O78" s="36">
        <f>IFERROR(VALUE(Table412[[#This Row],[MAT]]&amp;Table412[[#This Row],[X'#]]),IF(COUNTIF(Table412[[#This Row],[MAT]],"*M"),Table412[[#This Row],[MAT]]&amp;Table412[[#This Row],[X'#]],""))</f>
        <v>10340464</v>
      </c>
      <c r="T78" s="42">
        <v>77</v>
      </c>
      <c r="U78" s="2">
        <v>1014939</v>
      </c>
      <c r="V78" s="43" t="s">
        <v>3468</v>
      </c>
    </row>
    <row r="79" spans="1:22" x14ac:dyDescent="0.25">
      <c r="A79" s="37">
        <f t="shared" si="1"/>
        <v>3</v>
      </c>
      <c r="B79" s="37"/>
      <c r="C79" s="37">
        <v>12.25</v>
      </c>
      <c r="D79" s="37" t="s">
        <v>3464</v>
      </c>
      <c r="E79" s="37">
        <v>1034046</v>
      </c>
      <c r="F79" s="37">
        <v>5</v>
      </c>
      <c r="G79" s="37">
        <v>418525</v>
      </c>
      <c r="H79" s="48" t="str">
        <f>IFERROR(INDEX(Table14[],MATCH($G79,Table14[SAPNo],0),3),"")</f>
        <v>Drop In 1308 CT31   (B)</v>
      </c>
      <c r="I79" s="37">
        <v>6</v>
      </c>
      <c r="J79" s="37">
        <f>IF(Table412[[#This Row],[MAT]]&lt;&gt;"",COUNTIF(Table3[LEVEL 5 MAT NO.],Table412[[#This Row],[MAT]]),"")</f>
        <v>0</v>
      </c>
      <c r="K79" s="36">
        <f>IFERROR(INDEX(Table3[],MATCH($E79,Table3[LEVEL 5 MAT NO.],0),2),0)</f>
        <v>0</v>
      </c>
      <c r="L79" s="36">
        <f>Table412[[#This Row],[Quantity in BOM]]*Table412[[#This Row],[Freq]]</f>
        <v>0</v>
      </c>
      <c r="M79" s="36" t="str">
        <f>IF(Table412[[#This Row],[Exist]]=1,Table412[[#This Row],[MAT]],"")</f>
        <v/>
      </c>
      <c r="N79" s="36" t="str">
        <f>IF(Table412[[#This Row],[Exist]]=1,Table412[[#This Row],[Component]],"")</f>
        <v/>
      </c>
      <c r="O79" s="36">
        <f>IFERROR(VALUE(Table412[[#This Row],[MAT]]&amp;Table412[[#This Row],[X'#]]),IF(COUNTIF(Table412[[#This Row],[MAT]],"*M"),Table412[[#This Row],[MAT]]&amp;Table412[[#This Row],[X'#]],""))</f>
        <v>10340465</v>
      </c>
      <c r="T79" s="42">
        <v>78</v>
      </c>
      <c r="U79" s="2">
        <v>646941</v>
      </c>
      <c r="V79" s="43" t="s">
        <v>4202</v>
      </c>
    </row>
    <row r="80" spans="1:22" x14ac:dyDescent="0.25">
      <c r="A80" s="37">
        <f t="shared" si="1"/>
        <v>3</v>
      </c>
      <c r="B80" s="37"/>
      <c r="C80" s="37">
        <v>12.25</v>
      </c>
      <c r="D80" s="37" t="s">
        <v>3464</v>
      </c>
      <c r="E80" s="37">
        <v>1034046</v>
      </c>
      <c r="F80" s="37">
        <v>6</v>
      </c>
      <c r="G80" s="37">
        <v>410851</v>
      </c>
      <c r="H80" s="48" t="str">
        <f>IFERROR(INDEX(Table14[],MATCH($G80,Table14[SAPNo],0),3),"")</f>
        <v>PDC Dome 1308 CT31   (B)</v>
      </c>
      <c r="I80" s="37">
        <v>12</v>
      </c>
      <c r="J80" s="37">
        <f>IF(Table412[[#This Row],[MAT]]&lt;&gt;"",COUNTIF(Table3[LEVEL 5 MAT NO.],Table412[[#This Row],[MAT]]),"")</f>
        <v>0</v>
      </c>
      <c r="K80" s="36">
        <f>IFERROR(INDEX(Table3[],MATCH($E80,Table3[LEVEL 5 MAT NO.],0),2),0)</f>
        <v>0</v>
      </c>
      <c r="L80" s="36">
        <f>Table412[[#This Row],[Quantity in BOM]]*Table412[[#This Row],[Freq]]</f>
        <v>0</v>
      </c>
      <c r="M80" s="36" t="str">
        <f>IF(Table412[[#This Row],[Exist]]=1,Table412[[#This Row],[MAT]],"")</f>
        <v/>
      </c>
      <c r="N80" s="36" t="str">
        <f>IF(Table412[[#This Row],[Exist]]=1,Table412[[#This Row],[Component]],"")</f>
        <v/>
      </c>
      <c r="O80" s="36">
        <f>IFERROR(VALUE(Table412[[#This Row],[MAT]]&amp;Table412[[#This Row],[X'#]]),IF(COUNTIF(Table412[[#This Row],[MAT]],"*M"),Table412[[#This Row],[MAT]]&amp;Table412[[#This Row],[X'#]],""))</f>
        <v>10340466</v>
      </c>
      <c r="T80" s="42">
        <v>79</v>
      </c>
      <c r="U80" s="2">
        <v>647464</v>
      </c>
      <c r="V80" s="43" t="s">
        <v>3469</v>
      </c>
    </row>
    <row r="81" spans="1:22" x14ac:dyDescent="0.25">
      <c r="A81" s="37">
        <f t="shared" si="1"/>
        <v>3</v>
      </c>
      <c r="B81" s="37"/>
      <c r="C81" s="37">
        <v>8.5</v>
      </c>
      <c r="D81" s="37" t="s">
        <v>3470</v>
      </c>
      <c r="E81" s="37">
        <v>888856</v>
      </c>
      <c r="F81" s="37">
        <v>1</v>
      </c>
      <c r="G81" s="37">
        <v>418525</v>
      </c>
      <c r="H81" s="48" t="str">
        <f>IFERROR(INDEX(Table14[],MATCH($G81,Table14[SAPNo],0),3),"")</f>
        <v>Drop In 1308 CT31   (B)</v>
      </c>
      <c r="I81" s="37">
        <v>10</v>
      </c>
      <c r="J81" s="37">
        <f>IF(Table412[[#This Row],[MAT]]&lt;&gt;"",COUNTIF(Table3[LEVEL 5 MAT NO.],Table412[[#This Row],[MAT]]),"")</f>
        <v>0</v>
      </c>
      <c r="K81" s="36">
        <f>IFERROR(INDEX(Table3[],MATCH($E81,Table3[LEVEL 5 MAT NO.],0),2),0)</f>
        <v>0</v>
      </c>
      <c r="L81" s="36">
        <f>Table412[[#This Row],[Quantity in BOM]]*Table412[[#This Row],[Freq]]</f>
        <v>0</v>
      </c>
      <c r="M81" s="36" t="str">
        <f>IF(Table412[[#This Row],[Exist]]=1,Table412[[#This Row],[MAT]],"")</f>
        <v/>
      </c>
      <c r="N81" s="36" t="str">
        <f>IF(Table412[[#This Row],[Exist]]=1,Table412[[#This Row],[Component]],"")</f>
        <v/>
      </c>
      <c r="O81" s="36">
        <f>IFERROR(VALUE(Table412[[#This Row],[MAT]]&amp;Table412[[#This Row],[X'#]]),IF(COUNTIF(Table412[[#This Row],[MAT]],"*M"),Table412[[#This Row],[MAT]]&amp;Table412[[#This Row],[X'#]],""))</f>
        <v>8888561</v>
      </c>
      <c r="T81" s="42">
        <v>80</v>
      </c>
      <c r="U81" s="2">
        <v>647467</v>
      </c>
      <c r="V81" s="43" t="s">
        <v>3471</v>
      </c>
    </row>
    <row r="82" spans="1:22" x14ac:dyDescent="0.25">
      <c r="A82" s="37">
        <f t="shared" si="1"/>
        <v>3</v>
      </c>
      <c r="B82" s="37"/>
      <c r="C82" s="37">
        <v>8.5</v>
      </c>
      <c r="D82" s="37" t="s">
        <v>3470</v>
      </c>
      <c r="E82" s="37">
        <v>888856</v>
      </c>
      <c r="F82" s="37">
        <v>2</v>
      </c>
      <c r="G82" s="37">
        <v>755957</v>
      </c>
      <c r="H82" s="48" t="str">
        <f>IFERROR(INDEX(Table14[],MATCH($G82,Table14[SAPNo],0),3),"")</f>
        <v/>
      </c>
      <c r="I82" s="37">
        <v>1</v>
      </c>
      <c r="J82" s="37">
        <f>IF(Table412[[#This Row],[MAT]]&lt;&gt;"",COUNTIF(Table3[LEVEL 5 MAT NO.],Table412[[#This Row],[MAT]]),"")</f>
        <v>0</v>
      </c>
      <c r="K82" s="36">
        <f>IFERROR(INDEX(Table3[],MATCH($E82,Table3[LEVEL 5 MAT NO.],0),2),0)</f>
        <v>0</v>
      </c>
      <c r="L82" s="36">
        <f>Table412[[#This Row],[Quantity in BOM]]*Table412[[#This Row],[Freq]]</f>
        <v>0</v>
      </c>
      <c r="M82" s="36" t="str">
        <f>IF(Table412[[#This Row],[Exist]]=1,Table412[[#This Row],[MAT]],"")</f>
        <v/>
      </c>
      <c r="N82" s="36" t="str">
        <f>IF(Table412[[#This Row],[Exist]]=1,Table412[[#This Row],[Component]],"")</f>
        <v/>
      </c>
      <c r="O82" s="36">
        <f>IFERROR(VALUE(Table412[[#This Row],[MAT]]&amp;Table412[[#This Row],[X'#]]),IF(COUNTIF(Table412[[#This Row],[MAT]],"*M"),Table412[[#This Row],[MAT]]&amp;Table412[[#This Row],[X'#]],""))</f>
        <v>8888562</v>
      </c>
      <c r="T82" s="42">
        <v>81</v>
      </c>
      <c r="U82" s="2">
        <v>907609</v>
      </c>
      <c r="V82" s="43" t="s">
        <v>4203</v>
      </c>
    </row>
    <row r="83" spans="1:22" x14ac:dyDescent="0.25">
      <c r="A83" s="37">
        <f t="shared" si="1"/>
        <v>3</v>
      </c>
      <c r="B83" s="37"/>
      <c r="C83" s="37">
        <v>8.5</v>
      </c>
      <c r="D83" s="37" t="s">
        <v>3470</v>
      </c>
      <c r="E83" s="37">
        <v>888856</v>
      </c>
      <c r="F83" s="37">
        <v>3</v>
      </c>
      <c r="G83" s="37">
        <v>763844</v>
      </c>
      <c r="H83" s="48" t="str">
        <f>IFERROR(INDEX(Table14[],MATCH($G83,Table14[SAPNo],0),3),"")</f>
        <v/>
      </c>
      <c r="I83" s="37">
        <v>4</v>
      </c>
      <c r="J83" s="37">
        <f>IF(Table412[[#This Row],[MAT]]&lt;&gt;"",COUNTIF(Table3[LEVEL 5 MAT NO.],Table412[[#This Row],[MAT]]),"")</f>
        <v>0</v>
      </c>
      <c r="K83" s="36">
        <f>IFERROR(INDEX(Table3[],MATCH($E83,Table3[LEVEL 5 MAT NO.],0),2),0)</f>
        <v>0</v>
      </c>
      <c r="L83" s="36">
        <f>Table412[[#This Row],[Quantity in BOM]]*Table412[[#This Row],[Freq]]</f>
        <v>0</v>
      </c>
      <c r="M83" s="36" t="str">
        <f>IF(Table412[[#This Row],[Exist]]=1,Table412[[#This Row],[MAT]],"")</f>
        <v/>
      </c>
      <c r="N83" s="36" t="str">
        <f>IF(Table412[[#This Row],[Exist]]=1,Table412[[#This Row],[Component]],"")</f>
        <v/>
      </c>
      <c r="O83" s="36">
        <f>IFERROR(VALUE(Table412[[#This Row],[MAT]]&amp;Table412[[#This Row],[X'#]]),IF(COUNTIF(Table412[[#This Row],[MAT]],"*M"),Table412[[#This Row],[MAT]]&amp;Table412[[#This Row],[X'#]],""))</f>
        <v>8888563</v>
      </c>
      <c r="T83" s="42">
        <v>82</v>
      </c>
      <c r="U83" s="2">
        <v>638559</v>
      </c>
      <c r="V83" s="43" t="s">
        <v>3472</v>
      </c>
    </row>
    <row r="84" spans="1:22" x14ac:dyDescent="0.25">
      <c r="A84" s="37">
        <f t="shared" si="1"/>
        <v>3</v>
      </c>
      <c r="B84" s="37"/>
      <c r="C84" s="37">
        <v>8.5</v>
      </c>
      <c r="D84" s="37" t="s">
        <v>3470</v>
      </c>
      <c r="E84" s="37">
        <v>888856</v>
      </c>
      <c r="F84" s="37">
        <v>4</v>
      </c>
      <c r="G84" s="37">
        <v>761246</v>
      </c>
      <c r="H84" s="48" t="str">
        <f>IFERROR(INDEX(Table14[],MATCH($G84,Table14[SAPNo],0),3),"")</f>
        <v>Long Bullet 16 CT80 LBL 0.018" (B)</v>
      </c>
      <c r="I84" s="37">
        <v>1</v>
      </c>
      <c r="J84" s="37">
        <f>IF(Table412[[#This Row],[MAT]]&lt;&gt;"",COUNTIF(Table3[LEVEL 5 MAT NO.],Table412[[#This Row],[MAT]]),"")</f>
        <v>0</v>
      </c>
      <c r="K84" s="36">
        <f>IFERROR(INDEX(Table3[],MATCH($E84,Table3[LEVEL 5 MAT NO.],0),2),0)</f>
        <v>0</v>
      </c>
      <c r="L84" s="36">
        <f>Table412[[#This Row],[Quantity in BOM]]*Table412[[#This Row],[Freq]]</f>
        <v>0</v>
      </c>
      <c r="M84" s="36" t="str">
        <f>IF(Table412[[#This Row],[Exist]]=1,Table412[[#This Row],[MAT]],"")</f>
        <v/>
      </c>
      <c r="N84" s="36" t="str">
        <f>IF(Table412[[#This Row],[Exist]]=1,Table412[[#This Row],[Component]],"")</f>
        <v/>
      </c>
      <c r="O84" s="36">
        <f>IFERROR(VALUE(Table412[[#This Row],[MAT]]&amp;Table412[[#This Row],[X'#]]),IF(COUNTIF(Table412[[#This Row],[MAT]],"*M"),Table412[[#This Row],[MAT]]&amp;Table412[[#This Row],[X'#]],""))</f>
        <v>8888564</v>
      </c>
      <c r="T84" s="42">
        <v>83</v>
      </c>
      <c r="U84" s="2">
        <v>773383</v>
      </c>
      <c r="V84" s="43" t="s">
        <v>4204</v>
      </c>
    </row>
    <row r="85" spans="1:22" x14ac:dyDescent="0.25">
      <c r="A85" s="37">
        <f t="shared" si="1"/>
        <v>3</v>
      </c>
      <c r="B85" s="37"/>
      <c r="C85" s="37">
        <v>8.5</v>
      </c>
      <c r="D85" s="37" t="s">
        <v>3470</v>
      </c>
      <c r="E85" s="37">
        <v>888856</v>
      </c>
      <c r="F85" s="37">
        <v>5</v>
      </c>
      <c r="G85" s="37">
        <v>794672</v>
      </c>
      <c r="H85" s="48" t="str">
        <f>IFERROR(INDEX(Table14[],MATCH($G85,Table14[SAPNo],0),3),"")</f>
        <v>Round 1913 CT97 TBO-Cutter 0.018" (S)</v>
      </c>
      <c r="I85" s="37">
        <v>12</v>
      </c>
      <c r="J85" s="37">
        <f>IF(Table412[[#This Row],[MAT]]&lt;&gt;"",COUNTIF(Table3[LEVEL 5 MAT NO.],Table412[[#This Row],[MAT]]),"")</f>
        <v>0</v>
      </c>
      <c r="K85" s="36">
        <f>IFERROR(INDEX(Table3[],MATCH($E85,Table3[LEVEL 5 MAT NO.],0),2),0)</f>
        <v>0</v>
      </c>
      <c r="L85" s="36">
        <f>Table412[[#This Row],[Quantity in BOM]]*Table412[[#This Row],[Freq]]</f>
        <v>0</v>
      </c>
      <c r="M85" s="36" t="str">
        <f>IF(Table412[[#This Row],[Exist]]=1,Table412[[#This Row],[MAT]],"")</f>
        <v/>
      </c>
      <c r="N85" s="36" t="str">
        <f>IF(Table412[[#This Row],[Exist]]=1,Table412[[#This Row],[Component]],"")</f>
        <v/>
      </c>
      <c r="O85" s="36">
        <f>IFERROR(VALUE(Table412[[#This Row],[MAT]]&amp;Table412[[#This Row],[X'#]]),IF(COUNTIF(Table412[[#This Row],[MAT]],"*M"),Table412[[#This Row],[MAT]]&amp;Table412[[#This Row],[X'#]],""))</f>
        <v>8888565</v>
      </c>
      <c r="T85" s="42">
        <v>84</v>
      </c>
      <c r="U85" s="2">
        <v>1027339</v>
      </c>
      <c r="V85" s="43" t="s">
        <v>4205</v>
      </c>
    </row>
    <row r="86" spans="1:22" x14ac:dyDescent="0.25">
      <c r="A86" s="37">
        <f t="shared" si="1"/>
        <v>3</v>
      </c>
      <c r="B86" s="37"/>
      <c r="C86" s="37">
        <v>8.5</v>
      </c>
      <c r="D86" s="37" t="s">
        <v>3470</v>
      </c>
      <c r="E86" s="37">
        <v>888856</v>
      </c>
      <c r="F86" s="37">
        <v>6</v>
      </c>
      <c r="G86" s="37">
        <v>785003</v>
      </c>
      <c r="H86" s="48" t="str">
        <f>IFERROR(INDEX(Table14[],MATCH($G86,Table14[SAPNo],0),3),"")</f>
        <v/>
      </c>
      <c r="I86" s="37">
        <v>1</v>
      </c>
      <c r="J86" s="37">
        <f>IF(Table412[[#This Row],[MAT]]&lt;&gt;"",COUNTIF(Table3[LEVEL 5 MAT NO.],Table412[[#This Row],[MAT]]),"")</f>
        <v>0</v>
      </c>
      <c r="K86" s="36">
        <f>IFERROR(INDEX(Table3[],MATCH($E86,Table3[LEVEL 5 MAT NO.],0),2),0)</f>
        <v>0</v>
      </c>
      <c r="L86" s="36">
        <f>Table412[[#This Row],[Quantity in BOM]]*Table412[[#This Row],[Freq]]</f>
        <v>0</v>
      </c>
      <c r="M86" s="36" t="str">
        <f>IF(Table412[[#This Row],[Exist]]=1,Table412[[#This Row],[MAT]],"")</f>
        <v/>
      </c>
      <c r="N86" s="36" t="str">
        <f>IF(Table412[[#This Row],[Exist]]=1,Table412[[#This Row],[Component]],"")</f>
        <v/>
      </c>
      <c r="O86" s="36">
        <f>IFERROR(VALUE(Table412[[#This Row],[MAT]]&amp;Table412[[#This Row],[X'#]]),IF(COUNTIF(Table412[[#This Row],[MAT]],"*M"),Table412[[#This Row],[MAT]]&amp;Table412[[#This Row],[X'#]],""))</f>
        <v>8888566</v>
      </c>
      <c r="T86" s="42">
        <v>85</v>
      </c>
      <c r="U86" s="2">
        <v>853552</v>
      </c>
      <c r="V86" s="43" t="s">
        <v>3473</v>
      </c>
    </row>
    <row r="87" spans="1:22" x14ac:dyDescent="0.25">
      <c r="A87" s="37">
        <f t="shared" si="1"/>
        <v>3</v>
      </c>
      <c r="B87" s="37"/>
      <c r="C87" s="37">
        <v>8.5</v>
      </c>
      <c r="D87" s="37" t="s">
        <v>3470</v>
      </c>
      <c r="E87" s="37">
        <v>888856</v>
      </c>
      <c r="F87" s="37">
        <v>7</v>
      </c>
      <c r="G87" s="37">
        <v>785001</v>
      </c>
      <c r="H87" s="48" t="str">
        <f>IFERROR(INDEX(Table14[],MATCH($G87,Table14[SAPNo],0),3),"")</f>
        <v>Round 1313 CT97 TBO-Cutter 0.018" (S)</v>
      </c>
      <c r="I87" s="37">
        <v>5</v>
      </c>
      <c r="J87" s="37">
        <f>IF(Table412[[#This Row],[MAT]]&lt;&gt;"",COUNTIF(Table3[LEVEL 5 MAT NO.],Table412[[#This Row],[MAT]]),"")</f>
        <v>0</v>
      </c>
      <c r="K87" s="36">
        <f>IFERROR(INDEX(Table3[],MATCH($E87,Table3[LEVEL 5 MAT NO.],0),2),0)</f>
        <v>0</v>
      </c>
      <c r="L87" s="36">
        <f>Table412[[#This Row],[Quantity in BOM]]*Table412[[#This Row],[Freq]]</f>
        <v>0</v>
      </c>
      <c r="M87" s="36" t="str">
        <f>IF(Table412[[#This Row],[Exist]]=1,Table412[[#This Row],[MAT]],"")</f>
        <v/>
      </c>
      <c r="N87" s="36" t="str">
        <f>IF(Table412[[#This Row],[Exist]]=1,Table412[[#This Row],[Component]],"")</f>
        <v/>
      </c>
      <c r="O87" s="36">
        <f>IFERROR(VALUE(Table412[[#This Row],[MAT]]&amp;Table412[[#This Row],[X'#]]),IF(COUNTIF(Table412[[#This Row],[MAT]],"*M"),Table412[[#This Row],[MAT]]&amp;Table412[[#This Row],[X'#]],""))</f>
        <v>8888567</v>
      </c>
      <c r="T87" s="42">
        <v>86</v>
      </c>
      <c r="U87" s="2">
        <v>1039064</v>
      </c>
      <c r="V87" s="43" t="s">
        <v>3474</v>
      </c>
    </row>
    <row r="88" spans="1:22" x14ac:dyDescent="0.25">
      <c r="A88" s="37">
        <f t="shared" si="1"/>
        <v>3</v>
      </c>
      <c r="B88" s="37"/>
      <c r="C88" s="37">
        <v>8.5</v>
      </c>
      <c r="D88" s="37" t="s">
        <v>3470</v>
      </c>
      <c r="E88" s="37">
        <v>888856</v>
      </c>
      <c r="F88" s="37">
        <v>8</v>
      </c>
      <c r="G88" s="37">
        <v>410851</v>
      </c>
      <c r="H88" s="48" t="str">
        <f>IFERROR(INDEX(Table14[],MATCH($G88,Table14[SAPNo],0),3),"")</f>
        <v>PDC Dome 1308 CT31   (B)</v>
      </c>
      <c r="I88" s="37">
        <v>10</v>
      </c>
      <c r="J88" s="37">
        <f>IF(Table412[[#This Row],[MAT]]&lt;&gt;"",COUNTIF(Table3[LEVEL 5 MAT NO.],Table412[[#This Row],[MAT]]),"")</f>
        <v>0</v>
      </c>
      <c r="K88" s="36">
        <f>IFERROR(INDEX(Table3[],MATCH($E88,Table3[LEVEL 5 MAT NO.],0),2),0)</f>
        <v>0</v>
      </c>
      <c r="L88" s="36">
        <f>Table412[[#This Row],[Quantity in BOM]]*Table412[[#This Row],[Freq]]</f>
        <v>0</v>
      </c>
      <c r="M88" s="36" t="str">
        <f>IF(Table412[[#This Row],[Exist]]=1,Table412[[#This Row],[MAT]],"")</f>
        <v/>
      </c>
      <c r="N88" s="36" t="str">
        <f>IF(Table412[[#This Row],[Exist]]=1,Table412[[#This Row],[Component]],"")</f>
        <v/>
      </c>
      <c r="O88" s="36">
        <f>IFERROR(VALUE(Table412[[#This Row],[MAT]]&amp;Table412[[#This Row],[X'#]]),IF(COUNTIF(Table412[[#This Row],[MAT]],"*M"),Table412[[#This Row],[MAT]]&amp;Table412[[#This Row],[X'#]],""))</f>
        <v>8888568</v>
      </c>
      <c r="T88" s="42">
        <v>87</v>
      </c>
      <c r="U88" s="2">
        <v>983150</v>
      </c>
      <c r="V88" s="43" t="s">
        <v>3475</v>
      </c>
    </row>
    <row r="89" spans="1:22" x14ac:dyDescent="0.25">
      <c r="A89" s="37">
        <f t="shared" si="1"/>
        <v>3</v>
      </c>
      <c r="B89" s="37"/>
      <c r="C89" s="37">
        <v>17.5</v>
      </c>
      <c r="D89" s="37" t="s">
        <v>3476</v>
      </c>
      <c r="E89" s="37">
        <v>969409</v>
      </c>
      <c r="F89" s="37">
        <v>1</v>
      </c>
      <c r="G89" s="37">
        <v>418525</v>
      </c>
      <c r="H89" s="48" t="str">
        <f>IFERROR(INDEX(Table14[],MATCH($G89,Table14[SAPNo],0),3),"")</f>
        <v>Drop In 1308 CT31   (B)</v>
      </c>
      <c r="I89" s="37">
        <v>12</v>
      </c>
      <c r="J89" s="37">
        <f>IF(Table412[[#This Row],[MAT]]&lt;&gt;"",COUNTIF(Table3[LEVEL 5 MAT NO.],Table412[[#This Row],[MAT]]),"")</f>
        <v>0</v>
      </c>
      <c r="K89" s="36">
        <f>IFERROR(INDEX(Table3[],MATCH($E89,Table3[LEVEL 5 MAT NO.],0),2),0)</f>
        <v>0</v>
      </c>
      <c r="L89" s="36">
        <f>Table412[[#This Row],[Quantity in BOM]]*Table412[[#This Row],[Freq]]</f>
        <v>0</v>
      </c>
      <c r="M89" s="36" t="str">
        <f>IF(Table412[[#This Row],[Exist]]=1,Table412[[#This Row],[MAT]],"")</f>
        <v/>
      </c>
      <c r="N89" s="36" t="str">
        <f>IF(Table412[[#This Row],[Exist]]=1,Table412[[#This Row],[Component]],"")</f>
        <v/>
      </c>
      <c r="O89" s="36">
        <f>IFERROR(VALUE(Table412[[#This Row],[MAT]]&amp;Table412[[#This Row],[X'#]]),IF(COUNTIF(Table412[[#This Row],[MAT]],"*M"),Table412[[#This Row],[MAT]]&amp;Table412[[#This Row],[X'#]],""))</f>
        <v>9694091</v>
      </c>
      <c r="T89" s="42">
        <v>88</v>
      </c>
      <c r="U89" s="2">
        <v>983096</v>
      </c>
      <c r="V89" s="43" t="s">
        <v>3477</v>
      </c>
    </row>
    <row r="90" spans="1:22" x14ac:dyDescent="0.25">
      <c r="A90" s="37">
        <f t="shared" si="1"/>
        <v>3</v>
      </c>
      <c r="B90" s="37"/>
      <c r="C90" s="37">
        <v>17.5</v>
      </c>
      <c r="D90" s="37" t="s">
        <v>3476</v>
      </c>
      <c r="E90" s="37">
        <v>969409</v>
      </c>
      <c r="F90" s="37">
        <v>2</v>
      </c>
      <c r="G90" s="37">
        <v>755889</v>
      </c>
      <c r="H90" s="48" t="str">
        <f>IFERROR(INDEX(Table14[],MATCH($G90,Table14[SAPNo],0),3),"")</f>
        <v>Long Bullet 16 CT80 LBL 10C (B)</v>
      </c>
      <c r="I90" s="37">
        <v>15</v>
      </c>
      <c r="J90" s="37">
        <f>IF(Table412[[#This Row],[MAT]]&lt;&gt;"",COUNTIF(Table3[LEVEL 5 MAT NO.],Table412[[#This Row],[MAT]]),"")</f>
        <v>0</v>
      </c>
      <c r="K90" s="36">
        <f>IFERROR(INDEX(Table3[],MATCH($E90,Table3[LEVEL 5 MAT NO.],0),2),0)</f>
        <v>0</v>
      </c>
      <c r="L90" s="36">
        <f>Table412[[#This Row],[Quantity in BOM]]*Table412[[#This Row],[Freq]]</f>
        <v>0</v>
      </c>
      <c r="M90" s="36" t="str">
        <f>IF(Table412[[#This Row],[Exist]]=1,Table412[[#This Row],[MAT]],"")</f>
        <v/>
      </c>
      <c r="N90" s="36" t="str">
        <f>IF(Table412[[#This Row],[Exist]]=1,Table412[[#This Row],[Component]],"")</f>
        <v/>
      </c>
      <c r="O90" s="36">
        <f>IFERROR(VALUE(Table412[[#This Row],[MAT]]&amp;Table412[[#This Row],[X'#]]),IF(COUNTIF(Table412[[#This Row],[MAT]],"*M"),Table412[[#This Row],[MAT]]&amp;Table412[[#This Row],[X'#]],""))</f>
        <v>9694092</v>
      </c>
      <c r="T90" s="42">
        <v>89</v>
      </c>
      <c r="U90" s="2">
        <v>983152</v>
      </c>
      <c r="V90" s="43" t="s">
        <v>3478</v>
      </c>
    </row>
    <row r="91" spans="1:22" x14ac:dyDescent="0.25">
      <c r="A91" s="37">
        <f t="shared" si="1"/>
        <v>3</v>
      </c>
      <c r="B91" s="37"/>
      <c r="C91" s="37">
        <v>17.5</v>
      </c>
      <c r="D91" s="37" t="s">
        <v>3476</v>
      </c>
      <c r="E91" s="37">
        <v>969409</v>
      </c>
      <c r="F91" s="37">
        <v>3</v>
      </c>
      <c r="G91" s="37">
        <v>802063</v>
      </c>
      <c r="H91" s="48" t="str">
        <f>IFERROR(INDEX(Table14[],MATCH($G91,Table14[SAPNo],0),3),"")</f>
        <v>Round 1613 CT97 TBO-Cutter 10C (S)</v>
      </c>
      <c r="I91" s="37">
        <v>55</v>
      </c>
      <c r="J91" s="37">
        <f>IF(Table412[[#This Row],[MAT]]&lt;&gt;"",COUNTIF(Table3[LEVEL 5 MAT NO.],Table412[[#This Row],[MAT]]),"")</f>
        <v>0</v>
      </c>
      <c r="K91" s="36">
        <f>IFERROR(INDEX(Table3[],MATCH($E91,Table3[LEVEL 5 MAT NO.],0),2),0)</f>
        <v>0</v>
      </c>
      <c r="L91" s="36">
        <f>Table412[[#This Row],[Quantity in BOM]]*Table412[[#This Row],[Freq]]</f>
        <v>0</v>
      </c>
      <c r="M91" s="36" t="str">
        <f>IF(Table412[[#This Row],[Exist]]=1,Table412[[#This Row],[MAT]],"")</f>
        <v/>
      </c>
      <c r="N91" s="36" t="str">
        <f>IF(Table412[[#This Row],[Exist]]=1,Table412[[#This Row],[Component]],"")</f>
        <v/>
      </c>
      <c r="O91" s="36">
        <f>IFERROR(VALUE(Table412[[#This Row],[MAT]]&amp;Table412[[#This Row],[X'#]]),IF(COUNTIF(Table412[[#This Row],[MAT]],"*M"),Table412[[#This Row],[MAT]]&amp;Table412[[#This Row],[X'#]],""))</f>
        <v>9694093</v>
      </c>
      <c r="T91" s="42">
        <v>90</v>
      </c>
      <c r="U91" s="2">
        <v>853551</v>
      </c>
      <c r="V91" s="43" t="s">
        <v>3479</v>
      </c>
    </row>
    <row r="92" spans="1:22" x14ac:dyDescent="0.25">
      <c r="A92" s="37">
        <f t="shared" si="1"/>
        <v>3</v>
      </c>
      <c r="B92" s="37"/>
      <c r="C92" s="37">
        <v>17.5</v>
      </c>
      <c r="D92" s="37" t="s">
        <v>3476</v>
      </c>
      <c r="E92" s="37">
        <v>969409</v>
      </c>
      <c r="F92" s="37">
        <v>4</v>
      </c>
      <c r="G92" s="37">
        <v>179734</v>
      </c>
      <c r="H92" s="48" t="str">
        <f>IFERROR(INDEX(Table14[],MATCH($G92,Table14[SAPNo],0),3),"")</f>
        <v>Long IPA 13    (C)</v>
      </c>
      <c r="I92" s="37">
        <v>30</v>
      </c>
      <c r="J92" s="37">
        <f>IF(Table412[[#This Row],[MAT]]&lt;&gt;"",COUNTIF(Table3[LEVEL 5 MAT NO.],Table412[[#This Row],[MAT]]),"")</f>
        <v>0</v>
      </c>
      <c r="K92" s="36">
        <f>IFERROR(INDEX(Table3[],MATCH($E92,Table3[LEVEL 5 MAT NO.],0),2),0)</f>
        <v>0</v>
      </c>
      <c r="L92" s="36">
        <f>Table412[[#This Row],[Quantity in BOM]]*Table412[[#This Row],[Freq]]</f>
        <v>0</v>
      </c>
      <c r="M92" s="36" t="str">
        <f>IF(Table412[[#This Row],[Exist]]=1,Table412[[#This Row],[MAT]],"")</f>
        <v/>
      </c>
      <c r="N92" s="36" t="str">
        <f>IF(Table412[[#This Row],[Exist]]=1,Table412[[#This Row],[Component]],"")</f>
        <v/>
      </c>
      <c r="O92" s="36">
        <f>IFERROR(VALUE(Table412[[#This Row],[MAT]]&amp;Table412[[#This Row],[X'#]]),IF(COUNTIF(Table412[[#This Row],[MAT]],"*M"),Table412[[#This Row],[MAT]]&amp;Table412[[#This Row],[X'#]],""))</f>
        <v>9694094</v>
      </c>
      <c r="T92" s="42">
        <v>91</v>
      </c>
      <c r="U92" s="2">
        <v>717747</v>
      </c>
      <c r="V92" s="43" t="s">
        <v>4206</v>
      </c>
    </row>
    <row r="93" spans="1:22" x14ac:dyDescent="0.25">
      <c r="A93" s="37">
        <f t="shared" si="1"/>
        <v>3</v>
      </c>
      <c r="B93" s="37"/>
      <c r="C93" s="37">
        <v>17.5</v>
      </c>
      <c r="D93" s="37" t="s">
        <v>3476</v>
      </c>
      <c r="E93" s="37">
        <v>969409</v>
      </c>
      <c r="F93" s="37">
        <v>5</v>
      </c>
      <c r="G93" s="37">
        <v>410851</v>
      </c>
      <c r="H93" s="48" t="str">
        <f>IFERROR(INDEX(Table14[],MATCH($G93,Table14[SAPNo],0),3),"")</f>
        <v>PDC Dome 1308 CT31   (B)</v>
      </c>
      <c r="I93" s="37">
        <v>24</v>
      </c>
      <c r="J93" s="37">
        <f>IF(Table412[[#This Row],[MAT]]&lt;&gt;"",COUNTIF(Table3[LEVEL 5 MAT NO.],Table412[[#This Row],[MAT]]),"")</f>
        <v>0</v>
      </c>
      <c r="K93" s="36">
        <f>IFERROR(INDEX(Table3[],MATCH($E93,Table3[LEVEL 5 MAT NO.],0),2),0)</f>
        <v>0</v>
      </c>
      <c r="L93" s="36">
        <f>Table412[[#This Row],[Quantity in BOM]]*Table412[[#This Row],[Freq]]</f>
        <v>0</v>
      </c>
      <c r="M93" s="36" t="str">
        <f>IF(Table412[[#This Row],[Exist]]=1,Table412[[#This Row],[MAT]],"")</f>
        <v/>
      </c>
      <c r="N93" s="36" t="str">
        <f>IF(Table412[[#This Row],[Exist]]=1,Table412[[#This Row],[Component]],"")</f>
        <v/>
      </c>
      <c r="O93" s="36">
        <f>IFERROR(VALUE(Table412[[#This Row],[MAT]]&amp;Table412[[#This Row],[X'#]]),IF(COUNTIF(Table412[[#This Row],[MAT]],"*M"),Table412[[#This Row],[MAT]]&amp;Table412[[#This Row],[X'#]],""))</f>
        <v>9694095</v>
      </c>
      <c r="T93" s="42">
        <v>92</v>
      </c>
      <c r="U93" s="2">
        <v>768848</v>
      </c>
      <c r="V93" s="43" t="s">
        <v>4207</v>
      </c>
    </row>
    <row r="94" spans="1:22" x14ac:dyDescent="0.25">
      <c r="A94" s="37">
        <f t="shared" si="1"/>
        <v>3</v>
      </c>
      <c r="B94" s="37"/>
      <c r="C94" s="37">
        <v>12.25</v>
      </c>
      <c r="D94" s="37" t="s">
        <v>3480</v>
      </c>
      <c r="E94" s="37">
        <v>1007863</v>
      </c>
      <c r="F94" s="37">
        <v>1</v>
      </c>
      <c r="G94" s="37">
        <v>418525</v>
      </c>
      <c r="H94" s="48" t="str">
        <f>IFERROR(INDEX(Table14[],MATCH($G94,Table14[SAPNo],0),3),"")</f>
        <v>Drop In 1308 CT31   (B)</v>
      </c>
      <c r="I94" s="37">
        <v>9</v>
      </c>
      <c r="J94" s="37">
        <f>IF(Table412[[#This Row],[MAT]]&lt;&gt;"",COUNTIF(Table3[LEVEL 5 MAT NO.],Table412[[#This Row],[MAT]]),"")</f>
        <v>0</v>
      </c>
      <c r="K94" s="36">
        <f>IFERROR(INDEX(Table3[],MATCH($E94,Table3[LEVEL 5 MAT NO.],0),2),0)</f>
        <v>0</v>
      </c>
      <c r="L94" s="36">
        <f>Table412[[#This Row],[Quantity in BOM]]*Table412[[#This Row],[Freq]]</f>
        <v>0</v>
      </c>
      <c r="M94" s="36" t="str">
        <f>IF(Table412[[#This Row],[Exist]]=1,Table412[[#This Row],[MAT]],"")</f>
        <v/>
      </c>
      <c r="N94" s="36" t="str">
        <f>IF(Table412[[#This Row],[Exist]]=1,Table412[[#This Row],[Component]],"")</f>
        <v/>
      </c>
      <c r="O94" s="36">
        <f>IFERROR(VALUE(Table412[[#This Row],[MAT]]&amp;Table412[[#This Row],[X'#]]),IF(COUNTIF(Table412[[#This Row],[MAT]],"*M"),Table412[[#This Row],[MAT]]&amp;Table412[[#This Row],[X'#]],""))</f>
        <v>10078631</v>
      </c>
      <c r="T94" s="42">
        <v>93</v>
      </c>
      <c r="U94" s="2">
        <v>785001</v>
      </c>
      <c r="V94" s="43" t="s">
        <v>3481</v>
      </c>
    </row>
    <row r="95" spans="1:22" x14ac:dyDescent="0.25">
      <c r="A95" s="37">
        <f t="shared" si="1"/>
        <v>3</v>
      </c>
      <c r="B95" s="37"/>
      <c r="C95" s="37">
        <v>12.25</v>
      </c>
      <c r="D95" s="37" t="s">
        <v>3480</v>
      </c>
      <c r="E95" s="37">
        <v>1007863</v>
      </c>
      <c r="F95" s="37">
        <v>2</v>
      </c>
      <c r="G95" s="37">
        <v>871781</v>
      </c>
      <c r="H95" s="48" t="str">
        <f>IFERROR(INDEX(Table14[],MATCH($G95,Table14[SAPNo],0),3),"")</f>
        <v>Round 1313 CT200  0.018" (B)</v>
      </c>
      <c r="I95" s="37">
        <v>3</v>
      </c>
      <c r="J95" s="37">
        <f>IF(Table412[[#This Row],[MAT]]&lt;&gt;"",COUNTIF(Table3[LEVEL 5 MAT NO.],Table412[[#This Row],[MAT]]),"")</f>
        <v>0</v>
      </c>
      <c r="K95" s="36">
        <f>IFERROR(INDEX(Table3[],MATCH($E95,Table3[LEVEL 5 MAT NO.],0),2),0)</f>
        <v>0</v>
      </c>
      <c r="L95" s="36">
        <f>Table412[[#This Row],[Quantity in BOM]]*Table412[[#This Row],[Freq]]</f>
        <v>0</v>
      </c>
      <c r="M95" s="36" t="str">
        <f>IF(Table412[[#This Row],[Exist]]=1,Table412[[#This Row],[MAT]],"")</f>
        <v/>
      </c>
      <c r="N95" s="36" t="str">
        <f>IF(Table412[[#This Row],[Exist]]=1,Table412[[#This Row],[Component]],"")</f>
        <v/>
      </c>
      <c r="O95" s="36">
        <f>IFERROR(VALUE(Table412[[#This Row],[MAT]]&amp;Table412[[#This Row],[X'#]]),IF(COUNTIF(Table412[[#This Row],[MAT]],"*M"),Table412[[#This Row],[MAT]]&amp;Table412[[#This Row],[X'#]],""))</f>
        <v>10078632</v>
      </c>
      <c r="T95" s="42">
        <v>94</v>
      </c>
      <c r="U95" s="2">
        <v>932807</v>
      </c>
      <c r="V95" s="43" t="s">
        <v>4208</v>
      </c>
    </row>
    <row r="96" spans="1:22" x14ac:dyDescent="0.25">
      <c r="A96" s="37">
        <f t="shared" si="1"/>
        <v>3</v>
      </c>
      <c r="B96" s="37"/>
      <c r="C96" s="37">
        <v>12.25</v>
      </c>
      <c r="D96" s="37" t="s">
        <v>3480</v>
      </c>
      <c r="E96" s="37">
        <v>1007863</v>
      </c>
      <c r="F96" s="37">
        <v>3</v>
      </c>
      <c r="G96" s="37">
        <v>770451</v>
      </c>
      <c r="H96" s="48" t="str">
        <f>IFERROR(INDEX(Table14[],MATCH($G96,Table14[SAPNo],0),3),"")</f>
        <v>Short Bullet 19 CT80 SBL 0.018" (B)</v>
      </c>
      <c r="I96" s="37">
        <v>12</v>
      </c>
      <c r="J96" s="37">
        <f>IF(Table412[[#This Row],[MAT]]&lt;&gt;"",COUNTIF(Table3[LEVEL 5 MAT NO.],Table412[[#This Row],[MAT]]),"")</f>
        <v>0</v>
      </c>
      <c r="K96" s="36">
        <f>IFERROR(INDEX(Table3[],MATCH($E96,Table3[LEVEL 5 MAT NO.],0),2),0)</f>
        <v>0</v>
      </c>
      <c r="L96" s="36">
        <f>Table412[[#This Row],[Quantity in BOM]]*Table412[[#This Row],[Freq]]</f>
        <v>0</v>
      </c>
      <c r="M96" s="36" t="str">
        <f>IF(Table412[[#This Row],[Exist]]=1,Table412[[#This Row],[MAT]],"")</f>
        <v/>
      </c>
      <c r="N96" s="36" t="str">
        <f>IF(Table412[[#This Row],[Exist]]=1,Table412[[#This Row],[Component]],"")</f>
        <v/>
      </c>
      <c r="O96" s="36">
        <f>IFERROR(VALUE(Table412[[#This Row],[MAT]]&amp;Table412[[#This Row],[X'#]]),IF(COUNTIF(Table412[[#This Row],[MAT]],"*M"),Table412[[#This Row],[MAT]]&amp;Table412[[#This Row],[X'#]],""))</f>
        <v>10078633</v>
      </c>
      <c r="T96" s="42">
        <v>95</v>
      </c>
      <c r="U96" s="2">
        <v>703671</v>
      </c>
      <c r="V96" s="43" t="s">
        <v>4209</v>
      </c>
    </row>
    <row r="97" spans="1:22" x14ac:dyDescent="0.25">
      <c r="A97" s="37">
        <f t="shared" si="1"/>
        <v>3</v>
      </c>
      <c r="B97" s="37"/>
      <c r="C97" s="37">
        <v>12.25</v>
      </c>
      <c r="D97" s="37" t="s">
        <v>3480</v>
      </c>
      <c r="E97" s="37">
        <v>1007863</v>
      </c>
      <c r="F97" s="37">
        <v>4</v>
      </c>
      <c r="G97" s="37">
        <v>745576</v>
      </c>
      <c r="H97" s="48" t="str">
        <f>IFERROR(INDEX(Table14[],MATCH($G97,Table14[SAPNo],0),3),"")</f>
        <v>Round 1913 CT82  0.018" (S)</v>
      </c>
      <c r="I97" s="37">
        <v>18</v>
      </c>
      <c r="J97" s="37">
        <f>IF(Table412[[#This Row],[MAT]]&lt;&gt;"",COUNTIF(Table3[LEVEL 5 MAT NO.],Table412[[#This Row],[MAT]]),"")</f>
        <v>0</v>
      </c>
      <c r="K97" s="36">
        <f>IFERROR(INDEX(Table3[],MATCH($E97,Table3[LEVEL 5 MAT NO.],0),2),0)</f>
        <v>0</v>
      </c>
      <c r="L97" s="36">
        <f>Table412[[#This Row],[Quantity in BOM]]*Table412[[#This Row],[Freq]]</f>
        <v>0</v>
      </c>
      <c r="M97" s="36" t="str">
        <f>IF(Table412[[#This Row],[Exist]]=1,Table412[[#This Row],[MAT]],"")</f>
        <v/>
      </c>
      <c r="N97" s="36" t="str">
        <f>IF(Table412[[#This Row],[Exist]]=1,Table412[[#This Row],[Component]],"")</f>
        <v/>
      </c>
      <c r="O97" s="36">
        <f>IFERROR(VALUE(Table412[[#This Row],[MAT]]&amp;Table412[[#This Row],[X'#]]),IF(COUNTIF(Table412[[#This Row],[MAT]],"*M"),Table412[[#This Row],[MAT]]&amp;Table412[[#This Row],[X'#]],""))</f>
        <v>10078634</v>
      </c>
      <c r="T97" s="42">
        <v>96</v>
      </c>
      <c r="U97" s="2">
        <v>932811</v>
      </c>
      <c r="V97" s="43" t="s">
        <v>4210</v>
      </c>
    </row>
    <row r="98" spans="1:22" x14ac:dyDescent="0.25">
      <c r="A98" s="37">
        <f t="shared" si="1"/>
        <v>3</v>
      </c>
      <c r="B98" s="37"/>
      <c r="C98" s="37">
        <v>12.25</v>
      </c>
      <c r="D98" s="37" t="s">
        <v>3480</v>
      </c>
      <c r="E98" s="37">
        <v>1007863</v>
      </c>
      <c r="F98" s="37">
        <v>5</v>
      </c>
      <c r="G98" s="37">
        <v>770450</v>
      </c>
      <c r="H98" s="48" t="str">
        <f>IFERROR(INDEX(Table14[],MATCH($G98,Table14[SAPNo],0),3),"")</f>
        <v>Short Bullet 16 CT80 SBL 0.018" (B)</v>
      </c>
      <c r="I98" s="37">
        <v>24</v>
      </c>
      <c r="J98" s="37">
        <f>IF(Table412[[#This Row],[MAT]]&lt;&gt;"",COUNTIF(Table3[LEVEL 5 MAT NO.],Table412[[#This Row],[MAT]]),"")</f>
        <v>0</v>
      </c>
      <c r="K98" s="36">
        <f>IFERROR(INDEX(Table3[],MATCH($E98,Table3[LEVEL 5 MAT NO.],0),2),0)</f>
        <v>0</v>
      </c>
      <c r="L98" s="36">
        <f>Table412[[#This Row],[Quantity in BOM]]*Table412[[#This Row],[Freq]]</f>
        <v>0</v>
      </c>
      <c r="M98" s="36" t="str">
        <f>IF(Table412[[#This Row],[Exist]]=1,Table412[[#This Row],[MAT]],"")</f>
        <v/>
      </c>
      <c r="N98" s="36" t="str">
        <f>IF(Table412[[#This Row],[Exist]]=1,Table412[[#This Row],[Component]],"")</f>
        <v/>
      </c>
      <c r="O98" s="36">
        <f>IFERROR(VALUE(Table412[[#This Row],[MAT]]&amp;Table412[[#This Row],[X'#]]),IF(COUNTIF(Table412[[#This Row],[MAT]],"*M"),Table412[[#This Row],[MAT]]&amp;Table412[[#This Row],[X'#]],""))</f>
        <v>10078635</v>
      </c>
      <c r="T98" s="42">
        <v>97</v>
      </c>
      <c r="U98" s="2">
        <v>410851</v>
      </c>
      <c r="V98" s="43" t="s">
        <v>3482</v>
      </c>
    </row>
    <row r="99" spans="1:22" x14ac:dyDescent="0.25">
      <c r="A99" s="37">
        <f t="shared" si="1"/>
        <v>3</v>
      </c>
      <c r="B99" s="37"/>
      <c r="C99" s="37">
        <v>12.25</v>
      </c>
      <c r="D99" s="37" t="s">
        <v>3480</v>
      </c>
      <c r="E99" s="37">
        <v>1007863</v>
      </c>
      <c r="F99" s="37">
        <v>6</v>
      </c>
      <c r="G99" s="37">
        <v>729691</v>
      </c>
      <c r="H99" s="48" t="str">
        <f>IFERROR(INDEX(Table14[],MATCH($G99,Table14[SAPNo],0),3),"")</f>
        <v>Round 1613 CT82  0.018" (S)</v>
      </c>
      <c r="I99" s="37">
        <v>14</v>
      </c>
      <c r="J99" s="37">
        <f>IF(Table412[[#This Row],[MAT]]&lt;&gt;"",COUNTIF(Table3[LEVEL 5 MAT NO.],Table412[[#This Row],[MAT]]),"")</f>
        <v>0</v>
      </c>
      <c r="K99" s="36">
        <f>IFERROR(INDEX(Table3[],MATCH($E99,Table3[LEVEL 5 MAT NO.],0),2),0)</f>
        <v>0</v>
      </c>
      <c r="L99" s="36">
        <f>Table412[[#This Row],[Quantity in BOM]]*Table412[[#This Row],[Freq]]</f>
        <v>0</v>
      </c>
      <c r="M99" s="36" t="str">
        <f>IF(Table412[[#This Row],[Exist]]=1,Table412[[#This Row],[MAT]],"")</f>
        <v/>
      </c>
      <c r="N99" s="36" t="str">
        <f>IF(Table412[[#This Row],[Exist]]=1,Table412[[#This Row],[Component]],"")</f>
        <v/>
      </c>
      <c r="O99" s="36">
        <f>IFERROR(VALUE(Table412[[#This Row],[MAT]]&amp;Table412[[#This Row],[X'#]]),IF(COUNTIF(Table412[[#This Row],[MAT]],"*M"),Table412[[#This Row],[MAT]]&amp;Table412[[#This Row],[X'#]],""))</f>
        <v>10078636</v>
      </c>
      <c r="T99" s="42">
        <v>98</v>
      </c>
      <c r="U99" s="2">
        <v>802063</v>
      </c>
      <c r="V99" s="43" t="s">
        <v>4211</v>
      </c>
    </row>
    <row r="100" spans="1:22" x14ac:dyDescent="0.25">
      <c r="A100" s="37">
        <f t="shared" si="1"/>
        <v>3</v>
      </c>
      <c r="B100" s="37"/>
      <c r="C100" s="37">
        <v>12.25</v>
      </c>
      <c r="D100" s="37" t="s">
        <v>3480</v>
      </c>
      <c r="E100" s="37">
        <v>1007863</v>
      </c>
      <c r="F100" s="37">
        <v>7</v>
      </c>
      <c r="G100" s="37">
        <v>179734</v>
      </c>
      <c r="H100" s="48" t="str">
        <f>IFERROR(INDEX(Table14[],MATCH($G100,Table14[SAPNo],0),3),"")</f>
        <v>Long IPA 13    (C)</v>
      </c>
      <c r="I100" s="37">
        <v>17</v>
      </c>
      <c r="J100" s="37">
        <f>IF(Table412[[#This Row],[MAT]]&lt;&gt;"",COUNTIF(Table3[LEVEL 5 MAT NO.],Table412[[#This Row],[MAT]]),"")</f>
        <v>0</v>
      </c>
      <c r="K100" s="36">
        <f>IFERROR(INDEX(Table3[],MATCH($E100,Table3[LEVEL 5 MAT NO.],0),2),0)</f>
        <v>0</v>
      </c>
      <c r="L100" s="36">
        <f>Table412[[#This Row],[Quantity in BOM]]*Table412[[#This Row],[Freq]]</f>
        <v>0</v>
      </c>
      <c r="M100" s="36" t="str">
        <f>IF(Table412[[#This Row],[Exist]]=1,Table412[[#This Row],[MAT]],"")</f>
        <v/>
      </c>
      <c r="N100" s="36" t="str">
        <f>IF(Table412[[#This Row],[Exist]]=1,Table412[[#This Row],[Component]],"")</f>
        <v/>
      </c>
      <c r="O100" s="36">
        <f>IFERROR(VALUE(Table412[[#This Row],[MAT]]&amp;Table412[[#This Row],[X'#]]),IF(COUNTIF(Table412[[#This Row],[MAT]],"*M"),Table412[[#This Row],[MAT]]&amp;Table412[[#This Row],[X'#]],""))</f>
        <v>10078637</v>
      </c>
      <c r="T100" s="42">
        <v>99</v>
      </c>
      <c r="U100" s="2">
        <v>794672</v>
      </c>
      <c r="V100" s="43" t="s">
        <v>3483</v>
      </c>
    </row>
    <row r="101" spans="1:22" x14ac:dyDescent="0.25">
      <c r="A101" s="37">
        <f t="shared" si="1"/>
        <v>3</v>
      </c>
      <c r="B101" s="37"/>
      <c r="C101" s="37">
        <v>8.5</v>
      </c>
      <c r="D101" s="37" t="s">
        <v>3484</v>
      </c>
      <c r="E101" s="37">
        <v>905235</v>
      </c>
      <c r="F101" s="37">
        <v>1</v>
      </c>
      <c r="G101" s="37">
        <v>418525</v>
      </c>
      <c r="H101" s="48" t="str">
        <f>IFERROR(INDEX(Table14[],MATCH($G101,Table14[SAPNo],0),3),"")</f>
        <v>Drop In 1308 CT31   (B)</v>
      </c>
      <c r="I101" s="37">
        <v>12</v>
      </c>
      <c r="J101" s="37">
        <f>IF(Table412[[#This Row],[MAT]]&lt;&gt;"",COUNTIF(Table3[LEVEL 5 MAT NO.],Table412[[#This Row],[MAT]]),"")</f>
        <v>0</v>
      </c>
      <c r="K101" s="36">
        <f>IFERROR(INDEX(Table3[],MATCH($E101,Table3[LEVEL 5 MAT NO.],0),2),0)</f>
        <v>0</v>
      </c>
      <c r="L101" s="36">
        <f>Table412[[#This Row],[Quantity in BOM]]*Table412[[#This Row],[Freq]]</f>
        <v>0</v>
      </c>
      <c r="M101" s="36" t="str">
        <f>IF(Table412[[#This Row],[Exist]]=1,Table412[[#This Row],[MAT]],"")</f>
        <v/>
      </c>
      <c r="N101" s="36" t="str">
        <f>IF(Table412[[#This Row],[Exist]]=1,Table412[[#This Row],[Component]],"")</f>
        <v/>
      </c>
      <c r="O101" s="36">
        <f>IFERROR(VALUE(Table412[[#This Row],[MAT]]&amp;Table412[[#This Row],[X'#]]),IF(COUNTIF(Table412[[#This Row],[MAT]],"*M"),Table412[[#This Row],[MAT]]&amp;Table412[[#This Row],[X'#]],""))</f>
        <v>9052351</v>
      </c>
      <c r="T101" s="42">
        <v>100</v>
      </c>
      <c r="U101" s="2">
        <v>755889</v>
      </c>
      <c r="V101" s="43" t="s">
        <v>4212</v>
      </c>
    </row>
    <row r="102" spans="1:22" x14ac:dyDescent="0.25">
      <c r="A102" s="37">
        <f t="shared" si="1"/>
        <v>3</v>
      </c>
      <c r="B102" s="37"/>
      <c r="C102" s="37">
        <v>8.5</v>
      </c>
      <c r="D102" s="37" t="s">
        <v>3484</v>
      </c>
      <c r="E102" s="37">
        <v>905235</v>
      </c>
      <c r="F102" s="37">
        <v>2</v>
      </c>
      <c r="G102" s="37">
        <v>729435</v>
      </c>
      <c r="H102" s="48" t="str">
        <f>IFERROR(INDEX(Table14[],MATCH($G102,Table14[SAPNo],0),3),"")</f>
        <v>Round 1313 CT82  10C (S)</v>
      </c>
      <c r="I102" s="37">
        <v>7</v>
      </c>
      <c r="J102" s="37">
        <f>IF(Table412[[#This Row],[MAT]]&lt;&gt;"",COUNTIF(Table3[LEVEL 5 MAT NO.],Table412[[#This Row],[MAT]]),"")</f>
        <v>0</v>
      </c>
      <c r="K102" s="36">
        <f>IFERROR(INDEX(Table3[],MATCH($E102,Table3[LEVEL 5 MAT NO.],0),2),0)</f>
        <v>0</v>
      </c>
      <c r="L102" s="36">
        <f>Table412[[#This Row],[Quantity in BOM]]*Table412[[#This Row],[Freq]]</f>
        <v>0</v>
      </c>
      <c r="M102" s="36" t="str">
        <f>IF(Table412[[#This Row],[Exist]]=1,Table412[[#This Row],[MAT]],"")</f>
        <v/>
      </c>
      <c r="N102" s="36" t="str">
        <f>IF(Table412[[#This Row],[Exist]]=1,Table412[[#This Row],[Component]],"")</f>
        <v/>
      </c>
      <c r="O102" s="36">
        <f>IFERROR(VALUE(Table412[[#This Row],[MAT]]&amp;Table412[[#This Row],[X'#]]),IF(COUNTIF(Table412[[#This Row],[MAT]],"*M"),Table412[[#This Row],[MAT]]&amp;Table412[[#This Row],[X'#]],""))</f>
        <v>9052352</v>
      </c>
      <c r="T102" s="42">
        <v>101</v>
      </c>
      <c r="U102" s="2">
        <v>853550</v>
      </c>
      <c r="V102" s="43" t="s">
        <v>3485</v>
      </c>
    </row>
    <row r="103" spans="1:22" x14ac:dyDescent="0.25">
      <c r="A103" s="37">
        <f t="shared" si="1"/>
        <v>3</v>
      </c>
      <c r="B103" s="37"/>
      <c r="C103" s="37">
        <v>8.5</v>
      </c>
      <c r="D103" s="37" t="s">
        <v>3484</v>
      </c>
      <c r="E103" s="37">
        <v>905235</v>
      </c>
      <c r="F103" s="37">
        <v>3</v>
      </c>
      <c r="G103" s="37">
        <v>729687</v>
      </c>
      <c r="H103" s="48" t="str">
        <f>IFERROR(INDEX(Table14[],MATCH($G103,Table14[SAPNo],0),3),"")</f>
        <v>Round 1613 CT82  10C (S)</v>
      </c>
      <c r="I103" s="37">
        <v>27</v>
      </c>
      <c r="J103" s="37">
        <f>IF(Table412[[#This Row],[MAT]]&lt;&gt;"",COUNTIF(Table3[LEVEL 5 MAT NO.],Table412[[#This Row],[MAT]]),"")</f>
        <v>0</v>
      </c>
      <c r="K103" s="36">
        <f>IFERROR(INDEX(Table3[],MATCH($E103,Table3[LEVEL 5 MAT NO.],0),2),0)</f>
        <v>0</v>
      </c>
      <c r="L103" s="36">
        <f>Table412[[#This Row],[Quantity in BOM]]*Table412[[#This Row],[Freq]]</f>
        <v>0</v>
      </c>
      <c r="M103" s="36" t="str">
        <f>IF(Table412[[#This Row],[Exist]]=1,Table412[[#This Row],[MAT]],"")</f>
        <v/>
      </c>
      <c r="N103" s="36" t="str">
        <f>IF(Table412[[#This Row],[Exist]]=1,Table412[[#This Row],[Component]],"")</f>
        <v/>
      </c>
      <c r="O103" s="36">
        <f>IFERROR(VALUE(Table412[[#This Row],[MAT]]&amp;Table412[[#This Row],[X'#]]),IF(COUNTIF(Table412[[#This Row],[MAT]],"*M"),Table412[[#This Row],[MAT]]&amp;Table412[[#This Row],[X'#]],""))</f>
        <v>9052353</v>
      </c>
      <c r="T103" s="42">
        <v>102</v>
      </c>
      <c r="U103" s="2">
        <v>933120</v>
      </c>
      <c r="V103" s="43" t="s">
        <v>3486</v>
      </c>
    </row>
    <row r="104" spans="1:22" x14ac:dyDescent="0.25">
      <c r="A104" s="37">
        <f t="shared" si="1"/>
        <v>3</v>
      </c>
      <c r="B104" s="37"/>
      <c r="C104" s="37">
        <v>8.5</v>
      </c>
      <c r="D104" s="37" t="s">
        <v>3484</v>
      </c>
      <c r="E104" s="37">
        <v>905235</v>
      </c>
      <c r="F104" s="37">
        <v>4</v>
      </c>
      <c r="G104" s="37">
        <v>375538</v>
      </c>
      <c r="H104" s="48" t="str">
        <f>IFERROR(INDEX(Table14[],MATCH($G104,Table14[SAPNo],0),3),"")</f>
        <v>R1 13  R1 PEP .012R LG BEVEL  (D)</v>
      </c>
      <c r="I104" s="37">
        <v>18</v>
      </c>
      <c r="J104" s="37">
        <f>IF(Table412[[#This Row],[MAT]]&lt;&gt;"",COUNTIF(Table3[LEVEL 5 MAT NO.],Table412[[#This Row],[MAT]]),"")</f>
        <v>0</v>
      </c>
      <c r="K104" s="36">
        <f>IFERROR(INDEX(Table3[],MATCH($E104,Table3[LEVEL 5 MAT NO.],0),2),0)</f>
        <v>0</v>
      </c>
      <c r="L104" s="36">
        <f>Table412[[#This Row],[Quantity in BOM]]*Table412[[#This Row],[Freq]]</f>
        <v>0</v>
      </c>
      <c r="M104" s="36" t="str">
        <f>IF(Table412[[#This Row],[Exist]]=1,Table412[[#This Row],[MAT]],"")</f>
        <v/>
      </c>
      <c r="N104" s="36" t="str">
        <f>IF(Table412[[#This Row],[Exist]]=1,Table412[[#This Row],[Component]],"")</f>
        <v/>
      </c>
      <c r="O104" s="36">
        <f>IFERROR(VALUE(Table412[[#This Row],[MAT]]&amp;Table412[[#This Row],[X'#]]),IF(COUNTIF(Table412[[#This Row],[MAT]],"*M"),Table412[[#This Row],[MAT]]&amp;Table412[[#This Row],[X'#]],""))</f>
        <v>9052354</v>
      </c>
      <c r="T104" s="42">
        <v>103</v>
      </c>
      <c r="U104" s="2">
        <v>971093</v>
      </c>
      <c r="V104" s="43" t="s">
        <v>3487</v>
      </c>
    </row>
    <row r="105" spans="1:22" x14ac:dyDescent="0.25">
      <c r="A105" s="37">
        <f t="shared" si="1"/>
        <v>3</v>
      </c>
      <c r="B105" s="37"/>
      <c r="C105" s="37">
        <v>12.25</v>
      </c>
      <c r="D105" s="37" t="s">
        <v>3437</v>
      </c>
      <c r="E105" s="37">
        <v>1083403</v>
      </c>
      <c r="F105" s="37">
        <v>1</v>
      </c>
      <c r="G105" s="37">
        <v>418525</v>
      </c>
      <c r="H105" s="48" t="str">
        <f>IFERROR(INDEX(Table14[],MATCH($G105,Table14[SAPNo],0),3),"")</f>
        <v>Drop In 1308 CT31   (B)</v>
      </c>
      <c r="I105" s="37">
        <v>14</v>
      </c>
      <c r="J105" s="37">
        <f>IF(Table412[[#This Row],[MAT]]&lt;&gt;"",COUNTIF(Table3[LEVEL 5 MAT NO.],Table412[[#This Row],[MAT]]),"")</f>
        <v>0</v>
      </c>
      <c r="K105" s="36">
        <f>IFERROR(INDEX(Table3[],MATCH($E105,Table3[LEVEL 5 MAT NO.],0),2),0)</f>
        <v>0</v>
      </c>
      <c r="L105" s="36">
        <f>Table412[[#This Row],[Quantity in BOM]]*Table412[[#This Row],[Freq]]</f>
        <v>0</v>
      </c>
      <c r="M105" s="36" t="str">
        <f>IF(Table412[[#This Row],[Exist]]=1,Table412[[#This Row],[MAT]],"")</f>
        <v/>
      </c>
      <c r="N105" s="36" t="str">
        <f>IF(Table412[[#This Row],[Exist]]=1,Table412[[#This Row],[Component]],"")</f>
        <v/>
      </c>
      <c r="O105" s="36">
        <f>IFERROR(VALUE(Table412[[#This Row],[MAT]]&amp;Table412[[#This Row],[X'#]]),IF(COUNTIF(Table412[[#This Row],[MAT]],"*M"),Table412[[#This Row],[MAT]]&amp;Table412[[#This Row],[X'#]],""))</f>
        <v>10834031</v>
      </c>
      <c r="T105" s="42">
        <v>104</v>
      </c>
      <c r="U105" s="2">
        <v>1086351</v>
      </c>
      <c r="V105" s="43" t="s">
        <v>3488</v>
      </c>
    </row>
    <row r="106" spans="1:22" x14ac:dyDescent="0.25">
      <c r="A106" s="37">
        <f t="shared" si="1"/>
        <v>3</v>
      </c>
      <c r="C106" s="38">
        <v>12.25</v>
      </c>
      <c r="D106" s="36" t="s">
        <v>3437</v>
      </c>
      <c r="E106" s="36">
        <v>1083403</v>
      </c>
      <c r="F106" s="36">
        <v>2</v>
      </c>
      <c r="G106" s="36">
        <v>853552</v>
      </c>
      <c r="H106" s="48" t="str">
        <f>IFERROR(INDEX(Table14[],MATCH($G106,Table14[SAPNo],0),3),"")</f>
        <v>Round 1913 CT125  0.018" (S)</v>
      </c>
      <c r="I106" s="37">
        <v>33</v>
      </c>
      <c r="J106" s="37">
        <f>IF(Table412[[#This Row],[MAT]]&lt;&gt;"",COUNTIF(Table3[LEVEL 5 MAT NO.],Table412[[#This Row],[MAT]]),"")</f>
        <v>0</v>
      </c>
      <c r="K106" s="36">
        <f>IFERROR(INDEX(Table3[],MATCH($E106,Table3[LEVEL 5 MAT NO.],0),2),0)</f>
        <v>0</v>
      </c>
      <c r="L106" s="36">
        <f>Table412[[#This Row],[Quantity in BOM]]*Table412[[#This Row],[Freq]]</f>
        <v>0</v>
      </c>
      <c r="M106" s="36" t="str">
        <f>IF(Table412[[#This Row],[Exist]]=1,Table412[[#This Row],[MAT]],"")</f>
        <v/>
      </c>
      <c r="N106" s="36" t="str">
        <f>IF(Table412[[#This Row],[Exist]]=1,Table412[[#This Row],[Component]],"")</f>
        <v/>
      </c>
      <c r="O106" s="36">
        <f>IFERROR(VALUE(Table412[[#This Row],[MAT]]&amp;Table412[[#This Row],[X'#]]),IF(COUNTIF(Table412[[#This Row],[MAT]],"*M"),Table412[[#This Row],[MAT]]&amp;Table412[[#This Row],[X'#]],""))</f>
        <v>10834032</v>
      </c>
      <c r="T106" s="42">
        <v>105</v>
      </c>
      <c r="U106" s="2">
        <v>632948</v>
      </c>
      <c r="V106" s="43" t="s">
        <v>3489</v>
      </c>
    </row>
    <row r="107" spans="1:22" x14ac:dyDescent="0.25">
      <c r="A107" s="37">
        <f t="shared" si="1"/>
        <v>3</v>
      </c>
      <c r="C107" s="38">
        <v>12.25</v>
      </c>
      <c r="D107" s="36" t="s">
        <v>3437</v>
      </c>
      <c r="E107" s="36">
        <v>1083403</v>
      </c>
      <c r="F107" s="36">
        <v>3</v>
      </c>
      <c r="G107" s="36">
        <v>708306</v>
      </c>
      <c r="H107" s="48" t="str">
        <f>IFERROR(INDEX(Table14[],MATCH($G107,Table14[SAPNo],0),3),"")</f>
        <v>Round 1913 CT200  0.018" (B)</v>
      </c>
      <c r="I107" s="37">
        <v>15</v>
      </c>
      <c r="J107" s="37">
        <f>IF(Table412[[#This Row],[MAT]]&lt;&gt;"",COUNTIF(Table3[LEVEL 5 MAT NO.],Table412[[#This Row],[MAT]]),"")</f>
        <v>0</v>
      </c>
      <c r="K107" s="36">
        <f>IFERROR(INDEX(Table3[],MATCH($E107,Table3[LEVEL 5 MAT NO.],0),2),0)</f>
        <v>0</v>
      </c>
      <c r="L107" s="36">
        <f>Table412[[#This Row],[Quantity in BOM]]*Table412[[#This Row],[Freq]]</f>
        <v>0</v>
      </c>
      <c r="M107" s="36" t="str">
        <f>IF(Table412[[#This Row],[Exist]]=1,Table412[[#This Row],[MAT]],"")</f>
        <v/>
      </c>
      <c r="N107" s="36" t="str">
        <f>IF(Table412[[#This Row],[Exist]]=1,Table412[[#This Row],[Component]],"")</f>
        <v/>
      </c>
      <c r="O107" s="36">
        <f>IFERROR(VALUE(Table412[[#This Row],[MAT]]&amp;Table412[[#This Row],[X'#]]),IF(COUNTIF(Table412[[#This Row],[MAT]],"*M"),Table412[[#This Row],[MAT]]&amp;Table412[[#This Row],[X'#]],""))</f>
        <v>10834033</v>
      </c>
      <c r="T107" s="42">
        <v>106</v>
      </c>
      <c r="U107" s="2">
        <v>647435</v>
      </c>
      <c r="V107" s="43" t="s">
        <v>3490</v>
      </c>
    </row>
    <row r="108" spans="1:22" x14ac:dyDescent="0.25">
      <c r="A108" s="37">
        <f t="shared" si="1"/>
        <v>3</v>
      </c>
      <c r="C108" s="36">
        <v>12.25</v>
      </c>
      <c r="D108" s="36" t="s">
        <v>3437</v>
      </c>
      <c r="E108" s="36">
        <v>1083403</v>
      </c>
      <c r="F108" s="36">
        <v>4</v>
      </c>
      <c r="G108" s="36">
        <v>621152</v>
      </c>
      <c r="H108" s="48" t="str">
        <f>IFERROR(INDEX(Table14[],MATCH($G108,Table14[SAPNo],0),3),"")</f>
        <v>MDR 1318    (D)</v>
      </c>
      <c r="I108" s="37">
        <v>7</v>
      </c>
      <c r="J108" s="37">
        <f>IF(Table412[[#This Row],[MAT]]&lt;&gt;"",COUNTIF(Table3[LEVEL 5 MAT NO.],Table412[[#This Row],[MAT]]),"")</f>
        <v>0</v>
      </c>
      <c r="K108" s="36">
        <f>IFERROR(INDEX(Table3[],MATCH($E108,Table3[LEVEL 5 MAT NO.],0),2),0)</f>
        <v>0</v>
      </c>
      <c r="L108" s="36">
        <f>Table412[[#This Row],[Quantity in BOM]]*Table412[[#This Row],[Freq]]</f>
        <v>0</v>
      </c>
      <c r="M108" s="36" t="str">
        <f>IF(Table412[[#This Row],[Exist]]=1,Table412[[#This Row],[MAT]],"")</f>
        <v/>
      </c>
      <c r="N108" s="36" t="str">
        <f>IF(Table412[[#This Row],[Exist]]=1,Table412[[#This Row],[Component]],"")</f>
        <v/>
      </c>
      <c r="O108" s="36">
        <f>IFERROR(VALUE(Table412[[#This Row],[MAT]]&amp;Table412[[#This Row],[X'#]]),IF(COUNTIF(Table412[[#This Row],[MAT]],"*M"),Table412[[#This Row],[MAT]]&amp;Table412[[#This Row],[X'#]],""))</f>
        <v>10834034</v>
      </c>
      <c r="T108" s="42">
        <v>107</v>
      </c>
      <c r="U108" s="2">
        <v>983148</v>
      </c>
      <c r="V108" s="43" t="s">
        <v>3491</v>
      </c>
    </row>
    <row r="109" spans="1:22" x14ac:dyDescent="0.25">
      <c r="A109" s="37">
        <f t="shared" si="1"/>
        <v>3</v>
      </c>
      <c r="C109" s="38">
        <v>12.25</v>
      </c>
      <c r="D109" s="36" t="s">
        <v>272</v>
      </c>
      <c r="E109" s="36">
        <v>1056359</v>
      </c>
      <c r="F109" s="36">
        <v>1</v>
      </c>
      <c r="G109" s="36">
        <v>647436</v>
      </c>
      <c r="H109" s="48" t="str">
        <f>IFERROR(INDEX(Table14[],MATCH($G109,Table14[SAPNo],0),3),"")</f>
        <v>Round 1613 CT200  0.018" (B)</v>
      </c>
      <c r="I109" s="37">
        <v>12</v>
      </c>
      <c r="J109" s="37">
        <f>IF(Table412[[#This Row],[MAT]]&lt;&gt;"",COUNTIF(Table3[LEVEL 5 MAT NO.],Table412[[#This Row],[MAT]]),"")</f>
        <v>0</v>
      </c>
      <c r="K109" s="36">
        <f>IFERROR(INDEX(Table3[],MATCH($E109,Table3[LEVEL 5 MAT NO.],0),2),0)</f>
        <v>0</v>
      </c>
      <c r="L109" s="36">
        <f>Table412[[#This Row],[Quantity in BOM]]*Table412[[#This Row],[Freq]]</f>
        <v>0</v>
      </c>
      <c r="M109" s="36" t="str">
        <f>IF(Table412[[#This Row],[Exist]]=1,Table412[[#This Row],[MAT]],"")</f>
        <v/>
      </c>
      <c r="N109" s="36" t="str">
        <f>IF(Table412[[#This Row],[Exist]]=1,Table412[[#This Row],[Component]],"")</f>
        <v/>
      </c>
      <c r="O109" s="36">
        <f>IFERROR(VALUE(Table412[[#This Row],[MAT]]&amp;Table412[[#This Row],[X'#]]),IF(COUNTIF(Table412[[#This Row],[MAT]],"*M"),Table412[[#This Row],[MAT]]&amp;Table412[[#This Row],[X'#]],""))</f>
        <v>10563591</v>
      </c>
      <c r="T109" s="42">
        <v>108</v>
      </c>
      <c r="U109" s="2">
        <v>738228</v>
      </c>
      <c r="V109" s="43" t="s">
        <v>3492</v>
      </c>
    </row>
    <row r="110" spans="1:22" x14ac:dyDescent="0.25">
      <c r="A110" s="37">
        <f t="shared" si="1"/>
        <v>3</v>
      </c>
      <c r="C110" s="36">
        <v>12.25</v>
      </c>
      <c r="D110" s="36" t="s">
        <v>272</v>
      </c>
      <c r="E110" s="36">
        <v>1056359</v>
      </c>
      <c r="F110" s="36">
        <v>2</v>
      </c>
      <c r="G110" s="36">
        <v>717751</v>
      </c>
      <c r="H110" s="48" t="str">
        <f>IFERROR(INDEX(Table14[],MATCH($G110,Table14[SAPNo],0),3),"")</f>
        <v>Round 1308 CT200  0.018" (B)</v>
      </c>
      <c r="I110" s="37">
        <v>26</v>
      </c>
      <c r="J110" s="37">
        <f>IF(Table412[[#This Row],[MAT]]&lt;&gt;"",COUNTIF(Table3[LEVEL 5 MAT NO.],Table412[[#This Row],[MAT]]),"")</f>
        <v>0</v>
      </c>
      <c r="K110" s="36">
        <f>IFERROR(INDEX(Table3[],MATCH($E110,Table3[LEVEL 5 MAT NO.],0),2),0)</f>
        <v>0</v>
      </c>
      <c r="L110" s="36">
        <f>Table412[[#This Row],[Quantity in BOM]]*Table412[[#This Row],[Freq]]</f>
        <v>0</v>
      </c>
      <c r="M110" s="36" t="str">
        <f>IF(Table412[[#This Row],[Exist]]=1,Table412[[#This Row],[MAT]],"")</f>
        <v/>
      </c>
      <c r="N110" s="36" t="str">
        <f>IF(Table412[[#This Row],[Exist]]=1,Table412[[#This Row],[Component]],"")</f>
        <v/>
      </c>
      <c r="O110" s="36">
        <f>IFERROR(VALUE(Table412[[#This Row],[MAT]]&amp;Table412[[#This Row],[X'#]]),IF(COUNTIF(Table412[[#This Row],[MAT]],"*M"),Table412[[#This Row],[MAT]]&amp;Table412[[#This Row],[X'#]],""))</f>
        <v>10563592</v>
      </c>
      <c r="T110" s="42">
        <v>109</v>
      </c>
      <c r="U110" s="2">
        <v>661066</v>
      </c>
      <c r="V110" s="43" t="s">
        <v>3493</v>
      </c>
    </row>
    <row r="111" spans="1:22" x14ac:dyDescent="0.25">
      <c r="A111" s="37">
        <f t="shared" si="1"/>
        <v>3</v>
      </c>
      <c r="B111" s="37"/>
      <c r="C111" s="37">
        <v>12.25</v>
      </c>
      <c r="D111" s="37" t="s">
        <v>272</v>
      </c>
      <c r="E111" s="37">
        <v>1056359</v>
      </c>
      <c r="F111" s="37">
        <v>3</v>
      </c>
      <c r="G111" s="37">
        <v>418525</v>
      </c>
      <c r="H111" s="48" t="str">
        <f>IFERROR(INDEX(Table14[],MATCH($G111,Table14[SAPNo],0),3),"")</f>
        <v>Drop In 1308 CT31   (B)</v>
      </c>
      <c r="I111" s="37">
        <v>3</v>
      </c>
      <c r="J111" s="37">
        <f>IF(Table412[[#This Row],[MAT]]&lt;&gt;"",COUNTIF(Table3[LEVEL 5 MAT NO.],Table412[[#This Row],[MAT]]),"")</f>
        <v>0</v>
      </c>
      <c r="K111" s="36">
        <f>IFERROR(INDEX(Table3[],MATCH($E111,Table3[LEVEL 5 MAT NO.],0),2),0)</f>
        <v>0</v>
      </c>
      <c r="L111" s="36">
        <f>Table412[[#This Row],[Quantity in BOM]]*Table412[[#This Row],[Freq]]</f>
        <v>0</v>
      </c>
      <c r="M111" s="36" t="str">
        <f>IF(Table412[[#This Row],[Exist]]=1,Table412[[#This Row],[MAT]],"")</f>
        <v/>
      </c>
      <c r="N111" s="36" t="str">
        <f>IF(Table412[[#This Row],[Exist]]=1,Table412[[#This Row],[Component]],"")</f>
        <v/>
      </c>
      <c r="O111" s="36">
        <f>IFERROR(VALUE(Table412[[#This Row],[MAT]]&amp;Table412[[#This Row],[X'#]]),IF(COUNTIF(Table412[[#This Row],[MAT]],"*M"),Table412[[#This Row],[MAT]]&amp;Table412[[#This Row],[X'#]],""))</f>
        <v>10563593</v>
      </c>
      <c r="T111" s="42">
        <v>110</v>
      </c>
      <c r="U111" s="2">
        <v>1104743</v>
      </c>
      <c r="V111" s="43" t="s">
        <v>4213</v>
      </c>
    </row>
    <row r="112" spans="1:22" x14ac:dyDescent="0.25">
      <c r="A112" s="37">
        <f t="shared" si="1"/>
        <v>3</v>
      </c>
      <c r="B112" s="37"/>
      <c r="C112" s="37">
        <v>12.25</v>
      </c>
      <c r="D112" s="37" t="s">
        <v>272</v>
      </c>
      <c r="E112" s="37">
        <v>1056359</v>
      </c>
      <c r="F112" s="37">
        <v>4</v>
      </c>
      <c r="G112" s="37">
        <v>703670</v>
      </c>
      <c r="H112" s="48" t="str">
        <f>IFERROR(INDEX(Table14[],MATCH($G112,Table14[SAPNo],0),3),"")</f>
        <v>Round 1313 CT200  10C (B)</v>
      </c>
      <c r="I112" s="37">
        <v>3</v>
      </c>
      <c r="J112" s="37">
        <f>IF(Table412[[#This Row],[MAT]]&lt;&gt;"",COUNTIF(Table3[LEVEL 5 MAT NO.],Table412[[#This Row],[MAT]]),"")</f>
        <v>0</v>
      </c>
      <c r="K112" s="36">
        <f>IFERROR(INDEX(Table3[],MATCH($E112,Table3[LEVEL 5 MAT NO.],0),2),0)</f>
        <v>0</v>
      </c>
      <c r="L112" s="36">
        <f>Table412[[#This Row],[Quantity in BOM]]*Table412[[#This Row],[Freq]]</f>
        <v>0</v>
      </c>
      <c r="M112" s="36" t="str">
        <f>IF(Table412[[#This Row],[Exist]]=1,Table412[[#This Row],[MAT]],"")</f>
        <v/>
      </c>
      <c r="N112" s="36" t="str">
        <f>IF(Table412[[#This Row],[Exist]]=1,Table412[[#This Row],[Component]],"")</f>
        <v/>
      </c>
      <c r="O112" s="36">
        <f>IFERROR(VALUE(Table412[[#This Row],[MAT]]&amp;Table412[[#This Row],[X'#]]),IF(COUNTIF(Table412[[#This Row],[MAT]],"*M"),Table412[[#This Row],[MAT]]&amp;Table412[[#This Row],[X'#]],""))</f>
        <v>10563594</v>
      </c>
      <c r="T112" s="42">
        <v>111</v>
      </c>
      <c r="U112" s="2">
        <v>1100696</v>
      </c>
      <c r="V112" s="43" t="s">
        <v>4214</v>
      </c>
    </row>
    <row r="113" spans="1:22" x14ac:dyDescent="0.25">
      <c r="A113" s="37">
        <f t="shared" si="1"/>
        <v>3</v>
      </c>
      <c r="B113" s="37"/>
      <c r="C113" s="37">
        <v>12.25</v>
      </c>
      <c r="D113" s="37" t="s">
        <v>272</v>
      </c>
      <c r="E113" s="37">
        <v>1056359</v>
      </c>
      <c r="F113" s="37">
        <v>5</v>
      </c>
      <c r="G113" s="37">
        <v>744015</v>
      </c>
      <c r="H113" s="48" t="str">
        <f>IFERROR(INDEX(Table14[],MATCH($G113,Table14[SAPNo],0),3),"")</f>
        <v>Round 1613 CT81  0.018" (P)</v>
      </c>
      <c r="I113" s="37">
        <v>40</v>
      </c>
      <c r="J113" s="37">
        <f>IF(Table412[[#This Row],[MAT]]&lt;&gt;"",COUNTIF(Table3[LEVEL 5 MAT NO.],Table412[[#This Row],[MAT]]),"")</f>
        <v>0</v>
      </c>
      <c r="K113" s="36">
        <f>IFERROR(INDEX(Table3[],MATCH($E113,Table3[LEVEL 5 MAT NO.],0),2),0)</f>
        <v>0</v>
      </c>
      <c r="L113" s="36">
        <f>Table412[[#This Row],[Quantity in BOM]]*Table412[[#This Row],[Freq]]</f>
        <v>0</v>
      </c>
      <c r="M113" s="36" t="str">
        <f>IF(Table412[[#This Row],[Exist]]=1,Table412[[#This Row],[MAT]],"")</f>
        <v/>
      </c>
      <c r="N113" s="36" t="str">
        <f>IF(Table412[[#This Row],[Exist]]=1,Table412[[#This Row],[Component]],"")</f>
        <v/>
      </c>
      <c r="O113" s="36">
        <f>IFERROR(VALUE(Table412[[#This Row],[MAT]]&amp;Table412[[#This Row],[X'#]]),IF(COUNTIF(Table412[[#This Row],[MAT]],"*M"),Table412[[#This Row],[MAT]]&amp;Table412[[#This Row],[X'#]],""))</f>
        <v>10563595</v>
      </c>
      <c r="T113" s="42">
        <v>112</v>
      </c>
      <c r="U113" s="2">
        <v>1100745</v>
      </c>
      <c r="V113" s="43" t="s">
        <v>3494</v>
      </c>
    </row>
    <row r="114" spans="1:22" x14ac:dyDescent="0.25">
      <c r="A114" s="37">
        <f t="shared" si="1"/>
        <v>3</v>
      </c>
      <c r="B114" s="37"/>
      <c r="C114" s="37" t="s">
        <v>3495</v>
      </c>
      <c r="D114" s="37" t="s">
        <v>3496</v>
      </c>
      <c r="E114" s="37">
        <v>937159</v>
      </c>
      <c r="F114" s="37">
        <v>1</v>
      </c>
      <c r="G114" s="37">
        <v>773383</v>
      </c>
      <c r="H114" s="48" t="str">
        <f>IFERROR(INDEX(Table14[],MATCH($G114,Table14[SAPNo],0),3),"")</f>
        <v>Round 1005 CT200  10C (B)</v>
      </c>
      <c r="I114" s="37">
        <v>4</v>
      </c>
      <c r="J114" s="37">
        <f>IF(Table412[[#This Row],[MAT]]&lt;&gt;"",COUNTIF(Table3[LEVEL 5 MAT NO.],Table412[[#This Row],[MAT]]),"")</f>
        <v>0</v>
      </c>
      <c r="K114" s="36">
        <f>IFERROR(INDEX(Table3[],MATCH($E114,Table3[LEVEL 5 MAT NO.],0),2),0)</f>
        <v>0</v>
      </c>
      <c r="L114" s="36">
        <f>Table412[[#This Row],[Quantity in BOM]]*Table412[[#This Row],[Freq]]</f>
        <v>0</v>
      </c>
      <c r="M114" s="36" t="str">
        <f>IF(Table412[[#This Row],[Exist]]=1,Table412[[#This Row],[MAT]],"")</f>
        <v/>
      </c>
      <c r="N114" s="36" t="str">
        <f>IF(Table412[[#This Row],[Exist]]=1,Table412[[#This Row],[Component]],"")</f>
        <v/>
      </c>
      <c r="O114" s="36">
        <f>IFERROR(VALUE(Table412[[#This Row],[MAT]]&amp;Table412[[#This Row],[X'#]]),IF(COUNTIF(Table412[[#This Row],[MAT]],"*M"),Table412[[#This Row],[MAT]]&amp;Table412[[#This Row],[X'#]],""))</f>
        <v>9371591</v>
      </c>
      <c r="T114" s="42">
        <v>113</v>
      </c>
      <c r="U114" s="2">
        <v>1130198</v>
      </c>
      <c r="V114" s="43" t="s">
        <v>2985</v>
      </c>
    </row>
    <row r="115" spans="1:22" x14ac:dyDescent="0.25">
      <c r="A115" s="37">
        <f t="shared" si="1"/>
        <v>3</v>
      </c>
      <c r="B115" s="37"/>
      <c r="C115" s="37" t="s">
        <v>3495</v>
      </c>
      <c r="D115" s="37" t="s">
        <v>3496</v>
      </c>
      <c r="E115" s="37">
        <v>937159</v>
      </c>
      <c r="F115" s="37">
        <v>2</v>
      </c>
      <c r="G115" s="37">
        <v>729434</v>
      </c>
      <c r="H115" s="48" t="str">
        <f>IFERROR(INDEX(Table14[],MATCH($G115,Table14[SAPNo],0),3),"")</f>
        <v>Round 1308 CT82  10C (S)</v>
      </c>
      <c r="I115" s="37">
        <v>28</v>
      </c>
      <c r="J115" s="37">
        <f>IF(Table412[[#This Row],[MAT]]&lt;&gt;"",COUNTIF(Table3[LEVEL 5 MAT NO.],Table412[[#This Row],[MAT]]),"")</f>
        <v>0</v>
      </c>
      <c r="K115" s="36">
        <f>IFERROR(INDEX(Table3[],MATCH($E115,Table3[LEVEL 5 MAT NO.],0),2),0)</f>
        <v>0</v>
      </c>
      <c r="L115" s="36">
        <f>Table412[[#This Row],[Quantity in BOM]]*Table412[[#This Row],[Freq]]</f>
        <v>0</v>
      </c>
      <c r="M115" s="36" t="str">
        <f>IF(Table412[[#This Row],[Exist]]=1,Table412[[#This Row],[MAT]],"")</f>
        <v/>
      </c>
      <c r="N115" s="36" t="str">
        <f>IF(Table412[[#This Row],[Exist]]=1,Table412[[#This Row],[Component]],"")</f>
        <v/>
      </c>
      <c r="O115" s="36">
        <f>IFERROR(VALUE(Table412[[#This Row],[MAT]]&amp;Table412[[#This Row],[X'#]]),IF(COUNTIF(Table412[[#This Row],[MAT]],"*M"),Table412[[#This Row],[MAT]]&amp;Table412[[#This Row],[X'#]],""))</f>
        <v>9371592</v>
      </c>
      <c r="T115" s="42">
        <v>114</v>
      </c>
      <c r="U115" s="2">
        <v>1130196</v>
      </c>
      <c r="V115" s="43" t="s">
        <v>3497</v>
      </c>
    </row>
    <row r="116" spans="1:22" x14ac:dyDescent="0.25">
      <c r="A116" s="37">
        <f t="shared" si="1"/>
        <v>3</v>
      </c>
      <c r="B116" s="37"/>
      <c r="C116" s="37" t="s">
        <v>3495</v>
      </c>
      <c r="D116" s="37" t="s">
        <v>3496</v>
      </c>
      <c r="E116" s="37">
        <v>937159</v>
      </c>
      <c r="F116" s="37">
        <v>3</v>
      </c>
      <c r="G116" s="37">
        <v>717749</v>
      </c>
      <c r="H116" s="48" t="str">
        <f>IFERROR(INDEX(Table14[],MATCH($G116,Table14[SAPNo],0),3),"")</f>
        <v>Round 1308 CT200  10C (B)</v>
      </c>
      <c r="I116" s="37">
        <v>8</v>
      </c>
      <c r="J116" s="37">
        <f>IF(Table412[[#This Row],[MAT]]&lt;&gt;"",COUNTIF(Table3[LEVEL 5 MAT NO.],Table412[[#This Row],[MAT]]),"")</f>
        <v>0</v>
      </c>
      <c r="K116" s="36">
        <f>IFERROR(INDEX(Table3[],MATCH($E116,Table3[LEVEL 5 MAT NO.],0),2),0)</f>
        <v>0</v>
      </c>
      <c r="L116" s="36">
        <f>Table412[[#This Row],[Quantity in BOM]]*Table412[[#This Row],[Freq]]</f>
        <v>0</v>
      </c>
      <c r="M116" s="36" t="str">
        <f>IF(Table412[[#This Row],[Exist]]=1,Table412[[#This Row],[MAT]],"")</f>
        <v/>
      </c>
      <c r="N116" s="36" t="str">
        <f>IF(Table412[[#This Row],[Exist]]=1,Table412[[#This Row],[Component]],"")</f>
        <v/>
      </c>
      <c r="O116" s="36">
        <f>IFERROR(VALUE(Table412[[#This Row],[MAT]]&amp;Table412[[#This Row],[X'#]]),IF(COUNTIF(Table412[[#This Row],[MAT]],"*M"),Table412[[#This Row],[MAT]]&amp;Table412[[#This Row],[X'#]],""))</f>
        <v>9371593</v>
      </c>
      <c r="T116" s="42">
        <v>115</v>
      </c>
      <c r="U116" s="2">
        <v>752583</v>
      </c>
      <c r="V116" s="43" t="s">
        <v>3498</v>
      </c>
    </row>
    <row r="117" spans="1:22" x14ac:dyDescent="0.25">
      <c r="A117" s="37">
        <f t="shared" si="1"/>
        <v>3</v>
      </c>
      <c r="B117" s="37"/>
      <c r="C117" s="37" t="s">
        <v>3495</v>
      </c>
      <c r="D117" s="37" t="s">
        <v>3496</v>
      </c>
      <c r="E117" s="37">
        <v>937159</v>
      </c>
      <c r="F117" s="37">
        <v>4</v>
      </c>
      <c r="G117" s="37">
        <v>418525</v>
      </c>
      <c r="H117" s="48" t="str">
        <f>IFERROR(INDEX(Table14[],MATCH($G117,Table14[SAPNo],0),3),"")</f>
        <v>Drop In 1308 CT31   (B)</v>
      </c>
      <c r="I117" s="37">
        <v>8</v>
      </c>
      <c r="J117" s="37">
        <f>IF(Table412[[#This Row],[MAT]]&lt;&gt;"",COUNTIF(Table3[LEVEL 5 MAT NO.],Table412[[#This Row],[MAT]]),"")</f>
        <v>0</v>
      </c>
      <c r="K117" s="36">
        <f>IFERROR(INDEX(Table3[],MATCH($E117,Table3[LEVEL 5 MAT NO.],0),2),0)</f>
        <v>0</v>
      </c>
      <c r="L117" s="36">
        <f>Table412[[#This Row],[Quantity in BOM]]*Table412[[#This Row],[Freq]]</f>
        <v>0</v>
      </c>
      <c r="M117" s="36" t="str">
        <f>IF(Table412[[#This Row],[Exist]]=1,Table412[[#This Row],[MAT]],"")</f>
        <v/>
      </c>
      <c r="N117" s="36" t="str">
        <f>IF(Table412[[#This Row],[Exist]]=1,Table412[[#This Row],[Component]],"")</f>
        <v/>
      </c>
      <c r="O117" s="36">
        <f>IFERROR(VALUE(Table412[[#This Row],[MAT]]&amp;Table412[[#This Row],[X'#]]),IF(COUNTIF(Table412[[#This Row],[MAT]],"*M"),Table412[[#This Row],[MAT]]&amp;Table412[[#This Row],[X'#]],""))</f>
        <v>9371594</v>
      </c>
      <c r="T117" s="42">
        <v>116</v>
      </c>
      <c r="U117" s="2">
        <v>1100741</v>
      </c>
      <c r="V117" s="43" t="s">
        <v>1962</v>
      </c>
    </row>
    <row r="118" spans="1:22" x14ac:dyDescent="0.25">
      <c r="A118" s="37">
        <f t="shared" si="1"/>
        <v>3</v>
      </c>
      <c r="B118" s="37"/>
      <c r="C118" s="37">
        <v>8.5</v>
      </c>
      <c r="D118" s="37" t="s">
        <v>282</v>
      </c>
      <c r="E118" s="37">
        <v>1067911</v>
      </c>
      <c r="F118" s="37">
        <v>1</v>
      </c>
      <c r="G118" s="37">
        <v>871781</v>
      </c>
      <c r="H118" s="48" t="str">
        <f>IFERROR(INDEX(Table14[],MATCH($G118,Table14[SAPNo],0),3),"")</f>
        <v>Round 1313 CT200  0.018" (B)</v>
      </c>
      <c r="I118" s="37">
        <v>3</v>
      </c>
      <c r="J118" s="37">
        <f>IF(Table412[[#This Row],[MAT]]&lt;&gt;"",COUNTIF(Table3[LEVEL 5 MAT NO.],Table412[[#This Row],[MAT]]),"")</f>
        <v>0</v>
      </c>
      <c r="K118" s="36">
        <f>IFERROR(INDEX(Table3[],MATCH($E118,Table3[LEVEL 5 MAT NO.],0),2),0)</f>
        <v>0</v>
      </c>
      <c r="L118" s="36">
        <f>Table412[[#This Row],[Quantity in BOM]]*Table412[[#This Row],[Freq]]</f>
        <v>0</v>
      </c>
      <c r="M118" s="36" t="str">
        <f>IF(Table412[[#This Row],[Exist]]=1,Table412[[#This Row],[MAT]],"")</f>
        <v/>
      </c>
      <c r="N118" s="36" t="str">
        <f>IF(Table412[[#This Row],[Exist]]=1,Table412[[#This Row],[Component]],"")</f>
        <v/>
      </c>
      <c r="O118" s="36">
        <f>IFERROR(VALUE(Table412[[#This Row],[MAT]]&amp;Table412[[#This Row],[X'#]]),IF(COUNTIF(Table412[[#This Row],[MAT]],"*M"),Table412[[#This Row],[MAT]]&amp;Table412[[#This Row],[X'#]],""))</f>
        <v>10679111</v>
      </c>
      <c r="T118" s="42">
        <v>117</v>
      </c>
      <c r="U118" s="2">
        <v>1014941</v>
      </c>
      <c r="V118" s="43" t="s">
        <v>3499</v>
      </c>
    </row>
    <row r="119" spans="1:22" x14ac:dyDescent="0.25">
      <c r="A119" s="37">
        <f t="shared" si="1"/>
        <v>3</v>
      </c>
      <c r="B119" s="37"/>
      <c r="C119" s="37">
        <v>8.5</v>
      </c>
      <c r="D119" s="37" t="s">
        <v>282</v>
      </c>
      <c r="E119" s="37">
        <v>1067911</v>
      </c>
      <c r="F119" s="37">
        <v>2</v>
      </c>
      <c r="G119" s="37">
        <v>729689</v>
      </c>
      <c r="H119" s="48" t="str">
        <f>IFERROR(INDEX(Table14[],MATCH($G119,Table14[SAPNo],0),3),"")</f>
        <v>Round 1313 CT82  0.018" (S)</v>
      </c>
      <c r="I119" s="37">
        <v>3</v>
      </c>
      <c r="J119" s="37">
        <f>IF(Table412[[#This Row],[MAT]]&lt;&gt;"",COUNTIF(Table3[LEVEL 5 MAT NO.],Table412[[#This Row],[MAT]]),"")</f>
        <v>0</v>
      </c>
      <c r="K119" s="36">
        <f>IFERROR(INDEX(Table3[],MATCH($E119,Table3[LEVEL 5 MAT NO.],0),2),0)</f>
        <v>0</v>
      </c>
      <c r="L119" s="36">
        <f>Table412[[#This Row],[Quantity in BOM]]*Table412[[#This Row],[Freq]]</f>
        <v>0</v>
      </c>
      <c r="M119" s="36" t="str">
        <f>IF(Table412[[#This Row],[Exist]]=1,Table412[[#This Row],[MAT]],"")</f>
        <v/>
      </c>
      <c r="N119" s="36" t="str">
        <f>IF(Table412[[#This Row],[Exist]]=1,Table412[[#This Row],[Component]],"")</f>
        <v/>
      </c>
      <c r="O119" s="36">
        <f>IFERROR(VALUE(Table412[[#This Row],[MAT]]&amp;Table412[[#This Row],[X'#]]),IF(COUNTIF(Table412[[#This Row],[MAT]],"*M"),Table412[[#This Row],[MAT]]&amp;Table412[[#This Row],[X'#]],""))</f>
        <v>10679112</v>
      </c>
      <c r="T119" s="42">
        <v>118</v>
      </c>
      <c r="U119" s="2">
        <v>1130200</v>
      </c>
      <c r="V119" s="43" t="s">
        <v>3500</v>
      </c>
    </row>
    <row r="120" spans="1:22" x14ac:dyDescent="0.25">
      <c r="A120" s="37">
        <f t="shared" si="1"/>
        <v>3</v>
      </c>
      <c r="B120" s="37"/>
      <c r="C120" s="37">
        <v>8.5</v>
      </c>
      <c r="D120" s="37" t="s">
        <v>282</v>
      </c>
      <c r="E120" s="37">
        <v>1067911</v>
      </c>
      <c r="F120" s="37">
        <v>3</v>
      </c>
      <c r="G120" s="37">
        <v>729691</v>
      </c>
      <c r="H120" s="48" t="str">
        <f>IFERROR(INDEX(Table14[],MATCH($G120,Table14[SAPNo],0),3),"")</f>
        <v>Round 1613 CT82  0.018" (S)</v>
      </c>
      <c r="I120" s="37">
        <v>28</v>
      </c>
      <c r="J120" s="37">
        <f>IF(Table412[[#This Row],[MAT]]&lt;&gt;"",COUNTIF(Table3[LEVEL 5 MAT NO.],Table412[[#This Row],[MAT]]),"")</f>
        <v>0</v>
      </c>
      <c r="K120" s="36">
        <f>IFERROR(INDEX(Table3[],MATCH($E120,Table3[LEVEL 5 MAT NO.],0),2),0)</f>
        <v>0</v>
      </c>
      <c r="L120" s="36">
        <f>Table412[[#This Row],[Quantity in BOM]]*Table412[[#This Row],[Freq]]</f>
        <v>0</v>
      </c>
      <c r="M120" s="36" t="str">
        <f>IF(Table412[[#This Row],[Exist]]=1,Table412[[#This Row],[MAT]],"")</f>
        <v/>
      </c>
      <c r="N120" s="36" t="str">
        <f>IF(Table412[[#This Row],[Exist]]=1,Table412[[#This Row],[Component]],"")</f>
        <v/>
      </c>
      <c r="O120" s="36">
        <f>IFERROR(VALUE(Table412[[#This Row],[MAT]]&amp;Table412[[#This Row],[X'#]]),IF(COUNTIF(Table412[[#This Row],[MAT]],"*M"),Table412[[#This Row],[MAT]]&amp;Table412[[#This Row],[X'#]],""))</f>
        <v>10679113</v>
      </c>
      <c r="T120" s="42">
        <v>119</v>
      </c>
      <c r="U120" s="2">
        <v>1144821</v>
      </c>
      <c r="V120" s="43" t="s">
        <v>3501</v>
      </c>
    </row>
    <row r="121" spans="1:22" x14ac:dyDescent="0.25">
      <c r="A121" s="37">
        <f t="shared" si="1"/>
        <v>3</v>
      </c>
      <c r="B121" s="37"/>
      <c r="C121" s="37">
        <v>8.5</v>
      </c>
      <c r="D121" s="37" t="s">
        <v>282</v>
      </c>
      <c r="E121" s="37">
        <v>1067911</v>
      </c>
      <c r="F121" s="37">
        <v>4</v>
      </c>
      <c r="G121" s="37">
        <v>418525</v>
      </c>
      <c r="H121" s="48" t="str">
        <f>IFERROR(INDEX(Table14[],MATCH($G121,Table14[SAPNo],0),3),"")</f>
        <v>Drop In 1308 CT31   (B)</v>
      </c>
      <c r="I121" s="37">
        <v>12</v>
      </c>
      <c r="J121" s="37">
        <f>IF(Table412[[#This Row],[MAT]]&lt;&gt;"",COUNTIF(Table3[LEVEL 5 MAT NO.],Table412[[#This Row],[MAT]]),"")</f>
        <v>0</v>
      </c>
      <c r="K121" s="36">
        <f>IFERROR(INDEX(Table3[],MATCH($E121,Table3[LEVEL 5 MAT NO.],0),2),0)</f>
        <v>0</v>
      </c>
      <c r="L121" s="36">
        <f>Table412[[#This Row],[Quantity in BOM]]*Table412[[#This Row],[Freq]]</f>
        <v>0</v>
      </c>
      <c r="M121" s="36" t="str">
        <f>IF(Table412[[#This Row],[Exist]]=1,Table412[[#This Row],[MAT]],"")</f>
        <v/>
      </c>
      <c r="N121" s="36" t="str">
        <f>IF(Table412[[#This Row],[Exist]]=1,Table412[[#This Row],[Component]],"")</f>
        <v/>
      </c>
      <c r="O121" s="36">
        <f>IFERROR(VALUE(Table412[[#This Row],[MAT]]&amp;Table412[[#This Row],[X'#]]),IF(COUNTIF(Table412[[#This Row],[MAT]],"*M"),Table412[[#This Row],[MAT]]&amp;Table412[[#This Row],[X'#]],""))</f>
        <v>10679114</v>
      </c>
      <c r="T121" s="42">
        <v>120</v>
      </c>
      <c r="U121" s="2">
        <v>1134752</v>
      </c>
      <c r="V121" s="43" t="s">
        <v>3502</v>
      </c>
    </row>
    <row r="122" spans="1:22" x14ac:dyDescent="0.25">
      <c r="A122" s="37">
        <f t="shared" si="1"/>
        <v>3</v>
      </c>
      <c r="B122" s="37"/>
      <c r="C122" s="37">
        <v>16</v>
      </c>
      <c r="D122" s="37" t="s">
        <v>3503</v>
      </c>
      <c r="E122" s="37">
        <v>1026622</v>
      </c>
      <c r="F122" s="37">
        <v>1</v>
      </c>
      <c r="G122" s="37">
        <v>971093</v>
      </c>
      <c r="H122" s="48" t="str">
        <f>IFERROR(INDEX(Table14[],MATCH($G122,Table14[SAPNo],0),3),"")</f>
        <v>Long Bullet 16 CT217 LBL 0.018" (B)</v>
      </c>
      <c r="I122" s="37">
        <v>3</v>
      </c>
      <c r="J122" s="37">
        <f>IF(Table412[[#This Row],[MAT]]&lt;&gt;"",COUNTIF(Table3[LEVEL 5 MAT NO.],Table412[[#This Row],[MAT]]),"")</f>
        <v>0</v>
      </c>
      <c r="K122" s="36">
        <f>IFERROR(INDEX(Table3[],MATCH($E122,Table3[LEVEL 5 MAT NO.],0),2),0)</f>
        <v>0</v>
      </c>
      <c r="L122" s="36">
        <f>Table412[[#This Row],[Quantity in BOM]]*Table412[[#This Row],[Freq]]</f>
        <v>0</v>
      </c>
      <c r="M122" s="36" t="str">
        <f>IF(Table412[[#This Row],[Exist]]=1,Table412[[#This Row],[MAT]],"")</f>
        <v/>
      </c>
      <c r="N122" s="36" t="str">
        <f>IF(Table412[[#This Row],[Exist]]=1,Table412[[#This Row],[Component]],"")</f>
        <v/>
      </c>
      <c r="O122" s="36">
        <f>IFERROR(VALUE(Table412[[#This Row],[MAT]]&amp;Table412[[#This Row],[X'#]]),IF(COUNTIF(Table412[[#This Row],[MAT]],"*M"),Table412[[#This Row],[MAT]]&amp;Table412[[#This Row],[X'#]],""))</f>
        <v>10266221</v>
      </c>
      <c r="T122" s="42">
        <v>121</v>
      </c>
      <c r="U122" s="2">
        <v>1130197</v>
      </c>
      <c r="V122" s="43" t="s">
        <v>3504</v>
      </c>
    </row>
    <row r="123" spans="1:22" x14ac:dyDescent="0.25">
      <c r="A123" s="37">
        <f t="shared" si="1"/>
        <v>3</v>
      </c>
      <c r="B123" s="37"/>
      <c r="C123" s="37">
        <v>16</v>
      </c>
      <c r="D123" s="37" t="s">
        <v>3503</v>
      </c>
      <c r="E123" s="37">
        <v>1026622</v>
      </c>
      <c r="F123" s="37">
        <v>2</v>
      </c>
      <c r="G123" s="37">
        <v>761246</v>
      </c>
      <c r="H123" s="48" t="str">
        <f>IFERROR(INDEX(Table14[],MATCH($G123,Table14[SAPNo],0),3),"")</f>
        <v>Long Bullet 16 CT80 LBL 0.018" (B)</v>
      </c>
      <c r="I123" s="37">
        <v>17</v>
      </c>
      <c r="J123" s="37">
        <f>IF(Table412[[#This Row],[MAT]]&lt;&gt;"",COUNTIF(Table3[LEVEL 5 MAT NO.],Table412[[#This Row],[MAT]]),"")</f>
        <v>0</v>
      </c>
      <c r="K123" s="36">
        <f>IFERROR(INDEX(Table3[],MATCH($E123,Table3[LEVEL 5 MAT NO.],0),2),0)</f>
        <v>0</v>
      </c>
      <c r="L123" s="36">
        <f>Table412[[#This Row],[Quantity in BOM]]*Table412[[#This Row],[Freq]]</f>
        <v>0</v>
      </c>
      <c r="M123" s="36" t="str">
        <f>IF(Table412[[#This Row],[Exist]]=1,Table412[[#This Row],[MAT]],"")</f>
        <v/>
      </c>
      <c r="N123" s="36" t="str">
        <f>IF(Table412[[#This Row],[Exist]]=1,Table412[[#This Row],[Component]],"")</f>
        <v/>
      </c>
      <c r="O123" s="36">
        <f>IFERROR(VALUE(Table412[[#This Row],[MAT]]&amp;Table412[[#This Row],[X'#]]),IF(COUNTIF(Table412[[#This Row],[MAT]],"*M"),Table412[[#This Row],[MAT]]&amp;Table412[[#This Row],[X'#]],""))</f>
        <v>10266222</v>
      </c>
      <c r="T123" s="42">
        <v>122</v>
      </c>
      <c r="U123" s="2">
        <v>1130204</v>
      </c>
      <c r="V123" s="43" t="s">
        <v>3505</v>
      </c>
    </row>
    <row r="124" spans="1:22" x14ac:dyDescent="0.25">
      <c r="A124" s="37">
        <f t="shared" si="1"/>
        <v>3</v>
      </c>
      <c r="B124" s="37"/>
      <c r="C124" s="37">
        <v>16</v>
      </c>
      <c r="D124" s="37" t="s">
        <v>3503</v>
      </c>
      <c r="E124" s="37">
        <v>1026622</v>
      </c>
      <c r="F124" s="37">
        <v>3</v>
      </c>
      <c r="G124" s="37">
        <v>933120</v>
      </c>
      <c r="H124" s="48" t="str">
        <f>IFERROR(INDEX(Table14[],MATCH($G124,Table14[SAPNo],0),3),"")</f>
        <v>Round 1613 CT405 GEDB 0.018" (P)</v>
      </c>
      <c r="I124" s="37">
        <v>62</v>
      </c>
      <c r="J124" s="37">
        <f>IF(Table412[[#This Row],[MAT]]&lt;&gt;"",COUNTIF(Table3[LEVEL 5 MAT NO.],Table412[[#This Row],[MAT]]),"")</f>
        <v>0</v>
      </c>
      <c r="K124" s="36">
        <f>IFERROR(INDEX(Table3[],MATCH($E124,Table3[LEVEL 5 MAT NO.],0),2),0)</f>
        <v>0</v>
      </c>
      <c r="L124" s="36">
        <f>Table412[[#This Row],[Quantity in BOM]]*Table412[[#This Row],[Freq]]</f>
        <v>0</v>
      </c>
      <c r="M124" s="36" t="str">
        <f>IF(Table412[[#This Row],[Exist]]=1,Table412[[#This Row],[MAT]],"")</f>
        <v/>
      </c>
      <c r="N124" s="36" t="str">
        <f>IF(Table412[[#This Row],[Exist]]=1,Table412[[#This Row],[Component]],"")</f>
        <v/>
      </c>
      <c r="O124" s="36">
        <f>IFERROR(VALUE(Table412[[#This Row],[MAT]]&amp;Table412[[#This Row],[X'#]]),IF(COUNTIF(Table412[[#This Row],[MAT]],"*M"),Table412[[#This Row],[MAT]]&amp;Table412[[#This Row],[X'#]],""))</f>
        <v>10266223</v>
      </c>
      <c r="T124" s="42">
        <v>123</v>
      </c>
      <c r="U124" s="2">
        <v>971088</v>
      </c>
      <c r="V124" s="43" t="s">
        <v>3506</v>
      </c>
    </row>
    <row r="125" spans="1:22" x14ac:dyDescent="0.25">
      <c r="A125" s="37">
        <f t="shared" si="1"/>
        <v>3</v>
      </c>
      <c r="B125" s="37"/>
      <c r="C125" s="37">
        <v>16</v>
      </c>
      <c r="D125" s="37" t="s">
        <v>3503</v>
      </c>
      <c r="E125" s="37">
        <v>1026622</v>
      </c>
      <c r="F125" s="37">
        <v>4</v>
      </c>
      <c r="G125" s="37">
        <v>871781</v>
      </c>
      <c r="H125" s="48" t="str">
        <f>IFERROR(INDEX(Table14[],MATCH($G125,Table14[SAPNo],0),3),"")</f>
        <v>Round 1313 CT200  0.018" (B)</v>
      </c>
      <c r="I125" s="37">
        <v>7</v>
      </c>
      <c r="J125" s="37">
        <f>IF(Table412[[#This Row],[MAT]]&lt;&gt;"",COUNTIF(Table3[LEVEL 5 MAT NO.],Table412[[#This Row],[MAT]]),"")</f>
        <v>0</v>
      </c>
      <c r="K125" s="36">
        <f>IFERROR(INDEX(Table3[],MATCH($E125,Table3[LEVEL 5 MAT NO.],0),2),0)</f>
        <v>0</v>
      </c>
      <c r="L125" s="36">
        <f>Table412[[#This Row],[Quantity in BOM]]*Table412[[#This Row],[Freq]]</f>
        <v>0</v>
      </c>
      <c r="M125" s="36" t="str">
        <f>IF(Table412[[#This Row],[Exist]]=1,Table412[[#This Row],[MAT]],"")</f>
        <v/>
      </c>
      <c r="N125" s="36" t="str">
        <f>IF(Table412[[#This Row],[Exist]]=1,Table412[[#This Row],[Component]],"")</f>
        <v/>
      </c>
      <c r="O125" s="36">
        <f>IFERROR(VALUE(Table412[[#This Row],[MAT]]&amp;Table412[[#This Row],[X'#]]),IF(COUNTIF(Table412[[#This Row],[MAT]],"*M"),Table412[[#This Row],[MAT]]&amp;Table412[[#This Row],[X'#]],""))</f>
        <v>10266224</v>
      </c>
      <c r="T125" s="42">
        <v>124</v>
      </c>
      <c r="U125" s="2">
        <v>1039033</v>
      </c>
      <c r="V125" s="43" t="s">
        <v>4215</v>
      </c>
    </row>
    <row r="126" spans="1:22" x14ac:dyDescent="0.25">
      <c r="A126" s="37">
        <f t="shared" si="1"/>
        <v>3</v>
      </c>
      <c r="B126" s="37"/>
      <c r="C126" s="37">
        <v>16</v>
      </c>
      <c r="D126" s="37" t="s">
        <v>3503</v>
      </c>
      <c r="E126" s="37">
        <v>1026622</v>
      </c>
      <c r="F126" s="37">
        <v>5</v>
      </c>
      <c r="G126" s="37">
        <v>983408</v>
      </c>
      <c r="H126" s="48" t="str">
        <f>IFERROR(INDEX(Table14[],MATCH($G126,Table14[SAPNo],0),3),"")</f>
        <v/>
      </c>
      <c r="I126" s="37">
        <v>37</v>
      </c>
      <c r="J126" s="37">
        <f>IF(Table412[[#This Row],[MAT]]&lt;&gt;"",COUNTIF(Table3[LEVEL 5 MAT NO.],Table412[[#This Row],[MAT]]),"")</f>
        <v>0</v>
      </c>
      <c r="K126" s="36">
        <f>IFERROR(INDEX(Table3[],MATCH($E126,Table3[LEVEL 5 MAT NO.],0),2),0)</f>
        <v>0</v>
      </c>
      <c r="L126" s="36">
        <f>Table412[[#This Row],[Quantity in BOM]]*Table412[[#This Row],[Freq]]</f>
        <v>0</v>
      </c>
      <c r="M126" s="36" t="str">
        <f>IF(Table412[[#This Row],[Exist]]=1,Table412[[#This Row],[MAT]],"")</f>
        <v/>
      </c>
      <c r="N126" s="36" t="str">
        <f>IF(Table412[[#This Row],[Exist]]=1,Table412[[#This Row],[Component]],"")</f>
        <v/>
      </c>
      <c r="O126" s="36">
        <f>IFERROR(VALUE(Table412[[#This Row],[MAT]]&amp;Table412[[#This Row],[X'#]]),IF(COUNTIF(Table412[[#This Row],[MAT]],"*M"),Table412[[#This Row],[MAT]]&amp;Table412[[#This Row],[X'#]],""))</f>
        <v>10266225</v>
      </c>
      <c r="T126" s="42">
        <v>125</v>
      </c>
      <c r="U126" s="2">
        <v>1144818</v>
      </c>
      <c r="V126" s="43" t="s">
        <v>3507</v>
      </c>
    </row>
    <row r="127" spans="1:22" x14ac:dyDescent="0.25">
      <c r="A127" s="37">
        <f t="shared" si="1"/>
        <v>3</v>
      </c>
      <c r="B127" s="37"/>
      <c r="C127" s="37">
        <v>8.5</v>
      </c>
      <c r="D127" s="37" t="s">
        <v>3508</v>
      </c>
      <c r="E127" s="37">
        <v>1086630</v>
      </c>
      <c r="F127" s="37">
        <v>1</v>
      </c>
      <c r="G127" s="37">
        <v>871781</v>
      </c>
      <c r="H127" s="48" t="str">
        <f>IFERROR(INDEX(Table14[],MATCH($G127,Table14[SAPNo],0),3),"")</f>
        <v>Round 1313 CT200  0.018" (B)</v>
      </c>
      <c r="I127" s="37">
        <v>3</v>
      </c>
      <c r="J127" s="37">
        <f>IF(Table412[[#This Row],[MAT]]&lt;&gt;"",COUNTIF(Table3[LEVEL 5 MAT NO.],Table412[[#This Row],[MAT]]),"")</f>
        <v>1</v>
      </c>
      <c r="K127" s="36">
        <f>IFERROR(INDEX(Table3[],MATCH($E127,Table3[LEVEL 5 MAT NO.],0),2),0)</f>
        <v>0</v>
      </c>
      <c r="L127" s="36">
        <f>Table412[[#This Row],[Quantity in BOM]]*Table412[[#This Row],[Freq]]</f>
        <v>0</v>
      </c>
      <c r="M127" s="36">
        <f>IF(Table412[[#This Row],[Exist]]=1,Table412[[#This Row],[MAT]],"")</f>
        <v>1086630</v>
      </c>
      <c r="N127" s="36">
        <f>IF(Table412[[#This Row],[Exist]]=1,Table412[[#This Row],[Component]],"")</f>
        <v>871781</v>
      </c>
      <c r="O127" s="36">
        <f>IFERROR(VALUE(Table412[[#This Row],[MAT]]&amp;Table412[[#This Row],[X'#]]),IF(COUNTIF(Table412[[#This Row],[MAT]],"*M"),Table412[[#This Row],[MAT]]&amp;Table412[[#This Row],[X'#]],""))</f>
        <v>10866301</v>
      </c>
      <c r="T127" s="42">
        <v>126</v>
      </c>
      <c r="U127" s="2">
        <v>1144820</v>
      </c>
      <c r="V127" s="43" t="s">
        <v>3509</v>
      </c>
    </row>
    <row r="128" spans="1:22" x14ac:dyDescent="0.25">
      <c r="A128" s="37">
        <f t="shared" si="1"/>
        <v>3</v>
      </c>
      <c r="B128" s="37"/>
      <c r="C128" s="37">
        <v>8.5</v>
      </c>
      <c r="D128" s="37" t="s">
        <v>3508</v>
      </c>
      <c r="E128" s="37">
        <v>1086630</v>
      </c>
      <c r="F128" s="37">
        <v>2</v>
      </c>
      <c r="G128" s="37">
        <v>729689</v>
      </c>
      <c r="H128" s="48" t="str">
        <f>IFERROR(INDEX(Table14[],MATCH($G128,Table14[SAPNo],0),3),"")</f>
        <v>Round 1313 CT82  0.018" (S)</v>
      </c>
      <c r="I128" s="37">
        <v>3</v>
      </c>
      <c r="J128" s="37">
        <f>IF(Table412[[#This Row],[MAT]]&lt;&gt;"",COUNTIF(Table3[LEVEL 5 MAT NO.],Table412[[#This Row],[MAT]]),"")</f>
        <v>1</v>
      </c>
      <c r="K128" s="36">
        <f>IFERROR(INDEX(Table3[],MATCH($E128,Table3[LEVEL 5 MAT NO.],0),2),0)</f>
        <v>0</v>
      </c>
      <c r="L128" s="36">
        <f>Table412[[#This Row],[Quantity in BOM]]*Table412[[#This Row],[Freq]]</f>
        <v>0</v>
      </c>
      <c r="M128" s="36">
        <f>IF(Table412[[#This Row],[Exist]]=1,Table412[[#This Row],[MAT]],"")</f>
        <v>1086630</v>
      </c>
      <c r="N128" s="36">
        <f>IF(Table412[[#This Row],[Exist]]=1,Table412[[#This Row],[Component]],"")</f>
        <v>729689</v>
      </c>
      <c r="O128" s="36">
        <f>IFERROR(VALUE(Table412[[#This Row],[MAT]]&amp;Table412[[#This Row],[X'#]]),IF(COUNTIF(Table412[[#This Row],[MAT]],"*M"),Table412[[#This Row],[MAT]]&amp;Table412[[#This Row],[X'#]],""))</f>
        <v>10866302</v>
      </c>
      <c r="T128" s="42">
        <v>127</v>
      </c>
      <c r="U128" s="2">
        <v>1144689</v>
      </c>
      <c r="V128" s="43" t="s">
        <v>4216</v>
      </c>
    </row>
    <row r="129" spans="1:22" x14ac:dyDescent="0.25">
      <c r="A129" s="37">
        <f t="shared" si="1"/>
        <v>3</v>
      </c>
      <c r="B129" s="37"/>
      <c r="C129" s="37">
        <v>8.5</v>
      </c>
      <c r="D129" s="37" t="s">
        <v>3508</v>
      </c>
      <c r="E129" s="37">
        <v>1086630</v>
      </c>
      <c r="F129" s="37">
        <v>3</v>
      </c>
      <c r="G129" s="37">
        <v>729691</v>
      </c>
      <c r="H129" s="48" t="str">
        <f>IFERROR(INDEX(Table14[],MATCH($G129,Table14[SAPNo],0),3),"")</f>
        <v>Round 1613 CT82  0.018" (S)</v>
      </c>
      <c r="I129" s="37">
        <v>28</v>
      </c>
      <c r="J129" s="37">
        <f>IF(Table412[[#This Row],[MAT]]&lt;&gt;"",COUNTIF(Table3[LEVEL 5 MAT NO.],Table412[[#This Row],[MAT]]),"")</f>
        <v>1</v>
      </c>
      <c r="K129" s="36">
        <f>IFERROR(INDEX(Table3[],MATCH($E129,Table3[LEVEL 5 MAT NO.],0),2),0)</f>
        <v>0</v>
      </c>
      <c r="L129" s="36">
        <f>Table412[[#This Row],[Quantity in BOM]]*Table412[[#This Row],[Freq]]</f>
        <v>0</v>
      </c>
      <c r="M129" s="36">
        <f>IF(Table412[[#This Row],[Exist]]=1,Table412[[#This Row],[MAT]],"")</f>
        <v>1086630</v>
      </c>
      <c r="N129" s="36">
        <f>IF(Table412[[#This Row],[Exist]]=1,Table412[[#This Row],[Component]],"")</f>
        <v>729691</v>
      </c>
      <c r="O129" s="36">
        <f>IFERROR(VALUE(Table412[[#This Row],[MAT]]&amp;Table412[[#This Row],[X'#]]),IF(COUNTIF(Table412[[#This Row],[MAT]],"*M"),Table412[[#This Row],[MAT]]&amp;Table412[[#This Row],[X'#]],""))</f>
        <v>10866303</v>
      </c>
      <c r="T129" s="42">
        <v>128</v>
      </c>
      <c r="U129" s="2">
        <v>1039035</v>
      </c>
      <c r="V129" s="43" t="s">
        <v>4217</v>
      </c>
    </row>
    <row r="130" spans="1:22" x14ac:dyDescent="0.25">
      <c r="A130" s="37">
        <f t="shared" si="1"/>
        <v>3</v>
      </c>
      <c r="B130" s="37"/>
      <c r="C130" s="37">
        <v>8.5</v>
      </c>
      <c r="D130" s="37" t="s">
        <v>3508</v>
      </c>
      <c r="E130" s="37">
        <v>1086630</v>
      </c>
      <c r="F130" s="37">
        <v>4</v>
      </c>
      <c r="G130" s="37">
        <v>418525</v>
      </c>
      <c r="H130" s="48" t="str">
        <f>IFERROR(INDEX(Table14[],MATCH($G130,Table14[SAPNo],0),3),"")</f>
        <v>Drop In 1308 CT31   (B)</v>
      </c>
      <c r="I130" s="37">
        <v>12</v>
      </c>
      <c r="J130" s="37">
        <f>IF(Table412[[#This Row],[MAT]]&lt;&gt;"",COUNTIF(Table3[LEVEL 5 MAT NO.],Table412[[#This Row],[MAT]]),"")</f>
        <v>1</v>
      </c>
      <c r="K130" s="36">
        <f>IFERROR(INDEX(Table3[],MATCH($E130,Table3[LEVEL 5 MAT NO.],0),2),0)</f>
        <v>0</v>
      </c>
      <c r="L130" s="36">
        <f>Table412[[#This Row],[Quantity in BOM]]*Table412[[#This Row],[Freq]]</f>
        <v>0</v>
      </c>
      <c r="M130" s="36">
        <f>IF(Table412[[#This Row],[Exist]]=1,Table412[[#This Row],[MAT]],"")</f>
        <v>1086630</v>
      </c>
      <c r="N130" s="36">
        <f>IF(Table412[[#This Row],[Exist]]=1,Table412[[#This Row],[Component]],"")</f>
        <v>418525</v>
      </c>
      <c r="O130" s="36">
        <f>IFERROR(VALUE(Table412[[#This Row],[MAT]]&amp;Table412[[#This Row],[X'#]]),IF(COUNTIF(Table412[[#This Row],[MAT]],"*M"),Table412[[#This Row],[MAT]]&amp;Table412[[#This Row],[X'#]],""))</f>
        <v>10866304</v>
      </c>
      <c r="T130" s="42">
        <v>129</v>
      </c>
      <c r="U130" s="2">
        <v>1104083</v>
      </c>
      <c r="V130" s="43" t="s">
        <v>4218</v>
      </c>
    </row>
    <row r="131" spans="1:22" x14ac:dyDescent="0.25">
      <c r="A131" s="37">
        <f t="shared" ref="A131:A194" si="2">A130+K130</f>
        <v>3</v>
      </c>
      <c r="B131" s="37"/>
      <c r="C131" s="37">
        <v>16</v>
      </c>
      <c r="D131" s="37" t="s">
        <v>766</v>
      </c>
      <c r="E131" s="37">
        <v>903299</v>
      </c>
      <c r="F131" s="37">
        <v>1</v>
      </c>
      <c r="G131" s="37">
        <v>418525</v>
      </c>
      <c r="H131" s="48" t="str">
        <f>IFERROR(INDEX(Table14[],MATCH($G131,Table14[SAPNo],0),3),"")</f>
        <v>Drop In 1308 CT31   (B)</v>
      </c>
      <c r="I131" s="37">
        <v>14</v>
      </c>
      <c r="J131" s="37">
        <f>IF(Table412[[#This Row],[MAT]]&lt;&gt;"",COUNTIF(Table3[LEVEL 5 MAT NO.],Table412[[#This Row],[MAT]]),"")</f>
        <v>0</v>
      </c>
      <c r="K131" s="36">
        <f>IFERROR(INDEX(Table3[],MATCH($E131,Table3[LEVEL 5 MAT NO.],0),2),0)</f>
        <v>0</v>
      </c>
      <c r="L131" s="36">
        <f>Table412[[#This Row],[Quantity in BOM]]*Table412[[#This Row],[Freq]]</f>
        <v>0</v>
      </c>
      <c r="M131" s="36" t="str">
        <f>IF(Table412[[#This Row],[Exist]]=1,Table412[[#This Row],[MAT]],"")</f>
        <v/>
      </c>
      <c r="N131" s="36" t="str">
        <f>IF(Table412[[#This Row],[Exist]]=1,Table412[[#This Row],[Component]],"")</f>
        <v/>
      </c>
      <c r="O131" s="36">
        <f>IFERROR(VALUE(Table412[[#This Row],[MAT]]&amp;Table412[[#This Row],[X'#]]),IF(COUNTIF(Table412[[#This Row],[MAT]],"*M"),Table412[[#This Row],[MAT]]&amp;Table412[[#This Row],[X'#]],""))</f>
        <v>9032991</v>
      </c>
      <c r="T131" s="42">
        <v>130</v>
      </c>
      <c r="U131" s="2">
        <v>1136984</v>
      </c>
      <c r="V131" s="43" t="s">
        <v>4219</v>
      </c>
    </row>
    <row r="132" spans="1:22" x14ac:dyDescent="0.25">
      <c r="A132" s="37">
        <f t="shared" si="2"/>
        <v>3</v>
      </c>
      <c r="B132" s="37"/>
      <c r="C132" s="37">
        <v>16</v>
      </c>
      <c r="D132" s="37" t="s">
        <v>766</v>
      </c>
      <c r="E132" s="37">
        <v>903299</v>
      </c>
      <c r="F132" s="37">
        <v>2</v>
      </c>
      <c r="G132" s="37">
        <v>729691</v>
      </c>
      <c r="H132" s="48" t="str">
        <f>IFERROR(INDEX(Table14[],MATCH($G132,Table14[SAPNo],0),3),"")</f>
        <v>Round 1613 CT82  0.018" (S)</v>
      </c>
      <c r="I132" s="37">
        <v>46</v>
      </c>
      <c r="J132" s="37">
        <f>IF(Table412[[#This Row],[MAT]]&lt;&gt;"",COUNTIF(Table3[LEVEL 5 MAT NO.],Table412[[#This Row],[MAT]]),"")</f>
        <v>0</v>
      </c>
      <c r="K132" s="36">
        <f>IFERROR(INDEX(Table3[],MATCH($E132,Table3[LEVEL 5 MAT NO.],0),2),0)</f>
        <v>0</v>
      </c>
      <c r="L132" s="36">
        <f>Table412[[#This Row],[Quantity in BOM]]*Table412[[#This Row],[Freq]]</f>
        <v>0</v>
      </c>
      <c r="M132" s="36" t="str">
        <f>IF(Table412[[#This Row],[Exist]]=1,Table412[[#This Row],[MAT]],"")</f>
        <v/>
      </c>
      <c r="N132" s="36" t="str">
        <f>IF(Table412[[#This Row],[Exist]]=1,Table412[[#This Row],[Component]],"")</f>
        <v/>
      </c>
      <c r="O132" s="36">
        <f>IFERROR(VALUE(Table412[[#This Row],[MAT]]&amp;Table412[[#This Row],[X'#]]),IF(COUNTIF(Table412[[#This Row],[MAT]],"*M"),Table412[[#This Row],[MAT]]&amp;Table412[[#This Row],[X'#]],""))</f>
        <v>9032992</v>
      </c>
      <c r="T132" s="42">
        <v>131</v>
      </c>
      <c r="U132" s="2">
        <v>1039029</v>
      </c>
      <c r="V132" s="43" t="s">
        <v>4220</v>
      </c>
    </row>
    <row r="133" spans="1:22" x14ac:dyDescent="0.25">
      <c r="A133" s="37">
        <f t="shared" si="2"/>
        <v>3</v>
      </c>
      <c r="B133" s="37"/>
      <c r="C133" s="37">
        <v>16</v>
      </c>
      <c r="D133" s="37" t="s">
        <v>766</v>
      </c>
      <c r="E133" s="37">
        <v>903299</v>
      </c>
      <c r="F133" s="37">
        <v>3</v>
      </c>
      <c r="G133" s="37">
        <v>761246</v>
      </c>
      <c r="H133" s="48" t="str">
        <f>IFERROR(INDEX(Table14[],MATCH($G133,Table14[SAPNo],0),3),"")</f>
        <v>Long Bullet 16 CT80 LBL 0.018" (B)</v>
      </c>
      <c r="I133" s="37">
        <v>10</v>
      </c>
      <c r="J133" s="37">
        <f>IF(Table412[[#This Row],[MAT]]&lt;&gt;"",COUNTIF(Table3[LEVEL 5 MAT NO.],Table412[[#This Row],[MAT]]),"")</f>
        <v>0</v>
      </c>
      <c r="K133" s="36">
        <f>IFERROR(INDEX(Table3[],MATCH($E133,Table3[LEVEL 5 MAT NO.],0),2),0)</f>
        <v>0</v>
      </c>
      <c r="L133" s="36">
        <f>Table412[[#This Row],[Quantity in BOM]]*Table412[[#This Row],[Freq]]</f>
        <v>0</v>
      </c>
      <c r="M133" s="36" t="str">
        <f>IF(Table412[[#This Row],[Exist]]=1,Table412[[#This Row],[MAT]],"")</f>
        <v/>
      </c>
      <c r="N133" s="36" t="str">
        <f>IF(Table412[[#This Row],[Exist]]=1,Table412[[#This Row],[Component]],"")</f>
        <v/>
      </c>
      <c r="O133" s="36">
        <f>IFERROR(VALUE(Table412[[#This Row],[MAT]]&amp;Table412[[#This Row],[X'#]]),IF(COUNTIF(Table412[[#This Row],[MAT]],"*M"),Table412[[#This Row],[MAT]]&amp;Table412[[#This Row],[X'#]],""))</f>
        <v>9032993</v>
      </c>
      <c r="T133" s="42">
        <v>132</v>
      </c>
      <c r="U133" s="2">
        <v>976348</v>
      </c>
      <c r="V133" s="43" t="s">
        <v>4221</v>
      </c>
    </row>
    <row r="134" spans="1:22" x14ac:dyDescent="0.25">
      <c r="A134" s="37">
        <f t="shared" si="2"/>
        <v>3</v>
      </c>
      <c r="B134" s="37"/>
      <c r="C134" s="37">
        <v>16</v>
      </c>
      <c r="D134" s="37" t="s">
        <v>766</v>
      </c>
      <c r="E134" s="37">
        <v>903299</v>
      </c>
      <c r="F134" s="37">
        <v>4</v>
      </c>
      <c r="G134" s="37">
        <v>770450</v>
      </c>
      <c r="H134" s="48" t="str">
        <f>IFERROR(INDEX(Table14[],MATCH($G134,Table14[SAPNo],0),3),"")</f>
        <v>Short Bullet 16 CT80 SBL 0.018" (B)</v>
      </c>
      <c r="I134" s="37">
        <v>13</v>
      </c>
      <c r="J134" s="37">
        <f>IF(Table412[[#This Row],[MAT]]&lt;&gt;"",COUNTIF(Table3[LEVEL 5 MAT NO.],Table412[[#This Row],[MAT]]),"")</f>
        <v>0</v>
      </c>
      <c r="K134" s="36">
        <f>IFERROR(INDEX(Table3[],MATCH($E134,Table3[LEVEL 5 MAT NO.],0),2),0)</f>
        <v>0</v>
      </c>
      <c r="L134" s="36">
        <f>Table412[[#This Row],[Quantity in BOM]]*Table412[[#This Row],[Freq]]</f>
        <v>0</v>
      </c>
      <c r="M134" s="36" t="str">
        <f>IF(Table412[[#This Row],[Exist]]=1,Table412[[#This Row],[MAT]],"")</f>
        <v/>
      </c>
      <c r="N134" s="36" t="str">
        <f>IF(Table412[[#This Row],[Exist]]=1,Table412[[#This Row],[Component]],"")</f>
        <v/>
      </c>
      <c r="O134" s="36">
        <f>IFERROR(VALUE(Table412[[#This Row],[MAT]]&amp;Table412[[#This Row],[X'#]]),IF(COUNTIF(Table412[[#This Row],[MAT]],"*M"),Table412[[#This Row],[MAT]]&amp;Table412[[#This Row],[X'#]],""))</f>
        <v>9032994</v>
      </c>
      <c r="T134" s="42">
        <v>133</v>
      </c>
      <c r="U134" s="2">
        <v>409593</v>
      </c>
      <c r="V134" s="43" t="s">
        <v>4222</v>
      </c>
    </row>
    <row r="135" spans="1:22" x14ac:dyDescent="0.25">
      <c r="A135" s="37">
        <f t="shared" si="2"/>
        <v>3</v>
      </c>
      <c r="B135" s="37"/>
      <c r="C135" s="37">
        <v>16</v>
      </c>
      <c r="D135" s="37" t="s">
        <v>766</v>
      </c>
      <c r="E135" s="37">
        <v>903299</v>
      </c>
      <c r="F135" s="37">
        <v>5</v>
      </c>
      <c r="G135" s="37">
        <v>774371</v>
      </c>
      <c r="H135" s="48" t="str">
        <f>IFERROR(INDEX(Table14[],MATCH($G135,Table14[SAPNo],0),3),"")</f>
        <v>Short Bullet 13 CT80 SBL 0.018" (B)</v>
      </c>
      <c r="I135" s="37">
        <v>39</v>
      </c>
      <c r="J135" s="37">
        <f>IF(Table412[[#This Row],[MAT]]&lt;&gt;"",COUNTIF(Table3[LEVEL 5 MAT NO.],Table412[[#This Row],[MAT]]),"")</f>
        <v>0</v>
      </c>
      <c r="K135" s="36">
        <f>IFERROR(INDEX(Table3[],MATCH($E135,Table3[LEVEL 5 MAT NO.],0),2),0)</f>
        <v>0</v>
      </c>
      <c r="L135" s="36">
        <f>Table412[[#This Row],[Quantity in BOM]]*Table412[[#This Row],[Freq]]</f>
        <v>0</v>
      </c>
      <c r="M135" s="36" t="str">
        <f>IF(Table412[[#This Row],[Exist]]=1,Table412[[#This Row],[MAT]],"")</f>
        <v/>
      </c>
      <c r="N135" s="36" t="str">
        <f>IF(Table412[[#This Row],[Exist]]=1,Table412[[#This Row],[Component]],"")</f>
        <v/>
      </c>
      <c r="O135" s="36">
        <f>IFERROR(VALUE(Table412[[#This Row],[MAT]]&amp;Table412[[#This Row],[X'#]]),IF(COUNTIF(Table412[[#This Row],[MAT]],"*M"),Table412[[#This Row],[MAT]]&amp;Table412[[#This Row],[X'#]],""))</f>
        <v>9032995</v>
      </c>
      <c r="T135" s="42">
        <v>134</v>
      </c>
      <c r="U135" s="2">
        <v>397470</v>
      </c>
      <c r="V135" s="43" t="s">
        <v>4223</v>
      </c>
    </row>
    <row r="136" spans="1:22" x14ac:dyDescent="0.25">
      <c r="A136" s="37">
        <f t="shared" si="2"/>
        <v>3</v>
      </c>
      <c r="B136" s="37"/>
      <c r="C136" s="37">
        <v>16</v>
      </c>
      <c r="D136" s="37" t="s">
        <v>766</v>
      </c>
      <c r="E136" s="37">
        <v>903299</v>
      </c>
      <c r="F136" s="37">
        <v>6</v>
      </c>
      <c r="G136" s="37">
        <v>179733</v>
      </c>
      <c r="H136" s="48" t="str">
        <f>IFERROR(INDEX(Table14[],MATCH($G136,Table14[SAPNo],0),3),"")</f>
        <v>Short IA 13    (C)</v>
      </c>
      <c r="I136" s="37">
        <v>23</v>
      </c>
      <c r="J136" s="37">
        <f>IF(Table412[[#This Row],[MAT]]&lt;&gt;"",COUNTIF(Table3[LEVEL 5 MAT NO.],Table412[[#This Row],[MAT]]),"")</f>
        <v>0</v>
      </c>
      <c r="K136" s="36">
        <f>IFERROR(INDEX(Table3[],MATCH($E136,Table3[LEVEL 5 MAT NO.],0),2),0)</f>
        <v>0</v>
      </c>
      <c r="L136" s="36">
        <f>Table412[[#This Row],[Quantity in BOM]]*Table412[[#This Row],[Freq]]</f>
        <v>0</v>
      </c>
      <c r="M136" s="36" t="str">
        <f>IF(Table412[[#This Row],[Exist]]=1,Table412[[#This Row],[MAT]],"")</f>
        <v/>
      </c>
      <c r="N136" s="36" t="str">
        <f>IF(Table412[[#This Row],[Exist]]=1,Table412[[#This Row],[Component]],"")</f>
        <v/>
      </c>
      <c r="O136" s="36">
        <f>IFERROR(VALUE(Table412[[#This Row],[MAT]]&amp;Table412[[#This Row],[X'#]]),IF(COUNTIF(Table412[[#This Row],[MAT]],"*M"),Table412[[#This Row],[MAT]]&amp;Table412[[#This Row],[X'#]],""))</f>
        <v>9032996</v>
      </c>
      <c r="T136" s="42">
        <v>135</v>
      </c>
      <c r="U136" s="2">
        <v>1145493</v>
      </c>
      <c r="V136" s="43" t="s">
        <v>4178</v>
      </c>
    </row>
    <row r="137" spans="1:22" x14ac:dyDescent="0.25">
      <c r="A137" s="37">
        <f t="shared" si="2"/>
        <v>3</v>
      </c>
      <c r="B137" s="37"/>
      <c r="C137" s="37">
        <v>16</v>
      </c>
      <c r="D137" s="37" t="s">
        <v>766</v>
      </c>
      <c r="E137" s="37">
        <v>903299</v>
      </c>
      <c r="F137" s="37">
        <v>7</v>
      </c>
      <c r="G137" s="37">
        <v>410851</v>
      </c>
      <c r="H137" s="48" t="str">
        <f>IFERROR(INDEX(Table14[],MATCH($G137,Table14[SAPNo],0),3),"")</f>
        <v>PDC Dome 1308 CT31   (B)</v>
      </c>
      <c r="I137" s="37">
        <v>42</v>
      </c>
      <c r="J137" s="37">
        <f>IF(Table412[[#This Row],[MAT]]&lt;&gt;"",COUNTIF(Table3[LEVEL 5 MAT NO.],Table412[[#This Row],[MAT]]),"")</f>
        <v>0</v>
      </c>
      <c r="K137" s="36">
        <f>IFERROR(INDEX(Table3[],MATCH($E137,Table3[LEVEL 5 MAT NO.],0),2),0)</f>
        <v>0</v>
      </c>
      <c r="L137" s="36">
        <f>Table412[[#This Row],[Quantity in BOM]]*Table412[[#This Row],[Freq]]</f>
        <v>0</v>
      </c>
      <c r="M137" s="36" t="str">
        <f>IF(Table412[[#This Row],[Exist]]=1,Table412[[#This Row],[MAT]],"")</f>
        <v/>
      </c>
      <c r="N137" s="36" t="str">
        <f>IF(Table412[[#This Row],[Exist]]=1,Table412[[#This Row],[Component]],"")</f>
        <v/>
      </c>
      <c r="O137" s="36">
        <f>IFERROR(VALUE(Table412[[#This Row],[MAT]]&amp;Table412[[#This Row],[X'#]]),IF(COUNTIF(Table412[[#This Row],[MAT]],"*M"),Table412[[#This Row],[MAT]]&amp;Table412[[#This Row],[X'#]],""))</f>
        <v>9032997</v>
      </c>
      <c r="T137" s="42">
        <v>136</v>
      </c>
      <c r="U137" s="2">
        <v>1050785</v>
      </c>
      <c r="V137" s="43" t="s">
        <v>4224</v>
      </c>
    </row>
    <row r="138" spans="1:22" x14ac:dyDescent="0.25">
      <c r="A138" s="37">
        <f t="shared" si="2"/>
        <v>3</v>
      </c>
      <c r="B138" s="37"/>
      <c r="C138" s="37">
        <v>16</v>
      </c>
      <c r="D138" s="37" t="s">
        <v>3510</v>
      </c>
      <c r="E138" s="37">
        <v>757448</v>
      </c>
      <c r="F138" s="37">
        <v>1</v>
      </c>
      <c r="G138" s="37">
        <v>418525</v>
      </c>
      <c r="H138" s="48" t="str">
        <f>IFERROR(INDEX(Table14[],MATCH($G138,Table14[SAPNo],0),3),"")</f>
        <v>Drop In 1308 CT31   (B)</v>
      </c>
      <c r="I138" s="37">
        <v>16</v>
      </c>
      <c r="J138" s="37">
        <f>IF(Table412[[#This Row],[MAT]]&lt;&gt;"",COUNTIF(Table3[LEVEL 5 MAT NO.],Table412[[#This Row],[MAT]]),"")</f>
        <v>0</v>
      </c>
      <c r="K138" s="36">
        <f>IFERROR(INDEX(Table3[],MATCH($E138,Table3[LEVEL 5 MAT NO.],0),2),0)</f>
        <v>0</v>
      </c>
      <c r="L138" s="36">
        <f>Table412[[#This Row],[Quantity in BOM]]*Table412[[#This Row],[Freq]]</f>
        <v>0</v>
      </c>
      <c r="M138" s="36" t="str">
        <f>IF(Table412[[#This Row],[Exist]]=1,Table412[[#This Row],[MAT]],"")</f>
        <v/>
      </c>
      <c r="N138" s="36" t="str">
        <f>IF(Table412[[#This Row],[Exist]]=1,Table412[[#This Row],[Component]],"")</f>
        <v/>
      </c>
      <c r="O138" s="36">
        <f>IFERROR(VALUE(Table412[[#This Row],[MAT]]&amp;Table412[[#This Row],[X'#]]),IF(COUNTIF(Table412[[#This Row],[MAT]],"*M"),Table412[[#This Row],[MAT]]&amp;Table412[[#This Row],[X'#]],""))</f>
        <v>7574481</v>
      </c>
      <c r="T138" s="42">
        <v>137</v>
      </c>
      <c r="U138" s="2">
        <v>874583</v>
      </c>
      <c r="V138" s="43" t="s">
        <v>4225</v>
      </c>
    </row>
    <row r="139" spans="1:22" x14ac:dyDescent="0.25">
      <c r="A139" s="37">
        <f t="shared" si="2"/>
        <v>3</v>
      </c>
      <c r="B139" s="37"/>
      <c r="C139" s="37">
        <v>16</v>
      </c>
      <c r="D139" s="37" t="s">
        <v>3510</v>
      </c>
      <c r="E139" s="37">
        <v>757448</v>
      </c>
      <c r="F139" s="37">
        <v>2</v>
      </c>
      <c r="G139" s="37">
        <v>729691</v>
      </c>
      <c r="H139" s="48" t="str">
        <f>IFERROR(INDEX(Table14[],MATCH($G139,Table14[SAPNo],0),3),"")</f>
        <v>Round 1613 CT82  0.018" (S)</v>
      </c>
      <c r="I139" s="37">
        <v>137</v>
      </c>
      <c r="J139" s="37">
        <f>IF(Table412[[#This Row],[MAT]]&lt;&gt;"",COUNTIF(Table3[LEVEL 5 MAT NO.],Table412[[#This Row],[MAT]]),"")</f>
        <v>0</v>
      </c>
      <c r="K139" s="36">
        <f>IFERROR(INDEX(Table3[],MATCH($E139,Table3[LEVEL 5 MAT NO.],0),2),0)</f>
        <v>0</v>
      </c>
      <c r="L139" s="36">
        <f>Table412[[#This Row],[Quantity in BOM]]*Table412[[#This Row],[Freq]]</f>
        <v>0</v>
      </c>
      <c r="M139" s="36" t="str">
        <f>IF(Table412[[#This Row],[Exist]]=1,Table412[[#This Row],[MAT]],"")</f>
        <v/>
      </c>
      <c r="N139" s="36" t="str">
        <f>IF(Table412[[#This Row],[Exist]]=1,Table412[[#This Row],[Component]],"")</f>
        <v/>
      </c>
      <c r="O139" s="36">
        <f>IFERROR(VALUE(Table412[[#This Row],[MAT]]&amp;Table412[[#This Row],[X'#]]),IF(COUNTIF(Table412[[#This Row],[MAT]],"*M"),Table412[[#This Row],[MAT]]&amp;Table412[[#This Row],[X'#]],""))</f>
        <v>7574482</v>
      </c>
      <c r="T139" s="42">
        <v>138</v>
      </c>
      <c r="U139" s="2">
        <v>1014950</v>
      </c>
      <c r="V139" s="43" t="s">
        <v>4226</v>
      </c>
    </row>
    <row r="140" spans="1:22" x14ac:dyDescent="0.25">
      <c r="A140" s="37">
        <f t="shared" si="2"/>
        <v>3</v>
      </c>
      <c r="B140" s="37"/>
      <c r="C140" s="37">
        <v>12.25</v>
      </c>
      <c r="D140" s="37" t="s">
        <v>3511</v>
      </c>
      <c r="E140" s="37">
        <v>1093745</v>
      </c>
      <c r="F140" s="37">
        <v>1</v>
      </c>
      <c r="G140" s="37">
        <v>418525</v>
      </c>
      <c r="H140" s="48" t="str">
        <f>IFERROR(INDEX(Table14[],MATCH($G140,Table14[SAPNo],0),3),"")</f>
        <v>Drop In 1308 CT31   (B)</v>
      </c>
      <c r="I140" s="37">
        <v>3</v>
      </c>
      <c r="J140" s="37">
        <f>IF(Table412[[#This Row],[MAT]]&lt;&gt;"",COUNTIF(Table3[LEVEL 5 MAT NO.],Table412[[#This Row],[MAT]]),"")</f>
        <v>0</v>
      </c>
      <c r="K140" s="36">
        <f>IFERROR(INDEX(Table3[],MATCH($E140,Table3[LEVEL 5 MAT NO.],0),2),0)</f>
        <v>0</v>
      </c>
      <c r="L140" s="36">
        <f>Table412[[#This Row],[Quantity in BOM]]*Table412[[#This Row],[Freq]]</f>
        <v>0</v>
      </c>
      <c r="M140" s="36" t="str">
        <f>IF(Table412[[#This Row],[Exist]]=1,Table412[[#This Row],[MAT]],"")</f>
        <v/>
      </c>
      <c r="N140" s="36" t="str">
        <f>IF(Table412[[#This Row],[Exist]]=1,Table412[[#This Row],[Component]],"")</f>
        <v/>
      </c>
      <c r="O140" s="36">
        <f>IFERROR(VALUE(Table412[[#This Row],[MAT]]&amp;Table412[[#This Row],[X'#]]),IF(COUNTIF(Table412[[#This Row],[MAT]],"*M"),Table412[[#This Row],[MAT]]&amp;Table412[[#This Row],[X'#]],""))</f>
        <v>10937451</v>
      </c>
      <c r="T140" s="42">
        <v>139</v>
      </c>
      <c r="U140" s="2">
        <v>1118470</v>
      </c>
      <c r="V140" s="43" t="s">
        <v>4227</v>
      </c>
    </row>
    <row r="141" spans="1:22" x14ac:dyDescent="0.25">
      <c r="A141" s="37">
        <f t="shared" si="2"/>
        <v>3</v>
      </c>
      <c r="B141" s="37"/>
      <c r="C141" s="37">
        <v>12.25</v>
      </c>
      <c r="D141" s="37" t="s">
        <v>3511</v>
      </c>
      <c r="E141" s="37">
        <v>1093745</v>
      </c>
      <c r="F141" s="37">
        <v>2</v>
      </c>
      <c r="G141" s="37">
        <v>871781</v>
      </c>
      <c r="H141" s="48" t="str">
        <f>IFERROR(INDEX(Table14[],MATCH($G141,Table14[SAPNo],0),3),"")</f>
        <v>Round 1313 CT200  0.018" (B)</v>
      </c>
      <c r="I141" s="37">
        <v>4</v>
      </c>
      <c r="J141" s="37">
        <f>IF(Table412[[#This Row],[MAT]]&lt;&gt;"",COUNTIF(Table3[LEVEL 5 MAT NO.],Table412[[#This Row],[MAT]]),"")</f>
        <v>0</v>
      </c>
      <c r="K141" s="36">
        <f>IFERROR(INDEX(Table3[],MATCH($E141,Table3[LEVEL 5 MAT NO.],0),2),0)</f>
        <v>0</v>
      </c>
      <c r="L141" s="36">
        <f>Table412[[#This Row],[Quantity in BOM]]*Table412[[#This Row],[Freq]]</f>
        <v>0</v>
      </c>
      <c r="M141" s="36" t="str">
        <f>IF(Table412[[#This Row],[Exist]]=1,Table412[[#This Row],[MAT]],"")</f>
        <v/>
      </c>
      <c r="N141" s="36" t="str">
        <f>IF(Table412[[#This Row],[Exist]]=1,Table412[[#This Row],[Component]],"")</f>
        <v/>
      </c>
      <c r="O141" s="36">
        <f>IFERROR(VALUE(Table412[[#This Row],[MAT]]&amp;Table412[[#This Row],[X'#]]),IF(COUNTIF(Table412[[#This Row],[MAT]],"*M"),Table412[[#This Row],[MAT]]&amp;Table412[[#This Row],[X'#]],""))</f>
        <v>10937452</v>
      </c>
      <c r="T141" s="42">
        <v>140</v>
      </c>
      <c r="U141" s="2">
        <v>1118517</v>
      </c>
      <c r="V141" s="43" t="s">
        <v>4228</v>
      </c>
    </row>
    <row r="142" spans="1:22" x14ac:dyDescent="0.25">
      <c r="A142" s="37">
        <f t="shared" si="2"/>
        <v>3</v>
      </c>
      <c r="B142" s="37"/>
      <c r="C142" s="37">
        <v>12.25</v>
      </c>
      <c r="D142" s="37" t="s">
        <v>3511</v>
      </c>
      <c r="E142" s="37">
        <v>1093745</v>
      </c>
      <c r="F142" s="37">
        <v>3</v>
      </c>
      <c r="G142" s="37">
        <v>983152</v>
      </c>
      <c r="H142" s="48" t="str">
        <f>IFERROR(INDEX(Table14[],MATCH($G142,Table14[SAPNo],0),3),"")</f>
        <v>Round 1913 CT216  0.018" (S)</v>
      </c>
      <c r="I142" s="37">
        <v>32</v>
      </c>
      <c r="J142" s="37">
        <f>IF(Table412[[#This Row],[MAT]]&lt;&gt;"",COUNTIF(Table3[LEVEL 5 MAT NO.],Table412[[#This Row],[MAT]]),"")</f>
        <v>0</v>
      </c>
      <c r="K142" s="36">
        <f>IFERROR(INDEX(Table3[],MATCH($E142,Table3[LEVEL 5 MAT NO.],0),2),0)</f>
        <v>0</v>
      </c>
      <c r="L142" s="36">
        <f>Table412[[#This Row],[Quantity in BOM]]*Table412[[#This Row],[Freq]]</f>
        <v>0</v>
      </c>
      <c r="M142" s="36" t="str">
        <f>IF(Table412[[#This Row],[Exist]]=1,Table412[[#This Row],[MAT]],"")</f>
        <v/>
      </c>
      <c r="N142" s="36" t="str">
        <f>IF(Table412[[#This Row],[Exist]]=1,Table412[[#This Row],[Component]],"")</f>
        <v/>
      </c>
      <c r="O142" s="36">
        <f>IFERROR(VALUE(Table412[[#This Row],[MAT]]&amp;Table412[[#This Row],[X'#]]),IF(COUNTIF(Table412[[#This Row],[MAT]],"*M"),Table412[[#This Row],[MAT]]&amp;Table412[[#This Row],[X'#]],""))</f>
        <v>10937453</v>
      </c>
      <c r="T142" s="42">
        <v>141</v>
      </c>
      <c r="U142" s="2">
        <v>1123324</v>
      </c>
      <c r="V142" s="43" t="s">
        <v>4229</v>
      </c>
    </row>
    <row r="143" spans="1:22" x14ac:dyDescent="0.25">
      <c r="A143" s="37">
        <f t="shared" si="2"/>
        <v>3</v>
      </c>
      <c r="B143" s="37"/>
      <c r="C143" s="37">
        <v>12.25</v>
      </c>
      <c r="D143" s="37" t="s">
        <v>3511</v>
      </c>
      <c r="E143" s="37">
        <v>1093745</v>
      </c>
      <c r="F143" s="37">
        <v>4</v>
      </c>
      <c r="G143" s="37">
        <v>983150</v>
      </c>
      <c r="H143" s="48" t="str">
        <f>IFERROR(INDEX(Table14[],MATCH($G143,Table14[SAPNo],0),3),"")</f>
        <v>Round 1613 CT216  0.018" (S)</v>
      </c>
      <c r="I143" s="37">
        <v>9</v>
      </c>
      <c r="J143" s="37">
        <f>IF(Table412[[#This Row],[MAT]]&lt;&gt;"",COUNTIF(Table3[LEVEL 5 MAT NO.],Table412[[#This Row],[MAT]]),"")</f>
        <v>0</v>
      </c>
      <c r="K143" s="36">
        <f>IFERROR(INDEX(Table3[],MATCH($E143,Table3[LEVEL 5 MAT NO.],0),2),0)</f>
        <v>0</v>
      </c>
      <c r="L143" s="36">
        <f>Table412[[#This Row],[Quantity in BOM]]*Table412[[#This Row],[Freq]]</f>
        <v>0</v>
      </c>
      <c r="M143" s="36" t="str">
        <f>IF(Table412[[#This Row],[Exist]]=1,Table412[[#This Row],[MAT]],"")</f>
        <v/>
      </c>
      <c r="N143" s="36" t="str">
        <f>IF(Table412[[#This Row],[Exist]]=1,Table412[[#This Row],[Component]],"")</f>
        <v/>
      </c>
      <c r="O143" s="36">
        <f>IFERROR(VALUE(Table412[[#This Row],[MAT]]&amp;Table412[[#This Row],[X'#]]),IF(COUNTIF(Table412[[#This Row],[MAT]],"*M"),Table412[[#This Row],[MAT]]&amp;Table412[[#This Row],[X'#]],""))</f>
        <v>10937454</v>
      </c>
      <c r="T143" s="42">
        <v>142</v>
      </c>
      <c r="U143" s="2">
        <v>1137793</v>
      </c>
      <c r="V143" s="43" t="s">
        <v>4230</v>
      </c>
    </row>
    <row r="144" spans="1:22" x14ac:dyDescent="0.25">
      <c r="A144" s="37">
        <f t="shared" si="2"/>
        <v>3</v>
      </c>
      <c r="B144" s="37"/>
      <c r="C144" s="37">
        <v>12.25</v>
      </c>
      <c r="D144" s="37" t="s">
        <v>3511</v>
      </c>
      <c r="E144" s="37">
        <v>1093745</v>
      </c>
      <c r="F144" s="37">
        <v>5</v>
      </c>
      <c r="G144" s="37">
        <v>983096</v>
      </c>
      <c r="H144" s="48" t="str">
        <f>IFERROR(INDEX(Table14[],MATCH($G144,Table14[SAPNo],0),3),"")</f>
        <v>Round 1313 CT216  0.018" (S)</v>
      </c>
      <c r="I144" s="37">
        <v>12</v>
      </c>
      <c r="J144" s="37">
        <f>IF(Table412[[#This Row],[MAT]]&lt;&gt;"",COUNTIF(Table3[LEVEL 5 MAT NO.],Table412[[#This Row],[MAT]]),"")</f>
        <v>0</v>
      </c>
      <c r="K144" s="36">
        <f>IFERROR(INDEX(Table3[],MATCH($E144,Table3[LEVEL 5 MAT NO.],0),2),0)</f>
        <v>0</v>
      </c>
      <c r="L144" s="36">
        <f>Table412[[#This Row],[Quantity in BOM]]*Table412[[#This Row],[Freq]]</f>
        <v>0</v>
      </c>
      <c r="M144" s="36" t="str">
        <f>IF(Table412[[#This Row],[Exist]]=1,Table412[[#This Row],[MAT]],"")</f>
        <v/>
      </c>
      <c r="N144" s="36" t="str">
        <f>IF(Table412[[#This Row],[Exist]]=1,Table412[[#This Row],[Component]],"")</f>
        <v/>
      </c>
      <c r="O144" s="36">
        <f>IFERROR(VALUE(Table412[[#This Row],[MAT]]&amp;Table412[[#This Row],[X'#]]),IF(COUNTIF(Table412[[#This Row],[MAT]],"*M"),Table412[[#This Row],[MAT]]&amp;Table412[[#This Row],[X'#]],""))</f>
        <v>10937455</v>
      </c>
      <c r="T144" s="42">
        <v>143</v>
      </c>
      <c r="U144" s="2">
        <v>1104744</v>
      </c>
      <c r="V144" s="43" t="s">
        <v>3512</v>
      </c>
    </row>
    <row r="145" spans="1:22" x14ac:dyDescent="0.25">
      <c r="A145" s="37">
        <f t="shared" si="2"/>
        <v>3</v>
      </c>
      <c r="C145" s="36">
        <v>12.25</v>
      </c>
      <c r="D145" s="37" t="s">
        <v>3513</v>
      </c>
      <c r="E145" s="36">
        <v>1093876</v>
      </c>
      <c r="F145" s="36">
        <v>1</v>
      </c>
      <c r="G145" s="36">
        <v>418525</v>
      </c>
      <c r="H145" s="48" t="str">
        <f>IFERROR(INDEX(Table14[],MATCH($G145,Table14[SAPNo],0),3),"")</f>
        <v>Drop In 1308 CT31   (B)</v>
      </c>
      <c r="I145" s="37">
        <v>3</v>
      </c>
      <c r="J145" s="37">
        <f>IF(Table412[[#This Row],[MAT]]&lt;&gt;"",COUNTIF(Table3[LEVEL 5 MAT NO.],Table412[[#This Row],[MAT]]),"")</f>
        <v>0</v>
      </c>
      <c r="K145" s="36">
        <f>IFERROR(INDEX(Table3[],MATCH($E145,Table3[LEVEL 5 MAT NO.],0),2),0)</f>
        <v>0</v>
      </c>
      <c r="L145" s="36">
        <f>Table412[[#This Row],[Quantity in BOM]]*Table412[[#This Row],[Freq]]</f>
        <v>0</v>
      </c>
      <c r="M145" s="36" t="str">
        <f>IF(Table412[[#This Row],[Exist]]=1,Table412[[#This Row],[MAT]],"")</f>
        <v/>
      </c>
      <c r="N145" s="36" t="str">
        <f>IF(Table412[[#This Row],[Exist]]=1,Table412[[#This Row],[Component]],"")</f>
        <v/>
      </c>
      <c r="O145" s="36">
        <f>IFERROR(VALUE(Table412[[#This Row],[MAT]]&amp;Table412[[#This Row],[X'#]]),IF(COUNTIF(Table412[[#This Row],[MAT]],"*M"),Table412[[#This Row],[MAT]]&amp;Table412[[#This Row],[X'#]],""))</f>
        <v>10938761</v>
      </c>
      <c r="T145" s="42">
        <v>144</v>
      </c>
      <c r="U145" s="2">
        <v>643738</v>
      </c>
      <c r="V145" s="43" t="s">
        <v>3514</v>
      </c>
    </row>
    <row r="146" spans="1:22" x14ac:dyDescent="0.25">
      <c r="A146" s="37">
        <f t="shared" si="2"/>
        <v>3</v>
      </c>
      <c r="C146" s="36">
        <v>12.25</v>
      </c>
      <c r="D146" s="36" t="s">
        <v>3513</v>
      </c>
      <c r="E146" s="36">
        <v>1093876</v>
      </c>
      <c r="F146" s="36">
        <v>2</v>
      </c>
      <c r="G146" s="36">
        <v>871781</v>
      </c>
      <c r="H146" s="48" t="str">
        <f>IFERROR(INDEX(Table14[],MATCH($G146,Table14[SAPNo],0),3),"")</f>
        <v>Round 1313 CT200  0.018" (B)</v>
      </c>
      <c r="I146" s="37">
        <v>3</v>
      </c>
      <c r="J146" s="37">
        <f>IF(Table412[[#This Row],[MAT]]&lt;&gt;"",COUNTIF(Table3[LEVEL 5 MAT NO.],Table412[[#This Row],[MAT]]),"")</f>
        <v>0</v>
      </c>
      <c r="K146" s="36">
        <f>IFERROR(INDEX(Table3[],MATCH($E146,Table3[LEVEL 5 MAT NO.],0),2),0)</f>
        <v>0</v>
      </c>
      <c r="L146" s="36">
        <f>Table412[[#This Row],[Quantity in BOM]]*Table412[[#This Row],[Freq]]</f>
        <v>0</v>
      </c>
      <c r="M146" s="36" t="str">
        <f>IF(Table412[[#This Row],[Exist]]=1,Table412[[#This Row],[MAT]],"")</f>
        <v/>
      </c>
      <c r="N146" s="36" t="str">
        <f>IF(Table412[[#This Row],[Exist]]=1,Table412[[#This Row],[Component]],"")</f>
        <v/>
      </c>
      <c r="O146" s="36">
        <f>IFERROR(VALUE(Table412[[#This Row],[MAT]]&amp;Table412[[#This Row],[X'#]]),IF(COUNTIF(Table412[[#This Row],[MAT]],"*M"),Table412[[#This Row],[MAT]]&amp;Table412[[#This Row],[X'#]],""))</f>
        <v>10938762</v>
      </c>
      <c r="T146" s="42">
        <v>145</v>
      </c>
      <c r="U146" s="2">
        <v>1130219</v>
      </c>
      <c r="V146" s="43" t="s">
        <v>4231</v>
      </c>
    </row>
    <row r="147" spans="1:22" x14ac:dyDescent="0.25">
      <c r="A147" s="37">
        <f t="shared" si="2"/>
        <v>3</v>
      </c>
      <c r="C147" s="36">
        <v>12.25</v>
      </c>
      <c r="D147" s="36" t="s">
        <v>3513</v>
      </c>
      <c r="E147" s="36">
        <v>1093876</v>
      </c>
      <c r="F147" s="36">
        <v>3</v>
      </c>
      <c r="G147" s="36">
        <v>744015</v>
      </c>
      <c r="H147" s="48" t="str">
        <f>IFERROR(INDEX(Table14[],MATCH($G147,Table14[SAPNo],0),3),"")</f>
        <v>Round 1613 CT81  0.018" (P)</v>
      </c>
      <c r="I147" s="37">
        <v>40</v>
      </c>
      <c r="J147" s="37">
        <f>IF(Table412[[#This Row],[MAT]]&lt;&gt;"",COUNTIF(Table3[LEVEL 5 MAT NO.],Table412[[#This Row],[MAT]]),"")</f>
        <v>0</v>
      </c>
      <c r="K147" s="36">
        <f>IFERROR(INDEX(Table3[],MATCH($E147,Table3[LEVEL 5 MAT NO.],0),2),0)</f>
        <v>0</v>
      </c>
      <c r="L147" s="36">
        <f>Table412[[#This Row],[Quantity in BOM]]*Table412[[#This Row],[Freq]]</f>
        <v>0</v>
      </c>
      <c r="M147" s="36" t="str">
        <f>IF(Table412[[#This Row],[Exist]]=1,Table412[[#This Row],[MAT]],"")</f>
        <v/>
      </c>
      <c r="N147" s="36" t="str">
        <f>IF(Table412[[#This Row],[Exist]]=1,Table412[[#This Row],[Component]],"")</f>
        <v/>
      </c>
      <c r="O147" s="36">
        <f>IFERROR(VALUE(Table412[[#This Row],[MAT]]&amp;Table412[[#This Row],[X'#]]),IF(COUNTIF(Table412[[#This Row],[MAT]],"*M"),Table412[[#This Row],[MAT]]&amp;Table412[[#This Row],[X'#]],""))</f>
        <v>10938763</v>
      </c>
      <c r="T147" s="42">
        <v>146</v>
      </c>
      <c r="U147" s="2">
        <v>1101509</v>
      </c>
      <c r="V147" s="43" t="s">
        <v>3515</v>
      </c>
    </row>
    <row r="148" spans="1:22" x14ac:dyDescent="0.25">
      <c r="A148" s="37">
        <f t="shared" si="2"/>
        <v>3</v>
      </c>
      <c r="C148" s="36">
        <v>12.25</v>
      </c>
      <c r="D148" s="36" t="s">
        <v>3513</v>
      </c>
      <c r="E148" s="36">
        <v>1093876</v>
      </c>
      <c r="F148" s="36">
        <v>4</v>
      </c>
      <c r="G148" s="36">
        <v>647436</v>
      </c>
      <c r="H148" s="48" t="str">
        <f>IFERROR(INDEX(Table14[],MATCH($G148,Table14[SAPNo],0),3),"")</f>
        <v>Round 1613 CT200  0.018" (B)</v>
      </c>
      <c r="I148" s="37">
        <v>12</v>
      </c>
      <c r="J148" s="37">
        <f>IF(Table412[[#This Row],[MAT]]&lt;&gt;"",COUNTIF(Table3[LEVEL 5 MAT NO.],Table412[[#This Row],[MAT]]),"")</f>
        <v>0</v>
      </c>
      <c r="K148" s="36">
        <f>IFERROR(INDEX(Table3[],MATCH($E148,Table3[LEVEL 5 MAT NO.],0),2),0)</f>
        <v>0</v>
      </c>
      <c r="L148" s="36">
        <f>Table412[[#This Row],[Quantity in BOM]]*Table412[[#This Row],[Freq]]</f>
        <v>0</v>
      </c>
      <c r="M148" s="36" t="str">
        <f>IF(Table412[[#This Row],[Exist]]=1,Table412[[#This Row],[MAT]],"")</f>
        <v/>
      </c>
      <c r="N148" s="36" t="str">
        <f>IF(Table412[[#This Row],[Exist]]=1,Table412[[#This Row],[Component]],"")</f>
        <v/>
      </c>
      <c r="O148" s="36">
        <f>IFERROR(VALUE(Table412[[#This Row],[MAT]]&amp;Table412[[#This Row],[X'#]]),IF(COUNTIF(Table412[[#This Row],[MAT]],"*M"),Table412[[#This Row],[MAT]]&amp;Table412[[#This Row],[X'#]],""))</f>
        <v>10938764</v>
      </c>
      <c r="T148" s="42">
        <v>147</v>
      </c>
      <c r="U148" s="2">
        <v>1100755</v>
      </c>
      <c r="V148" s="43" t="s">
        <v>3516</v>
      </c>
    </row>
    <row r="149" spans="1:22" x14ac:dyDescent="0.25">
      <c r="A149" s="37">
        <f t="shared" si="2"/>
        <v>3</v>
      </c>
      <c r="C149" s="36">
        <v>12.25</v>
      </c>
      <c r="D149" s="36" t="s">
        <v>3513</v>
      </c>
      <c r="E149" s="36">
        <v>1093876</v>
      </c>
      <c r="F149" s="36">
        <v>5</v>
      </c>
      <c r="G149" s="36">
        <v>717751</v>
      </c>
      <c r="H149" s="48" t="str">
        <f>IFERROR(INDEX(Table14[],MATCH($G149,Table14[SAPNo],0),3),"")</f>
        <v>Round 1308 CT200  0.018" (B)</v>
      </c>
      <c r="I149" s="37">
        <v>26</v>
      </c>
      <c r="J149" s="37">
        <f>IF(Table412[[#This Row],[MAT]]&lt;&gt;"",COUNTIF(Table3[LEVEL 5 MAT NO.],Table412[[#This Row],[MAT]]),"")</f>
        <v>0</v>
      </c>
      <c r="K149" s="36">
        <f>IFERROR(INDEX(Table3[],MATCH($E149,Table3[LEVEL 5 MAT NO.],0),2),0)</f>
        <v>0</v>
      </c>
      <c r="L149" s="36">
        <f>Table412[[#This Row],[Quantity in BOM]]*Table412[[#This Row],[Freq]]</f>
        <v>0</v>
      </c>
      <c r="M149" s="36" t="str">
        <f>IF(Table412[[#This Row],[Exist]]=1,Table412[[#This Row],[MAT]],"")</f>
        <v/>
      </c>
      <c r="N149" s="36" t="str">
        <f>IF(Table412[[#This Row],[Exist]]=1,Table412[[#This Row],[Component]],"")</f>
        <v/>
      </c>
      <c r="O149" s="36">
        <f>IFERROR(VALUE(Table412[[#This Row],[MAT]]&amp;Table412[[#This Row],[X'#]]),IF(COUNTIF(Table412[[#This Row],[MAT]],"*M"),Table412[[#This Row],[MAT]]&amp;Table412[[#This Row],[X'#]],""))</f>
        <v>10938765</v>
      </c>
      <c r="T149" s="42">
        <v>148</v>
      </c>
      <c r="U149" s="2">
        <v>1146740</v>
      </c>
      <c r="V149" s="43" t="s">
        <v>4232</v>
      </c>
    </row>
    <row r="150" spans="1:22" x14ac:dyDescent="0.25">
      <c r="A150" s="37">
        <f t="shared" si="2"/>
        <v>3</v>
      </c>
      <c r="C150" s="36">
        <v>6.125</v>
      </c>
      <c r="D150" s="36" t="s">
        <v>651</v>
      </c>
      <c r="E150" s="36">
        <v>952982</v>
      </c>
      <c r="F150" s="36">
        <v>1</v>
      </c>
      <c r="G150" s="36">
        <v>717749</v>
      </c>
      <c r="H150" s="48" t="str">
        <f>IFERROR(INDEX(Table14[],MATCH($G150,Table14[SAPNo],0),3),"")</f>
        <v>Round 1308 CT200  10C (B)</v>
      </c>
      <c r="I150" s="37">
        <v>3</v>
      </c>
      <c r="J150" s="37">
        <f>IF(Table412[[#This Row],[MAT]]&lt;&gt;"",COUNTIF(Table3[LEVEL 5 MAT NO.],Table412[[#This Row],[MAT]]),"")</f>
        <v>0</v>
      </c>
      <c r="K150" s="36">
        <f>IFERROR(INDEX(Table3[],MATCH($E150,Table3[LEVEL 5 MAT NO.],0),2),0)</f>
        <v>0</v>
      </c>
      <c r="L150" s="36">
        <f>Table412[[#This Row],[Quantity in BOM]]*Table412[[#This Row],[Freq]]</f>
        <v>0</v>
      </c>
      <c r="M150" s="36" t="str">
        <f>IF(Table412[[#This Row],[Exist]]=1,Table412[[#This Row],[MAT]],"")</f>
        <v/>
      </c>
      <c r="N150" s="36" t="str">
        <f>IF(Table412[[#This Row],[Exist]]=1,Table412[[#This Row],[Component]],"")</f>
        <v/>
      </c>
      <c r="O150" s="36">
        <f>IFERROR(VALUE(Table412[[#This Row],[MAT]]&amp;Table412[[#This Row],[X'#]]),IF(COUNTIF(Table412[[#This Row],[MAT]],"*M"),Table412[[#This Row],[MAT]]&amp;Table412[[#This Row],[X'#]],""))</f>
        <v>9529821</v>
      </c>
      <c r="T150" s="42">
        <v>149</v>
      </c>
      <c r="U150" s="2">
        <v>1130217</v>
      </c>
      <c r="V150" s="43" t="s">
        <v>4233</v>
      </c>
    </row>
    <row r="151" spans="1:22" x14ac:dyDescent="0.25">
      <c r="A151" s="37">
        <f t="shared" si="2"/>
        <v>3</v>
      </c>
      <c r="C151" s="36">
        <v>6.125</v>
      </c>
      <c r="D151" s="36" t="s">
        <v>651</v>
      </c>
      <c r="E151" s="36">
        <v>952982</v>
      </c>
      <c r="F151" s="36">
        <v>2</v>
      </c>
      <c r="G151" s="36">
        <v>418525</v>
      </c>
      <c r="H151" s="48" t="str">
        <f>IFERROR(INDEX(Table14[],MATCH($G151,Table14[SAPNo],0),3),"")</f>
        <v>Drop In 1308 CT31   (B)</v>
      </c>
      <c r="I151" s="37">
        <v>12</v>
      </c>
      <c r="J151" s="37">
        <f>IF(Table412[[#This Row],[MAT]]&lt;&gt;"",COUNTIF(Table3[LEVEL 5 MAT NO.],Table412[[#This Row],[MAT]]),"")</f>
        <v>0</v>
      </c>
      <c r="K151" s="36">
        <f>IFERROR(INDEX(Table3[],MATCH($E151,Table3[LEVEL 5 MAT NO.],0),2),0)</f>
        <v>0</v>
      </c>
      <c r="L151" s="36">
        <f>Table412[[#This Row],[Quantity in BOM]]*Table412[[#This Row],[Freq]]</f>
        <v>0</v>
      </c>
      <c r="M151" s="36" t="str">
        <f>IF(Table412[[#This Row],[Exist]]=1,Table412[[#This Row],[MAT]],"")</f>
        <v/>
      </c>
      <c r="N151" s="36" t="str">
        <f>IF(Table412[[#This Row],[Exist]]=1,Table412[[#This Row],[Component]],"")</f>
        <v/>
      </c>
      <c r="O151" s="36">
        <f>IFERROR(VALUE(Table412[[#This Row],[MAT]]&amp;Table412[[#This Row],[X'#]]),IF(COUNTIF(Table412[[#This Row],[MAT]],"*M"),Table412[[#This Row],[MAT]]&amp;Table412[[#This Row],[X'#]],""))</f>
        <v>9529822</v>
      </c>
      <c r="T151" s="42">
        <v>150</v>
      </c>
      <c r="U151" s="2">
        <v>179733</v>
      </c>
      <c r="V151" s="43" t="s">
        <v>3517</v>
      </c>
    </row>
    <row r="152" spans="1:22" x14ac:dyDescent="0.25">
      <c r="A152" s="37">
        <f t="shared" si="2"/>
        <v>3</v>
      </c>
      <c r="C152" s="36">
        <v>6.125</v>
      </c>
      <c r="D152" s="36" t="s">
        <v>651</v>
      </c>
      <c r="E152" s="36">
        <v>952982</v>
      </c>
      <c r="F152" s="36">
        <v>3</v>
      </c>
      <c r="G152" s="36">
        <v>729434</v>
      </c>
      <c r="H152" s="48" t="str">
        <f>IFERROR(INDEX(Table14[],MATCH($G152,Table14[SAPNo],0),3),"")</f>
        <v>Round 1308 CT82  10C (S)</v>
      </c>
      <c r="I152" s="37">
        <v>5</v>
      </c>
      <c r="J152" s="37">
        <f>IF(Table412[[#This Row],[MAT]]&lt;&gt;"",COUNTIF(Table3[LEVEL 5 MAT NO.],Table412[[#This Row],[MAT]]),"")</f>
        <v>0</v>
      </c>
      <c r="K152" s="36">
        <f>IFERROR(INDEX(Table3[],MATCH($E152,Table3[LEVEL 5 MAT NO.],0),2),0)</f>
        <v>0</v>
      </c>
      <c r="L152" s="36">
        <f>Table412[[#This Row],[Quantity in BOM]]*Table412[[#This Row],[Freq]]</f>
        <v>0</v>
      </c>
      <c r="M152" s="36" t="str">
        <f>IF(Table412[[#This Row],[Exist]]=1,Table412[[#This Row],[MAT]],"")</f>
        <v/>
      </c>
      <c r="N152" s="36" t="str">
        <f>IF(Table412[[#This Row],[Exist]]=1,Table412[[#This Row],[Component]],"")</f>
        <v/>
      </c>
      <c r="O152" s="36">
        <f>IFERROR(VALUE(Table412[[#This Row],[MAT]]&amp;Table412[[#This Row],[X'#]]),IF(COUNTIF(Table412[[#This Row],[MAT]],"*M"),Table412[[#This Row],[MAT]]&amp;Table412[[#This Row],[X'#]],""))</f>
        <v>9529823</v>
      </c>
      <c r="T152" s="42">
        <v>151</v>
      </c>
      <c r="U152" s="2">
        <v>649901</v>
      </c>
      <c r="V152" s="43" t="s">
        <v>3518</v>
      </c>
    </row>
    <row r="153" spans="1:22" x14ac:dyDescent="0.25">
      <c r="A153" s="37">
        <f t="shared" si="2"/>
        <v>3</v>
      </c>
      <c r="C153" s="36">
        <v>6.125</v>
      </c>
      <c r="D153" s="36" t="s">
        <v>651</v>
      </c>
      <c r="E153" s="36">
        <v>952982</v>
      </c>
      <c r="F153" s="36">
        <v>4</v>
      </c>
      <c r="G153" s="36">
        <v>729435</v>
      </c>
      <c r="H153" s="48" t="str">
        <f>IFERROR(INDEX(Table14[],MATCH($G153,Table14[SAPNo],0),3),"")</f>
        <v>Round 1313 CT82  10C (S)</v>
      </c>
      <c r="I153" s="37">
        <v>18</v>
      </c>
      <c r="J153" s="37">
        <f>IF(Table412[[#This Row],[MAT]]&lt;&gt;"",COUNTIF(Table3[LEVEL 5 MAT NO.],Table412[[#This Row],[MAT]]),"")</f>
        <v>0</v>
      </c>
      <c r="K153" s="36">
        <f>IFERROR(INDEX(Table3[],MATCH($E153,Table3[LEVEL 5 MAT NO.],0),2),0)</f>
        <v>0</v>
      </c>
      <c r="L153" s="36">
        <f>Table412[[#This Row],[Quantity in BOM]]*Table412[[#This Row],[Freq]]</f>
        <v>0</v>
      </c>
      <c r="M153" s="36" t="str">
        <f>IF(Table412[[#This Row],[Exist]]=1,Table412[[#This Row],[MAT]],"")</f>
        <v/>
      </c>
      <c r="N153" s="36" t="str">
        <f>IF(Table412[[#This Row],[Exist]]=1,Table412[[#This Row],[Component]],"")</f>
        <v/>
      </c>
      <c r="O153" s="36">
        <f>IFERROR(VALUE(Table412[[#This Row],[MAT]]&amp;Table412[[#This Row],[X'#]]),IF(COUNTIF(Table412[[#This Row],[MAT]],"*M"),Table412[[#This Row],[MAT]]&amp;Table412[[#This Row],[X'#]],""))</f>
        <v>9529824</v>
      </c>
      <c r="T153" s="42">
        <v>152</v>
      </c>
      <c r="U153" s="2">
        <v>1129936</v>
      </c>
      <c r="V153" s="43" t="s">
        <v>4234</v>
      </c>
    </row>
    <row r="154" spans="1:22" x14ac:dyDescent="0.25">
      <c r="A154" s="37">
        <f t="shared" si="2"/>
        <v>3</v>
      </c>
      <c r="C154" s="36">
        <v>6.125</v>
      </c>
      <c r="D154" s="36" t="s">
        <v>651</v>
      </c>
      <c r="E154" s="36">
        <v>952982</v>
      </c>
      <c r="F154" s="36">
        <v>5</v>
      </c>
      <c r="G154" s="36">
        <v>625854</v>
      </c>
      <c r="H154" s="48" t="str">
        <f>IFERROR(INDEX(Table14[],MATCH($G154,Table14[SAPNo],0),3),"")</f>
        <v>Carbide IA 1318    (C)</v>
      </c>
      <c r="I154" s="37">
        <v>3</v>
      </c>
      <c r="J154" s="37">
        <f>IF(Table412[[#This Row],[MAT]]&lt;&gt;"",COUNTIF(Table3[LEVEL 5 MAT NO.],Table412[[#This Row],[MAT]]),"")</f>
        <v>0</v>
      </c>
      <c r="K154" s="36">
        <f>IFERROR(INDEX(Table3[],MATCH($E154,Table3[LEVEL 5 MAT NO.],0),2),0)</f>
        <v>0</v>
      </c>
      <c r="L154" s="36">
        <f>Table412[[#This Row],[Quantity in BOM]]*Table412[[#This Row],[Freq]]</f>
        <v>0</v>
      </c>
      <c r="M154" s="36" t="str">
        <f>IF(Table412[[#This Row],[Exist]]=1,Table412[[#This Row],[MAT]],"")</f>
        <v/>
      </c>
      <c r="N154" s="36" t="str">
        <f>IF(Table412[[#This Row],[Exist]]=1,Table412[[#This Row],[Component]],"")</f>
        <v/>
      </c>
      <c r="O154" s="36">
        <f>IFERROR(VALUE(Table412[[#This Row],[MAT]]&amp;Table412[[#This Row],[X'#]]),IF(COUNTIF(Table412[[#This Row],[MAT]],"*M"),Table412[[#This Row],[MAT]]&amp;Table412[[#This Row],[X'#]],""))</f>
        <v>9529825</v>
      </c>
      <c r="T154" s="42">
        <v>153</v>
      </c>
      <c r="U154" s="2">
        <v>774371</v>
      </c>
      <c r="V154" s="43" t="s">
        <v>3519</v>
      </c>
    </row>
    <row r="155" spans="1:22" x14ac:dyDescent="0.25">
      <c r="A155" s="37">
        <f t="shared" si="2"/>
        <v>3</v>
      </c>
      <c r="C155" s="36" t="s">
        <v>3520</v>
      </c>
      <c r="D155" s="36" t="s">
        <v>3521</v>
      </c>
      <c r="E155" s="36">
        <v>902208</v>
      </c>
      <c r="F155" s="36">
        <v>1</v>
      </c>
      <c r="G155" s="36">
        <v>729434</v>
      </c>
      <c r="H155" s="48" t="str">
        <f>IFERROR(INDEX(Table14[],MATCH($G155,Table14[SAPNo],0),3),"")</f>
        <v>Round 1308 CT82  10C (S)</v>
      </c>
      <c r="I155" s="37">
        <v>28</v>
      </c>
      <c r="J155" s="37">
        <f>IF(Table412[[#This Row],[MAT]]&lt;&gt;"",COUNTIF(Table3[LEVEL 5 MAT NO.],Table412[[#This Row],[MAT]]),"")</f>
        <v>0</v>
      </c>
      <c r="K155" s="36">
        <f>IFERROR(INDEX(Table3[],MATCH($E155,Table3[LEVEL 5 MAT NO.],0),2),0)</f>
        <v>0</v>
      </c>
      <c r="L155" s="36">
        <f>Table412[[#This Row],[Quantity in BOM]]*Table412[[#This Row],[Freq]]</f>
        <v>0</v>
      </c>
      <c r="M155" s="36" t="str">
        <f>IF(Table412[[#This Row],[Exist]]=1,Table412[[#This Row],[MAT]],"")</f>
        <v/>
      </c>
      <c r="N155" s="36" t="str">
        <f>IF(Table412[[#This Row],[Exist]]=1,Table412[[#This Row],[Component]],"")</f>
        <v/>
      </c>
      <c r="O155" s="36">
        <f>IFERROR(VALUE(Table412[[#This Row],[MAT]]&amp;Table412[[#This Row],[X'#]]),IF(COUNTIF(Table412[[#This Row],[MAT]],"*M"),Table412[[#This Row],[MAT]]&amp;Table412[[#This Row],[X'#]],""))</f>
        <v>9022081</v>
      </c>
      <c r="T155" s="42">
        <v>154</v>
      </c>
      <c r="U155" s="2">
        <v>1078371</v>
      </c>
      <c r="V155" s="43" t="s">
        <v>3522</v>
      </c>
    </row>
    <row r="156" spans="1:22" x14ac:dyDescent="0.25">
      <c r="A156" s="37">
        <f t="shared" si="2"/>
        <v>3</v>
      </c>
      <c r="C156" s="36" t="s">
        <v>3520</v>
      </c>
      <c r="D156" s="36" t="s">
        <v>3521</v>
      </c>
      <c r="E156" s="36">
        <v>902208</v>
      </c>
      <c r="F156" s="36">
        <v>2</v>
      </c>
      <c r="G156" s="36">
        <v>773383</v>
      </c>
      <c r="H156" s="48" t="str">
        <f>IFERROR(INDEX(Table14[],MATCH($G156,Table14[SAPNo],0),3),"")</f>
        <v>Round 1005 CT200  10C (B)</v>
      </c>
      <c r="I156" s="37">
        <v>4</v>
      </c>
      <c r="J156" s="37">
        <f>IF(Table412[[#This Row],[MAT]]&lt;&gt;"",COUNTIF(Table3[LEVEL 5 MAT NO.],Table412[[#This Row],[MAT]]),"")</f>
        <v>0</v>
      </c>
      <c r="K156" s="36">
        <f>IFERROR(INDEX(Table3[],MATCH($E156,Table3[LEVEL 5 MAT NO.],0),2),0)</f>
        <v>0</v>
      </c>
      <c r="L156" s="36">
        <f>Table412[[#This Row],[Quantity in BOM]]*Table412[[#This Row],[Freq]]</f>
        <v>0</v>
      </c>
      <c r="M156" s="36" t="str">
        <f>IF(Table412[[#This Row],[Exist]]=1,Table412[[#This Row],[MAT]],"")</f>
        <v/>
      </c>
      <c r="N156" s="36" t="str">
        <f>IF(Table412[[#This Row],[Exist]]=1,Table412[[#This Row],[Component]],"")</f>
        <v/>
      </c>
      <c r="O156" s="36">
        <f>IFERROR(VALUE(Table412[[#This Row],[MAT]]&amp;Table412[[#This Row],[X'#]]),IF(COUNTIF(Table412[[#This Row],[MAT]],"*M"),Table412[[#This Row],[MAT]]&amp;Table412[[#This Row],[X'#]],""))</f>
        <v>9022082</v>
      </c>
      <c r="T156" s="42">
        <v>155</v>
      </c>
      <c r="U156" s="2">
        <v>1181761</v>
      </c>
      <c r="V156" s="43" t="s">
        <v>3523</v>
      </c>
    </row>
    <row r="157" spans="1:22" x14ac:dyDescent="0.25">
      <c r="A157" s="37">
        <f t="shared" si="2"/>
        <v>3</v>
      </c>
      <c r="C157" s="36" t="s">
        <v>3520</v>
      </c>
      <c r="D157" s="36" t="s">
        <v>3521</v>
      </c>
      <c r="E157" s="36">
        <v>902208</v>
      </c>
      <c r="F157" s="36">
        <v>3</v>
      </c>
      <c r="G157" s="36">
        <v>717749</v>
      </c>
      <c r="H157" s="48" t="str">
        <f>IFERROR(INDEX(Table14[],MATCH($G157,Table14[SAPNo],0),3),"")</f>
        <v>Round 1308 CT200  10C (B)</v>
      </c>
      <c r="I157" s="37">
        <v>8</v>
      </c>
      <c r="J157" s="37">
        <f>IF(Table412[[#This Row],[MAT]]&lt;&gt;"",COUNTIF(Table3[LEVEL 5 MAT NO.],Table412[[#This Row],[MAT]]),"")</f>
        <v>0</v>
      </c>
      <c r="K157" s="36">
        <f>IFERROR(INDEX(Table3[],MATCH($E157,Table3[LEVEL 5 MAT NO.],0),2),0)</f>
        <v>0</v>
      </c>
      <c r="L157" s="36">
        <f>Table412[[#This Row],[Quantity in BOM]]*Table412[[#This Row],[Freq]]</f>
        <v>0</v>
      </c>
      <c r="M157" s="36" t="str">
        <f>IF(Table412[[#This Row],[Exist]]=1,Table412[[#This Row],[MAT]],"")</f>
        <v/>
      </c>
      <c r="N157" s="36" t="str">
        <f>IF(Table412[[#This Row],[Exist]]=1,Table412[[#This Row],[Component]],"")</f>
        <v/>
      </c>
      <c r="O157" s="36">
        <f>IFERROR(VALUE(Table412[[#This Row],[MAT]]&amp;Table412[[#This Row],[X'#]]),IF(COUNTIF(Table412[[#This Row],[MAT]],"*M"),Table412[[#This Row],[MAT]]&amp;Table412[[#This Row],[X'#]],""))</f>
        <v>9022083</v>
      </c>
      <c r="T157" s="42">
        <v>156</v>
      </c>
      <c r="U157" s="2">
        <v>1176639</v>
      </c>
      <c r="V157" s="43" t="s">
        <v>3524</v>
      </c>
    </row>
    <row r="158" spans="1:22" x14ac:dyDescent="0.25">
      <c r="A158" s="37">
        <f t="shared" si="2"/>
        <v>3</v>
      </c>
      <c r="C158" s="36" t="s">
        <v>3520</v>
      </c>
      <c r="D158" s="36" t="s">
        <v>3521</v>
      </c>
      <c r="E158" s="36">
        <v>902208</v>
      </c>
      <c r="F158" s="36">
        <v>4</v>
      </c>
      <c r="G158" s="36">
        <v>418525</v>
      </c>
      <c r="H158" s="48" t="str">
        <f>IFERROR(INDEX(Table14[],MATCH($G158,Table14[SAPNo],0),3),"")</f>
        <v>Drop In 1308 CT31   (B)</v>
      </c>
      <c r="I158" s="37">
        <v>8</v>
      </c>
      <c r="J158" s="37">
        <f>IF(Table412[[#This Row],[MAT]]&lt;&gt;"",COUNTIF(Table3[LEVEL 5 MAT NO.],Table412[[#This Row],[MAT]]),"")</f>
        <v>0</v>
      </c>
      <c r="K158" s="36">
        <f>IFERROR(INDEX(Table3[],MATCH($E158,Table3[LEVEL 5 MAT NO.],0),2),0)</f>
        <v>0</v>
      </c>
      <c r="L158" s="36">
        <f>Table412[[#This Row],[Quantity in BOM]]*Table412[[#This Row],[Freq]]</f>
        <v>0</v>
      </c>
      <c r="M158" s="36" t="str">
        <f>IF(Table412[[#This Row],[Exist]]=1,Table412[[#This Row],[MAT]],"")</f>
        <v/>
      </c>
      <c r="N158" s="36" t="str">
        <f>IF(Table412[[#This Row],[Exist]]=1,Table412[[#This Row],[Component]],"")</f>
        <v/>
      </c>
      <c r="O158" s="36">
        <f>IFERROR(VALUE(Table412[[#This Row],[MAT]]&amp;Table412[[#This Row],[X'#]]),IF(COUNTIF(Table412[[#This Row],[MAT]],"*M"),Table412[[#This Row],[MAT]]&amp;Table412[[#This Row],[X'#]],""))</f>
        <v>9022084</v>
      </c>
      <c r="T158" s="42">
        <v>157</v>
      </c>
      <c r="U158" s="2">
        <v>1039057</v>
      </c>
      <c r="V158" s="43" t="s">
        <v>4235</v>
      </c>
    </row>
    <row r="159" spans="1:22" x14ac:dyDescent="0.25">
      <c r="A159" s="37">
        <f t="shared" si="2"/>
        <v>3</v>
      </c>
      <c r="C159" s="38" t="s">
        <v>309</v>
      </c>
      <c r="D159" s="36" t="s">
        <v>635</v>
      </c>
      <c r="E159" s="36">
        <v>965522</v>
      </c>
      <c r="F159" s="36">
        <v>2</v>
      </c>
      <c r="G159" s="36">
        <v>717751</v>
      </c>
      <c r="H159" s="48" t="str">
        <f>IFERROR(INDEX(Table14[],MATCH($G159,Table14[SAPNo],0),3),"")</f>
        <v>Round 1308 CT200  0.018" (B)</v>
      </c>
      <c r="I159" s="37">
        <v>6</v>
      </c>
      <c r="J159" s="37">
        <f>IF(Table412[[#This Row],[MAT]]&lt;&gt;"",COUNTIF(Table3[LEVEL 5 MAT NO.],Table412[[#This Row],[MAT]]),"")</f>
        <v>1</v>
      </c>
      <c r="K159" s="36">
        <f>IFERROR(INDEX(Table3[],MATCH($E159,Table3[LEVEL 5 MAT NO.],0),2),0)</f>
        <v>2</v>
      </c>
      <c r="L159" s="36">
        <f>Table412[[#This Row],[Quantity in BOM]]*Table412[[#This Row],[Freq]]</f>
        <v>12</v>
      </c>
      <c r="M159" s="36">
        <f>IF(Table412[[#This Row],[Exist]]=1,Table412[[#This Row],[MAT]],"")</f>
        <v>965522</v>
      </c>
      <c r="N159" s="36">
        <f>IF(Table412[[#This Row],[Exist]]=1,Table412[[#This Row],[Component]],"")</f>
        <v>717751</v>
      </c>
      <c r="O159" s="36">
        <f>IFERROR(VALUE(Table412[[#This Row],[MAT]]&amp;Table412[[#This Row],[X'#]]),IF(COUNTIF(Table412[[#This Row],[MAT]],"*M"),Table412[[#This Row],[MAT]]&amp;Table412[[#This Row],[X'#]],""))</f>
        <v>9655222</v>
      </c>
      <c r="T159" s="42">
        <v>158</v>
      </c>
      <c r="U159" s="2">
        <v>976360</v>
      </c>
      <c r="V159" s="43" t="s">
        <v>3525</v>
      </c>
    </row>
    <row r="160" spans="1:22" x14ac:dyDescent="0.25">
      <c r="A160" s="37">
        <f t="shared" si="2"/>
        <v>5</v>
      </c>
      <c r="C160" s="38" t="s">
        <v>309</v>
      </c>
      <c r="D160" s="36" t="s">
        <v>635</v>
      </c>
      <c r="E160" s="36">
        <v>965522</v>
      </c>
      <c r="F160" s="36">
        <v>3</v>
      </c>
      <c r="G160" s="36">
        <v>375538</v>
      </c>
      <c r="H160" s="48" t="str">
        <f>IFERROR(INDEX(Table14[],MATCH($G160,Table14[SAPNo],0),3),"")</f>
        <v>R1 13  R1 PEP .012R LG BEVEL  (D)</v>
      </c>
      <c r="I160" s="37">
        <v>12</v>
      </c>
      <c r="J160" s="37">
        <f>IF(Table412[[#This Row],[MAT]]&lt;&gt;"",COUNTIF(Table3[LEVEL 5 MAT NO.],Table412[[#This Row],[MAT]]),"")</f>
        <v>1</v>
      </c>
      <c r="K160" s="36">
        <f>IFERROR(INDEX(Table3[],MATCH($E160,Table3[LEVEL 5 MAT NO.],0),2),0)</f>
        <v>2</v>
      </c>
      <c r="L160" s="36">
        <f>Table412[[#This Row],[Quantity in BOM]]*Table412[[#This Row],[Freq]]</f>
        <v>24</v>
      </c>
      <c r="M160" s="36">
        <f>IF(Table412[[#This Row],[Exist]]=1,Table412[[#This Row],[MAT]],"")</f>
        <v>965522</v>
      </c>
      <c r="N160" s="36">
        <f>IF(Table412[[#This Row],[Exist]]=1,Table412[[#This Row],[Component]],"")</f>
        <v>375538</v>
      </c>
      <c r="O160" s="36">
        <f>IFERROR(VALUE(Table412[[#This Row],[MAT]]&amp;Table412[[#This Row],[X'#]]),IF(COUNTIF(Table412[[#This Row],[MAT]],"*M"),Table412[[#This Row],[MAT]]&amp;Table412[[#This Row],[X'#]],""))</f>
        <v>9655223</v>
      </c>
      <c r="T160" s="42">
        <v>159</v>
      </c>
      <c r="U160" s="2">
        <v>1130193</v>
      </c>
      <c r="V160" s="43" t="s">
        <v>1388</v>
      </c>
    </row>
    <row r="161" spans="1:22" x14ac:dyDescent="0.25">
      <c r="A161" s="37">
        <f t="shared" si="2"/>
        <v>7</v>
      </c>
      <c r="C161" s="38" t="s">
        <v>309</v>
      </c>
      <c r="D161" s="36" t="s">
        <v>635</v>
      </c>
      <c r="E161" s="36">
        <v>965522</v>
      </c>
      <c r="F161" s="36">
        <v>4</v>
      </c>
      <c r="G161" s="36">
        <v>871781</v>
      </c>
      <c r="H161" s="48" t="str">
        <f>IFERROR(INDEX(Table14[],MATCH($G161,Table14[SAPNo],0),3),"")</f>
        <v>Round 1313 CT200  0.018" (B)</v>
      </c>
      <c r="I161" s="37">
        <v>6</v>
      </c>
      <c r="J161" s="37">
        <f>IF(Table412[[#This Row],[MAT]]&lt;&gt;"",COUNTIF(Table3[LEVEL 5 MAT NO.],Table412[[#This Row],[MAT]]),"")</f>
        <v>1</v>
      </c>
      <c r="K161" s="36">
        <f>IFERROR(INDEX(Table3[],MATCH($E161,Table3[LEVEL 5 MAT NO.],0),2),0)</f>
        <v>2</v>
      </c>
      <c r="L161" s="36">
        <f>Table412[[#This Row],[Quantity in BOM]]*Table412[[#This Row],[Freq]]</f>
        <v>12</v>
      </c>
      <c r="M161" s="36">
        <f>IF(Table412[[#This Row],[Exist]]=1,Table412[[#This Row],[MAT]],"")</f>
        <v>965522</v>
      </c>
      <c r="N161" s="36">
        <f>IF(Table412[[#This Row],[Exist]]=1,Table412[[#This Row],[Component]],"")</f>
        <v>871781</v>
      </c>
      <c r="O161" s="36">
        <f>IFERROR(VALUE(Table412[[#This Row],[MAT]]&amp;Table412[[#This Row],[X'#]]),IF(COUNTIF(Table412[[#This Row],[MAT]],"*M"),Table412[[#This Row],[MAT]]&amp;Table412[[#This Row],[X'#]],""))</f>
        <v>9655224</v>
      </c>
      <c r="T161" s="42">
        <v>160</v>
      </c>
      <c r="U161" s="2">
        <v>1130223</v>
      </c>
      <c r="V161" s="43" t="s">
        <v>4236</v>
      </c>
    </row>
    <row r="162" spans="1:22" x14ac:dyDescent="0.25">
      <c r="A162" s="37">
        <f t="shared" si="2"/>
        <v>9</v>
      </c>
      <c r="C162" s="36" t="s">
        <v>319</v>
      </c>
      <c r="D162" s="36" t="s">
        <v>320</v>
      </c>
      <c r="E162" s="36">
        <v>1092978</v>
      </c>
      <c r="F162" s="36">
        <v>1</v>
      </c>
      <c r="G162" s="36">
        <v>853551</v>
      </c>
      <c r="H162" s="48" t="str">
        <f>IFERROR(INDEX(Table14[],MATCH($G162,Table14[SAPNo],0),3),"")</f>
        <v>Round 1613 CT125 GEDB 0.018" (S)</v>
      </c>
      <c r="I162" s="37">
        <v>80</v>
      </c>
      <c r="J162" s="37">
        <f>IF(Table412[[#This Row],[MAT]]&lt;&gt;"",COUNTIF(Table3[LEVEL 5 MAT NO.],Table412[[#This Row],[MAT]]),"")</f>
        <v>0</v>
      </c>
      <c r="K162" s="36">
        <f>IFERROR(INDEX(Table3[],MATCH($E162,Table3[LEVEL 5 MAT NO.],0),2),0)</f>
        <v>0</v>
      </c>
      <c r="L162" s="36">
        <f>Table412[[#This Row],[Quantity in BOM]]*Table412[[#This Row],[Freq]]</f>
        <v>0</v>
      </c>
      <c r="M162" s="36" t="str">
        <f>IF(Table412[[#This Row],[Exist]]=1,Table412[[#This Row],[MAT]],"")</f>
        <v/>
      </c>
      <c r="N162" s="36" t="str">
        <f>IF(Table412[[#This Row],[Exist]]=1,Table412[[#This Row],[Component]],"")</f>
        <v/>
      </c>
      <c r="O162" s="36">
        <f>IFERROR(VALUE(Table412[[#This Row],[MAT]]&amp;Table412[[#This Row],[X'#]]),IF(COUNTIF(Table412[[#This Row],[MAT]],"*M"),Table412[[#This Row],[MAT]]&amp;Table412[[#This Row],[X'#]],""))</f>
        <v>10929781</v>
      </c>
      <c r="T162" s="42">
        <v>161</v>
      </c>
      <c r="U162" s="2">
        <v>1130221</v>
      </c>
      <c r="V162" s="43" t="s">
        <v>4237</v>
      </c>
    </row>
    <row r="163" spans="1:22" x14ac:dyDescent="0.25">
      <c r="A163" s="37">
        <f t="shared" si="2"/>
        <v>9</v>
      </c>
      <c r="C163" s="36" t="s">
        <v>319</v>
      </c>
      <c r="D163" s="36" t="s">
        <v>320</v>
      </c>
      <c r="E163" s="36">
        <v>1092978</v>
      </c>
      <c r="F163" s="36">
        <v>2</v>
      </c>
      <c r="G163" s="36">
        <v>647436</v>
      </c>
      <c r="H163" s="48" t="str">
        <f>IFERROR(INDEX(Table14[],MATCH($G163,Table14[SAPNo],0),3),"")</f>
        <v>Round 1613 CT200  0.018" (B)</v>
      </c>
      <c r="I163" s="37">
        <v>27</v>
      </c>
      <c r="J163" s="37">
        <f>IF(Table412[[#This Row],[MAT]]&lt;&gt;"",COUNTIF(Table3[LEVEL 5 MAT NO.],Table412[[#This Row],[MAT]]),"")</f>
        <v>0</v>
      </c>
      <c r="K163" s="36">
        <f>IFERROR(INDEX(Table3[],MATCH($E163,Table3[LEVEL 5 MAT NO.],0),2),0)</f>
        <v>0</v>
      </c>
      <c r="L163" s="36">
        <f>Table412[[#This Row],[Quantity in BOM]]*Table412[[#This Row],[Freq]]</f>
        <v>0</v>
      </c>
      <c r="M163" s="36" t="str">
        <f>IF(Table412[[#This Row],[Exist]]=1,Table412[[#This Row],[MAT]],"")</f>
        <v/>
      </c>
      <c r="N163" s="36" t="str">
        <f>IF(Table412[[#This Row],[Exist]]=1,Table412[[#This Row],[Component]],"")</f>
        <v/>
      </c>
      <c r="O163" s="36">
        <f>IFERROR(VALUE(Table412[[#This Row],[MAT]]&amp;Table412[[#This Row],[X'#]]),IF(COUNTIF(Table412[[#This Row],[MAT]],"*M"),Table412[[#This Row],[MAT]]&amp;Table412[[#This Row],[X'#]],""))</f>
        <v>10929782</v>
      </c>
      <c r="T163" s="42">
        <v>162</v>
      </c>
      <c r="U163" s="2">
        <v>1130206</v>
      </c>
      <c r="V163" s="43" t="s">
        <v>3526</v>
      </c>
    </row>
    <row r="164" spans="1:22" x14ac:dyDescent="0.25">
      <c r="A164" s="37">
        <f t="shared" si="2"/>
        <v>9</v>
      </c>
      <c r="C164" s="36" t="s">
        <v>319</v>
      </c>
      <c r="D164" s="36" t="s">
        <v>320</v>
      </c>
      <c r="E164" s="36">
        <v>1092978</v>
      </c>
      <c r="F164" s="36">
        <v>3</v>
      </c>
      <c r="G164" s="36">
        <v>418525</v>
      </c>
      <c r="H164" s="48" t="str">
        <f>IFERROR(INDEX(Table14[],MATCH($G164,Table14[SAPNo],0),3),"")</f>
        <v>Drop In 1308 CT31   (B)</v>
      </c>
      <c r="I164" s="37">
        <v>14</v>
      </c>
      <c r="J164" s="37">
        <f>IF(Table412[[#This Row],[MAT]]&lt;&gt;"",COUNTIF(Table3[LEVEL 5 MAT NO.],Table412[[#This Row],[MAT]]),"")</f>
        <v>0</v>
      </c>
      <c r="K164" s="36">
        <f>IFERROR(INDEX(Table3[],MATCH($E164,Table3[LEVEL 5 MAT NO.],0),2),0)</f>
        <v>0</v>
      </c>
      <c r="L164" s="36">
        <f>Table412[[#This Row],[Quantity in BOM]]*Table412[[#This Row],[Freq]]</f>
        <v>0</v>
      </c>
      <c r="M164" s="36" t="str">
        <f>IF(Table412[[#This Row],[Exist]]=1,Table412[[#This Row],[MAT]],"")</f>
        <v/>
      </c>
      <c r="N164" s="36" t="str">
        <f>IF(Table412[[#This Row],[Exist]]=1,Table412[[#This Row],[Component]],"")</f>
        <v/>
      </c>
      <c r="O164" s="36">
        <f>IFERROR(VALUE(Table412[[#This Row],[MAT]]&amp;Table412[[#This Row],[X'#]]),IF(COUNTIF(Table412[[#This Row],[MAT]],"*M"),Table412[[#This Row],[MAT]]&amp;Table412[[#This Row],[X'#]],""))</f>
        <v>10929783</v>
      </c>
      <c r="T164" s="42">
        <v>163</v>
      </c>
      <c r="U164" s="2">
        <v>1104086</v>
      </c>
      <c r="V164" s="43" t="s">
        <v>3527</v>
      </c>
    </row>
    <row r="165" spans="1:22" x14ac:dyDescent="0.25">
      <c r="A165" s="37">
        <f t="shared" si="2"/>
        <v>9</v>
      </c>
      <c r="C165" s="36" t="s">
        <v>319</v>
      </c>
      <c r="D165" s="36" t="s">
        <v>320</v>
      </c>
      <c r="E165" s="36">
        <v>1092978</v>
      </c>
      <c r="F165" s="36">
        <v>4</v>
      </c>
      <c r="G165" s="36">
        <v>179734</v>
      </c>
      <c r="H165" s="48" t="str">
        <f>IFERROR(INDEX(Table14[],MATCH($G165,Table14[SAPNo],0),3),"")</f>
        <v>Long IPA 13    (C)</v>
      </c>
      <c r="I165" s="37">
        <v>35</v>
      </c>
      <c r="J165" s="37">
        <f>IF(Table412[[#This Row],[MAT]]&lt;&gt;"",COUNTIF(Table3[LEVEL 5 MAT NO.],Table412[[#This Row],[MAT]]),"")</f>
        <v>0</v>
      </c>
      <c r="K165" s="36">
        <f>IFERROR(INDEX(Table3[],MATCH($E165,Table3[LEVEL 5 MAT NO.],0),2),0)</f>
        <v>0</v>
      </c>
      <c r="L165" s="36">
        <f>Table412[[#This Row],[Quantity in BOM]]*Table412[[#This Row],[Freq]]</f>
        <v>0</v>
      </c>
      <c r="M165" s="36" t="str">
        <f>IF(Table412[[#This Row],[Exist]]=1,Table412[[#This Row],[MAT]],"")</f>
        <v/>
      </c>
      <c r="N165" s="36" t="str">
        <f>IF(Table412[[#This Row],[Exist]]=1,Table412[[#This Row],[Component]],"")</f>
        <v/>
      </c>
      <c r="O165" s="36">
        <f>IFERROR(VALUE(Table412[[#This Row],[MAT]]&amp;Table412[[#This Row],[X'#]]),IF(COUNTIF(Table412[[#This Row],[MAT]],"*M"),Table412[[#This Row],[MAT]]&amp;Table412[[#This Row],[X'#]],""))</f>
        <v>10929784</v>
      </c>
      <c r="T165" s="42">
        <v>164</v>
      </c>
      <c r="U165" s="2">
        <v>1022971</v>
      </c>
      <c r="V165" s="43" t="s">
        <v>3528</v>
      </c>
    </row>
    <row r="166" spans="1:22" x14ac:dyDescent="0.25">
      <c r="A166" s="37">
        <f t="shared" si="2"/>
        <v>9</v>
      </c>
      <c r="C166" s="36" t="s">
        <v>3529</v>
      </c>
      <c r="D166" s="36" t="s">
        <v>3530</v>
      </c>
      <c r="E166" s="36">
        <v>1033499</v>
      </c>
      <c r="F166" s="36">
        <v>1</v>
      </c>
      <c r="G166" s="36">
        <v>647436</v>
      </c>
      <c r="H166" s="48" t="str">
        <f>IFERROR(INDEX(Table14[],MATCH($G166,Table14[SAPNo],0),3),"")</f>
        <v>Round 1613 CT200  0.018" (B)</v>
      </c>
      <c r="I166" s="37">
        <v>25</v>
      </c>
      <c r="J166" s="37">
        <f>IF(Table412[[#This Row],[MAT]]&lt;&gt;"",COUNTIF(Table3[LEVEL 5 MAT NO.],Table412[[#This Row],[MAT]]),"")</f>
        <v>0</v>
      </c>
      <c r="K166" s="36">
        <f>IFERROR(INDEX(Table3[],MATCH($E166,Table3[LEVEL 5 MAT NO.],0),2),0)</f>
        <v>0</v>
      </c>
      <c r="L166" s="36">
        <f>Table412[[#This Row],[Quantity in BOM]]*Table412[[#This Row],[Freq]]</f>
        <v>0</v>
      </c>
      <c r="M166" s="36" t="str">
        <f>IF(Table412[[#This Row],[Exist]]=1,Table412[[#This Row],[MAT]],"")</f>
        <v/>
      </c>
      <c r="N166" s="36" t="str">
        <f>IF(Table412[[#This Row],[Exist]]=1,Table412[[#This Row],[Component]],"")</f>
        <v/>
      </c>
      <c r="O166" s="36">
        <f>IFERROR(VALUE(Table412[[#This Row],[MAT]]&amp;Table412[[#This Row],[X'#]]),IF(COUNTIF(Table412[[#This Row],[MAT]],"*M"),Table412[[#This Row],[MAT]]&amp;Table412[[#This Row],[X'#]],""))</f>
        <v>10334991</v>
      </c>
      <c r="T166" s="42">
        <v>165</v>
      </c>
      <c r="U166" s="2">
        <v>1134751</v>
      </c>
      <c r="V166" s="43" t="s">
        <v>3531</v>
      </c>
    </row>
    <row r="167" spans="1:22" x14ac:dyDescent="0.25">
      <c r="A167" s="37">
        <f t="shared" si="2"/>
        <v>9</v>
      </c>
      <c r="C167" s="36" t="s">
        <v>3529</v>
      </c>
      <c r="D167" s="36" t="s">
        <v>3530</v>
      </c>
      <c r="E167" s="36">
        <v>1033499</v>
      </c>
      <c r="F167" s="36">
        <v>2</v>
      </c>
      <c r="G167" s="36">
        <v>871781</v>
      </c>
      <c r="H167" s="48" t="str">
        <f>IFERROR(INDEX(Table14[],MATCH($G167,Table14[SAPNo],0),3),"")</f>
        <v>Round 1313 CT200  0.018" (B)</v>
      </c>
      <c r="I167" s="37">
        <v>15</v>
      </c>
      <c r="J167" s="37">
        <f>IF(Table412[[#This Row],[MAT]]&lt;&gt;"",COUNTIF(Table3[LEVEL 5 MAT NO.],Table412[[#This Row],[MAT]]),"")</f>
        <v>0</v>
      </c>
      <c r="K167" s="36">
        <f>IFERROR(INDEX(Table3[],MATCH($E167,Table3[LEVEL 5 MAT NO.],0),2),0)</f>
        <v>0</v>
      </c>
      <c r="L167" s="36">
        <f>Table412[[#This Row],[Quantity in BOM]]*Table412[[#This Row],[Freq]]</f>
        <v>0</v>
      </c>
      <c r="M167" s="36" t="str">
        <f>IF(Table412[[#This Row],[Exist]]=1,Table412[[#This Row],[MAT]],"")</f>
        <v/>
      </c>
      <c r="N167" s="36" t="str">
        <f>IF(Table412[[#This Row],[Exist]]=1,Table412[[#This Row],[Component]],"")</f>
        <v/>
      </c>
      <c r="O167" s="36">
        <f>IFERROR(VALUE(Table412[[#This Row],[MAT]]&amp;Table412[[#This Row],[X'#]]),IF(COUNTIF(Table412[[#This Row],[MAT]],"*M"),Table412[[#This Row],[MAT]]&amp;Table412[[#This Row],[X'#]],""))</f>
        <v>10334992</v>
      </c>
      <c r="T167" s="44">
        <v>166</v>
      </c>
      <c r="U167" s="45">
        <v>1078348</v>
      </c>
      <c r="V167" s="46" t="s">
        <v>3532</v>
      </c>
    </row>
    <row r="168" spans="1:22" x14ac:dyDescent="0.25">
      <c r="A168" s="37">
        <f t="shared" si="2"/>
        <v>9</v>
      </c>
      <c r="C168" s="36" t="s">
        <v>3529</v>
      </c>
      <c r="D168" s="36" t="s">
        <v>3530</v>
      </c>
      <c r="E168" s="36">
        <v>1033499</v>
      </c>
      <c r="F168" s="36">
        <v>3</v>
      </c>
      <c r="G168" s="36">
        <v>717751</v>
      </c>
      <c r="H168" s="48" t="str">
        <f>IFERROR(INDEX(Table14[],MATCH($G168,Table14[SAPNo],0),3),"")</f>
        <v>Round 1308 CT200  0.018" (B)</v>
      </c>
      <c r="I168" s="37">
        <v>3</v>
      </c>
      <c r="J168" s="37">
        <f>IF(Table412[[#This Row],[MAT]]&lt;&gt;"",COUNTIF(Table3[LEVEL 5 MAT NO.],Table412[[#This Row],[MAT]]),"")</f>
        <v>0</v>
      </c>
      <c r="K168" s="36">
        <f>IFERROR(INDEX(Table3[],MATCH($E168,Table3[LEVEL 5 MAT NO.],0),2),0)</f>
        <v>0</v>
      </c>
      <c r="L168" s="36">
        <f>Table412[[#This Row],[Quantity in BOM]]*Table412[[#This Row],[Freq]]</f>
        <v>0</v>
      </c>
      <c r="M168" s="36" t="str">
        <f>IF(Table412[[#This Row],[Exist]]=1,Table412[[#This Row],[MAT]],"")</f>
        <v/>
      </c>
      <c r="N168" s="36" t="str">
        <f>IF(Table412[[#This Row],[Exist]]=1,Table412[[#This Row],[Component]],"")</f>
        <v/>
      </c>
      <c r="O168" s="36">
        <f>IFERROR(VALUE(Table412[[#This Row],[MAT]]&amp;Table412[[#This Row],[X'#]]),IF(COUNTIF(Table412[[#This Row],[MAT]],"*M"),Table412[[#This Row],[MAT]]&amp;Table412[[#This Row],[X'#]],""))</f>
        <v>10334993</v>
      </c>
      <c r="T168" s="133">
        <v>177</v>
      </c>
      <c r="U168" s="134">
        <v>1161587</v>
      </c>
      <c r="V168" s="135" t="s">
        <v>3533</v>
      </c>
    </row>
    <row r="169" spans="1:22" x14ac:dyDescent="0.25">
      <c r="A169" s="37">
        <f t="shared" si="2"/>
        <v>9</v>
      </c>
      <c r="C169" s="36" t="s">
        <v>3529</v>
      </c>
      <c r="D169" s="36" t="s">
        <v>3530</v>
      </c>
      <c r="E169" s="36">
        <v>1033499</v>
      </c>
      <c r="F169" s="36">
        <v>4</v>
      </c>
      <c r="G169" s="36">
        <v>742620</v>
      </c>
      <c r="H169" s="48" t="str">
        <f>IFERROR(INDEX(Table14[],MATCH($G169,Table14[SAPNo],0),3),"")</f>
        <v/>
      </c>
      <c r="I169" s="37">
        <v>18</v>
      </c>
      <c r="J169" s="37">
        <f>IF(Table412[[#This Row],[MAT]]&lt;&gt;"",COUNTIF(Table3[LEVEL 5 MAT NO.],Table412[[#This Row],[MAT]]),"")</f>
        <v>0</v>
      </c>
      <c r="K169" s="36">
        <f>IFERROR(INDEX(Table3[],MATCH($E169,Table3[LEVEL 5 MAT NO.],0),2),0)</f>
        <v>0</v>
      </c>
      <c r="L169" s="36">
        <f>Table412[[#This Row],[Quantity in BOM]]*Table412[[#This Row],[Freq]]</f>
        <v>0</v>
      </c>
      <c r="M169" s="36" t="str">
        <f>IF(Table412[[#This Row],[Exist]]=1,Table412[[#This Row],[MAT]],"")</f>
        <v/>
      </c>
      <c r="N169" s="36" t="str">
        <f>IF(Table412[[#This Row],[Exist]]=1,Table412[[#This Row],[Component]],"")</f>
        <v/>
      </c>
      <c r="O169" s="36">
        <f>IFERROR(VALUE(Table412[[#This Row],[MAT]]&amp;Table412[[#This Row],[X'#]]),IF(COUNTIF(Table412[[#This Row],[MAT]],"*M"),Table412[[#This Row],[MAT]]&amp;Table412[[#This Row],[X'#]],""))</f>
        <v>10334994</v>
      </c>
      <c r="T169" s="133">
        <v>169</v>
      </c>
      <c r="U169" s="134">
        <v>1176641</v>
      </c>
      <c r="V169" s="135" t="s">
        <v>3534</v>
      </c>
    </row>
    <row r="170" spans="1:22" x14ac:dyDescent="0.25">
      <c r="A170" s="37">
        <f t="shared" si="2"/>
        <v>9</v>
      </c>
      <c r="C170" s="36" t="s">
        <v>3529</v>
      </c>
      <c r="D170" s="36" t="s">
        <v>3530</v>
      </c>
      <c r="E170" s="36">
        <v>1033499</v>
      </c>
      <c r="F170" s="36">
        <v>5</v>
      </c>
      <c r="G170" s="36">
        <v>742618</v>
      </c>
      <c r="H170" s="48" t="str">
        <f>IFERROR(INDEX(Table14[],MATCH($G170,Table14[SAPNo],0),3),"")</f>
        <v/>
      </c>
      <c r="I170" s="37">
        <v>6</v>
      </c>
      <c r="J170" s="37">
        <f>IF(Table412[[#This Row],[MAT]]&lt;&gt;"",COUNTIF(Table3[LEVEL 5 MAT NO.],Table412[[#This Row],[MAT]]),"")</f>
        <v>0</v>
      </c>
      <c r="K170" s="36">
        <f>IFERROR(INDEX(Table3[],MATCH($E170,Table3[LEVEL 5 MAT NO.],0),2),0)</f>
        <v>0</v>
      </c>
      <c r="L170" s="36">
        <f>Table412[[#This Row],[Quantity in BOM]]*Table412[[#This Row],[Freq]]</f>
        <v>0</v>
      </c>
      <c r="M170" s="36" t="str">
        <f>IF(Table412[[#This Row],[Exist]]=1,Table412[[#This Row],[MAT]],"")</f>
        <v/>
      </c>
      <c r="N170" s="36" t="str">
        <f>IF(Table412[[#This Row],[Exist]]=1,Table412[[#This Row],[Component]],"")</f>
        <v/>
      </c>
      <c r="O170" s="36">
        <f>IFERROR(VALUE(Table412[[#This Row],[MAT]]&amp;Table412[[#This Row],[X'#]]),IF(COUNTIF(Table412[[#This Row],[MAT]],"*M"),Table412[[#This Row],[MAT]]&amp;Table412[[#This Row],[X'#]],""))</f>
        <v>10334995</v>
      </c>
      <c r="T170" s="144">
        <v>174</v>
      </c>
      <c r="U170" s="145">
        <v>1162508</v>
      </c>
      <c r="V170" s="146" t="s">
        <v>3535</v>
      </c>
    </row>
    <row r="171" spans="1:22" x14ac:dyDescent="0.25">
      <c r="A171" s="37">
        <f t="shared" si="2"/>
        <v>9</v>
      </c>
      <c r="C171" s="36" t="s">
        <v>3520</v>
      </c>
      <c r="D171" s="36" t="s">
        <v>3496</v>
      </c>
      <c r="E171" s="36">
        <v>662603</v>
      </c>
      <c r="F171" s="36">
        <v>1</v>
      </c>
      <c r="G171" s="36">
        <v>745173</v>
      </c>
      <c r="H171" s="48" t="str">
        <f>IFERROR(INDEX(Table14[],MATCH($G171,Table14[SAPNo],0),3),"")</f>
        <v/>
      </c>
      <c r="I171" s="37">
        <v>40</v>
      </c>
      <c r="J171" s="37">
        <f>IF(Table412[[#This Row],[MAT]]&lt;&gt;"",COUNTIF(Table3[LEVEL 5 MAT NO.],Table412[[#This Row],[MAT]]),"")</f>
        <v>0</v>
      </c>
      <c r="K171" s="36">
        <f>IFERROR(INDEX(Table3[],MATCH($E171,Table3[LEVEL 5 MAT NO.],0),2),0)</f>
        <v>0</v>
      </c>
      <c r="L171" s="36">
        <f>Table412[[#This Row],[Quantity in BOM]]*Table412[[#This Row],[Freq]]</f>
        <v>0</v>
      </c>
      <c r="M171" s="36" t="str">
        <f>IF(Table412[[#This Row],[Exist]]=1,Table412[[#This Row],[MAT]],"")</f>
        <v/>
      </c>
      <c r="N171" s="36" t="str">
        <f>IF(Table412[[#This Row],[Exist]]=1,Table412[[#This Row],[Component]],"")</f>
        <v/>
      </c>
      <c r="O171" s="36">
        <f>IFERROR(VALUE(Table412[[#This Row],[MAT]]&amp;Table412[[#This Row],[X'#]]),IF(COUNTIF(Table412[[#This Row],[MAT]],"*M"),Table412[[#This Row],[MAT]]&amp;Table412[[#This Row],[X'#]],""))</f>
        <v>6626031</v>
      </c>
      <c r="T171" s="144">
        <v>176</v>
      </c>
      <c r="U171" s="145">
        <v>1162510</v>
      </c>
      <c r="V171" s="146" t="s">
        <v>3536</v>
      </c>
    </row>
    <row r="172" spans="1:22" x14ac:dyDescent="0.25">
      <c r="A172" s="37">
        <f t="shared" si="2"/>
        <v>9</v>
      </c>
      <c r="C172" s="36" t="s">
        <v>3520</v>
      </c>
      <c r="D172" s="36" t="s">
        <v>3496</v>
      </c>
      <c r="E172" s="36">
        <v>662603</v>
      </c>
      <c r="F172" s="36">
        <v>2</v>
      </c>
      <c r="G172" s="36">
        <v>418525</v>
      </c>
      <c r="H172" s="48" t="str">
        <f>IFERROR(INDEX(Table14[],MATCH($G172,Table14[SAPNo],0),3),"")</f>
        <v>Drop In 1308 CT31   (B)</v>
      </c>
      <c r="I172" s="37">
        <v>8</v>
      </c>
      <c r="J172" s="37">
        <f>IF(Table412[[#This Row],[MAT]]&lt;&gt;"",COUNTIF(Table3[LEVEL 5 MAT NO.],Table412[[#This Row],[MAT]]),"")</f>
        <v>0</v>
      </c>
      <c r="K172" s="36">
        <f>IFERROR(INDEX(Table3[],MATCH($E172,Table3[LEVEL 5 MAT NO.],0),2),0)</f>
        <v>0</v>
      </c>
      <c r="L172" s="36">
        <f>Table412[[#This Row],[Quantity in BOM]]*Table412[[#This Row],[Freq]]</f>
        <v>0</v>
      </c>
      <c r="M172" s="36" t="str">
        <f>IF(Table412[[#This Row],[Exist]]=1,Table412[[#This Row],[MAT]],"")</f>
        <v/>
      </c>
      <c r="N172" s="36" t="str">
        <f>IF(Table412[[#This Row],[Exist]]=1,Table412[[#This Row],[Component]],"")</f>
        <v/>
      </c>
      <c r="O172" s="36">
        <f>IFERROR(VALUE(Table412[[#This Row],[MAT]]&amp;Table412[[#This Row],[X'#]]),IF(COUNTIF(Table412[[#This Row],[MAT]],"*M"),Table412[[#This Row],[MAT]]&amp;Table412[[#This Row],[X'#]],""))</f>
        <v>6626032</v>
      </c>
      <c r="T172" s="133">
        <v>167</v>
      </c>
      <c r="U172" s="134">
        <v>562195</v>
      </c>
      <c r="V172" s="135" t="s">
        <v>3537</v>
      </c>
    </row>
    <row r="173" spans="1:22" x14ac:dyDescent="0.25">
      <c r="A173" s="37">
        <f t="shared" si="2"/>
        <v>9</v>
      </c>
      <c r="C173" s="36" t="s">
        <v>3538</v>
      </c>
      <c r="D173" s="36" t="s">
        <v>3539</v>
      </c>
      <c r="E173" s="36">
        <v>1055117</v>
      </c>
      <c r="F173" s="36">
        <v>1</v>
      </c>
      <c r="G173" s="36">
        <v>768849</v>
      </c>
      <c r="H173" s="48" t="str">
        <f>IFERROR(INDEX(Table14[],MATCH($G173,Table14[SAPNo],0),3),"")</f>
        <v/>
      </c>
      <c r="I173" s="37">
        <v>3</v>
      </c>
      <c r="J173" s="37">
        <f>IF(Table412[[#This Row],[MAT]]&lt;&gt;"",COUNTIF(Table3[LEVEL 5 MAT NO.],Table412[[#This Row],[MAT]]),"")</f>
        <v>0</v>
      </c>
      <c r="K173" s="36">
        <f>IFERROR(INDEX(Table3[],MATCH($E173,Table3[LEVEL 5 MAT NO.],0),2),0)</f>
        <v>0</v>
      </c>
      <c r="L173" s="36">
        <f>Table412[[#This Row],[Quantity in BOM]]*Table412[[#This Row],[Freq]]</f>
        <v>0</v>
      </c>
      <c r="M173" s="36" t="str">
        <f>IF(Table412[[#This Row],[Exist]]=1,Table412[[#This Row],[MAT]],"")</f>
        <v/>
      </c>
      <c r="N173" s="36" t="str">
        <f>IF(Table412[[#This Row],[Exist]]=1,Table412[[#This Row],[Component]],"")</f>
        <v/>
      </c>
      <c r="O173" s="36">
        <f>IFERROR(VALUE(Table412[[#This Row],[MAT]]&amp;Table412[[#This Row],[X'#]]),IF(COUNTIF(Table412[[#This Row],[MAT]],"*M"),Table412[[#This Row],[MAT]]&amp;Table412[[#This Row],[X'#]],""))</f>
        <v>10551171</v>
      </c>
      <c r="T173" s="133">
        <v>179</v>
      </c>
      <c r="U173" s="134">
        <v>1177229</v>
      </c>
      <c r="V173" s="135" t="s">
        <v>3540</v>
      </c>
    </row>
    <row r="174" spans="1:22" x14ac:dyDescent="0.25">
      <c r="A174" s="37">
        <f t="shared" si="2"/>
        <v>9</v>
      </c>
      <c r="C174" s="36" t="s">
        <v>3538</v>
      </c>
      <c r="D174" s="36" t="s">
        <v>3539</v>
      </c>
      <c r="E174" s="36">
        <v>1055117</v>
      </c>
      <c r="F174" s="36">
        <v>2</v>
      </c>
      <c r="G174" s="36">
        <v>729689</v>
      </c>
      <c r="H174" s="48" t="str">
        <f>IFERROR(INDEX(Table14[],MATCH($G174,Table14[SAPNo],0),3),"")</f>
        <v>Round 1313 CT82  0.018" (S)</v>
      </c>
      <c r="I174" s="37">
        <v>39</v>
      </c>
      <c r="J174" s="37">
        <f>IF(Table412[[#This Row],[MAT]]&lt;&gt;"",COUNTIF(Table3[LEVEL 5 MAT NO.],Table412[[#This Row],[MAT]]),"")</f>
        <v>0</v>
      </c>
      <c r="K174" s="36">
        <f>IFERROR(INDEX(Table3[],MATCH($E174,Table3[LEVEL 5 MAT NO.],0),2),0)</f>
        <v>0</v>
      </c>
      <c r="L174" s="36">
        <f>Table412[[#This Row],[Quantity in BOM]]*Table412[[#This Row],[Freq]]</f>
        <v>0</v>
      </c>
      <c r="M174" s="36" t="str">
        <f>IF(Table412[[#This Row],[Exist]]=1,Table412[[#This Row],[MAT]],"")</f>
        <v/>
      </c>
      <c r="N174" s="36" t="str">
        <f>IF(Table412[[#This Row],[Exist]]=1,Table412[[#This Row],[Component]],"")</f>
        <v/>
      </c>
      <c r="O174" s="36">
        <f>IFERROR(VALUE(Table412[[#This Row],[MAT]]&amp;Table412[[#This Row],[X'#]]),IF(COUNTIF(Table412[[#This Row],[MAT]],"*M"),Table412[[#This Row],[MAT]]&amp;Table412[[#This Row],[X'#]],""))</f>
        <v>10551172</v>
      </c>
      <c r="T174" s="144">
        <v>181</v>
      </c>
      <c r="U174" s="145">
        <v>1100694</v>
      </c>
      <c r="V174" s="146" t="s">
        <v>3541</v>
      </c>
    </row>
    <row r="175" spans="1:22" x14ac:dyDescent="0.25">
      <c r="A175" s="37">
        <f t="shared" si="2"/>
        <v>9</v>
      </c>
      <c r="C175" s="36" t="s">
        <v>3538</v>
      </c>
      <c r="D175" s="36" t="s">
        <v>3539</v>
      </c>
      <c r="E175" s="36">
        <v>1055117</v>
      </c>
      <c r="F175" s="36">
        <v>3</v>
      </c>
      <c r="G175" s="36">
        <v>418525</v>
      </c>
      <c r="H175" s="48" t="str">
        <f>IFERROR(INDEX(Table14[],MATCH($G175,Table14[SAPNo],0),3),"")</f>
        <v>Drop In 1308 CT31   (B)</v>
      </c>
      <c r="I175" s="37">
        <v>6</v>
      </c>
      <c r="J175" s="37">
        <f>IF(Table412[[#This Row],[MAT]]&lt;&gt;"",COUNTIF(Table3[LEVEL 5 MAT NO.],Table412[[#This Row],[MAT]]),"")</f>
        <v>0</v>
      </c>
      <c r="K175" s="36">
        <f>IFERROR(INDEX(Table3[],MATCH($E175,Table3[LEVEL 5 MAT NO.],0),2),0)</f>
        <v>0</v>
      </c>
      <c r="L175" s="36">
        <f>Table412[[#This Row],[Quantity in BOM]]*Table412[[#This Row],[Freq]]</f>
        <v>0</v>
      </c>
      <c r="M175" s="36" t="str">
        <f>IF(Table412[[#This Row],[Exist]]=1,Table412[[#This Row],[MAT]],"")</f>
        <v/>
      </c>
      <c r="N175" s="36" t="str">
        <f>IF(Table412[[#This Row],[Exist]]=1,Table412[[#This Row],[Component]],"")</f>
        <v/>
      </c>
      <c r="O175" s="36">
        <f>IFERROR(VALUE(Table412[[#This Row],[MAT]]&amp;Table412[[#This Row],[X'#]]),IF(COUNTIF(Table412[[#This Row],[MAT]],"*M"),Table412[[#This Row],[MAT]]&amp;Table412[[#This Row],[X'#]],""))</f>
        <v>10551173</v>
      </c>
      <c r="T175" s="144">
        <v>168</v>
      </c>
      <c r="U175" s="145">
        <v>1078377</v>
      </c>
      <c r="V175" s="146" t="s">
        <v>3542</v>
      </c>
    </row>
    <row r="176" spans="1:22" x14ac:dyDescent="0.25">
      <c r="A176" s="37">
        <f t="shared" si="2"/>
        <v>9</v>
      </c>
      <c r="C176" s="36" t="s">
        <v>631</v>
      </c>
      <c r="D176" s="36" t="s">
        <v>465</v>
      </c>
      <c r="E176" s="36">
        <v>1102437</v>
      </c>
      <c r="F176" s="36">
        <v>1</v>
      </c>
      <c r="G176" s="36">
        <v>738227</v>
      </c>
      <c r="H176" s="48" t="str">
        <f>IFERROR(INDEX(Table14[],MATCH($G176,Table14[SAPNo],0),3),"")</f>
        <v>Round 1308 CR31  0.018" (T)</v>
      </c>
      <c r="I176" s="37">
        <v>10</v>
      </c>
      <c r="J176" s="37">
        <f>IF(Table412[[#This Row],[MAT]]&lt;&gt;"",COUNTIF(Table3[LEVEL 5 MAT NO.],Table412[[#This Row],[MAT]]),"")</f>
        <v>0</v>
      </c>
      <c r="K176" s="36">
        <f>IFERROR(INDEX(Table3[],MATCH($E176,Table3[LEVEL 5 MAT NO.],0),2),0)</f>
        <v>0</v>
      </c>
      <c r="L176" s="36">
        <f>Table412[[#This Row],[Quantity in BOM]]*Table412[[#This Row],[Freq]]</f>
        <v>0</v>
      </c>
      <c r="M176" s="36" t="str">
        <f>IF(Table412[[#This Row],[Exist]]=1,Table412[[#This Row],[MAT]],"")</f>
        <v/>
      </c>
      <c r="N176" s="36" t="str">
        <f>IF(Table412[[#This Row],[Exist]]=1,Table412[[#This Row],[Component]],"")</f>
        <v/>
      </c>
      <c r="O176" s="36">
        <f>IFERROR(VALUE(Table412[[#This Row],[MAT]]&amp;Table412[[#This Row],[X'#]]),IF(COUNTIF(Table412[[#This Row],[MAT]],"*M"),Table412[[#This Row],[MAT]]&amp;Table412[[#This Row],[X'#]],""))</f>
        <v>11024371</v>
      </c>
      <c r="T176" s="144">
        <v>170</v>
      </c>
      <c r="U176" s="145">
        <v>1162516</v>
      </c>
      <c r="V176" s="146" t="s">
        <v>3543</v>
      </c>
    </row>
    <row r="177" spans="1:22" x14ac:dyDescent="0.25">
      <c r="A177" s="37">
        <f t="shared" si="2"/>
        <v>9</v>
      </c>
      <c r="C177" s="36" t="s">
        <v>631</v>
      </c>
      <c r="D177" s="36" t="s">
        <v>465</v>
      </c>
      <c r="E177" s="36">
        <v>1102437</v>
      </c>
      <c r="F177" s="36">
        <v>2</v>
      </c>
      <c r="G177" s="36">
        <v>738228</v>
      </c>
      <c r="H177" s="48" t="str">
        <f>IFERROR(INDEX(Table14[],MATCH($G177,Table14[SAPNo],0),3),"")</f>
        <v>Round 1608 CR31  0.018" (T)</v>
      </c>
      <c r="I177" s="37">
        <v>8</v>
      </c>
      <c r="J177" s="37">
        <f>IF(Table412[[#This Row],[MAT]]&lt;&gt;"",COUNTIF(Table3[LEVEL 5 MAT NO.],Table412[[#This Row],[MAT]]),"")</f>
        <v>0</v>
      </c>
      <c r="K177" s="36">
        <f>IFERROR(INDEX(Table3[],MATCH($E177,Table3[LEVEL 5 MAT NO.],0),2),0)</f>
        <v>0</v>
      </c>
      <c r="L177" s="36">
        <f>Table412[[#This Row],[Quantity in BOM]]*Table412[[#This Row],[Freq]]</f>
        <v>0</v>
      </c>
      <c r="M177" s="36" t="str">
        <f>IF(Table412[[#This Row],[Exist]]=1,Table412[[#This Row],[MAT]],"")</f>
        <v/>
      </c>
      <c r="N177" s="36" t="str">
        <f>IF(Table412[[#This Row],[Exist]]=1,Table412[[#This Row],[Component]],"")</f>
        <v/>
      </c>
      <c r="O177" s="36">
        <f>IFERROR(VALUE(Table412[[#This Row],[MAT]]&amp;Table412[[#This Row],[X'#]]),IF(COUNTIF(Table412[[#This Row],[MAT]],"*M"),Table412[[#This Row],[MAT]]&amp;Table412[[#This Row],[X'#]],""))</f>
        <v>11024372</v>
      </c>
      <c r="T177" s="144">
        <v>171</v>
      </c>
      <c r="U177" s="145">
        <v>1162518</v>
      </c>
      <c r="V177" s="146" t="s">
        <v>3544</v>
      </c>
    </row>
    <row r="178" spans="1:22" x14ac:dyDescent="0.25">
      <c r="A178" s="37">
        <f t="shared" si="2"/>
        <v>9</v>
      </c>
      <c r="C178" s="36" t="s">
        <v>631</v>
      </c>
      <c r="D178" s="36" t="s">
        <v>465</v>
      </c>
      <c r="E178" s="36">
        <v>1102437</v>
      </c>
      <c r="F178" s="36">
        <v>3</v>
      </c>
      <c r="G178" s="36">
        <v>661066</v>
      </c>
      <c r="H178" s="48" t="str">
        <f>IFERROR(INDEX(Table14[],MATCH($G178,Table14[SAPNo],0),3),"")</f>
        <v>Round 1613 CR44  0.018" (T)</v>
      </c>
      <c r="I178" s="37">
        <v>6</v>
      </c>
      <c r="J178" s="37">
        <f>IF(Table412[[#This Row],[MAT]]&lt;&gt;"",COUNTIF(Table3[LEVEL 5 MAT NO.],Table412[[#This Row],[MAT]]),"")</f>
        <v>0</v>
      </c>
      <c r="K178" s="36">
        <f>IFERROR(INDEX(Table3[],MATCH($E178,Table3[LEVEL 5 MAT NO.],0),2),0)</f>
        <v>0</v>
      </c>
      <c r="L178" s="36">
        <f>Table412[[#This Row],[Quantity in BOM]]*Table412[[#This Row],[Freq]]</f>
        <v>0</v>
      </c>
      <c r="M178" s="36" t="str">
        <f>IF(Table412[[#This Row],[Exist]]=1,Table412[[#This Row],[MAT]],"")</f>
        <v/>
      </c>
      <c r="N178" s="36" t="str">
        <f>IF(Table412[[#This Row],[Exist]]=1,Table412[[#This Row],[Component]],"")</f>
        <v/>
      </c>
      <c r="O178" s="36">
        <f>IFERROR(VALUE(Table412[[#This Row],[MAT]]&amp;Table412[[#This Row],[X'#]]),IF(COUNTIF(Table412[[#This Row],[MAT]],"*M"),Table412[[#This Row],[MAT]]&amp;Table412[[#This Row],[X'#]],""))</f>
        <v>11024373</v>
      </c>
      <c r="T178" s="144">
        <v>172</v>
      </c>
      <c r="U178" s="145">
        <v>1100759</v>
      </c>
      <c r="V178" s="146" t="s">
        <v>3545</v>
      </c>
    </row>
    <row r="179" spans="1:22" x14ac:dyDescent="0.25">
      <c r="A179" s="37">
        <f t="shared" si="2"/>
        <v>9</v>
      </c>
      <c r="C179" s="36" t="s">
        <v>631</v>
      </c>
      <c r="D179" s="36" t="s">
        <v>465</v>
      </c>
      <c r="E179" s="36">
        <v>1102437</v>
      </c>
      <c r="F179" s="36">
        <v>4</v>
      </c>
      <c r="G179" s="36">
        <v>661065</v>
      </c>
      <c r="H179" s="48" t="str">
        <f>IFERROR(INDEX(Table14[],MATCH($G179,Table14[SAPNo],0),3),"")</f>
        <v>Round 1313 CR31  0.018" (T)</v>
      </c>
      <c r="I179" s="37">
        <v>12</v>
      </c>
      <c r="J179" s="37">
        <f>IF(Table412[[#This Row],[MAT]]&lt;&gt;"",COUNTIF(Table3[LEVEL 5 MAT NO.],Table412[[#This Row],[MAT]]),"")</f>
        <v>0</v>
      </c>
      <c r="K179" s="36">
        <f>IFERROR(INDEX(Table3[],MATCH($E179,Table3[LEVEL 5 MAT NO.],0),2),0)</f>
        <v>0</v>
      </c>
      <c r="L179" s="36">
        <f>Table412[[#This Row],[Quantity in BOM]]*Table412[[#This Row],[Freq]]</f>
        <v>0</v>
      </c>
      <c r="M179" s="36" t="str">
        <f>IF(Table412[[#This Row],[Exist]]=1,Table412[[#This Row],[MAT]],"")</f>
        <v/>
      </c>
      <c r="N179" s="36" t="str">
        <f>IF(Table412[[#This Row],[Exist]]=1,Table412[[#This Row],[Component]],"")</f>
        <v/>
      </c>
      <c r="O179" s="36">
        <f>IFERROR(VALUE(Table412[[#This Row],[MAT]]&amp;Table412[[#This Row],[X'#]]),IF(COUNTIF(Table412[[#This Row],[MAT]],"*M"),Table412[[#This Row],[MAT]]&amp;Table412[[#This Row],[X'#]],""))</f>
        <v>11024374</v>
      </c>
      <c r="T179" s="144">
        <v>173</v>
      </c>
      <c r="U179" s="145">
        <v>1163820</v>
      </c>
      <c r="V179" s="146" t="s">
        <v>3546</v>
      </c>
    </row>
    <row r="180" spans="1:22" x14ac:dyDescent="0.25">
      <c r="A180" s="37">
        <f t="shared" si="2"/>
        <v>9</v>
      </c>
      <c r="C180" s="36" t="s">
        <v>631</v>
      </c>
      <c r="D180" s="36" t="s">
        <v>465</v>
      </c>
      <c r="E180" s="36">
        <v>1102437</v>
      </c>
      <c r="F180" s="36">
        <v>5</v>
      </c>
      <c r="G180" s="36">
        <v>976348</v>
      </c>
      <c r="H180" s="48" t="str">
        <f>IFERROR(INDEX(Table14[],MATCH($G180,Table14[SAPNo],0),3),"")</f>
        <v>Round 1308 CR45 Test Cutter 10C (T)</v>
      </c>
      <c r="I180" s="37">
        <v>21</v>
      </c>
      <c r="J180" s="37">
        <f>IF(Table412[[#This Row],[MAT]]&lt;&gt;"",COUNTIF(Table3[LEVEL 5 MAT NO.],Table412[[#This Row],[MAT]]),"")</f>
        <v>0</v>
      </c>
      <c r="K180" s="36">
        <f>IFERROR(INDEX(Table3[],MATCH($E180,Table3[LEVEL 5 MAT NO.],0),2),0)</f>
        <v>0</v>
      </c>
      <c r="L180" s="36">
        <f>Table412[[#This Row],[Quantity in BOM]]*Table412[[#This Row],[Freq]]</f>
        <v>0</v>
      </c>
      <c r="M180" s="36" t="str">
        <f>IF(Table412[[#This Row],[Exist]]=1,Table412[[#This Row],[MAT]],"")</f>
        <v/>
      </c>
      <c r="N180" s="36" t="str">
        <f>IF(Table412[[#This Row],[Exist]]=1,Table412[[#This Row],[Component]],"")</f>
        <v/>
      </c>
      <c r="O180" s="36">
        <f>IFERROR(VALUE(Table412[[#This Row],[MAT]]&amp;Table412[[#This Row],[X'#]]),IF(COUNTIF(Table412[[#This Row],[MAT]],"*M"),Table412[[#This Row],[MAT]]&amp;Table412[[#This Row],[X'#]],""))</f>
        <v>11024375</v>
      </c>
      <c r="T180" s="144">
        <v>175</v>
      </c>
      <c r="U180" s="145">
        <v>1100751</v>
      </c>
      <c r="V180" s="146" t="s">
        <v>3547</v>
      </c>
    </row>
    <row r="181" spans="1:22" x14ac:dyDescent="0.25">
      <c r="A181" s="37">
        <f t="shared" si="2"/>
        <v>9</v>
      </c>
      <c r="C181" s="36" t="s">
        <v>631</v>
      </c>
      <c r="D181" s="36" t="s">
        <v>465</v>
      </c>
      <c r="E181" s="36">
        <v>1102437</v>
      </c>
      <c r="F181" s="36">
        <v>6</v>
      </c>
      <c r="G181" s="36">
        <v>418525</v>
      </c>
      <c r="H181" s="48" t="str">
        <f>IFERROR(INDEX(Table14[],MATCH($G181,Table14[SAPNo],0),3),"")</f>
        <v>Drop In 1308 CT31   (B)</v>
      </c>
      <c r="I181" s="37">
        <v>7</v>
      </c>
      <c r="J181" s="37">
        <f>IF(Table412[[#This Row],[MAT]]&lt;&gt;"",COUNTIF(Table3[LEVEL 5 MAT NO.],Table412[[#This Row],[MAT]]),"")</f>
        <v>0</v>
      </c>
      <c r="K181" s="36">
        <f>IFERROR(INDEX(Table3[],MATCH($E181,Table3[LEVEL 5 MAT NO.],0),2),0)</f>
        <v>0</v>
      </c>
      <c r="L181" s="36">
        <f>Table412[[#This Row],[Quantity in BOM]]*Table412[[#This Row],[Freq]]</f>
        <v>0</v>
      </c>
      <c r="M181" s="36" t="str">
        <f>IF(Table412[[#This Row],[Exist]]=1,Table412[[#This Row],[MAT]],"")</f>
        <v/>
      </c>
      <c r="N181" s="36" t="str">
        <f>IF(Table412[[#This Row],[Exist]]=1,Table412[[#This Row],[Component]],"")</f>
        <v/>
      </c>
      <c r="O181" s="36">
        <f>IFERROR(VALUE(Table412[[#This Row],[MAT]]&amp;Table412[[#This Row],[X'#]]),IF(COUNTIF(Table412[[#This Row],[MAT]],"*M"),Table412[[#This Row],[MAT]]&amp;Table412[[#This Row],[X'#]],""))</f>
        <v>11024376</v>
      </c>
      <c r="T181" s="144">
        <v>178</v>
      </c>
      <c r="U181" s="145">
        <v>1209410</v>
      </c>
      <c r="V181" s="146" t="s">
        <v>3548</v>
      </c>
    </row>
    <row r="182" spans="1:22" x14ac:dyDescent="0.25">
      <c r="A182" s="37">
        <f t="shared" si="2"/>
        <v>9</v>
      </c>
      <c r="C182" s="36" t="s">
        <v>3549</v>
      </c>
      <c r="D182" s="36" t="s">
        <v>3496</v>
      </c>
      <c r="E182" s="36">
        <v>803492</v>
      </c>
      <c r="F182" s="36">
        <v>1</v>
      </c>
      <c r="G182" s="36">
        <v>773383</v>
      </c>
      <c r="H182" s="48" t="str">
        <f>IFERROR(INDEX(Table14[],MATCH($G182,Table14[SAPNo],0),3),"")</f>
        <v>Round 1005 CT200  10C (B)</v>
      </c>
      <c r="I182" s="37">
        <v>4</v>
      </c>
      <c r="J182" s="37">
        <f>IF(Table412[[#This Row],[MAT]]&lt;&gt;"",COUNTIF(Table3[LEVEL 5 MAT NO.],Table412[[#This Row],[MAT]]),"")</f>
        <v>0</v>
      </c>
      <c r="K182" s="36">
        <f>IFERROR(INDEX(Table3[],MATCH($E182,Table3[LEVEL 5 MAT NO.],0),2),0)</f>
        <v>0</v>
      </c>
      <c r="L182" s="36">
        <f>Table412[[#This Row],[Quantity in BOM]]*Table412[[#This Row],[Freq]]</f>
        <v>0</v>
      </c>
      <c r="M182" s="36" t="str">
        <f>IF(Table412[[#This Row],[Exist]]=1,Table412[[#This Row],[MAT]],"")</f>
        <v/>
      </c>
      <c r="N182" s="36" t="str">
        <f>IF(Table412[[#This Row],[Exist]]=1,Table412[[#This Row],[Component]],"")</f>
        <v/>
      </c>
      <c r="O182" s="36">
        <f>IFERROR(VALUE(Table412[[#This Row],[MAT]]&amp;Table412[[#This Row],[X'#]]),IF(COUNTIF(Table412[[#This Row],[MAT]],"*M"),Table412[[#This Row],[MAT]]&amp;Table412[[#This Row],[X'#]],""))</f>
        <v>8034921</v>
      </c>
      <c r="T182" s="144">
        <v>180</v>
      </c>
      <c r="U182" s="145">
        <v>1209332</v>
      </c>
      <c r="V182" s="146" t="s">
        <v>3550</v>
      </c>
    </row>
    <row r="183" spans="1:22" x14ac:dyDescent="0.25">
      <c r="A183" s="37">
        <f t="shared" si="2"/>
        <v>9</v>
      </c>
      <c r="C183" s="36" t="s">
        <v>3549</v>
      </c>
      <c r="D183" s="36" t="s">
        <v>3496</v>
      </c>
      <c r="E183" s="36">
        <v>803492</v>
      </c>
      <c r="F183" s="36">
        <v>2</v>
      </c>
      <c r="G183" s="36">
        <v>745171</v>
      </c>
      <c r="H183" s="48" t="str">
        <f>IFERROR(INDEX(Table14[],MATCH($G183,Table14[SAPNo],0),3),"")</f>
        <v>Round 1308 CT80  10C (B)</v>
      </c>
      <c r="I183" s="37">
        <v>28</v>
      </c>
      <c r="J183" s="37">
        <f>IF(Table412[[#This Row],[MAT]]&lt;&gt;"",COUNTIF(Table3[LEVEL 5 MAT NO.],Table412[[#This Row],[MAT]]),"")</f>
        <v>0</v>
      </c>
      <c r="K183" s="36">
        <f>IFERROR(INDEX(Table3[],MATCH($E183,Table3[LEVEL 5 MAT NO.],0),2),0)</f>
        <v>0</v>
      </c>
      <c r="L183" s="36">
        <f>Table412[[#This Row],[Quantity in BOM]]*Table412[[#This Row],[Freq]]</f>
        <v>0</v>
      </c>
      <c r="M183" s="36" t="str">
        <f>IF(Table412[[#This Row],[Exist]]=1,Table412[[#This Row],[MAT]],"")</f>
        <v/>
      </c>
      <c r="N183" s="36" t="str">
        <f>IF(Table412[[#This Row],[Exist]]=1,Table412[[#This Row],[Component]],"")</f>
        <v/>
      </c>
      <c r="O183" s="36">
        <f>IFERROR(VALUE(Table412[[#This Row],[MAT]]&amp;Table412[[#This Row],[X'#]]),IF(COUNTIF(Table412[[#This Row],[MAT]],"*M"),Table412[[#This Row],[MAT]]&amp;Table412[[#This Row],[X'#]],""))</f>
        <v>8034922</v>
      </c>
      <c r="T183" s="144">
        <v>182</v>
      </c>
      <c r="U183" s="145">
        <v>1199265</v>
      </c>
      <c r="V183" s="146" t="s">
        <v>3551</v>
      </c>
    </row>
    <row r="184" spans="1:22" x14ac:dyDescent="0.25">
      <c r="A184" s="37">
        <f t="shared" si="2"/>
        <v>9</v>
      </c>
      <c r="C184" s="36" t="s">
        <v>3549</v>
      </c>
      <c r="D184" s="36" t="s">
        <v>3496</v>
      </c>
      <c r="E184" s="36">
        <v>803492</v>
      </c>
      <c r="F184" s="36">
        <v>3</v>
      </c>
      <c r="G184" s="36">
        <v>717749</v>
      </c>
      <c r="H184" s="48" t="str">
        <f>IFERROR(INDEX(Table14[],MATCH($G184,Table14[SAPNo],0),3),"")</f>
        <v>Round 1308 CT200  10C (B)</v>
      </c>
      <c r="I184" s="37">
        <v>8</v>
      </c>
      <c r="J184" s="37">
        <f>IF(Table412[[#This Row],[MAT]]&lt;&gt;"",COUNTIF(Table3[LEVEL 5 MAT NO.],Table412[[#This Row],[MAT]]),"")</f>
        <v>0</v>
      </c>
      <c r="K184" s="36">
        <f>IFERROR(INDEX(Table3[],MATCH($E184,Table3[LEVEL 5 MAT NO.],0),2),0)</f>
        <v>0</v>
      </c>
      <c r="L184" s="36">
        <f>Table412[[#This Row],[Quantity in BOM]]*Table412[[#This Row],[Freq]]</f>
        <v>0</v>
      </c>
      <c r="M184" s="36" t="str">
        <f>IF(Table412[[#This Row],[Exist]]=1,Table412[[#This Row],[MAT]],"")</f>
        <v/>
      </c>
      <c r="N184" s="36" t="str">
        <f>IF(Table412[[#This Row],[Exist]]=1,Table412[[#This Row],[Component]],"")</f>
        <v/>
      </c>
      <c r="O184" s="36">
        <f>IFERROR(VALUE(Table412[[#This Row],[MAT]]&amp;Table412[[#This Row],[X'#]]),IF(COUNTIF(Table412[[#This Row],[MAT]],"*M"),Table412[[#This Row],[MAT]]&amp;Table412[[#This Row],[X'#]],""))</f>
        <v>8034923</v>
      </c>
      <c r="T184" s="133">
        <v>183</v>
      </c>
      <c r="U184" s="134">
        <v>1199266</v>
      </c>
      <c r="V184" s="135" t="s">
        <v>3552</v>
      </c>
    </row>
    <row r="185" spans="1:22" x14ac:dyDescent="0.25">
      <c r="A185" s="37">
        <f t="shared" si="2"/>
        <v>9</v>
      </c>
      <c r="C185" s="36" t="s">
        <v>3549</v>
      </c>
      <c r="D185" s="36" t="s">
        <v>3496</v>
      </c>
      <c r="E185" s="36">
        <v>803492</v>
      </c>
      <c r="F185" s="36">
        <v>4</v>
      </c>
      <c r="G185" s="36">
        <v>418525</v>
      </c>
      <c r="H185" s="48" t="str">
        <f>IFERROR(INDEX(Table14[],MATCH($G185,Table14[SAPNo],0),3),"")</f>
        <v>Drop In 1308 CT31   (B)</v>
      </c>
      <c r="I185" s="37">
        <v>8</v>
      </c>
      <c r="J185" s="37">
        <f>IF(Table412[[#This Row],[MAT]]&lt;&gt;"",COUNTIF(Table3[LEVEL 5 MAT NO.],Table412[[#This Row],[MAT]]),"")</f>
        <v>0</v>
      </c>
      <c r="K185" s="36">
        <f>IFERROR(INDEX(Table3[],MATCH($E185,Table3[LEVEL 5 MAT NO.],0),2),0)</f>
        <v>0</v>
      </c>
      <c r="L185" s="36">
        <f>Table412[[#This Row],[Quantity in BOM]]*Table412[[#This Row],[Freq]]</f>
        <v>0</v>
      </c>
      <c r="M185" s="36" t="str">
        <f>IF(Table412[[#This Row],[Exist]]=1,Table412[[#This Row],[MAT]],"")</f>
        <v/>
      </c>
      <c r="N185" s="36" t="str">
        <f>IF(Table412[[#This Row],[Exist]]=1,Table412[[#This Row],[Component]],"")</f>
        <v/>
      </c>
      <c r="O185" s="36">
        <f>IFERROR(VALUE(Table412[[#This Row],[MAT]]&amp;Table412[[#This Row],[X'#]]),IF(COUNTIF(Table412[[#This Row],[MAT]],"*M"),Table412[[#This Row],[MAT]]&amp;Table412[[#This Row],[X'#]],""))</f>
        <v>8034924</v>
      </c>
      <c r="T185" s="133"/>
      <c r="U185" s="134">
        <v>1165796</v>
      </c>
      <c r="V185" s="135" t="s">
        <v>3553</v>
      </c>
    </row>
    <row r="186" spans="1:22" x14ac:dyDescent="0.25">
      <c r="A186" s="37">
        <f t="shared" si="2"/>
        <v>9</v>
      </c>
      <c r="C186" s="36" t="s">
        <v>3549</v>
      </c>
      <c r="D186" s="36" t="s">
        <v>3496</v>
      </c>
      <c r="E186" s="36">
        <v>803492</v>
      </c>
      <c r="F186" s="36">
        <v>5</v>
      </c>
      <c r="G186" s="36">
        <v>176086</v>
      </c>
      <c r="H186" s="48" t="str">
        <f>IFERROR(INDEX(Table14[],MATCH($G186,Table14[SAPNo],0),3),"")</f>
        <v/>
      </c>
      <c r="I186" s="37">
        <v>8</v>
      </c>
      <c r="J186" s="37">
        <f>IF(Table412[[#This Row],[MAT]]&lt;&gt;"",COUNTIF(Table3[LEVEL 5 MAT NO.],Table412[[#This Row],[MAT]]),"")</f>
        <v>0</v>
      </c>
      <c r="K186" s="36">
        <f>IFERROR(INDEX(Table3[],MATCH($E186,Table3[LEVEL 5 MAT NO.],0),2),0)</f>
        <v>0</v>
      </c>
      <c r="L186" s="36">
        <f>Table412[[#This Row],[Quantity in BOM]]*Table412[[#This Row],[Freq]]</f>
        <v>0</v>
      </c>
      <c r="M186" s="36" t="str">
        <f>IF(Table412[[#This Row],[Exist]]=1,Table412[[#This Row],[MAT]],"")</f>
        <v/>
      </c>
      <c r="N186" s="36" t="str">
        <f>IF(Table412[[#This Row],[Exist]]=1,Table412[[#This Row],[Component]],"")</f>
        <v/>
      </c>
      <c r="O186" s="36">
        <f>IFERROR(VALUE(Table412[[#This Row],[MAT]]&amp;Table412[[#This Row],[X'#]]),IF(COUNTIF(Table412[[#This Row],[MAT]],"*M"),Table412[[#This Row],[MAT]]&amp;Table412[[#This Row],[X'#]],""))</f>
        <v>8034925</v>
      </c>
      <c r="T186" s="133">
        <v>184</v>
      </c>
      <c r="U186" s="134">
        <v>1145491</v>
      </c>
      <c r="V186" s="135" t="s">
        <v>4238</v>
      </c>
    </row>
    <row r="187" spans="1:22" x14ac:dyDescent="0.25">
      <c r="A187" s="37">
        <f t="shared" si="2"/>
        <v>9</v>
      </c>
      <c r="C187" s="36" t="s">
        <v>3549</v>
      </c>
      <c r="D187" s="36" t="s">
        <v>3455</v>
      </c>
      <c r="E187" s="36">
        <v>1109628</v>
      </c>
      <c r="F187" s="36">
        <v>1</v>
      </c>
      <c r="G187" s="36">
        <v>717747</v>
      </c>
      <c r="H187" s="48" t="str">
        <f>IFERROR(INDEX(Table14[],MATCH($G187,Table14[SAPNo],0),3),"")</f>
        <v>Round 1010 CT200  10C (B)</v>
      </c>
      <c r="I187" s="37">
        <v>54</v>
      </c>
      <c r="J187" s="37">
        <f>IF(Table412[[#This Row],[MAT]]&lt;&gt;"",COUNTIF(Table3[LEVEL 5 MAT NO.],Table412[[#This Row],[MAT]]),"")</f>
        <v>0</v>
      </c>
      <c r="K187" s="36">
        <f>IFERROR(INDEX(Table3[],MATCH($E187,Table3[LEVEL 5 MAT NO.],0),2),0)</f>
        <v>0</v>
      </c>
      <c r="L187" s="36">
        <f>Table412[[#This Row],[Quantity in BOM]]*Table412[[#This Row],[Freq]]</f>
        <v>0</v>
      </c>
      <c r="M187" s="36" t="str">
        <f>IF(Table412[[#This Row],[Exist]]=1,Table412[[#This Row],[MAT]],"")</f>
        <v/>
      </c>
      <c r="N187" s="36" t="str">
        <f>IF(Table412[[#This Row],[Exist]]=1,Table412[[#This Row],[Component]],"")</f>
        <v/>
      </c>
      <c r="O187" s="36">
        <f>IFERROR(VALUE(Table412[[#This Row],[MAT]]&amp;Table412[[#This Row],[X'#]]),IF(COUNTIF(Table412[[#This Row],[MAT]],"*M"),Table412[[#This Row],[MAT]]&amp;Table412[[#This Row],[X'#]],""))</f>
        <v>11096281</v>
      </c>
      <c r="T187" s="133">
        <v>188</v>
      </c>
      <c r="U187" s="134">
        <v>1130194</v>
      </c>
      <c r="V187" s="135" t="s">
        <v>1386</v>
      </c>
    </row>
    <row r="188" spans="1:22" x14ac:dyDescent="0.25">
      <c r="A188" s="37">
        <f t="shared" si="2"/>
        <v>9</v>
      </c>
      <c r="C188" s="36" t="s">
        <v>3549</v>
      </c>
      <c r="D188" s="36" t="s">
        <v>3455</v>
      </c>
      <c r="E188" s="36">
        <v>1109628</v>
      </c>
      <c r="F188" s="36">
        <v>2</v>
      </c>
      <c r="G188" s="36">
        <v>703670</v>
      </c>
      <c r="H188" s="48" t="str">
        <f>IFERROR(INDEX(Table14[],MATCH($G188,Table14[SAPNo],0),3),"")</f>
        <v>Round 1313 CT200  10C (B)</v>
      </c>
      <c r="I188" s="37">
        <v>12</v>
      </c>
      <c r="J188" s="37">
        <f>IF(Table412[[#This Row],[MAT]]&lt;&gt;"",COUNTIF(Table3[LEVEL 5 MAT NO.],Table412[[#This Row],[MAT]]),"")</f>
        <v>0</v>
      </c>
      <c r="K188" s="36">
        <f>IFERROR(INDEX(Table3[],MATCH($E188,Table3[LEVEL 5 MAT NO.],0),2),0)</f>
        <v>0</v>
      </c>
      <c r="L188" s="36">
        <f>Table412[[#This Row],[Quantity in BOM]]*Table412[[#This Row],[Freq]]</f>
        <v>0</v>
      </c>
      <c r="M188" s="36" t="str">
        <f>IF(Table412[[#This Row],[Exist]]=1,Table412[[#This Row],[MAT]],"")</f>
        <v/>
      </c>
      <c r="N188" s="36" t="str">
        <f>IF(Table412[[#This Row],[Exist]]=1,Table412[[#This Row],[Component]],"")</f>
        <v/>
      </c>
      <c r="O188" s="36">
        <f>IFERROR(VALUE(Table412[[#This Row],[MAT]]&amp;Table412[[#This Row],[X'#]]),IF(COUNTIF(Table412[[#This Row],[MAT]],"*M"),Table412[[#This Row],[MAT]]&amp;Table412[[#This Row],[X'#]],""))</f>
        <v>11096282</v>
      </c>
      <c r="T188" s="133">
        <v>189</v>
      </c>
      <c r="U188" s="134">
        <v>1217988</v>
      </c>
      <c r="V188" s="135" t="s">
        <v>3554</v>
      </c>
    </row>
    <row r="189" spans="1:22" x14ac:dyDescent="0.25">
      <c r="A189" s="37">
        <f t="shared" si="2"/>
        <v>9</v>
      </c>
      <c r="C189" s="36" t="s">
        <v>3549</v>
      </c>
      <c r="D189" s="36" t="s">
        <v>3455</v>
      </c>
      <c r="E189" s="36">
        <v>1109628</v>
      </c>
      <c r="F189" s="36">
        <v>3</v>
      </c>
      <c r="G189" s="36">
        <v>418525</v>
      </c>
      <c r="H189" s="48" t="str">
        <f>IFERROR(INDEX(Table14[],MATCH($G189,Table14[SAPNo],0),3),"")</f>
        <v>Drop In 1308 CT31   (B)</v>
      </c>
      <c r="I189" s="37">
        <v>9</v>
      </c>
      <c r="J189" s="37">
        <f>IF(Table412[[#This Row],[MAT]]&lt;&gt;"",COUNTIF(Table3[LEVEL 5 MAT NO.],Table412[[#This Row],[MAT]]),"")</f>
        <v>0</v>
      </c>
      <c r="K189" s="36">
        <f>IFERROR(INDEX(Table3[],MATCH($E189,Table3[LEVEL 5 MAT NO.],0),2),0)</f>
        <v>0</v>
      </c>
      <c r="L189" s="36">
        <f>Table412[[#This Row],[Quantity in BOM]]*Table412[[#This Row],[Freq]]</f>
        <v>0</v>
      </c>
      <c r="M189" s="36" t="str">
        <f>IF(Table412[[#This Row],[Exist]]=1,Table412[[#This Row],[MAT]],"")</f>
        <v/>
      </c>
      <c r="N189" s="36" t="str">
        <f>IF(Table412[[#This Row],[Exist]]=1,Table412[[#This Row],[Component]],"")</f>
        <v/>
      </c>
      <c r="O189" s="36">
        <f>IFERROR(VALUE(Table412[[#This Row],[MAT]]&amp;Table412[[#This Row],[X'#]]),IF(COUNTIF(Table412[[#This Row],[MAT]],"*M"),Table412[[#This Row],[MAT]]&amp;Table412[[#This Row],[X'#]],""))</f>
        <v>11096283</v>
      </c>
      <c r="T189" s="133"/>
      <c r="U189" s="134">
        <v>1162511</v>
      </c>
      <c r="V189" s="135" t="s">
        <v>3555</v>
      </c>
    </row>
    <row r="190" spans="1:22" x14ac:dyDescent="0.25">
      <c r="A190" s="37">
        <f t="shared" si="2"/>
        <v>9</v>
      </c>
      <c r="C190" s="36" t="s">
        <v>3459</v>
      </c>
      <c r="D190" s="36" t="s">
        <v>3496</v>
      </c>
      <c r="E190" s="36">
        <v>792657</v>
      </c>
      <c r="F190" s="36">
        <v>1</v>
      </c>
      <c r="G190" s="36">
        <v>773383</v>
      </c>
      <c r="H190" s="48" t="str">
        <f>IFERROR(INDEX(Table14[],MATCH($G190,Table14[SAPNo],0),3),"")</f>
        <v>Round 1005 CT200  10C (B)</v>
      </c>
      <c r="I190" s="37">
        <v>4</v>
      </c>
      <c r="J190" s="37">
        <f>IF(Table412[[#This Row],[MAT]]&lt;&gt;"",COUNTIF(Table3[LEVEL 5 MAT NO.],Table412[[#This Row],[MAT]]),"")</f>
        <v>0</v>
      </c>
      <c r="K190" s="36">
        <f>IFERROR(INDEX(Table3[],MATCH($E190,Table3[LEVEL 5 MAT NO.],0),2),0)</f>
        <v>0</v>
      </c>
      <c r="L190" s="36">
        <f>Table412[[#This Row],[Quantity in BOM]]*Table412[[#This Row],[Freq]]</f>
        <v>0</v>
      </c>
      <c r="M190" s="36" t="str">
        <f>IF(Table412[[#This Row],[Exist]]=1,Table412[[#This Row],[MAT]],"")</f>
        <v/>
      </c>
      <c r="N190" s="36" t="str">
        <f>IF(Table412[[#This Row],[Exist]]=1,Table412[[#This Row],[Component]],"")</f>
        <v/>
      </c>
      <c r="O190" s="36">
        <f>IFERROR(VALUE(Table412[[#This Row],[MAT]]&amp;Table412[[#This Row],[X'#]]),IF(COUNTIF(Table412[[#This Row],[MAT]],"*M"),Table412[[#This Row],[MAT]]&amp;Table412[[#This Row],[X'#]],""))</f>
        <v>7926571</v>
      </c>
      <c r="T190" s="133">
        <v>190</v>
      </c>
      <c r="U190" s="134">
        <v>1209333</v>
      </c>
      <c r="V190" s="135" t="s">
        <v>3556</v>
      </c>
    </row>
    <row r="191" spans="1:22" x14ac:dyDescent="0.25">
      <c r="A191" s="37">
        <f t="shared" si="2"/>
        <v>9</v>
      </c>
      <c r="B191" s="37"/>
      <c r="C191" s="37" t="s">
        <v>3459</v>
      </c>
      <c r="D191" s="37" t="s">
        <v>3496</v>
      </c>
      <c r="E191" s="37">
        <v>792657</v>
      </c>
      <c r="F191" s="37">
        <v>2</v>
      </c>
      <c r="G191" s="37">
        <v>745171</v>
      </c>
      <c r="H191" s="48" t="str">
        <f>IFERROR(INDEX(Table14[],MATCH($G191,Table14[SAPNo],0),3),"")</f>
        <v>Round 1308 CT80  10C (B)</v>
      </c>
      <c r="I191" s="37">
        <v>28</v>
      </c>
      <c r="J191" s="37">
        <f>IF(Table412[[#This Row],[MAT]]&lt;&gt;"",COUNTIF(Table3[LEVEL 5 MAT NO.],Table412[[#This Row],[MAT]]),"")</f>
        <v>0</v>
      </c>
      <c r="K191" s="36">
        <f>IFERROR(INDEX(Table3[],MATCH($E191,Table3[LEVEL 5 MAT NO.],0),2),0)</f>
        <v>0</v>
      </c>
      <c r="L191" s="36">
        <f>Table412[[#This Row],[Quantity in BOM]]*Table412[[#This Row],[Freq]]</f>
        <v>0</v>
      </c>
      <c r="M191" s="36" t="str">
        <f>IF(Table412[[#This Row],[Exist]]=1,Table412[[#This Row],[MAT]],"")</f>
        <v/>
      </c>
      <c r="N191" s="36" t="str">
        <f>IF(Table412[[#This Row],[Exist]]=1,Table412[[#This Row],[Component]],"")</f>
        <v/>
      </c>
      <c r="O191" s="36">
        <f>IFERROR(VALUE(Table412[[#This Row],[MAT]]&amp;Table412[[#This Row],[X'#]]),IF(COUNTIF(Table412[[#This Row],[MAT]],"*M"),Table412[[#This Row],[MAT]]&amp;Table412[[#This Row],[X'#]],""))</f>
        <v>7926572</v>
      </c>
      <c r="T191" s="133">
        <v>191</v>
      </c>
      <c r="U191" s="134">
        <v>1050703</v>
      </c>
      <c r="V191" s="135" t="s">
        <v>3557</v>
      </c>
    </row>
    <row r="192" spans="1:22" x14ac:dyDescent="0.25">
      <c r="A192" s="37">
        <f t="shared" si="2"/>
        <v>9</v>
      </c>
      <c r="B192" s="37"/>
      <c r="C192" s="37" t="s">
        <v>3459</v>
      </c>
      <c r="D192" s="37" t="s">
        <v>3496</v>
      </c>
      <c r="E192" s="37">
        <v>792657</v>
      </c>
      <c r="F192" s="37">
        <v>3</v>
      </c>
      <c r="G192" s="37">
        <v>717749</v>
      </c>
      <c r="H192" s="48" t="str">
        <f>IFERROR(INDEX(Table14[],MATCH($G192,Table14[SAPNo],0),3),"")</f>
        <v>Round 1308 CT200  10C (B)</v>
      </c>
      <c r="I192" s="37">
        <v>8</v>
      </c>
      <c r="J192" s="37">
        <f>IF(Table412[[#This Row],[MAT]]&lt;&gt;"",COUNTIF(Table3[LEVEL 5 MAT NO.],Table412[[#This Row],[MAT]]),"")</f>
        <v>0</v>
      </c>
      <c r="K192" s="36">
        <f>IFERROR(INDEX(Table3[],MATCH($E192,Table3[LEVEL 5 MAT NO.],0),2),0)</f>
        <v>0</v>
      </c>
      <c r="L192" s="36">
        <f>Table412[[#This Row],[Quantity in BOM]]*Table412[[#This Row],[Freq]]</f>
        <v>0</v>
      </c>
      <c r="M192" s="36" t="str">
        <f>IF(Table412[[#This Row],[Exist]]=1,Table412[[#This Row],[MAT]],"")</f>
        <v/>
      </c>
      <c r="N192" s="36" t="str">
        <f>IF(Table412[[#This Row],[Exist]]=1,Table412[[#This Row],[Component]],"")</f>
        <v/>
      </c>
      <c r="O192" s="36">
        <f>IFERROR(VALUE(Table412[[#This Row],[MAT]]&amp;Table412[[#This Row],[X'#]]),IF(COUNTIF(Table412[[#This Row],[MAT]],"*M"),Table412[[#This Row],[MAT]]&amp;Table412[[#This Row],[X'#]],""))</f>
        <v>7926573</v>
      </c>
      <c r="T192" s="133">
        <v>192</v>
      </c>
      <c r="U192" s="134">
        <v>1233855</v>
      </c>
      <c r="V192" s="135" t="s">
        <v>3558</v>
      </c>
    </row>
    <row r="193" spans="1:22" x14ac:dyDescent="0.25">
      <c r="A193" s="37">
        <f t="shared" si="2"/>
        <v>9</v>
      </c>
      <c r="B193" s="37"/>
      <c r="C193" s="37" t="s">
        <v>3459</v>
      </c>
      <c r="D193" s="37" t="s">
        <v>3496</v>
      </c>
      <c r="E193" s="37">
        <v>792657</v>
      </c>
      <c r="F193" s="37">
        <v>4</v>
      </c>
      <c r="G193" s="37">
        <v>418525</v>
      </c>
      <c r="H193" s="48" t="str">
        <f>IFERROR(INDEX(Table14[],MATCH($G193,Table14[SAPNo],0),3),"")</f>
        <v>Drop In 1308 CT31   (B)</v>
      </c>
      <c r="I193" s="37">
        <v>8</v>
      </c>
      <c r="J193" s="37">
        <f>IF(Table412[[#This Row],[MAT]]&lt;&gt;"",COUNTIF(Table3[LEVEL 5 MAT NO.],Table412[[#This Row],[MAT]]),"")</f>
        <v>0</v>
      </c>
      <c r="K193" s="36">
        <f>IFERROR(INDEX(Table3[],MATCH($E193,Table3[LEVEL 5 MAT NO.],0),2),0)</f>
        <v>0</v>
      </c>
      <c r="L193" s="36">
        <f>Table412[[#This Row],[Quantity in BOM]]*Table412[[#This Row],[Freq]]</f>
        <v>0</v>
      </c>
      <c r="M193" s="36" t="str">
        <f>IF(Table412[[#This Row],[Exist]]=1,Table412[[#This Row],[MAT]],"")</f>
        <v/>
      </c>
      <c r="N193" s="36" t="str">
        <f>IF(Table412[[#This Row],[Exist]]=1,Table412[[#This Row],[Component]],"")</f>
        <v/>
      </c>
      <c r="O193" s="36">
        <f>IFERROR(VALUE(Table412[[#This Row],[MAT]]&amp;Table412[[#This Row],[X'#]]),IF(COUNTIF(Table412[[#This Row],[MAT]],"*M"),Table412[[#This Row],[MAT]]&amp;Table412[[#This Row],[X'#]],""))</f>
        <v>7926574</v>
      </c>
      <c r="T193" s="133">
        <v>193</v>
      </c>
      <c r="U193" s="134">
        <v>1208601</v>
      </c>
      <c r="V193" s="135" t="s">
        <v>3560</v>
      </c>
    </row>
    <row r="194" spans="1:22" x14ac:dyDescent="0.25">
      <c r="A194" s="37">
        <f t="shared" si="2"/>
        <v>9</v>
      </c>
      <c r="B194" s="37"/>
      <c r="C194" s="37">
        <v>6.125</v>
      </c>
      <c r="D194" s="37" t="s">
        <v>3559</v>
      </c>
      <c r="E194" s="37">
        <v>1108037</v>
      </c>
      <c r="F194" s="37">
        <v>1</v>
      </c>
      <c r="G194" s="37">
        <v>907609</v>
      </c>
      <c r="H194" s="48" t="str">
        <f>IFERROR(INDEX(Table14[],MATCH($G194,Table14[SAPNo],0),3),"")</f>
        <v>Round 1313 CT125 GEDB 10C (S)</v>
      </c>
      <c r="I194" s="37">
        <v>22</v>
      </c>
      <c r="J194" s="37">
        <f>IF(Table412[[#This Row],[MAT]]&lt;&gt;"",COUNTIF(Table3[LEVEL 5 MAT NO.],Table412[[#This Row],[MAT]]),"")</f>
        <v>0</v>
      </c>
      <c r="K194" s="36">
        <f>IFERROR(INDEX(Table3[],MATCH($E194,Table3[LEVEL 5 MAT NO.],0),2),0)</f>
        <v>0</v>
      </c>
      <c r="L194" s="36">
        <f>Table412[[#This Row],[Quantity in BOM]]*Table412[[#This Row],[Freq]]</f>
        <v>0</v>
      </c>
      <c r="M194" s="36" t="str">
        <f>IF(Table412[[#This Row],[Exist]]=1,Table412[[#This Row],[MAT]],"")</f>
        <v/>
      </c>
      <c r="N194" s="36" t="str">
        <f>IF(Table412[[#This Row],[Exist]]=1,Table412[[#This Row],[Component]],"")</f>
        <v/>
      </c>
      <c r="O194" s="36">
        <f>IFERROR(VALUE(Table412[[#This Row],[MAT]]&amp;Table412[[#This Row],[X'#]]),IF(COUNTIF(Table412[[#This Row],[MAT]],"*M"),Table412[[#This Row],[MAT]]&amp;Table412[[#This Row],[X'#]],""))</f>
        <v>11080371</v>
      </c>
      <c r="T194" s="133">
        <v>194</v>
      </c>
      <c r="U194" s="134">
        <v>1235963</v>
      </c>
      <c r="V194" s="135" t="s">
        <v>3561</v>
      </c>
    </row>
    <row r="195" spans="1:22" x14ac:dyDescent="0.25">
      <c r="A195" s="37">
        <f t="shared" ref="A195:A258" si="3">A194+K194</f>
        <v>9</v>
      </c>
      <c r="B195" s="37"/>
      <c r="C195" s="37">
        <v>6.125</v>
      </c>
      <c r="D195" s="37" t="s">
        <v>3559</v>
      </c>
      <c r="E195" s="37">
        <v>1108037</v>
      </c>
      <c r="F195" s="37">
        <v>2</v>
      </c>
      <c r="G195" s="37">
        <v>703670</v>
      </c>
      <c r="H195" s="48" t="str">
        <f>IFERROR(INDEX(Table14[],MATCH($G195,Table14[SAPNo],0),3),"")</f>
        <v>Round 1313 CT200  10C (B)</v>
      </c>
      <c r="I195" s="37">
        <v>3</v>
      </c>
      <c r="J195" s="37">
        <f>IF(Table412[[#This Row],[MAT]]&lt;&gt;"",COUNTIF(Table3[LEVEL 5 MAT NO.],Table412[[#This Row],[MAT]]),"")</f>
        <v>0</v>
      </c>
      <c r="K195" s="36">
        <f>IFERROR(INDEX(Table3[],MATCH($E195,Table3[LEVEL 5 MAT NO.],0),2),0)</f>
        <v>0</v>
      </c>
      <c r="L195" s="36">
        <f>Table412[[#This Row],[Quantity in BOM]]*Table412[[#This Row],[Freq]]</f>
        <v>0</v>
      </c>
      <c r="M195" s="36" t="str">
        <f>IF(Table412[[#This Row],[Exist]]=1,Table412[[#This Row],[MAT]],"")</f>
        <v/>
      </c>
      <c r="N195" s="36" t="str">
        <f>IF(Table412[[#This Row],[Exist]]=1,Table412[[#This Row],[Component]],"")</f>
        <v/>
      </c>
      <c r="O195" s="36">
        <f>IFERROR(VALUE(Table412[[#This Row],[MAT]]&amp;Table412[[#This Row],[X'#]]),IF(COUNTIF(Table412[[#This Row],[MAT]],"*M"),Table412[[#This Row],[MAT]]&amp;Table412[[#This Row],[X'#]],""))</f>
        <v>11080372</v>
      </c>
      <c r="T195" s="133">
        <v>195</v>
      </c>
      <c r="U195" s="134">
        <v>1152018</v>
      </c>
      <c r="V195" s="135" t="s">
        <v>3562</v>
      </c>
    </row>
    <row r="196" spans="1:22" x14ac:dyDescent="0.25">
      <c r="A196" s="37">
        <f t="shared" si="3"/>
        <v>9</v>
      </c>
      <c r="B196" s="37"/>
      <c r="C196" s="37">
        <v>6.125</v>
      </c>
      <c r="D196" s="37" t="s">
        <v>3559</v>
      </c>
      <c r="E196" s="37">
        <v>1108037</v>
      </c>
      <c r="F196" s="37">
        <v>3</v>
      </c>
      <c r="G196" s="37">
        <v>871781</v>
      </c>
      <c r="H196" s="48" t="str">
        <f>IFERROR(INDEX(Table14[],MATCH($G196,Table14[SAPNo],0),3),"")</f>
        <v>Round 1313 CT200  0.018" (B)</v>
      </c>
      <c r="I196" s="37">
        <v>6</v>
      </c>
      <c r="J196" s="37">
        <f>IF(Table412[[#This Row],[MAT]]&lt;&gt;"",COUNTIF(Table3[LEVEL 5 MAT NO.],Table412[[#This Row],[MAT]]),"")</f>
        <v>0</v>
      </c>
      <c r="K196" s="36">
        <f>IFERROR(INDEX(Table3[],MATCH($E196,Table3[LEVEL 5 MAT NO.],0),2),0)</f>
        <v>0</v>
      </c>
      <c r="L196" s="36">
        <f>Table412[[#This Row],[Quantity in BOM]]*Table412[[#This Row],[Freq]]</f>
        <v>0</v>
      </c>
      <c r="M196" s="36" t="str">
        <f>IF(Table412[[#This Row],[Exist]]=1,Table412[[#This Row],[MAT]],"")</f>
        <v/>
      </c>
      <c r="N196" s="36" t="str">
        <f>IF(Table412[[#This Row],[Exist]]=1,Table412[[#This Row],[Component]],"")</f>
        <v/>
      </c>
      <c r="O196" s="36">
        <f>IFERROR(VALUE(Table412[[#This Row],[MAT]]&amp;Table412[[#This Row],[X'#]]),IF(COUNTIF(Table412[[#This Row],[MAT]],"*M"),Table412[[#This Row],[MAT]]&amp;Table412[[#This Row],[X'#]],""))</f>
        <v>11080373</v>
      </c>
      <c r="T196" s="133">
        <v>196</v>
      </c>
      <c r="U196" s="134">
        <v>1219562</v>
      </c>
      <c r="V196" s="135" t="s">
        <v>3564</v>
      </c>
    </row>
    <row r="197" spans="1:22" x14ac:dyDescent="0.25">
      <c r="A197" s="37">
        <f t="shared" si="3"/>
        <v>9</v>
      </c>
      <c r="B197" s="37"/>
      <c r="C197" s="37" t="s">
        <v>631</v>
      </c>
      <c r="D197" s="37" t="s">
        <v>3563</v>
      </c>
      <c r="E197" s="37">
        <v>1103149</v>
      </c>
      <c r="F197" s="37">
        <v>1</v>
      </c>
      <c r="G197" s="37">
        <v>738227</v>
      </c>
      <c r="H197" s="48" t="str">
        <f>IFERROR(INDEX(Table14[],MATCH($G197,Table14[SAPNo],0),3),"")</f>
        <v>Round 1308 CR31  0.018" (T)</v>
      </c>
      <c r="I197" s="37">
        <v>22</v>
      </c>
      <c r="J197" s="37">
        <f>IF(Table412[[#This Row],[MAT]]&lt;&gt;"",COUNTIF(Table3[LEVEL 5 MAT NO.],Table412[[#This Row],[MAT]]),"")</f>
        <v>0</v>
      </c>
      <c r="K197" s="36">
        <f>IFERROR(INDEX(Table3[],MATCH($E197,Table3[LEVEL 5 MAT NO.],0),2),0)</f>
        <v>0</v>
      </c>
      <c r="L197" s="36">
        <f>Table412[[#This Row],[Quantity in BOM]]*Table412[[#This Row],[Freq]]</f>
        <v>0</v>
      </c>
      <c r="M197" s="36" t="str">
        <f>IF(Table412[[#This Row],[Exist]]=1,Table412[[#This Row],[MAT]],"")</f>
        <v/>
      </c>
      <c r="N197" s="36" t="str">
        <f>IF(Table412[[#This Row],[Exist]]=1,Table412[[#This Row],[Component]],"")</f>
        <v/>
      </c>
      <c r="O197" s="36">
        <f>IFERROR(VALUE(Table412[[#This Row],[MAT]]&amp;Table412[[#This Row],[X'#]]),IF(COUNTIF(Table412[[#This Row],[MAT]],"*M"),Table412[[#This Row],[MAT]]&amp;Table412[[#This Row],[X'#]],""))</f>
        <v>11031491</v>
      </c>
      <c r="T197" s="133">
        <v>197</v>
      </c>
      <c r="U197" s="134">
        <v>1219561</v>
      </c>
      <c r="V197" s="135" t="s">
        <v>3565</v>
      </c>
    </row>
    <row r="198" spans="1:22" x14ac:dyDescent="0.25">
      <c r="A198" s="37">
        <f t="shared" si="3"/>
        <v>9</v>
      </c>
      <c r="B198" s="37"/>
      <c r="C198" s="37" t="s">
        <v>631</v>
      </c>
      <c r="D198" s="37" t="s">
        <v>3563</v>
      </c>
      <c r="E198" s="37">
        <v>1103149</v>
      </c>
      <c r="F198" s="37">
        <v>2</v>
      </c>
      <c r="G198" s="37">
        <v>738228</v>
      </c>
      <c r="H198" s="48" t="str">
        <f>IFERROR(INDEX(Table14[],MATCH($G198,Table14[SAPNo],0),3),"")</f>
        <v>Round 1608 CR31  0.018" (T)</v>
      </c>
      <c r="I198" s="37">
        <v>13</v>
      </c>
      <c r="J198" s="37">
        <f>IF(Table412[[#This Row],[MAT]]&lt;&gt;"",COUNTIF(Table3[LEVEL 5 MAT NO.],Table412[[#This Row],[MAT]]),"")</f>
        <v>0</v>
      </c>
      <c r="K198" s="36">
        <f>IFERROR(INDEX(Table3[],MATCH($E198,Table3[LEVEL 5 MAT NO.],0),2),0)</f>
        <v>0</v>
      </c>
      <c r="L198" s="36">
        <f>Table412[[#This Row],[Quantity in BOM]]*Table412[[#This Row],[Freq]]</f>
        <v>0</v>
      </c>
      <c r="M198" s="36" t="str">
        <f>IF(Table412[[#This Row],[Exist]]=1,Table412[[#This Row],[MAT]],"")</f>
        <v/>
      </c>
      <c r="N198" s="36" t="str">
        <f>IF(Table412[[#This Row],[Exist]]=1,Table412[[#This Row],[Component]],"")</f>
        <v/>
      </c>
      <c r="O198" s="36">
        <f>IFERROR(VALUE(Table412[[#This Row],[MAT]]&amp;Table412[[#This Row],[X'#]]),IF(COUNTIF(Table412[[#This Row],[MAT]],"*M"),Table412[[#This Row],[MAT]]&amp;Table412[[#This Row],[X'#]],""))</f>
        <v>11031492</v>
      </c>
      <c r="T198" s="133">
        <v>198</v>
      </c>
      <c r="U198" s="134">
        <v>1223172</v>
      </c>
      <c r="V198" s="135" t="s">
        <v>3566</v>
      </c>
    </row>
    <row r="199" spans="1:22" x14ac:dyDescent="0.25">
      <c r="A199" s="37">
        <f t="shared" si="3"/>
        <v>9</v>
      </c>
      <c r="C199" s="36" t="s">
        <v>631</v>
      </c>
      <c r="D199" s="36" t="s">
        <v>3563</v>
      </c>
      <c r="E199" s="36">
        <v>1103149</v>
      </c>
      <c r="F199" s="36">
        <v>3</v>
      </c>
      <c r="G199" s="36">
        <v>871781</v>
      </c>
      <c r="H199" s="48" t="str">
        <f>IFERROR(INDEX(Table14[],MATCH($G199,Table14[SAPNo],0),3),"")</f>
        <v>Round 1313 CT200  0.018" (B)</v>
      </c>
      <c r="I199" s="37">
        <v>8</v>
      </c>
      <c r="J199" s="37">
        <f>IF(Table412[[#This Row],[MAT]]&lt;&gt;"",COUNTIF(Table3[LEVEL 5 MAT NO.],Table412[[#This Row],[MAT]]),"")</f>
        <v>0</v>
      </c>
      <c r="K199" s="36">
        <f>IFERROR(INDEX(Table3[],MATCH($E199,Table3[LEVEL 5 MAT NO.],0),2),0)</f>
        <v>0</v>
      </c>
      <c r="L199" s="36">
        <f>Table412[[#This Row],[Quantity in BOM]]*Table412[[#This Row],[Freq]]</f>
        <v>0</v>
      </c>
      <c r="M199" s="36" t="str">
        <f>IF(Table412[[#This Row],[Exist]]=1,Table412[[#This Row],[MAT]],"")</f>
        <v/>
      </c>
      <c r="N199" s="36" t="str">
        <f>IF(Table412[[#This Row],[Exist]]=1,Table412[[#This Row],[Component]],"")</f>
        <v/>
      </c>
      <c r="O199" s="36">
        <f>IFERROR(VALUE(Table412[[#This Row],[MAT]]&amp;Table412[[#This Row],[X'#]]),IF(COUNTIF(Table412[[#This Row],[MAT]],"*M"),Table412[[#This Row],[MAT]]&amp;Table412[[#This Row],[X'#]],""))</f>
        <v>11031493</v>
      </c>
      <c r="T199" s="133">
        <v>199</v>
      </c>
      <c r="U199" s="134">
        <v>1234679</v>
      </c>
      <c r="V199" s="135" t="s">
        <v>3567</v>
      </c>
    </row>
    <row r="200" spans="1:22" x14ac:dyDescent="0.25">
      <c r="A200" s="37">
        <f t="shared" si="3"/>
        <v>9</v>
      </c>
      <c r="C200" s="36" t="s">
        <v>631</v>
      </c>
      <c r="D200" s="36" t="s">
        <v>3563</v>
      </c>
      <c r="E200" s="36">
        <v>1103149</v>
      </c>
      <c r="F200" s="36">
        <v>4</v>
      </c>
      <c r="G200" s="36">
        <v>976348</v>
      </c>
      <c r="H200" s="48" t="str">
        <f>IFERROR(INDEX(Table14[],MATCH($G200,Table14[SAPNo],0),3),"")</f>
        <v>Round 1308 CR45 Test Cutter 10C (T)</v>
      </c>
      <c r="I200" s="37">
        <v>16</v>
      </c>
      <c r="J200" s="37">
        <f>IF(Table412[[#This Row],[MAT]]&lt;&gt;"",COUNTIF(Table3[LEVEL 5 MAT NO.],Table412[[#This Row],[MAT]]),"")</f>
        <v>0</v>
      </c>
      <c r="K200" s="36">
        <f>IFERROR(INDEX(Table3[],MATCH($E200,Table3[LEVEL 5 MAT NO.],0),2),0)</f>
        <v>0</v>
      </c>
      <c r="L200" s="36">
        <f>Table412[[#This Row],[Quantity in BOM]]*Table412[[#This Row],[Freq]]</f>
        <v>0</v>
      </c>
      <c r="M200" s="36" t="str">
        <f>IF(Table412[[#This Row],[Exist]]=1,Table412[[#This Row],[MAT]],"")</f>
        <v/>
      </c>
      <c r="N200" s="36" t="str">
        <f>IF(Table412[[#This Row],[Exist]]=1,Table412[[#This Row],[Component]],"")</f>
        <v/>
      </c>
      <c r="O200" s="36">
        <f>IFERROR(VALUE(Table412[[#This Row],[MAT]]&amp;Table412[[#This Row],[X'#]]),IF(COUNTIF(Table412[[#This Row],[MAT]],"*M"),Table412[[#This Row],[MAT]]&amp;Table412[[#This Row],[X'#]],""))</f>
        <v>11031494</v>
      </c>
      <c r="T200" s="133">
        <v>200</v>
      </c>
      <c r="U200" s="134">
        <v>1226868</v>
      </c>
      <c r="V200" s="135" t="s">
        <v>3568</v>
      </c>
    </row>
    <row r="201" spans="1:22" x14ac:dyDescent="0.25">
      <c r="A201" s="37">
        <f t="shared" si="3"/>
        <v>9</v>
      </c>
      <c r="C201" s="38" t="s">
        <v>309</v>
      </c>
      <c r="D201" s="36" t="s">
        <v>635</v>
      </c>
      <c r="E201" s="36">
        <v>965522</v>
      </c>
      <c r="F201" s="36">
        <v>5</v>
      </c>
      <c r="G201" s="36">
        <v>1134752</v>
      </c>
      <c r="H201" s="48" t="str">
        <f>IFERROR(INDEX(Table14[],MATCH($G201,Table14[SAPNo],0),3),"")</f>
        <v>Round 1308 CT182  0.018" (S)</v>
      </c>
      <c r="I201" s="37">
        <v>3</v>
      </c>
      <c r="J201" s="37">
        <f>IF(Table412[[#This Row],[MAT]]&lt;&gt;"",COUNTIF(Table3[LEVEL 5 MAT NO.],Table412[[#This Row],[MAT]]),"")</f>
        <v>1</v>
      </c>
      <c r="K201" s="36">
        <f>IFERROR(INDEX(Table3[],MATCH($E201,Table3[LEVEL 5 MAT NO.],0),2),0)</f>
        <v>2</v>
      </c>
      <c r="L201" s="36">
        <f>Table412[[#This Row],[Quantity in BOM]]*Table412[[#This Row],[Freq]]</f>
        <v>6</v>
      </c>
      <c r="M201" s="36">
        <f>IF(Table412[[#This Row],[Exist]]=1,Table412[[#This Row],[MAT]],"")</f>
        <v>965522</v>
      </c>
      <c r="N201" s="36">
        <f>IF(Table412[[#This Row],[Exist]]=1,Table412[[#This Row],[Component]],"")</f>
        <v>1134752</v>
      </c>
      <c r="O201" s="36">
        <f>IFERROR(VALUE(Table412[[#This Row],[MAT]]&amp;Table412[[#This Row],[X'#]]),IF(COUNTIF(Table412[[#This Row],[MAT]],"*M"),Table412[[#This Row],[MAT]]&amp;Table412[[#This Row],[X'#]],""))</f>
        <v>9655225</v>
      </c>
      <c r="T201" s="133">
        <v>201</v>
      </c>
      <c r="U201" s="134">
        <v>1146737</v>
      </c>
      <c r="V201" s="135" t="s">
        <v>3569</v>
      </c>
    </row>
    <row r="202" spans="1:22" x14ac:dyDescent="0.25">
      <c r="A202" s="37">
        <f t="shared" si="3"/>
        <v>11</v>
      </c>
      <c r="C202" s="36" t="s">
        <v>315</v>
      </c>
      <c r="D202" s="36" t="s">
        <v>367</v>
      </c>
      <c r="E202" s="36">
        <v>1005462</v>
      </c>
      <c r="F202" s="36">
        <v>1</v>
      </c>
      <c r="G202" s="36">
        <v>1130200</v>
      </c>
      <c r="H202" s="48" t="str">
        <f>IFERROR(INDEX(Table14[],MATCH($G202,Table14[SAPNo],0),3),"")</f>
        <v>Round 1913 CT182  0.018" (S)</v>
      </c>
      <c r="I202" s="37">
        <v>54</v>
      </c>
      <c r="J202" s="37">
        <f>IF(Table412[[#This Row],[MAT]]&lt;&gt;"",COUNTIF(Table3[LEVEL 5 MAT NO.],Table412[[#This Row],[MAT]]),"")</f>
        <v>0</v>
      </c>
      <c r="K202" s="36">
        <f>IFERROR(INDEX(Table3[],MATCH($E202,Table3[LEVEL 5 MAT NO.],0),2),0)</f>
        <v>0</v>
      </c>
      <c r="L202" s="36">
        <f>Table412[[#This Row],[Quantity in BOM]]*Table412[[#This Row],[Freq]]</f>
        <v>0</v>
      </c>
      <c r="M202" s="36" t="str">
        <f>IF(Table412[[#This Row],[Exist]]=1,Table412[[#This Row],[MAT]],"")</f>
        <v/>
      </c>
      <c r="N202" s="36" t="str">
        <f>IF(Table412[[#This Row],[Exist]]=1,Table412[[#This Row],[Component]],"")</f>
        <v/>
      </c>
      <c r="O202" s="36">
        <f>IFERROR(VALUE(Table412[[#This Row],[MAT]]&amp;Table412[[#This Row],[X'#]]),IF(COUNTIF(Table412[[#This Row],[MAT]],"*M"),Table412[[#This Row],[MAT]]&amp;Table412[[#This Row],[X'#]],""))</f>
        <v>10054621</v>
      </c>
      <c r="T202" s="133">
        <v>202</v>
      </c>
      <c r="U202" s="134">
        <v>1165786</v>
      </c>
      <c r="V202" s="135" t="s">
        <v>3570</v>
      </c>
    </row>
    <row r="203" spans="1:22" x14ac:dyDescent="0.25">
      <c r="A203" s="37">
        <f t="shared" si="3"/>
        <v>11</v>
      </c>
      <c r="C203" s="36" t="s">
        <v>315</v>
      </c>
      <c r="D203" s="36" t="s">
        <v>367</v>
      </c>
      <c r="E203" s="36">
        <v>1005462</v>
      </c>
      <c r="F203" s="36">
        <v>2</v>
      </c>
      <c r="G203" s="36">
        <v>1130198</v>
      </c>
      <c r="H203" s="48" t="str">
        <f>IFERROR(INDEX(Table14[],MATCH($G203,Table14[SAPNo],0),3),"")</f>
        <v>Round 1613 CT182  0.018" (S)</v>
      </c>
      <c r="I203" s="37">
        <v>9</v>
      </c>
      <c r="J203" s="37">
        <f>IF(Table412[[#This Row],[MAT]]&lt;&gt;"",COUNTIF(Table3[LEVEL 5 MAT NO.],Table412[[#This Row],[MAT]]),"")</f>
        <v>0</v>
      </c>
      <c r="K203" s="36">
        <f>IFERROR(INDEX(Table3[],MATCH($E203,Table3[LEVEL 5 MAT NO.],0),2),0)</f>
        <v>0</v>
      </c>
      <c r="L203" s="36">
        <f>Table412[[#This Row],[Quantity in BOM]]*Table412[[#This Row],[Freq]]</f>
        <v>0</v>
      </c>
      <c r="M203" s="36" t="str">
        <f>IF(Table412[[#This Row],[Exist]]=1,Table412[[#This Row],[MAT]],"")</f>
        <v/>
      </c>
      <c r="N203" s="36" t="str">
        <f>IF(Table412[[#This Row],[Exist]]=1,Table412[[#This Row],[Component]],"")</f>
        <v/>
      </c>
      <c r="O203" s="36">
        <f>IFERROR(VALUE(Table412[[#This Row],[MAT]]&amp;Table412[[#This Row],[X'#]]),IF(COUNTIF(Table412[[#This Row],[MAT]],"*M"),Table412[[#This Row],[MAT]]&amp;Table412[[#This Row],[X'#]],""))</f>
        <v>10054622</v>
      </c>
      <c r="T203" s="133">
        <v>203</v>
      </c>
      <c r="U203" s="134">
        <v>1165788</v>
      </c>
      <c r="V203" s="135" t="s">
        <v>3571</v>
      </c>
    </row>
    <row r="204" spans="1:22" x14ac:dyDescent="0.25">
      <c r="A204" s="37">
        <f t="shared" si="3"/>
        <v>11</v>
      </c>
      <c r="C204" s="36" t="s">
        <v>624</v>
      </c>
      <c r="D204" s="36" t="s">
        <v>282</v>
      </c>
      <c r="E204" s="36">
        <v>1111265</v>
      </c>
      <c r="F204" s="36">
        <v>1</v>
      </c>
      <c r="G204" s="36">
        <v>418525</v>
      </c>
      <c r="H204" s="48" t="str">
        <f>IFERROR(INDEX(Table14[],MATCH($G204,Table14[SAPNo],0),3),"")</f>
        <v>Drop In 1308 CT31   (B)</v>
      </c>
      <c r="I204" s="37">
        <v>6</v>
      </c>
      <c r="J204" s="37">
        <f>IF(Table412[[#This Row],[MAT]]&lt;&gt;"",COUNTIF(Table3[LEVEL 5 MAT NO.],Table412[[#This Row],[MAT]]),"")</f>
        <v>0</v>
      </c>
      <c r="K204" s="36">
        <f>IFERROR(INDEX(Table3[],MATCH($E204,Table3[LEVEL 5 MAT NO.],0),2),0)</f>
        <v>0</v>
      </c>
      <c r="L204" s="36">
        <f>Table412[[#This Row],[Quantity in BOM]]*Table412[[#This Row],[Freq]]</f>
        <v>0</v>
      </c>
      <c r="M204" s="36" t="str">
        <f>IF(Table412[[#This Row],[Exist]]=1,Table412[[#This Row],[MAT]],"")</f>
        <v/>
      </c>
      <c r="N204" s="36" t="str">
        <f>IF(Table412[[#This Row],[Exist]]=1,Table412[[#This Row],[Component]],"")</f>
        <v/>
      </c>
      <c r="O204" s="36">
        <f>IFERROR(VALUE(Table412[[#This Row],[MAT]]&amp;Table412[[#This Row],[X'#]]),IF(COUNTIF(Table412[[#This Row],[MAT]],"*M"),Table412[[#This Row],[MAT]]&amp;Table412[[#This Row],[X'#]],""))</f>
        <v>11112651</v>
      </c>
      <c r="T204" s="133">
        <v>204</v>
      </c>
      <c r="U204" s="134">
        <v>1165785</v>
      </c>
      <c r="V204" s="135" t="s">
        <v>3572</v>
      </c>
    </row>
    <row r="205" spans="1:22" x14ac:dyDescent="0.25">
      <c r="A205" s="37">
        <f t="shared" si="3"/>
        <v>11</v>
      </c>
      <c r="C205" s="36" t="s">
        <v>624</v>
      </c>
      <c r="D205" s="36" t="s">
        <v>282</v>
      </c>
      <c r="E205" s="36">
        <v>1111265</v>
      </c>
      <c r="F205" s="36">
        <v>2</v>
      </c>
      <c r="G205" s="36">
        <v>871781</v>
      </c>
      <c r="H205" s="48" t="str">
        <f>IFERROR(INDEX(Table14[],MATCH($G205,Table14[SAPNo],0),3),"")</f>
        <v>Round 1313 CT200  0.018" (B)</v>
      </c>
      <c r="I205" s="37">
        <v>3</v>
      </c>
      <c r="J205" s="37">
        <f>IF(Table412[[#This Row],[MAT]]&lt;&gt;"",COUNTIF(Table3[LEVEL 5 MAT NO.],Table412[[#This Row],[MAT]]),"")</f>
        <v>0</v>
      </c>
      <c r="K205" s="36">
        <f>IFERROR(INDEX(Table3[],MATCH($E205,Table3[LEVEL 5 MAT NO.],0),2),0)</f>
        <v>0</v>
      </c>
      <c r="L205" s="36">
        <f>Table412[[#This Row],[Quantity in BOM]]*Table412[[#This Row],[Freq]]</f>
        <v>0</v>
      </c>
      <c r="M205" s="36" t="str">
        <f>IF(Table412[[#This Row],[Exist]]=1,Table412[[#This Row],[MAT]],"")</f>
        <v/>
      </c>
      <c r="N205" s="36" t="str">
        <f>IF(Table412[[#This Row],[Exist]]=1,Table412[[#This Row],[Component]],"")</f>
        <v/>
      </c>
      <c r="O205" s="36">
        <f>IFERROR(VALUE(Table412[[#This Row],[MAT]]&amp;Table412[[#This Row],[X'#]]),IF(COUNTIF(Table412[[#This Row],[MAT]],"*M"),Table412[[#This Row],[MAT]]&amp;Table412[[#This Row],[X'#]],""))</f>
        <v>11112652</v>
      </c>
      <c r="T205" s="133">
        <v>187</v>
      </c>
      <c r="U205" s="134">
        <v>1133896</v>
      </c>
      <c r="V205" s="135" t="s">
        <v>3573</v>
      </c>
    </row>
    <row r="206" spans="1:22" x14ac:dyDescent="0.25">
      <c r="A206" s="37">
        <f t="shared" si="3"/>
        <v>11</v>
      </c>
      <c r="C206" s="36" t="s">
        <v>624</v>
      </c>
      <c r="D206" s="36" t="s">
        <v>282</v>
      </c>
      <c r="E206" s="36">
        <v>1111265</v>
      </c>
      <c r="F206" s="36">
        <v>3</v>
      </c>
      <c r="G206" s="36">
        <v>853550</v>
      </c>
      <c r="H206" s="48" t="str">
        <f>IFERROR(INDEX(Table14[],MATCH($G206,Table14[SAPNo],0),3),"")</f>
        <v>Round 1313 CT125 GEDB 0.018" (S)</v>
      </c>
      <c r="I206" s="37">
        <v>3</v>
      </c>
      <c r="J206" s="37">
        <f>IF(Table412[[#This Row],[MAT]]&lt;&gt;"",COUNTIF(Table3[LEVEL 5 MAT NO.],Table412[[#This Row],[MAT]]),"")</f>
        <v>0</v>
      </c>
      <c r="K206" s="36">
        <f>IFERROR(INDEX(Table3[],MATCH($E206,Table3[LEVEL 5 MAT NO.],0),2),0)</f>
        <v>0</v>
      </c>
      <c r="L206" s="36">
        <f>Table412[[#This Row],[Quantity in BOM]]*Table412[[#This Row],[Freq]]</f>
        <v>0</v>
      </c>
      <c r="M206" s="36" t="str">
        <f>IF(Table412[[#This Row],[Exist]]=1,Table412[[#This Row],[MAT]],"")</f>
        <v/>
      </c>
      <c r="N206" s="36" t="str">
        <f>IF(Table412[[#This Row],[Exist]]=1,Table412[[#This Row],[Component]],"")</f>
        <v/>
      </c>
      <c r="O206" s="36">
        <f>IFERROR(VALUE(Table412[[#This Row],[MAT]]&amp;Table412[[#This Row],[X'#]]),IF(COUNTIF(Table412[[#This Row],[MAT]],"*M"),Table412[[#This Row],[MAT]]&amp;Table412[[#This Row],[X'#]],""))</f>
        <v>11112653</v>
      </c>
      <c r="T206" s="144">
        <v>207</v>
      </c>
      <c r="U206" s="145">
        <v>1244299</v>
      </c>
      <c r="V206" s="146" t="s">
        <v>3574</v>
      </c>
    </row>
    <row r="207" spans="1:22" x14ac:dyDescent="0.25">
      <c r="A207" s="37">
        <f t="shared" si="3"/>
        <v>11</v>
      </c>
      <c r="C207" s="36" t="s">
        <v>624</v>
      </c>
      <c r="D207" s="36" t="s">
        <v>282</v>
      </c>
      <c r="E207" s="36">
        <v>1111265</v>
      </c>
      <c r="F207" s="36">
        <v>4</v>
      </c>
      <c r="G207" s="36">
        <v>853551</v>
      </c>
      <c r="H207" s="48" t="str">
        <f>IFERROR(INDEX(Table14[],MATCH($G207,Table14[SAPNo],0),3),"")</f>
        <v>Round 1613 CT125 GEDB 0.018" (S)</v>
      </c>
      <c r="I207" s="37">
        <v>28</v>
      </c>
      <c r="J207" s="37">
        <f>IF(Table412[[#This Row],[MAT]]&lt;&gt;"",COUNTIF(Table3[LEVEL 5 MAT NO.],Table412[[#This Row],[MAT]]),"")</f>
        <v>0</v>
      </c>
      <c r="K207" s="36">
        <f>IFERROR(INDEX(Table3[],MATCH($E207,Table3[LEVEL 5 MAT NO.],0),2),0)</f>
        <v>0</v>
      </c>
      <c r="L207" s="36">
        <f>Table412[[#This Row],[Quantity in BOM]]*Table412[[#This Row],[Freq]]</f>
        <v>0</v>
      </c>
      <c r="M207" s="36" t="str">
        <f>IF(Table412[[#This Row],[Exist]]=1,Table412[[#This Row],[MAT]],"")</f>
        <v/>
      </c>
      <c r="N207" s="36" t="str">
        <f>IF(Table412[[#This Row],[Exist]]=1,Table412[[#This Row],[Component]],"")</f>
        <v/>
      </c>
      <c r="O207" s="36">
        <f>IFERROR(VALUE(Table412[[#This Row],[MAT]]&amp;Table412[[#This Row],[X'#]]),IF(COUNTIF(Table412[[#This Row],[MAT]],"*M"),Table412[[#This Row],[MAT]]&amp;Table412[[#This Row],[X'#]],""))</f>
        <v>11112654</v>
      </c>
      <c r="T207" s="133">
        <v>208</v>
      </c>
      <c r="U207" s="134">
        <v>1112229</v>
      </c>
      <c r="V207" s="135" t="s">
        <v>3576</v>
      </c>
    </row>
    <row r="208" spans="1:22" x14ac:dyDescent="0.25">
      <c r="A208" s="37">
        <f t="shared" si="3"/>
        <v>11</v>
      </c>
      <c r="C208" s="36" t="s">
        <v>624</v>
      </c>
      <c r="D208" s="36" t="s">
        <v>3575</v>
      </c>
      <c r="E208" s="36">
        <v>1096422</v>
      </c>
      <c r="F208" s="36">
        <v>1</v>
      </c>
      <c r="G208" s="36">
        <v>729691</v>
      </c>
      <c r="H208" s="48" t="str">
        <f>IFERROR(INDEX(Table14[],MATCH($G208,Table14[SAPNo],0),3),"")</f>
        <v>Round 1613 CT82  0.018" (S)</v>
      </c>
      <c r="I208" s="37">
        <v>27</v>
      </c>
      <c r="J208" s="37">
        <f>IF(Table412[[#This Row],[MAT]]&lt;&gt;"",COUNTIF(Table3[LEVEL 5 MAT NO.],Table412[[#This Row],[MAT]]),"")</f>
        <v>0</v>
      </c>
      <c r="K208" s="36">
        <f>IFERROR(INDEX(Table3[],MATCH($E208,Table3[LEVEL 5 MAT NO.],0),2),0)</f>
        <v>0</v>
      </c>
      <c r="L208" s="36">
        <f>Table412[[#This Row],[Quantity in BOM]]*Table412[[#This Row],[Freq]]</f>
        <v>0</v>
      </c>
      <c r="M208" s="36" t="str">
        <f>IF(Table412[[#This Row],[Exist]]=1,Table412[[#This Row],[MAT]],"")</f>
        <v/>
      </c>
      <c r="N208" s="36" t="str">
        <f>IF(Table412[[#This Row],[Exist]]=1,Table412[[#This Row],[Component]],"")</f>
        <v/>
      </c>
      <c r="O208" s="36">
        <f>IFERROR(VALUE(Table412[[#This Row],[MAT]]&amp;Table412[[#This Row],[X'#]]),IF(COUNTIF(Table412[[#This Row],[MAT]],"*M"),Table412[[#This Row],[MAT]]&amp;Table412[[#This Row],[X'#]],""))</f>
        <v>10964221</v>
      </c>
      <c r="T208" s="133">
        <v>215</v>
      </c>
      <c r="U208" s="134">
        <v>1238832</v>
      </c>
      <c r="V208" s="135" t="s">
        <v>3577</v>
      </c>
    </row>
    <row r="209" spans="1:29" x14ac:dyDescent="0.25">
      <c r="A209" s="37">
        <f t="shared" si="3"/>
        <v>11</v>
      </c>
      <c r="C209" s="36" t="s">
        <v>624</v>
      </c>
      <c r="D209" s="36" t="s">
        <v>3575</v>
      </c>
      <c r="E209" s="36">
        <v>1096422</v>
      </c>
      <c r="F209" s="36">
        <v>2</v>
      </c>
      <c r="G209" s="36">
        <v>647436</v>
      </c>
      <c r="H209" s="48" t="str">
        <f>IFERROR(INDEX(Table14[],MATCH($G209,Table14[SAPNo],0),3),"")</f>
        <v>Round 1613 CT200  0.018" (B)</v>
      </c>
      <c r="I209" s="37">
        <v>3</v>
      </c>
      <c r="J209" s="37">
        <f>IF(Table412[[#This Row],[MAT]]&lt;&gt;"",COUNTIF(Table3[LEVEL 5 MAT NO.],Table412[[#This Row],[MAT]]),"")</f>
        <v>0</v>
      </c>
      <c r="K209" s="36">
        <f>IFERROR(INDEX(Table3[],MATCH($E209,Table3[LEVEL 5 MAT NO.],0),2),0)</f>
        <v>0</v>
      </c>
      <c r="L209" s="36">
        <f>Table412[[#This Row],[Quantity in BOM]]*Table412[[#This Row],[Freq]]</f>
        <v>0</v>
      </c>
      <c r="M209" s="36" t="str">
        <f>IF(Table412[[#This Row],[Exist]]=1,Table412[[#This Row],[MAT]],"")</f>
        <v/>
      </c>
      <c r="N209" s="36" t="str">
        <f>IF(Table412[[#This Row],[Exist]]=1,Table412[[#This Row],[Component]],"")</f>
        <v/>
      </c>
      <c r="O209" s="36">
        <f>IFERROR(VALUE(Table412[[#This Row],[MAT]]&amp;Table412[[#This Row],[X'#]]),IF(COUNTIF(Table412[[#This Row],[MAT]],"*M"),Table412[[#This Row],[MAT]]&amp;Table412[[#This Row],[X'#]],""))</f>
        <v>10964222</v>
      </c>
      <c r="T209" s="144">
        <v>209</v>
      </c>
      <c r="U209" s="145">
        <v>1228501</v>
      </c>
      <c r="V209" s="146" t="s">
        <v>3578</v>
      </c>
    </row>
    <row r="210" spans="1:29" x14ac:dyDescent="0.25">
      <c r="A210" s="37">
        <f t="shared" si="3"/>
        <v>11</v>
      </c>
      <c r="C210" s="36" t="s">
        <v>624</v>
      </c>
      <c r="D210" s="36" t="s">
        <v>3575</v>
      </c>
      <c r="E210" s="36">
        <v>1096422</v>
      </c>
      <c r="F210" s="36">
        <v>3</v>
      </c>
      <c r="G210" s="36">
        <v>418525</v>
      </c>
      <c r="H210" s="48" t="str">
        <f>IFERROR(INDEX(Table14[],MATCH($G210,Table14[SAPNo],0),3),"")</f>
        <v>Drop In 1308 CT31   (B)</v>
      </c>
      <c r="I210" s="37">
        <v>5</v>
      </c>
      <c r="J210" s="37">
        <f>IF(Table412[[#This Row],[MAT]]&lt;&gt;"",COUNTIF(Table3[LEVEL 5 MAT NO.],Table412[[#This Row],[MAT]]),"")</f>
        <v>0</v>
      </c>
      <c r="K210" s="36">
        <f>IFERROR(INDEX(Table3[],MATCH($E210,Table3[LEVEL 5 MAT NO.],0),2),0)</f>
        <v>0</v>
      </c>
      <c r="L210" s="36">
        <f>Table412[[#This Row],[Quantity in BOM]]*Table412[[#This Row],[Freq]]</f>
        <v>0</v>
      </c>
      <c r="M210" s="36" t="str">
        <f>IF(Table412[[#This Row],[Exist]]=1,Table412[[#This Row],[MAT]],"")</f>
        <v/>
      </c>
      <c r="N210" s="36" t="str">
        <f>IF(Table412[[#This Row],[Exist]]=1,Table412[[#This Row],[Component]],"")</f>
        <v/>
      </c>
      <c r="O210" s="36">
        <f>IFERROR(VALUE(Table412[[#This Row],[MAT]]&amp;Table412[[#This Row],[X'#]]),IF(COUNTIF(Table412[[#This Row],[MAT]],"*M"),Table412[[#This Row],[MAT]]&amp;Table412[[#This Row],[X'#]],""))</f>
        <v>10964223</v>
      </c>
      <c r="T210" s="144">
        <v>210</v>
      </c>
      <c r="U210" s="145">
        <v>1228502</v>
      </c>
      <c r="V210" s="146" t="s">
        <v>3579</v>
      </c>
    </row>
    <row r="211" spans="1:29" x14ac:dyDescent="0.25">
      <c r="A211" s="37">
        <f t="shared" si="3"/>
        <v>11</v>
      </c>
      <c r="C211" s="36" t="s">
        <v>624</v>
      </c>
      <c r="D211" s="36" t="s">
        <v>3575</v>
      </c>
      <c r="E211" s="36">
        <v>1096422</v>
      </c>
      <c r="F211" s="36">
        <v>4</v>
      </c>
      <c r="G211" s="36">
        <v>625854</v>
      </c>
      <c r="H211" s="48" t="str">
        <f>IFERROR(INDEX(Table14[],MATCH($G211,Table14[SAPNo],0),3),"")</f>
        <v>Carbide IA 1318    (C)</v>
      </c>
      <c r="I211" s="37">
        <v>27</v>
      </c>
      <c r="J211" s="37">
        <f>IF(Table412[[#This Row],[MAT]]&lt;&gt;"",COUNTIF(Table3[LEVEL 5 MAT NO.],Table412[[#This Row],[MAT]]),"")</f>
        <v>0</v>
      </c>
      <c r="K211" s="36">
        <f>IFERROR(INDEX(Table3[],MATCH($E211,Table3[LEVEL 5 MAT NO.],0),2),0)</f>
        <v>0</v>
      </c>
      <c r="L211" s="36">
        <f>Table412[[#This Row],[Quantity in BOM]]*Table412[[#This Row],[Freq]]</f>
        <v>0</v>
      </c>
      <c r="M211" s="36" t="str">
        <f>IF(Table412[[#This Row],[Exist]]=1,Table412[[#This Row],[MAT]],"")</f>
        <v/>
      </c>
      <c r="N211" s="36" t="str">
        <f>IF(Table412[[#This Row],[Exist]]=1,Table412[[#This Row],[Component]],"")</f>
        <v/>
      </c>
      <c r="O211" s="36">
        <f>IFERROR(VALUE(Table412[[#This Row],[MAT]]&amp;Table412[[#This Row],[X'#]]),IF(COUNTIF(Table412[[#This Row],[MAT]],"*M"),Table412[[#This Row],[MAT]]&amp;Table412[[#This Row],[X'#]],""))</f>
        <v>10964224</v>
      </c>
      <c r="T211" s="144">
        <v>211</v>
      </c>
      <c r="U211" s="145">
        <v>1261319</v>
      </c>
      <c r="V211" s="146" t="s">
        <v>3580</v>
      </c>
    </row>
    <row r="212" spans="1:29" x14ac:dyDescent="0.25">
      <c r="A212" s="37">
        <f t="shared" si="3"/>
        <v>11</v>
      </c>
      <c r="C212" s="36" t="s">
        <v>637</v>
      </c>
      <c r="D212" s="36" t="s">
        <v>638</v>
      </c>
      <c r="E212" s="36">
        <v>1112857</v>
      </c>
      <c r="F212" s="36">
        <v>1</v>
      </c>
      <c r="G212" s="36">
        <v>853552</v>
      </c>
      <c r="H212" s="48" t="str">
        <f>IFERROR(INDEX(Table14[],MATCH($G212,Table14[SAPNo],0),3),"")</f>
        <v>Round 1913 CT125  0.018" (S)</v>
      </c>
      <c r="I212" s="37">
        <v>32</v>
      </c>
      <c r="J212" s="37">
        <f>IF(Table412[[#This Row],[MAT]]&lt;&gt;"",COUNTIF(Table3[LEVEL 5 MAT NO.],Table412[[#This Row],[MAT]]),"")</f>
        <v>0</v>
      </c>
      <c r="K212" s="36">
        <f>IFERROR(INDEX(Table3[],MATCH($E212,Table3[LEVEL 5 MAT NO.],0),2),0)</f>
        <v>0</v>
      </c>
      <c r="L212" s="36">
        <f>Table412[[#This Row],[Quantity in BOM]]*Table412[[#This Row],[Freq]]</f>
        <v>0</v>
      </c>
      <c r="M212" s="36" t="str">
        <f>IF(Table412[[#This Row],[Exist]]=1,Table412[[#This Row],[MAT]],"")</f>
        <v/>
      </c>
      <c r="N212" s="36" t="str">
        <f>IF(Table412[[#This Row],[Exist]]=1,Table412[[#This Row],[Component]],"")</f>
        <v/>
      </c>
      <c r="O212" s="36">
        <f>IFERROR(VALUE(Table412[[#This Row],[MAT]]&amp;Table412[[#This Row],[X'#]]),IF(COUNTIF(Table412[[#This Row],[MAT]],"*M"),Table412[[#This Row],[MAT]]&amp;Table412[[#This Row],[X'#]],""))</f>
        <v>11128571</v>
      </c>
      <c r="T212" s="144">
        <v>212</v>
      </c>
      <c r="U212" s="145">
        <v>1238831</v>
      </c>
      <c r="V212" s="146" t="s">
        <v>3581</v>
      </c>
      <c r="X212"/>
      <c r="Y212"/>
      <c r="Z212"/>
      <c r="AA212"/>
      <c r="AB212"/>
      <c r="AC212"/>
    </row>
    <row r="213" spans="1:29" x14ac:dyDescent="0.25">
      <c r="A213" s="37">
        <f t="shared" si="3"/>
        <v>11</v>
      </c>
      <c r="C213" s="36" t="s">
        <v>637</v>
      </c>
      <c r="D213" s="36" t="s">
        <v>638</v>
      </c>
      <c r="E213" s="36">
        <v>1112857</v>
      </c>
      <c r="F213" s="36">
        <v>2</v>
      </c>
      <c r="G213" s="36">
        <v>729691</v>
      </c>
      <c r="H213" s="48" t="str">
        <f>IFERROR(INDEX(Table14[],MATCH($G213,Table14[SAPNo],0),3),"")</f>
        <v>Round 1613 CT82  0.018" (S)</v>
      </c>
      <c r="I213" s="37">
        <v>9</v>
      </c>
      <c r="J213" s="37">
        <f>IF(Table412[[#This Row],[MAT]]&lt;&gt;"",COUNTIF(Table3[LEVEL 5 MAT NO.],Table412[[#This Row],[MAT]]),"")</f>
        <v>0</v>
      </c>
      <c r="K213" s="36">
        <f>IFERROR(INDEX(Table3[],MATCH($E213,Table3[LEVEL 5 MAT NO.],0),2),0)</f>
        <v>0</v>
      </c>
      <c r="L213" s="36">
        <f>Table412[[#This Row],[Quantity in BOM]]*Table412[[#This Row],[Freq]]</f>
        <v>0</v>
      </c>
      <c r="M213" s="36" t="str">
        <f>IF(Table412[[#This Row],[Exist]]=1,Table412[[#This Row],[MAT]],"")</f>
        <v/>
      </c>
      <c r="N213" s="36" t="str">
        <f>IF(Table412[[#This Row],[Exist]]=1,Table412[[#This Row],[Component]],"")</f>
        <v/>
      </c>
      <c r="O213" s="36">
        <f>IFERROR(VALUE(Table412[[#This Row],[MAT]]&amp;Table412[[#This Row],[X'#]]),IF(COUNTIF(Table412[[#This Row],[MAT]],"*M"),Table412[[#This Row],[MAT]]&amp;Table412[[#This Row],[X'#]],""))</f>
        <v>11128572</v>
      </c>
      <c r="T213" s="144">
        <v>213</v>
      </c>
      <c r="U213" s="145">
        <v>1261320</v>
      </c>
      <c r="V213" s="146" t="s">
        <v>3582</v>
      </c>
      <c r="X213"/>
      <c r="Y213"/>
      <c r="Z213"/>
      <c r="AA213"/>
      <c r="AB213"/>
      <c r="AC213"/>
    </row>
    <row r="214" spans="1:29" x14ac:dyDescent="0.25">
      <c r="A214" s="37">
        <f t="shared" si="3"/>
        <v>11</v>
      </c>
      <c r="C214" s="36" t="s">
        <v>637</v>
      </c>
      <c r="D214" s="36" t="s">
        <v>638</v>
      </c>
      <c r="E214" s="36">
        <v>1112857</v>
      </c>
      <c r="F214" s="36">
        <v>3</v>
      </c>
      <c r="G214" s="36">
        <v>729689</v>
      </c>
      <c r="H214" s="48" t="str">
        <f>IFERROR(INDEX(Table14[],MATCH($G214,Table14[SAPNo],0),3),"")</f>
        <v>Round 1313 CT82  0.018" (S)</v>
      </c>
      <c r="I214" s="37">
        <v>12</v>
      </c>
      <c r="J214" s="37">
        <f>IF(Table412[[#This Row],[MAT]]&lt;&gt;"",COUNTIF(Table3[LEVEL 5 MAT NO.],Table412[[#This Row],[MAT]]),"")</f>
        <v>0</v>
      </c>
      <c r="K214" s="36">
        <f>IFERROR(INDEX(Table3[],MATCH($E214,Table3[LEVEL 5 MAT NO.],0),2),0)</f>
        <v>0</v>
      </c>
      <c r="L214" s="36">
        <f>Table412[[#This Row],[Quantity in BOM]]*Table412[[#This Row],[Freq]]</f>
        <v>0</v>
      </c>
      <c r="M214" s="36" t="str">
        <f>IF(Table412[[#This Row],[Exist]]=1,Table412[[#This Row],[MAT]],"")</f>
        <v/>
      </c>
      <c r="N214" s="36" t="str">
        <f>IF(Table412[[#This Row],[Exist]]=1,Table412[[#This Row],[Component]],"")</f>
        <v/>
      </c>
      <c r="O214" s="36">
        <f>IFERROR(VALUE(Table412[[#This Row],[MAT]]&amp;Table412[[#This Row],[X'#]]),IF(COUNTIF(Table412[[#This Row],[MAT]],"*M"),Table412[[#This Row],[MAT]]&amp;Table412[[#This Row],[X'#]],""))</f>
        <v>11128573</v>
      </c>
      <c r="T214" s="144">
        <v>214</v>
      </c>
      <c r="U214" s="145">
        <v>1175118</v>
      </c>
      <c r="V214" s="146" t="s">
        <v>3583</v>
      </c>
      <c r="X214"/>
      <c r="Y214"/>
      <c r="Z214"/>
      <c r="AA214"/>
      <c r="AB214"/>
      <c r="AC214"/>
    </row>
    <row r="215" spans="1:29" x14ac:dyDescent="0.25">
      <c r="A215" s="37">
        <f t="shared" si="3"/>
        <v>11</v>
      </c>
      <c r="C215" s="36" t="s">
        <v>637</v>
      </c>
      <c r="D215" s="36" t="s">
        <v>638</v>
      </c>
      <c r="E215" s="36">
        <v>1112857</v>
      </c>
      <c r="F215" s="36">
        <v>4</v>
      </c>
      <c r="G215" s="36">
        <v>871781</v>
      </c>
      <c r="H215" s="48" t="str">
        <f>IFERROR(INDEX(Table14[],MATCH($G215,Table14[SAPNo],0),3),"")</f>
        <v>Round 1313 CT200  0.018" (B)</v>
      </c>
      <c r="I215" s="37">
        <v>4</v>
      </c>
      <c r="J215" s="37">
        <f>IF(Table412[[#This Row],[MAT]]&lt;&gt;"",COUNTIF(Table3[LEVEL 5 MAT NO.],Table412[[#This Row],[MAT]]),"")</f>
        <v>0</v>
      </c>
      <c r="K215" s="36">
        <f>IFERROR(INDEX(Table3[],MATCH($E215,Table3[LEVEL 5 MAT NO.],0),2),0)</f>
        <v>0</v>
      </c>
      <c r="L215" s="36">
        <f>Table412[[#This Row],[Quantity in BOM]]*Table412[[#This Row],[Freq]]</f>
        <v>0</v>
      </c>
      <c r="M215" s="36" t="str">
        <f>IF(Table412[[#This Row],[Exist]]=1,Table412[[#This Row],[MAT]],"")</f>
        <v/>
      </c>
      <c r="N215" s="36" t="str">
        <f>IF(Table412[[#This Row],[Exist]]=1,Table412[[#This Row],[Component]],"")</f>
        <v/>
      </c>
      <c r="O215" s="36">
        <f>IFERROR(VALUE(Table412[[#This Row],[MAT]]&amp;Table412[[#This Row],[X'#]]),IF(COUNTIF(Table412[[#This Row],[MAT]],"*M"),Table412[[#This Row],[MAT]]&amp;Table412[[#This Row],[X'#]],""))</f>
        <v>11128574</v>
      </c>
      <c r="T215" s="133">
        <v>216</v>
      </c>
      <c r="U215" s="134">
        <v>1261321</v>
      </c>
      <c r="V215" s="135" t="s">
        <v>3584</v>
      </c>
      <c r="X215"/>
      <c r="Y215"/>
      <c r="Z215"/>
      <c r="AA215"/>
      <c r="AB215"/>
      <c r="AC215"/>
    </row>
    <row r="216" spans="1:29" x14ac:dyDescent="0.25">
      <c r="A216" s="37">
        <f t="shared" si="3"/>
        <v>11</v>
      </c>
      <c r="C216" s="36" t="s">
        <v>637</v>
      </c>
      <c r="D216" s="36" t="s">
        <v>638</v>
      </c>
      <c r="E216" s="36">
        <v>1112857</v>
      </c>
      <c r="F216" s="36">
        <v>5</v>
      </c>
      <c r="G216" s="36">
        <v>418525</v>
      </c>
      <c r="H216" s="48" t="str">
        <f>IFERROR(INDEX(Table14[],MATCH($G216,Table14[SAPNo],0),3),"")</f>
        <v>Drop In 1308 CT31   (B)</v>
      </c>
      <c r="I216" s="37">
        <v>3</v>
      </c>
      <c r="J216" s="37">
        <f>IF(Table412[[#This Row],[MAT]]&lt;&gt;"",COUNTIF(Table3[LEVEL 5 MAT NO.],Table412[[#This Row],[MAT]]),"")</f>
        <v>0</v>
      </c>
      <c r="K216" s="36">
        <f>IFERROR(INDEX(Table3[],MATCH($E216,Table3[LEVEL 5 MAT NO.],0),2),0)</f>
        <v>0</v>
      </c>
      <c r="L216" s="36">
        <f>Table412[[#This Row],[Quantity in BOM]]*Table412[[#This Row],[Freq]]</f>
        <v>0</v>
      </c>
      <c r="M216" s="36" t="str">
        <f>IF(Table412[[#This Row],[Exist]]=1,Table412[[#This Row],[MAT]],"")</f>
        <v/>
      </c>
      <c r="N216" s="36" t="str">
        <f>IF(Table412[[#This Row],[Exist]]=1,Table412[[#This Row],[Component]],"")</f>
        <v/>
      </c>
      <c r="O216" s="36">
        <f>IFERROR(VALUE(Table412[[#This Row],[MAT]]&amp;Table412[[#This Row],[X'#]]),IF(COUNTIF(Table412[[#This Row],[MAT]],"*M"),Table412[[#This Row],[MAT]]&amp;Table412[[#This Row],[X'#]],""))</f>
        <v>11128575</v>
      </c>
      <c r="T216" s="144">
        <v>217</v>
      </c>
      <c r="U216" s="145">
        <v>1228503</v>
      </c>
      <c r="V216" s="146" t="s">
        <v>3585</v>
      </c>
      <c r="X216"/>
      <c r="Y216"/>
      <c r="Z216"/>
      <c r="AA216"/>
      <c r="AB216"/>
      <c r="AC216"/>
    </row>
    <row r="217" spans="1:29" x14ac:dyDescent="0.25">
      <c r="A217" s="37">
        <f t="shared" si="3"/>
        <v>11</v>
      </c>
      <c r="C217" s="36" t="s">
        <v>315</v>
      </c>
      <c r="D217" s="36" t="s">
        <v>367</v>
      </c>
      <c r="E217" s="36">
        <v>780769</v>
      </c>
      <c r="F217" s="36">
        <v>1</v>
      </c>
      <c r="G217" s="36">
        <v>745576</v>
      </c>
      <c r="H217" s="48" t="str">
        <f>IFERROR(INDEX(Table14[],MATCH($G217,Table14[SAPNo],0),3),"")</f>
        <v>Round 1913 CT82  0.018" (S)</v>
      </c>
      <c r="I217" s="37">
        <v>36</v>
      </c>
      <c r="J217" s="37">
        <f>IF(Table412[[#This Row],[MAT]]&lt;&gt;"",COUNTIF(Table3[LEVEL 5 MAT NO.],Table412[[#This Row],[MAT]]),"")</f>
        <v>0</v>
      </c>
      <c r="K217" s="36">
        <f>IFERROR(INDEX(Table3[],MATCH($E217,Table3[LEVEL 5 MAT NO.],0),2),0)</f>
        <v>0</v>
      </c>
      <c r="L217" s="36">
        <f>Table412[[#This Row],[Quantity in BOM]]*Table412[[#This Row],[Freq]]</f>
        <v>0</v>
      </c>
      <c r="M217" s="36" t="str">
        <f>IF(Table412[[#This Row],[Exist]]=1,Table412[[#This Row],[MAT]],"")</f>
        <v/>
      </c>
      <c r="N217" s="36" t="str">
        <f>IF(Table412[[#This Row],[Exist]]=1,Table412[[#This Row],[Component]],"")</f>
        <v/>
      </c>
      <c r="O217" s="36">
        <f>IFERROR(VALUE(Table412[[#This Row],[MAT]]&amp;Table412[[#This Row],[X'#]]),IF(COUNTIF(Table412[[#This Row],[MAT]],"*M"),Table412[[#This Row],[MAT]]&amp;Table412[[#This Row],[X'#]],""))</f>
        <v>7807691</v>
      </c>
      <c r="T217" s="144">
        <v>218</v>
      </c>
      <c r="U217" s="145">
        <v>1220554</v>
      </c>
      <c r="V217" s="146" t="s">
        <v>3586</v>
      </c>
      <c r="X217"/>
      <c r="Y217"/>
      <c r="Z217"/>
      <c r="AA217"/>
      <c r="AB217"/>
      <c r="AC217"/>
    </row>
    <row r="218" spans="1:29" x14ac:dyDescent="0.25">
      <c r="A218" s="37">
        <f t="shared" si="3"/>
        <v>11</v>
      </c>
      <c r="C218" s="36" t="s">
        <v>315</v>
      </c>
      <c r="D218" s="36" t="s">
        <v>367</v>
      </c>
      <c r="E218" s="36">
        <v>780769</v>
      </c>
      <c r="F218" s="36">
        <v>2</v>
      </c>
      <c r="G218" s="36">
        <v>729691</v>
      </c>
      <c r="H218" s="48" t="str">
        <f>IFERROR(INDEX(Table14[],MATCH($G218,Table14[SAPNo],0),3),"")</f>
        <v>Round 1613 CT82  0.018" (S)</v>
      </c>
      <c r="I218" s="37">
        <v>13</v>
      </c>
      <c r="J218" s="37">
        <f>IF(Table412[[#This Row],[MAT]]&lt;&gt;"",COUNTIF(Table3[LEVEL 5 MAT NO.],Table412[[#This Row],[MAT]]),"")</f>
        <v>0</v>
      </c>
      <c r="K218" s="36">
        <f>IFERROR(INDEX(Table3[],MATCH($E218,Table3[LEVEL 5 MAT NO.],0),2),0)</f>
        <v>0</v>
      </c>
      <c r="L218" s="36">
        <f>Table412[[#This Row],[Quantity in BOM]]*Table412[[#This Row],[Freq]]</f>
        <v>0</v>
      </c>
      <c r="M218" s="36" t="str">
        <f>IF(Table412[[#This Row],[Exist]]=1,Table412[[#This Row],[MAT]],"")</f>
        <v/>
      </c>
      <c r="N218" s="36" t="str">
        <f>IF(Table412[[#This Row],[Exist]]=1,Table412[[#This Row],[Component]],"")</f>
        <v/>
      </c>
      <c r="O218" s="36">
        <f>IFERROR(VALUE(Table412[[#This Row],[MAT]]&amp;Table412[[#This Row],[X'#]]),IF(COUNTIF(Table412[[#This Row],[MAT]],"*M"),Table412[[#This Row],[MAT]]&amp;Table412[[#This Row],[X'#]],""))</f>
        <v>7807692</v>
      </c>
      <c r="T218" s="144">
        <v>219</v>
      </c>
      <c r="U218" s="145">
        <v>1234189</v>
      </c>
      <c r="V218" s="146" t="s">
        <v>3587</v>
      </c>
      <c r="X218"/>
      <c r="Y218"/>
      <c r="Z218"/>
      <c r="AA218"/>
      <c r="AB218"/>
      <c r="AC218"/>
    </row>
    <row r="219" spans="1:29" x14ac:dyDescent="0.25">
      <c r="A219" s="37">
        <f t="shared" si="3"/>
        <v>11</v>
      </c>
      <c r="C219" s="36" t="s">
        <v>315</v>
      </c>
      <c r="D219" s="36" t="s">
        <v>367</v>
      </c>
      <c r="E219" s="36">
        <v>780769</v>
      </c>
      <c r="F219" s="36">
        <v>3</v>
      </c>
      <c r="G219" s="36">
        <v>375538</v>
      </c>
      <c r="H219" s="48" t="str">
        <f>IFERROR(INDEX(Table14[],MATCH($G219,Table14[SAPNo],0),3),"")</f>
        <v>R1 13  R1 PEP .012R LG BEVEL  (D)</v>
      </c>
      <c r="I219" s="37">
        <v>16</v>
      </c>
      <c r="J219" s="37">
        <f>IF(Table412[[#This Row],[MAT]]&lt;&gt;"",COUNTIF(Table3[LEVEL 5 MAT NO.],Table412[[#This Row],[MAT]]),"")</f>
        <v>0</v>
      </c>
      <c r="K219" s="36">
        <f>IFERROR(INDEX(Table3[],MATCH($E219,Table3[LEVEL 5 MAT NO.],0),2),0)</f>
        <v>0</v>
      </c>
      <c r="L219" s="36">
        <f>Table412[[#This Row],[Quantity in BOM]]*Table412[[#This Row],[Freq]]</f>
        <v>0</v>
      </c>
      <c r="M219" s="36" t="str">
        <f>IF(Table412[[#This Row],[Exist]]=1,Table412[[#This Row],[MAT]],"")</f>
        <v/>
      </c>
      <c r="N219" s="36" t="str">
        <f>IF(Table412[[#This Row],[Exist]]=1,Table412[[#This Row],[Component]],"")</f>
        <v/>
      </c>
      <c r="O219" s="36">
        <f>IFERROR(VALUE(Table412[[#This Row],[MAT]]&amp;Table412[[#This Row],[X'#]]),IF(COUNTIF(Table412[[#This Row],[MAT]],"*M"),Table412[[#This Row],[MAT]]&amp;Table412[[#This Row],[X'#]],""))</f>
        <v>7807693</v>
      </c>
      <c r="T219" s="144">
        <v>220</v>
      </c>
      <c r="U219" s="145">
        <v>1231982</v>
      </c>
      <c r="V219" s="146" t="s">
        <v>3588</v>
      </c>
      <c r="X219"/>
      <c r="Y219"/>
      <c r="Z219"/>
      <c r="AA219"/>
      <c r="AB219"/>
      <c r="AC219"/>
    </row>
    <row r="220" spans="1:29" x14ac:dyDescent="0.25">
      <c r="A220" s="37">
        <f t="shared" si="3"/>
        <v>11</v>
      </c>
      <c r="C220" s="36" t="s">
        <v>315</v>
      </c>
      <c r="D220" s="36" t="s">
        <v>367</v>
      </c>
      <c r="E220" s="36">
        <v>780769</v>
      </c>
      <c r="F220" s="36">
        <v>4</v>
      </c>
      <c r="G220" s="36">
        <v>418525</v>
      </c>
      <c r="H220" s="48" t="str">
        <f>IFERROR(INDEX(Table14[],MATCH($G220,Table14[SAPNo],0),3),"")</f>
        <v>Drop In 1308 CT31   (B)</v>
      </c>
      <c r="I220" s="37">
        <v>8</v>
      </c>
      <c r="J220" s="37">
        <f>IF(Table412[[#This Row],[MAT]]&lt;&gt;"",COUNTIF(Table3[LEVEL 5 MAT NO.],Table412[[#This Row],[MAT]]),"")</f>
        <v>0</v>
      </c>
      <c r="K220" s="36">
        <f>IFERROR(INDEX(Table3[],MATCH($E220,Table3[LEVEL 5 MAT NO.],0),2),0)</f>
        <v>0</v>
      </c>
      <c r="L220" s="36">
        <f>Table412[[#This Row],[Quantity in BOM]]*Table412[[#This Row],[Freq]]</f>
        <v>0</v>
      </c>
      <c r="M220" s="36" t="str">
        <f>IF(Table412[[#This Row],[Exist]]=1,Table412[[#This Row],[MAT]],"")</f>
        <v/>
      </c>
      <c r="N220" s="36" t="str">
        <f>IF(Table412[[#This Row],[Exist]]=1,Table412[[#This Row],[Component]],"")</f>
        <v/>
      </c>
      <c r="O220" s="36">
        <f>IFERROR(VALUE(Table412[[#This Row],[MAT]]&amp;Table412[[#This Row],[X'#]]),IF(COUNTIF(Table412[[#This Row],[MAT]],"*M"),Table412[[#This Row],[MAT]]&amp;Table412[[#This Row],[X'#]],""))</f>
        <v>7807694</v>
      </c>
      <c r="T220" s="144">
        <v>221</v>
      </c>
      <c r="U220" s="145">
        <v>1142711</v>
      </c>
      <c r="V220" s="146" t="s">
        <v>3589</v>
      </c>
      <c r="X220"/>
      <c r="Y220"/>
      <c r="Z220"/>
      <c r="AA220"/>
      <c r="AB220"/>
      <c r="AC220"/>
    </row>
    <row r="221" spans="1:29" x14ac:dyDescent="0.25">
      <c r="A221" s="37">
        <f t="shared" si="3"/>
        <v>11</v>
      </c>
      <c r="C221" s="36" t="s">
        <v>315</v>
      </c>
      <c r="D221" s="36" t="s">
        <v>367</v>
      </c>
      <c r="E221" s="36">
        <v>780769</v>
      </c>
      <c r="F221" s="36">
        <v>5</v>
      </c>
      <c r="G221" s="36">
        <v>647436</v>
      </c>
      <c r="H221" s="48" t="str">
        <f>IFERROR(INDEX(Table14[],MATCH($G221,Table14[SAPNo],0),3),"")</f>
        <v>Round 1613 CT200  0.018" (B)</v>
      </c>
      <c r="I221" s="37">
        <v>8</v>
      </c>
      <c r="J221" s="37">
        <f>IF(Table412[[#This Row],[MAT]]&lt;&gt;"",COUNTIF(Table3[LEVEL 5 MAT NO.],Table412[[#This Row],[MAT]]),"")</f>
        <v>0</v>
      </c>
      <c r="K221" s="36">
        <f>IFERROR(INDEX(Table3[],MATCH($E221,Table3[LEVEL 5 MAT NO.],0),2),0)</f>
        <v>0</v>
      </c>
      <c r="L221" s="36">
        <f>Table412[[#This Row],[Quantity in BOM]]*Table412[[#This Row],[Freq]]</f>
        <v>0</v>
      </c>
      <c r="M221" s="36" t="str">
        <f>IF(Table412[[#This Row],[Exist]]=1,Table412[[#This Row],[MAT]],"")</f>
        <v/>
      </c>
      <c r="N221" s="36" t="str">
        <f>IF(Table412[[#This Row],[Exist]]=1,Table412[[#This Row],[Component]],"")</f>
        <v/>
      </c>
      <c r="O221" s="36">
        <f>IFERROR(VALUE(Table412[[#This Row],[MAT]]&amp;Table412[[#This Row],[X'#]]),IF(COUNTIF(Table412[[#This Row],[MAT]],"*M"),Table412[[#This Row],[MAT]]&amp;Table412[[#This Row],[X'#]],""))</f>
        <v>7807695</v>
      </c>
      <c r="T221" s="144">
        <v>222</v>
      </c>
      <c r="U221" s="145">
        <v>1263281</v>
      </c>
      <c r="V221" s="146" t="s">
        <v>3590</v>
      </c>
      <c r="X221"/>
      <c r="Y221"/>
      <c r="Z221"/>
      <c r="AA221"/>
      <c r="AB221"/>
      <c r="AC221"/>
    </row>
    <row r="222" spans="1:29" x14ac:dyDescent="0.25">
      <c r="A222" s="37">
        <f t="shared" si="3"/>
        <v>11</v>
      </c>
      <c r="C222" s="36" t="s">
        <v>315</v>
      </c>
      <c r="D222" s="36" t="s">
        <v>367</v>
      </c>
      <c r="E222" s="36">
        <v>780769</v>
      </c>
      <c r="F222" s="36">
        <v>6</v>
      </c>
      <c r="G222" s="36">
        <v>871781</v>
      </c>
      <c r="H222" s="48" t="str">
        <f>IFERROR(INDEX(Table14[],MATCH($G222,Table14[SAPNo],0),3),"")</f>
        <v>Round 1313 CT200  0.018" (B)</v>
      </c>
      <c r="I222" s="37">
        <v>8</v>
      </c>
      <c r="J222" s="37">
        <f>IF(Table412[[#This Row],[MAT]]&lt;&gt;"",COUNTIF(Table3[LEVEL 5 MAT NO.],Table412[[#This Row],[MAT]]),"")</f>
        <v>0</v>
      </c>
      <c r="K222" s="36">
        <f>IFERROR(INDEX(Table3[],MATCH($E222,Table3[LEVEL 5 MAT NO.],0),2),0)</f>
        <v>0</v>
      </c>
      <c r="L222" s="36">
        <f>Table412[[#This Row],[Quantity in BOM]]*Table412[[#This Row],[Freq]]</f>
        <v>0</v>
      </c>
      <c r="M222" s="36" t="str">
        <f>IF(Table412[[#This Row],[Exist]]=1,Table412[[#This Row],[MAT]],"")</f>
        <v/>
      </c>
      <c r="N222" s="36" t="str">
        <f>IF(Table412[[#This Row],[Exist]]=1,Table412[[#This Row],[Component]],"")</f>
        <v/>
      </c>
      <c r="O222" s="36">
        <f>IFERROR(VALUE(Table412[[#This Row],[MAT]]&amp;Table412[[#This Row],[X'#]]),IF(COUNTIF(Table412[[#This Row],[MAT]],"*M"),Table412[[#This Row],[MAT]]&amp;Table412[[#This Row],[X'#]],""))</f>
        <v>7807696</v>
      </c>
      <c r="T222" s="133">
        <v>223</v>
      </c>
      <c r="U222" s="134">
        <v>1200972</v>
      </c>
      <c r="V222" s="135" t="s">
        <v>3592</v>
      </c>
      <c r="X222"/>
      <c r="Y222"/>
      <c r="Z222"/>
      <c r="AA222"/>
      <c r="AB222"/>
      <c r="AC222"/>
    </row>
    <row r="223" spans="1:29" x14ac:dyDescent="0.25">
      <c r="A223" s="37">
        <f t="shared" si="3"/>
        <v>11</v>
      </c>
      <c r="C223" s="36" t="s">
        <v>2691</v>
      </c>
      <c r="D223" s="36" t="s">
        <v>3591</v>
      </c>
      <c r="E223" s="36">
        <v>792702</v>
      </c>
      <c r="F223" s="36">
        <v>1</v>
      </c>
      <c r="G223" s="36">
        <v>717749</v>
      </c>
      <c r="H223" s="48" t="str">
        <f>IFERROR(INDEX(Table14[],MATCH($G223,Table14[SAPNo],0),3),"")</f>
        <v>Round 1308 CT200  10C (B)</v>
      </c>
      <c r="I223" s="37">
        <v>15</v>
      </c>
      <c r="J223" s="37">
        <f>IF(Table412[[#This Row],[MAT]]&lt;&gt;"",COUNTIF(Table3[LEVEL 5 MAT NO.],Table412[[#This Row],[MAT]]),"")</f>
        <v>0</v>
      </c>
      <c r="K223" s="36">
        <f>IFERROR(INDEX(Table3[],MATCH($E223,Table3[LEVEL 5 MAT NO.],0),2),0)</f>
        <v>0</v>
      </c>
      <c r="L223" s="36">
        <f>Table412[[#This Row],[Quantity in BOM]]*Table412[[#This Row],[Freq]]</f>
        <v>0</v>
      </c>
      <c r="M223" s="36" t="str">
        <f>IF(Table412[[#This Row],[Exist]]=1,Table412[[#This Row],[MAT]],"")</f>
        <v/>
      </c>
      <c r="N223" s="36" t="str">
        <f>IF(Table412[[#This Row],[Exist]]=1,Table412[[#This Row],[Component]],"")</f>
        <v/>
      </c>
      <c r="O223" s="36">
        <f>IFERROR(VALUE(Table412[[#This Row],[MAT]]&amp;Table412[[#This Row],[X'#]]),IF(COUNTIF(Table412[[#This Row],[MAT]],"*M"),Table412[[#This Row],[MAT]]&amp;Table412[[#This Row],[X'#]],""))</f>
        <v>7927021</v>
      </c>
      <c r="T223" s="144">
        <v>186</v>
      </c>
      <c r="U223" s="145">
        <v>1165840</v>
      </c>
      <c r="V223" s="146" t="s">
        <v>3593</v>
      </c>
      <c r="X223"/>
      <c r="Y223"/>
      <c r="Z223"/>
      <c r="AA223"/>
      <c r="AB223"/>
      <c r="AC223"/>
    </row>
    <row r="224" spans="1:29" x14ac:dyDescent="0.25">
      <c r="A224" s="37">
        <f t="shared" si="3"/>
        <v>11</v>
      </c>
      <c r="C224" s="36" t="s">
        <v>2691</v>
      </c>
      <c r="D224" s="36" t="s">
        <v>3591</v>
      </c>
      <c r="E224" s="36">
        <v>792702</v>
      </c>
      <c r="F224" s="36">
        <v>2</v>
      </c>
      <c r="G224" s="36">
        <v>745171</v>
      </c>
      <c r="H224" s="48" t="str">
        <f>IFERROR(INDEX(Table14[],MATCH($G224,Table14[SAPNo],0),3),"")</f>
        <v>Round 1308 CT80  10C (B)</v>
      </c>
      <c r="I224" s="37">
        <v>27</v>
      </c>
      <c r="J224" s="37">
        <f>IF(Table412[[#This Row],[MAT]]&lt;&gt;"",COUNTIF(Table3[LEVEL 5 MAT NO.],Table412[[#This Row],[MAT]]),"")</f>
        <v>0</v>
      </c>
      <c r="K224" s="36">
        <f>IFERROR(INDEX(Table3[],MATCH($E224,Table3[LEVEL 5 MAT NO.],0),2),0)</f>
        <v>0</v>
      </c>
      <c r="L224" s="36">
        <f>Table412[[#This Row],[Quantity in BOM]]*Table412[[#This Row],[Freq]]</f>
        <v>0</v>
      </c>
      <c r="M224" s="36" t="str">
        <f>IF(Table412[[#This Row],[Exist]]=1,Table412[[#This Row],[MAT]],"")</f>
        <v/>
      </c>
      <c r="N224" s="36" t="str">
        <f>IF(Table412[[#This Row],[Exist]]=1,Table412[[#This Row],[Component]],"")</f>
        <v/>
      </c>
      <c r="O224" s="36">
        <f>IFERROR(VALUE(Table412[[#This Row],[MAT]]&amp;Table412[[#This Row],[X'#]]),IF(COUNTIF(Table412[[#This Row],[MAT]],"*M"),Table412[[#This Row],[MAT]]&amp;Table412[[#This Row],[X'#]],""))</f>
        <v>7927022</v>
      </c>
      <c r="T224" s="144">
        <v>224</v>
      </c>
      <c r="U224" s="145">
        <v>1165800</v>
      </c>
      <c r="V224" s="146" t="s">
        <v>3594</v>
      </c>
      <c r="X224"/>
      <c r="Y224"/>
      <c r="Z224"/>
      <c r="AA224"/>
      <c r="AB224"/>
      <c r="AC224"/>
    </row>
    <row r="225" spans="1:33" x14ac:dyDescent="0.25">
      <c r="A225" s="37">
        <f t="shared" si="3"/>
        <v>11</v>
      </c>
      <c r="C225" s="36" t="s">
        <v>2691</v>
      </c>
      <c r="D225" s="36" t="s">
        <v>3591</v>
      </c>
      <c r="E225" s="36">
        <v>792702</v>
      </c>
      <c r="F225" s="36">
        <v>3</v>
      </c>
      <c r="G225" s="36">
        <v>418525</v>
      </c>
      <c r="H225" s="48" t="str">
        <f>IFERROR(INDEX(Table14[],MATCH($G225,Table14[SAPNo],0),3),"")</f>
        <v>Drop In 1308 CT31   (B)</v>
      </c>
      <c r="I225" s="37">
        <v>9</v>
      </c>
      <c r="J225" s="37">
        <f>IF(Table412[[#This Row],[MAT]]&lt;&gt;"",COUNTIF(Table3[LEVEL 5 MAT NO.],Table412[[#This Row],[MAT]]),"")</f>
        <v>0</v>
      </c>
      <c r="K225" s="36">
        <f>IFERROR(INDEX(Table3[],MATCH($E225,Table3[LEVEL 5 MAT NO.],0),2),0)</f>
        <v>0</v>
      </c>
      <c r="L225" s="36">
        <f>Table412[[#This Row],[Quantity in BOM]]*Table412[[#This Row],[Freq]]</f>
        <v>0</v>
      </c>
      <c r="M225" s="36" t="str">
        <f>IF(Table412[[#This Row],[Exist]]=1,Table412[[#This Row],[MAT]],"")</f>
        <v/>
      </c>
      <c r="N225" s="36" t="str">
        <f>IF(Table412[[#This Row],[Exist]]=1,Table412[[#This Row],[Component]],"")</f>
        <v/>
      </c>
      <c r="O225" s="36">
        <f>IFERROR(VALUE(Table412[[#This Row],[MAT]]&amp;Table412[[#This Row],[X'#]]),IF(COUNTIF(Table412[[#This Row],[MAT]],"*M"),Table412[[#This Row],[MAT]]&amp;Table412[[#This Row],[X'#]],""))</f>
        <v>7927023</v>
      </c>
      <c r="T225" s="133">
        <v>225</v>
      </c>
      <c r="U225" s="134">
        <v>1146346</v>
      </c>
      <c r="V225" s="135" t="s">
        <v>3595</v>
      </c>
      <c r="X225"/>
      <c r="Y225"/>
      <c r="Z225"/>
      <c r="AA225"/>
      <c r="AB225"/>
      <c r="AC225"/>
      <c r="AD225"/>
      <c r="AE225"/>
      <c r="AF225"/>
      <c r="AG225"/>
    </row>
    <row r="226" spans="1:33" x14ac:dyDescent="0.25">
      <c r="A226" s="37">
        <f t="shared" si="3"/>
        <v>11</v>
      </c>
      <c r="C226" s="36" t="s">
        <v>2691</v>
      </c>
      <c r="D226" s="36" t="s">
        <v>3458</v>
      </c>
      <c r="E226" s="36">
        <v>933078</v>
      </c>
      <c r="F226" s="36">
        <v>1</v>
      </c>
      <c r="G226" s="36">
        <v>729434</v>
      </c>
      <c r="H226" s="48" t="str">
        <f>IFERROR(INDEX(Table14[],MATCH($G226,Table14[SAPNo],0),3),"")</f>
        <v>Round 1308 CT82  10C (S)</v>
      </c>
      <c r="I226" s="37">
        <v>21</v>
      </c>
      <c r="J226" s="37">
        <f>IF(Table412[[#This Row],[MAT]]&lt;&gt;"",COUNTIF(Table3[LEVEL 5 MAT NO.],Table412[[#This Row],[MAT]]),"")</f>
        <v>0</v>
      </c>
      <c r="K226" s="36">
        <f>IFERROR(INDEX(Table3[],MATCH($E226,Table3[LEVEL 5 MAT NO.],0),2),0)</f>
        <v>0</v>
      </c>
      <c r="L226" s="36">
        <f>Table412[[#This Row],[Quantity in BOM]]*Table412[[#This Row],[Freq]]</f>
        <v>0</v>
      </c>
      <c r="M226" s="36" t="str">
        <f>IF(Table412[[#This Row],[Exist]]=1,Table412[[#This Row],[MAT]],"")</f>
        <v/>
      </c>
      <c r="N226" s="36" t="str">
        <f>IF(Table412[[#This Row],[Exist]]=1,Table412[[#This Row],[Component]],"")</f>
        <v/>
      </c>
      <c r="O226" s="36">
        <f>IFERROR(VALUE(Table412[[#This Row],[MAT]]&amp;Table412[[#This Row],[X'#]]),IF(COUNTIF(Table412[[#This Row],[MAT]],"*M"),Table412[[#This Row],[MAT]]&amp;Table412[[#This Row],[X'#]],""))</f>
        <v>9330781</v>
      </c>
      <c r="T226" s="144">
        <v>226</v>
      </c>
      <c r="U226" s="145">
        <v>1271790</v>
      </c>
      <c r="V226" s="146" t="s">
        <v>3596</v>
      </c>
      <c r="X226"/>
      <c r="Y226"/>
      <c r="Z226"/>
      <c r="AA226"/>
      <c r="AB226"/>
      <c r="AC226"/>
      <c r="AD226"/>
      <c r="AE226"/>
      <c r="AF226"/>
      <c r="AG226"/>
    </row>
    <row r="227" spans="1:33" x14ac:dyDescent="0.25">
      <c r="A227" s="37">
        <f t="shared" si="3"/>
        <v>11</v>
      </c>
      <c r="C227" s="36" t="s">
        <v>2691</v>
      </c>
      <c r="D227" s="36" t="s">
        <v>3458</v>
      </c>
      <c r="E227" s="36">
        <v>933078</v>
      </c>
      <c r="F227" s="36">
        <v>2</v>
      </c>
      <c r="G227" s="36">
        <v>717749</v>
      </c>
      <c r="H227" s="48" t="str">
        <f>IFERROR(INDEX(Table14[],MATCH($G227,Table14[SAPNo],0),3),"")</f>
        <v>Round 1308 CT200  10C (B)</v>
      </c>
      <c r="I227" s="37">
        <v>15</v>
      </c>
      <c r="J227" s="37">
        <f>IF(Table412[[#This Row],[MAT]]&lt;&gt;"",COUNTIF(Table3[LEVEL 5 MAT NO.],Table412[[#This Row],[MAT]]),"")</f>
        <v>0</v>
      </c>
      <c r="K227" s="36">
        <f>IFERROR(INDEX(Table3[],MATCH($E227,Table3[LEVEL 5 MAT NO.],0),2),0)</f>
        <v>0</v>
      </c>
      <c r="L227" s="36">
        <f>Table412[[#This Row],[Quantity in BOM]]*Table412[[#This Row],[Freq]]</f>
        <v>0</v>
      </c>
      <c r="M227" s="36" t="str">
        <f>IF(Table412[[#This Row],[Exist]]=1,Table412[[#This Row],[MAT]],"")</f>
        <v/>
      </c>
      <c r="N227" s="36" t="str">
        <f>IF(Table412[[#This Row],[Exist]]=1,Table412[[#This Row],[Component]],"")</f>
        <v/>
      </c>
      <c r="O227" s="36">
        <f>IFERROR(VALUE(Table412[[#This Row],[MAT]]&amp;Table412[[#This Row],[X'#]]),IF(COUNTIF(Table412[[#This Row],[MAT]],"*M"),Table412[[#This Row],[MAT]]&amp;Table412[[#This Row],[X'#]],""))</f>
        <v>9330782</v>
      </c>
      <c r="T227" s="144">
        <v>227</v>
      </c>
      <c r="U227" s="145">
        <v>1220688</v>
      </c>
      <c r="V227" s="146" t="s">
        <v>3597</v>
      </c>
      <c r="Z227"/>
    </row>
    <row r="228" spans="1:33" x14ac:dyDescent="0.25">
      <c r="A228" s="37">
        <f t="shared" si="3"/>
        <v>11</v>
      </c>
      <c r="C228" s="36" t="s">
        <v>2691</v>
      </c>
      <c r="D228" s="36" t="s">
        <v>3458</v>
      </c>
      <c r="E228" s="36">
        <v>933078</v>
      </c>
      <c r="F228" s="36">
        <v>3</v>
      </c>
      <c r="G228" s="36">
        <v>177778</v>
      </c>
      <c r="H228" s="48" t="str">
        <f>IFERROR(INDEX(Table14[],MATCH($G228,Table14[SAPNo],0),3),"")</f>
        <v>Drop In 1303 CT200   (B)</v>
      </c>
      <c r="I228" s="37">
        <v>2</v>
      </c>
      <c r="J228" s="37">
        <f>IF(Table412[[#This Row],[MAT]]&lt;&gt;"",COUNTIF(Table3[LEVEL 5 MAT NO.],Table412[[#This Row],[MAT]]),"")</f>
        <v>0</v>
      </c>
      <c r="K228" s="36">
        <f>IFERROR(INDEX(Table3[],MATCH($E228,Table3[LEVEL 5 MAT NO.],0),2),0)</f>
        <v>0</v>
      </c>
      <c r="L228" s="36">
        <f>Table412[[#This Row],[Quantity in BOM]]*Table412[[#This Row],[Freq]]</f>
        <v>0</v>
      </c>
      <c r="M228" s="36" t="str">
        <f>IF(Table412[[#This Row],[Exist]]=1,Table412[[#This Row],[MAT]],"")</f>
        <v/>
      </c>
      <c r="N228" s="36" t="str">
        <f>IF(Table412[[#This Row],[Exist]]=1,Table412[[#This Row],[Component]],"")</f>
        <v/>
      </c>
      <c r="O228" s="36">
        <f>IFERROR(VALUE(Table412[[#This Row],[MAT]]&amp;Table412[[#This Row],[X'#]]),IF(COUNTIF(Table412[[#This Row],[MAT]],"*M"),Table412[[#This Row],[MAT]]&amp;Table412[[#This Row],[X'#]],""))</f>
        <v>9330783</v>
      </c>
      <c r="T228" s="144">
        <v>228</v>
      </c>
      <c r="U228" s="145">
        <v>1244957</v>
      </c>
      <c r="V228" s="146" t="s">
        <v>3598</v>
      </c>
      <c r="W228"/>
      <c r="X228"/>
      <c r="Z228"/>
    </row>
    <row r="229" spans="1:33" x14ac:dyDescent="0.25">
      <c r="A229" s="37">
        <f t="shared" si="3"/>
        <v>11</v>
      </c>
      <c r="C229" s="36" t="s">
        <v>2691</v>
      </c>
      <c r="D229" s="36" t="s">
        <v>3458</v>
      </c>
      <c r="E229" s="36">
        <v>933078</v>
      </c>
      <c r="F229" s="36">
        <v>4</v>
      </c>
      <c r="G229" s="36">
        <v>176086</v>
      </c>
      <c r="H229" s="48" t="str">
        <f>IFERROR(INDEX(Table14[],MATCH($G229,Table14[SAPNo],0),3),"")</f>
        <v/>
      </c>
      <c r="I229" s="37">
        <v>9</v>
      </c>
      <c r="J229" s="37">
        <f>IF(Table412[[#This Row],[MAT]]&lt;&gt;"",COUNTIF(Table3[LEVEL 5 MAT NO.],Table412[[#This Row],[MAT]]),"")</f>
        <v>0</v>
      </c>
      <c r="K229" s="36">
        <f>IFERROR(INDEX(Table3[],MATCH($E229,Table3[LEVEL 5 MAT NO.],0),2),0)</f>
        <v>0</v>
      </c>
      <c r="L229" s="36">
        <f>Table412[[#This Row],[Quantity in BOM]]*Table412[[#This Row],[Freq]]</f>
        <v>0</v>
      </c>
      <c r="M229" s="36" t="str">
        <f>IF(Table412[[#This Row],[Exist]]=1,Table412[[#This Row],[MAT]],"")</f>
        <v/>
      </c>
      <c r="N229" s="36" t="str">
        <f>IF(Table412[[#This Row],[Exist]]=1,Table412[[#This Row],[Component]],"")</f>
        <v/>
      </c>
      <c r="O229" s="36">
        <f>IFERROR(VALUE(Table412[[#This Row],[MAT]]&amp;Table412[[#This Row],[X'#]]),IF(COUNTIF(Table412[[#This Row],[MAT]],"*M"),Table412[[#This Row],[MAT]]&amp;Table412[[#This Row],[X'#]],""))</f>
        <v>9330784</v>
      </c>
      <c r="T229" s="133">
        <v>229</v>
      </c>
      <c r="U229" s="134">
        <v>1126402</v>
      </c>
      <c r="V229" s="135" t="s">
        <v>3599</v>
      </c>
      <c r="W229"/>
      <c r="X229"/>
      <c r="Z229"/>
    </row>
    <row r="230" spans="1:33" x14ac:dyDescent="0.25">
      <c r="A230" s="37">
        <f t="shared" si="3"/>
        <v>11</v>
      </c>
      <c r="C230" s="36" t="s">
        <v>2691</v>
      </c>
      <c r="D230" s="36" t="s">
        <v>3591</v>
      </c>
      <c r="E230" s="36">
        <v>942975</v>
      </c>
      <c r="F230" s="36">
        <v>1</v>
      </c>
      <c r="G230" s="36">
        <v>729434</v>
      </c>
      <c r="H230" s="48" t="str">
        <f>IFERROR(INDEX(Table14[],MATCH($G230,Table14[SAPNo],0),3),"")</f>
        <v>Round 1308 CT82  10C (S)</v>
      </c>
      <c r="I230" s="37">
        <v>42</v>
      </c>
      <c r="J230" s="37">
        <f>IF(Table412[[#This Row],[MAT]]&lt;&gt;"",COUNTIF(Table3[LEVEL 5 MAT NO.],Table412[[#This Row],[MAT]]),"")</f>
        <v>0</v>
      </c>
      <c r="K230" s="36">
        <f>IFERROR(INDEX(Table3[],MATCH($E230,Table3[LEVEL 5 MAT NO.],0),2),0)</f>
        <v>0</v>
      </c>
      <c r="L230" s="36">
        <f>Table412[[#This Row],[Quantity in BOM]]*Table412[[#This Row],[Freq]]</f>
        <v>0</v>
      </c>
      <c r="M230" s="36" t="str">
        <f>IF(Table412[[#This Row],[Exist]]=1,Table412[[#This Row],[MAT]],"")</f>
        <v/>
      </c>
      <c r="N230" s="36" t="str">
        <f>IF(Table412[[#This Row],[Exist]]=1,Table412[[#This Row],[Component]],"")</f>
        <v/>
      </c>
      <c r="O230" s="36">
        <f>IFERROR(VALUE(Table412[[#This Row],[MAT]]&amp;Table412[[#This Row],[X'#]]),IF(COUNTIF(Table412[[#This Row],[MAT]],"*M"),Table412[[#This Row],[MAT]]&amp;Table412[[#This Row],[X'#]],""))</f>
        <v>9429751</v>
      </c>
      <c r="T230" s="133">
        <v>230</v>
      </c>
      <c r="U230" s="134">
        <v>1250971</v>
      </c>
      <c r="V230" s="135" t="s">
        <v>3601</v>
      </c>
      <c r="W230" t="s">
        <v>3600</v>
      </c>
      <c r="X230"/>
      <c r="Z230"/>
    </row>
    <row r="231" spans="1:33" x14ac:dyDescent="0.25">
      <c r="A231" s="37">
        <f t="shared" si="3"/>
        <v>11</v>
      </c>
      <c r="C231" s="36" t="s">
        <v>2691</v>
      </c>
      <c r="D231" s="36" t="s">
        <v>3591</v>
      </c>
      <c r="E231" s="36">
        <v>942975</v>
      </c>
      <c r="F231" s="36">
        <v>2</v>
      </c>
      <c r="G231" s="36">
        <v>418525</v>
      </c>
      <c r="H231" s="48" t="str">
        <f>IFERROR(INDEX(Table14[],MATCH($G231,Table14[SAPNo],0),3),"")</f>
        <v>Drop In 1308 CT31   (B)</v>
      </c>
      <c r="I231" s="37">
        <v>9</v>
      </c>
      <c r="J231" s="37">
        <f>IF(Table412[[#This Row],[MAT]]&lt;&gt;"",COUNTIF(Table3[LEVEL 5 MAT NO.],Table412[[#This Row],[MAT]]),"")</f>
        <v>0</v>
      </c>
      <c r="K231" s="36">
        <f>IFERROR(INDEX(Table3[],MATCH($E231,Table3[LEVEL 5 MAT NO.],0),2),0)</f>
        <v>0</v>
      </c>
      <c r="L231" s="36">
        <f>Table412[[#This Row],[Quantity in BOM]]*Table412[[#This Row],[Freq]]</f>
        <v>0</v>
      </c>
      <c r="M231" s="36" t="str">
        <f>IF(Table412[[#This Row],[Exist]]=1,Table412[[#This Row],[MAT]],"")</f>
        <v/>
      </c>
      <c r="N231" s="36" t="str">
        <f>IF(Table412[[#This Row],[Exist]]=1,Table412[[#This Row],[Component]],"")</f>
        <v/>
      </c>
      <c r="O231" s="36">
        <f>IFERROR(VALUE(Table412[[#This Row],[MAT]]&amp;Table412[[#This Row],[X'#]]),IF(COUNTIF(Table412[[#This Row],[MAT]],"*M"),Table412[[#This Row],[MAT]]&amp;Table412[[#This Row],[X'#]],""))</f>
        <v>9429752</v>
      </c>
      <c r="T231" s="144">
        <v>232</v>
      </c>
      <c r="U231" s="145">
        <v>1255773</v>
      </c>
      <c r="V231" s="146" t="s">
        <v>3602</v>
      </c>
      <c r="W231"/>
      <c r="X231"/>
      <c r="Z231" s="19"/>
    </row>
    <row r="232" spans="1:33" x14ac:dyDescent="0.25">
      <c r="A232" s="37">
        <f t="shared" si="3"/>
        <v>11</v>
      </c>
      <c r="C232" s="36" t="s">
        <v>2691</v>
      </c>
      <c r="D232" s="36" t="s">
        <v>3591</v>
      </c>
      <c r="E232" s="36">
        <v>942975</v>
      </c>
      <c r="F232" s="36">
        <v>3</v>
      </c>
      <c r="G232" s="36">
        <v>1032645</v>
      </c>
      <c r="H232" s="48" t="str">
        <f>IFERROR(INDEX(Table14[],MATCH($G232,Table14[SAPNo],0),3),"")</f>
        <v/>
      </c>
      <c r="I232" s="37">
        <v>9</v>
      </c>
      <c r="J232" s="37">
        <f>IF(Table412[[#This Row],[MAT]]&lt;&gt;"",COUNTIF(Table3[LEVEL 5 MAT NO.],Table412[[#This Row],[MAT]]),"")</f>
        <v>0</v>
      </c>
      <c r="K232" s="36">
        <f>IFERROR(INDEX(Table3[],MATCH($E232,Table3[LEVEL 5 MAT NO.],0),2),0)</f>
        <v>0</v>
      </c>
      <c r="L232" s="36">
        <f>Table412[[#This Row],[Quantity in BOM]]*Table412[[#This Row],[Freq]]</f>
        <v>0</v>
      </c>
      <c r="M232" s="36" t="str">
        <f>IF(Table412[[#This Row],[Exist]]=1,Table412[[#This Row],[MAT]],"")</f>
        <v/>
      </c>
      <c r="N232" s="36" t="str">
        <f>IF(Table412[[#This Row],[Exist]]=1,Table412[[#This Row],[Component]],"")</f>
        <v/>
      </c>
      <c r="O232" s="36">
        <f>IFERROR(VALUE(Table412[[#This Row],[MAT]]&amp;Table412[[#This Row],[X'#]]),IF(COUNTIF(Table412[[#This Row],[MAT]],"*M"),Table412[[#This Row],[MAT]]&amp;Table412[[#This Row],[X'#]],""))</f>
        <v>9429753</v>
      </c>
      <c r="T232" s="144">
        <v>233</v>
      </c>
      <c r="U232" s="145">
        <v>653400</v>
      </c>
      <c r="V232" s="146" t="s">
        <v>3603</v>
      </c>
      <c r="Z232" s="19"/>
    </row>
    <row r="233" spans="1:33" x14ac:dyDescent="0.25">
      <c r="A233" s="37">
        <f t="shared" si="3"/>
        <v>11</v>
      </c>
      <c r="C233" s="36" t="s">
        <v>315</v>
      </c>
      <c r="D233" s="36" t="s">
        <v>367</v>
      </c>
      <c r="E233" s="36">
        <v>1005462</v>
      </c>
      <c r="F233" s="36">
        <v>3</v>
      </c>
      <c r="G233" s="36">
        <v>708306</v>
      </c>
      <c r="H233" s="48" t="str">
        <f>IFERROR(INDEX(Table14[],MATCH($G233,Table14[SAPNo],0),3),"")</f>
        <v>Round 1913 CT200  0.018" (B)</v>
      </c>
      <c r="I233" s="37">
        <v>28</v>
      </c>
      <c r="J233" s="37">
        <f>IF(Table412[[#This Row],[MAT]]&lt;&gt;"",COUNTIF(Table3[LEVEL 5 MAT NO.],Table412[[#This Row],[MAT]]),"")</f>
        <v>0</v>
      </c>
      <c r="K233" s="36">
        <f>IFERROR(INDEX(Table3[],MATCH($E233,Table3[LEVEL 5 MAT NO.],0),2),0)</f>
        <v>0</v>
      </c>
      <c r="L233" s="36">
        <f>Table412[[#This Row],[Quantity in BOM]]*Table412[[#This Row],[Freq]]</f>
        <v>0</v>
      </c>
      <c r="M233" s="36" t="str">
        <f>IF(Table412[[#This Row],[Exist]]=1,Table412[[#This Row],[MAT]],"")</f>
        <v/>
      </c>
      <c r="N233" s="36" t="str">
        <f>IF(Table412[[#This Row],[Exist]]=1,Table412[[#This Row],[Component]],"")</f>
        <v/>
      </c>
      <c r="O233" s="36">
        <f>IFERROR(VALUE(Table412[[#This Row],[MAT]]&amp;Table412[[#This Row],[X'#]]),IF(COUNTIF(Table412[[#This Row],[MAT]],"*M"),Table412[[#This Row],[MAT]]&amp;Table412[[#This Row],[X'#]],""))</f>
        <v>10054623</v>
      </c>
      <c r="T233" s="144">
        <v>234</v>
      </c>
      <c r="U233" s="145">
        <v>1201518</v>
      </c>
      <c r="V233" s="146" t="s">
        <v>3604</v>
      </c>
      <c r="Z233" s="19"/>
      <c r="AB233" s="470"/>
    </row>
    <row r="234" spans="1:33" x14ac:dyDescent="0.25">
      <c r="A234" s="37">
        <f t="shared" si="3"/>
        <v>11</v>
      </c>
      <c r="C234" s="36" t="s">
        <v>315</v>
      </c>
      <c r="D234" s="36" t="s">
        <v>367</v>
      </c>
      <c r="E234" s="36">
        <v>1005462</v>
      </c>
      <c r="F234" s="36">
        <v>4</v>
      </c>
      <c r="G234" s="36">
        <v>871781</v>
      </c>
      <c r="H234" s="48" t="str">
        <f>IFERROR(INDEX(Table14[],MATCH($G234,Table14[SAPNo],0),3),"")</f>
        <v>Round 1313 CT200  0.018" (B)</v>
      </c>
      <c r="I234" s="37">
        <v>4</v>
      </c>
      <c r="J234" s="37">
        <f>IF(Table412[[#This Row],[MAT]]&lt;&gt;"",COUNTIF(Table3[LEVEL 5 MAT NO.],Table412[[#This Row],[MAT]]),"")</f>
        <v>0</v>
      </c>
      <c r="K234" s="36">
        <f>IFERROR(INDEX(Table3[],MATCH($E234,Table3[LEVEL 5 MAT NO.],0),2),0)</f>
        <v>0</v>
      </c>
      <c r="L234" s="36">
        <f>Table412[[#This Row],[Quantity in BOM]]*Table412[[#This Row],[Freq]]</f>
        <v>0</v>
      </c>
      <c r="M234" s="36" t="str">
        <f>IF(Table412[[#This Row],[Exist]]=1,Table412[[#This Row],[MAT]],"")</f>
        <v/>
      </c>
      <c r="N234" s="36" t="str">
        <f>IF(Table412[[#This Row],[Exist]]=1,Table412[[#This Row],[Component]],"")</f>
        <v/>
      </c>
      <c r="O234" s="36">
        <f>IFERROR(VALUE(Table412[[#This Row],[MAT]]&amp;Table412[[#This Row],[X'#]]),IF(COUNTIF(Table412[[#This Row],[MAT]],"*M"),Table412[[#This Row],[MAT]]&amp;Table412[[#This Row],[X'#]],""))</f>
        <v>10054624</v>
      </c>
      <c r="T234" s="133">
        <v>235</v>
      </c>
      <c r="U234" s="134">
        <v>1168064</v>
      </c>
      <c r="V234" s="135" t="s">
        <v>3605</v>
      </c>
      <c r="Z234" s="19"/>
    </row>
    <row r="235" spans="1:33" x14ac:dyDescent="0.25">
      <c r="A235" s="37">
        <f t="shared" si="3"/>
        <v>11</v>
      </c>
      <c r="C235" s="36" t="s">
        <v>315</v>
      </c>
      <c r="D235" s="36" t="s">
        <v>367</v>
      </c>
      <c r="E235" s="36">
        <v>1005462</v>
      </c>
      <c r="F235" s="36">
        <v>5</v>
      </c>
      <c r="G235" s="36">
        <v>418525</v>
      </c>
      <c r="H235" s="48" t="str">
        <f>IFERROR(INDEX(Table14[],MATCH($G235,Table14[SAPNo],0),3),"")</f>
        <v>Drop In 1308 CT31   (B)</v>
      </c>
      <c r="I235" s="37">
        <v>4</v>
      </c>
      <c r="J235" s="37">
        <f>IF(Table412[[#This Row],[MAT]]&lt;&gt;"",COUNTIF(Table3[LEVEL 5 MAT NO.],Table412[[#This Row],[MAT]]),"")</f>
        <v>0</v>
      </c>
      <c r="K235" s="36">
        <f>IFERROR(INDEX(Table3[],MATCH($E235,Table3[LEVEL 5 MAT NO.],0),2),0)</f>
        <v>0</v>
      </c>
      <c r="L235" s="36">
        <f>Table412[[#This Row],[Quantity in BOM]]*Table412[[#This Row],[Freq]]</f>
        <v>0</v>
      </c>
      <c r="M235" s="36" t="str">
        <f>IF(Table412[[#This Row],[Exist]]=1,Table412[[#This Row],[MAT]],"")</f>
        <v/>
      </c>
      <c r="N235" s="36" t="str">
        <f>IF(Table412[[#This Row],[Exist]]=1,Table412[[#This Row],[Component]],"")</f>
        <v/>
      </c>
      <c r="O235" s="36">
        <f>IFERROR(VALUE(Table412[[#This Row],[MAT]]&amp;Table412[[#This Row],[X'#]]),IF(COUNTIF(Table412[[#This Row],[MAT]],"*M"),Table412[[#This Row],[MAT]]&amp;Table412[[#This Row],[X'#]],""))</f>
        <v>10054625</v>
      </c>
      <c r="T235" s="133">
        <v>236</v>
      </c>
      <c r="U235" s="134">
        <v>1261615</v>
      </c>
      <c r="V235" s="135" t="s">
        <v>3607</v>
      </c>
      <c r="Z235" s="19"/>
      <c r="AB235" s="36">
        <v>242</v>
      </c>
      <c r="AC235" s="36">
        <v>1282370</v>
      </c>
      <c r="AE235" s="36">
        <v>1613</v>
      </c>
      <c r="AF235" s="36" t="s">
        <v>222</v>
      </c>
      <c r="AG235" s="36" t="s">
        <v>3606</v>
      </c>
    </row>
    <row r="236" spans="1:33" x14ac:dyDescent="0.25">
      <c r="A236" s="37">
        <f t="shared" si="3"/>
        <v>11</v>
      </c>
      <c r="C236" s="36" t="s">
        <v>315</v>
      </c>
      <c r="D236" s="36" t="s">
        <v>367</v>
      </c>
      <c r="E236" s="36">
        <v>1020531</v>
      </c>
      <c r="F236" s="36">
        <v>1</v>
      </c>
      <c r="G236" s="36">
        <v>1130198</v>
      </c>
      <c r="H236" s="48" t="str">
        <f>IFERROR(INDEX(Table14[],MATCH($G236,Table14[SAPNo],0),3),"")</f>
        <v>Round 1613 CT182  0.018" (S)</v>
      </c>
      <c r="I236" s="37">
        <v>77</v>
      </c>
      <c r="J236" s="37">
        <f>IF(Table412[[#This Row],[MAT]]&lt;&gt;"",COUNTIF(Table3[LEVEL 5 MAT NO.],Table412[[#This Row],[MAT]]),"")</f>
        <v>0</v>
      </c>
      <c r="K236" s="36">
        <f>IFERROR(INDEX(Table3[],MATCH($E236,Table3[LEVEL 5 MAT NO.],0),2),0)</f>
        <v>0</v>
      </c>
      <c r="L236" s="36">
        <f>Table412[[#This Row],[Quantity in BOM]]*Table412[[#This Row],[Freq]]</f>
        <v>0</v>
      </c>
      <c r="M236" s="36" t="str">
        <f>IF(Table412[[#This Row],[Exist]]=1,Table412[[#This Row],[MAT]],"")</f>
        <v/>
      </c>
      <c r="N236" s="36" t="str">
        <f>IF(Table412[[#This Row],[Exist]]=1,Table412[[#This Row],[Component]],"")</f>
        <v/>
      </c>
      <c r="O236" s="36">
        <f>IFERROR(VALUE(Table412[[#This Row],[MAT]]&amp;Table412[[#This Row],[X'#]]),IF(COUNTIF(Table412[[#This Row],[MAT]],"*M"),Table412[[#This Row],[MAT]]&amp;Table412[[#This Row],[X'#]],""))</f>
        <v>10205311</v>
      </c>
      <c r="T236" s="133">
        <v>238</v>
      </c>
      <c r="U236" s="134">
        <v>1180935</v>
      </c>
      <c r="V236" s="135" t="s">
        <v>3608</v>
      </c>
      <c r="Z236" s="19"/>
      <c r="AB236" s="36">
        <v>243</v>
      </c>
      <c r="AC236" s="36">
        <v>1272309</v>
      </c>
      <c r="AE236" s="36">
        <v>1313</v>
      </c>
      <c r="AF236" s="36" t="s">
        <v>195</v>
      </c>
      <c r="AG236" s="36" t="s">
        <v>109</v>
      </c>
    </row>
    <row r="237" spans="1:33" x14ac:dyDescent="0.25">
      <c r="A237" s="37">
        <f t="shared" si="3"/>
        <v>11</v>
      </c>
      <c r="C237" s="36" t="s">
        <v>624</v>
      </c>
      <c r="D237" s="36" t="s">
        <v>282</v>
      </c>
      <c r="E237" s="36">
        <v>953047</v>
      </c>
      <c r="F237" s="36">
        <v>1</v>
      </c>
      <c r="G237" s="36">
        <v>729687</v>
      </c>
      <c r="H237" s="48" t="str">
        <f>IFERROR(INDEX(Table14[],MATCH($G237,Table14[SAPNo],0),3),"")</f>
        <v>Round 1613 CT82  10C (S)</v>
      </c>
      <c r="I237" s="37">
        <v>28</v>
      </c>
      <c r="J237" s="37">
        <f>IF(Table412[[#This Row],[MAT]]&lt;&gt;"",COUNTIF(Table3[LEVEL 5 MAT NO.],Table412[[#This Row],[MAT]]),"")</f>
        <v>0</v>
      </c>
      <c r="K237" s="36">
        <f>IFERROR(INDEX(Table3[],MATCH($E237,Table3[LEVEL 5 MAT NO.],0),2),0)</f>
        <v>0</v>
      </c>
      <c r="L237" s="36">
        <f>Table412[[#This Row],[Quantity in BOM]]*Table412[[#This Row],[Freq]]</f>
        <v>0</v>
      </c>
      <c r="M237" s="36" t="str">
        <f>IF(Table412[[#This Row],[Exist]]=1,Table412[[#This Row],[MAT]],"")</f>
        <v/>
      </c>
      <c r="N237" s="36" t="str">
        <f>IF(Table412[[#This Row],[Exist]]=1,Table412[[#This Row],[Component]],"")</f>
        <v/>
      </c>
      <c r="O237" s="36">
        <f>IFERROR(VALUE(Table412[[#This Row],[MAT]]&amp;Table412[[#This Row],[X'#]]),IF(COUNTIF(Table412[[#This Row],[MAT]],"*M"),Table412[[#This Row],[MAT]]&amp;Table412[[#This Row],[X'#]],""))</f>
        <v>9530471</v>
      </c>
      <c r="T237" s="144">
        <v>240</v>
      </c>
      <c r="U237" s="145">
        <v>1187118</v>
      </c>
      <c r="V237" s="146" t="s">
        <v>3609</v>
      </c>
      <c r="Z237" s="19"/>
    </row>
    <row r="238" spans="1:33" x14ac:dyDescent="0.25">
      <c r="A238" s="37">
        <f t="shared" si="3"/>
        <v>11</v>
      </c>
      <c r="C238" s="36" t="s">
        <v>624</v>
      </c>
      <c r="D238" s="36" t="s">
        <v>282</v>
      </c>
      <c r="E238" s="36">
        <v>953047</v>
      </c>
      <c r="F238" s="36">
        <v>2</v>
      </c>
      <c r="G238" s="36">
        <v>729435</v>
      </c>
      <c r="H238" s="48" t="str">
        <f>IFERROR(INDEX(Table14[],MATCH($G238,Table14[SAPNo],0),3),"")</f>
        <v>Round 1313 CT82  10C (S)</v>
      </c>
      <c r="I238" s="37">
        <v>3</v>
      </c>
      <c r="J238" s="37">
        <f>IF(Table412[[#This Row],[MAT]]&lt;&gt;"",COUNTIF(Table3[LEVEL 5 MAT NO.],Table412[[#This Row],[MAT]]),"")</f>
        <v>0</v>
      </c>
      <c r="K238" s="36">
        <f>IFERROR(INDEX(Table3[],MATCH($E238,Table3[LEVEL 5 MAT NO.],0),2),0)</f>
        <v>0</v>
      </c>
      <c r="L238" s="36">
        <f>Table412[[#This Row],[Quantity in BOM]]*Table412[[#This Row],[Freq]]</f>
        <v>0</v>
      </c>
      <c r="M238" s="36" t="str">
        <f>IF(Table412[[#This Row],[Exist]]=1,Table412[[#This Row],[MAT]],"")</f>
        <v/>
      </c>
      <c r="N238" s="36" t="str">
        <f>IF(Table412[[#This Row],[Exist]]=1,Table412[[#This Row],[Component]],"")</f>
        <v/>
      </c>
      <c r="O238" s="36">
        <f>IFERROR(VALUE(Table412[[#This Row],[MAT]]&amp;Table412[[#This Row],[X'#]]),IF(COUNTIF(Table412[[#This Row],[MAT]],"*M"),Table412[[#This Row],[MAT]]&amp;Table412[[#This Row],[X'#]],""))</f>
        <v>9530472</v>
      </c>
      <c r="T238" s="133">
        <v>241</v>
      </c>
      <c r="U238" s="134">
        <v>1100753</v>
      </c>
      <c r="V238" s="135" t="s">
        <v>3610</v>
      </c>
      <c r="Z238" s="19"/>
    </row>
    <row r="239" spans="1:33" x14ac:dyDescent="0.25">
      <c r="A239" s="37">
        <f t="shared" si="3"/>
        <v>11</v>
      </c>
      <c r="C239" s="36" t="s">
        <v>624</v>
      </c>
      <c r="D239" s="36" t="s">
        <v>282</v>
      </c>
      <c r="E239" s="36">
        <v>953047</v>
      </c>
      <c r="F239" s="36">
        <v>3</v>
      </c>
      <c r="G239" s="36">
        <v>703670</v>
      </c>
      <c r="H239" s="48" t="str">
        <f>IFERROR(INDEX(Table14[],MATCH($G239,Table14[SAPNo],0),3),"")</f>
        <v>Round 1313 CT200  10C (B)</v>
      </c>
      <c r="I239" s="37">
        <v>3</v>
      </c>
      <c r="J239" s="37">
        <f>IF(Table412[[#This Row],[MAT]]&lt;&gt;"",COUNTIF(Table3[LEVEL 5 MAT NO.],Table412[[#This Row],[MAT]]),"")</f>
        <v>0</v>
      </c>
      <c r="K239" s="36">
        <f>IFERROR(INDEX(Table3[],MATCH($E239,Table3[LEVEL 5 MAT NO.],0),2),0)</f>
        <v>0</v>
      </c>
      <c r="L239" s="36">
        <f>Table412[[#This Row],[Quantity in BOM]]*Table412[[#This Row],[Freq]]</f>
        <v>0</v>
      </c>
      <c r="M239" s="36" t="str">
        <f>IF(Table412[[#This Row],[Exist]]=1,Table412[[#This Row],[MAT]],"")</f>
        <v/>
      </c>
      <c r="N239" s="36" t="str">
        <f>IF(Table412[[#This Row],[Exist]]=1,Table412[[#This Row],[Component]],"")</f>
        <v/>
      </c>
      <c r="O239" s="36">
        <f>IFERROR(VALUE(Table412[[#This Row],[MAT]]&amp;Table412[[#This Row],[X'#]]),IF(COUNTIF(Table412[[#This Row],[MAT]],"*M"),Table412[[#This Row],[MAT]]&amp;Table412[[#This Row],[X'#]],""))</f>
        <v>9530473</v>
      </c>
      <c r="T239" s="133">
        <v>237</v>
      </c>
      <c r="U239" s="134">
        <v>1100739</v>
      </c>
      <c r="V239" s="135" t="s">
        <v>3611</v>
      </c>
      <c r="W239" s="470">
        <v>1313</v>
      </c>
      <c r="X239" s="36" t="s">
        <v>244</v>
      </c>
      <c r="Y239" s="36" t="s">
        <v>248</v>
      </c>
      <c r="Z239" s="19" t="str">
        <f t="shared" ref="Z239:Z249" si="4">CONCATENATE(W239,$W$230,X239,$W$230,Y239)</f>
        <v>1313 CT158H 10C</v>
      </c>
    </row>
    <row r="240" spans="1:33" x14ac:dyDescent="0.25">
      <c r="A240" s="37">
        <f t="shared" si="3"/>
        <v>11</v>
      </c>
      <c r="C240" s="36" t="s">
        <v>624</v>
      </c>
      <c r="D240" s="36" t="s">
        <v>282</v>
      </c>
      <c r="E240" s="36">
        <v>953047</v>
      </c>
      <c r="F240" s="36">
        <v>4</v>
      </c>
      <c r="G240" s="36">
        <v>418525</v>
      </c>
      <c r="H240" s="48" t="str">
        <f>IFERROR(INDEX(Table14[],MATCH($G240,Table14[SAPNo],0),3),"")</f>
        <v>Drop In 1308 CT31   (B)</v>
      </c>
      <c r="I240" s="37">
        <v>6</v>
      </c>
      <c r="J240" s="37">
        <f>IF(Table412[[#This Row],[MAT]]&lt;&gt;"",COUNTIF(Table3[LEVEL 5 MAT NO.],Table412[[#This Row],[MAT]]),"")</f>
        <v>0</v>
      </c>
      <c r="K240" s="36">
        <f>IFERROR(INDEX(Table3[],MATCH($E240,Table3[LEVEL 5 MAT NO.],0),2),0)</f>
        <v>0</v>
      </c>
      <c r="L240" s="36">
        <f>Table412[[#This Row],[Quantity in BOM]]*Table412[[#This Row],[Freq]]</f>
        <v>0</v>
      </c>
      <c r="M240" s="36" t="str">
        <f>IF(Table412[[#This Row],[Exist]]=1,Table412[[#This Row],[MAT]],"")</f>
        <v/>
      </c>
      <c r="N240" s="36" t="str">
        <f>IF(Table412[[#This Row],[Exist]]=1,Table412[[#This Row],[Component]],"")</f>
        <v/>
      </c>
      <c r="O240" s="36">
        <f>IFERROR(VALUE(Table412[[#This Row],[MAT]]&amp;Table412[[#This Row],[X'#]]),IF(COUNTIF(Table412[[#This Row],[MAT]],"*M"),Table412[[#This Row],[MAT]]&amp;Table412[[#This Row],[X'#]],""))</f>
        <v>9530474</v>
      </c>
      <c r="T240" s="144">
        <v>242</v>
      </c>
      <c r="U240" s="145">
        <v>1282370</v>
      </c>
      <c r="V240" s="146" t="s">
        <v>3612</v>
      </c>
      <c r="W240" s="470">
        <v>1613</v>
      </c>
      <c r="X240" s="36" t="s">
        <v>249</v>
      </c>
      <c r="Y240" s="36" t="s">
        <v>177</v>
      </c>
      <c r="Z240" s="19" t="str">
        <f t="shared" si="4"/>
        <v>1613 CT179P 18-60</v>
      </c>
      <c r="AA240" s="470"/>
    </row>
    <row r="241" spans="1:29" x14ac:dyDescent="0.25">
      <c r="A241" s="37">
        <f t="shared" si="3"/>
        <v>11</v>
      </c>
      <c r="C241" s="36" t="s">
        <v>624</v>
      </c>
      <c r="D241" s="36" t="s">
        <v>282</v>
      </c>
      <c r="E241" s="36">
        <v>1002910</v>
      </c>
      <c r="F241" s="36">
        <v>1</v>
      </c>
      <c r="G241" s="36">
        <v>729687</v>
      </c>
      <c r="H241" s="48" t="str">
        <f>IFERROR(INDEX(Table14[],MATCH($G241,Table14[SAPNo],0),3),"")</f>
        <v>Round 1613 CT82  10C (S)</v>
      </c>
      <c r="I241" s="37">
        <v>28</v>
      </c>
      <c r="J241" s="37">
        <f>IF(Table412[[#This Row],[MAT]]&lt;&gt;"",COUNTIF(Table3[LEVEL 5 MAT NO.],Table412[[#This Row],[MAT]]),"")</f>
        <v>0</v>
      </c>
      <c r="K241" s="36">
        <f>IFERROR(INDEX(Table3[],MATCH($E241,Table3[LEVEL 5 MAT NO.],0),2),0)</f>
        <v>0</v>
      </c>
      <c r="L241" s="36">
        <f>Table412[[#This Row],[Quantity in BOM]]*Table412[[#This Row],[Freq]]</f>
        <v>0</v>
      </c>
      <c r="M241" s="36" t="str">
        <f>IF(Table412[[#This Row],[Exist]]=1,Table412[[#This Row],[MAT]],"")</f>
        <v/>
      </c>
      <c r="N241" s="36" t="str">
        <f>IF(Table412[[#This Row],[Exist]]=1,Table412[[#This Row],[Component]],"")</f>
        <v/>
      </c>
      <c r="O241" s="36">
        <f>IFERROR(VALUE(Table412[[#This Row],[MAT]]&amp;Table412[[#This Row],[X'#]]),IF(COUNTIF(Table412[[#This Row],[MAT]],"*M"),Table412[[#This Row],[MAT]]&amp;Table412[[#This Row],[X'#]],""))</f>
        <v>10029101</v>
      </c>
      <c r="T241" s="133">
        <v>243</v>
      </c>
      <c r="U241" s="134">
        <v>1272309</v>
      </c>
      <c r="V241" s="135" t="s">
        <v>3613</v>
      </c>
      <c r="W241" s="470">
        <v>1613</v>
      </c>
      <c r="X241" s="36" t="s">
        <v>250</v>
      </c>
      <c r="Y241" s="36" t="s">
        <v>170</v>
      </c>
      <c r="Z241" s="19" t="str">
        <f t="shared" si="4"/>
        <v>1613 CT418P U-60</v>
      </c>
    </row>
    <row r="242" spans="1:29" x14ac:dyDescent="0.25">
      <c r="A242" s="37">
        <f t="shared" si="3"/>
        <v>11</v>
      </c>
      <c r="C242" s="36" t="s">
        <v>624</v>
      </c>
      <c r="D242" s="36" t="s">
        <v>282</v>
      </c>
      <c r="E242" s="36">
        <v>1002910</v>
      </c>
      <c r="F242" s="36">
        <v>2</v>
      </c>
      <c r="G242" s="36">
        <v>703670</v>
      </c>
      <c r="H242" s="48" t="str">
        <f>IFERROR(INDEX(Table14[],MATCH($G242,Table14[SAPNo],0),3),"")</f>
        <v>Round 1313 CT200  10C (B)</v>
      </c>
      <c r="I242" s="37">
        <v>6</v>
      </c>
      <c r="J242" s="37">
        <f>IF(Table412[[#This Row],[MAT]]&lt;&gt;"",COUNTIF(Table3[LEVEL 5 MAT NO.],Table412[[#This Row],[MAT]]),"")</f>
        <v>0</v>
      </c>
      <c r="K242" s="36">
        <f>IFERROR(INDEX(Table3[],MATCH($E242,Table3[LEVEL 5 MAT NO.],0),2),0)</f>
        <v>0</v>
      </c>
      <c r="L242" s="36">
        <f>Table412[[#This Row],[Quantity in BOM]]*Table412[[#This Row],[Freq]]</f>
        <v>0</v>
      </c>
      <c r="M242" s="36" t="str">
        <f>IF(Table412[[#This Row],[Exist]]=1,Table412[[#This Row],[MAT]],"")</f>
        <v/>
      </c>
      <c r="N242" s="36" t="str">
        <f>IF(Table412[[#This Row],[Exist]]=1,Table412[[#This Row],[Component]],"")</f>
        <v/>
      </c>
      <c r="O242" s="36">
        <f>IFERROR(VALUE(Table412[[#This Row],[MAT]]&amp;Table412[[#This Row],[X'#]]),IF(COUNTIF(Table412[[#This Row],[MAT]],"*M"),Table412[[#This Row],[MAT]]&amp;Table412[[#This Row],[X'#]],""))</f>
        <v>10029102</v>
      </c>
      <c r="T242" s="144">
        <v>244</v>
      </c>
      <c r="U242" s="145">
        <v>1263823</v>
      </c>
      <c r="V242" s="146" t="s">
        <v>959</v>
      </c>
      <c r="W242" s="470">
        <v>1313</v>
      </c>
      <c r="X242" s="36" t="s">
        <v>251</v>
      </c>
      <c r="Y242" s="36" t="s">
        <v>170</v>
      </c>
      <c r="Z242" s="19" t="str">
        <f t="shared" si="4"/>
        <v>1313 CT187P U-60</v>
      </c>
    </row>
    <row r="243" spans="1:29" x14ac:dyDescent="0.25">
      <c r="A243" s="37">
        <f t="shared" si="3"/>
        <v>11</v>
      </c>
      <c r="C243" s="36" t="s">
        <v>624</v>
      </c>
      <c r="D243" s="36" t="s">
        <v>282</v>
      </c>
      <c r="E243" s="36">
        <v>1002910</v>
      </c>
      <c r="F243" s="36">
        <v>3</v>
      </c>
      <c r="G243" s="36">
        <v>418525</v>
      </c>
      <c r="H243" s="48" t="str">
        <f>IFERROR(INDEX(Table14[],MATCH($G243,Table14[SAPNo],0),3),"")</f>
        <v>Drop In 1308 CT31   (B)</v>
      </c>
      <c r="I243" s="37">
        <v>12</v>
      </c>
      <c r="J243" s="37">
        <f>IF(Table412[[#This Row],[MAT]]&lt;&gt;"",COUNTIF(Table3[LEVEL 5 MAT NO.],Table412[[#This Row],[MAT]]),"")</f>
        <v>0</v>
      </c>
      <c r="K243" s="36">
        <f>IFERROR(INDEX(Table3[],MATCH($E243,Table3[LEVEL 5 MAT NO.],0),2),0)</f>
        <v>0</v>
      </c>
      <c r="L243" s="36">
        <f>Table412[[#This Row],[Quantity in BOM]]*Table412[[#This Row],[Freq]]</f>
        <v>0</v>
      </c>
      <c r="M243" s="36" t="str">
        <f>IF(Table412[[#This Row],[Exist]]=1,Table412[[#This Row],[MAT]],"")</f>
        <v/>
      </c>
      <c r="N243" s="36" t="str">
        <f>IF(Table412[[#This Row],[Exist]]=1,Table412[[#This Row],[Component]],"")</f>
        <v/>
      </c>
      <c r="O243" s="36">
        <f>IFERROR(VALUE(Table412[[#This Row],[MAT]]&amp;Table412[[#This Row],[X'#]]),IF(COUNTIF(Table412[[#This Row],[MAT]],"*M"),Table412[[#This Row],[MAT]]&amp;Table412[[#This Row],[X'#]],""))</f>
        <v>10029103</v>
      </c>
      <c r="T243" s="144">
        <v>245</v>
      </c>
      <c r="U243" s="145">
        <v>1199261</v>
      </c>
      <c r="V243" s="146" t="s">
        <v>2354</v>
      </c>
      <c r="W243" s="470">
        <v>1613</v>
      </c>
      <c r="X243" s="36" t="s">
        <v>251</v>
      </c>
      <c r="Y243" s="36" t="s">
        <v>170</v>
      </c>
      <c r="Z243" s="19" t="str">
        <f t="shared" si="4"/>
        <v>1613 CT187P U-60</v>
      </c>
    </row>
    <row r="244" spans="1:29" x14ac:dyDescent="0.25">
      <c r="A244" s="37">
        <f t="shared" si="3"/>
        <v>11</v>
      </c>
      <c r="C244" s="36" t="s">
        <v>624</v>
      </c>
      <c r="D244" s="36" t="s">
        <v>3614</v>
      </c>
      <c r="E244" s="36">
        <v>690800</v>
      </c>
      <c r="F244" s="36">
        <v>1</v>
      </c>
      <c r="G244" s="36">
        <v>638560</v>
      </c>
      <c r="H244" s="48" t="str">
        <f>IFERROR(INDEX(Table14[],MATCH($G244,Table14[SAPNo],0),3),"")</f>
        <v>Round 1313 CT70  0.018" (S)</v>
      </c>
      <c r="I244" s="37">
        <v>6</v>
      </c>
      <c r="J244" s="37">
        <f>IF(Table412[[#This Row],[MAT]]&lt;&gt;"",COUNTIF(Table3[LEVEL 5 MAT NO.],Table412[[#This Row],[MAT]]),"")</f>
        <v>0</v>
      </c>
      <c r="K244" s="36">
        <f>IFERROR(INDEX(Table3[],MATCH($E244,Table3[LEVEL 5 MAT NO.],0),2),0)</f>
        <v>0</v>
      </c>
      <c r="L244" s="36">
        <f>Table412[[#This Row],[Quantity in BOM]]*Table412[[#This Row],[Freq]]</f>
        <v>0</v>
      </c>
      <c r="M244" s="36" t="str">
        <f>IF(Table412[[#This Row],[Exist]]=1,Table412[[#This Row],[MAT]],"")</f>
        <v/>
      </c>
      <c r="N244" s="36" t="str">
        <f>IF(Table412[[#This Row],[Exist]]=1,Table412[[#This Row],[Component]],"")</f>
        <v/>
      </c>
      <c r="O244" s="36">
        <f>IFERROR(VALUE(Table412[[#This Row],[MAT]]&amp;Table412[[#This Row],[X'#]]),IF(COUNTIF(Table412[[#This Row],[MAT]],"*M"),Table412[[#This Row],[MAT]]&amp;Table412[[#This Row],[X'#]],""))</f>
        <v>6908001</v>
      </c>
      <c r="T244" s="144">
        <v>246</v>
      </c>
      <c r="U244" s="145">
        <v>1230916</v>
      </c>
      <c r="V244" s="146" t="s">
        <v>3615</v>
      </c>
      <c r="W244" s="470">
        <v>1313</v>
      </c>
      <c r="X244" s="36" t="s">
        <v>250</v>
      </c>
      <c r="Y244" s="36" t="s">
        <v>177</v>
      </c>
      <c r="Z244" s="19" t="str">
        <f t="shared" si="4"/>
        <v>1313 CT418P 18-60</v>
      </c>
    </row>
    <row r="245" spans="1:29" x14ac:dyDescent="0.25">
      <c r="A245" s="37">
        <f t="shared" si="3"/>
        <v>11</v>
      </c>
      <c r="C245" s="36" t="s">
        <v>624</v>
      </c>
      <c r="D245" s="36" t="s">
        <v>3614</v>
      </c>
      <c r="E245" s="36">
        <v>690800</v>
      </c>
      <c r="F245" s="36">
        <v>2</v>
      </c>
      <c r="G245" s="36">
        <v>638561</v>
      </c>
      <c r="H245" s="48" t="str">
        <f>IFERROR(INDEX(Table14[],MATCH($G245,Table14[SAPNo],0),3),"")</f>
        <v>Round 1613 CT70  0.018" (S)</v>
      </c>
      <c r="I245" s="37">
        <v>28</v>
      </c>
      <c r="J245" s="37">
        <f>IF(Table412[[#This Row],[MAT]]&lt;&gt;"",COUNTIF(Table3[LEVEL 5 MAT NO.],Table412[[#This Row],[MAT]]),"")</f>
        <v>0</v>
      </c>
      <c r="K245" s="36">
        <f>IFERROR(INDEX(Table3[],MATCH($E245,Table3[LEVEL 5 MAT NO.],0),2),0)</f>
        <v>0</v>
      </c>
      <c r="L245" s="36">
        <f>Table412[[#This Row],[Quantity in BOM]]*Table412[[#This Row],[Freq]]</f>
        <v>0</v>
      </c>
      <c r="M245" s="36" t="str">
        <f>IF(Table412[[#This Row],[Exist]]=1,Table412[[#This Row],[MAT]],"")</f>
        <v/>
      </c>
      <c r="N245" s="36" t="str">
        <f>IF(Table412[[#This Row],[Exist]]=1,Table412[[#This Row],[Component]],"")</f>
        <v/>
      </c>
      <c r="O245" s="36">
        <f>IFERROR(VALUE(Table412[[#This Row],[MAT]]&amp;Table412[[#This Row],[X'#]]),IF(COUNTIF(Table412[[#This Row],[MAT]],"*M"),Table412[[#This Row],[MAT]]&amp;Table412[[#This Row],[X'#]],""))</f>
        <v>6908002</v>
      </c>
      <c r="T245" s="133">
        <v>247</v>
      </c>
      <c r="U245" s="134">
        <v>1288721</v>
      </c>
      <c r="V245" s="135" t="s">
        <v>3616</v>
      </c>
      <c r="W245" s="36">
        <v>1313</v>
      </c>
      <c r="X245" s="36" t="s">
        <v>252</v>
      </c>
      <c r="Y245" s="36" t="s">
        <v>177</v>
      </c>
      <c r="Z245" s="19" t="str">
        <f t="shared" si="4"/>
        <v>1313 CT176P 18-60</v>
      </c>
    </row>
    <row r="246" spans="1:29" x14ac:dyDescent="0.25">
      <c r="A246" s="37">
        <f t="shared" si="3"/>
        <v>11</v>
      </c>
      <c r="C246" s="36" t="s">
        <v>624</v>
      </c>
      <c r="D246" s="36" t="s">
        <v>3614</v>
      </c>
      <c r="E246" s="36">
        <v>690800</v>
      </c>
      <c r="F246" s="36">
        <v>3</v>
      </c>
      <c r="G246" s="36">
        <v>638559</v>
      </c>
      <c r="H246" s="48" t="str">
        <f>IFERROR(INDEX(Table14[],MATCH($G246,Table14[SAPNo],0),3),"")</f>
        <v>Round 1308 CT70  0.018" (S)</v>
      </c>
      <c r="I246" s="37">
        <v>12</v>
      </c>
      <c r="J246" s="37">
        <f>IF(Table412[[#This Row],[MAT]]&lt;&gt;"",COUNTIF(Table3[LEVEL 5 MAT NO.],Table412[[#This Row],[MAT]]),"")</f>
        <v>0</v>
      </c>
      <c r="K246" s="36">
        <f>IFERROR(INDEX(Table3[],MATCH($E246,Table3[LEVEL 5 MAT NO.],0),2),0)</f>
        <v>0</v>
      </c>
      <c r="L246" s="36">
        <f>Table412[[#This Row],[Quantity in BOM]]*Table412[[#This Row],[Freq]]</f>
        <v>0</v>
      </c>
      <c r="M246" s="36" t="str">
        <f>IF(Table412[[#This Row],[Exist]]=1,Table412[[#This Row],[MAT]],"")</f>
        <v/>
      </c>
      <c r="N246" s="36" t="str">
        <f>IF(Table412[[#This Row],[Exist]]=1,Table412[[#This Row],[Component]],"")</f>
        <v/>
      </c>
      <c r="O246" s="36">
        <f>IFERROR(VALUE(Table412[[#This Row],[MAT]]&amp;Table412[[#This Row],[X'#]]),IF(COUNTIF(Table412[[#This Row],[MAT]],"*M"),Table412[[#This Row],[MAT]]&amp;Table412[[#This Row],[X'#]],""))</f>
        <v>6908003</v>
      </c>
      <c r="T246" s="144">
        <v>248</v>
      </c>
      <c r="U246" s="145">
        <v>1282746</v>
      </c>
      <c r="V246" s="146" t="s">
        <v>3618</v>
      </c>
      <c r="W246" s="36">
        <v>1313</v>
      </c>
      <c r="X246" s="36" t="s">
        <v>205</v>
      </c>
      <c r="Y246" s="36" t="s">
        <v>253</v>
      </c>
      <c r="Z246" s="19" t="str">
        <f t="shared" si="4"/>
        <v>1313 CT182H 18C</v>
      </c>
    </row>
    <row r="247" spans="1:29" x14ac:dyDescent="0.25">
      <c r="A247" s="37">
        <f t="shared" si="3"/>
        <v>11</v>
      </c>
      <c r="C247" s="36" t="s">
        <v>637</v>
      </c>
      <c r="D247" s="36" t="s">
        <v>3617</v>
      </c>
      <c r="E247" s="36">
        <v>989853</v>
      </c>
      <c r="F247" s="36">
        <v>1</v>
      </c>
      <c r="G247" s="36">
        <v>1130200</v>
      </c>
      <c r="H247" s="48" t="str">
        <f>IFERROR(INDEX(Table14[],MATCH($G247,Table14[SAPNo],0),3),"")</f>
        <v>Round 1913 CT182  0.018" (S)</v>
      </c>
      <c r="I247" s="37">
        <v>40</v>
      </c>
      <c r="J247" s="37">
        <f>IF(Table412[[#This Row],[MAT]]&lt;&gt;"",COUNTIF(Table3[LEVEL 5 MAT NO.],Table412[[#This Row],[MAT]]),"")</f>
        <v>0</v>
      </c>
      <c r="K247" s="36">
        <f>IFERROR(INDEX(Table3[],MATCH($E247,Table3[LEVEL 5 MAT NO.],0),2),0)</f>
        <v>0</v>
      </c>
      <c r="L247" s="36">
        <f>Table412[[#This Row],[Quantity in BOM]]*Table412[[#This Row],[Freq]]</f>
        <v>0</v>
      </c>
      <c r="M247" s="36" t="str">
        <f>IF(Table412[[#This Row],[Exist]]=1,Table412[[#This Row],[MAT]],"")</f>
        <v/>
      </c>
      <c r="N247" s="36" t="str">
        <f>IF(Table412[[#This Row],[Exist]]=1,Table412[[#This Row],[Component]],"")</f>
        <v/>
      </c>
      <c r="O247" s="36">
        <f>IFERROR(VALUE(Table412[[#This Row],[MAT]]&amp;Table412[[#This Row],[X'#]]),IF(COUNTIF(Table412[[#This Row],[MAT]],"*M"),Table412[[#This Row],[MAT]]&amp;Table412[[#This Row],[X'#]],""))</f>
        <v>9898531</v>
      </c>
      <c r="T247" s="133">
        <v>249</v>
      </c>
      <c r="U247" s="134">
        <v>1263929</v>
      </c>
      <c r="V247" s="135" t="s">
        <v>3619</v>
      </c>
      <c r="W247" s="36">
        <v>1613</v>
      </c>
      <c r="X247" s="36" t="s">
        <v>254</v>
      </c>
      <c r="Y247" s="36" t="s">
        <v>253</v>
      </c>
      <c r="Z247" s="19" t="str">
        <f t="shared" si="4"/>
        <v>1613 CT186P 18C</v>
      </c>
    </row>
    <row r="248" spans="1:29" x14ac:dyDescent="0.25">
      <c r="A248" s="37">
        <f t="shared" si="3"/>
        <v>11</v>
      </c>
      <c r="C248" s="36" t="s">
        <v>637</v>
      </c>
      <c r="D248" s="36" t="s">
        <v>3617</v>
      </c>
      <c r="E248" s="36">
        <v>989853</v>
      </c>
      <c r="F248" s="36">
        <v>2</v>
      </c>
      <c r="G248" s="36">
        <v>1130198</v>
      </c>
      <c r="H248" s="48" t="str">
        <f>IFERROR(INDEX(Table14[],MATCH($G248,Table14[SAPNo],0),3),"")</f>
        <v>Round 1613 CT182  0.018" (S)</v>
      </c>
      <c r="I248" s="37">
        <v>13</v>
      </c>
      <c r="J248" s="37">
        <f>IF(Table412[[#This Row],[MAT]]&lt;&gt;"",COUNTIF(Table3[LEVEL 5 MAT NO.],Table412[[#This Row],[MAT]]),"")</f>
        <v>0</v>
      </c>
      <c r="K248" s="36">
        <f>IFERROR(INDEX(Table3[],MATCH($E248,Table3[LEVEL 5 MAT NO.],0),2),0)</f>
        <v>0</v>
      </c>
      <c r="L248" s="36">
        <f>Table412[[#This Row],[Quantity in BOM]]*Table412[[#This Row],[Freq]]</f>
        <v>0</v>
      </c>
      <c r="M248" s="36" t="str">
        <f>IF(Table412[[#This Row],[Exist]]=1,Table412[[#This Row],[MAT]],"")</f>
        <v/>
      </c>
      <c r="N248" s="36" t="str">
        <f>IF(Table412[[#This Row],[Exist]]=1,Table412[[#This Row],[Component]],"")</f>
        <v/>
      </c>
      <c r="O248" s="36">
        <f>IFERROR(VALUE(Table412[[#This Row],[MAT]]&amp;Table412[[#This Row],[X'#]]),IF(COUNTIF(Table412[[#This Row],[MAT]],"*M"),Table412[[#This Row],[MAT]]&amp;Table412[[#This Row],[X'#]],""))</f>
        <v>9898532</v>
      </c>
      <c r="T248" s="133">
        <v>206</v>
      </c>
      <c r="U248" s="134">
        <v>1146742</v>
      </c>
      <c r="V248" s="135" t="s">
        <v>3620</v>
      </c>
      <c r="W248" s="36">
        <v>1613</v>
      </c>
      <c r="X248" s="36" t="s">
        <v>227</v>
      </c>
      <c r="Y248" s="36" t="s">
        <v>109</v>
      </c>
      <c r="Z248" s="19" t="str">
        <f t="shared" si="4"/>
        <v>1613 CT179T U</v>
      </c>
    </row>
    <row r="249" spans="1:29" x14ac:dyDescent="0.25">
      <c r="A249" s="37">
        <f t="shared" si="3"/>
        <v>11</v>
      </c>
      <c r="C249" s="36" t="s">
        <v>637</v>
      </c>
      <c r="D249" s="36" t="s">
        <v>3617</v>
      </c>
      <c r="E249" s="36">
        <v>989853</v>
      </c>
      <c r="F249" s="36">
        <v>3</v>
      </c>
      <c r="G249" s="36">
        <v>871781</v>
      </c>
      <c r="H249" s="48" t="str">
        <f>IFERROR(INDEX(Table14[],MATCH($G249,Table14[SAPNo],0),3),"")</f>
        <v>Round 1313 CT200  0.018" (B)</v>
      </c>
      <c r="I249" s="37">
        <v>7</v>
      </c>
      <c r="J249" s="37">
        <f>IF(Table412[[#This Row],[MAT]]&lt;&gt;"",COUNTIF(Table3[LEVEL 5 MAT NO.],Table412[[#This Row],[MAT]]),"")</f>
        <v>0</v>
      </c>
      <c r="K249" s="36">
        <f>IFERROR(INDEX(Table3[],MATCH($E249,Table3[LEVEL 5 MAT NO.],0),2),0)</f>
        <v>0</v>
      </c>
      <c r="L249" s="36">
        <f>Table412[[#This Row],[Quantity in BOM]]*Table412[[#This Row],[Freq]]</f>
        <v>0</v>
      </c>
      <c r="M249" s="36" t="str">
        <f>IF(Table412[[#This Row],[Exist]]=1,Table412[[#This Row],[MAT]],"")</f>
        <v/>
      </c>
      <c r="N249" s="36" t="str">
        <f>IF(Table412[[#This Row],[Exist]]=1,Table412[[#This Row],[Component]],"")</f>
        <v/>
      </c>
      <c r="O249" s="36">
        <f>IFERROR(VALUE(Table412[[#This Row],[MAT]]&amp;Table412[[#This Row],[X'#]]),IF(COUNTIF(Table412[[#This Row],[MAT]],"*M"),Table412[[#This Row],[MAT]]&amp;Table412[[#This Row],[X'#]],""))</f>
        <v>9898533</v>
      </c>
      <c r="T249" s="144">
        <v>250</v>
      </c>
      <c r="U249" s="145">
        <v>1186963</v>
      </c>
      <c r="V249" s="146" t="s">
        <v>963</v>
      </c>
      <c r="W249" s="470">
        <v>1608</v>
      </c>
      <c r="X249" s="36" t="s">
        <v>133</v>
      </c>
      <c r="Y249" s="36" t="s">
        <v>109</v>
      </c>
      <c r="Z249" s="19" t="str">
        <f t="shared" si="4"/>
        <v>1608 CT421 U</v>
      </c>
    </row>
    <row r="250" spans="1:29" x14ac:dyDescent="0.25">
      <c r="A250" s="37">
        <f t="shared" si="3"/>
        <v>11</v>
      </c>
      <c r="C250" s="36" t="s">
        <v>637</v>
      </c>
      <c r="D250" s="36" t="s">
        <v>3617</v>
      </c>
      <c r="E250" s="36">
        <v>989853</v>
      </c>
      <c r="F250" s="36">
        <v>4</v>
      </c>
      <c r="G250" s="36">
        <v>418525</v>
      </c>
      <c r="H250" s="48" t="str">
        <f>IFERROR(INDEX(Table14[],MATCH($G250,Table14[SAPNo],0),3),"")</f>
        <v>Drop In 1308 CT31   (B)</v>
      </c>
      <c r="I250" s="37">
        <v>7</v>
      </c>
      <c r="J250" s="37">
        <f>IF(Table412[[#This Row],[MAT]]&lt;&gt;"",COUNTIF(Table3[LEVEL 5 MAT NO.],Table412[[#This Row],[MAT]]),"")</f>
        <v>0</v>
      </c>
      <c r="K250" s="36">
        <f>IFERROR(INDEX(Table3[],MATCH($E250,Table3[LEVEL 5 MAT NO.],0),2),0)</f>
        <v>0</v>
      </c>
      <c r="L250" s="36">
        <f>Table412[[#This Row],[Quantity in BOM]]*Table412[[#This Row],[Freq]]</f>
        <v>0</v>
      </c>
      <c r="M250" s="36" t="str">
        <f>IF(Table412[[#This Row],[Exist]]=1,Table412[[#This Row],[MAT]],"")</f>
        <v/>
      </c>
      <c r="N250" s="36" t="str">
        <f>IF(Table412[[#This Row],[Exist]]=1,Table412[[#This Row],[Component]],"")</f>
        <v/>
      </c>
      <c r="O250" s="36">
        <f>IFERROR(VALUE(Table412[[#This Row],[MAT]]&amp;Table412[[#This Row],[X'#]]),IF(COUNTIF(Table412[[#This Row],[MAT]],"*M"),Table412[[#This Row],[MAT]]&amp;Table412[[#This Row],[X'#]],""))</f>
        <v>9898534</v>
      </c>
      <c r="T250" s="144">
        <v>251</v>
      </c>
      <c r="U250" s="145">
        <v>1288783</v>
      </c>
      <c r="V250" s="146" t="s">
        <v>3621</v>
      </c>
    </row>
    <row r="251" spans="1:29" x14ac:dyDescent="0.25">
      <c r="A251" s="37">
        <f t="shared" si="3"/>
        <v>11</v>
      </c>
      <c r="C251" s="36" t="s">
        <v>637</v>
      </c>
      <c r="D251" s="36" t="s">
        <v>3617</v>
      </c>
      <c r="E251" s="36">
        <v>989853</v>
      </c>
      <c r="F251" s="36">
        <v>5</v>
      </c>
      <c r="G251" s="36">
        <v>647435</v>
      </c>
      <c r="H251" s="48" t="str">
        <f>IFERROR(INDEX(Table14[],MATCH($G251,Table14[SAPNo],0),3),"")</f>
        <v>Round 1608 CT200  0.018" (B)</v>
      </c>
      <c r="I251" s="37">
        <v>28</v>
      </c>
      <c r="J251" s="37">
        <f>IF(Table412[[#This Row],[MAT]]&lt;&gt;"",COUNTIF(Table3[LEVEL 5 MAT NO.],Table412[[#This Row],[MAT]]),"")</f>
        <v>0</v>
      </c>
      <c r="K251" s="36">
        <f>IFERROR(INDEX(Table3[],MATCH($E251,Table3[LEVEL 5 MAT NO.],0),2),0)</f>
        <v>0</v>
      </c>
      <c r="L251" s="36">
        <f>Table412[[#This Row],[Quantity in BOM]]*Table412[[#This Row],[Freq]]</f>
        <v>0</v>
      </c>
      <c r="M251" s="36" t="str">
        <f>IF(Table412[[#This Row],[Exist]]=1,Table412[[#This Row],[MAT]],"")</f>
        <v/>
      </c>
      <c r="N251" s="36" t="str">
        <f>IF(Table412[[#This Row],[Exist]]=1,Table412[[#This Row],[Component]],"")</f>
        <v/>
      </c>
      <c r="O251" s="36">
        <f>IFERROR(VALUE(Table412[[#This Row],[MAT]]&amp;Table412[[#This Row],[X'#]]),IF(COUNTIF(Table412[[#This Row],[MAT]],"*M"),Table412[[#This Row],[MAT]]&amp;Table412[[#This Row],[X'#]],""))</f>
        <v>9898535</v>
      </c>
      <c r="T251" s="144">
        <v>252</v>
      </c>
      <c r="U251" s="145">
        <v>2002243</v>
      </c>
      <c r="V251" s="146" t="s">
        <v>3622</v>
      </c>
    </row>
    <row r="252" spans="1:29" x14ac:dyDescent="0.25">
      <c r="A252" s="37">
        <f t="shared" si="3"/>
        <v>11</v>
      </c>
      <c r="C252" s="36" t="s">
        <v>637</v>
      </c>
      <c r="D252" s="36" t="s">
        <v>3617</v>
      </c>
      <c r="E252" s="36">
        <v>1000080</v>
      </c>
      <c r="F252" s="36">
        <v>1</v>
      </c>
      <c r="G252" s="36">
        <v>752583</v>
      </c>
      <c r="H252" s="48" t="str">
        <f>IFERROR(INDEX(Table14[],MATCH($G252,Table14[SAPNo],0),3),"")</f>
        <v>Round 1913 CT81  0.018" (P)</v>
      </c>
      <c r="I252" s="37">
        <v>28</v>
      </c>
      <c r="J252" s="37">
        <f>IF(Table412[[#This Row],[MAT]]&lt;&gt;"",COUNTIF(Table3[LEVEL 5 MAT NO.],Table412[[#This Row],[MAT]]),"")</f>
        <v>0</v>
      </c>
      <c r="K252" s="36">
        <f>IFERROR(INDEX(Table3[],MATCH($E252,Table3[LEVEL 5 MAT NO.],0),2),0)</f>
        <v>0</v>
      </c>
      <c r="L252" s="36">
        <f>Table412[[#This Row],[Quantity in BOM]]*Table412[[#This Row],[Freq]]</f>
        <v>0</v>
      </c>
      <c r="M252" s="36" t="str">
        <f>IF(Table412[[#This Row],[Exist]]=1,Table412[[#This Row],[MAT]],"")</f>
        <v/>
      </c>
      <c r="N252" s="36" t="str">
        <f>IF(Table412[[#This Row],[Exist]]=1,Table412[[#This Row],[Component]],"")</f>
        <v/>
      </c>
      <c r="O252" s="36">
        <f>IFERROR(VALUE(Table412[[#This Row],[MAT]]&amp;Table412[[#This Row],[X'#]]),IF(COUNTIF(Table412[[#This Row],[MAT]],"*M"),Table412[[#This Row],[MAT]]&amp;Table412[[#This Row],[X'#]],""))</f>
        <v>10000801</v>
      </c>
      <c r="T252" s="144">
        <v>253</v>
      </c>
      <c r="U252" s="145">
        <v>1266417</v>
      </c>
      <c r="V252" s="146" t="s">
        <v>3623</v>
      </c>
      <c r="X252" s="36">
        <v>297</v>
      </c>
      <c r="Y252" s="36">
        <v>1220334</v>
      </c>
      <c r="Z252" s="36" t="s">
        <v>122</v>
      </c>
      <c r="AA252" s="36">
        <v>1313</v>
      </c>
      <c r="AB252" s="36" t="s">
        <v>244</v>
      </c>
      <c r="AC252" s="36" t="s">
        <v>248</v>
      </c>
    </row>
    <row r="253" spans="1:29" x14ac:dyDescent="0.25">
      <c r="A253" s="37">
        <f t="shared" si="3"/>
        <v>11</v>
      </c>
      <c r="C253" s="36" t="s">
        <v>637</v>
      </c>
      <c r="D253" s="36" t="s">
        <v>3617</v>
      </c>
      <c r="E253" s="36">
        <v>1000080</v>
      </c>
      <c r="F253" s="36">
        <v>2</v>
      </c>
      <c r="G253" s="36">
        <v>744015</v>
      </c>
      <c r="H253" s="48" t="str">
        <f>IFERROR(INDEX(Table14[],MATCH($G253,Table14[SAPNo],0),3),"")</f>
        <v>Round 1613 CT81  0.018" (P)</v>
      </c>
      <c r="I253" s="37">
        <v>1</v>
      </c>
      <c r="J253" s="37">
        <f>IF(Table412[[#This Row],[MAT]]&lt;&gt;"",COUNTIF(Table3[LEVEL 5 MAT NO.],Table412[[#This Row],[MAT]]),"")</f>
        <v>0</v>
      </c>
      <c r="K253" s="36">
        <f>IFERROR(INDEX(Table3[],MATCH($E253,Table3[LEVEL 5 MAT NO.],0),2),0)</f>
        <v>0</v>
      </c>
      <c r="L253" s="36">
        <f>Table412[[#This Row],[Quantity in BOM]]*Table412[[#This Row],[Freq]]</f>
        <v>0</v>
      </c>
      <c r="M253" s="36" t="str">
        <f>IF(Table412[[#This Row],[Exist]]=1,Table412[[#This Row],[MAT]],"")</f>
        <v/>
      </c>
      <c r="N253" s="36" t="str">
        <f>IF(Table412[[#This Row],[Exist]]=1,Table412[[#This Row],[Component]],"")</f>
        <v/>
      </c>
      <c r="O253" s="36">
        <f>IFERROR(VALUE(Table412[[#This Row],[MAT]]&amp;Table412[[#This Row],[X'#]]),IF(COUNTIF(Table412[[#This Row],[MAT]],"*M"),Table412[[#This Row],[MAT]]&amp;Table412[[#This Row],[X'#]],""))</f>
        <v>10000802</v>
      </c>
      <c r="T253" s="144">
        <v>254</v>
      </c>
      <c r="U253" s="145">
        <v>1296685</v>
      </c>
      <c r="V253" s="146" t="s">
        <v>3624</v>
      </c>
      <c r="X253" s="36">
        <v>298</v>
      </c>
      <c r="Y253" s="36">
        <v>2024642</v>
      </c>
      <c r="Z253" s="36" t="s">
        <v>26</v>
      </c>
      <c r="AA253" s="36">
        <v>1613</v>
      </c>
      <c r="AB253" s="36" t="s">
        <v>249</v>
      </c>
      <c r="AC253" s="36" t="s">
        <v>177</v>
      </c>
    </row>
    <row r="254" spans="1:29" x14ac:dyDescent="0.25">
      <c r="A254" s="37">
        <f t="shared" si="3"/>
        <v>11</v>
      </c>
      <c r="C254" s="36" t="s">
        <v>637</v>
      </c>
      <c r="D254" s="36" t="s">
        <v>3617</v>
      </c>
      <c r="E254" s="36">
        <v>1000080</v>
      </c>
      <c r="F254" s="36">
        <v>3</v>
      </c>
      <c r="G254" s="36">
        <v>708306</v>
      </c>
      <c r="H254" s="48" t="str">
        <f>IFERROR(INDEX(Table14[],MATCH($G254,Table14[SAPNo],0),3),"")</f>
        <v>Round 1913 CT200  0.018" (B)</v>
      </c>
      <c r="I254" s="37">
        <v>9</v>
      </c>
      <c r="J254" s="37">
        <f>IF(Table412[[#This Row],[MAT]]&lt;&gt;"",COUNTIF(Table3[LEVEL 5 MAT NO.],Table412[[#This Row],[MAT]]),"")</f>
        <v>0</v>
      </c>
      <c r="K254" s="36">
        <f>IFERROR(INDEX(Table3[],MATCH($E254,Table3[LEVEL 5 MAT NO.],0),2),0)</f>
        <v>0</v>
      </c>
      <c r="L254" s="36">
        <f>Table412[[#This Row],[Quantity in BOM]]*Table412[[#This Row],[Freq]]</f>
        <v>0</v>
      </c>
      <c r="M254" s="36" t="str">
        <f>IF(Table412[[#This Row],[Exist]]=1,Table412[[#This Row],[MAT]],"")</f>
        <v/>
      </c>
      <c r="N254" s="36" t="str">
        <f>IF(Table412[[#This Row],[Exist]]=1,Table412[[#This Row],[Component]],"")</f>
        <v/>
      </c>
      <c r="O254" s="36">
        <f>IFERROR(VALUE(Table412[[#This Row],[MAT]]&amp;Table412[[#This Row],[X'#]]),IF(COUNTIF(Table412[[#This Row],[MAT]],"*M"),Table412[[#This Row],[MAT]]&amp;Table412[[#This Row],[X'#]],""))</f>
        <v>10000803</v>
      </c>
      <c r="T254" s="144">
        <v>255</v>
      </c>
      <c r="U254" s="145">
        <v>1290837</v>
      </c>
      <c r="V254" s="146" t="s">
        <v>3625</v>
      </c>
      <c r="X254" s="36">
        <v>299</v>
      </c>
      <c r="Y254" s="36">
        <v>1244960</v>
      </c>
      <c r="Z254" s="36" t="s">
        <v>26</v>
      </c>
      <c r="AA254" s="36">
        <v>1613</v>
      </c>
      <c r="AB254" s="36" t="s">
        <v>250</v>
      </c>
      <c r="AC254" s="36" t="s">
        <v>170</v>
      </c>
    </row>
    <row r="255" spans="1:29" x14ac:dyDescent="0.25">
      <c r="A255" s="37">
        <f t="shared" si="3"/>
        <v>11</v>
      </c>
      <c r="C255" s="36" t="s">
        <v>637</v>
      </c>
      <c r="D255" s="36" t="s">
        <v>3617</v>
      </c>
      <c r="E255" s="36">
        <v>1000080</v>
      </c>
      <c r="F255" s="36">
        <v>4</v>
      </c>
      <c r="G255" s="36">
        <v>647436</v>
      </c>
      <c r="H255" s="48" t="str">
        <f>IFERROR(INDEX(Table14[],MATCH($G255,Table14[SAPNo],0),3),"")</f>
        <v>Round 1613 CT200  0.018" (B)</v>
      </c>
      <c r="I255" s="37">
        <v>7</v>
      </c>
      <c r="J255" s="37">
        <f>IF(Table412[[#This Row],[MAT]]&lt;&gt;"",COUNTIF(Table3[LEVEL 5 MAT NO.],Table412[[#This Row],[MAT]]),"")</f>
        <v>0</v>
      </c>
      <c r="K255" s="36">
        <f>IFERROR(INDEX(Table3[],MATCH($E255,Table3[LEVEL 5 MAT NO.],0),2),0)</f>
        <v>0</v>
      </c>
      <c r="L255" s="36">
        <f>Table412[[#This Row],[Quantity in BOM]]*Table412[[#This Row],[Freq]]</f>
        <v>0</v>
      </c>
      <c r="M255" s="36" t="str">
        <f>IF(Table412[[#This Row],[Exist]]=1,Table412[[#This Row],[MAT]],"")</f>
        <v/>
      </c>
      <c r="N255" s="36" t="str">
        <f>IF(Table412[[#This Row],[Exist]]=1,Table412[[#This Row],[Component]],"")</f>
        <v/>
      </c>
      <c r="O255" s="36">
        <f>IFERROR(VALUE(Table412[[#This Row],[MAT]]&amp;Table412[[#This Row],[X'#]]),IF(COUNTIF(Table412[[#This Row],[MAT]],"*M"),Table412[[#This Row],[MAT]]&amp;Table412[[#This Row],[X'#]],""))</f>
        <v>10000804</v>
      </c>
      <c r="T255" s="133">
        <v>256</v>
      </c>
      <c r="U255" s="134">
        <v>2002235</v>
      </c>
      <c r="V255" s="135" t="s">
        <v>3626</v>
      </c>
      <c r="X255" s="36">
        <v>300</v>
      </c>
      <c r="Y255" s="36">
        <v>2028302</v>
      </c>
      <c r="Z255" s="36" t="s">
        <v>26</v>
      </c>
      <c r="AA255" s="36">
        <v>1313</v>
      </c>
      <c r="AB255" s="36" t="s">
        <v>251</v>
      </c>
      <c r="AC255" s="36" t="s">
        <v>170</v>
      </c>
    </row>
    <row r="256" spans="1:29" x14ac:dyDescent="0.25">
      <c r="A256" s="37">
        <f t="shared" si="3"/>
        <v>11</v>
      </c>
      <c r="C256" s="36" t="s">
        <v>637</v>
      </c>
      <c r="D256" s="36" t="s">
        <v>3617</v>
      </c>
      <c r="E256" s="36">
        <v>1000080</v>
      </c>
      <c r="F256" s="36">
        <v>5</v>
      </c>
      <c r="G256" s="36">
        <v>418525</v>
      </c>
      <c r="H256" s="48" t="str">
        <f>IFERROR(INDEX(Table14[],MATCH($G256,Table14[SAPNo],0),3),"")</f>
        <v>Drop In 1308 CT31   (B)</v>
      </c>
      <c r="I256" s="37">
        <v>7</v>
      </c>
      <c r="J256" s="37">
        <f>IF(Table412[[#This Row],[MAT]]&lt;&gt;"",COUNTIF(Table3[LEVEL 5 MAT NO.],Table412[[#This Row],[MAT]]),"")</f>
        <v>0</v>
      </c>
      <c r="K256" s="36">
        <f>IFERROR(INDEX(Table3[],MATCH($E256,Table3[LEVEL 5 MAT NO.],0),2),0)</f>
        <v>0</v>
      </c>
      <c r="L256" s="36">
        <f>Table412[[#This Row],[Quantity in BOM]]*Table412[[#This Row],[Freq]]</f>
        <v>0</v>
      </c>
      <c r="M256" s="36" t="str">
        <f>IF(Table412[[#This Row],[Exist]]=1,Table412[[#This Row],[MAT]],"")</f>
        <v/>
      </c>
      <c r="N256" s="36" t="str">
        <f>IF(Table412[[#This Row],[Exist]]=1,Table412[[#This Row],[Component]],"")</f>
        <v/>
      </c>
      <c r="O256" s="36">
        <f>IFERROR(VALUE(Table412[[#This Row],[MAT]]&amp;Table412[[#This Row],[X'#]]),IF(COUNTIF(Table412[[#This Row],[MAT]],"*M"),Table412[[#This Row],[MAT]]&amp;Table412[[#This Row],[X'#]],""))</f>
        <v>10000805</v>
      </c>
      <c r="T256" s="144">
        <v>257</v>
      </c>
      <c r="U256" s="145">
        <v>1272937</v>
      </c>
      <c r="V256" s="146" t="s">
        <v>3628</v>
      </c>
      <c r="X256" s="36">
        <v>301</v>
      </c>
      <c r="Y256" s="36">
        <v>2028303</v>
      </c>
      <c r="Z256" s="36" t="s">
        <v>26</v>
      </c>
      <c r="AA256" s="36">
        <v>1613</v>
      </c>
      <c r="AB256" s="36" t="s">
        <v>251</v>
      </c>
      <c r="AC256" s="36" t="s">
        <v>170</v>
      </c>
    </row>
    <row r="257" spans="1:29" x14ac:dyDescent="0.25">
      <c r="A257" s="37">
        <f t="shared" si="3"/>
        <v>11</v>
      </c>
      <c r="C257" s="36" t="s">
        <v>316</v>
      </c>
      <c r="D257" s="36" t="s">
        <v>3627</v>
      </c>
      <c r="E257" s="36">
        <v>892722</v>
      </c>
      <c r="F257" s="36">
        <v>1</v>
      </c>
      <c r="G257" s="36">
        <v>1130198</v>
      </c>
      <c r="H257" s="48" t="str">
        <f>IFERROR(INDEX(Table14[],MATCH($G257,Table14[SAPNo],0),3),"")</f>
        <v>Round 1613 CT182  0.018" (S)</v>
      </c>
      <c r="I257" s="37">
        <v>108</v>
      </c>
      <c r="J257" s="37">
        <f>IF(Table412[[#This Row],[MAT]]&lt;&gt;"",COUNTIF(Table3[LEVEL 5 MAT NO.],Table412[[#This Row],[MAT]]),"")</f>
        <v>0</v>
      </c>
      <c r="K257" s="36">
        <f>IFERROR(INDEX(Table3[],MATCH($E257,Table3[LEVEL 5 MAT NO.],0),2),0)</f>
        <v>0</v>
      </c>
      <c r="L257" s="36">
        <f>Table412[[#This Row],[Quantity in BOM]]*Table412[[#This Row],[Freq]]</f>
        <v>0</v>
      </c>
      <c r="M257" s="36" t="str">
        <f>IF(Table412[[#This Row],[Exist]]=1,Table412[[#This Row],[MAT]],"")</f>
        <v/>
      </c>
      <c r="N257" s="36" t="str">
        <f>IF(Table412[[#This Row],[Exist]]=1,Table412[[#This Row],[Component]],"")</f>
        <v/>
      </c>
      <c r="O257" s="36">
        <f>IFERROR(VALUE(Table412[[#This Row],[MAT]]&amp;Table412[[#This Row],[X'#]]),IF(COUNTIF(Table412[[#This Row],[MAT]],"*M"),Table412[[#This Row],[MAT]]&amp;Table412[[#This Row],[X'#]],""))</f>
        <v>8927221</v>
      </c>
      <c r="T257" s="133">
        <v>258</v>
      </c>
      <c r="U257" s="134">
        <v>1282369</v>
      </c>
      <c r="V257" s="135" t="s">
        <v>3629</v>
      </c>
      <c r="X257" s="36">
        <v>302</v>
      </c>
      <c r="Y257" s="36">
        <v>2023674</v>
      </c>
      <c r="Z257" s="36" t="s">
        <v>26</v>
      </c>
      <c r="AA257" s="36">
        <v>1313</v>
      </c>
      <c r="AB257" s="36" t="s">
        <v>250</v>
      </c>
      <c r="AC257" s="36" t="s">
        <v>177</v>
      </c>
    </row>
    <row r="258" spans="1:29" x14ac:dyDescent="0.25">
      <c r="A258" s="37">
        <f t="shared" si="3"/>
        <v>11</v>
      </c>
      <c r="C258" s="36" t="s">
        <v>316</v>
      </c>
      <c r="D258" s="36" t="s">
        <v>3627</v>
      </c>
      <c r="E258" s="36">
        <v>892722</v>
      </c>
      <c r="F258" s="36">
        <v>2</v>
      </c>
      <c r="G258" s="36">
        <v>871781</v>
      </c>
      <c r="H258" s="48" t="str">
        <f>IFERROR(INDEX(Table14[],MATCH($G258,Table14[SAPNo],0),3),"")</f>
        <v>Round 1313 CT200  0.018" (B)</v>
      </c>
      <c r="I258" s="37">
        <v>8</v>
      </c>
      <c r="J258" s="37">
        <f>IF(Table412[[#This Row],[MAT]]&lt;&gt;"",COUNTIF(Table3[LEVEL 5 MAT NO.],Table412[[#This Row],[MAT]]),"")</f>
        <v>0</v>
      </c>
      <c r="K258" s="36">
        <f>IFERROR(INDEX(Table3[],MATCH($E258,Table3[LEVEL 5 MAT NO.],0),2),0)</f>
        <v>0</v>
      </c>
      <c r="L258" s="36">
        <f>Table412[[#This Row],[Quantity in BOM]]*Table412[[#This Row],[Freq]]</f>
        <v>0</v>
      </c>
      <c r="M258" s="36" t="str">
        <f>IF(Table412[[#This Row],[Exist]]=1,Table412[[#This Row],[MAT]],"")</f>
        <v/>
      </c>
      <c r="N258" s="36" t="str">
        <f>IF(Table412[[#This Row],[Exist]]=1,Table412[[#This Row],[Component]],"")</f>
        <v/>
      </c>
      <c r="O258" s="36">
        <f>IFERROR(VALUE(Table412[[#This Row],[MAT]]&amp;Table412[[#This Row],[X'#]]),IF(COUNTIF(Table412[[#This Row],[MAT]],"*M"),Table412[[#This Row],[MAT]]&amp;Table412[[#This Row],[X'#]],""))</f>
        <v>8927222</v>
      </c>
      <c r="T258" s="133">
        <v>239</v>
      </c>
      <c r="U258" s="134">
        <v>1199247</v>
      </c>
      <c r="V258" s="135" t="s">
        <v>4179</v>
      </c>
      <c r="X258" s="36">
        <v>303</v>
      </c>
      <c r="Y258" s="36">
        <v>2029244</v>
      </c>
      <c r="Z258" s="36" t="s">
        <v>26</v>
      </c>
      <c r="AA258" s="36">
        <v>1313</v>
      </c>
      <c r="AB258" s="36" t="s">
        <v>252</v>
      </c>
      <c r="AC258" s="36" t="s">
        <v>177</v>
      </c>
    </row>
    <row r="259" spans="1:29" x14ac:dyDescent="0.25">
      <c r="A259" s="37">
        <f t="shared" ref="A259:A322" si="5">A258+K258</f>
        <v>11</v>
      </c>
      <c r="C259" s="36" t="s">
        <v>316</v>
      </c>
      <c r="D259" s="36" t="s">
        <v>3627</v>
      </c>
      <c r="E259" s="36">
        <v>892722</v>
      </c>
      <c r="F259" s="36">
        <v>3</v>
      </c>
      <c r="G259" s="36">
        <v>418525</v>
      </c>
      <c r="H259" s="48" t="str">
        <f>IFERROR(INDEX(Table14[],MATCH($G259,Table14[SAPNo],0),3),"")</f>
        <v>Drop In 1308 CT31   (B)</v>
      </c>
      <c r="I259" s="37">
        <v>8</v>
      </c>
      <c r="J259" s="37">
        <f>IF(Table412[[#This Row],[MAT]]&lt;&gt;"",COUNTIF(Table3[LEVEL 5 MAT NO.],Table412[[#This Row],[MAT]]),"")</f>
        <v>0</v>
      </c>
      <c r="K259" s="36">
        <f>IFERROR(INDEX(Table3[],MATCH($E259,Table3[LEVEL 5 MAT NO.],0),2),0)</f>
        <v>0</v>
      </c>
      <c r="L259" s="36">
        <f>Table412[[#This Row],[Quantity in BOM]]*Table412[[#This Row],[Freq]]</f>
        <v>0</v>
      </c>
      <c r="M259" s="36" t="str">
        <f>IF(Table412[[#This Row],[Exist]]=1,Table412[[#This Row],[MAT]],"")</f>
        <v/>
      </c>
      <c r="N259" s="36" t="str">
        <f>IF(Table412[[#This Row],[Exist]]=1,Table412[[#This Row],[Component]],"")</f>
        <v/>
      </c>
      <c r="O259" s="36">
        <f>IFERROR(VALUE(Table412[[#This Row],[MAT]]&amp;Table412[[#This Row],[X'#]]),IF(COUNTIF(Table412[[#This Row],[MAT]],"*M"),Table412[[#This Row],[MAT]]&amp;Table412[[#This Row],[X'#]],""))</f>
        <v>8927223</v>
      </c>
      <c r="T259" s="144">
        <v>259</v>
      </c>
      <c r="U259" s="145">
        <v>1162285</v>
      </c>
      <c r="V259" s="146" t="s">
        <v>3630</v>
      </c>
      <c r="X259" s="36">
        <v>304</v>
      </c>
      <c r="Y259" s="36">
        <v>1187117</v>
      </c>
      <c r="Z259" s="36" t="s">
        <v>122</v>
      </c>
      <c r="AA259" s="36">
        <v>1313</v>
      </c>
      <c r="AB259" s="36" t="s">
        <v>205</v>
      </c>
      <c r="AC259" s="36" t="s">
        <v>253</v>
      </c>
    </row>
    <row r="260" spans="1:29" x14ac:dyDescent="0.25">
      <c r="A260" s="37">
        <f t="shared" si="5"/>
        <v>11</v>
      </c>
      <c r="C260" s="36">
        <v>16</v>
      </c>
      <c r="D260" s="36" t="s">
        <v>3627</v>
      </c>
      <c r="E260" s="36">
        <v>801053</v>
      </c>
      <c r="F260" s="36">
        <v>1</v>
      </c>
      <c r="G260" s="36">
        <v>643435</v>
      </c>
      <c r="H260" s="48" t="str">
        <f>IFERROR(INDEX(Table14[],MATCH($G260,Table14[SAPNo],0),3),"")</f>
        <v>Round 1913 CT70  0.018" (S)</v>
      </c>
      <c r="I260" s="37">
        <v>63</v>
      </c>
      <c r="J260" s="37">
        <f>IF(Table412[[#This Row],[MAT]]&lt;&gt;"",COUNTIF(Table3[LEVEL 5 MAT NO.],Table412[[#This Row],[MAT]]),"")</f>
        <v>0</v>
      </c>
      <c r="K260" s="36">
        <f>IFERROR(INDEX(Table3[],MATCH($E260,Table3[LEVEL 5 MAT NO.],0),2),0)</f>
        <v>0</v>
      </c>
      <c r="L260" s="36">
        <f>Table412[[#This Row],[Quantity in BOM]]*Table412[[#This Row],[Freq]]</f>
        <v>0</v>
      </c>
      <c r="M260" s="36" t="str">
        <f>IF(Table412[[#This Row],[Exist]]=1,Table412[[#This Row],[MAT]],"")</f>
        <v/>
      </c>
      <c r="N260" s="36" t="str">
        <f>IF(Table412[[#This Row],[Exist]]=1,Table412[[#This Row],[Component]],"")</f>
        <v/>
      </c>
      <c r="O260" s="36">
        <f>IFERROR(VALUE(Table412[[#This Row],[MAT]]&amp;Table412[[#This Row],[X'#]]),IF(COUNTIF(Table412[[#This Row],[MAT]],"*M"),Table412[[#This Row],[MAT]]&amp;Table412[[#This Row],[X'#]],""))</f>
        <v>8010531</v>
      </c>
      <c r="T260" s="144">
        <v>260</v>
      </c>
      <c r="U260" s="145">
        <v>1255772</v>
      </c>
      <c r="V260" s="146" t="s">
        <v>3631</v>
      </c>
      <c r="X260" s="36">
        <v>305</v>
      </c>
      <c r="Y260" s="36">
        <v>2024640</v>
      </c>
      <c r="Z260" s="36" t="s">
        <v>26</v>
      </c>
      <c r="AA260" s="36">
        <v>1613</v>
      </c>
      <c r="AB260" s="36" t="s">
        <v>254</v>
      </c>
      <c r="AC260" s="36" t="s">
        <v>253</v>
      </c>
    </row>
    <row r="261" spans="1:29" x14ac:dyDescent="0.25">
      <c r="A261" s="37">
        <f t="shared" si="5"/>
        <v>11</v>
      </c>
      <c r="C261" s="36">
        <v>16</v>
      </c>
      <c r="D261" s="36" t="s">
        <v>3627</v>
      </c>
      <c r="E261" s="36">
        <v>801053</v>
      </c>
      <c r="F261" s="36">
        <v>2</v>
      </c>
      <c r="G261" s="36">
        <v>638561</v>
      </c>
      <c r="H261" s="48" t="str">
        <f>IFERROR(INDEX(Table14[],MATCH($G261,Table14[SAPNo],0),3),"")</f>
        <v>Round 1613 CT70  0.018" (S)</v>
      </c>
      <c r="I261" s="37">
        <v>9</v>
      </c>
      <c r="J261" s="37">
        <f>IF(Table412[[#This Row],[MAT]]&lt;&gt;"",COUNTIF(Table3[LEVEL 5 MAT NO.],Table412[[#This Row],[MAT]]),"")</f>
        <v>0</v>
      </c>
      <c r="K261" s="36">
        <f>IFERROR(INDEX(Table3[],MATCH($E261,Table3[LEVEL 5 MAT NO.],0),2),0)</f>
        <v>0</v>
      </c>
      <c r="L261" s="36">
        <f>Table412[[#This Row],[Quantity in BOM]]*Table412[[#This Row],[Freq]]</f>
        <v>0</v>
      </c>
      <c r="M261" s="36" t="str">
        <f>IF(Table412[[#This Row],[Exist]]=1,Table412[[#This Row],[MAT]],"")</f>
        <v/>
      </c>
      <c r="N261" s="36" t="str">
        <f>IF(Table412[[#This Row],[Exist]]=1,Table412[[#This Row],[Component]],"")</f>
        <v/>
      </c>
      <c r="O261" s="36">
        <f>IFERROR(VALUE(Table412[[#This Row],[MAT]]&amp;Table412[[#This Row],[X'#]]),IF(COUNTIF(Table412[[#This Row],[MAT]],"*M"),Table412[[#This Row],[MAT]]&amp;Table412[[#This Row],[X'#]],""))</f>
        <v>8010532</v>
      </c>
      <c r="T261" s="144">
        <v>261</v>
      </c>
      <c r="U261" s="145">
        <v>1136983</v>
      </c>
      <c r="V261" s="146" t="s">
        <v>3632</v>
      </c>
      <c r="X261" s="36">
        <v>306</v>
      </c>
      <c r="Y261" s="36">
        <v>2001657</v>
      </c>
      <c r="AA261" s="36">
        <v>1613</v>
      </c>
      <c r="AB261" s="36" t="s">
        <v>227</v>
      </c>
      <c r="AC261" s="36" t="s">
        <v>109</v>
      </c>
    </row>
    <row r="262" spans="1:29" x14ac:dyDescent="0.25">
      <c r="A262" s="37">
        <f t="shared" si="5"/>
        <v>11</v>
      </c>
      <c r="C262" s="36">
        <v>16</v>
      </c>
      <c r="D262" s="36" t="s">
        <v>3627</v>
      </c>
      <c r="E262" s="36">
        <v>801053</v>
      </c>
      <c r="F262" s="36">
        <v>3</v>
      </c>
      <c r="G262" s="36">
        <v>708306</v>
      </c>
      <c r="H262" s="48" t="str">
        <f>IFERROR(INDEX(Table14[],MATCH($G262,Table14[SAPNo],0),3),"")</f>
        <v>Round 1913 CT200  0.018" (B)</v>
      </c>
      <c r="I262" s="37">
        <v>7</v>
      </c>
      <c r="J262" s="37">
        <f>IF(Table412[[#This Row],[MAT]]&lt;&gt;"",COUNTIF(Table3[LEVEL 5 MAT NO.],Table412[[#This Row],[MAT]]),"")</f>
        <v>0</v>
      </c>
      <c r="K262" s="36">
        <f>IFERROR(INDEX(Table3[],MATCH($E262,Table3[LEVEL 5 MAT NO.],0),2),0)</f>
        <v>0</v>
      </c>
      <c r="L262" s="36">
        <f>Table412[[#This Row],[Quantity in BOM]]*Table412[[#This Row],[Freq]]</f>
        <v>0</v>
      </c>
      <c r="M262" s="36" t="str">
        <f>IF(Table412[[#This Row],[Exist]]=1,Table412[[#This Row],[MAT]],"")</f>
        <v/>
      </c>
      <c r="N262" s="36" t="str">
        <f>IF(Table412[[#This Row],[Exist]]=1,Table412[[#This Row],[Component]],"")</f>
        <v/>
      </c>
      <c r="O262" s="36">
        <f>IFERROR(VALUE(Table412[[#This Row],[MAT]]&amp;Table412[[#This Row],[X'#]]),IF(COUNTIF(Table412[[#This Row],[MAT]],"*M"),Table412[[#This Row],[MAT]]&amp;Table412[[#This Row],[X'#]],""))</f>
        <v>8010533</v>
      </c>
      <c r="T262" s="144">
        <v>262</v>
      </c>
      <c r="U262" s="145">
        <v>2004484</v>
      </c>
      <c r="V262" s="146" t="s">
        <v>3633</v>
      </c>
      <c r="X262" s="36">
        <v>307</v>
      </c>
      <c r="Y262" s="36">
        <v>1142710</v>
      </c>
      <c r="AA262" s="36">
        <v>1608</v>
      </c>
      <c r="AB262" s="36" t="s">
        <v>133</v>
      </c>
      <c r="AC262" s="36" t="s">
        <v>109</v>
      </c>
    </row>
    <row r="263" spans="1:29" x14ac:dyDescent="0.25">
      <c r="A263" s="37">
        <f t="shared" si="5"/>
        <v>11</v>
      </c>
      <c r="C263" s="36">
        <v>16</v>
      </c>
      <c r="D263" s="36" t="s">
        <v>3627</v>
      </c>
      <c r="E263" s="36">
        <v>801053</v>
      </c>
      <c r="F263" s="36">
        <v>4</v>
      </c>
      <c r="G263" s="36">
        <v>871781</v>
      </c>
      <c r="H263" s="48" t="str">
        <f>IFERROR(INDEX(Table14[],MATCH($G263,Table14[SAPNo],0),3),"")</f>
        <v>Round 1313 CT200  0.018" (B)</v>
      </c>
      <c r="I263" s="37">
        <v>7</v>
      </c>
      <c r="J263" s="37">
        <f>IF(Table412[[#This Row],[MAT]]&lt;&gt;"",COUNTIF(Table3[LEVEL 5 MAT NO.],Table412[[#This Row],[MAT]]),"")</f>
        <v>0</v>
      </c>
      <c r="K263" s="36">
        <f>IFERROR(INDEX(Table3[],MATCH($E263,Table3[LEVEL 5 MAT NO.],0),2),0)</f>
        <v>0</v>
      </c>
      <c r="L263" s="36">
        <f>Table412[[#This Row],[Quantity in BOM]]*Table412[[#This Row],[Freq]]</f>
        <v>0</v>
      </c>
      <c r="M263" s="36" t="str">
        <f>IF(Table412[[#This Row],[Exist]]=1,Table412[[#This Row],[MAT]],"")</f>
        <v/>
      </c>
      <c r="N263" s="36" t="str">
        <f>IF(Table412[[#This Row],[Exist]]=1,Table412[[#This Row],[Component]],"")</f>
        <v/>
      </c>
      <c r="O263" s="36">
        <f>IFERROR(VALUE(Table412[[#This Row],[MAT]]&amp;Table412[[#This Row],[X'#]]),IF(COUNTIF(Table412[[#This Row],[MAT]],"*M"),Table412[[#This Row],[MAT]]&amp;Table412[[#This Row],[X'#]],""))</f>
        <v>8010534</v>
      </c>
      <c r="T263" s="144">
        <v>263</v>
      </c>
      <c r="U263" s="145">
        <v>2000450</v>
      </c>
      <c r="V263" s="146" t="s">
        <v>3634</v>
      </c>
    </row>
    <row r="264" spans="1:29" x14ac:dyDescent="0.25">
      <c r="A264" s="37">
        <f t="shared" si="5"/>
        <v>11</v>
      </c>
      <c r="C264" s="36">
        <v>16</v>
      </c>
      <c r="D264" s="36" t="s">
        <v>3627</v>
      </c>
      <c r="E264" s="36">
        <v>801053</v>
      </c>
      <c r="F264" s="36">
        <v>5</v>
      </c>
      <c r="G264" s="36">
        <v>418525</v>
      </c>
      <c r="H264" s="48" t="str">
        <f>IFERROR(INDEX(Table14[],MATCH($G264,Table14[SAPNo],0),3),"")</f>
        <v>Drop In 1308 CT31   (B)</v>
      </c>
      <c r="I264" s="37">
        <v>7</v>
      </c>
      <c r="J264" s="37">
        <f>IF(Table412[[#This Row],[MAT]]&lt;&gt;"",COUNTIF(Table3[LEVEL 5 MAT NO.],Table412[[#This Row],[MAT]]),"")</f>
        <v>0</v>
      </c>
      <c r="K264" s="36">
        <f>IFERROR(INDEX(Table3[],MATCH($E264,Table3[LEVEL 5 MAT NO.],0),2),0)</f>
        <v>0</v>
      </c>
      <c r="L264" s="36">
        <f>Table412[[#This Row],[Quantity in BOM]]*Table412[[#This Row],[Freq]]</f>
        <v>0</v>
      </c>
      <c r="M264" s="36" t="str">
        <f>IF(Table412[[#This Row],[Exist]]=1,Table412[[#This Row],[MAT]],"")</f>
        <v/>
      </c>
      <c r="N264" s="36" t="str">
        <f>IF(Table412[[#This Row],[Exist]]=1,Table412[[#This Row],[Component]],"")</f>
        <v/>
      </c>
      <c r="O264" s="36">
        <f>IFERROR(VALUE(Table412[[#This Row],[MAT]]&amp;Table412[[#This Row],[X'#]]),IF(COUNTIF(Table412[[#This Row],[MAT]],"*M"),Table412[[#This Row],[MAT]]&amp;Table412[[#This Row],[X'#]],""))</f>
        <v>8010535</v>
      </c>
      <c r="T264" s="144">
        <v>264</v>
      </c>
      <c r="U264" s="145">
        <v>2007571</v>
      </c>
      <c r="V264" s="146" t="s">
        <v>3635</v>
      </c>
    </row>
    <row r="265" spans="1:29" x14ac:dyDescent="0.25">
      <c r="A265" s="37">
        <f t="shared" si="5"/>
        <v>11</v>
      </c>
      <c r="C265" s="36">
        <v>16</v>
      </c>
      <c r="D265" s="36" t="s">
        <v>3627</v>
      </c>
      <c r="E265" s="36">
        <v>801053</v>
      </c>
      <c r="F265" s="36">
        <v>6</v>
      </c>
      <c r="G265" s="36">
        <v>625854</v>
      </c>
      <c r="H265" s="48" t="str">
        <f>IFERROR(INDEX(Table14[],MATCH($G265,Table14[SAPNo],0),3),"")</f>
        <v>Carbide IA 1318    (C)</v>
      </c>
      <c r="I265" s="37">
        <v>9</v>
      </c>
      <c r="J265" s="37">
        <f>IF(Table412[[#This Row],[MAT]]&lt;&gt;"",COUNTIF(Table3[LEVEL 5 MAT NO.],Table412[[#This Row],[MAT]]),"")</f>
        <v>0</v>
      </c>
      <c r="K265" s="36">
        <f>IFERROR(INDEX(Table3[],MATCH($E265,Table3[LEVEL 5 MAT NO.],0),2),0)</f>
        <v>0</v>
      </c>
      <c r="L265" s="36">
        <f>Table412[[#This Row],[Quantity in BOM]]*Table412[[#This Row],[Freq]]</f>
        <v>0</v>
      </c>
      <c r="M265" s="36" t="str">
        <f>IF(Table412[[#This Row],[Exist]]=1,Table412[[#This Row],[MAT]],"")</f>
        <v/>
      </c>
      <c r="N265" s="36" t="str">
        <f>IF(Table412[[#This Row],[Exist]]=1,Table412[[#This Row],[Component]],"")</f>
        <v/>
      </c>
      <c r="O265" s="36">
        <f>IFERROR(VALUE(Table412[[#This Row],[MAT]]&amp;Table412[[#This Row],[X'#]]),IF(COUNTIF(Table412[[#This Row],[MAT]],"*M"),Table412[[#This Row],[MAT]]&amp;Table412[[#This Row],[X'#]],""))</f>
        <v>8010536</v>
      </c>
      <c r="T265" s="133">
        <v>265</v>
      </c>
      <c r="U265" s="134">
        <v>2002299</v>
      </c>
      <c r="V265" s="135" t="s">
        <v>3637</v>
      </c>
    </row>
    <row r="266" spans="1:29" x14ac:dyDescent="0.25">
      <c r="A266" s="37">
        <f t="shared" si="5"/>
        <v>11</v>
      </c>
      <c r="C266" s="36">
        <v>5.875</v>
      </c>
      <c r="D266" s="36" t="s">
        <v>3636</v>
      </c>
      <c r="E266" s="36">
        <v>890428</v>
      </c>
      <c r="F266" s="36">
        <v>1</v>
      </c>
      <c r="G266" s="36">
        <v>1134752</v>
      </c>
      <c r="H266" s="48" t="str">
        <f>IFERROR(INDEX(Table14[],MATCH($G266,Table14[SAPNo],0),3),"")</f>
        <v>Round 1308 CT182  0.018" (S)</v>
      </c>
      <c r="I266" s="37">
        <v>17</v>
      </c>
      <c r="J266" s="37">
        <f>IF(Table412[[#This Row],[MAT]]&lt;&gt;"",COUNTIF(Table3[LEVEL 5 MAT NO.],Table412[[#This Row],[MAT]]),"")</f>
        <v>0</v>
      </c>
      <c r="K266" s="36">
        <f>IFERROR(INDEX(Table3[],MATCH($E266,Table3[LEVEL 5 MAT NO.],0),2),0)</f>
        <v>0</v>
      </c>
      <c r="L266" s="36">
        <f>Table412[[#This Row],[Quantity in BOM]]*Table412[[#This Row],[Freq]]</f>
        <v>0</v>
      </c>
      <c r="M266" s="36" t="str">
        <f>IF(Table412[[#This Row],[Exist]]=1,Table412[[#This Row],[MAT]],"")</f>
        <v/>
      </c>
      <c r="N266" s="36" t="str">
        <f>IF(Table412[[#This Row],[Exist]]=1,Table412[[#This Row],[Component]],"")</f>
        <v/>
      </c>
      <c r="O266" s="36">
        <f>IFERROR(VALUE(Table412[[#This Row],[MAT]]&amp;Table412[[#This Row],[X'#]]),IF(COUNTIF(Table412[[#This Row],[MAT]],"*M"),Table412[[#This Row],[MAT]]&amp;Table412[[#This Row],[X'#]],""))</f>
        <v>8904281</v>
      </c>
      <c r="T266" s="133">
        <v>268</v>
      </c>
      <c r="U266" s="134">
        <v>2001060</v>
      </c>
      <c r="V266" s="135" t="s">
        <v>3638</v>
      </c>
    </row>
    <row r="267" spans="1:29" x14ac:dyDescent="0.25">
      <c r="A267" s="37">
        <f t="shared" si="5"/>
        <v>11</v>
      </c>
      <c r="C267" s="36">
        <v>5.875</v>
      </c>
      <c r="D267" s="36" t="s">
        <v>3636</v>
      </c>
      <c r="E267" s="36">
        <v>890428</v>
      </c>
      <c r="F267" s="36">
        <v>2</v>
      </c>
      <c r="G267" s="36">
        <v>1130196</v>
      </c>
      <c r="H267" s="48" t="str">
        <f>IFERROR(INDEX(Table14[],MATCH($G267,Table14[SAPNo],0),3),"")</f>
        <v>Round 1313 CT182  0.018" (S)</v>
      </c>
      <c r="I267" s="37">
        <v>29</v>
      </c>
      <c r="J267" s="37">
        <f>IF(Table412[[#This Row],[MAT]]&lt;&gt;"",COUNTIF(Table3[LEVEL 5 MAT NO.],Table412[[#This Row],[MAT]]),"")</f>
        <v>0</v>
      </c>
      <c r="K267" s="36">
        <f>IFERROR(INDEX(Table3[],MATCH($E267,Table3[LEVEL 5 MAT NO.],0),2),0)</f>
        <v>0</v>
      </c>
      <c r="L267" s="36">
        <f>Table412[[#This Row],[Quantity in BOM]]*Table412[[#This Row],[Freq]]</f>
        <v>0</v>
      </c>
      <c r="M267" s="36" t="str">
        <f>IF(Table412[[#This Row],[Exist]]=1,Table412[[#This Row],[MAT]],"")</f>
        <v/>
      </c>
      <c r="N267" s="36" t="str">
        <f>IF(Table412[[#This Row],[Exist]]=1,Table412[[#This Row],[Component]],"")</f>
        <v/>
      </c>
      <c r="O267" s="36">
        <f>IFERROR(VALUE(Table412[[#This Row],[MAT]]&amp;Table412[[#This Row],[X'#]]),IF(COUNTIF(Table412[[#This Row],[MAT]],"*M"),Table412[[#This Row],[MAT]]&amp;Table412[[#This Row],[X'#]],""))</f>
        <v>8904282</v>
      </c>
      <c r="T267" s="133">
        <v>267</v>
      </c>
      <c r="U267" s="134">
        <v>2001155</v>
      </c>
      <c r="V267" s="135" t="s">
        <v>3639</v>
      </c>
    </row>
    <row r="268" spans="1:29" x14ac:dyDescent="0.25">
      <c r="A268" s="37">
        <f t="shared" si="5"/>
        <v>11</v>
      </c>
      <c r="C268" s="36">
        <v>5.875</v>
      </c>
      <c r="D268" s="36" t="s">
        <v>3636</v>
      </c>
      <c r="E268" s="36">
        <v>890428</v>
      </c>
      <c r="F268" s="36">
        <v>3</v>
      </c>
      <c r="G268" s="36">
        <v>418525</v>
      </c>
      <c r="H268" s="48" t="str">
        <f>IFERROR(INDEX(Table14[],MATCH($G268,Table14[SAPNo],0),3),"")</f>
        <v>Drop In 1308 CT31   (B)</v>
      </c>
      <c r="I268" s="37">
        <v>10</v>
      </c>
      <c r="J268" s="37">
        <f>IF(Table412[[#This Row],[MAT]]&lt;&gt;"",COUNTIF(Table3[LEVEL 5 MAT NO.],Table412[[#This Row],[MAT]]),"")</f>
        <v>0</v>
      </c>
      <c r="K268" s="36">
        <f>IFERROR(INDEX(Table3[],MATCH($E268,Table3[LEVEL 5 MAT NO.],0),2),0)</f>
        <v>0</v>
      </c>
      <c r="L268" s="36">
        <f>Table412[[#This Row],[Quantity in BOM]]*Table412[[#This Row],[Freq]]</f>
        <v>0</v>
      </c>
      <c r="M268" s="36" t="str">
        <f>IF(Table412[[#This Row],[Exist]]=1,Table412[[#This Row],[MAT]],"")</f>
        <v/>
      </c>
      <c r="N268" s="36" t="str">
        <f>IF(Table412[[#This Row],[Exist]]=1,Table412[[#This Row],[Component]],"")</f>
        <v/>
      </c>
      <c r="O268" s="36">
        <f>IFERROR(VALUE(Table412[[#This Row],[MAT]]&amp;Table412[[#This Row],[X'#]]),IF(COUNTIF(Table412[[#This Row],[MAT]],"*M"),Table412[[#This Row],[MAT]]&amp;Table412[[#This Row],[X'#]],""))</f>
        <v>8904283</v>
      </c>
      <c r="T268" s="133">
        <v>269</v>
      </c>
      <c r="U268" s="134">
        <v>2013726</v>
      </c>
      <c r="V268" s="135" t="s">
        <v>2977</v>
      </c>
    </row>
    <row r="269" spans="1:29" x14ac:dyDescent="0.25">
      <c r="A269" s="37">
        <f t="shared" si="5"/>
        <v>11</v>
      </c>
      <c r="C269" s="36">
        <v>8.5</v>
      </c>
      <c r="D269" s="36" t="s">
        <v>3640</v>
      </c>
      <c r="E269" s="36">
        <v>854024</v>
      </c>
      <c r="F269" s="36">
        <v>1</v>
      </c>
      <c r="G269" s="36">
        <v>724180</v>
      </c>
      <c r="H269" s="48" t="str">
        <f>IFERROR(INDEX(Table14[],MATCH($G269,Table14[SAPNo],0),3),"")</f>
        <v/>
      </c>
      <c r="I269" s="37">
        <v>6</v>
      </c>
      <c r="J269" s="37">
        <f>IF(Table412[[#This Row],[MAT]]&lt;&gt;"",COUNTIF(Table3[LEVEL 5 MAT NO.],Table412[[#This Row],[MAT]]),"")</f>
        <v>0</v>
      </c>
      <c r="K269" s="36">
        <f>IFERROR(INDEX(Table3[],MATCH($E269,Table3[LEVEL 5 MAT NO.],0),2),0)</f>
        <v>0</v>
      </c>
      <c r="L269" s="36">
        <f>Table412[[#This Row],[Quantity in BOM]]*Table412[[#This Row],[Freq]]</f>
        <v>0</v>
      </c>
      <c r="M269" s="36" t="str">
        <f>IF(Table412[[#This Row],[Exist]]=1,Table412[[#This Row],[MAT]],"")</f>
        <v/>
      </c>
      <c r="N269" s="36" t="str">
        <f>IF(Table412[[#This Row],[Exist]]=1,Table412[[#This Row],[Component]],"")</f>
        <v/>
      </c>
      <c r="O269" s="36">
        <f>IFERROR(VALUE(Table412[[#This Row],[MAT]]&amp;Table412[[#This Row],[X'#]]),IF(COUNTIF(Table412[[#This Row],[MAT]],"*M"),Table412[[#This Row],[MAT]]&amp;Table412[[#This Row],[X'#]],""))</f>
        <v>8540241</v>
      </c>
      <c r="T269" s="144">
        <v>270</v>
      </c>
      <c r="U269" s="145">
        <v>1274176</v>
      </c>
      <c r="V269" s="146" t="s">
        <v>3641</v>
      </c>
    </row>
    <row r="270" spans="1:29" x14ac:dyDescent="0.25">
      <c r="A270" s="37">
        <f t="shared" si="5"/>
        <v>11</v>
      </c>
      <c r="C270" s="36">
        <v>8.5</v>
      </c>
      <c r="D270" s="36" t="s">
        <v>3640</v>
      </c>
      <c r="E270" s="36">
        <v>854024</v>
      </c>
      <c r="F270" s="36">
        <v>2</v>
      </c>
      <c r="G270" s="36">
        <v>724181</v>
      </c>
      <c r="H270" s="48" t="str">
        <f>IFERROR(INDEX(Table14[],MATCH($G270,Table14[SAPNo],0),3),"")</f>
        <v/>
      </c>
      <c r="I270" s="37">
        <v>28</v>
      </c>
      <c r="J270" s="37">
        <f>IF(Table412[[#This Row],[MAT]]&lt;&gt;"",COUNTIF(Table3[LEVEL 5 MAT NO.],Table412[[#This Row],[MAT]]),"")</f>
        <v>0</v>
      </c>
      <c r="K270" s="36">
        <f>IFERROR(INDEX(Table3[],MATCH($E270,Table3[LEVEL 5 MAT NO.],0),2),0)</f>
        <v>0</v>
      </c>
      <c r="L270" s="36">
        <f>Table412[[#This Row],[Quantity in BOM]]*Table412[[#This Row],[Freq]]</f>
        <v>0</v>
      </c>
      <c r="M270" s="36" t="str">
        <f>IF(Table412[[#This Row],[Exist]]=1,Table412[[#This Row],[MAT]],"")</f>
        <v/>
      </c>
      <c r="N270" s="36" t="str">
        <f>IF(Table412[[#This Row],[Exist]]=1,Table412[[#This Row],[Component]],"")</f>
        <v/>
      </c>
      <c r="O270" s="36">
        <f>IFERROR(VALUE(Table412[[#This Row],[MAT]]&amp;Table412[[#This Row],[X'#]]),IF(COUNTIF(Table412[[#This Row],[MAT]],"*M"),Table412[[#This Row],[MAT]]&amp;Table412[[#This Row],[X'#]],""))</f>
        <v>8540242</v>
      </c>
      <c r="T270" s="144">
        <v>271</v>
      </c>
      <c r="U270" s="145">
        <v>1293118</v>
      </c>
      <c r="V270" s="146" t="s">
        <v>3642</v>
      </c>
    </row>
    <row r="271" spans="1:29" x14ac:dyDescent="0.25">
      <c r="A271" s="37">
        <f t="shared" si="5"/>
        <v>11</v>
      </c>
      <c r="C271" s="36">
        <v>8.5</v>
      </c>
      <c r="D271" s="36" t="s">
        <v>3640</v>
      </c>
      <c r="E271" s="36">
        <v>854024</v>
      </c>
      <c r="F271" s="36">
        <v>3</v>
      </c>
      <c r="G271" s="36">
        <v>418525</v>
      </c>
      <c r="H271" s="48" t="str">
        <f>IFERROR(INDEX(Table14[],MATCH($G271,Table14[SAPNo],0),3),"")</f>
        <v>Drop In 1308 CT31   (B)</v>
      </c>
      <c r="I271" s="37">
        <v>6</v>
      </c>
      <c r="J271" s="37">
        <f>IF(Table412[[#This Row],[MAT]]&lt;&gt;"",COUNTIF(Table3[LEVEL 5 MAT NO.],Table412[[#This Row],[MAT]]),"")</f>
        <v>0</v>
      </c>
      <c r="K271" s="36">
        <f>IFERROR(INDEX(Table3[],MATCH($E271,Table3[LEVEL 5 MAT NO.],0),2),0)</f>
        <v>0</v>
      </c>
      <c r="L271" s="36">
        <f>Table412[[#This Row],[Quantity in BOM]]*Table412[[#This Row],[Freq]]</f>
        <v>0</v>
      </c>
      <c r="M271" s="36" t="str">
        <f>IF(Table412[[#This Row],[Exist]]=1,Table412[[#This Row],[MAT]],"")</f>
        <v/>
      </c>
      <c r="N271" s="36" t="str">
        <f>IF(Table412[[#This Row],[Exist]]=1,Table412[[#This Row],[Component]],"")</f>
        <v/>
      </c>
      <c r="O271" s="36">
        <f>IFERROR(VALUE(Table412[[#This Row],[MAT]]&amp;Table412[[#This Row],[X'#]]),IF(COUNTIF(Table412[[#This Row],[MAT]],"*M"),Table412[[#This Row],[MAT]]&amp;Table412[[#This Row],[X'#]],""))</f>
        <v>8540243</v>
      </c>
      <c r="T271" s="133">
        <v>272</v>
      </c>
      <c r="U271" s="134">
        <v>1192901</v>
      </c>
      <c r="V271" s="135" t="s">
        <v>3643</v>
      </c>
    </row>
    <row r="272" spans="1:29" x14ac:dyDescent="0.25">
      <c r="A272" s="37">
        <f t="shared" si="5"/>
        <v>11</v>
      </c>
      <c r="C272" s="36">
        <v>16</v>
      </c>
      <c r="D272" s="36" t="s">
        <v>3627</v>
      </c>
      <c r="E272" s="36">
        <v>687527</v>
      </c>
      <c r="F272" s="36">
        <v>1</v>
      </c>
      <c r="G272" s="36">
        <v>638561</v>
      </c>
      <c r="H272" s="48" t="str">
        <f>IFERROR(INDEX(Table14[],MATCH($G272,Table14[SAPNo],0),3),"")</f>
        <v>Round 1613 CT70  0.018" (S)</v>
      </c>
      <c r="I272" s="37">
        <v>72</v>
      </c>
      <c r="J272" s="37">
        <f>IF(Table412[[#This Row],[MAT]]&lt;&gt;"",COUNTIF(Table3[LEVEL 5 MAT NO.],Table412[[#This Row],[MAT]]),"")</f>
        <v>0</v>
      </c>
      <c r="K272" s="36">
        <f>IFERROR(INDEX(Table3[],MATCH($E272,Table3[LEVEL 5 MAT NO.],0),2),0)</f>
        <v>0</v>
      </c>
      <c r="L272" s="36">
        <f>Table412[[#This Row],[Quantity in BOM]]*Table412[[#This Row],[Freq]]</f>
        <v>0</v>
      </c>
      <c r="M272" s="36" t="str">
        <f>IF(Table412[[#This Row],[Exist]]=1,Table412[[#This Row],[MAT]],"")</f>
        <v/>
      </c>
      <c r="N272" s="36" t="str">
        <f>IF(Table412[[#This Row],[Exist]]=1,Table412[[#This Row],[Component]],"")</f>
        <v/>
      </c>
      <c r="O272" s="36">
        <f>IFERROR(VALUE(Table412[[#This Row],[MAT]]&amp;Table412[[#This Row],[X'#]]),IF(COUNTIF(Table412[[#This Row],[MAT]],"*M"),Table412[[#This Row],[MAT]]&amp;Table412[[#This Row],[X'#]],""))</f>
        <v>6875271</v>
      </c>
      <c r="T272" s="133">
        <v>273</v>
      </c>
      <c r="U272" s="134">
        <v>2002244</v>
      </c>
      <c r="V272" s="135" t="s">
        <v>3644</v>
      </c>
    </row>
    <row r="273" spans="1:36" x14ac:dyDescent="0.25">
      <c r="A273" s="37">
        <f t="shared" si="5"/>
        <v>11</v>
      </c>
      <c r="C273" s="36">
        <v>16</v>
      </c>
      <c r="D273" s="36" t="s">
        <v>3627</v>
      </c>
      <c r="E273" s="36">
        <v>687527</v>
      </c>
      <c r="F273" s="36">
        <v>2</v>
      </c>
      <c r="G273" s="36">
        <v>638560</v>
      </c>
      <c r="H273" s="48" t="str">
        <f>IFERROR(INDEX(Table14[],MATCH($G273,Table14[SAPNo],0),3),"")</f>
        <v>Round 1313 CT70  0.018" (S)</v>
      </c>
      <c r="I273" s="37">
        <v>10</v>
      </c>
      <c r="J273" s="37">
        <f>IF(Table412[[#This Row],[MAT]]&lt;&gt;"",COUNTIF(Table3[LEVEL 5 MAT NO.],Table412[[#This Row],[MAT]]),"")</f>
        <v>0</v>
      </c>
      <c r="K273" s="36">
        <f>IFERROR(INDEX(Table3[],MATCH($E273,Table3[LEVEL 5 MAT NO.],0),2),0)</f>
        <v>0</v>
      </c>
      <c r="L273" s="36">
        <f>Table412[[#This Row],[Quantity in BOM]]*Table412[[#This Row],[Freq]]</f>
        <v>0</v>
      </c>
      <c r="M273" s="36" t="str">
        <f>IF(Table412[[#This Row],[Exist]]=1,Table412[[#This Row],[MAT]],"")</f>
        <v/>
      </c>
      <c r="N273" s="36" t="str">
        <f>IF(Table412[[#This Row],[Exist]]=1,Table412[[#This Row],[Component]],"")</f>
        <v/>
      </c>
      <c r="O273" s="36">
        <f>IFERROR(VALUE(Table412[[#This Row],[MAT]]&amp;Table412[[#This Row],[X'#]]),IF(COUNTIF(Table412[[#This Row],[MAT]],"*M"),Table412[[#This Row],[MAT]]&amp;Table412[[#This Row],[X'#]],""))</f>
        <v>6875272</v>
      </c>
      <c r="T273" s="144">
        <v>274</v>
      </c>
      <c r="U273" s="145">
        <v>1146345</v>
      </c>
      <c r="V273" s="146" t="s">
        <v>3645</v>
      </c>
      <c r="AE273" s="36">
        <v>1</v>
      </c>
    </row>
    <row r="274" spans="1:36" x14ac:dyDescent="0.25">
      <c r="A274" s="37">
        <f t="shared" si="5"/>
        <v>11</v>
      </c>
      <c r="C274" s="36">
        <v>16</v>
      </c>
      <c r="D274" s="36" t="s">
        <v>3627</v>
      </c>
      <c r="E274" s="36">
        <v>687527</v>
      </c>
      <c r="F274" s="36">
        <v>3</v>
      </c>
      <c r="G274" s="36">
        <v>871781</v>
      </c>
      <c r="H274" s="48" t="str">
        <f>IFERROR(INDEX(Table14[],MATCH($G274,Table14[SAPNo],0),3),"")</f>
        <v>Round 1313 CT200  0.018" (B)</v>
      </c>
      <c r="I274" s="37">
        <v>8</v>
      </c>
      <c r="J274" s="37">
        <f>IF(Table412[[#This Row],[MAT]]&lt;&gt;"",COUNTIF(Table3[LEVEL 5 MAT NO.],Table412[[#This Row],[MAT]]),"")</f>
        <v>0</v>
      </c>
      <c r="K274" s="36">
        <f>IFERROR(INDEX(Table3[],MATCH($E274,Table3[LEVEL 5 MAT NO.],0),2),0)</f>
        <v>0</v>
      </c>
      <c r="L274" s="36">
        <f>Table412[[#This Row],[Quantity in BOM]]*Table412[[#This Row],[Freq]]</f>
        <v>0</v>
      </c>
      <c r="M274" s="36" t="str">
        <f>IF(Table412[[#This Row],[Exist]]=1,Table412[[#This Row],[MAT]],"")</f>
        <v/>
      </c>
      <c r="N274" s="36" t="str">
        <f>IF(Table412[[#This Row],[Exist]]=1,Table412[[#This Row],[Component]],"")</f>
        <v/>
      </c>
      <c r="O274" s="36">
        <f>IFERROR(VALUE(Table412[[#This Row],[MAT]]&amp;Table412[[#This Row],[X'#]]),IF(COUNTIF(Table412[[#This Row],[MAT]],"*M"),Table412[[#This Row],[MAT]]&amp;Table412[[#This Row],[X'#]],""))</f>
        <v>6875273</v>
      </c>
      <c r="T274" s="144">
        <v>275</v>
      </c>
      <c r="U274" s="145">
        <v>2002245</v>
      </c>
      <c r="V274" s="146" t="s">
        <v>3646</v>
      </c>
      <c r="AE274" s="36">
        <v>2</v>
      </c>
    </row>
    <row r="275" spans="1:36" x14ac:dyDescent="0.25">
      <c r="A275" s="37">
        <f t="shared" si="5"/>
        <v>11</v>
      </c>
      <c r="C275" s="36">
        <v>16</v>
      </c>
      <c r="D275" s="36" t="s">
        <v>3627</v>
      </c>
      <c r="E275" s="36">
        <v>687527</v>
      </c>
      <c r="F275" s="36">
        <v>4</v>
      </c>
      <c r="G275" s="36">
        <v>418525</v>
      </c>
      <c r="H275" s="48" t="str">
        <f>IFERROR(INDEX(Table14[],MATCH($G275,Table14[SAPNo],0),3),"")</f>
        <v>Drop In 1308 CT31   (B)</v>
      </c>
      <c r="I275" s="37">
        <v>8</v>
      </c>
      <c r="J275" s="37">
        <f>IF(Table412[[#This Row],[MAT]]&lt;&gt;"",COUNTIF(Table3[LEVEL 5 MAT NO.],Table412[[#This Row],[MAT]]),"")</f>
        <v>0</v>
      </c>
      <c r="K275" s="36">
        <f>IFERROR(INDEX(Table3[],MATCH($E275,Table3[LEVEL 5 MAT NO.],0),2),0)</f>
        <v>0</v>
      </c>
      <c r="L275" s="36">
        <f>Table412[[#This Row],[Quantity in BOM]]*Table412[[#This Row],[Freq]]</f>
        <v>0</v>
      </c>
      <c r="M275" s="36" t="str">
        <f>IF(Table412[[#This Row],[Exist]]=1,Table412[[#This Row],[MAT]],"")</f>
        <v/>
      </c>
      <c r="N275" s="36" t="str">
        <f>IF(Table412[[#This Row],[Exist]]=1,Table412[[#This Row],[Component]],"")</f>
        <v/>
      </c>
      <c r="O275" s="36">
        <f>IFERROR(VALUE(Table412[[#This Row],[MAT]]&amp;Table412[[#This Row],[X'#]]),IF(COUNTIF(Table412[[#This Row],[MAT]],"*M"),Table412[[#This Row],[MAT]]&amp;Table412[[#This Row],[X'#]],""))</f>
        <v>6875274</v>
      </c>
      <c r="T275" s="144">
        <v>276</v>
      </c>
      <c r="U275" s="145">
        <v>2002126</v>
      </c>
      <c r="V275" s="146" t="s">
        <v>3647</v>
      </c>
      <c r="AE275" s="36">
        <v>1613</v>
      </c>
    </row>
    <row r="276" spans="1:36" x14ac:dyDescent="0.25">
      <c r="A276" s="37">
        <f t="shared" si="5"/>
        <v>11</v>
      </c>
      <c r="C276" s="36">
        <v>16</v>
      </c>
      <c r="D276" s="36" t="s">
        <v>3627</v>
      </c>
      <c r="E276" s="36">
        <v>702957</v>
      </c>
      <c r="F276" s="36">
        <v>1</v>
      </c>
      <c r="G276" s="36">
        <v>638561</v>
      </c>
      <c r="H276" s="48" t="str">
        <f>IFERROR(INDEX(Table14[],MATCH($G276,Table14[SAPNo],0),3),"")</f>
        <v>Round 1613 CT70  0.018" (S)</v>
      </c>
      <c r="I276" s="37">
        <v>74</v>
      </c>
      <c r="J276" s="37">
        <f>IF(Table412[[#This Row],[MAT]]&lt;&gt;"",COUNTIF(Table3[LEVEL 5 MAT NO.],Table412[[#This Row],[MAT]]),"")</f>
        <v>0</v>
      </c>
      <c r="K276" s="36">
        <f>IFERROR(INDEX(Table3[],MATCH($E276,Table3[LEVEL 5 MAT NO.],0),2),0)</f>
        <v>0</v>
      </c>
      <c r="L276" s="36">
        <f>Table412[[#This Row],[Quantity in BOM]]*Table412[[#This Row],[Freq]]</f>
        <v>0</v>
      </c>
      <c r="M276" s="36" t="str">
        <f>IF(Table412[[#This Row],[Exist]]=1,Table412[[#This Row],[MAT]],"")</f>
        <v/>
      </c>
      <c r="N276" s="36" t="str">
        <f>IF(Table412[[#This Row],[Exist]]=1,Table412[[#This Row],[Component]],"")</f>
        <v/>
      </c>
      <c r="O276" s="36">
        <f>IFERROR(VALUE(Table412[[#This Row],[MAT]]&amp;Table412[[#This Row],[X'#]]),IF(COUNTIF(Table412[[#This Row],[MAT]],"*M"),Table412[[#This Row],[MAT]]&amp;Table412[[#This Row],[X'#]],""))</f>
        <v>7029571</v>
      </c>
      <c r="T276" s="133">
        <v>277</v>
      </c>
      <c r="U276" s="134">
        <v>1291852</v>
      </c>
      <c r="V276" s="135" t="s">
        <v>2978</v>
      </c>
      <c r="AE276" s="36">
        <v>1313</v>
      </c>
    </row>
    <row r="277" spans="1:36" x14ac:dyDescent="0.25">
      <c r="A277" s="37">
        <f t="shared" si="5"/>
        <v>11</v>
      </c>
      <c r="C277" s="36">
        <v>16</v>
      </c>
      <c r="D277" s="36" t="s">
        <v>3627</v>
      </c>
      <c r="E277" s="36">
        <v>702957</v>
      </c>
      <c r="F277" s="36">
        <v>2</v>
      </c>
      <c r="G277" s="36">
        <v>179692</v>
      </c>
      <c r="H277" s="48" t="str">
        <f>IFERROR(INDEX(Table14[],MATCH($G277,Table14[SAPNo],0),3),"")</f>
        <v>Round 1313  ELITE RC 0.018" (O)</v>
      </c>
      <c r="I277" s="37">
        <v>10</v>
      </c>
      <c r="J277" s="37">
        <f>IF(Table412[[#This Row],[MAT]]&lt;&gt;"",COUNTIF(Table3[LEVEL 5 MAT NO.],Table412[[#This Row],[MAT]]),"")</f>
        <v>0</v>
      </c>
      <c r="K277" s="36">
        <f>IFERROR(INDEX(Table3[],MATCH($E277,Table3[LEVEL 5 MAT NO.],0),2),0)</f>
        <v>0</v>
      </c>
      <c r="L277" s="36">
        <f>Table412[[#This Row],[Quantity in BOM]]*Table412[[#This Row],[Freq]]</f>
        <v>0</v>
      </c>
      <c r="M277" s="36" t="str">
        <f>IF(Table412[[#This Row],[Exist]]=1,Table412[[#This Row],[MAT]],"")</f>
        <v/>
      </c>
      <c r="N277" s="36" t="str">
        <f>IF(Table412[[#This Row],[Exist]]=1,Table412[[#This Row],[Component]],"")</f>
        <v/>
      </c>
      <c r="O277" s="36">
        <f>IFERROR(VALUE(Table412[[#This Row],[MAT]]&amp;Table412[[#This Row],[X'#]]),IF(COUNTIF(Table412[[#This Row],[MAT]],"*M"),Table412[[#This Row],[MAT]]&amp;Table412[[#This Row],[X'#]],""))</f>
        <v>7029572</v>
      </c>
      <c r="T277" s="144">
        <v>278</v>
      </c>
      <c r="U277" s="145">
        <v>1291870</v>
      </c>
      <c r="V277" s="146" t="s">
        <v>3648</v>
      </c>
      <c r="AE277" s="36" t="s">
        <v>3718</v>
      </c>
    </row>
    <row r="278" spans="1:36" x14ac:dyDescent="0.25">
      <c r="A278" s="37">
        <f t="shared" si="5"/>
        <v>11</v>
      </c>
      <c r="C278" s="36">
        <v>16</v>
      </c>
      <c r="D278" s="36" t="s">
        <v>3627</v>
      </c>
      <c r="E278" s="36">
        <v>702957</v>
      </c>
      <c r="F278" s="36">
        <v>3</v>
      </c>
      <c r="G278" s="36">
        <v>638559</v>
      </c>
      <c r="H278" s="48" t="str">
        <f>IFERROR(INDEX(Table14[],MATCH($G278,Table14[SAPNo],0),3),"")</f>
        <v>Round 1308 CT70  0.018" (S)</v>
      </c>
      <c r="I278" s="37">
        <v>9</v>
      </c>
      <c r="J278" s="37">
        <f>IF(Table412[[#This Row],[MAT]]&lt;&gt;"",COUNTIF(Table3[LEVEL 5 MAT NO.],Table412[[#This Row],[MAT]]),"")</f>
        <v>0</v>
      </c>
      <c r="K278" s="36">
        <f>IFERROR(INDEX(Table3[],MATCH($E278,Table3[LEVEL 5 MAT NO.],0),2),0)</f>
        <v>0</v>
      </c>
      <c r="L278" s="36">
        <f>Table412[[#This Row],[Quantity in BOM]]*Table412[[#This Row],[Freq]]</f>
        <v>0</v>
      </c>
      <c r="M278" s="36" t="str">
        <f>IF(Table412[[#This Row],[Exist]]=1,Table412[[#This Row],[MAT]],"")</f>
        <v/>
      </c>
      <c r="N278" s="36" t="str">
        <f>IF(Table412[[#This Row],[Exist]]=1,Table412[[#This Row],[Component]],"")</f>
        <v/>
      </c>
      <c r="O278" s="36">
        <f>IFERROR(VALUE(Table412[[#This Row],[MAT]]&amp;Table412[[#This Row],[X'#]]),IF(COUNTIF(Table412[[#This Row],[MAT]],"*M"),Table412[[#This Row],[MAT]]&amp;Table412[[#This Row],[X'#]],""))</f>
        <v>7029573</v>
      </c>
      <c r="T278" s="144">
        <v>279</v>
      </c>
      <c r="U278" s="145">
        <v>2008253</v>
      </c>
      <c r="V278" s="146" t="s">
        <v>3649</v>
      </c>
      <c r="AE278" s="36" t="s">
        <v>3718</v>
      </c>
    </row>
    <row r="279" spans="1:36" x14ac:dyDescent="0.25">
      <c r="A279" s="37">
        <f t="shared" si="5"/>
        <v>11</v>
      </c>
      <c r="C279" s="36">
        <v>16</v>
      </c>
      <c r="D279" s="36" t="s">
        <v>3627</v>
      </c>
      <c r="E279" s="36">
        <v>702957</v>
      </c>
      <c r="F279" s="36">
        <v>4</v>
      </c>
      <c r="G279" s="36">
        <v>871781</v>
      </c>
      <c r="H279" s="48" t="str">
        <f>IFERROR(INDEX(Table14[],MATCH($G279,Table14[SAPNo],0),3),"")</f>
        <v>Round 1313 CT200  0.018" (B)</v>
      </c>
      <c r="I279" s="37">
        <v>4</v>
      </c>
      <c r="J279" s="37">
        <f>IF(Table412[[#This Row],[MAT]]&lt;&gt;"",COUNTIF(Table3[LEVEL 5 MAT NO.],Table412[[#This Row],[MAT]]),"")</f>
        <v>0</v>
      </c>
      <c r="K279" s="36">
        <f>IFERROR(INDEX(Table3[],MATCH($E279,Table3[LEVEL 5 MAT NO.],0),2),0)</f>
        <v>0</v>
      </c>
      <c r="L279" s="36">
        <f>Table412[[#This Row],[Quantity in BOM]]*Table412[[#This Row],[Freq]]</f>
        <v>0</v>
      </c>
      <c r="M279" s="36" t="str">
        <f>IF(Table412[[#This Row],[Exist]]=1,Table412[[#This Row],[MAT]],"")</f>
        <v/>
      </c>
      <c r="N279" s="36" t="str">
        <f>IF(Table412[[#This Row],[Exist]]=1,Table412[[#This Row],[Component]],"")</f>
        <v/>
      </c>
      <c r="O279" s="36">
        <f>IFERROR(VALUE(Table412[[#This Row],[MAT]]&amp;Table412[[#This Row],[X'#]]),IF(COUNTIF(Table412[[#This Row],[MAT]],"*M"),Table412[[#This Row],[MAT]]&amp;Table412[[#This Row],[X'#]],""))</f>
        <v>7029574</v>
      </c>
      <c r="T279" s="144">
        <v>280</v>
      </c>
      <c r="U279" s="145">
        <v>1292498</v>
      </c>
      <c r="V279" s="146" t="s">
        <v>3650</v>
      </c>
      <c r="AE279" s="36" t="s">
        <v>254</v>
      </c>
    </row>
    <row r="280" spans="1:36" x14ac:dyDescent="0.25">
      <c r="A280" s="37">
        <f t="shared" si="5"/>
        <v>11</v>
      </c>
      <c r="C280" s="36">
        <v>16</v>
      </c>
      <c r="D280" s="36" t="s">
        <v>3627</v>
      </c>
      <c r="E280" s="36">
        <v>702957</v>
      </c>
      <c r="F280" s="36">
        <v>5</v>
      </c>
      <c r="G280" s="36">
        <v>418525</v>
      </c>
      <c r="H280" s="48" t="str">
        <f>IFERROR(INDEX(Table14[],MATCH($G280,Table14[SAPNo],0),3),"")</f>
        <v>Drop In 1308 CT31   (B)</v>
      </c>
      <c r="I280" s="37">
        <v>12</v>
      </c>
      <c r="J280" s="37">
        <f>IF(Table412[[#This Row],[MAT]]&lt;&gt;"",COUNTIF(Table3[LEVEL 5 MAT NO.],Table412[[#This Row],[MAT]]),"")</f>
        <v>0</v>
      </c>
      <c r="K280" s="36">
        <f>IFERROR(INDEX(Table3[],MATCH($E280,Table3[LEVEL 5 MAT NO.],0),2),0)</f>
        <v>0</v>
      </c>
      <c r="L280" s="36">
        <f>Table412[[#This Row],[Quantity in BOM]]*Table412[[#This Row],[Freq]]</f>
        <v>0</v>
      </c>
      <c r="M280" s="36" t="str">
        <f>IF(Table412[[#This Row],[Exist]]=1,Table412[[#This Row],[MAT]],"")</f>
        <v/>
      </c>
      <c r="N280" s="36" t="str">
        <f>IF(Table412[[#This Row],[Exist]]=1,Table412[[#This Row],[Component]],"")</f>
        <v/>
      </c>
      <c r="O280" s="36">
        <f>IFERROR(VALUE(Table412[[#This Row],[MAT]]&amp;Table412[[#This Row],[X'#]]),IF(COUNTIF(Table412[[#This Row],[MAT]],"*M"),Table412[[#This Row],[MAT]]&amp;Table412[[#This Row],[X'#]],""))</f>
        <v>7029575</v>
      </c>
      <c r="T280" s="144">
        <v>281</v>
      </c>
      <c r="U280" s="145">
        <v>1247589</v>
      </c>
      <c r="V280" s="146" t="s">
        <v>3652</v>
      </c>
      <c r="AE280" s="36" t="s">
        <v>133</v>
      </c>
    </row>
    <row r="281" spans="1:36" x14ac:dyDescent="0.25">
      <c r="A281" s="37">
        <f t="shared" si="5"/>
        <v>11</v>
      </c>
      <c r="C281" s="36">
        <v>12.25</v>
      </c>
      <c r="D281" s="36" t="s">
        <v>3651</v>
      </c>
      <c r="E281" s="36">
        <v>767900</v>
      </c>
      <c r="F281" s="36">
        <v>1</v>
      </c>
      <c r="G281" s="36">
        <v>724181</v>
      </c>
      <c r="H281" s="48" t="str">
        <f>IFERROR(INDEX(Table14[],MATCH($G281,Table14[SAPNo],0),3),"")</f>
        <v/>
      </c>
      <c r="I281" s="37">
        <v>51</v>
      </c>
      <c r="J281" s="37">
        <f>IF(Table412[[#This Row],[MAT]]&lt;&gt;"",COUNTIF(Table3[LEVEL 5 MAT NO.],Table412[[#This Row],[MAT]]),"")</f>
        <v>0</v>
      </c>
      <c r="K281" s="36">
        <f>IFERROR(INDEX(Table3[],MATCH($E281,Table3[LEVEL 5 MAT NO.],0),2),0)</f>
        <v>0</v>
      </c>
      <c r="L281" s="36">
        <f>Table412[[#This Row],[Quantity in BOM]]*Table412[[#This Row],[Freq]]</f>
        <v>0</v>
      </c>
      <c r="M281" s="36" t="str">
        <f>IF(Table412[[#This Row],[Exist]]=1,Table412[[#This Row],[MAT]],"")</f>
        <v/>
      </c>
      <c r="N281" s="36" t="str">
        <f>IF(Table412[[#This Row],[Exist]]=1,Table412[[#This Row],[Component]],"")</f>
        <v/>
      </c>
      <c r="O281" s="36">
        <f>IFERROR(VALUE(Table412[[#This Row],[MAT]]&amp;Table412[[#This Row],[X'#]]),IF(COUNTIF(Table412[[#This Row],[MAT]],"*M"),Table412[[#This Row],[MAT]]&amp;Table412[[#This Row],[X'#]],""))</f>
        <v>7679001</v>
      </c>
      <c r="T281" s="144">
        <v>282</v>
      </c>
      <c r="U281" s="145">
        <v>2002186</v>
      </c>
      <c r="V281" s="146" t="s">
        <v>3653</v>
      </c>
    </row>
    <row r="282" spans="1:36" x14ac:dyDescent="0.25">
      <c r="A282" s="37">
        <f t="shared" si="5"/>
        <v>11</v>
      </c>
      <c r="C282" s="36">
        <v>12.25</v>
      </c>
      <c r="D282" s="36" t="s">
        <v>3651</v>
      </c>
      <c r="E282" s="36">
        <v>767900</v>
      </c>
      <c r="F282" s="36">
        <v>2</v>
      </c>
      <c r="G282" s="36">
        <v>418525</v>
      </c>
      <c r="H282" s="48" t="str">
        <f>IFERROR(INDEX(Table14[],MATCH($G282,Table14[SAPNo],0),3),"")</f>
        <v>Drop In 1308 CT31   (B)</v>
      </c>
      <c r="I282" s="37">
        <v>10</v>
      </c>
      <c r="J282" s="37">
        <f>IF(Table412[[#This Row],[MAT]]&lt;&gt;"",COUNTIF(Table3[LEVEL 5 MAT NO.],Table412[[#This Row],[MAT]]),"")</f>
        <v>0</v>
      </c>
      <c r="K282" s="36">
        <f>IFERROR(INDEX(Table3[],MATCH($E282,Table3[LEVEL 5 MAT NO.],0),2),0)</f>
        <v>0</v>
      </c>
      <c r="L282" s="36">
        <f>Table412[[#This Row],[Quantity in BOM]]*Table412[[#This Row],[Freq]]</f>
        <v>0</v>
      </c>
      <c r="M282" s="36" t="str">
        <f>IF(Table412[[#This Row],[Exist]]=1,Table412[[#This Row],[MAT]],"")</f>
        <v/>
      </c>
      <c r="N282" s="36" t="str">
        <f>IF(Table412[[#This Row],[Exist]]=1,Table412[[#This Row],[Component]],"")</f>
        <v/>
      </c>
      <c r="O282" s="36">
        <f>IFERROR(VALUE(Table412[[#This Row],[MAT]]&amp;Table412[[#This Row],[X'#]]),IF(COUNTIF(Table412[[#This Row],[MAT]],"*M"),Table412[[#This Row],[MAT]]&amp;Table412[[#This Row],[X'#]],""))</f>
        <v>7679002</v>
      </c>
      <c r="T282" s="144">
        <v>283</v>
      </c>
      <c r="U282" s="145">
        <v>2020817</v>
      </c>
      <c r="V282" s="146" t="s">
        <v>3654</v>
      </c>
    </row>
    <row r="283" spans="1:36" x14ac:dyDescent="0.25">
      <c r="A283" s="37">
        <f t="shared" si="5"/>
        <v>11</v>
      </c>
      <c r="C283" s="36">
        <v>12.25</v>
      </c>
      <c r="D283" s="36" t="s">
        <v>3651</v>
      </c>
      <c r="E283" s="36">
        <v>767900</v>
      </c>
      <c r="F283" s="36">
        <v>3</v>
      </c>
      <c r="G283" s="36">
        <v>871781</v>
      </c>
      <c r="H283" s="48" t="str">
        <f>IFERROR(INDEX(Table14[],MATCH($G283,Table14[SAPNo],0),3),"")</f>
        <v>Round 1313 CT200  0.018" (B)</v>
      </c>
      <c r="I283" s="37">
        <v>18</v>
      </c>
      <c r="J283" s="37">
        <f>IF(Table412[[#This Row],[MAT]]&lt;&gt;"",COUNTIF(Table3[LEVEL 5 MAT NO.],Table412[[#This Row],[MAT]]),"")</f>
        <v>0</v>
      </c>
      <c r="K283" s="36">
        <f>IFERROR(INDEX(Table3[],MATCH($E283,Table3[LEVEL 5 MAT NO.],0),2),0)</f>
        <v>0</v>
      </c>
      <c r="L283" s="36">
        <f>Table412[[#This Row],[Quantity in BOM]]*Table412[[#This Row],[Freq]]</f>
        <v>0</v>
      </c>
      <c r="M283" s="36" t="str">
        <f>IF(Table412[[#This Row],[Exist]]=1,Table412[[#This Row],[MAT]],"")</f>
        <v/>
      </c>
      <c r="N283" s="36" t="str">
        <f>IF(Table412[[#This Row],[Exist]]=1,Table412[[#This Row],[Component]],"")</f>
        <v/>
      </c>
      <c r="O283" s="36">
        <f>IFERROR(VALUE(Table412[[#This Row],[MAT]]&amp;Table412[[#This Row],[X'#]]),IF(COUNTIF(Table412[[#This Row],[MAT]],"*M"),Table412[[#This Row],[MAT]]&amp;Table412[[#This Row],[X'#]],""))</f>
        <v>7679003</v>
      </c>
      <c r="T283" s="133">
        <v>284</v>
      </c>
      <c r="U283" s="134">
        <v>1146738</v>
      </c>
      <c r="V283" s="135" t="s">
        <v>3656</v>
      </c>
    </row>
    <row r="284" spans="1:36" x14ac:dyDescent="0.25">
      <c r="A284" s="37">
        <f t="shared" si="5"/>
        <v>11</v>
      </c>
      <c r="C284" s="36">
        <v>16</v>
      </c>
      <c r="D284" s="36" t="s">
        <v>3655</v>
      </c>
      <c r="E284" s="36">
        <v>1059102</v>
      </c>
      <c r="F284" s="36">
        <v>1</v>
      </c>
      <c r="G284" s="36">
        <v>853551</v>
      </c>
      <c r="H284" s="48" t="str">
        <f>IFERROR(INDEX(Table14[],MATCH($G284,Table14[SAPNo],0),3),"")</f>
        <v>Round 1613 CT125 GEDB 0.018" (S)</v>
      </c>
      <c r="I284" s="37">
        <v>74</v>
      </c>
      <c r="J284" s="37">
        <f>IF(Table412[[#This Row],[MAT]]&lt;&gt;"",COUNTIF(Table3[LEVEL 5 MAT NO.],Table412[[#This Row],[MAT]]),"")</f>
        <v>0</v>
      </c>
      <c r="K284" s="36">
        <f>IFERROR(INDEX(Table3[],MATCH($E284,Table3[LEVEL 5 MAT NO.],0),2),0)</f>
        <v>0</v>
      </c>
      <c r="L284" s="36">
        <f>Table412[[#This Row],[Quantity in BOM]]*Table412[[#This Row],[Freq]]</f>
        <v>0</v>
      </c>
      <c r="M284" s="36" t="str">
        <f>IF(Table412[[#This Row],[Exist]]=1,Table412[[#This Row],[MAT]],"")</f>
        <v/>
      </c>
      <c r="N284" s="36" t="str">
        <f>IF(Table412[[#This Row],[Exist]]=1,Table412[[#This Row],[Component]],"")</f>
        <v/>
      </c>
      <c r="O284" s="36">
        <f>IFERROR(VALUE(Table412[[#This Row],[MAT]]&amp;Table412[[#This Row],[X'#]]),IF(COUNTIF(Table412[[#This Row],[MAT]],"*M"),Table412[[#This Row],[MAT]]&amp;Table412[[#This Row],[X'#]],""))</f>
        <v>10591021</v>
      </c>
      <c r="T284" s="133">
        <v>285</v>
      </c>
      <c r="U284" s="134">
        <v>1192902</v>
      </c>
      <c r="V284" s="135" t="s">
        <v>3657</v>
      </c>
      <c r="AI284" s="36">
        <v>23</v>
      </c>
      <c r="AJ284" s="36">
        <v>2024640</v>
      </c>
    </row>
    <row r="285" spans="1:36" x14ac:dyDescent="0.25">
      <c r="A285" s="37">
        <f t="shared" si="5"/>
        <v>11</v>
      </c>
      <c r="C285" s="36">
        <v>16</v>
      </c>
      <c r="D285" s="36" t="s">
        <v>3655</v>
      </c>
      <c r="E285" s="36">
        <v>1059102</v>
      </c>
      <c r="F285" s="36">
        <v>2</v>
      </c>
      <c r="G285" s="36">
        <v>983150</v>
      </c>
      <c r="H285" s="48" t="str">
        <f>IFERROR(INDEX(Table14[],MATCH($G285,Table14[SAPNo],0),3),"")</f>
        <v>Round 1613 CT216  0.018" (S)</v>
      </c>
      <c r="I285" s="37">
        <v>33</v>
      </c>
      <c r="J285" s="37">
        <f>IF(Table412[[#This Row],[MAT]]&lt;&gt;"",COUNTIF(Table3[LEVEL 5 MAT NO.],Table412[[#This Row],[MAT]]),"")</f>
        <v>0</v>
      </c>
      <c r="K285" s="36">
        <f>IFERROR(INDEX(Table3[],MATCH($E285,Table3[LEVEL 5 MAT NO.],0),2),0)</f>
        <v>0</v>
      </c>
      <c r="L285" s="36">
        <f>Table412[[#This Row],[Quantity in BOM]]*Table412[[#This Row],[Freq]]</f>
        <v>0</v>
      </c>
      <c r="M285" s="36" t="str">
        <f>IF(Table412[[#This Row],[Exist]]=1,Table412[[#This Row],[MAT]],"")</f>
        <v/>
      </c>
      <c r="N285" s="36" t="str">
        <f>IF(Table412[[#This Row],[Exist]]=1,Table412[[#This Row],[Component]],"")</f>
        <v/>
      </c>
      <c r="O285" s="36">
        <f>IFERROR(VALUE(Table412[[#This Row],[MAT]]&amp;Table412[[#This Row],[X'#]]),IF(COUNTIF(Table412[[#This Row],[MAT]],"*M"),Table412[[#This Row],[MAT]]&amp;Table412[[#This Row],[X'#]],""))</f>
        <v>10591022</v>
      </c>
      <c r="T285" s="133">
        <v>286</v>
      </c>
      <c r="U285" s="134">
        <v>1126400</v>
      </c>
      <c r="V285" s="135" t="s">
        <v>3658</v>
      </c>
      <c r="AE285" s="36">
        <v>2</v>
      </c>
      <c r="AI285" s="36">
        <v>23</v>
      </c>
      <c r="AJ285" s="36">
        <v>1126400</v>
      </c>
    </row>
    <row r="286" spans="1:36" x14ac:dyDescent="0.25">
      <c r="A286" s="37">
        <f t="shared" si="5"/>
        <v>11</v>
      </c>
      <c r="C286" s="36">
        <v>16</v>
      </c>
      <c r="D286" s="36" t="s">
        <v>3655</v>
      </c>
      <c r="E286" s="36">
        <v>1059102</v>
      </c>
      <c r="F286" s="36">
        <v>3</v>
      </c>
      <c r="G286" s="36">
        <v>625854</v>
      </c>
      <c r="H286" s="48" t="str">
        <f>IFERROR(INDEX(Table14[],MATCH($G286,Table14[SAPNo],0),3),"")</f>
        <v>Carbide IA 1318    (C)</v>
      </c>
      <c r="I286" s="37">
        <v>21</v>
      </c>
      <c r="J286" s="37">
        <f>IF(Table412[[#This Row],[MAT]]&lt;&gt;"",COUNTIF(Table3[LEVEL 5 MAT NO.],Table412[[#This Row],[MAT]]),"")</f>
        <v>0</v>
      </c>
      <c r="K286" s="36">
        <f>IFERROR(INDEX(Table3[],MATCH($E286,Table3[LEVEL 5 MAT NO.],0),2),0)</f>
        <v>0</v>
      </c>
      <c r="L286" s="36">
        <f>Table412[[#This Row],[Quantity in BOM]]*Table412[[#This Row],[Freq]]</f>
        <v>0</v>
      </c>
      <c r="M286" s="36" t="str">
        <f>IF(Table412[[#This Row],[Exist]]=1,Table412[[#This Row],[MAT]],"")</f>
        <v/>
      </c>
      <c r="N286" s="36" t="str">
        <f>IF(Table412[[#This Row],[Exist]]=1,Table412[[#This Row],[Component]],"")</f>
        <v/>
      </c>
      <c r="O286" s="36">
        <f>IFERROR(VALUE(Table412[[#This Row],[MAT]]&amp;Table412[[#This Row],[X'#]]),IF(COUNTIF(Table412[[#This Row],[MAT]],"*M"),Table412[[#This Row],[MAT]]&amp;Table412[[#This Row],[X'#]],""))</f>
        <v>10591023</v>
      </c>
      <c r="T286" s="144">
        <v>287</v>
      </c>
      <c r="U286" s="145">
        <v>2017131</v>
      </c>
      <c r="V286" s="146" t="s">
        <v>3659</v>
      </c>
      <c r="AE286" s="36">
        <v>3</v>
      </c>
      <c r="AF286" s="36" t="s">
        <v>201</v>
      </c>
      <c r="AG286" s="36" t="s">
        <v>243</v>
      </c>
      <c r="AH286" s="36" t="s">
        <v>3719</v>
      </c>
      <c r="AI286" s="36">
        <v>18</v>
      </c>
      <c r="AJ286" s="36">
        <v>1192901</v>
      </c>
    </row>
    <row r="287" spans="1:36" x14ac:dyDescent="0.25">
      <c r="A287" s="37">
        <f t="shared" si="5"/>
        <v>11</v>
      </c>
      <c r="C287" s="36">
        <v>16</v>
      </c>
      <c r="D287" s="36" t="s">
        <v>3655</v>
      </c>
      <c r="E287" s="36">
        <v>1059102</v>
      </c>
      <c r="F287" s="36">
        <v>4</v>
      </c>
      <c r="G287" s="36">
        <v>418525</v>
      </c>
      <c r="H287" s="48" t="str">
        <f>IFERROR(INDEX(Table14[],MATCH($G287,Table14[SAPNo],0),3),"")</f>
        <v>Drop In 1308 CT31   (B)</v>
      </c>
      <c r="I287" s="37">
        <v>7</v>
      </c>
      <c r="J287" s="37">
        <f>IF(Table412[[#This Row],[MAT]]&lt;&gt;"",COUNTIF(Table3[LEVEL 5 MAT NO.],Table412[[#This Row],[MAT]]),"")</f>
        <v>0</v>
      </c>
      <c r="K287" s="36">
        <f>IFERROR(INDEX(Table3[],MATCH($E287,Table3[LEVEL 5 MAT NO.],0),2),0)</f>
        <v>0</v>
      </c>
      <c r="L287" s="36">
        <f>Table412[[#This Row],[Quantity in BOM]]*Table412[[#This Row],[Freq]]</f>
        <v>0</v>
      </c>
      <c r="M287" s="36" t="str">
        <f>IF(Table412[[#This Row],[Exist]]=1,Table412[[#This Row],[MAT]],"")</f>
        <v/>
      </c>
      <c r="N287" s="36" t="str">
        <f>IF(Table412[[#This Row],[Exist]]=1,Table412[[#This Row],[Component]],"")</f>
        <v/>
      </c>
      <c r="O287" s="36">
        <f>IFERROR(VALUE(Table412[[#This Row],[MAT]]&amp;Table412[[#This Row],[X'#]]),IF(COUNTIF(Table412[[#This Row],[MAT]],"*M"),Table412[[#This Row],[MAT]]&amp;Table412[[#This Row],[X'#]],""))</f>
        <v>10591024</v>
      </c>
      <c r="T287" s="144">
        <v>288</v>
      </c>
      <c r="U287" s="145">
        <v>1126398</v>
      </c>
      <c r="V287" s="146" t="s">
        <v>3662</v>
      </c>
      <c r="AE287" s="36">
        <v>4</v>
      </c>
      <c r="AF287" s="36">
        <v>1613</v>
      </c>
      <c r="AG287" s="36" t="s">
        <v>4101</v>
      </c>
      <c r="AH287" s="36" t="s">
        <v>207</v>
      </c>
      <c r="AI287" s="36">
        <v>13</v>
      </c>
      <c r="AJ287" s="36">
        <v>1282370</v>
      </c>
    </row>
    <row r="288" spans="1:36" x14ac:dyDescent="0.25">
      <c r="A288" s="37">
        <f t="shared" si="5"/>
        <v>11</v>
      </c>
      <c r="C288" s="36" t="s">
        <v>3660</v>
      </c>
      <c r="D288" s="36" t="s">
        <v>3661</v>
      </c>
      <c r="E288" s="36">
        <v>1084180</v>
      </c>
      <c r="F288" s="36">
        <v>1</v>
      </c>
      <c r="G288" s="36">
        <v>770450</v>
      </c>
      <c r="H288" s="48" t="str">
        <f>IFERROR(INDEX(Table14[],MATCH($G288,Table14[SAPNo],0),3),"")</f>
        <v>Short Bullet 16 CT80 SBL 0.018" (B)</v>
      </c>
      <c r="I288" s="37">
        <v>70</v>
      </c>
      <c r="J288" s="37">
        <f>IF(Table412[[#This Row],[MAT]]&lt;&gt;"",COUNTIF(Table3[LEVEL 5 MAT NO.],Table412[[#This Row],[MAT]]),"")</f>
        <v>0</v>
      </c>
      <c r="K288" s="36">
        <f>IFERROR(INDEX(Table3[],MATCH($E288,Table3[LEVEL 5 MAT NO.],0),2),0)</f>
        <v>0</v>
      </c>
      <c r="L288" s="36">
        <f>Table412[[#This Row],[Quantity in BOM]]*Table412[[#This Row],[Freq]]</f>
        <v>0</v>
      </c>
      <c r="M288" s="36" t="str">
        <f>IF(Table412[[#This Row],[Exist]]=1,Table412[[#This Row],[MAT]],"")</f>
        <v/>
      </c>
      <c r="N288" s="36" t="str">
        <f>IF(Table412[[#This Row],[Exist]]=1,Table412[[#This Row],[Component]],"")</f>
        <v/>
      </c>
      <c r="O288" s="36">
        <f>IFERROR(VALUE(Table412[[#This Row],[MAT]]&amp;Table412[[#This Row],[X'#]]),IF(COUNTIF(Table412[[#This Row],[MAT]],"*M"),Table412[[#This Row],[MAT]]&amp;Table412[[#This Row],[X'#]],""))</f>
        <v>10841801</v>
      </c>
      <c r="T288" s="144">
        <v>289</v>
      </c>
      <c r="U288" s="145">
        <v>1220479</v>
      </c>
      <c r="V288" s="146" t="s">
        <v>3663</v>
      </c>
      <c r="AE288" s="36">
        <v>5</v>
      </c>
      <c r="AF288" s="36">
        <v>1613</v>
      </c>
      <c r="AG288" s="36" t="s">
        <v>3718</v>
      </c>
      <c r="AH288" s="36" t="s">
        <v>111</v>
      </c>
      <c r="AI288" s="36">
        <v>10</v>
      </c>
      <c r="AJ288" s="36">
        <v>1146737</v>
      </c>
    </row>
    <row r="289" spans="1:36" x14ac:dyDescent="0.25">
      <c r="A289" s="37">
        <f t="shared" si="5"/>
        <v>11</v>
      </c>
      <c r="C289" s="36" t="s">
        <v>3660</v>
      </c>
      <c r="D289" s="36" t="s">
        <v>3661</v>
      </c>
      <c r="E289" s="36">
        <v>1084180</v>
      </c>
      <c r="F289" s="36">
        <v>2</v>
      </c>
      <c r="G289" s="36">
        <v>853551</v>
      </c>
      <c r="H289" s="48" t="str">
        <f>IFERROR(INDEX(Table14[],MATCH($G289,Table14[SAPNo],0),3),"")</f>
        <v>Round 1613 CT125 GEDB 0.018" (S)</v>
      </c>
      <c r="I289" s="37">
        <v>74</v>
      </c>
      <c r="J289" s="37">
        <f>IF(Table412[[#This Row],[MAT]]&lt;&gt;"",COUNTIF(Table3[LEVEL 5 MAT NO.],Table412[[#This Row],[MAT]]),"")</f>
        <v>0</v>
      </c>
      <c r="K289" s="36">
        <f>IFERROR(INDEX(Table3[],MATCH($E289,Table3[LEVEL 5 MAT NO.],0),2),0)</f>
        <v>0</v>
      </c>
      <c r="L289" s="36">
        <f>Table412[[#This Row],[Quantity in BOM]]*Table412[[#This Row],[Freq]]</f>
        <v>0</v>
      </c>
      <c r="M289" s="36" t="str">
        <f>IF(Table412[[#This Row],[Exist]]=1,Table412[[#This Row],[MAT]],"")</f>
        <v/>
      </c>
      <c r="N289" s="36" t="str">
        <f>IF(Table412[[#This Row],[Exist]]=1,Table412[[#This Row],[Component]],"")</f>
        <v/>
      </c>
      <c r="O289" s="36">
        <f>IFERROR(VALUE(Table412[[#This Row],[MAT]]&amp;Table412[[#This Row],[X'#]]),IF(COUNTIF(Table412[[#This Row],[MAT]],"*M"),Table412[[#This Row],[MAT]]&amp;Table412[[#This Row],[X'#]],""))</f>
        <v>10841802</v>
      </c>
      <c r="T289" s="144">
        <v>290</v>
      </c>
      <c r="U289" s="145">
        <v>1172481</v>
      </c>
      <c r="V289" s="146" t="s">
        <v>3664</v>
      </c>
      <c r="AE289" s="36">
        <v>6</v>
      </c>
      <c r="AF289" s="36" t="s">
        <v>201</v>
      </c>
      <c r="AG289" s="36" t="s">
        <v>243</v>
      </c>
      <c r="AH289" s="36" t="s">
        <v>4114</v>
      </c>
      <c r="AI289" s="36">
        <v>7</v>
      </c>
      <c r="AJ289" s="36">
        <v>1192902</v>
      </c>
    </row>
    <row r="290" spans="1:36" x14ac:dyDescent="0.25">
      <c r="A290" s="37">
        <f t="shared" si="5"/>
        <v>11</v>
      </c>
      <c r="C290" s="36" t="s">
        <v>3660</v>
      </c>
      <c r="D290" s="36" t="s">
        <v>3661</v>
      </c>
      <c r="E290" s="36">
        <v>1084180</v>
      </c>
      <c r="F290" s="36">
        <v>3</v>
      </c>
      <c r="G290" s="36">
        <v>418525</v>
      </c>
      <c r="H290" s="48" t="str">
        <f>IFERROR(INDEX(Table14[],MATCH($G290,Table14[SAPNo],0),3),"")</f>
        <v>Drop In 1308 CT31   (B)</v>
      </c>
      <c r="I290" s="37">
        <v>16</v>
      </c>
      <c r="J290" s="37">
        <f>IF(Table412[[#This Row],[MAT]]&lt;&gt;"",COUNTIF(Table3[LEVEL 5 MAT NO.],Table412[[#This Row],[MAT]]),"")</f>
        <v>0</v>
      </c>
      <c r="K290" s="36">
        <f>IFERROR(INDEX(Table3[],MATCH($E290,Table3[LEVEL 5 MAT NO.],0),2),0)</f>
        <v>0</v>
      </c>
      <c r="L290" s="36">
        <f>Table412[[#This Row],[Quantity in BOM]]*Table412[[#This Row],[Freq]]</f>
        <v>0</v>
      </c>
      <c r="M290" s="36" t="str">
        <f>IF(Table412[[#This Row],[Exist]]=1,Table412[[#This Row],[MAT]],"")</f>
        <v/>
      </c>
      <c r="N290" s="36" t="str">
        <f>IF(Table412[[#This Row],[Exist]]=1,Table412[[#This Row],[Component]],"")</f>
        <v/>
      </c>
      <c r="O290" s="36">
        <f>IFERROR(VALUE(Table412[[#This Row],[MAT]]&amp;Table412[[#This Row],[X'#]]),IF(COUNTIF(Table412[[#This Row],[MAT]],"*M"),Table412[[#This Row],[MAT]]&amp;Table412[[#This Row],[X'#]],""))</f>
        <v>10841803</v>
      </c>
      <c r="T290" s="144">
        <v>291</v>
      </c>
      <c r="U290" s="145">
        <v>2022731</v>
      </c>
      <c r="V290" s="146" t="s">
        <v>3665</v>
      </c>
      <c r="AE290" s="36">
        <v>7</v>
      </c>
      <c r="AI290" s="36">
        <v>6</v>
      </c>
      <c r="AJ290" s="36">
        <v>2013427</v>
      </c>
    </row>
    <row r="291" spans="1:36" x14ac:dyDescent="0.25">
      <c r="A291" s="37">
        <f t="shared" si="5"/>
        <v>11</v>
      </c>
      <c r="C291" s="36" t="s">
        <v>3660</v>
      </c>
      <c r="D291" s="36" t="s">
        <v>3661</v>
      </c>
      <c r="E291" s="36">
        <v>1084180</v>
      </c>
      <c r="F291" s="36">
        <v>4</v>
      </c>
      <c r="G291" s="36">
        <v>179733</v>
      </c>
      <c r="H291" s="48" t="str">
        <f>IFERROR(INDEX(Table14[],MATCH($G291,Table14[SAPNo],0),3),"")</f>
        <v>Short IA 13    (C)</v>
      </c>
      <c r="I291" s="37">
        <v>37</v>
      </c>
      <c r="J291" s="37">
        <f>IF(Table412[[#This Row],[MAT]]&lt;&gt;"",COUNTIF(Table3[LEVEL 5 MAT NO.],Table412[[#This Row],[MAT]]),"")</f>
        <v>0</v>
      </c>
      <c r="K291" s="36">
        <f>IFERROR(INDEX(Table3[],MATCH($E291,Table3[LEVEL 5 MAT NO.],0),2),0)</f>
        <v>0</v>
      </c>
      <c r="L291" s="36">
        <f>Table412[[#This Row],[Quantity in BOM]]*Table412[[#This Row],[Freq]]</f>
        <v>0</v>
      </c>
      <c r="M291" s="36" t="str">
        <f>IF(Table412[[#This Row],[Exist]]=1,Table412[[#This Row],[MAT]],"")</f>
        <v/>
      </c>
      <c r="N291" s="36" t="str">
        <f>IF(Table412[[#This Row],[Exist]]=1,Table412[[#This Row],[Component]],"")</f>
        <v/>
      </c>
      <c r="O291" s="36">
        <f>IFERROR(VALUE(Table412[[#This Row],[MAT]]&amp;Table412[[#This Row],[X'#]]),IF(COUNTIF(Table412[[#This Row],[MAT]],"*M"),Table412[[#This Row],[MAT]]&amp;Table412[[#This Row],[X'#]],""))</f>
        <v>10841804</v>
      </c>
      <c r="T291" s="144">
        <v>292</v>
      </c>
      <c r="U291" s="145">
        <v>1100749</v>
      </c>
      <c r="V291" s="146" t="s">
        <v>3666</v>
      </c>
      <c r="AE291" s="36">
        <v>8</v>
      </c>
      <c r="AI291" s="36">
        <v>5</v>
      </c>
      <c r="AJ291" s="36">
        <v>1292498</v>
      </c>
    </row>
    <row r="292" spans="1:36" x14ac:dyDescent="0.25">
      <c r="A292" s="37">
        <f t="shared" si="5"/>
        <v>11</v>
      </c>
      <c r="C292" s="36" t="s">
        <v>3660</v>
      </c>
      <c r="D292" s="36" t="s">
        <v>3661</v>
      </c>
      <c r="E292" s="36">
        <v>1084180</v>
      </c>
      <c r="F292" s="36">
        <v>5</v>
      </c>
      <c r="G292" s="36">
        <v>410851</v>
      </c>
      <c r="H292" s="48" t="str">
        <f>IFERROR(INDEX(Table14[],MATCH($G292,Table14[SAPNo],0),3),"")</f>
        <v>PDC Dome 1308 CT31   (B)</v>
      </c>
      <c r="I292" s="37">
        <v>40</v>
      </c>
      <c r="J292" s="37">
        <f>IF(Table412[[#This Row],[MAT]]&lt;&gt;"",COUNTIF(Table3[LEVEL 5 MAT NO.],Table412[[#This Row],[MAT]]),"")</f>
        <v>0</v>
      </c>
      <c r="K292" s="36">
        <f>IFERROR(INDEX(Table3[],MATCH($E292,Table3[LEVEL 5 MAT NO.],0),2),0)</f>
        <v>0</v>
      </c>
      <c r="L292" s="36">
        <f>Table412[[#This Row],[Quantity in BOM]]*Table412[[#This Row],[Freq]]</f>
        <v>0</v>
      </c>
      <c r="M292" s="36" t="str">
        <f>IF(Table412[[#This Row],[Exist]]=1,Table412[[#This Row],[MAT]],"")</f>
        <v/>
      </c>
      <c r="N292" s="36" t="str">
        <f>IF(Table412[[#This Row],[Exist]]=1,Table412[[#This Row],[Component]],"")</f>
        <v/>
      </c>
      <c r="O292" s="36">
        <f>IFERROR(VALUE(Table412[[#This Row],[MAT]]&amp;Table412[[#This Row],[X'#]]),IF(COUNTIF(Table412[[#This Row],[MAT]],"*M"),Table412[[#This Row],[MAT]]&amp;Table412[[#This Row],[X'#]],""))</f>
        <v>10841805</v>
      </c>
      <c r="T292" s="144">
        <v>293</v>
      </c>
      <c r="U292" s="145">
        <v>2024742</v>
      </c>
      <c r="V292" s="146" t="s">
        <v>3668</v>
      </c>
      <c r="AE292" s="36" t="s">
        <v>201</v>
      </c>
    </row>
    <row r="293" spans="1:36" x14ac:dyDescent="0.25">
      <c r="A293" s="37">
        <f t="shared" si="5"/>
        <v>11</v>
      </c>
      <c r="C293" s="36" t="s">
        <v>637</v>
      </c>
      <c r="D293" s="36" t="s">
        <v>3667</v>
      </c>
      <c r="E293" s="36">
        <v>1090676</v>
      </c>
      <c r="F293" s="36">
        <v>1</v>
      </c>
      <c r="G293" s="36">
        <v>770450</v>
      </c>
      <c r="H293" s="48" t="str">
        <f>IFERROR(INDEX(Table14[],MATCH($G293,Table14[SAPNo],0),3),"")</f>
        <v>Short Bullet 16 CT80 SBL 0.018" (B)</v>
      </c>
      <c r="I293" s="37">
        <v>24</v>
      </c>
      <c r="J293" s="37">
        <f>IF(Table412[[#This Row],[MAT]]&lt;&gt;"",COUNTIF(Table3[LEVEL 5 MAT NO.],Table412[[#This Row],[MAT]]),"")</f>
        <v>0</v>
      </c>
      <c r="K293" s="36">
        <f>IFERROR(INDEX(Table3[],MATCH($E293,Table3[LEVEL 5 MAT NO.],0),2),0)</f>
        <v>0</v>
      </c>
      <c r="L293" s="36">
        <f>Table412[[#This Row],[Quantity in BOM]]*Table412[[#This Row],[Freq]]</f>
        <v>0</v>
      </c>
      <c r="M293" s="36" t="str">
        <f>IF(Table412[[#This Row],[Exist]]=1,Table412[[#This Row],[MAT]],"")</f>
        <v/>
      </c>
      <c r="N293" s="36" t="str">
        <f>IF(Table412[[#This Row],[Exist]]=1,Table412[[#This Row],[Component]],"")</f>
        <v/>
      </c>
      <c r="O293" s="36">
        <f>IFERROR(VALUE(Table412[[#This Row],[MAT]]&amp;Table412[[#This Row],[X'#]]),IF(COUNTIF(Table412[[#This Row],[MAT]],"*M"),Table412[[#This Row],[MAT]]&amp;Table412[[#This Row],[X'#]],""))</f>
        <v>10906761</v>
      </c>
      <c r="T293" s="144">
        <v>294</v>
      </c>
      <c r="U293" s="145">
        <v>2013427</v>
      </c>
      <c r="V293" s="146" t="s">
        <v>3669</v>
      </c>
      <c r="AE293" s="36">
        <v>1613</v>
      </c>
    </row>
    <row r="294" spans="1:36" x14ac:dyDescent="0.25">
      <c r="A294" s="37">
        <f t="shared" si="5"/>
        <v>11</v>
      </c>
      <c r="C294" s="36" t="s">
        <v>637</v>
      </c>
      <c r="D294" s="36" t="s">
        <v>3667</v>
      </c>
      <c r="E294" s="36">
        <v>1090676</v>
      </c>
      <c r="F294" s="36">
        <v>2</v>
      </c>
      <c r="G294" s="36">
        <v>853552</v>
      </c>
      <c r="H294" s="48" t="str">
        <f>IFERROR(INDEX(Table14[],MATCH($G294,Table14[SAPNo],0),3),"")</f>
        <v>Round 1913 CT125  0.018" (S)</v>
      </c>
      <c r="I294" s="37">
        <v>30</v>
      </c>
      <c r="J294" s="37">
        <f>IF(Table412[[#This Row],[MAT]]&lt;&gt;"",COUNTIF(Table3[LEVEL 5 MAT NO.],Table412[[#This Row],[MAT]]),"")</f>
        <v>0</v>
      </c>
      <c r="K294" s="36">
        <f>IFERROR(INDEX(Table3[],MATCH($E294,Table3[LEVEL 5 MAT NO.],0),2),0)</f>
        <v>0</v>
      </c>
      <c r="L294" s="36">
        <f>Table412[[#This Row],[Quantity in BOM]]*Table412[[#This Row],[Freq]]</f>
        <v>0</v>
      </c>
      <c r="M294" s="36" t="str">
        <f>IF(Table412[[#This Row],[Exist]]=1,Table412[[#This Row],[MAT]],"")</f>
        <v/>
      </c>
      <c r="N294" s="36" t="str">
        <f>IF(Table412[[#This Row],[Exist]]=1,Table412[[#This Row],[Component]],"")</f>
        <v/>
      </c>
      <c r="O294" s="36">
        <f>IFERROR(VALUE(Table412[[#This Row],[MAT]]&amp;Table412[[#This Row],[X'#]]),IF(COUNTIF(Table412[[#This Row],[MAT]],"*M"),Table412[[#This Row],[MAT]]&amp;Table412[[#This Row],[X'#]],""))</f>
        <v>10906762</v>
      </c>
      <c r="T294" s="144">
        <v>295</v>
      </c>
      <c r="U294" s="145">
        <v>2023242</v>
      </c>
      <c r="V294" s="146" t="s">
        <v>3670</v>
      </c>
      <c r="AE294" s="36" t="s">
        <v>243</v>
      </c>
    </row>
    <row r="295" spans="1:36" x14ac:dyDescent="0.25">
      <c r="A295" s="37">
        <f t="shared" si="5"/>
        <v>11</v>
      </c>
      <c r="C295" s="36" t="s">
        <v>637</v>
      </c>
      <c r="D295" s="36" t="s">
        <v>3667</v>
      </c>
      <c r="E295" s="36">
        <v>1090676</v>
      </c>
      <c r="F295" s="36">
        <v>3</v>
      </c>
      <c r="G295" s="36">
        <v>853551</v>
      </c>
      <c r="H295" s="48" t="str">
        <f>IFERROR(INDEX(Table14[],MATCH($G295,Table14[SAPNo],0),3),"")</f>
        <v>Round 1613 CT125 GEDB 0.018" (S)</v>
      </c>
      <c r="I295" s="37">
        <v>14</v>
      </c>
      <c r="J295" s="37">
        <f>IF(Table412[[#This Row],[MAT]]&lt;&gt;"",COUNTIF(Table3[LEVEL 5 MAT NO.],Table412[[#This Row],[MAT]]),"")</f>
        <v>0</v>
      </c>
      <c r="K295" s="36">
        <f>IFERROR(INDEX(Table3[],MATCH($E295,Table3[LEVEL 5 MAT NO.],0),2),0)</f>
        <v>0</v>
      </c>
      <c r="L295" s="36">
        <f>Table412[[#This Row],[Quantity in BOM]]*Table412[[#This Row],[Freq]]</f>
        <v>0</v>
      </c>
      <c r="M295" s="36" t="str">
        <f>IF(Table412[[#This Row],[Exist]]=1,Table412[[#This Row],[MAT]],"")</f>
        <v/>
      </c>
      <c r="N295" s="36" t="str">
        <f>IF(Table412[[#This Row],[Exist]]=1,Table412[[#This Row],[Component]],"")</f>
        <v/>
      </c>
      <c r="O295" s="36">
        <f>IFERROR(VALUE(Table412[[#This Row],[MAT]]&amp;Table412[[#This Row],[X'#]]),IF(COUNTIF(Table412[[#This Row],[MAT]],"*M"),Table412[[#This Row],[MAT]]&amp;Table412[[#This Row],[X'#]],""))</f>
        <v>10906763</v>
      </c>
      <c r="T295" s="133">
        <v>296</v>
      </c>
      <c r="U295" s="134">
        <v>1126404</v>
      </c>
      <c r="V295" s="135" t="s">
        <v>3671</v>
      </c>
      <c r="AE295" s="36" t="s">
        <v>4101</v>
      </c>
    </row>
    <row r="296" spans="1:36" x14ac:dyDescent="0.25">
      <c r="A296" s="37">
        <f t="shared" si="5"/>
        <v>11</v>
      </c>
      <c r="C296" s="36" t="s">
        <v>637</v>
      </c>
      <c r="D296" s="36" t="s">
        <v>3667</v>
      </c>
      <c r="E296" s="36">
        <v>1090676</v>
      </c>
      <c r="F296" s="36">
        <v>4</v>
      </c>
      <c r="G296" s="36">
        <v>418525</v>
      </c>
      <c r="H296" s="48" t="str">
        <f>IFERROR(INDEX(Table14[],MATCH($G296,Table14[SAPNo],0),3),"")</f>
        <v>Drop In 1308 CT31   (B)</v>
      </c>
      <c r="I296" s="37">
        <v>9</v>
      </c>
      <c r="J296" s="37">
        <f>IF(Table412[[#This Row],[MAT]]&lt;&gt;"",COUNTIF(Table3[LEVEL 5 MAT NO.],Table412[[#This Row],[MAT]]),"")</f>
        <v>0</v>
      </c>
      <c r="K296" s="36">
        <f>IFERROR(INDEX(Table3[],MATCH($E296,Table3[LEVEL 5 MAT NO.],0),2),0)</f>
        <v>0</v>
      </c>
      <c r="L296" s="36">
        <f>Table412[[#This Row],[Quantity in BOM]]*Table412[[#This Row],[Freq]]</f>
        <v>0</v>
      </c>
      <c r="M296" s="36" t="str">
        <f>IF(Table412[[#This Row],[Exist]]=1,Table412[[#This Row],[MAT]],"")</f>
        <v/>
      </c>
      <c r="N296" s="36" t="str">
        <f>IF(Table412[[#This Row],[Exist]]=1,Table412[[#This Row],[Component]],"")</f>
        <v/>
      </c>
      <c r="O296" s="36">
        <f>IFERROR(VALUE(Table412[[#This Row],[MAT]]&amp;Table412[[#This Row],[X'#]]),IF(COUNTIF(Table412[[#This Row],[MAT]],"*M"),Table412[[#This Row],[MAT]]&amp;Table412[[#This Row],[X'#]],""))</f>
        <v>10906764</v>
      </c>
      <c r="T296" s="773">
        <v>297</v>
      </c>
      <c r="U296" s="774">
        <v>1220334</v>
      </c>
      <c r="V296" s="775" t="s">
        <v>4086</v>
      </c>
      <c r="AE296" s="36" t="s">
        <v>3719</v>
      </c>
    </row>
    <row r="297" spans="1:36" x14ac:dyDescent="0.25">
      <c r="A297" s="37">
        <f t="shared" si="5"/>
        <v>11</v>
      </c>
      <c r="C297" s="36" t="s">
        <v>637</v>
      </c>
      <c r="D297" s="36" t="s">
        <v>3667</v>
      </c>
      <c r="E297" s="36">
        <v>1090676</v>
      </c>
      <c r="F297" s="36">
        <v>5</v>
      </c>
      <c r="G297" s="36">
        <v>871781</v>
      </c>
      <c r="H297" s="48" t="str">
        <f>IFERROR(INDEX(Table14[],MATCH($G297,Table14[SAPNo],0),3),"")</f>
        <v>Round 1313 CT200  0.018" (B)</v>
      </c>
      <c r="I297" s="37">
        <v>3</v>
      </c>
      <c r="J297" s="37">
        <f>IF(Table412[[#This Row],[MAT]]&lt;&gt;"",COUNTIF(Table3[LEVEL 5 MAT NO.],Table412[[#This Row],[MAT]]),"")</f>
        <v>0</v>
      </c>
      <c r="K297" s="36">
        <f>IFERROR(INDEX(Table3[],MATCH($E297,Table3[LEVEL 5 MAT NO.],0),2),0)</f>
        <v>0</v>
      </c>
      <c r="L297" s="36">
        <f>Table412[[#This Row],[Quantity in BOM]]*Table412[[#This Row],[Freq]]</f>
        <v>0</v>
      </c>
      <c r="M297" s="36" t="str">
        <f>IF(Table412[[#This Row],[Exist]]=1,Table412[[#This Row],[MAT]],"")</f>
        <v/>
      </c>
      <c r="N297" s="36" t="str">
        <f>IF(Table412[[#This Row],[Exist]]=1,Table412[[#This Row],[Component]],"")</f>
        <v/>
      </c>
      <c r="O297" s="36">
        <f>IFERROR(VALUE(Table412[[#This Row],[MAT]]&amp;Table412[[#This Row],[X'#]]),IF(COUNTIF(Table412[[#This Row],[MAT]],"*M"),Table412[[#This Row],[MAT]]&amp;Table412[[#This Row],[X'#]],""))</f>
        <v>10906765</v>
      </c>
      <c r="T297" s="773">
        <v>298</v>
      </c>
      <c r="U297" s="774">
        <v>2024642</v>
      </c>
      <c r="V297" s="775" t="s">
        <v>4087</v>
      </c>
      <c r="AE297" s="36" t="s">
        <v>238</v>
      </c>
    </row>
    <row r="298" spans="1:36" x14ac:dyDescent="0.25">
      <c r="A298" s="37">
        <f t="shared" si="5"/>
        <v>11</v>
      </c>
      <c r="C298" s="36" t="s">
        <v>637</v>
      </c>
      <c r="D298" s="36" t="s">
        <v>3667</v>
      </c>
      <c r="E298" s="36">
        <v>1090676</v>
      </c>
      <c r="F298" s="36">
        <v>6</v>
      </c>
      <c r="G298" s="36">
        <v>179734</v>
      </c>
      <c r="H298" s="48" t="str">
        <f>IFERROR(INDEX(Table14[],MATCH($G298,Table14[SAPNo],0),3),"")</f>
        <v>Long IPA 13    (C)</v>
      </c>
      <c r="I298" s="37">
        <v>17</v>
      </c>
      <c r="J298" s="37">
        <f>IF(Table412[[#This Row],[MAT]]&lt;&gt;"",COUNTIF(Table3[LEVEL 5 MAT NO.],Table412[[#This Row],[MAT]]),"")</f>
        <v>0</v>
      </c>
      <c r="K298" s="36">
        <f>IFERROR(INDEX(Table3[],MATCH($E298,Table3[LEVEL 5 MAT NO.],0),2),0)</f>
        <v>0</v>
      </c>
      <c r="L298" s="36">
        <f>Table412[[#This Row],[Quantity in BOM]]*Table412[[#This Row],[Freq]]</f>
        <v>0</v>
      </c>
      <c r="M298" s="36" t="str">
        <f>IF(Table412[[#This Row],[Exist]]=1,Table412[[#This Row],[MAT]],"")</f>
        <v/>
      </c>
      <c r="N298" s="36" t="str">
        <f>IF(Table412[[#This Row],[Exist]]=1,Table412[[#This Row],[Component]],"")</f>
        <v/>
      </c>
      <c r="O298" s="36">
        <f>IFERROR(VALUE(Table412[[#This Row],[MAT]]&amp;Table412[[#This Row],[X'#]]),IF(COUNTIF(Table412[[#This Row],[MAT]],"*M"),Table412[[#This Row],[MAT]]&amp;Table412[[#This Row],[X'#]],""))</f>
        <v>10906766</v>
      </c>
      <c r="T298" s="773">
        <v>299</v>
      </c>
      <c r="U298" s="774">
        <v>1244960</v>
      </c>
      <c r="V298" s="775" t="s">
        <v>4088</v>
      </c>
    </row>
    <row r="299" spans="1:36" x14ac:dyDescent="0.25">
      <c r="A299" s="37">
        <f t="shared" si="5"/>
        <v>11</v>
      </c>
      <c r="C299" s="36" t="s">
        <v>637</v>
      </c>
      <c r="D299" s="36" t="s">
        <v>3667</v>
      </c>
      <c r="E299" s="36">
        <v>1090676</v>
      </c>
      <c r="F299" s="36">
        <v>7</v>
      </c>
      <c r="G299" s="36">
        <v>410851</v>
      </c>
      <c r="H299" s="48" t="str">
        <f>IFERROR(INDEX(Table14[],MATCH($G299,Table14[SAPNo],0),3),"")</f>
        <v>PDC Dome 1308 CT31   (B)</v>
      </c>
      <c r="I299" s="37">
        <v>18</v>
      </c>
      <c r="J299" s="37">
        <f>IF(Table412[[#This Row],[MAT]]&lt;&gt;"",COUNTIF(Table3[LEVEL 5 MAT NO.],Table412[[#This Row],[MAT]]),"")</f>
        <v>0</v>
      </c>
      <c r="K299" s="36">
        <f>IFERROR(INDEX(Table3[],MATCH($E299,Table3[LEVEL 5 MAT NO.],0),2),0)</f>
        <v>0</v>
      </c>
      <c r="L299" s="36">
        <f>Table412[[#This Row],[Quantity in BOM]]*Table412[[#This Row],[Freq]]</f>
        <v>0</v>
      </c>
      <c r="M299" s="36" t="str">
        <f>IF(Table412[[#This Row],[Exist]]=1,Table412[[#This Row],[MAT]],"")</f>
        <v/>
      </c>
      <c r="N299" s="36" t="str">
        <f>IF(Table412[[#This Row],[Exist]]=1,Table412[[#This Row],[Component]],"")</f>
        <v/>
      </c>
      <c r="O299" s="36">
        <f>IFERROR(VALUE(Table412[[#This Row],[MAT]]&amp;Table412[[#This Row],[X'#]]),IF(COUNTIF(Table412[[#This Row],[MAT]],"*M"),Table412[[#This Row],[MAT]]&amp;Table412[[#This Row],[X'#]],""))</f>
        <v>10906767</v>
      </c>
      <c r="T299" s="773">
        <v>300</v>
      </c>
      <c r="U299" s="774">
        <v>2028302</v>
      </c>
      <c r="V299" s="775" t="s">
        <v>4089</v>
      </c>
    </row>
    <row r="300" spans="1:36" x14ac:dyDescent="0.25">
      <c r="A300" s="37">
        <f t="shared" si="5"/>
        <v>11</v>
      </c>
      <c r="C300" s="36" t="s">
        <v>637</v>
      </c>
      <c r="D300" s="36" t="s">
        <v>3672</v>
      </c>
      <c r="E300" s="36">
        <v>1100518</v>
      </c>
      <c r="F300" s="36">
        <v>1</v>
      </c>
      <c r="G300" s="36">
        <v>752554</v>
      </c>
      <c r="H300" s="48" t="str">
        <f>IFERROR(INDEX(Table14[],MATCH($G300,Table14[SAPNo],0),3),"")</f>
        <v/>
      </c>
      <c r="I300" s="37">
        <v>6</v>
      </c>
      <c r="J300" s="37">
        <f>IF(Table412[[#This Row],[MAT]]&lt;&gt;"",COUNTIF(Table3[LEVEL 5 MAT NO.],Table412[[#This Row],[MAT]]),"")</f>
        <v>0</v>
      </c>
      <c r="K300" s="36">
        <f>IFERROR(INDEX(Table3[],MATCH($E300,Table3[LEVEL 5 MAT NO.],0),2),0)</f>
        <v>0</v>
      </c>
      <c r="L300" s="36">
        <f>Table412[[#This Row],[Quantity in BOM]]*Table412[[#This Row],[Freq]]</f>
        <v>0</v>
      </c>
      <c r="M300" s="36" t="str">
        <f>IF(Table412[[#This Row],[Exist]]=1,Table412[[#This Row],[MAT]],"")</f>
        <v/>
      </c>
      <c r="N300" s="36" t="str">
        <f>IF(Table412[[#This Row],[Exist]]=1,Table412[[#This Row],[Component]],"")</f>
        <v/>
      </c>
      <c r="O300" s="36">
        <f>IFERROR(VALUE(Table412[[#This Row],[MAT]]&amp;Table412[[#This Row],[X'#]]),IF(COUNTIF(Table412[[#This Row],[MAT]],"*M"),Table412[[#This Row],[MAT]]&amp;Table412[[#This Row],[X'#]],""))</f>
        <v>11005181</v>
      </c>
      <c r="T300" s="773">
        <v>301</v>
      </c>
      <c r="U300" s="774">
        <v>2028303</v>
      </c>
      <c r="V300" s="775" t="s">
        <v>4090</v>
      </c>
    </row>
    <row r="301" spans="1:36" x14ac:dyDescent="0.25">
      <c r="A301" s="37">
        <f t="shared" si="5"/>
        <v>11</v>
      </c>
      <c r="C301" s="36" t="s">
        <v>637</v>
      </c>
      <c r="D301" s="36" t="s">
        <v>3672</v>
      </c>
      <c r="E301" s="36">
        <v>1100518</v>
      </c>
      <c r="F301" s="36">
        <v>2</v>
      </c>
      <c r="G301" s="36">
        <v>752556</v>
      </c>
      <c r="H301" s="48" t="str">
        <f>IFERROR(INDEX(Table14[],MATCH($G301,Table14[SAPNo],0),3),"")</f>
        <v/>
      </c>
      <c r="I301" s="37">
        <v>43</v>
      </c>
      <c r="J301" s="37">
        <f>IF(Table412[[#This Row],[MAT]]&lt;&gt;"",COUNTIF(Table3[LEVEL 5 MAT NO.],Table412[[#This Row],[MAT]]),"")</f>
        <v>0</v>
      </c>
      <c r="K301" s="36">
        <f>IFERROR(INDEX(Table3[],MATCH($E301,Table3[LEVEL 5 MAT NO.],0),2),0)</f>
        <v>0</v>
      </c>
      <c r="L301" s="36">
        <f>Table412[[#This Row],[Quantity in BOM]]*Table412[[#This Row],[Freq]]</f>
        <v>0</v>
      </c>
      <c r="M301" s="36" t="str">
        <f>IF(Table412[[#This Row],[Exist]]=1,Table412[[#This Row],[MAT]],"")</f>
        <v/>
      </c>
      <c r="N301" s="36" t="str">
        <f>IF(Table412[[#This Row],[Exist]]=1,Table412[[#This Row],[Component]],"")</f>
        <v/>
      </c>
      <c r="O301" s="36">
        <f>IFERROR(VALUE(Table412[[#This Row],[MAT]]&amp;Table412[[#This Row],[X'#]]),IF(COUNTIF(Table412[[#This Row],[MAT]],"*M"),Table412[[#This Row],[MAT]]&amp;Table412[[#This Row],[X'#]],""))</f>
        <v>11005182</v>
      </c>
      <c r="T301" s="773">
        <v>302</v>
      </c>
      <c r="U301" s="774">
        <v>2023674</v>
      </c>
      <c r="V301" s="775" t="s">
        <v>4091</v>
      </c>
    </row>
    <row r="302" spans="1:36" x14ac:dyDescent="0.25">
      <c r="A302" s="37">
        <f t="shared" si="5"/>
        <v>11</v>
      </c>
      <c r="C302" s="36" t="s">
        <v>637</v>
      </c>
      <c r="D302" s="36" t="s">
        <v>3672</v>
      </c>
      <c r="E302" s="36">
        <v>1100518</v>
      </c>
      <c r="F302" s="36">
        <v>3</v>
      </c>
      <c r="G302" s="36">
        <v>703670</v>
      </c>
      <c r="H302" s="48" t="str">
        <f>IFERROR(INDEX(Table14[],MATCH($G302,Table14[SAPNo],0),3),"")</f>
        <v>Round 1313 CT200  10C (B)</v>
      </c>
      <c r="I302" s="37">
        <v>9</v>
      </c>
      <c r="J302" s="37">
        <f>IF(Table412[[#This Row],[MAT]]&lt;&gt;"",COUNTIF(Table3[LEVEL 5 MAT NO.],Table412[[#This Row],[MAT]]),"")</f>
        <v>0</v>
      </c>
      <c r="K302" s="36">
        <f>IFERROR(INDEX(Table3[],MATCH($E302,Table3[LEVEL 5 MAT NO.],0),2),0)</f>
        <v>0</v>
      </c>
      <c r="L302" s="36">
        <f>Table412[[#This Row],[Quantity in BOM]]*Table412[[#This Row],[Freq]]</f>
        <v>0</v>
      </c>
      <c r="M302" s="36" t="str">
        <f>IF(Table412[[#This Row],[Exist]]=1,Table412[[#This Row],[MAT]],"")</f>
        <v/>
      </c>
      <c r="N302" s="36" t="str">
        <f>IF(Table412[[#This Row],[Exist]]=1,Table412[[#This Row],[Component]],"")</f>
        <v/>
      </c>
      <c r="O302" s="36">
        <f>IFERROR(VALUE(Table412[[#This Row],[MAT]]&amp;Table412[[#This Row],[X'#]]),IF(COUNTIF(Table412[[#This Row],[MAT]],"*M"),Table412[[#This Row],[MAT]]&amp;Table412[[#This Row],[X'#]],""))</f>
        <v>11005183</v>
      </c>
      <c r="T302" s="773">
        <v>303</v>
      </c>
      <c r="U302" s="774">
        <v>2029244</v>
      </c>
      <c r="V302" s="775" t="s">
        <v>4092</v>
      </c>
    </row>
    <row r="303" spans="1:36" x14ac:dyDescent="0.25">
      <c r="A303" s="37">
        <f t="shared" si="5"/>
        <v>11</v>
      </c>
      <c r="C303" s="36" t="s">
        <v>637</v>
      </c>
      <c r="D303" s="36" t="s">
        <v>3672</v>
      </c>
      <c r="E303" s="36">
        <v>1100518</v>
      </c>
      <c r="F303" s="36">
        <v>4</v>
      </c>
      <c r="G303" s="36">
        <v>871781</v>
      </c>
      <c r="H303" s="48" t="str">
        <f>IFERROR(INDEX(Table14[],MATCH($G303,Table14[SAPNo],0),3),"")</f>
        <v>Round 1313 CT200  0.018" (B)</v>
      </c>
      <c r="I303" s="37">
        <v>6</v>
      </c>
      <c r="J303" s="37">
        <f>IF(Table412[[#This Row],[MAT]]&lt;&gt;"",COUNTIF(Table3[LEVEL 5 MAT NO.],Table412[[#This Row],[MAT]]),"")</f>
        <v>0</v>
      </c>
      <c r="K303" s="36">
        <f>IFERROR(INDEX(Table3[],MATCH($E303,Table3[LEVEL 5 MAT NO.],0),2),0)</f>
        <v>0</v>
      </c>
      <c r="L303" s="36">
        <f>Table412[[#This Row],[Quantity in BOM]]*Table412[[#This Row],[Freq]]</f>
        <v>0</v>
      </c>
      <c r="M303" s="36" t="str">
        <f>IF(Table412[[#This Row],[Exist]]=1,Table412[[#This Row],[MAT]],"")</f>
        <v/>
      </c>
      <c r="N303" s="36" t="str">
        <f>IF(Table412[[#This Row],[Exist]]=1,Table412[[#This Row],[Component]],"")</f>
        <v/>
      </c>
      <c r="O303" s="36">
        <f>IFERROR(VALUE(Table412[[#This Row],[MAT]]&amp;Table412[[#This Row],[X'#]]),IF(COUNTIF(Table412[[#This Row],[MAT]],"*M"),Table412[[#This Row],[MAT]]&amp;Table412[[#This Row],[X'#]],""))</f>
        <v>11005184</v>
      </c>
      <c r="T303" s="773">
        <v>304</v>
      </c>
      <c r="U303" s="774">
        <v>1187117</v>
      </c>
      <c r="V303" s="775" t="s">
        <v>4093</v>
      </c>
    </row>
    <row r="304" spans="1:36" x14ac:dyDescent="0.25">
      <c r="A304" s="37">
        <f t="shared" si="5"/>
        <v>11</v>
      </c>
      <c r="C304" s="36" t="s">
        <v>637</v>
      </c>
      <c r="D304" s="36" t="s">
        <v>3672</v>
      </c>
      <c r="E304" s="36">
        <v>1100518</v>
      </c>
      <c r="F304" s="36">
        <v>5</v>
      </c>
      <c r="G304" s="36">
        <v>717749</v>
      </c>
      <c r="H304" s="48" t="str">
        <f>IFERROR(INDEX(Table14[],MATCH($G304,Table14[SAPNo],0),3),"")</f>
        <v>Round 1308 CT200  10C (B)</v>
      </c>
      <c r="I304" s="37">
        <v>3</v>
      </c>
      <c r="J304" s="37">
        <f>IF(Table412[[#This Row],[MAT]]&lt;&gt;"",COUNTIF(Table3[LEVEL 5 MAT NO.],Table412[[#This Row],[MAT]]),"")</f>
        <v>0</v>
      </c>
      <c r="K304" s="36">
        <f>IFERROR(INDEX(Table3[],MATCH($E304,Table3[LEVEL 5 MAT NO.],0),2),0)</f>
        <v>0</v>
      </c>
      <c r="L304" s="36">
        <f>Table412[[#This Row],[Quantity in BOM]]*Table412[[#This Row],[Freq]]</f>
        <v>0</v>
      </c>
      <c r="M304" s="36" t="str">
        <f>IF(Table412[[#This Row],[Exist]]=1,Table412[[#This Row],[MAT]],"")</f>
        <v/>
      </c>
      <c r="N304" s="36" t="str">
        <f>IF(Table412[[#This Row],[Exist]]=1,Table412[[#This Row],[Component]],"")</f>
        <v/>
      </c>
      <c r="O304" s="36">
        <f>IFERROR(VALUE(Table412[[#This Row],[MAT]]&amp;Table412[[#This Row],[X'#]]),IF(COUNTIF(Table412[[#This Row],[MAT]],"*M"),Table412[[#This Row],[MAT]]&amp;Table412[[#This Row],[X'#]],""))</f>
        <v>11005185</v>
      </c>
      <c r="T304" s="773">
        <v>305</v>
      </c>
      <c r="U304" s="774">
        <v>2024640</v>
      </c>
      <c r="V304" s="775" t="s">
        <v>4116</v>
      </c>
    </row>
    <row r="305" spans="1:22" x14ac:dyDescent="0.25">
      <c r="A305" s="37">
        <f t="shared" si="5"/>
        <v>11</v>
      </c>
      <c r="C305" s="36" t="s">
        <v>637</v>
      </c>
      <c r="D305" s="36" t="s">
        <v>3672</v>
      </c>
      <c r="E305" s="36">
        <v>1100518</v>
      </c>
      <c r="F305" s="36">
        <v>6</v>
      </c>
      <c r="G305" s="36">
        <v>418525</v>
      </c>
      <c r="H305" s="48" t="str">
        <f>IFERROR(INDEX(Table14[],MATCH($G305,Table14[SAPNo],0),3),"")</f>
        <v>Drop In 1308 CT31   (B)</v>
      </c>
      <c r="I305" s="37">
        <v>6</v>
      </c>
      <c r="J305" s="37">
        <f>IF(Table412[[#This Row],[MAT]]&lt;&gt;"",COUNTIF(Table3[LEVEL 5 MAT NO.],Table412[[#This Row],[MAT]]),"")</f>
        <v>0</v>
      </c>
      <c r="K305" s="36">
        <f>IFERROR(INDEX(Table3[],MATCH($E305,Table3[LEVEL 5 MAT NO.],0),2),0)</f>
        <v>0</v>
      </c>
      <c r="L305" s="36">
        <f>Table412[[#This Row],[Quantity in BOM]]*Table412[[#This Row],[Freq]]</f>
        <v>0</v>
      </c>
      <c r="M305" s="36" t="str">
        <f>IF(Table412[[#This Row],[Exist]]=1,Table412[[#This Row],[MAT]],"")</f>
        <v/>
      </c>
      <c r="N305" s="36" t="str">
        <f>IF(Table412[[#This Row],[Exist]]=1,Table412[[#This Row],[Component]],"")</f>
        <v/>
      </c>
      <c r="O305" s="36">
        <f>IFERROR(VALUE(Table412[[#This Row],[MAT]]&amp;Table412[[#This Row],[X'#]]),IF(COUNTIF(Table412[[#This Row],[MAT]],"*M"),Table412[[#This Row],[MAT]]&amp;Table412[[#This Row],[X'#]],""))</f>
        <v>11005186</v>
      </c>
      <c r="T305" s="773">
        <v>306</v>
      </c>
      <c r="U305" s="774">
        <v>2001657</v>
      </c>
      <c r="V305" s="775" t="s">
        <v>4094</v>
      </c>
    </row>
    <row r="306" spans="1:22" x14ac:dyDescent="0.25">
      <c r="A306" s="37">
        <f t="shared" si="5"/>
        <v>11</v>
      </c>
      <c r="C306" s="36" t="s">
        <v>3660</v>
      </c>
      <c r="D306" s="36" t="s">
        <v>3673</v>
      </c>
      <c r="E306" s="36">
        <v>1022975</v>
      </c>
      <c r="F306" s="36">
        <v>1</v>
      </c>
      <c r="G306" s="36">
        <v>933120</v>
      </c>
      <c r="H306" s="48" t="str">
        <f>IFERROR(INDEX(Table14[],MATCH($G306,Table14[SAPNo],0),3),"")</f>
        <v>Round 1613 CT405 GEDB 0.018" (P)</v>
      </c>
      <c r="I306" s="37">
        <v>45</v>
      </c>
      <c r="J306" s="37">
        <f>IF(Table412[[#This Row],[MAT]]&lt;&gt;"",COUNTIF(Table3[LEVEL 5 MAT NO.],Table412[[#This Row],[MAT]]),"")</f>
        <v>0</v>
      </c>
      <c r="K306" s="36">
        <f>IFERROR(INDEX(Table3[],MATCH($E306,Table3[LEVEL 5 MAT NO.],0),2),0)</f>
        <v>0</v>
      </c>
      <c r="L306" s="36">
        <f>Table412[[#This Row],[Quantity in BOM]]*Table412[[#This Row],[Freq]]</f>
        <v>0</v>
      </c>
      <c r="M306" s="36" t="str">
        <f>IF(Table412[[#This Row],[Exist]]=1,Table412[[#This Row],[MAT]],"")</f>
        <v/>
      </c>
      <c r="N306" s="36" t="str">
        <f>IF(Table412[[#This Row],[Exist]]=1,Table412[[#This Row],[Component]],"")</f>
        <v/>
      </c>
      <c r="O306" s="36">
        <f>IFERROR(VALUE(Table412[[#This Row],[MAT]]&amp;Table412[[#This Row],[X'#]]),IF(COUNTIF(Table412[[#This Row],[MAT]],"*M"),Table412[[#This Row],[MAT]]&amp;Table412[[#This Row],[X'#]],""))</f>
        <v>10229751</v>
      </c>
      <c r="T306" s="776">
        <v>307</v>
      </c>
      <c r="U306" s="777">
        <v>1142710</v>
      </c>
      <c r="V306" s="778" t="s">
        <v>4095</v>
      </c>
    </row>
    <row r="307" spans="1:22" x14ac:dyDescent="0.25">
      <c r="A307" s="37">
        <f t="shared" si="5"/>
        <v>11</v>
      </c>
      <c r="C307" s="36" t="s">
        <v>3660</v>
      </c>
      <c r="D307" s="36" t="s">
        <v>3673</v>
      </c>
      <c r="E307" s="36">
        <v>1022975</v>
      </c>
      <c r="F307" s="36">
        <v>2</v>
      </c>
      <c r="G307" s="36">
        <v>647436</v>
      </c>
      <c r="H307" s="48" t="str">
        <f>IFERROR(INDEX(Table14[],MATCH($G307,Table14[SAPNo],0),3),"")</f>
        <v>Round 1613 CT200  0.018" (B)</v>
      </c>
      <c r="I307" s="37">
        <v>8</v>
      </c>
      <c r="J307" s="37">
        <f>IF(Table412[[#This Row],[MAT]]&lt;&gt;"",COUNTIF(Table3[LEVEL 5 MAT NO.],Table412[[#This Row],[MAT]]),"")</f>
        <v>0</v>
      </c>
      <c r="K307" s="36">
        <f>IFERROR(INDEX(Table3[],MATCH($E307,Table3[LEVEL 5 MAT NO.],0),2),0)</f>
        <v>0</v>
      </c>
      <c r="L307" s="36">
        <f>Table412[[#This Row],[Quantity in BOM]]*Table412[[#This Row],[Freq]]</f>
        <v>0</v>
      </c>
      <c r="M307" s="36" t="str">
        <f>IF(Table412[[#This Row],[Exist]]=1,Table412[[#This Row],[MAT]],"")</f>
        <v/>
      </c>
      <c r="N307" s="36" t="str">
        <f>IF(Table412[[#This Row],[Exist]]=1,Table412[[#This Row],[Component]],"")</f>
        <v/>
      </c>
      <c r="O307" s="36">
        <f>IFERROR(VALUE(Table412[[#This Row],[MAT]]&amp;Table412[[#This Row],[X'#]]),IF(COUNTIF(Table412[[#This Row],[MAT]],"*M"),Table412[[#This Row],[MAT]]&amp;Table412[[#This Row],[X'#]],""))</f>
        <v>10229752</v>
      </c>
    </row>
    <row r="308" spans="1:22" x14ac:dyDescent="0.25">
      <c r="A308" s="37">
        <f t="shared" si="5"/>
        <v>11</v>
      </c>
      <c r="C308" s="36" t="s">
        <v>3660</v>
      </c>
      <c r="D308" s="36" t="s">
        <v>3673</v>
      </c>
      <c r="E308" s="36">
        <v>1022975</v>
      </c>
      <c r="F308" s="36">
        <v>3</v>
      </c>
      <c r="G308" s="36">
        <v>418525</v>
      </c>
      <c r="H308" s="48" t="str">
        <f>IFERROR(INDEX(Table14[],MATCH($G308,Table14[SAPNo],0),3),"")</f>
        <v>Drop In 1308 CT31   (B)</v>
      </c>
      <c r="I308" s="37">
        <v>6</v>
      </c>
      <c r="J308" s="37">
        <f>IF(Table412[[#This Row],[MAT]]&lt;&gt;"",COUNTIF(Table3[LEVEL 5 MAT NO.],Table412[[#This Row],[MAT]]),"")</f>
        <v>0</v>
      </c>
      <c r="K308" s="36">
        <f>IFERROR(INDEX(Table3[],MATCH($E308,Table3[LEVEL 5 MAT NO.],0),2),0)</f>
        <v>0</v>
      </c>
      <c r="L308" s="36">
        <f>Table412[[#This Row],[Quantity in BOM]]*Table412[[#This Row],[Freq]]</f>
        <v>0</v>
      </c>
      <c r="M308" s="36" t="str">
        <f>IF(Table412[[#This Row],[Exist]]=1,Table412[[#This Row],[MAT]],"")</f>
        <v/>
      </c>
      <c r="N308" s="36" t="str">
        <f>IF(Table412[[#This Row],[Exist]]=1,Table412[[#This Row],[Component]],"")</f>
        <v/>
      </c>
      <c r="O308" s="36">
        <f>IFERROR(VALUE(Table412[[#This Row],[MAT]]&amp;Table412[[#This Row],[X'#]]),IF(COUNTIF(Table412[[#This Row],[MAT]],"*M"),Table412[[#This Row],[MAT]]&amp;Table412[[#This Row],[X'#]],""))</f>
        <v>10229753</v>
      </c>
    </row>
    <row r="309" spans="1:22" x14ac:dyDescent="0.25">
      <c r="A309" s="37">
        <f t="shared" si="5"/>
        <v>11</v>
      </c>
      <c r="C309" s="36" t="s">
        <v>3660</v>
      </c>
      <c r="D309" s="36" t="s">
        <v>3673</v>
      </c>
      <c r="E309" s="36">
        <v>1022975</v>
      </c>
      <c r="F309" s="36">
        <v>4</v>
      </c>
      <c r="G309" s="36">
        <v>871781</v>
      </c>
      <c r="H309" s="48" t="str">
        <f>IFERROR(INDEX(Table14[],MATCH($G309,Table14[SAPNo],0),3),"")</f>
        <v>Round 1313 CT200  0.018" (B)</v>
      </c>
      <c r="I309" s="37">
        <v>6</v>
      </c>
      <c r="J309" s="37">
        <f>IF(Table412[[#This Row],[MAT]]&lt;&gt;"",COUNTIF(Table3[LEVEL 5 MAT NO.],Table412[[#This Row],[MAT]]),"")</f>
        <v>0</v>
      </c>
      <c r="K309" s="36">
        <f>IFERROR(INDEX(Table3[],MATCH($E309,Table3[LEVEL 5 MAT NO.],0),2),0)</f>
        <v>0</v>
      </c>
      <c r="L309" s="36">
        <f>Table412[[#This Row],[Quantity in BOM]]*Table412[[#This Row],[Freq]]</f>
        <v>0</v>
      </c>
      <c r="M309" s="36" t="str">
        <f>IF(Table412[[#This Row],[Exist]]=1,Table412[[#This Row],[MAT]],"")</f>
        <v/>
      </c>
      <c r="N309" s="36" t="str">
        <f>IF(Table412[[#This Row],[Exist]]=1,Table412[[#This Row],[Component]],"")</f>
        <v/>
      </c>
      <c r="O309" s="36">
        <f>IFERROR(VALUE(Table412[[#This Row],[MAT]]&amp;Table412[[#This Row],[X'#]]),IF(COUNTIF(Table412[[#This Row],[MAT]],"*M"),Table412[[#This Row],[MAT]]&amp;Table412[[#This Row],[X'#]],""))</f>
        <v>10229754</v>
      </c>
    </row>
    <row r="310" spans="1:22" x14ac:dyDescent="0.25">
      <c r="A310" s="37">
        <f t="shared" si="5"/>
        <v>11</v>
      </c>
      <c r="C310" s="36" t="s">
        <v>3660</v>
      </c>
      <c r="D310" s="36" t="s">
        <v>3673</v>
      </c>
      <c r="E310" s="36">
        <v>1022975</v>
      </c>
      <c r="F310" s="36">
        <v>5</v>
      </c>
      <c r="G310" s="36">
        <v>179793</v>
      </c>
      <c r="H310" s="48" t="str">
        <f>IFERROR(INDEX(Table14[],MATCH($G310,Table14[SAPNo],0),3),"")</f>
        <v/>
      </c>
      <c r="I310" s="37">
        <v>16</v>
      </c>
      <c r="J310" s="37">
        <f>IF(Table412[[#This Row],[MAT]]&lt;&gt;"",COUNTIF(Table3[LEVEL 5 MAT NO.],Table412[[#This Row],[MAT]]),"")</f>
        <v>0</v>
      </c>
      <c r="K310" s="36">
        <f>IFERROR(INDEX(Table3[],MATCH($E310,Table3[LEVEL 5 MAT NO.],0),2),0)</f>
        <v>0</v>
      </c>
      <c r="L310" s="36">
        <f>Table412[[#This Row],[Quantity in BOM]]*Table412[[#This Row],[Freq]]</f>
        <v>0</v>
      </c>
      <c r="M310" s="36" t="str">
        <f>IF(Table412[[#This Row],[Exist]]=1,Table412[[#This Row],[MAT]],"")</f>
        <v/>
      </c>
      <c r="N310" s="36" t="str">
        <f>IF(Table412[[#This Row],[Exist]]=1,Table412[[#This Row],[Component]],"")</f>
        <v/>
      </c>
      <c r="O310" s="36">
        <f>IFERROR(VALUE(Table412[[#This Row],[MAT]]&amp;Table412[[#This Row],[X'#]]),IF(COUNTIF(Table412[[#This Row],[MAT]],"*M"),Table412[[#This Row],[MAT]]&amp;Table412[[#This Row],[X'#]],""))</f>
        <v>10229755</v>
      </c>
    </row>
    <row r="311" spans="1:22" x14ac:dyDescent="0.25">
      <c r="A311" s="37">
        <f t="shared" si="5"/>
        <v>11</v>
      </c>
      <c r="C311" s="36" t="s">
        <v>3660</v>
      </c>
      <c r="D311" s="36" t="s">
        <v>3673</v>
      </c>
      <c r="E311" s="36">
        <v>1022975</v>
      </c>
      <c r="F311" s="36">
        <v>6</v>
      </c>
      <c r="G311" s="36">
        <v>179734</v>
      </c>
      <c r="H311" s="48" t="str">
        <f>IFERROR(INDEX(Table14[],MATCH($G311,Table14[SAPNo],0),3),"")</f>
        <v>Long IPA 13    (C)</v>
      </c>
      <c r="I311" s="37">
        <v>12</v>
      </c>
      <c r="J311" s="37">
        <f>IF(Table412[[#This Row],[MAT]]&lt;&gt;"",COUNTIF(Table3[LEVEL 5 MAT NO.],Table412[[#This Row],[MAT]]),"")</f>
        <v>0</v>
      </c>
      <c r="K311" s="36">
        <f>IFERROR(INDEX(Table3[],MATCH($E311,Table3[LEVEL 5 MAT NO.],0),2),0)</f>
        <v>0</v>
      </c>
      <c r="L311" s="36">
        <f>Table412[[#This Row],[Quantity in BOM]]*Table412[[#This Row],[Freq]]</f>
        <v>0</v>
      </c>
      <c r="M311" s="36" t="str">
        <f>IF(Table412[[#This Row],[Exist]]=1,Table412[[#This Row],[MAT]],"")</f>
        <v/>
      </c>
      <c r="N311" s="36" t="str">
        <f>IF(Table412[[#This Row],[Exist]]=1,Table412[[#This Row],[Component]],"")</f>
        <v/>
      </c>
      <c r="O311" s="36">
        <f>IFERROR(VALUE(Table412[[#This Row],[MAT]]&amp;Table412[[#This Row],[X'#]]),IF(COUNTIF(Table412[[#This Row],[MAT]],"*M"),Table412[[#This Row],[MAT]]&amp;Table412[[#This Row],[X'#]],""))</f>
        <v>10229756</v>
      </c>
    </row>
    <row r="312" spans="1:22" x14ac:dyDescent="0.25">
      <c r="A312" s="37">
        <f t="shared" si="5"/>
        <v>11</v>
      </c>
      <c r="C312" s="36" t="s">
        <v>3660</v>
      </c>
      <c r="D312" s="36" t="s">
        <v>3673</v>
      </c>
      <c r="E312" s="36">
        <v>1022975</v>
      </c>
      <c r="F312" s="36">
        <v>7</v>
      </c>
      <c r="G312" s="36">
        <v>410851</v>
      </c>
      <c r="H312" s="48" t="str">
        <f>IFERROR(INDEX(Table14[],MATCH($G312,Table14[SAPNo],0),3),"")</f>
        <v>PDC Dome 1308 CT31   (B)</v>
      </c>
      <c r="I312" s="37">
        <v>12</v>
      </c>
      <c r="J312" s="37">
        <f>IF(Table412[[#This Row],[MAT]]&lt;&gt;"",COUNTIF(Table3[LEVEL 5 MAT NO.],Table412[[#This Row],[MAT]]),"")</f>
        <v>0</v>
      </c>
      <c r="K312" s="36">
        <f>IFERROR(INDEX(Table3[],MATCH($E312,Table3[LEVEL 5 MAT NO.],0),2),0)</f>
        <v>0</v>
      </c>
      <c r="L312" s="36">
        <f>Table412[[#This Row],[Quantity in BOM]]*Table412[[#This Row],[Freq]]</f>
        <v>0</v>
      </c>
      <c r="M312" s="36" t="str">
        <f>IF(Table412[[#This Row],[Exist]]=1,Table412[[#This Row],[MAT]],"")</f>
        <v/>
      </c>
      <c r="N312" s="36" t="str">
        <f>IF(Table412[[#This Row],[Exist]]=1,Table412[[#This Row],[Component]],"")</f>
        <v/>
      </c>
      <c r="O312" s="36">
        <f>IFERROR(VALUE(Table412[[#This Row],[MAT]]&amp;Table412[[#This Row],[X'#]]),IF(COUNTIF(Table412[[#This Row],[MAT]],"*M"),Table412[[#This Row],[MAT]]&amp;Table412[[#This Row],[X'#]],""))</f>
        <v>10229757</v>
      </c>
    </row>
    <row r="313" spans="1:22" x14ac:dyDescent="0.25">
      <c r="A313" s="37">
        <f t="shared" si="5"/>
        <v>11</v>
      </c>
      <c r="C313" s="36" t="s">
        <v>3660</v>
      </c>
      <c r="D313" s="36" t="s">
        <v>3673</v>
      </c>
      <c r="E313" s="36">
        <v>1002926</v>
      </c>
      <c r="F313" s="36">
        <v>1</v>
      </c>
      <c r="G313" s="36">
        <v>933120</v>
      </c>
      <c r="H313" s="48" t="str">
        <f>IFERROR(INDEX(Table14[],MATCH($G313,Table14[SAPNo],0),3),"")</f>
        <v>Round 1613 CT405 GEDB 0.018" (P)</v>
      </c>
      <c r="I313" s="37">
        <v>45</v>
      </c>
      <c r="J313" s="37">
        <f>IF(Table412[[#This Row],[MAT]]&lt;&gt;"",COUNTIF(Table3[LEVEL 5 MAT NO.],Table412[[#This Row],[MAT]]),"")</f>
        <v>0</v>
      </c>
      <c r="K313" s="36">
        <f>IFERROR(INDEX(Table3[],MATCH($E313,Table3[LEVEL 5 MAT NO.],0),2),0)</f>
        <v>0</v>
      </c>
      <c r="L313" s="36">
        <f>Table412[[#This Row],[Quantity in BOM]]*Table412[[#This Row],[Freq]]</f>
        <v>0</v>
      </c>
      <c r="M313" s="36" t="str">
        <f>IF(Table412[[#This Row],[Exist]]=1,Table412[[#This Row],[MAT]],"")</f>
        <v/>
      </c>
      <c r="N313" s="36" t="str">
        <f>IF(Table412[[#This Row],[Exist]]=1,Table412[[#This Row],[Component]],"")</f>
        <v/>
      </c>
      <c r="O313" s="36">
        <f>IFERROR(VALUE(Table412[[#This Row],[MAT]]&amp;Table412[[#This Row],[X'#]]),IF(COUNTIF(Table412[[#This Row],[MAT]],"*M"),Table412[[#This Row],[MAT]]&amp;Table412[[#This Row],[X'#]],""))</f>
        <v>10029261</v>
      </c>
    </row>
    <row r="314" spans="1:22" x14ac:dyDescent="0.25">
      <c r="A314" s="37">
        <f t="shared" si="5"/>
        <v>11</v>
      </c>
      <c r="C314" s="36" t="s">
        <v>3660</v>
      </c>
      <c r="D314" s="36" t="s">
        <v>3673</v>
      </c>
      <c r="E314" s="36">
        <v>1002926</v>
      </c>
      <c r="F314" s="36">
        <v>2</v>
      </c>
      <c r="G314" s="36">
        <v>647436</v>
      </c>
      <c r="H314" s="48" t="str">
        <f>IFERROR(INDEX(Table14[],MATCH($G314,Table14[SAPNo],0),3),"")</f>
        <v>Round 1613 CT200  0.018" (B)</v>
      </c>
      <c r="I314" s="37">
        <v>8</v>
      </c>
      <c r="J314" s="37">
        <f>IF(Table412[[#This Row],[MAT]]&lt;&gt;"",COUNTIF(Table3[LEVEL 5 MAT NO.],Table412[[#This Row],[MAT]]),"")</f>
        <v>0</v>
      </c>
      <c r="K314" s="36">
        <f>IFERROR(INDEX(Table3[],MATCH($E314,Table3[LEVEL 5 MAT NO.],0),2),0)</f>
        <v>0</v>
      </c>
      <c r="L314" s="36">
        <f>Table412[[#This Row],[Quantity in BOM]]*Table412[[#This Row],[Freq]]</f>
        <v>0</v>
      </c>
      <c r="M314" s="36" t="str">
        <f>IF(Table412[[#This Row],[Exist]]=1,Table412[[#This Row],[MAT]],"")</f>
        <v/>
      </c>
      <c r="N314" s="36" t="str">
        <f>IF(Table412[[#This Row],[Exist]]=1,Table412[[#This Row],[Component]],"")</f>
        <v/>
      </c>
      <c r="O314" s="36">
        <f>IFERROR(VALUE(Table412[[#This Row],[MAT]]&amp;Table412[[#This Row],[X'#]]),IF(COUNTIF(Table412[[#This Row],[MAT]],"*M"),Table412[[#This Row],[MAT]]&amp;Table412[[#This Row],[X'#]],""))</f>
        <v>10029262</v>
      </c>
    </row>
    <row r="315" spans="1:22" x14ac:dyDescent="0.25">
      <c r="A315" s="37">
        <f t="shared" si="5"/>
        <v>11</v>
      </c>
      <c r="C315" s="36" t="s">
        <v>3660</v>
      </c>
      <c r="D315" s="36" t="s">
        <v>3673</v>
      </c>
      <c r="E315" s="36">
        <v>1002926</v>
      </c>
      <c r="F315" s="36">
        <v>3</v>
      </c>
      <c r="G315" s="36">
        <v>418525</v>
      </c>
      <c r="H315" s="48" t="str">
        <f>IFERROR(INDEX(Table14[],MATCH($G315,Table14[SAPNo],0),3),"")</f>
        <v>Drop In 1308 CT31   (B)</v>
      </c>
      <c r="I315" s="37">
        <v>6</v>
      </c>
      <c r="J315" s="37">
        <f>IF(Table412[[#This Row],[MAT]]&lt;&gt;"",COUNTIF(Table3[LEVEL 5 MAT NO.],Table412[[#This Row],[MAT]]),"")</f>
        <v>0</v>
      </c>
      <c r="K315" s="36">
        <f>IFERROR(INDEX(Table3[],MATCH($E315,Table3[LEVEL 5 MAT NO.],0),2),0)</f>
        <v>0</v>
      </c>
      <c r="L315" s="36">
        <f>Table412[[#This Row],[Quantity in BOM]]*Table412[[#This Row],[Freq]]</f>
        <v>0</v>
      </c>
      <c r="M315" s="36" t="str">
        <f>IF(Table412[[#This Row],[Exist]]=1,Table412[[#This Row],[MAT]],"")</f>
        <v/>
      </c>
      <c r="N315" s="36" t="str">
        <f>IF(Table412[[#This Row],[Exist]]=1,Table412[[#This Row],[Component]],"")</f>
        <v/>
      </c>
      <c r="O315" s="36">
        <f>IFERROR(VALUE(Table412[[#This Row],[MAT]]&amp;Table412[[#This Row],[X'#]]),IF(COUNTIF(Table412[[#This Row],[MAT]],"*M"),Table412[[#This Row],[MAT]]&amp;Table412[[#This Row],[X'#]],""))</f>
        <v>10029263</v>
      </c>
    </row>
    <row r="316" spans="1:22" x14ac:dyDescent="0.25">
      <c r="A316" s="37">
        <f t="shared" si="5"/>
        <v>11</v>
      </c>
      <c r="C316" s="36" t="s">
        <v>3660</v>
      </c>
      <c r="D316" s="36" t="s">
        <v>3673</v>
      </c>
      <c r="E316" s="36">
        <v>1002926</v>
      </c>
      <c r="F316" s="36">
        <v>4</v>
      </c>
      <c r="G316" s="36">
        <v>871781</v>
      </c>
      <c r="H316" s="48" t="str">
        <f>IFERROR(INDEX(Table14[],MATCH($G316,Table14[SAPNo],0),3),"")</f>
        <v>Round 1313 CT200  0.018" (B)</v>
      </c>
      <c r="I316" s="37">
        <v>6</v>
      </c>
      <c r="J316" s="37">
        <f>IF(Table412[[#This Row],[MAT]]&lt;&gt;"",COUNTIF(Table3[LEVEL 5 MAT NO.],Table412[[#This Row],[MAT]]),"")</f>
        <v>0</v>
      </c>
      <c r="K316" s="36">
        <f>IFERROR(INDEX(Table3[],MATCH($E316,Table3[LEVEL 5 MAT NO.],0),2),0)</f>
        <v>0</v>
      </c>
      <c r="L316" s="36">
        <f>Table412[[#This Row],[Quantity in BOM]]*Table412[[#This Row],[Freq]]</f>
        <v>0</v>
      </c>
      <c r="M316" s="36" t="str">
        <f>IF(Table412[[#This Row],[Exist]]=1,Table412[[#This Row],[MAT]],"")</f>
        <v/>
      </c>
      <c r="N316" s="36" t="str">
        <f>IF(Table412[[#This Row],[Exist]]=1,Table412[[#This Row],[Component]],"")</f>
        <v/>
      </c>
      <c r="O316" s="36">
        <f>IFERROR(VALUE(Table412[[#This Row],[MAT]]&amp;Table412[[#This Row],[X'#]]),IF(COUNTIF(Table412[[#This Row],[MAT]],"*M"),Table412[[#This Row],[MAT]]&amp;Table412[[#This Row],[X'#]],""))</f>
        <v>10029264</v>
      </c>
    </row>
    <row r="317" spans="1:22" x14ac:dyDescent="0.25">
      <c r="A317" s="37">
        <f t="shared" si="5"/>
        <v>11</v>
      </c>
      <c r="C317" s="36" t="s">
        <v>3660</v>
      </c>
      <c r="D317" s="36" t="s">
        <v>3673</v>
      </c>
      <c r="E317" s="36">
        <v>1002926</v>
      </c>
      <c r="F317" s="36">
        <v>5</v>
      </c>
      <c r="G317" s="36">
        <v>179793</v>
      </c>
      <c r="H317" s="48" t="str">
        <f>IFERROR(INDEX(Table14[],MATCH($G317,Table14[SAPNo],0),3),"")</f>
        <v/>
      </c>
      <c r="I317" s="37">
        <v>16</v>
      </c>
      <c r="J317" s="37">
        <f>IF(Table412[[#This Row],[MAT]]&lt;&gt;"",COUNTIF(Table3[LEVEL 5 MAT NO.],Table412[[#This Row],[MAT]]),"")</f>
        <v>0</v>
      </c>
      <c r="K317" s="36">
        <f>IFERROR(INDEX(Table3[],MATCH($E317,Table3[LEVEL 5 MAT NO.],0),2),0)</f>
        <v>0</v>
      </c>
      <c r="L317" s="36">
        <f>Table412[[#This Row],[Quantity in BOM]]*Table412[[#This Row],[Freq]]</f>
        <v>0</v>
      </c>
      <c r="M317" s="36" t="str">
        <f>IF(Table412[[#This Row],[Exist]]=1,Table412[[#This Row],[MAT]],"")</f>
        <v/>
      </c>
      <c r="N317" s="36" t="str">
        <f>IF(Table412[[#This Row],[Exist]]=1,Table412[[#This Row],[Component]],"")</f>
        <v/>
      </c>
      <c r="O317" s="36">
        <f>IFERROR(VALUE(Table412[[#This Row],[MAT]]&amp;Table412[[#This Row],[X'#]]),IF(COUNTIF(Table412[[#This Row],[MAT]],"*M"),Table412[[#This Row],[MAT]]&amp;Table412[[#This Row],[X'#]],""))</f>
        <v>10029265</v>
      </c>
    </row>
    <row r="318" spans="1:22" x14ac:dyDescent="0.25">
      <c r="A318" s="37">
        <f t="shared" si="5"/>
        <v>11</v>
      </c>
      <c r="C318" s="36" t="s">
        <v>3660</v>
      </c>
      <c r="D318" s="36" t="s">
        <v>3673</v>
      </c>
      <c r="E318" s="36">
        <v>1002926</v>
      </c>
      <c r="F318" s="36">
        <v>6</v>
      </c>
      <c r="G318" s="36">
        <v>179734</v>
      </c>
      <c r="H318" s="48" t="str">
        <f>IFERROR(INDEX(Table14[],MATCH($G318,Table14[SAPNo],0),3),"")</f>
        <v>Long IPA 13    (C)</v>
      </c>
      <c r="I318" s="37">
        <v>12</v>
      </c>
      <c r="J318" s="37">
        <f>IF(Table412[[#This Row],[MAT]]&lt;&gt;"",COUNTIF(Table3[LEVEL 5 MAT NO.],Table412[[#This Row],[MAT]]),"")</f>
        <v>0</v>
      </c>
      <c r="K318" s="36">
        <f>IFERROR(INDEX(Table3[],MATCH($E318,Table3[LEVEL 5 MAT NO.],0),2),0)</f>
        <v>0</v>
      </c>
      <c r="L318" s="36">
        <f>Table412[[#This Row],[Quantity in BOM]]*Table412[[#This Row],[Freq]]</f>
        <v>0</v>
      </c>
      <c r="M318" s="36" t="str">
        <f>IF(Table412[[#This Row],[Exist]]=1,Table412[[#This Row],[MAT]],"")</f>
        <v/>
      </c>
      <c r="N318" s="36" t="str">
        <f>IF(Table412[[#This Row],[Exist]]=1,Table412[[#This Row],[Component]],"")</f>
        <v/>
      </c>
      <c r="O318" s="36">
        <f>IFERROR(VALUE(Table412[[#This Row],[MAT]]&amp;Table412[[#This Row],[X'#]]),IF(COUNTIF(Table412[[#This Row],[MAT]],"*M"),Table412[[#This Row],[MAT]]&amp;Table412[[#This Row],[X'#]],""))</f>
        <v>10029266</v>
      </c>
    </row>
    <row r="319" spans="1:22" x14ac:dyDescent="0.25">
      <c r="A319" s="37">
        <f t="shared" si="5"/>
        <v>11</v>
      </c>
      <c r="C319" s="36" t="s">
        <v>3660</v>
      </c>
      <c r="D319" s="36" t="s">
        <v>3673</v>
      </c>
      <c r="E319" s="36">
        <v>1002926</v>
      </c>
      <c r="F319" s="36">
        <v>7</v>
      </c>
      <c r="G319" s="36">
        <v>410851</v>
      </c>
      <c r="H319" s="48" t="str">
        <f>IFERROR(INDEX(Table14[],MATCH($G319,Table14[SAPNo],0),3),"")</f>
        <v>PDC Dome 1308 CT31   (B)</v>
      </c>
      <c r="I319" s="37">
        <v>12</v>
      </c>
      <c r="J319" s="37">
        <f>IF(Table412[[#This Row],[MAT]]&lt;&gt;"",COUNTIF(Table3[LEVEL 5 MAT NO.],Table412[[#This Row],[MAT]]),"")</f>
        <v>0</v>
      </c>
      <c r="K319" s="36">
        <f>IFERROR(INDEX(Table3[],MATCH($E319,Table3[LEVEL 5 MAT NO.],0),2),0)</f>
        <v>0</v>
      </c>
      <c r="L319" s="36">
        <f>Table412[[#This Row],[Quantity in BOM]]*Table412[[#This Row],[Freq]]</f>
        <v>0</v>
      </c>
      <c r="M319" s="36" t="str">
        <f>IF(Table412[[#This Row],[Exist]]=1,Table412[[#This Row],[MAT]],"")</f>
        <v/>
      </c>
      <c r="N319" s="36" t="str">
        <f>IF(Table412[[#This Row],[Exist]]=1,Table412[[#This Row],[Component]],"")</f>
        <v/>
      </c>
      <c r="O319" s="36">
        <f>IFERROR(VALUE(Table412[[#This Row],[MAT]]&amp;Table412[[#This Row],[X'#]]),IF(COUNTIF(Table412[[#This Row],[MAT]],"*M"),Table412[[#This Row],[MAT]]&amp;Table412[[#This Row],[X'#]],""))</f>
        <v>10029267</v>
      </c>
    </row>
    <row r="320" spans="1:22" x14ac:dyDescent="0.25">
      <c r="A320" s="37">
        <f t="shared" si="5"/>
        <v>11</v>
      </c>
      <c r="C320" s="36" t="s">
        <v>637</v>
      </c>
      <c r="D320" s="36" t="s">
        <v>3674</v>
      </c>
      <c r="E320" s="36">
        <v>870489</v>
      </c>
      <c r="F320" s="36">
        <v>1</v>
      </c>
      <c r="G320" s="36">
        <v>752554</v>
      </c>
      <c r="H320" s="48" t="str">
        <f>IFERROR(INDEX(Table14[],MATCH($G320,Table14[SAPNo],0),3),"")</f>
        <v/>
      </c>
      <c r="I320" s="37">
        <v>6</v>
      </c>
      <c r="J320" s="37">
        <f>IF(Table412[[#This Row],[MAT]]&lt;&gt;"",COUNTIF(Table3[LEVEL 5 MAT NO.],Table412[[#This Row],[MAT]]),"")</f>
        <v>0</v>
      </c>
      <c r="K320" s="36">
        <f>IFERROR(INDEX(Table3[],MATCH($E320,Table3[LEVEL 5 MAT NO.],0),2),0)</f>
        <v>0</v>
      </c>
      <c r="L320" s="36">
        <f>Table412[[#This Row],[Quantity in BOM]]*Table412[[#This Row],[Freq]]</f>
        <v>0</v>
      </c>
      <c r="M320" s="36" t="str">
        <f>IF(Table412[[#This Row],[Exist]]=1,Table412[[#This Row],[MAT]],"")</f>
        <v/>
      </c>
      <c r="N320" s="36" t="str">
        <f>IF(Table412[[#This Row],[Exist]]=1,Table412[[#This Row],[Component]],"")</f>
        <v/>
      </c>
      <c r="O320" s="36">
        <f>IFERROR(VALUE(Table412[[#This Row],[MAT]]&amp;Table412[[#This Row],[X'#]]),IF(COUNTIF(Table412[[#This Row],[MAT]],"*M"),Table412[[#This Row],[MAT]]&amp;Table412[[#This Row],[X'#]],""))</f>
        <v>8704891</v>
      </c>
    </row>
    <row r="321" spans="1:15" x14ac:dyDescent="0.25">
      <c r="A321" s="37">
        <f t="shared" si="5"/>
        <v>11</v>
      </c>
      <c r="C321" s="36" t="s">
        <v>637</v>
      </c>
      <c r="D321" s="36" t="s">
        <v>3674</v>
      </c>
      <c r="E321" s="36">
        <v>870489</v>
      </c>
      <c r="F321" s="36">
        <v>2</v>
      </c>
      <c r="G321" s="36">
        <v>752556</v>
      </c>
      <c r="H321" s="48" t="str">
        <f>IFERROR(INDEX(Table14[],MATCH($G321,Table14[SAPNo],0),3),"")</f>
        <v/>
      </c>
      <c r="I321" s="37">
        <v>43</v>
      </c>
      <c r="J321" s="37">
        <f>IF(Table412[[#This Row],[MAT]]&lt;&gt;"",COUNTIF(Table3[LEVEL 5 MAT NO.],Table412[[#This Row],[MAT]]),"")</f>
        <v>0</v>
      </c>
      <c r="K321" s="36">
        <f>IFERROR(INDEX(Table3[],MATCH($E321,Table3[LEVEL 5 MAT NO.],0),2),0)</f>
        <v>0</v>
      </c>
      <c r="L321" s="36">
        <f>Table412[[#This Row],[Quantity in BOM]]*Table412[[#This Row],[Freq]]</f>
        <v>0</v>
      </c>
      <c r="M321" s="36" t="str">
        <f>IF(Table412[[#This Row],[Exist]]=1,Table412[[#This Row],[MAT]],"")</f>
        <v/>
      </c>
      <c r="N321" s="36" t="str">
        <f>IF(Table412[[#This Row],[Exist]]=1,Table412[[#This Row],[Component]],"")</f>
        <v/>
      </c>
      <c r="O321" s="36">
        <f>IFERROR(VALUE(Table412[[#This Row],[MAT]]&amp;Table412[[#This Row],[X'#]]),IF(COUNTIF(Table412[[#This Row],[MAT]],"*M"),Table412[[#This Row],[MAT]]&amp;Table412[[#This Row],[X'#]],""))</f>
        <v>8704892</v>
      </c>
    </row>
    <row r="322" spans="1:15" x14ac:dyDescent="0.25">
      <c r="A322" s="37">
        <f t="shared" si="5"/>
        <v>11</v>
      </c>
      <c r="C322" s="36" t="s">
        <v>637</v>
      </c>
      <c r="D322" s="36" t="s">
        <v>3674</v>
      </c>
      <c r="E322" s="36">
        <v>870489</v>
      </c>
      <c r="F322" s="36">
        <v>3</v>
      </c>
      <c r="G322" s="36">
        <v>703670</v>
      </c>
      <c r="H322" s="48" t="str">
        <f>IFERROR(INDEX(Table14[],MATCH($G322,Table14[SAPNo],0),3),"")</f>
        <v>Round 1313 CT200  10C (B)</v>
      </c>
      <c r="I322" s="37">
        <v>15</v>
      </c>
      <c r="J322" s="37">
        <f>IF(Table412[[#This Row],[MAT]]&lt;&gt;"",COUNTIF(Table3[LEVEL 5 MAT NO.],Table412[[#This Row],[MAT]]),"")</f>
        <v>0</v>
      </c>
      <c r="K322" s="36">
        <f>IFERROR(INDEX(Table3[],MATCH($E322,Table3[LEVEL 5 MAT NO.],0),2),0)</f>
        <v>0</v>
      </c>
      <c r="L322" s="36">
        <f>Table412[[#This Row],[Quantity in BOM]]*Table412[[#This Row],[Freq]]</f>
        <v>0</v>
      </c>
      <c r="M322" s="36" t="str">
        <f>IF(Table412[[#This Row],[Exist]]=1,Table412[[#This Row],[MAT]],"")</f>
        <v/>
      </c>
      <c r="N322" s="36" t="str">
        <f>IF(Table412[[#This Row],[Exist]]=1,Table412[[#This Row],[Component]],"")</f>
        <v/>
      </c>
      <c r="O322" s="36">
        <f>IFERROR(VALUE(Table412[[#This Row],[MAT]]&amp;Table412[[#This Row],[X'#]]),IF(COUNTIF(Table412[[#This Row],[MAT]],"*M"),Table412[[#This Row],[MAT]]&amp;Table412[[#This Row],[X'#]],""))</f>
        <v>8704893</v>
      </c>
    </row>
    <row r="323" spans="1:15" x14ac:dyDescent="0.25">
      <c r="A323" s="37">
        <f t="shared" ref="A323:A386" si="6">A322+K322</f>
        <v>11</v>
      </c>
      <c r="C323" s="36" t="s">
        <v>637</v>
      </c>
      <c r="D323" s="36" t="s">
        <v>3674</v>
      </c>
      <c r="E323" s="36">
        <v>870489</v>
      </c>
      <c r="F323" s="36">
        <v>4</v>
      </c>
      <c r="G323" s="36">
        <v>717749</v>
      </c>
      <c r="H323" s="48" t="str">
        <f>IFERROR(INDEX(Table14[],MATCH($G323,Table14[SAPNo],0),3),"")</f>
        <v>Round 1308 CT200  10C (B)</v>
      </c>
      <c r="I323" s="37">
        <v>3</v>
      </c>
      <c r="J323" s="37">
        <f>IF(Table412[[#This Row],[MAT]]&lt;&gt;"",COUNTIF(Table3[LEVEL 5 MAT NO.],Table412[[#This Row],[MAT]]),"")</f>
        <v>0</v>
      </c>
      <c r="K323" s="36">
        <f>IFERROR(INDEX(Table3[],MATCH($E323,Table3[LEVEL 5 MAT NO.],0),2),0)</f>
        <v>0</v>
      </c>
      <c r="L323" s="36">
        <f>Table412[[#This Row],[Quantity in BOM]]*Table412[[#This Row],[Freq]]</f>
        <v>0</v>
      </c>
      <c r="M323" s="36" t="str">
        <f>IF(Table412[[#This Row],[Exist]]=1,Table412[[#This Row],[MAT]],"")</f>
        <v/>
      </c>
      <c r="N323" s="36" t="str">
        <f>IF(Table412[[#This Row],[Exist]]=1,Table412[[#This Row],[Component]],"")</f>
        <v/>
      </c>
      <c r="O323" s="36">
        <f>IFERROR(VALUE(Table412[[#This Row],[MAT]]&amp;Table412[[#This Row],[X'#]]),IF(COUNTIF(Table412[[#This Row],[MAT]],"*M"),Table412[[#This Row],[MAT]]&amp;Table412[[#This Row],[X'#]],""))</f>
        <v>8704894</v>
      </c>
    </row>
    <row r="324" spans="1:15" x14ac:dyDescent="0.25">
      <c r="A324" s="37">
        <f t="shared" si="6"/>
        <v>11</v>
      </c>
      <c r="C324" s="36" t="s">
        <v>637</v>
      </c>
      <c r="D324" s="36" t="s">
        <v>3674</v>
      </c>
      <c r="E324" s="36">
        <v>870489</v>
      </c>
      <c r="F324" s="36">
        <v>5</v>
      </c>
      <c r="G324" s="36">
        <v>418525</v>
      </c>
      <c r="H324" s="48" t="str">
        <f>IFERROR(INDEX(Table14[],MATCH($G324,Table14[SAPNo],0),3),"")</f>
        <v>Drop In 1308 CT31   (B)</v>
      </c>
      <c r="I324" s="37">
        <v>6</v>
      </c>
      <c r="J324" s="37">
        <f>IF(Table412[[#This Row],[MAT]]&lt;&gt;"",COUNTIF(Table3[LEVEL 5 MAT NO.],Table412[[#This Row],[MAT]]),"")</f>
        <v>0</v>
      </c>
      <c r="K324" s="36">
        <f>IFERROR(INDEX(Table3[],MATCH($E324,Table3[LEVEL 5 MAT NO.],0),2),0)</f>
        <v>0</v>
      </c>
      <c r="L324" s="36">
        <f>Table412[[#This Row],[Quantity in BOM]]*Table412[[#This Row],[Freq]]</f>
        <v>0</v>
      </c>
      <c r="M324" s="36" t="str">
        <f>IF(Table412[[#This Row],[Exist]]=1,Table412[[#This Row],[MAT]],"")</f>
        <v/>
      </c>
      <c r="N324" s="36" t="str">
        <f>IF(Table412[[#This Row],[Exist]]=1,Table412[[#This Row],[Component]],"")</f>
        <v/>
      </c>
      <c r="O324" s="36">
        <f>IFERROR(VALUE(Table412[[#This Row],[MAT]]&amp;Table412[[#This Row],[X'#]]),IF(COUNTIF(Table412[[#This Row],[MAT]],"*M"),Table412[[#This Row],[MAT]]&amp;Table412[[#This Row],[X'#]],""))</f>
        <v>8704895</v>
      </c>
    </row>
    <row r="325" spans="1:15" x14ac:dyDescent="0.25">
      <c r="A325" s="37">
        <f t="shared" si="6"/>
        <v>11</v>
      </c>
      <c r="C325" s="36" t="s">
        <v>624</v>
      </c>
      <c r="D325" s="36" t="s">
        <v>3675</v>
      </c>
      <c r="E325" s="36">
        <v>1088287</v>
      </c>
      <c r="F325" s="36">
        <v>1</v>
      </c>
      <c r="G325" s="36">
        <v>1130219</v>
      </c>
      <c r="H325" s="48" t="str">
        <f>IFERROR(INDEX(Table14[],MATCH($G325,Table14[SAPNo],0),3),"")</f>
        <v>Round 1313 CT182  10C (S)</v>
      </c>
      <c r="I325" s="37">
        <v>7</v>
      </c>
      <c r="J325" s="37">
        <f>IF(Table412[[#This Row],[MAT]]&lt;&gt;"",COUNTIF(Table3[LEVEL 5 MAT NO.],Table412[[#This Row],[MAT]]),"")</f>
        <v>0</v>
      </c>
      <c r="K325" s="36">
        <f>IFERROR(INDEX(Table3[],MATCH($E325,Table3[LEVEL 5 MAT NO.],0),2),0)</f>
        <v>0</v>
      </c>
      <c r="L325" s="36">
        <f>Table412[[#This Row],[Quantity in BOM]]*Table412[[#This Row],[Freq]]</f>
        <v>0</v>
      </c>
      <c r="M325" s="36" t="str">
        <f>IF(Table412[[#This Row],[Exist]]=1,Table412[[#This Row],[MAT]],"")</f>
        <v/>
      </c>
      <c r="N325" s="36" t="str">
        <f>IF(Table412[[#This Row],[Exist]]=1,Table412[[#This Row],[Component]],"")</f>
        <v/>
      </c>
      <c r="O325" s="36">
        <f>IFERROR(VALUE(Table412[[#This Row],[MAT]]&amp;Table412[[#This Row],[X'#]]),IF(COUNTIF(Table412[[#This Row],[MAT]],"*M"),Table412[[#This Row],[MAT]]&amp;Table412[[#This Row],[X'#]],""))</f>
        <v>10882871</v>
      </c>
    </row>
    <row r="326" spans="1:15" x14ac:dyDescent="0.25">
      <c r="A326" s="37">
        <f t="shared" si="6"/>
        <v>11</v>
      </c>
      <c r="C326" s="36" t="s">
        <v>624</v>
      </c>
      <c r="D326" s="36" t="s">
        <v>3675</v>
      </c>
      <c r="E326" s="36">
        <v>1088287</v>
      </c>
      <c r="F326" s="36">
        <v>2</v>
      </c>
      <c r="G326" s="36">
        <v>1130221</v>
      </c>
      <c r="H326" s="48" t="str">
        <f>IFERROR(INDEX(Table14[],MATCH($G326,Table14[SAPNo],0),3),"")</f>
        <v xml:space="preserve"> 1613 CT182  10C (S)</v>
      </c>
      <c r="I326" s="37">
        <v>29</v>
      </c>
      <c r="J326" s="37">
        <f>IF(Table412[[#This Row],[MAT]]&lt;&gt;"",COUNTIF(Table3[LEVEL 5 MAT NO.],Table412[[#This Row],[MAT]]),"")</f>
        <v>0</v>
      </c>
      <c r="K326" s="36">
        <f>IFERROR(INDEX(Table3[],MATCH($E326,Table3[LEVEL 5 MAT NO.],0),2),0)</f>
        <v>0</v>
      </c>
      <c r="L326" s="36">
        <f>Table412[[#This Row],[Quantity in BOM]]*Table412[[#This Row],[Freq]]</f>
        <v>0</v>
      </c>
      <c r="M326" s="36" t="str">
        <f>IF(Table412[[#This Row],[Exist]]=1,Table412[[#This Row],[MAT]],"")</f>
        <v/>
      </c>
      <c r="N326" s="36" t="str">
        <f>IF(Table412[[#This Row],[Exist]]=1,Table412[[#This Row],[Component]],"")</f>
        <v/>
      </c>
      <c r="O326" s="36">
        <f>IFERROR(VALUE(Table412[[#This Row],[MAT]]&amp;Table412[[#This Row],[X'#]]),IF(COUNTIF(Table412[[#This Row],[MAT]],"*M"),Table412[[#This Row],[MAT]]&amp;Table412[[#This Row],[X'#]],""))</f>
        <v>10882872</v>
      </c>
    </row>
    <row r="327" spans="1:15" x14ac:dyDescent="0.25">
      <c r="A327" s="37">
        <f t="shared" si="6"/>
        <v>11</v>
      </c>
      <c r="C327" s="38" t="s">
        <v>624</v>
      </c>
      <c r="D327" s="36" t="s">
        <v>3675</v>
      </c>
      <c r="E327" s="36">
        <v>1088287</v>
      </c>
      <c r="F327" s="36">
        <v>3</v>
      </c>
      <c r="G327" s="36">
        <v>418525</v>
      </c>
      <c r="H327" s="48" t="str">
        <f>IFERROR(INDEX(Table14[],MATCH($G327,Table14[SAPNo],0),3),"")</f>
        <v>Drop In 1308 CT31   (B)</v>
      </c>
      <c r="I327" s="37">
        <v>6</v>
      </c>
      <c r="J327" s="37">
        <f>IF(Table412[[#This Row],[MAT]]&lt;&gt;"",COUNTIF(Table3[LEVEL 5 MAT NO.],Table412[[#This Row],[MAT]]),"")</f>
        <v>0</v>
      </c>
      <c r="K327" s="36">
        <f>IFERROR(INDEX(Table3[],MATCH($E327,Table3[LEVEL 5 MAT NO.],0),2),0)</f>
        <v>0</v>
      </c>
      <c r="L327" s="36">
        <f>Table412[[#This Row],[Quantity in BOM]]*Table412[[#This Row],[Freq]]</f>
        <v>0</v>
      </c>
      <c r="M327" s="36" t="str">
        <f>IF(Table412[[#This Row],[Exist]]=1,Table412[[#This Row],[MAT]],"")</f>
        <v/>
      </c>
      <c r="N327" s="36" t="str">
        <f>IF(Table412[[#This Row],[Exist]]=1,Table412[[#This Row],[Component]],"")</f>
        <v/>
      </c>
      <c r="O327" s="36">
        <f>IFERROR(VALUE(Table412[[#This Row],[MAT]]&amp;Table412[[#This Row],[X'#]]),IF(COUNTIF(Table412[[#This Row],[MAT]],"*M"),Table412[[#This Row],[MAT]]&amp;Table412[[#This Row],[X'#]],""))</f>
        <v>10882873</v>
      </c>
    </row>
    <row r="328" spans="1:15" x14ac:dyDescent="0.25">
      <c r="A328" s="37">
        <f t="shared" si="6"/>
        <v>11</v>
      </c>
      <c r="C328" s="38" t="s">
        <v>624</v>
      </c>
      <c r="D328" s="36" t="s">
        <v>3675</v>
      </c>
      <c r="E328" s="36">
        <v>1088287</v>
      </c>
      <c r="F328" s="36">
        <v>4</v>
      </c>
      <c r="G328" s="36">
        <v>1050703</v>
      </c>
      <c r="H328" s="48" t="str">
        <f>IFERROR(INDEX(Table14[],MATCH($G328,Table14[SAPNo],0),3),"")</f>
        <v>1318 CT221 R1</v>
      </c>
      <c r="I328" s="37">
        <v>16</v>
      </c>
      <c r="J328" s="37">
        <f>IF(Table412[[#This Row],[MAT]]&lt;&gt;"",COUNTIF(Table3[LEVEL 5 MAT NO.],Table412[[#This Row],[MAT]]),"")</f>
        <v>0</v>
      </c>
      <c r="K328" s="36">
        <f>IFERROR(INDEX(Table3[],MATCH($E328,Table3[LEVEL 5 MAT NO.],0),2),0)</f>
        <v>0</v>
      </c>
      <c r="L328" s="36">
        <f>Table412[[#This Row],[Quantity in BOM]]*Table412[[#This Row],[Freq]]</f>
        <v>0</v>
      </c>
      <c r="M328" s="36" t="str">
        <f>IF(Table412[[#This Row],[Exist]]=1,Table412[[#This Row],[MAT]],"")</f>
        <v/>
      </c>
      <c r="N328" s="36" t="str">
        <f>IF(Table412[[#This Row],[Exist]]=1,Table412[[#This Row],[Component]],"")</f>
        <v/>
      </c>
      <c r="O328" s="36">
        <f>IFERROR(VALUE(Table412[[#This Row],[MAT]]&amp;Table412[[#This Row],[X'#]]),IF(COUNTIF(Table412[[#This Row],[MAT]],"*M"),Table412[[#This Row],[MAT]]&amp;Table412[[#This Row],[X'#]],""))</f>
        <v>10882874</v>
      </c>
    </row>
    <row r="329" spans="1:15" x14ac:dyDescent="0.25">
      <c r="A329" s="37">
        <f t="shared" si="6"/>
        <v>11</v>
      </c>
      <c r="C329" s="38" t="s">
        <v>624</v>
      </c>
      <c r="D329" s="36" t="s">
        <v>3484</v>
      </c>
      <c r="E329" s="36">
        <v>1068137</v>
      </c>
      <c r="F329" s="36">
        <v>1</v>
      </c>
      <c r="G329" s="36">
        <v>1130219</v>
      </c>
      <c r="H329" s="48" t="str">
        <f>IFERROR(INDEX(Table14[],MATCH($G329,Table14[SAPNo],0),3),"")</f>
        <v>Round 1313 CT182  10C (S)</v>
      </c>
      <c r="I329" s="37">
        <v>7</v>
      </c>
      <c r="J329" s="37">
        <f>IF(Table412[[#This Row],[MAT]]&lt;&gt;"",COUNTIF(Table3[LEVEL 5 MAT NO.],Table412[[#This Row],[MAT]]),"")</f>
        <v>0</v>
      </c>
      <c r="K329" s="36">
        <f>IFERROR(INDEX(Table3[],MATCH($E329,Table3[LEVEL 5 MAT NO.],0),2),0)</f>
        <v>0</v>
      </c>
      <c r="L329" s="36">
        <f>Table412[[#This Row],[Quantity in BOM]]*Table412[[#This Row],[Freq]]</f>
        <v>0</v>
      </c>
      <c r="M329" s="36" t="str">
        <f>IF(Table412[[#This Row],[Exist]]=1,Table412[[#This Row],[MAT]],"")</f>
        <v/>
      </c>
      <c r="N329" s="36" t="str">
        <f>IF(Table412[[#This Row],[Exist]]=1,Table412[[#This Row],[Component]],"")</f>
        <v/>
      </c>
      <c r="O329" s="36">
        <f>IFERROR(VALUE(Table412[[#This Row],[MAT]]&amp;Table412[[#This Row],[X'#]]),IF(COUNTIF(Table412[[#This Row],[MAT]],"*M"),Table412[[#This Row],[MAT]]&amp;Table412[[#This Row],[X'#]],""))</f>
        <v>10681371</v>
      </c>
    </row>
    <row r="330" spans="1:15" x14ac:dyDescent="0.25">
      <c r="A330" s="37">
        <f t="shared" si="6"/>
        <v>11</v>
      </c>
      <c r="C330" s="38" t="s">
        <v>624</v>
      </c>
      <c r="D330" s="36" t="s">
        <v>3484</v>
      </c>
      <c r="E330" s="36">
        <v>1068137</v>
      </c>
      <c r="F330" s="36">
        <v>2</v>
      </c>
      <c r="G330" s="36">
        <v>1130221</v>
      </c>
      <c r="H330" s="48" t="str">
        <f>IFERROR(INDEX(Table14[],MATCH($G330,Table14[SAPNo],0),3),"")</f>
        <v xml:space="preserve"> 1613 CT182  10C (S)</v>
      </c>
      <c r="I330" s="37">
        <v>27</v>
      </c>
      <c r="J330" s="37">
        <f>IF(Table412[[#This Row],[MAT]]&lt;&gt;"",COUNTIF(Table3[LEVEL 5 MAT NO.],Table412[[#This Row],[MAT]]),"")</f>
        <v>0</v>
      </c>
      <c r="K330" s="36">
        <f>IFERROR(INDEX(Table3[],MATCH($E330,Table3[LEVEL 5 MAT NO.],0),2),0)</f>
        <v>0</v>
      </c>
      <c r="L330" s="36">
        <f>Table412[[#This Row],[Quantity in BOM]]*Table412[[#This Row],[Freq]]</f>
        <v>0</v>
      </c>
      <c r="M330" s="36" t="str">
        <f>IF(Table412[[#This Row],[Exist]]=1,Table412[[#This Row],[MAT]],"")</f>
        <v/>
      </c>
      <c r="N330" s="36" t="str">
        <f>IF(Table412[[#This Row],[Exist]]=1,Table412[[#This Row],[Component]],"")</f>
        <v/>
      </c>
      <c r="O330" s="36">
        <f>IFERROR(VALUE(Table412[[#This Row],[MAT]]&amp;Table412[[#This Row],[X'#]]),IF(COUNTIF(Table412[[#This Row],[MAT]],"*M"),Table412[[#This Row],[MAT]]&amp;Table412[[#This Row],[X'#]],""))</f>
        <v>10681372</v>
      </c>
    </row>
    <row r="331" spans="1:15" x14ac:dyDescent="0.25">
      <c r="A331" s="37">
        <f t="shared" si="6"/>
        <v>11</v>
      </c>
      <c r="C331" s="38" t="s">
        <v>624</v>
      </c>
      <c r="D331" s="36" t="s">
        <v>3484</v>
      </c>
      <c r="E331" s="36">
        <v>1068137</v>
      </c>
      <c r="F331" s="36">
        <v>3</v>
      </c>
      <c r="G331" s="36">
        <v>418525</v>
      </c>
      <c r="H331" s="48" t="str">
        <f>IFERROR(INDEX(Table14[],MATCH($G331,Table14[SAPNo],0),3),"")</f>
        <v>Drop In 1308 CT31   (B)</v>
      </c>
      <c r="I331" s="37">
        <v>12</v>
      </c>
      <c r="J331" s="37">
        <f>IF(Table412[[#This Row],[MAT]]&lt;&gt;"",COUNTIF(Table3[LEVEL 5 MAT NO.],Table412[[#This Row],[MAT]]),"")</f>
        <v>0</v>
      </c>
      <c r="K331" s="36">
        <f>IFERROR(INDEX(Table3[],MATCH($E331,Table3[LEVEL 5 MAT NO.],0),2),0)</f>
        <v>0</v>
      </c>
      <c r="L331" s="36">
        <f>Table412[[#This Row],[Quantity in BOM]]*Table412[[#This Row],[Freq]]</f>
        <v>0</v>
      </c>
      <c r="M331" s="36" t="str">
        <f>IF(Table412[[#This Row],[Exist]]=1,Table412[[#This Row],[MAT]],"")</f>
        <v/>
      </c>
      <c r="N331" s="36" t="str">
        <f>IF(Table412[[#This Row],[Exist]]=1,Table412[[#This Row],[Component]],"")</f>
        <v/>
      </c>
      <c r="O331" s="36">
        <f>IFERROR(VALUE(Table412[[#This Row],[MAT]]&amp;Table412[[#This Row],[X'#]]),IF(COUNTIF(Table412[[#This Row],[MAT]],"*M"),Table412[[#This Row],[MAT]]&amp;Table412[[#This Row],[X'#]],""))</f>
        <v>10681373</v>
      </c>
    </row>
    <row r="332" spans="1:15" x14ac:dyDescent="0.25">
      <c r="A332" s="37">
        <f t="shared" si="6"/>
        <v>11</v>
      </c>
      <c r="C332" s="38" t="s">
        <v>624</v>
      </c>
      <c r="D332" s="36" t="s">
        <v>3484</v>
      </c>
      <c r="E332" s="36">
        <v>1068137</v>
      </c>
      <c r="F332" s="36">
        <v>4</v>
      </c>
      <c r="G332" s="36">
        <v>1050703</v>
      </c>
      <c r="H332" s="48" t="str">
        <f>IFERROR(INDEX(Table14[],MATCH($G332,Table14[SAPNo],0),3),"")</f>
        <v>1318 CT221 R1</v>
      </c>
      <c r="I332" s="37">
        <v>18</v>
      </c>
      <c r="J332" s="37">
        <f>IF(Table412[[#This Row],[MAT]]&lt;&gt;"",COUNTIF(Table3[LEVEL 5 MAT NO.],Table412[[#This Row],[MAT]]),"")</f>
        <v>0</v>
      </c>
      <c r="K332" s="36">
        <f>IFERROR(INDEX(Table3[],MATCH($E332,Table3[LEVEL 5 MAT NO.],0),2),0)</f>
        <v>0</v>
      </c>
      <c r="L332" s="36">
        <f>Table412[[#This Row],[Quantity in BOM]]*Table412[[#This Row],[Freq]]</f>
        <v>0</v>
      </c>
      <c r="M332" s="36" t="str">
        <f>IF(Table412[[#This Row],[Exist]]=1,Table412[[#This Row],[MAT]],"")</f>
        <v/>
      </c>
      <c r="N332" s="36" t="str">
        <f>IF(Table412[[#This Row],[Exist]]=1,Table412[[#This Row],[Component]],"")</f>
        <v/>
      </c>
      <c r="O332" s="36">
        <f>IFERROR(VALUE(Table412[[#This Row],[MAT]]&amp;Table412[[#This Row],[X'#]]),IF(COUNTIF(Table412[[#This Row],[MAT]],"*M"),Table412[[#This Row],[MAT]]&amp;Table412[[#This Row],[X'#]],""))</f>
        <v>10681374</v>
      </c>
    </row>
    <row r="333" spans="1:15" x14ac:dyDescent="0.25">
      <c r="A333" s="37">
        <f t="shared" si="6"/>
        <v>11</v>
      </c>
      <c r="C333" s="38" t="s">
        <v>624</v>
      </c>
      <c r="D333" s="36" t="s">
        <v>3484</v>
      </c>
      <c r="E333" s="36">
        <v>1038108</v>
      </c>
      <c r="F333" s="36">
        <v>1</v>
      </c>
      <c r="G333" s="36">
        <v>745338</v>
      </c>
      <c r="H333" s="48" t="str">
        <f>IFERROR(INDEX(Table14[],MATCH($G333,Table14[SAPNo],0),3),"")</f>
        <v>Round 1613 CT80  0.018" (B)</v>
      </c>
      <c r="I333" s="37">
        <v>27</v>
      </c>
      <c r="J333" s="37">
        <f>IF(Table412[[#This Row],[MAT]]&lt;&gt;"",COUNTIF(Table3[LEVEL 5 MAT NO.],Table412[[#This Row],[MAT]]),"")</f>
        <v>0</v>
      </c>
      <c r="K333" s="36">
        <f>IFERROR(INDEX(Table3[],MATCH($E333,Table3[LEVEL 5 MAT NO.],0),2),0)</f>
        <v>0</v>
      </c>
      <c r="L333" s="36">
        <f>Table412[[#This Row],[Quantity in BOM]]*Table412[[#This Row],[Freq]]</f>
        <v>0</v>
      </c>
      <c r="M333" s="36" t="str">
        <f>IF(Table412[[#This Row],[Exist]]=1,Table412[[#This Row],[MAT]],"")</f>
        <v/>
      </c>
      <c r="N333" s="36" t="str">
        <f>IF(Table412[[#This Row],[Exist]]=1,Table412[[#This Row],[Component]],"")</f>
        <v/>
      </c>
      <c r="O333" s="36">
        <f>IFERROR(VALUE(Table412[[#This Row],[MAT]]&amp;Table412[[#This Row],[X'#]]),IF(COUNTIF(Table412[[#This Row],[MAT]],"*M"),Table412[[#This Row],[MAT]]&amp;Table412[[#This Row],[X'#]],""))</f>
        <v>10381081</v>
      </c>
    </row>
    <row r="334" spans="1:15" x14ac:dyDescent="0.25">
      <c r="A334" s="37">
        <f t="shared" si="6"/>
        <v>11</v>
      </c>
      <c r="C334" s="38" t="s">
        <v>624</v>
      </c>
      <c r="D334" s="36" t="s">
        <v>3484</v>
      </c>
      <c r="E334" s="36">
        <v>1038108</v>
      </c>
      <c r="F334" s="36">
        <v>2</v>
      </c>
      <c r="G334" s="36">
        <v>745174</v>
      </c>
      <c r="H334" s="48" t="str">
        <f>IFERROR(INDEX(Table14[],MATCH($G334,Table14[SAPNo],0),3),"")</f>
        <v/>
      </c>
      <c r="I334" s="37">
        <v>4</v>
      </c>
      <c r="J334" s="37">
        <f>IF(Table412[[#This Row],[MAT]]&lt;&gt;"",COUNTIF(Table3[LEVEL 5 MAT NO.],Table412[[#This Row],[MAT]]),"")</f>
        <v>0</v>
      </c>
      <c r="K334" s="36">
        <f>IFERROR(INDEX(Table3[],MATCH($E334,Table3[LEVEL 5 MAT NO.],0),2),0)</f>
        <v>0</v>
      </c>
      <c r="L334" s="36">
        <f>Table412[[#This Row],[Quantity in BOM]]*Table412[[#This Row],[Freq]]</f>
        <v>0</v>
      </c>
      <c r="M334" s="36" t="str">
        <f>IF(Table412[[#This Row],[Exist]]=1,Table412[[#This Row],[MAT]],"")</f>
        <v/>
      </c>
      <c r="N334" s="36" t="str">
        <f>IF(Table412[[#This Row],[Exist]]=1,Table412[[#This Row],[Component]],"")</f>
        <v/>
      </c>
      <c r="O334" s="36">
        <f>IFERROR(VALUE(Table412[[#This Row],[MAT]]&amp;Table412[[#This Row],[X'#]]),IF(COUNTIF(Table412[[#This Row],[MAT]],"*M"),Table412[[#This Row],[MAT]]&amp;Table412[[#This Row],[X'#]],""))</f>
        <v>10381082</v>
      </c>
    </row>
    <row r="335" spans="1:15" x14ac:dyDescent="0.25">
      <c r="A335" s="37">
        <f t="shared" si="6"/>
        <v>11</v>
      </c>
      <c r="C335" s="38" t="s">
        <v>624</v>
      </c>
      <c r="D335" s="36" t="s">
        <v>3484</v>
      </c>
      <c r="E335" s="36">
        <v>1038108</v>
      </c>
      <c r="F335" s="36">
        <v>3</v>
      </c>
      <c r="G335" s="36">
        <v>418525</v>
      </c>
      <c r="H335" s="48" t="str">
        <f>IFERROR(INDEX(Table14[],MATCH($G335,Table14[SAPNo],0),3),"")</f>
        <v>Drop In 1308 CT31   (B)</v>
      </c>
      <c r="I335" s="37">
        <v>6</v>
      </c>
      <c r="J335" s="37">
        <f>IF(Table412[[#This Row],[MAT]]&lt;&gt;"",COUNTIF(Table3[LEVEL 5 MAT NO.],Table412[[#This Row],[MAT]]),"")</f>
        <v>0</v>
      </c>
      <c r="K335" s="36">
        <f>IFERROR(INDEX(Table3[],MATCH($E335,Table3[LEVEL 5 MAT NO.],0),2),0)</f>
        <v>0</v>
      </c>
      <c r="L335" s="36">
        <f>Table412[[#This Row],[Quantity in BOM]]*Table412[[#This Row],[Freq]]</f>
        <v>0</v>
      </c>
      <c r="M335" s="36" t="str">
        <f>IF(Table412[[#This Row],[Exist]]=1,Table412[[#This Row],[MAT]],"")</f>
        <v/>
      </c>
      <c r="N335" s="36" t="str">
        <f>IF(Table412[[#This Row],[Exist]]=1,Table412[[#This Row],[Component]],"")</f>
        <v/>
      </c>
      <c r="O335" s="36">
        <f>IFERROR(VALUE(Table412[[#This Row],[MAT]]&amp;Table412[[#This Row],[X'#]]),IF(COUNTIF(Table412[[#This Row],[MAT]],"*M"),Table412[[#This Row],[MAT]]&amp;Table412[[#This Row],[X'#]],""))</f>
        <v>10381083</v>
      </c>
    </row>
    <row r="336" spans="1:15" x14ac:dyDescent="0.25">
      <c r="A336" s="37">
        <f t="shared" si="6"/>
        <v>11</v>
      </c>
      <c r="C336" s="38" t="s">
        <v>624</v>
      </c>
      <c r="D336" s="36" t="s">
        <v>3484</v>
      </c>
      <c r="E336" s="36">
        <v>1038108</v>
      </c>
      <c r="F336" s="36">
        <v>4</v>
      </c>
      <c r="G336" s="36">
        <v>871781</v>
      </c>
      <c r="H336" s="48" t="str">
        <f>IFERROR(INDEX(Table14[],MATCH($G336,Table14[SAPNo],0),3),"")</f>
        <v>Round 1313 CT200  0.018" (B)</v>
      </c>
      <c r="I336" s="37">
        <v>3</v>
      </c>
      <c r="J336" s="37">
        <f>IF(Table412[[#This Row],[MAT]]&lt;&gt;"",COUNTIF(Table3[LEVEL 5 MAT NO.],Table412[[#This Row],[MAT]]),"")</f>
        <v>0</v>
      </c>
      <c r="K336" s="36">
        <f>IFERROR(INDEX(Table3[],MATCH($E336,Table3[LEVEL 5 MAT NO.],0),2),0)</f>
        <v>0</v>
      </c>
      <c r="L336" s="36">
        <f>Table412[[#This Row],[Quantity in BOM]]*Table412[[#This Row],[Freq]]</f>
        <v>0</v>
      </c>
      <c r="M336" s="36" t="str">
        <f>IF(Table412[[#This Row],[Exist]]=1,Table412[[#This Row],[MAT]],"")</f>
        <v/>
      </c>
      <c r="N336" s="36" t="str">
        <f>IF(Table412[[#This Row],[Exist]]=1,Table412[[#This Row],[Component]],"")</f>
        <v/>
      </c>
      <c r="O336" s="36">
        <f>IFERROR(VALUE(Table412[[#This Row],[MAT]]&amp;Table412[[#This Row],[X'#]]),IF(COUNTIF(Table412[[#This Row],[MAT]],"*M"),Table412[[#This Row],[MAT]]&amp;Table412[[#This Row],[X'#]],""))</f>
        <v>10381084</v>
      </c>
    </row>
    <row r="337" spans="1:15" x14ac:dyDescent="0.25">
      <c r="A337" s="37">
        <f t="shared" si="6"/>
        <v>11</v>
      </c>
      <c r="C337" s="38" t="s">
        <v>624</v>
      </c>
      <c r="D337" s="36" t="s">
        <v>3484</v>
      </c>
      <c r="E337" s="36">
        <v>1038108</v>
      </c>
      <c r="F337" s="36">
        <v>5</v>
      </c>
      <c r="G337" s="36">
        <v>375538</v>
      </c>
      <c r="H337" s="48" t="str">
        <f>IFERROR(INDEX(Table14[],MATCH($G337,Table14[SAPNo],0),3),"")</f>
        <v>R1 13  R1 PEP .012R LG BEVEL  (D)</v>
      </c>
      <c r="I337" s="37">
        <v>18</v>
      </c>
      <c r="J337" s="37">
        <f>IF(Table412[[#This Row],[MAT]]&lt;&gt;"",COUNTIF(Table3[LEVEL 5 MAT NO.],Table412[[#This Row],[MAT]]),"")</f>
        <v>0</v>
      </c>
      <c r="K337" s="36">
        <f>IFERROR(INDEX(Table3[],MATCH($E337,Table3[LEVEL 5 MAT NO.],0),2),0)</f>
        <v>0</v>
      </c>
      <c r="L337" s="36">
        <f>Table412[[#This Row],[Quantity in BOM]]*Table412[[#This Row],[Freq]]</f>
        <v>0</v>
      </c>
      <c r="M337" s="36" t="str">
        <f>IF(Table412[[#This Row],[Exist]]=1,Table412[[#This Row],[MAT]],"")</f>
        <v/>
      </c>
      <c r="N337" s="36" t="str">
        <f>IF(Table412[[#This Row],[Exist]]=1,Table412[[#This Row],[Component]],"")</f>
        <v/>
      </c>
      <c r="O337" s="36">
        <f>IFERROR(VALUE(Table412[[#This Row],[MAT]]&amp;Table412[[#This Row],[X'#]]),IF(COUNTIF(Table412[[#This Row],[MAT]],"*M"),Table412[[#This Row],[MAT]]&amp;Table412[[#This Row],[X'#]],""))</f>
        <v>10381085</v>
      </c>
    </row>
    <row r="338" spans="1:15" x14ac:dyDescent="0.25">
      <c r="A338" s="37">
        <f t="shared" si="6"/>
        <v>11</v>
      </c>
      <c r="C338" s="38" t="s">
        <v>624</v>
      </c>
      <c r="D338" s="36" t="s">
        <v>3676</v>
      </c>
      <c r="E338" s="36">
        <v>983003</v>
      </c>
      <c r="F338" s="36">
        <v>1</v>
      </c>
      <c r="G338" s="36">
        <v>933119</v>
      </c>
      <c r="H338" s="48" t="str">
        <f>IFERROR(INDEX(Table14[],MATCH($G338,Table14[SAPNo],0),3),"")</f>
        <v/>
      </c>
      <c r="I338" s="37">
        <v>27</v>
      </c>
      <c r="J338" s="37">
        <f>IF(Table412[[#This Row],[MAT]]&lt;&gt;"",COUNTIF(Table3[LEVEL 5 MAT NO.],Table412[[#This Row],[MAT]]),"")</f>
        <v>0</v>
      </c>
      <c r="K338" s="36">
        <f>IFERROR(INDEX(Table3[],MATCH($E338,Table3[LEVEL 5 MAT NO.],0),2),0)</f>
        <v>0</v>
      </c>
      <c r="L338" s="36">
        <f>Table412[[#This Row],[Quantity in BOM]]*Table412[[#This Row],[Freq]]</f>
        <v>0</v>
      </c>
      <c r="M338" s="36" t="str">
        <f>IF(Table412[[#This Row],[Exist]]=1,Table412[[#This Row],[MAT]],"")</f>
        <v/>
      </c>
      <c r="N338" s="36" t="str">
        <f>IF(Table412[[#This Row],[Exist]]=1,Table412[[#This Row],[Component]],"")</f>
        <v/>
      </c>
      <c r="O338" s="36">
        <f>IFERROR(VALUE(Table412[[#This Row],[MAT]]&amp;Table412[[#This Row],[X'#]]),IF(COUNTIF(Table412[[#This Row],[MAT]],"*M"),Table412[[#This Row],[MAT]]&amp;Table412[[#This Row],[X'#]],""))</f>
        <v>9830031</v>
      </c>
    </row>
    <row r="339" spans="1:15" x14ac:dyDescent="0.25">
      <c r="A339" s="37">
        <f t="shared" si="6"/>
        <v>11</v>
      </c>
      <c r="C339" s="38" t="s">
        <v>624</v>
      </c>
      <c r="D339" s="36" t="s">
        <v>3676</v>
      </c>
      <c r="E339" s="36">
        <v>983003</v>
      </c>
      <c r="F339" s="36">
        <v>2</v>
      </c>
      <c r="G339" s="36">
        <v>932725</v>
      </c>
      <c r="H339" s="48" t="str">
        <f>IFERROR(INDEX(Table14[],MATCH($G339,Table14[SAPNo],0),3),"")</f>
        <v>Round 1313 CT405  10C (P)</v>
      </c>
      <c r="I339" s="37">
        <v>4</v>
      </c>
      <c r="J339" s="37">
        <f>IF(Table412[[#This Row],[MAT]]&lt;&gt;"",COUNTIF(Table3[LEVEL 5 MAT NO.],Table412[[#This Row],[MAT]]),"")</f>
        <v>0</v>
      </c>
      <c r="K339" s="36">
        <f>IFERROR(INDEX(Table3[],MATCH($E339,Table3[LEVEL 5 MAT NO.],0),2),0)</f>
        <v>0</v>
      </c>
      <c r="L339" s="36">
        <f>Table412[[#This Row],[Quantity in BOM]]*Table412[[#This Row],[Freq]]</f>
        <v>0</v>
      </c>
      <c r="M339" s="36" t="str">
        <f>IF(Table412[[#This Row],[Exist]]=1,Table412[[#This Row],[MAT]],"")</f>
        <v/>
      </c>
      <c r="N339" s="36" t="str">
        <f>IF(Table412[[#This Row],[Exist]]=1,Table412[[#This Row],[Component]],"")</f>
        <v/>
      </c>
      <c r="O339" s="36">
        <f>IFERROR(VALUE(Table412[[#This Row],[MAT]]&amp;Table412[[#This Row],[X'#]]),IF(COUNTIF(Table412[[#This Row],[MAT]],"*M"),Table412[[#This Row],[MAT]]&amp;Table412[[#This Row],[X'#]],""))</f>
        <v>9830032</v>
      </c>
    </row>
    <row r="340" spans="1:15" x14ac:dyDescent="0.25">
      <c r="A340" s="37">
        <f t="shared" si="6"/>
        <v>11</v>
      </c>
      <c r="C340" s="38" t="s">
        <v>624</v>
      </c>
      <c r="D340" s="36" t="s">
        <v>3676</v>
      </c>
      <c r="E340" s="36">
        <v>983003</v>
      </c>
      <c r="F340" s="36">
        <v>3</v>
      </c>
      <c r="G340" s="36">
        <v>733670</v>
      </c>
      <c r="H340" s="48" t="str">
        <f>IFERROR(INDEX(Table14[],MATCH($G340,Table14[SAPNo],0),3),"")</f>
        <v/>
      </c>
      <c r="I340" s="37">
        <v>3</v>
      </c>
      <c r="J340" s="37">
        <f>IF(Table412[[#This Row],[MAT]]&lt;&gt;"",COUNTIF(Table3[LEVEL 5 MAT NO.],Table412[[#This Row],[MAT]]),"")</f>
        <v>0</v>
      </c>
      <c r="K340" s="36">
        <f>IFERROR(INDEX(Table3[],MATCH($E340,Table3[LEVEL 5 MAT NO.],0),2),0)</f>
        <v>0</v>
      </c>
      <c r="L340" s="36">
        <f>Table412[[#This Row],[Quantity in BOM]]*Table412[[#This Row],[Freq]]</f>
        <v>0</v>
      </c>
      <c r="M340" s="36" t="str">
        <f>IF(Table412[[#This Row],[Exist]]=1,Table412[[#This Row],[MAT]],"")</f>
        <v/>
      </c>
      <c r="N340" s="36" t="str">
        <f>IF(Table412[[#This Row],[Exist]]=1,Table412[[#This Row],[Component]],"")</f>
        <v/>
      </c>
      <c r="O340" s="36">
        <f>IFERROR(VALUE(Table412[[#This Row],[MAT]]&amp;Table412[[#This Row],[X'#]]),IF(COUNTIF(Table412[[#This Row],[MAT]],"*M"),Table412[[#This Row],[MAT]]&amp;Table412[[#This Row],[X'#]],""))</f>
        <v>9830033</v>
      </c>
    </row>
    <row r="341" spans="1:15" x14ac:dyDescent="0.25">
      <c r="A341" s="37">
        <f t="shared" si="6"/>
        <v>11</v>
      </c>
      <c r="C341" s="38" t="s">
        <v>624</v>
      </c>
      <c r="D341" s="36" t="s">
        <v>3676</v>
      </c>
      <c r="E341" s="36">
        <v>983003</v>
      </c>
      <c r="F341" s="36">
        <v>4</v>
      </c>
      <c r="G341" s="36">
        <v>513509</v>
      </c>
      <c r="H341" s="48" t="str">
        <f>IFERROR(INDEX(Table14[],MATCH($G341,Table14[SAPNo],0),3),"")</f>
        <v/>
      </c>
      <c r="I341" s="37">
        <v>12</v>
      </c>
      <c r="J341" s="37">
        <f>IF(Table412[[#This Row],[MAT]]&lt;&gt;"",COUNTIF(Table3[LEVEL 5 MAT NO.],Table412[[#This Row],[MAT]]),"")</f>
        <v>0</v>
      </c>
      <c r="K341" s="36">
        <f>IFERROR(INDEX(Table3[],MATCH($E341,Table3[LEVEL 5 MAT NO.],0),2),0)</f>
        <v>0</v>
      </c>
      <c r="L341" s="36">
        <f>Table412[[#This Row],[Quantity in BOM]]*Table412[[#This Row],[Freq]]</f>
        <v>0</v>
      </c>
      <c r="M341" s="36" t="str">
        <f>IF(Table412[[#This Row],[Exist]]=1,Table412[[#This Row],[MAT]],"")</f>
        <v/>
      </c>
      <c r="N341" s="36" t="str">
        <f>IF(Table412[[#This Row],[Exist]]=1,Table412[[#This Row],[Component]],"")</f>
        <v/>
      </c>
      <c r="O341" s="36">
        <f>IFERROR(VALUE(Table412[[#This Row],[MAT]]&amp;Table412[[#This Row],[X'#]]),IF(COUNTIF(Table412[[#This Row],[MAT]],"*M"),Table412[[#This Row],[MAT]]&amp;Table412[[#This Row],[X'#]],""))</f>
        <v>9830034</v>
      </c>
    </row>
    <row r="342" spans="1:15" x14ac:dyDescent="0.25">
      <c r="A342" s="37">
        <f t="shared" si="6"/>
        <v>11</v>
      </c>
      <c r="C342" s="38" t="s">
        <v>624</v>
      </c>
      <c r="D342" s="36" t="s">
        <v>3676</v>
      </c>
      <c r="E342" s="36">
        <v>983003</v>
      </c>
      <c r="F342" s="36">
        <v>5</v>
      </c>
      <c r="G342" s="36">
        <v>375538</v>
      </c>
      <c r="H342" s="48" t="str">
        <f>IFERROR(INDEX(Table14[],MATCH($G342,Table14[SAPNo],0),3),"")</f>
        <v>R1 13  R1 PEP .012R LG BEVEL  (D)</v>
      </c>
      <c r="I342" s="37">
        <v>18</v>
      </c>
      <c r="J342" s="37">
        <f>IF(Table412[[#This Row],[MAT]]&lt;&gt;"",COUNTIF(Table3[LEVEL 5 MAT NO.],Table412[[#This Row],[MAT]]),"")</f>
        <v>0</v>
      </c>
      <c r="K342" s="36">
        <f>IFERROR(INDEX(Table3[],MATCH($E342,Table3[LEVEL 5 MAT NO.],0),2),0)</f>
        <v>0</v>
      </c>
      <c r="L342" s="36">
        <f>Table412[[#This Row],[Quantity in BOM]]*Table412[[#This Row],[Freq]]</f>
        <v>0</v>
      </c>
      <c r="M342" s="36" t="str">
        <f>IF(Table412[[#This Row],[Exist]]=1,Table412[[#This Row],[MAT]],"")</f>
        <v/>
      </c>
      <c r="N342" s="36" t="str">
        <f>IF(Table412[[#This Row],[Exist]]=1,Table412[[#This Row],[Component]],"")</f>
        <v/>
      </c>
      <c r="O342" s="36">
        <f>IFERROR(VALUE(Table412[[#This Row],[MAT]]&amp;Table412[[#This Row],[X'#]]),IF(COUNTIF(Table412[[#This Row],[MAT]],"*M"),Table412[[#This Row],[MAT]]&amp;Table412[[#This Row],[X'#]],""))</f>
        <v>9830035</v>
      </c>
    </row>
    <row r="343" spans="1:15" x14ac:dyDescent="0.25">
      <c r="A343" s="37">
        <f t="shared" si="6"/>
        <v>11</v>
      </c>
      <c r="C343" s="36" t="s">
        <v>315</v>
      </c>
      <c r="D343" s="36" t="s">
        <v>367</v>
      </c>
      <c r="E343" s="36">
        <v>1020531</v>
      </c>
      <c r="F343" s="36">
        <v>2</v>
      </c>
      <c r="G343" s="36">
        <v>1130200</v>
      </c>
      <c r="H343" s="48" t="str">
        <f>IFERROR(INDEX(Table14[],MATCH($G343,Table14[SAPNo],0),3),"")</f>
        <v>Round 1913 CT182  0.018" (S)</v>
      </c>
      <c r="I343" s="37">
        <v>24</v>
      </c>
      <c r="J343" s="37">
        <f>IF(Table412[[#This Row],[MAT]]&lt;&gt;"",COUNTIF(Table3[LEVEL 5 MAT NO.],Table412[[#This Row],[MAT]]),"")</f>
        <v>0</v>
      </c>
      <c r="K343" s="36">
        <f>IFERROR(INDEX(Table3[],MATCH($E343,Table3[LEVEL 5 MAT NO.],0),2),0)</f>
        <v>0</v>
      </c>
      <c r="L343" s="36">
        <f>Table412[[#This Row],[Quantity in BOM]]*Table412[[#This Row],[Freq]]</f>
        <v>0</v>
      </c>
      <c r="M343" s="36" t="str">
        <f>IF(Table412[[#This Row],[Exist]]=1,Table412[[#This Row],[MAT]],"")</f>
        <v/>
      </c>
      <c r="N343" s="36" t="str">
        <f>IF(Table412[[#This Row],[Exist]]=1,Table412[[#This Row],[Component]],"")</f>
        <v/>
      </c>
      <c r="O343" s="36">
        <f>IFERROR(VALUE(Table412[[#This Row],[MAT]]&amp;Table412[[#This Row],[X'#]]),IF(COUNTIF(Table412[[#This Row],[MAT]],"*M"),Table412[[#This Row],[MAT]]&amp;Table412[[#This Row],[X'#]],""))</f>
        <v>10205312</v>
      </c>
    </row>
    <row r="344" spans="1:15" x14ac:dyDescent="0.25">
      <c r="A344" s="37">
        <f t="shared" si="6"/>
        <v>11</v>
      </c>
      <c r="C344" s="36" t="s">
        <v>315</v>
      </c>
      <c r="D344" s="36" t="s">
        <v>367</v>
      </c>
      <c r="E344" s="36">
        <v>1020531</v>
      </c>
      <c r="F344" s="36">
        <v>3</v>
      </c>
      <c r="G344" s="36">
        <v>418525</v>
      </c>
      <c r="H344" s="48" t="str">
        <f>IFERROR(INDEX(Table14[],MATCH($G344,Table14[SAPNo],0),3),"")</f>
        <v>Drop In 1308 CT31   (B)</v>
      </c>
      <c r="I344" s="37">
        <v>8</v>
      </c>
      <c r="J344" s="37">
        <f>IF(Table412[[#This Row],[MAT]]&lt;&gt;"",COUNTIF(Table3[LEVEL 5 MAT NO.],Table412[[#This Row],[MAT]]),"")</f>
        <v>0</v>
      </c>
      <c r="K344" s="36">
        <f>IFERROR(INDEX(Table3[],MATCH($E344,Table3[LEVEL 5 MAT NO.],0),2),0)</f>
        <v>0</v>
      </c>
      <c r="L344" s="36">
        <f>Table412[[#This Row],[Quantity in BOM]]*Table412[[#This Row],[Freq]]</f>
        <v>0</v>
      </c>
      <c r="M344" s="36" t="str">
        <f>IF(Table412[[#This Row],[Exist]]=1,Table412[[#This Row],[MAT]],"")</f>
        <v/>
      </c>
      <c r="N344" s="36" t="str">
        <f>IF(Table412[[#This Row],[Exist]]=1,Table412[[#This Row],[Component]],"")</f>
        <v/>
      </c>
      <c r="O344" s="36">
        <f>IFERROR(VALUE(Table412[[#This Row],[MAT]]&amp;Table412[[#This Row],[X'#]]),IF(COUNTIF(Table412[[#This Row],[MAT]],"*M"),Table412[[#This Row],[MAT]]&amp;Table412[[#This Row],[X'#]],""))</f>
        <v>10205313</v>
      </c>
    </row>
    <row r="345" spans="1:15" x14ac:dyDescent="0.25">
      <c r="A345" s="37">
        <f t="shared" si="6"/>
        <v>11</v>
      </c>
      <c r="C345" s="36" t="s">
        <v>315</v>
      </c>
      <c r="D345" s="36" t="s">
        <v>367</v>
      </c>
      <c r="E345" s="36">
        <v>1020531</v>
      </c>
      <c r="F345" s="36">
        <v>4</v>
      </c>
      <c r="G345" s="36">
        <v>1100741</v>
      </c>
      <c r="H345" s="48" t="str">
        <f>IFERROR(INDEX(Table14[],MATCH($G345,Table14[SAPNo],0),3),"")</f>
        <v>Round 1613 CT418  0.018" (S)</v>
      </c>
      <c r="I345" s="37">
        <v>9</v>
      </c>
      <c r="J345" s="37">
        <f>IF(Table412[[#This Row],[MAT]]&lt;&gt;"",COUNTIF(Table3[LEVEL 5 MAT NO.],Table412[[#This Row],[MAT]]),"")</f>
        <v>0</v>
      </c>
      <c r="K345" s="36">
        <f>IFERROR(INDEX(Table3[],MATCH($E345,Table3[LEVEL 5 MAT NO.],0),2),0)</f>
        <v>0</v>
      </c>
      <c r="L345" s="36">
        <f>Table412[[#This Row],[Quantity in BOM]]*Table412[[#This Row],[Freq]]</f>
        <v>0</v>
      </c>
      <c r="M345" s="36" t="str">
        <f>IF(Table412[[#This Row],[Exist]]=1,Table412[[#This Row],[MAT]],"")</f>
        <v/>
      </c>
      <c r="N345" s="36" t="str">
        <f>IF(Table412[[#This Row],[Exist]]=1,Table412[[#This Row],[Component]],"")</f>
        <v/>
      </c>
      <c r="O345" s="36">
        <f>IFERROR(VALUE(Table412[[#This Row],[MAT]]&amp;Table412[[#This Row],[X'#]]),IF(COUNTIF(Table412[[#This Row],[MAT]],"*M"),Table412[[#This Row],[MAT]]&amp;Table412[[#This Row],[X'#]],""))</f>
        <v>10205314</v>
      </c>
    </row>
    <row r="346" spans="1:15" x14ac:dyDescent="0.25">
      <c r="A346" s="37">
        <f t="shared" si="6"/>
        <v>11</v>
      </c>
      <c r="C346" s="38" t="s">
        <v>3677</v>
      </c>
      <c r="D346" s="36" t="s">
        <v>3458</v>
      </c>
      <c r="E346" s="36">
        <v>412958</v>
      </c>
      <c r="F346" s="36">
        <v>1</v>
      </c>
      <c r="G346" s="36">
        <v>717749</v>
      </c>
      <c r="H346" s="48" t="str">
        <f>IFERROR(INDEX(Table14[],MATCH($G346,Table14[SAPNo],0),3),"")</f>
        <v>Round 1308 CT200  10C (B)</v>
      </c>
      <c r="I346" s="37">
        <v>31</v>
      </c>
      <c r="J346" s="37">
        <f>IF(Table412[[#This Row],[MAT]]&lt;&gt;"",COUNTIF(Table3[LEVEL 5 MAT NO.],Table412[[#This Row],[MAT]]),"")</f>
        <v>0</v>
      </c>
      <c r="K346" s="36">
        <f>IFERROR(INDEX(Table3[],MATCH($E346,Table3[LEVEL 5 MAT NO.],0),2),0)</f>
        <v>0</v>
      </c>
      <c r="L346" s="36">
        <f>Table412[[#This Row],[Quantity in BOM]]*Table412[[#This Row],[Freq]]</f>
        <v>0</v>
      </c>
      <c r="M346" s="36" t="str">
        <f>IF(Table412[[#This Row],[Exist]]=1,Table412[[#This Row],[MAT]],"")</f>
        <v/>
      </c>
      <c r="N346" s="36" t="str">
        <f>IF(Table412[[#This Row],[Exist]]=1,Table412[[#This Row],[Component]],"")</f>
        <v/>
      </c>
      <c r="O346" s="36">
        <f>IFERROR(VALUE(Table412[[#This Row],[MAT]]&amp;Table412[[#This Row],[X'#]]),IF(COUNTIF(Table412[[#This Row],[MAT]],"*M"),Table412[[#This Row],[MAT]]&amp;Table412[[#This Row],[X'#]],""))</f>
        <v>4129581</v>
      </c>
    </row>
    <row r="347" spans="1:15" x14ac:dyDescent="0.25">
      <c r="A347" s="37">
        <f t="shared" si="6"/>
        <v>11</v>
      </c>
      <c r="C347" s="38" t="s">
        <v>315</v>
      </c>
      <c r="D347" s="36" t="s">
        <v>314</v>
      </c>
      <c r="E347" s="36">
        <v>1041191</v>
      </c>
      <c r="F347" s="36">
        <v>1</v>
      </c>
      <c r="G347" s="36">
        <v>1130198</v>
      </c>
      <c r="H347" s="48" t="str">
        <f>IFERROR(INDEX(Table14[],MATCH($G347,Table14[SAPNo],0),3),"")</f>
        <v>Round 1613 CT182  0.018" (S)</v>
      </c>
      <c r="I347" s="37">
        <v>50</v>
      </c>
      <c r="J347" s="37">
        <f>IF(Table412[[#This Row],[MAT]]&lt;&gt;"",COUNTIF(Table3[LEVEL 5 MAT NO.],Table412[[#This Row],[MAT]]),"")</f>
        <v>0</v>
      </c>
      <c r="K347" s="36">
        <f>IFERROR(INDEX(Table3[],MATCH($E347,Table3[LEVEL 5 MAT NO.],0),2),0)</f>
        <v>0</v>
      </c>
      <c r="L347" s="36">
        <f>Table412[[#This Row],[Quantity in BOM]]*Table412[[#This Row],[Freq]]</f>
        <v>0</v>
      </c>
      <c r="M347" s="36" t="str">
        <f>IF(Table412[[#This Row],[Exist]]=1,Table412[[#This Row],[MAT]],"")</f>
        <v/>
      </c>
      <c r="N347" s="36" t="str">
        <f>IF(Table412[[#This Row],[Exist]]=1,Table412[[#This Row],[Component]],"")</f>
        <v/>
      </c>
      <c r="O347" s="36">
        <f>IFERROR(VALUE(Table412[[#This Row],[MAT]]&amp;Table412[[#This Row],[X'#]]),IF(COUNTIF(Table412[[#This Row],[MAT]],"*M"),Table412[[#This Row],[MAT]]&amp;Table412[[#This Row],[X'#]],""))</f>
        <v>10411911</v>
      </c>
    </row>
    <row r="348" spans="1:15" x14ac:dyDescent="0.25">
      <c r="A348" s="37">
        <f t="shared" si="6"/>
        <v>11</v>
      </c>
      <c r="C348" s="38" t="s">
        <v>315</v>
      </c>
      <c r="D348" s="36" t="s">
        <v>314</v>
      </c>
      <c r="E348" s="36">
        <v>1041191</v>
      </c>
      <c r="F348" s="36">
        <v>2</v>
      </c>
      <c r="G348" s="36">
        <v>418525</v>
      </c>
      <c r="H348" s="48" t="str">
        <f>IFERROR(INDEX(Table14[],MATCH($G348,Table14[SAPNo],0),3),"")</f>
        <v>Drop In 1308 CT31   (B)</v>
      </c>
      <c r="I348" s="37">
        <v>5</v>
      </c>
      <c r="J348" s="37">
        <f>IF(Table412[[#This Row],[MAT]]&lt;&gt;"",COUNTIF(Table3[LEVEL 5 MAT NO.],Table412[[#This Row],[MAT]]),"")</f>
        <v>0</v>
      </c>
      <c r="K348" s="36">
        <f>IFERROR(INDEX(Table3[],MATCH($E348,Table3[LEVEL 5 MAT NO.],0),2),0)</f>
        <v>0</v>
      </c>
      <c r="L348" s="36">
        <f>Table412[[#This Row],[Quantity in BOM]]*Table412[[#This Row],[Freq]]</f>
        <v>0</v>
      </c>
      <c r="M348" s="36" t="str">
        <f>IF(Table412[[#This Row],[Exist]]=1,Table412[[#This Row],[MAT]],"")</f>
        <v/>
      </c>
      <c r="N348" s="36" t="str">
        <f>IF(Table412[[#This Row],[Exist]]=1,Table412[[#This Row],[Component]],"")</f>
        <v/>
      </c>
      <c r="O348" s="36">
        <f>IFERROR(VALUE(Table412[[#This Row],[MAT]]&amp;Table412[[#This Row],[X'#]]),IF(COUNTIF(Table412[[#This Row],[MAT]],"*M"),Table412[[#This Row],[MAT]]&amp;Table412[[#This Row],[X'#]],""))</f>
        <v>10411912</v>
      </c>
    </row>
    <row r="349" spans="1:15" x14ac:dyDescent="0.25">
      <c r="A349" s="37">
        <f t="shared" si="6"/>
        <v>11</v>
      </c>
      <c r="C349" s="38" t="s">
        <v>315</v>
      </c>
      <c r="D349" s="36" t="s">
        <v>314</v>
      </c>
      <c r="E349" s="36">
        <v>1041191</v>
      </c>
      <c r="F349" s="36">
        <v>3</v>
      </c>
      <c r="G349" s="36">
        <v>871781</v>
      </c>
      <c r="H349" s="48" t="str">
        <f>IFERROR(INDEX(Table14[],MATCH($G349,Table14[SAPNo],0),3),"")</f>
        <v>Round 1313 CT200  0.018" (B)</v>
      </c>
      <c r="I349" s="37">
        <v>3</v>
      </c>
      <c r="J349" s="37">
        <f>IF(Table412[[#This Row],[MAT]]&lt;&gt;"",COUNTIF(Table3[LEVEL 5 MAT NO.],Table412[[#This Row],[MAT]]),"")</f>
        <v>0</v>
      </c>
      <c r="K349" s="36">
        <f>IFERROR(INDEX(Table3[],MATCH($E349,Table3[LEVEL 5 MAT NO.],0),2),0)</f>
        <v>0</v>
      </c>
      <c r="L349" s="36">
        <f>Table412[[#This Row],[Quantity in BOM]]*Table412[[#This Row],[Freq]]</f>
        <v>0</v>
      </c>
      <c r="M349" s="36" t="str">
        <f>IF(Table412[[#This Row],[Exist]]=1,Table412[[#This Row],[MAT]],"")</f>
        <v/>
      </c>
      <c r="N349" s="36" t="str">
        <f>IF(Table412[[#This Row],[Exist]]=1,Table412[[#This Row],[Component]],"")</f>
        <v/>
      </c>
      <c r="O349" s="36">
        <f>IFERROR(VALUE(Table412[[#This Row],[MAT]]&amp;Table412[[#This Row],[X'#]]),IF(COUNTIF(Table412[[#This Row],[MAT]],"*M"),Table412[[#This Row],[MAT]]&amp;Table412[[#This Row],[X'#]],""))</f>
        <v>10411913</v>
      </c>
    </row>
    <row r="350" spans="1:15" x14ac:dyDescent="0.25">
      <c r="A350" s="37">
        <f t="shared" si="6"/>
        <v>11</v>
      </c>
      <c r="C350" s="38" t="s">
        <v>315</v>
      </c>
      <c r="D350" s="36" t="s">
        <v>314</v>
      </c>
      <c r="E350" s="36">
        <v>1041191</v>
      </c>
      <c r="F350" s="36">
        <v>4</v>
      </c>
      <c r="G350" s="36">
        <v>647436</v>
      </c>
      <c r="H350" s="48" t="str">
        <f>IFERROR(INDEX(Table14[],MATCH($G350,Table14[SAPNo],0),3),"")</f>
        <v>Round 1613 CT200  0.018" (B)</v>
      </c>
      <c r="I350" s="37">
        <v>31</v>
      </c>
      <c r="J350" s="37">
        <f>IF(Table412[[#This Row],[MAT]]&lt;&gt;"",COUNTIF(Table3[LEVEL 5 MAT NO.],Table412[[#This Row],[MAT]]),"")</f>
        <v>0</v>
      </c>
      <c r="K350" s="36">
        <f>IFERROR(INDEX(Table3[],MATCH($E350,Table3[LEVEL 5 MAT NO.],0),2),0)</f>
        <v>0</v>
      </c>
      <c r="L350" s="36">
        <f>Table412[[#This Row],[Quantity in BOM]]*Table412[[#This Row],[Freq]]</f>
        <v>0</v>
      </c>
      <c r="M350" s="36" t="str">
        <f>IF(Table412[[#This Row],[Exist]]=1,Table412[[#This Row],[MAT]],"")</f>
        <v/>
      </c>
      <c r="N350" s="36" t="str">
        <f>IF(Table412[[#This Row],[Exist]]=1,Table412[[#This Row],[Component]],"")</f>
        <v/>
      </c>
      <c r="O350" s="36">
        <f>IFERROR(VALUE(Table412[[#This Row],[MAT]]&amp;Table412[[#This Row],[X'#]]),IF(COUNTIF(Table412[[#This Row],[MAT]],"*M"),Table412[[#This Row],[MAT]]&amp;Table412[[#This Row],[X'#]],""))</f>
        <v>10411914</v>
      </c>
    </row>
    <row r="351" spans="1:15" x14ac:dyDescent="0.25">
      <c r="A351" s="37">
        <f t="shared" si="6"/>
        <v>11</v>
      </c>
      <c r="C351" s="36" t="s">
        <v>315</v>
      </c>
      <c r="D351" s="36" t="s">
        <v>367</v>
      </c>
      <c r="E351" s="36">
        <v>1020531</v>
      </c>
      <c r="F351" s="36">
        <v>5</v>
      </c>
      <c r="G351" s="36">
        <v>1130197</v>
      </c>
      <c r="H351" s="48" t="str">
        <f>IFERROR(INDEX(Table14[],MATCH($G351,Table14[SAPNo],0),3),"")</f>
        <v>Round 1608 CT182  0.018" (S)</v>
      </c>
      <c r="I351" s="37">
        <v>8</v>
      </c>
      <c r="J351" s="37">
        <f>IF(Table412[[#This Row],[MAT]]&lt;&gt;"",COUNTIF(Table3[LEVEL 5 MAT NO.],Table412[[#This Row],[MAT]]),"")</f>
        <v>0</v>
      </c>
      <c r="K351" s="36">
        <f>IFERROR(INDEX(Table3[],MATCH($E351,Table3[LEVEL 5 MAT NO.],0),2),0)</f>
        <v>0</v>
      </c>
      <c r="L351" s="36">
        <f>Table412[[#This Row],[Quantity in BOM]]*Table412[[#This Row],[Freq]]</f>
        <v>0</v>
      </c>
      <c r="M351" s="36" t="str">
        <f>IF(Table412[[#This Row],[Exist]]=1,Table412[[#This Row],[MAT]],"")</f>
        <v/>
      </c>
      <c r="N351" s="36" t="str">
        <f>IF(Table412[[#This Row],[Exist]]=1,Table412[[#This Row],[Component]],"")</f>
        <v/>
      </c>
      <c r="O351" s="36">
        <f>IFERROR(VALUE(Table412[[#This Row],[MAT]]&amp;Table412[[#This Row],[X'#]]),IF(COUNTIF(Table412[[#This Row],[MAT]],"*M"),Table412[[#This Row],[MAT]]&amp;Table412[[#This Row],[X'#]],""))</f>
        <v>10205315</v>
      </c>
    </row>
    <row r="352" spans="1:15" x14ac:dyDescent="0.25">
      <c r="A352" s="37">
        <f t="shared" si="6"/>
        <v>11</v>
      </c>
      <c r="C352" s="36" t="s">
        <v>316</v>
      </c>
      <c r="D352" s="36" t="s">
        <v>3627</v>
      </c>
      <c r="E352" s="36">
        <v>1033011</v>
      </c>
      <c r="F352" s="36">
        <v>1</v>
      </c>
      <c r="G352" s="36">
        <v>418525</v>
      </c>
      <c r="H352" s="48" t="str">
        <f>IFERROR(INDEX(Table14[],MATCH($G352,Table14[SAPNo],0),3),"")</f>
        <v>Drop In 1308 CT31   (B)</v>
      </c>
      <c r="I352" s="37">
        <v>8</v>
      </c>
      <c r="J352" s="37">
        <f>IF(Table412[[#This Row],[MAT]]&lt;&gt;"",COUNTIF(Table3[LEVEL 5 MAT NO.],Table412[[#This Row],[MAT]]),"")</f>
        <v>1</v>
      </c>
      <c r="K352" s="36">
        <f>IFERROR(INDEX(Table3[],MATCH($E352,Table3[LEVEL 5 MAT NO.],0),2),0)</f>
        <v>1</v>
      </c>
      <c r="L352" s="36">
        <f>Table412[[#This Row],[Quantity in BOM]]*Table412[[#This Row],[Freq]]</f>
        <v>8</v>
      </c>
      <c r="M352" s="36">
        <f>IF(Table412[[#This Row],[Exist]]=1,Table412[[#This Row],[MAT]],"")</f>
        <v>1033011</v>
      </c>
      <c r="N352" s="36">
        <f>IF(Table412[[#This Row],[Exist]]=1,Table412[[#This Row],[Component]],"")</f>
        <v>418525</v>
      </c>
      <c r="O352" s="36">
        <f>IFERROR(VALUE(Table412[[#This Row],[MAT]]&amp;Table412[[#This Row],[X'#]]),IF(COUNTIF(Table412[[#This Row],[MAT]],"*M"),Table412[[#This Row],[MAT]]&amp;Table412[[#This Row],[X'#]],""))</f>
        <v>10330111</v>
      </c>
    </row>
    <row r="353" spans="1:15" x14ac:dyDescent="0.25">
      <c r="A353" s="37">
        <f t="shared" si="6"/>
        <v>12</v>
      </c>
      <c r="C353" s="36" t="s">
        <v>316</v>
      </c>
      <c r="D353" s="36" t="s">
        <v>3627</v>
      </c>
      <c r="E353" s="36">
        <v>1033011</v>
      </c>
      <c r="F353" s="36">
        <v>2</v>
      </c>
      <c r="G353" s="36">
        <v>647436</v>
      </c>
      <c r="H353" s="48" t="str">
        <f>IFERROR(INDEX(Table14[],MATCH($G353,Table14[SAPNo],0),3),"")</f>
        <v>Round 1613 CT200  0.018" (B)</v>
      </c>
      <c r="I353" s="37">
        <v>32</v>
      </c>
      <c r="J353" s="37">
        <f>IF(Table412[[#This Row],[MAT]]&lt;&gt;"",COUNTIF(Table3[LEVEL 5 MAT NO.],Table412[[#This Row],[MAT]]),"")</f>
        <v>1</v>
      </c>
      <c r="K353" s="36">
        <f>IFERROR(INDEX(Table3[],MATCH($E353,Table3[LEVEL 5 MAT NO.],0),2),0)</f>
        <v>1</v>
      </c>
      <c r="L353" s="36">
        <f>Table412[[#This Row],[Quantity in BOM]]*Table412[[#This Row],[Freq]]</f>
        <v>32</v>
      </c>
      <c r="M353" s="36">
        <f>IF(Table412[[#This Row],[Exist]]=1,Table412[[#This Row],[MAT]],"")</f>
        <v>1033011</v>
      </c>
      <c r="N353" s="36">
        <f>IF(Table412[[#This Row],[Exist]]=1,Table412[[#This Row],[Component]],"")</f>
        <v>647436</v>
      </c>
      <c r="O353" s="36">
        <f>IFERROR(VALUE(Table412[[#This Row],[MAT]]&amp;Table412[[#This Row],[X'#]]),IF(COUNTIF(Table412[[#This Row],[MAT]],"*M"),Table412[[#This Row],[MAT]]&amp;Table412[[#This Row],[X'#]],""))</f>
        <v>10330112</v>
      </c>
    </row>
    <row r="354" spans="1:15" x14ac:dyDescent="0.25">
      <c r="A354" s="37">
        <f t="shared" si="6"/>
        <v>13</v>
      </c>
      <c r="C354" s="36" t="s">
        <v>316</v>
      </c>
      <c r="D354" s="36" t="s">
        <v>3627</v>
      </c>
      <c r="E354" s="36">
        <v>1033011</v>
      </c>
      <c r="F354" s="36">
        <v>3</v>
      </c>
      <c r="G354" s="111">
        <v>1130198</v>
      </c>
      <c r="H354" s="48" t="str">
        <f>IFERROR(INDEX(Table14[],MATCH($G354,Table14[SAPNo],0),3),"")</f>
        <v>Round 1613 CT182  0.018" (S)</v>
      </c>
      <c r="I354" s="37">
        <v>105</v>
      </c>
      <c r="J354" s="37">
        <f>IF(Table412[[#This Row],[MAT]]&lt;&gt;"",COUNTIF(Table3[LEVEL 5 MAT NO.],Table412[[#This Row],[MAT]]),"")</f>
        <v>1</v>
      </c>
      <c r="K354" s="36">
        <f>IFERROR(INDEX(Table3[],MATCH($E354,Table3[LEVEL 5 MAT NO.],0),2),0)</f>
        <v>1</v>
      </c>
      <c r="L354" s="36">
        <f>Table412[[#This Row],[Quantity in BOM]]*Table412[[#This Row],[Freq]]</f>
        <v>105</v>
      </c>
      <c r="M354" s="36">
        <f>IF(Table412[[#This Row],[Exist]]=1,Table412[[#This Row],[MAT]],"")</f>
        <v>1033011</v>
      </c>
      <c r="N354" s="36">
        <f>IF(Table412[[#This Row],[Exist]]=1,Table412[[#This Row],[Component]],"")</f>
        <v>1130198</v>
      </c>
      <c r="O354" s="36">
        <f>IFERROR(VALUE(Table412[[#This Row],[MAT]]&amp;Table412[[#This Row],[X'#]]),IF(COUNTIF(Table412[[#This Row],[MAT]],"*M"),Table412[[#This Row],[MAT]]&amp;Table412[[#This Row],[X'#]],""))</f>
        <v>10330113</v>
      </c>
    </row>
    <row r="355" spans="1:15" x14ac:dyDescent="0.25">
      <c r="A355" s="37">
        <f t="shared" si="6"/>
        <v>14</v>
      </c>
      <c r="C355" s="36" t="s">
        <v>313</v>
      </c>
      <c r="D355" s="36" t="s">
        <v>465</v>
      </c>
      <c r="E355" s="36">
        <v>1056029</v>
      </c>
      <c r="F355" s="36">
        <v>1</v>
      </c>
      <c r="G355" s="36">
        <v>1039034</v>
      </c>
      <c r="H355" s="48" t="str">
        <f>IFERROR(INDEX(Table14[],MATCH($G355,Table14[SAPNo],0),3),"")</f>
        <v>Round 1308 CT138  0.018" (S)</v>
      </c>
      <c r="I355" s="37">
        <v>32</v>
      </c>
      <c r="J355" s="37">
        <f>IF(Table412[[#This Row],[MAT]]&lt;&gt;"",COUNTIF(Table3[LEVEL 5 MAT NO.],Table412[[#This Row],[MAT]]),"")</f>
        <v>0</v>
      </c>
      <c r="K355" s="36">
        <f>IFERROR(INDEX(Table3[],MATCH($E355,Table3[LEVEL 5 MAT NO.],0),2),0)</f>
        <v>0</v>
      </c>
      <c r="L355" s="36">
        <f>Table412[[#This Row],[Quantity in BOM]]*Table412[[#This Row],[Freq]]</f>
        <v>0</v>
      </c>
      <c r="M355" s="36" t="str">
        <f>IF(Table412[[#This Row],[Exist]]=1,Table412[[#This Row],[MAT]],"")</f>
        <v/>
      </c>
      <c r="N355" s="36" t="str">
        <f>IF(Table412[[#This Row],[Exist]]=1,Table412[[#This Row],[Component]],"")</f>
        <v/>
      </c>
      <c r="O355" s="36">
        <f>IFERROR(VALUE(Table412[[#This Row],[MAT]]&amp;Table412[[#This Row],[X'#]]),IF(COUNTIF(Table412[[#This Row],[MAT]],"*M"),Table412[[#This Row],[MAT]]&amp;Table412[[#This Row],[X'#]],""))</f>
        <v>10560291</v>
      </c>
    </row>
    <row r="356" spans="1:15" x14ac:dyDescent="0.25">
      <c r="A356" s="37">
        <f t="shared" si="6"/>
        <v>14</v>
      </c>
      <c r="C356" s="36" t="s">
        <v>313</v>
      </c>
      <c r="D356" s="36" t="s">
        <v>465</v>
      </c>
      <c r="E356" s="36">
        <v>1056029</v>
      </c>
      <c r="F356" s="36">
        <v>2</v>
      </c>
      <c r="G356" s="36">
        <v>1039058</v>
      </c>
      <c r="H356" s="48" t="str">
        <f>IFERROR(INDEX(Table14[],MATCH($G356,Table14[SAPNo],0),3),"")</f>
        <v>Round 1608 CT138  0.018" (S)</v>
      </c>
      <c r="I356" s="37">
        <v>15</v>
      </c>
      <c r="J356" s="37">
        <f>IF(Table412[[#This Row],[MAT]]&lt;&gt;"",COUNTIF(Table3[LEVEL 5 MAT NO.],Table412[[#This Row],[MAT]]),"")</f>
        <v>0</v>
      </c>
      <c r="K356" s="36">
        <f>IFERROR(INDEX(Table3[],MATCH($E356,Table3[LEVEL 5 MAT NO.],0),2),0)</f>
        <v>0</v>
      </c>
      <c r="L356" s="36">
        <f>Table412[[#This Row],[Quantity in BOM]]*Table412[[#This Row],[Freq]]</f>
        <v>0</v>
      </c>
      <c r="M356" s="36" t="str">
        <f>IF(Table412[[#This Row],[Exist]]=1,Table412[[#This Row],[MAT]],"")</f>
        <v/>
      </c>
      <c r="N356" s="36" t="str">
        <f>IF(Table412[[#This Row],[Exist]]=1,Table412[[#This Row],[Component]],"")</f>
        <v/>
      </c>
      <c r="O356" s="36">
        <f>IFERROR(VALUE(Table412[[#This Row],[MAT]]&amp;Table412[[#This Row],[X'#]]),IF(COUNTIF(Table412[[#This Row],[MAT]],"*M"),Table412[[#This Row],[MAT]]&amp;Table412[[#This Row],[X'#]],""))</f>
        <v>10560292</v>
      </c>
    </row>
    <row r="357" spans="1:15" x14ac:dyDescent="0.25">
      <c r="A357" s="37">
        <f t="shared" si="6"/>
        <v>14</v>
      </c>
      <c r="C357" s="36" t="s">
        <v>313</v>
      </c>
      <c r="D357" s="36" t="s">
        <v>465</v>
      </c>
      <c r="E357" s="36">
        <v>1056029</v>
      </c>
      <c r="F357" s="36">
        <v>3</v>
      </c>
      <c r="G357" s="36">
        <v>1039033</v>
      </c>
      <c r="H357" s="48" t="str">
        <f>IFERROR(INDEX(Table14[],MATCH($G357,Table14[SAPNo],0),3),"")</f>
        <v>Round 1308 CT138  10C (S)</v>
      </c>
      <c r="I357" s="37">
        <v>28</v>
      </c>
      <c r="J357" s="37">
        <f>IF(Table412[[#This Row],[MAT]]&lt;&gt;"",COUNTIF(Table3[LEVEL 5 MAT NO.],Table412[[#This Row],[MAT]]),"")</f>
        <v>0</v>
      </c>
      <c r="K357" s="36">
        <f>IFERROR(INDEX(Table3[],MATCH($E357,Table3[LEVEL 5 MAT NO.],0),2),0)</f>
        <v>0</v>
      </c>
      <c r="L357" s="36">
        <f>Table412[[#This Row],[Quantity in BOM]]*Table412[[#This Row],[Freq]]</f>
        <v>0</v>
      </c>
      <c r="M357" s="36" t="str">
        <f>IF(Table412[[#This Row],[Exist]]=1,Table412[[#This Row],[MAT]],"")</f>
        <v/>
      </c>
      <c r="N357" s="36" t="str">
        <f>IF(Table412[[#This Row],[Exist]]=1,Table412[[#This Row],[Component]],"")</f>
        <v/>
      </c>
      <c r="O357" s="36">
        <f>IFERROR(VALUE(Table412[[#This Row],[MAT]]&amp;Table412[[#This Row],[X'#]]),IF(COUNTIF(Table412[[#This Row],[MAT]],"*M"),Table412[[#This Row],[MAT]]&amp;Table412[[#This Row],[X'#]],""))</f>
        <v>10560293</v>
      </c>
    </row>
    <row r="358" spans="1:15" x14ac:dyDescent="0.25">
      <c r="A358" s="37">
        <f t="shared" si="6"/>
        <v>14</v>
      </c>
      <c r="C358" s="36" t="s">
        <v>313</v>
      </c>
      <c r="D358" s="36" t="s">
        <v>465</v>
      </c>
      <c r="E358" s="36">
        <v>1056029</v>
      </c>
      <c r="F358" s="36">
        <v>4</v>
      </c>
      <c r="G358" s="36">
        <v>418525</v>
      </c>
      <c r="H358" s="48" t="str">
        <f>IFERROR(INDEX(Table14[],MATCH($G358,Table14[SAPNo],0),3),"")</f>
        <v>Drop In 1308 CT31   (B)</v>
      </c>
      <c r="I358" s="37">
        <v>7</v>
      </c>
      <c r="J358" s="37">
        <f>IF(Table412[[#This Row],[MAT]]&lt;&gt;"",COUNTIF(Table3[LEVEL 5 MAT NO.],Table412[[#This Row],[MAT]]),"")</f>
        <v>0</v>
      </c>
      <c r="K358" s="36">
        <f>IFERROR(INDEX(Table3[],MATCH($E358,Table3[LEVEL 5 MAT NO.],0),2),0)</f>
        <v>0</v>
      </c>
      <c r="L358" s="36">
        <f>Table412[[#This Row],[Quantity in BOM]]*Table412[[#This Row],[Freq]]</f>
        <v>0</v>
      </c>
      <c r="M358" s="36" t="str">
        <f>IF(Table412[[#This Row],[Exist]]=1,Table412[[#This Row],[MAT]],"")</f>
        <v/>
      </c>
      <c r="N358" s="36" t="str">
        <f>IF(Table412[[#This Row],[Exist]]=1,Table412[[#This Row],[Component]],"")</f>
        <v/>
      </c>
      <c r="O358" s="36">
        <f>IFERROR(VALUE(Table412[[#This Row],[MAT]]&amp;Table412[[#This Row],[X'#]]),IF(COUNTIF(Table412[[#This Row],[MAT]],"*M"),Table412[[#This Row],[MAT]]&amp;Table412[[#This Row],[X'#]],""))</f>
        <v>10560294</v>
      </c>
    </row>
    <row r="359" spans="1:15" x14ac:dyDescent="0.25">
      <c r="A359" s="37">
        <f t="shared" si="6"/>
        <v>14</v>
      </c>
      <c r="B359" s="37"/>
      <c r="C359" s="37">
        <v>3.875</v>
      </c>
      <c r="D359" s="37" t="s">
        <v>308</v>
      </c>
      <c r="E359" s="37">
        <v>1059290</v>
      </c>
      <c r="F359" s="37">
        <v>1</v>
      </c>
      <c r="G359" s="37">
        <v>971055</v>
      </c>
      <c r="H359" s="48" t="str">
        <f>IFERROR(INDEX(Table14[],MATCH($G359,Table14[SAPNo],0),3),"")</f>
        <v>MED Bullet 10.5 CT217 MBL 0.018" (B)</v>
      </c>
      <c r="I359" s="37">
        <v>19</v>
      </c>
      <c r="J359" s="37">
        <f>IF(Table412[[#This Row],[MAT]]&lt;&gt;"",COUNTIF(Table3[LEVEL 5 MAT NO.],Table412[[#This Row],[MAT]]),"")</f>
        <v>0</v>
      </c>
      <c r="K359" s="36">
        <f>IFERROR(INDEX(Table3[],MATCH($E359,Table3[LEVEL 5 MAT NO.],0),2),0)</f>
        <v>0</v>
      </c>
      <c r="L359" s="36">
        <f>Table412[[#This Row],[Quantity in BOM]]*Table412[[#This Row],[Freq]]</f>
        <v>0</v>
      </c>
      <c r="M359" s="36" t="str">
        <f>IF(Table412[[#This Row],[Exist]]=1,Table412[[#This Row],[MAT]],"")</f>
        <v/>
      </c>
      <c r="N359" s="36" t="str">
        <f>IF(Table412[[#This Row],[Exist]]=1,Table412[[#This Row],[Component]],"")</f>
        <v/>
      </c>
      <c r="O359" s="36">
        <f>IFERROR(VALUE(Table412[[#This Row],[MAT]]&amp;Table412[[#This Row],[X'#]]),IF(COUNTIF(Table412[[#This Row],[MAT]],"*M"),Table412[[#This Row],[MAT]]&amp;Table412[[#This Row],[X'#]],""))</f>
        <v>10592901</v>
      </c>
    </row>
    <row r="360" spans="1:15" x14ac:dyDescent="0.25">
      <c r="A360" s="37">
        <f t="shared" si="6"/>
        <v>14</v>
      </c>
      <c r="C360" s="36" t="s">
        <v>313</v>
      </c>
      <c r="D360" s="36" t="s">
        <v>272</v>
      </c>
      <c r="E360" s="36">
        <v>1061407</v>
      </c>
      <c r="F360" s="36">
        <v>1</v>
      </c>
      <c r="G360" s="36">
        <v>1039060</v>
      </c>
      <c r="H360" s="48" t="str">
        <f>IFERROR(INDEX(Table14[],MATCH($G360,Table14[SAPNo],0),3),"")</f>
        <v>Round 1613 CT138  0.018" (S)</v>
      </c>
      <c r="I360" s="37">
        <v>33</v>
      </c>
      <c r="J360" s="37">
        <f>IF(Table412[[#This Row],[MAT]]&lt;&gt;"",COUNTIF(Table3[LEVEL 5 MAT NO.],Table412[[#This Row],[MAT]]),"")</f>
        <v>1</v>
      </c>
      <c r="K360" s="36">
        <f>IFERROR(INDEX(Table3[],MATCH($E360,Table3[LEVEL 5 MAT NO.],0),2),0)</f>
        <v>0</v>
      </c>
      <c r="L360" s="36">
        <f>Table412[[#This Row],[Quantity in BOM]]*Table412[[#This Row],[Freq]]</f>
        <v>0</v>
      </c>
      <c r="M360" s="36">
        <f>IF(Table412[[#This Row],[Exist]]=1,Table412[[#This Row],[MAT]],"")</f>
        <v>1061407</v>
      </c>
      <c r="N360" s="36">
        <f>IF(Table412[[#This Row],[Exist]]=1,Table412[[#This Row],[Component]],"")</f>
        <v>1039060</v>
      </c>
      <c r="O360" s="36">
        <f>IFERROR(VALUE(Table412[[#This Row],[MAT]]&amp;Table412[[#This Row],[X'#]]),IF(COUNTIF(Table412[[#This Row],[MAT]],"*M"),Table412[[#This Row],[MAT]]&amp;Table412[[#This Row],[X'#]],""))</f>
        <v>10614071</v>
      </c>
    </row>
    <row r="361" spans="1:15" x14ac:dyDescent="0.25">
      <c r="A361" s="37">
        <f t="shared" si="6"/>
        <v>14</v>
      </c>
      <c r="C361" s="36" t="s">
        <v>313</v>
      </c>
      <c r="D361" s="36" t="s">
        <v>272</v>
      </c>
      <c r="E361" s="36">
        <v>1061407</v>
      </c>
      <c r="F361" s="36">
        <v>2</v>
      </c>
      <c r="G361" s="36">
        <v>1130197</v>
      </c>
      <c r="H361" s="48" t="str">
        <f>IFERROR(INDEX(Table14[],MATCH($G361,Table14[SAPNo],0),3),"")</f>
        <v>Round 1608 CT182  0.018" (S)</v>
      </c>
      <c r="I361" s="37">
        <v>23</v>
      </c>
      <c r="J361" s="37">
        <f>IF(Table412[[#This Row],[MAT]]&lt;&gt;"",COUNTIF(Table3[LEVEL 5 MAT NO.],Table412[[#This Row],[MAT]]),"")</f>
        <v>1</v>
      </c>
      <c r="K361" s="36">
        <f>IFERROR(INDEX(Table3[],MATCH($E361,Table3[LEVEL 5 MAT NO.],0),2),0)</f>
        <v>0</v>
      </c>
      <c r="L361" s="36">
        <f>Table412[[#This Row],[Quantity in BOM]]*Table412[[#This Row],[Freq]]</f>
        <v>0</v>
      </c>
      <c r="M361" s="36">
        <f>IF(Table412[[#This Row],[Exist]]=1,Table412[[#This Row],[MAT]],"")</f>
        <v>1061407</v>
      </c>
      <c r="N361" s="36">
        <f>IF(Table412[[#This Row],[Exist]]=1,Table412[[#This Row],[Component]],"")</f>
        <v>1130197</v>
      </c>
      <c r="O361" s="36">
        <f>IFERROR(VALUE(Table412[[#This Row],[MAT]]&amp;Table412[[#This Row],[X'#]]),IF(COUNTIF(Table412[[#This Row],[MAT]],"*M"),Table412[[#This Row],[MAT]]&amp;Table412[[#This Row],[X'#]],""))</f>
        <v>10614072</v>
      </c>
    </row>
    <row r="362" spans="1:15" x14ac:dyDescent="0.25">
      <c r="A362" s="37">
        <f t="shared" si="6"/>
        <v>14</v>
      </c>
      <c r="C362" s="38" t="s">
        <v>637</v>
      </c>
      <c r="D362" s="36" t="s">
        <v>638</v>
      </c>
      <c r="E362" s="36">
        <v>1054398</v>
      </c>
      <c r="F362" s="36">
        <v>1</v>
      </c>
      <c r="G362" s="36">
        <v>983152</v>
      </c>
      <c r="H362" s="48" t="str">
        <f>IFERROR(INDEX(Table14[],MATCH($G362,Table14[SAPNo],0),3),"")</f>
        <v>Round 1913 CT216  0.018" (S)</v>
      </c>
      <c r="I362" s="37">
        <v>32</v>
      </c>
      <c r="J362" s="37">
        <f>IF(Table412[[#This Row],[MAT]]&lt;&gt;"",COUNTIF(Table3[LEVEL 5 MAT NO.],Table412[[#This Row],[MAT]]),"")</f>
        <v>0</v>
      </c>
      <c r="K362" s="36">
        <f>IFERROR(INDEX(Table3[],MATCH($E362,Table3[LEVEL 5 MAT NO.],0),2),0)</f>
        <v>0</v>
      </c>
      <c r="L362" s="36">
        <f>Table412[[#This Row],[Quantity in BOM]]*Table412[[#This Row],[Freq]]</f>
        <v>0</v>
      </c>
      <c r="M362" s="36" t="str">
        <f>IF(Table412[[#This Row],[Exist]]=1,Table412[[#This Row],[MAT]],"")</f>
        <v/>
      </c>
      <c r="N362" s="36" t="str">
        <f>IF(Table412[[#This Row],[Exist]]=1,Table412[[#This Row],[Component]],"")</f>
        <v/>
      </c>
      <c r="O362" s="36">
        <f>IFERROR(VALUE(Table412[[#This Row],[MAT]]&amp;Table412[[#This Row],[X'#]]),IF(COUNTIF(Table412[[#This Row],[MAT]],"*M"),Table412[[#This Row],[MAT]]&amp;Table412[[#This Row],[X'#]],""))</f>
        <v>10543981</v>
      </c>
    </row>
    <row r="363" spans="1:15" x14ac:dyDescent="0.25">
      <c r="A363" s="37">
        <f t="shared" si="6"/>
        <v>14</v>
      </c>
      <c r="C363" s="38" t="s">
        <v>637</v>
      </c>
      <c r="D363" s="36" t="s">
        <v>638</v>
      </c>
      <c r="E363" s="36">
        <v>1054398</v>
      </c>
      <c r="F363" s="36">
        <v>2</v>
      </c>
      <c r="G363" s="36">
        <v>983150</v>
      </c>
      <c r="H363" s="48" t="str">
        <f>IFERROR(INDEX(Table14[],MATCH($G363,Table14[SAPNo],0),3),"")</f>
        <v>Round 1613 CT216  0.018" (S)</v>
      </c>
      <c r="I363" s="37">
        <v>9</v>
      </c>
      <c r="J363" s="37">
        <f>IF(Table412[[#This Row],[MAT]]&lt;&gt;"",COUNTIF(Table3[LEVEL 5 MAT NO.],Table412[[#This Row],[MAT]]),"")</f>
        <v>0</v>
      </c>
      <c r="K363" s="36">
        <f>IFERROR(INDEX(Table3[],MATCH($E363,Table3[LEVEL 5 MAT NO.],0),2),0)</f>
        <v>0</v>
      </c>
      <c r="L363" s="36">
        <f>Table412[[#This Row],[Quantity in BOM]]*Table412[[#This Row],[Freq]]</f>
        <v>0</v>
      </c>
      <c r="M363" s="36" t="str">
        <f>IF(Table412[[#This Row],[Exist]]=1,Table412[[#This Row],[MAT]],"")</f>
        <v/>
      </c>
      <c r="N363" s="36" t="str">
        <f>IF(Table412[[#This Row],[Exist]]=1,Table412[[#This Row],[Component]],"")</f>
        <v/>
      </c>
      <c r="O363" s="36">
        <f>IFERROR(VALUE(Table412[[#This Row],[MAT]]&amp;Table412[[#This Row],[X'#]]),IF(COUNTIF(Table412[[#This Row],[MAT]],"*M"),Table412[[#This Row],[MAT]]&amp;Table412[[#This Row],[X'#]],""))</f>
        <v>10543982</v>
      </c>
    </row>
    <row r="364" spans="1:15" x14ac:dyDescent="0.25">
      <c r="A364" s="37">
        <f t="shared" si="6"/>
        <v>14</v>
      </c>
      <c r="C364" s="38" t="s">
        <v>637</v>
      </c>
      <c r="D364" s="36" t="s">
        <v>638</v>
      </c>
      <c r="E364" s="36">
        <v>1054398</v>
      </c>
      <c r="F364" s="36">
        <v>3</v>
      </c>
      <c r="G364" s="36">
        <v>983096</v>
      </c>
      <c r="H364" s="48" t="str">
        <f>IFERROR(INDEX(Table14[],MATCH($G364,Table14[SAPNo],0),3),"")</f>
        <v>Round 1313 CT216  0.018" (S)</v>
      </c>
      <c r="I364" s="37">
        <v>12</v>
      </c>
      <c r="J364" s="37">
        <f>IF(Table412[[#This Row],[MAT]]&lt;&gt;"",COUNTIF(Table3[LEVEL 5 MAT NO.],Table412[[#This Row],[MAT]]),"")</f>
        <v>0</v>
      </c>
      <c r="K364" s="36">
        <f>IFERROR(INDEX(Table3[],MATCH($E364,Table3[LEVEL 5 MAT NO.],0),2),0)</f>
        <v>0</v>
      </c>
      <c r="L364" s="36">
        <f>Table412[[#This Row],[Quantity in BOM]]*Table412[[#This Row],[Freq]]</f>
        <v>0</v>
      </c>
      <c r="M364" s="36" t="str">
        <f>IF(Table412[[#This Row],[Exist]]=1,Table412[[#This Row],[MAT]],"")</f>
        <v/>
      </c>
      <c r="N364" s="36" t="str">
        <f>IF(Table412[[#This Row],[Exist]]=1,Table412[[#This Row],[Component]],"")</f>
        <v/>
      </c>
      <c r="O364" s="36">
        <f>IFERROR(VALUE(Table412[[#This Row],[MAT]]&amp;Table412[[#This Row],[X'#]]),IF(COUNTIF(Table412[[#This Row],[MAT]],"*M"),Table412[[#This Row],[MAT]]&amp;Table412[[#This Row],[X'#]],""))</f>
        <v>10543983</v>
      </c>
    </row>
    <row r="365" spans="1:15" x14ac:dyDescent="0.25">
      <c r="A365" s="37">
        <f t="shared" si="6"/>
        <v>14</v>
      </c>
      <c r="C365" s="38" t="s">
        <v>637</v>
      </c>
      <c r="D365" s="36" t="s">
        <v>638</v>
      </c>
      <c r="E365" s="36">
        <v>1054398</v>
      </c>
      <c r="F365" s="36">
        <v>4</v>
      </c>
      <c r="G365" s="36">
        <v>871781</v>
      </c>
      <c r="H365" s="48" t="str">
        <f>IFERROR(INDEX(Table14[],MATCH($G365,Table14[SAPNo],0),3),"")</f>
        <v>Round 1313 CT200  0.018" (B)</v>
      </c>
      <c r="I365" s="37">
        <v>4</v>
      </c>
      <c r="J365" s="37">
        <f>IF(Table412[[#This Row],[MAT]]&lt;&gt;"",COUNTIF(Table3[LEVEL 5 MAT NO.],Table412[[#This Row],[MAT]]),"")</f>
        <v>0</v>
      </c>
      <c r="K365" s="36">
        <f>IFERROR(INDEX(Table3[],MATCH($E365,Table3[LEVEL 5 MAT NO.],0),2),0)</f>
        <v>0</v>
      </c>
      <c r="L365" s="36">
        <f>Table412[[#This Row],[Quantity in BOM]]*Table412[[#This Row],[Freq]]</f>
        <v>0</v>
      </c>
      <c r="M365" s="36" t="str">
        <f>IF(Table412[[#This Row],[Exist]]=1,Table412[[#This Row],[MAT]],"")</f>
        <v/>
      </c>
      <c r="N365" s="36" t="str">
        <f>IF(Table412[[#This Row],[Exist]]=1,Table412[[#This Row],[Component]],"")</f>
        <v/>
      </c>
      <c r="O365" s="36">
        <f>IFERROR(VALUE(Table412[[#This Row],[MAT]]&amp;Table412[[#This Row],[X'#]]),IF(COUNTIF(Table412[[#This Row],[MAT]],"*M"),Table412[[#This Row],[MAT]]&amp;Table412[[#This Row],[X'#]],""))</f>
        <v>10543984</v>
      </c>
    </row>
    <row r="366" spans="1:15" x14ac:dyDescent="0.25">
      <c r="A366" s="37">
        <f t="shared" si="6"/>
        <v>14</v>
      </c>
      <c r="C366" s="38" t="s">
        <v>637</v>
      </c>
      <c r="D366" s="36" t="s">
        <v>638</v>
      </c>
      <c r="E366" s="36">
        <v>1054398</v>
      </c>
      <c r="F366" s="36">
        <v>5</v>
      </c>
      <c r="G366" s="36">
        <v>418525</v>
      </c>
      <c r="H366" s="48" t="str">
        <f>IFERROR(INDEX(Table14[],MATCH($G366,Table14[SAPNo],0),3),"")</f>
        <v>Drop In 1308 CT31   (B)</v>
      </c>
      <c r="I366" s="37">
        <v>3</v>
      </c>
      <c r="J366" s="37">
        <f>IF(Table412[[#This Row],[MAT]]&lt;&gt;"",COUNTIF(Table3[LEVEL 5 MAT NO.],Table412[[#This Row],[MAT]]),"")</f>
        <v>0</v>
      </c>
      <c r="K366" s="36">
        <f>IFERROR(INDEX(Table3[],MATCH($E366,Table3[LEVEL 5 MAT NO.],0),2),0)</f>
        <v>0</v>
      </c>
      <c r="L366" s="36">
        <f>Table412[[#This Row],[Quantity in BOM]]*Table412[[#This Row],[Freq]]</f>
        <v>0</v>
      </c>
      <c r="M366" s="36" t="str">
        <f>IF(Table412[[#This Row],[Exist]]=1,Table412[[#This Row],[MAT]],"")</f>
        <v/>
      </c>
      <c r="N366" s="36" t="str">
        <f>IF(Table412[[#This Row],[Exist]]=1,Table412[[#This Row],[Component]],"")</f>
        <v/>
      </c>
      <c r="O366" s="36">
        <f>IFERROR(VALUE(Table412[[#This Row],[MAT]]&amp;Table412[[#This Row],[X'#]]),IF(COUNTIF(Table412[[#This Row],[MAT]],"*M"),Table412[[#This Row],[MAT]]&amp;Table412[[#This Row],[X'#]],""))</f>
        <v>10543985</v>
      </c>
    </row>
    <row r="367" spans="1:15" x14ac:dyDescent="0.25">
      <c r="A367" s="37">
        <f t="shared" si="6"/>
        <v>14</v>
      </c>
      <c r="C367" s="36" t="s">
        <v>313</v>
      </c>
      <c r="D367" s="36" t="s">
        <v>272</v>
      </c>
      <c r="E367" s="36">
        <v>1061407</v>
      </c>
      <c r="F367" s="36">
        <v>3</v>
      </c>
      <c r="G367" s="36">
        <v>418525</v>
      </c>
      <c r="H367" s="48" t="str">
        <f>IFERROR(INDEX(Table14[],MATCH($G367,Table14[SAPNo],0),3),"")</f>
        <v>Drop In 1308 CT31   (B)</v>
      </c>
      <c r="I367" s="37">
        <v>6</v>
      </c>
      <c r="J367" s="37">
        <f>IF(Table412[[#This Row],[MAT]]&lt;&gt;"",COUNTIF(Table3[LEVEL 5 MAT NO.],Table412[[#This Row],[MAT]]),"")</f>
        <v>1</v>
      </c>
      <c r="K367" s="36">
        <f>IFERROR(INDEX(Table3[],MATCH($E367,Table3[LEVEL 5 MAT NO.],0),2),0)</f>
        <v>0</v>
      </c>
      <c r="L367" s="36">
        <f>Table412[[#This Row],[Quantity in BOM]]*Table412[[#This Row],[Freq]]</f>
        <v>0</v>
      </c>
      <c r="M367" s="36">
        <f>IF(Table412[[#This Row],[Exist]]=1,Table412[[#This Row],[MAT]],"")</f>
        <v>1061407</v>
      </c>
      <c r="N367" s="36">
        <f>IF(Table412[[#This Row],[Exist]]=1,Table412[[#This Row],[Component]],"")</f>
        <v>418525</v>
      </c>
      <c r="O367" s="36">
        <f>IFERROR(VALUE(Table412[[#This Row],[MAT]]&amp;Table412[[#This Row],[X'#]]),IF(COUNTIF(Table412[[#This Row],[MAT]],"*M"),Table412[[#This Row],[MAT]]&amp;Table412[[#This Row],[X'#]],""))</f>
        <v>10614073</v>
      </c>
    </row>
    <row r="368" spans="1:15" x14ac:dyDescent="0.25">
      <c r="A368" s="37">
        <f t="shared" si="6"/>
        <v>14</v>
      </c>
      <c r="C368" s="38" t="s">
        <v>313</v>
      </c>
      <c r="D368" s="36" t="s">
        <v>314</v>
      </c>
      <c r="E368" s="36">
        <v>1080537</v>
      </c>
      <c r="F368" s="36">
        <v>1</v>
      </c>
      <c r="G368" s="36">
        <v>1130198</v>
      </c>
      <c r="H368" s="48" t="str">
        <f>IFERROR(INDEX(Table14[],MATCH($G368,Table14[SAPNo],0),3),"")</f>
        <v>Round 1613 CT182  0.018" (S)</v>
      </c>
      <c r="I368" s="37">
        <v>33</v>
      </c>
      <c r="J368" s="37">
        <f>IF(Table412[[#This Row],[MAT]]&lt;&gt;"",COUNTIF(Table3[LEVEL 5 MAT NO.],Table412[[#This Row],[MAT]]),"")</f>
        <v>0</v>
      </c>
      <c r="K368" s="36">
        <f>IFERROR(INDEX(Table3[],MATCH($E368,Table3[LEVEL 5 MAT NO.],0),2),0)</f>
        <v>0</v>
      </c>
      <c r="L368" s="36">
        <f>Table412[[#This Row],[Quantity in BOM]]*Table412[[#This Row],[Freq]]</f>
        <v>0</v>
      </c>
      <c r="M368" s="36" t="str">
        <f>IF(Table412[[#This Row],[Exist]]=1,Table412[[#This Row],[MAT]],"")</f>
        <v/>
      </c>
      <c r="N368" s="36" t="str">
        <f>IF(Table412[[#This Row],[Exist]]=1,Table412[[#This Row],[Component]],"")</f>
        <v/>
      </c>
      <c r="O368" s="36">
        <f>IFERROR(VALUE(Table412[[#This Row],[MAT]]&amp;Table412[[#This Row],[X'#]]),IF(COUNTIF(Table412[[#This Row],[MAT]],"*M"),Table412[[#This Row],[MAT]]&amp;Table412[[#This Row],[X'#]],""))</f>
        <v>10805371</v>
      </c>
    </row>
    <row r="369" spans="1:15" x14ac:dyDescent="0.25">
      <c r="A369" s="37">
        <f t="shared" si="6"/>
        <v>14</v>
      </c>
      <c r="C369" s="38" t="s">
        <v>313</v>
      </c>
      <c r="D369" s="36" t="s">
        <v>314</v>
      </c>
      <c r="E369" s="36">
        <v>1080537</v>
      </c>
      <c r="F369" s="36">
        <v>2</v>
      </c>
      <c r="G369" s="36">
        <v>647435</v>
      </c>
      <c r="H369" s="48" t="str">
        <f>IFERROR(INDEX(Table14[],MATCH($G369,Table14[SAPNo],0),3),"")</f>
        <v>Round 1608 CT200  0.018" (B)</v>
      </c>
      <c r="I369" s="37">
        <v>23</v>
      </c>
      <c r="J369" s="37">
        <f>IF(Table412[[#This Row],[MAT]]&lt;&gt;"",COUNTIF(Table3[LEVEL 5 MAT NO.],Table412[[#This Row],[MAT]]),"")</f>
        <v>0</v>
      </c>
      <c r="K369" s="36">
        <f>IFERROR(INDEX(Table3[],MATCH($E369,Table3[LEVEL 5 MAT NO.],0),2),0)</f>
        <v>0</v>
      </c>
      <c r="L369" s="36">
        <f>Table412[[#This Row],[Quantity in BOM]]*Table412[[#This Row],[Freq]]</f>
        <v>0</v>
      </c>
      <c r="M369" s="36" t="str">
        <f>IF(Table412[[#This Row],[Exist]]=1,Table412[[#This Row],[MAT]],"")</f>
        <v/>
      </c>
      <c r="N369" s="36" t="str">
        <f>IF(Table412[[#This Row],[Exist]]=1,Table412[[#This Row],[Component]],"")</f>
        <v/>
      </c>
      <c r="O369" s="36">
        <f>IFERROR(VALUE(Table412[[#This Row],[MAT]]&amp;Table412[[#This Row],[X'#]]),IF(COUNTIF(Table412[[#This Row],[MAT]],"*M"),Table412[[#This Row],[MAT]]&amp;Table412[[#This Row],[X'#]],""))</f>
        <v>10805372</v>
      </c>
    </row>
    <row r="370" spans="1:15" x14ac:dyDescent="0.25">
      <c r="A370" s="37">
        <f t="shared" si="6"/>
        <v>14</v>
      </c>
      <c r="C370" s="38" t="s">
        <v>313</v>
      </c>
      <c r="D370" s="36" t="s">
        <v>314</v>
      </c>
      <c r="E370" s="36">
        <v>1080537</v>
      </c>
      <c r="F370" s="36">
        <v>3</v>
      </c>
      <c r="G370" s="36">
        <v>418525</v>
      </c>
      <c r="H370" s="48" t="str">
        <f>IFERROR(INDEX(Table14[],MATCH($G370,Table14[SAPNo],0),3),"")</f>
        <v>Drop In 1308 CT31   (B)</v>
      </c>
      <c r="I370" s="37">
        <v>6</v>
      </c>
      <c r="J370" s="37">
        <f>IF(Table412[[#This Row],[MAT]]&lt;&gt;"",COUNTIF(Table3[LEVEL 5 MAT NO.],Table412[[#This Row],[MAT]]),"")</f>
        <v>0</v>
      </c>
      <c r="K370" s="36">
        <f>IFERROR(INDEX(Table3[],MATCH($E370,Table3[LEVEL 5 MAT NO.],0),2),0)</f>
        <v>0</v>
      </c>
      <c r="L370" s="36">
        <f>Table412[[#This Row],[Quantity in BOM]]*Table412[[#This Row],[Freq]]</f>
        <v>0</v>
      </c>
      <c r="M370" s="36" t="str">
        <f>IF(Table412[[#This Row],[Exist]]=1,Table412[[#This Row],[MAT]],"")</f>
        <v/>
      </c>
      <c r="N370" s="36" t="str">
        <f>IF(Table412[[#This Row],[Exist]]=1,Table412[[#This Row],[Component]],"")</f>
        <v/>
      </c>
      <c r="O370" s="36">
        <f>IFERROR(VALUE(Table412[[#This Row],[MAT]]&amp;Table412[[#This Row],[X'#]]),IF(COUNTIF(Table412[[#This Row],[MAT]],"*M"),Table412[[#This Row],[MAT]]&amp;Table412[[#This Row],[X'#]],""))</f>
        <v>10805373</v>
      </c>
    </row>
    <row r="371" spans="1:15" x14ac:dyDescent="0.25">
      <c r="A371" s="37">
        <f t="shared" si="6"/>
        <v>14</v>
      </c>
      <c r="C371" s="36" t="s">
        <v>313</v>
      </c>
      <c r="D371" s="36" t="s">
        <v>272</v>
      </c>
      <c r="E371" s="36">
        <v>1083564</v>
      </c>
      <c r="F371" s="36">
        <v>1</v>
      </c>
      <c r="G371" s="36">
        <v>1039060</v>
      </c>
      <c r="H371" s="48" t="str">
        <f>IFERROR(INDEX(Table14[],MATCH($G371,Table14[SAPNo],0),3),"")</f>
        <v>Round 1613 CT138  0.018" (S)</v>
      </c>
      <c r="I371" s="37">
        <v>24</v>
      </c>
      <c r="J371" s="37">
        <f>IF(Table412[[#This Row],[MAT]]&lt;&gt;"",COUNTIF(Table3[LEVEL 5 MAT NO.],Table412[[#This Row],[MAT]]),"")</f>
        <v>0</v>
      </c>
      <c r="K371" s="36">
        <f>IFERROR(INDEX(Table3[],MATCH($E371,Table3[LEVEL 5 MAT NO.],0),2),0)</f>
        <v>0</v>
      </c>
      <c r="L371" s="36">
        <f>Table412[[#This Row],[Quantity in BOM]]*Table412[[#This Row],[Freq]]</f>
        <v>0</v>
      </c>
      <c r="M371" s="36" t="str">
        <f>IF(Table412[[#This Row],[Exist]]=1,Table412[[#This Row],[MAT]],"")</f>
        <v/>
      </c>
      <c r="N371" s="36" t="str">
        <f>IF(Table412[[#This Row],[Exist]]=1,Table412[[#This Row],[Component]],"")</f>
        <v/>
      </c>
      <c r="O371" s="36">
        <f>IFERROR(VALUE(Table412[[#This Row],[MAT]]&amp;Table412[[#This Row],[X'#]]),IF(COUNTIF(Table412[[#This Row],[MAT]],"*M"),Table412[[#This Row],[MAT]]&amp;Table412[[#This Row],[X'#]],""))</f>
        <v>10835641</v>
      </c>
    </row>
    <row r="372" spans="1:15" x14ac:dyDescent="0.25">
      <c r="A372" s="37">
        <f t="shared" si="6"/>
        <v>14</v>
      </c>
      <c r="C372" s="38" t="s">
        <v>309</v>
      </c>
      <c r="D372" s="36" t="s">
        <v>256</v>
      </c>
      <c r="E372" s="36">
        <v>1140397</v>
      </c>
      <c r="F372" s="36">
        <v>1</v>
      </c>
      <c r="G372" s="36">
        <v>1104083</v>
      </c>
      <c r="H372" s="48" t="str">
        <f>IFERROR(INDEX(Table14[],MATCH($G372,Table14[SAPNo],0),3),"")</f>
        <v>1313 CT144H  10C (S)</v>
      </c>
      <c r="I372" s="37">
        <v>1</v>
      </c>
      <c r="J372" s="37">
        <f>IF(Table412[[#This Row],[MAT]]&lt;&gt;"",COUNTIF(Table3[LEVEL 5 MAT NO.],Table412[[#This Row],[MAT]]),"")</f>
        <v>0</v>
      </c>
      <c r="K372" s="36">
        <f>IFERROR(INDEX(Table3[],MATCH($E372,Table3[LEVEL 5 MAT NO.],0),2),0)</f>
        <v>0</v>
      </c>
      <c r="L372" s="36">
        <f>Table412[[#This Row],[Quantity in BOM]]*Table412[[#This Row],[Freq]]</f>
        <v>0</v>
      </c>
      <c r="M372" s="36" t="str">
        <f>IF(Table412[[#This Row],[Exist]]=1,Table412[[#This Row],[MAT]],"")</f>
        <v/>
      </c>
      <c r="N372" s="36" t="str">
        <f>IF(Table412[[#This Row],[Exist]]=1,Table412[[#This Row],[Component]],"")</f>
        <v/>
      </c>
      <c r="O372" s="36">
        <f>IFERROR(VALUE(Table412[[#This Row],[MAT]]&amp;Table412[[#This Row],[X'#]]),IF(COUNTIF(Table412[[#This Row],[MAT]],"*M"),Table412[[#This Row],[MAT]]&amp;Table412[[#This Row],[X'#]],""))</f>
        <v>11403971</v>
      </c>
    </row>
    <row r="373" spans="1:15" x14ac:dyDescent="0.25">
      <c r="A373" s="37">
        <f t="shared" si="6"/>
        <v>14</v>
      </c>
      <c r="C373" s="36" t="s">
        <v>309</v>
      </c>
      <c r="D373" s="36" t="s">
        <v>256</v>
      </c>
      <c r="E373" s="36">
        <v>1140397</v>
      </c>
      <c r="F373" s="36">
        <v>2</v>
      </c>
      <c r="G373" s="36">
        <v>1136984</v>
      </c>
      <c r="H373" s="48" t="str">
        <f>IFERROR(INDEX(Table14[],MATCH($G373,Table14[SAPNo],0),3),"")</f>
        <v>DBLMCHT 1313 CT182DM  10C (S)</v>
      </c>
      <c r="I373" s="37">
        <v>13</v>
      </c>
      <c r="J373" s="37">
        <f>IF(Table412[[#This Row],[MAT]]&lt;&gt;"",COUNTIF(Table3[LEVEL 5 MAT NO.],Table412[[#This Row],[MAT]]),"")</f>
        <v>0</v>
      </c>
      <c r="K373" s="36">
        <f>IFERROR(INDEX(Table3[],MATCH($E373,Table3[LEVEL 5 MAT NO.],0),2),0)</f>
        <v>0</v>
      </c>
      <c r="L373" s="36">
        <f>Table412[[#This Row],[Quantity in BOM]]*Table412[[#This Row],[Freq]]</f>
        <v>0</v>
      </c>
      <c r="M373" s="36" t="str">
        <f>IF(Table412[[#This Row],[Exist]]=1,Table412[[#This Row],[MAT]],"")</f>
        <v/>
      </c>
      <c r="N373" s="36" t="str">
        <f>IF(Table412[[#This Row],[Exist]]=1,Table412[[#This Row],[Component]],"")</f>
        <v/>
      </c>
      <c r="O373" s="36">
        <f>IFERROR(VALUE(Table412[[#This Row],[MAT]]&amp;Table412[[#This Row],[X'#]]),IF(COUNTIF(Table412[[#This Row],[MAT]],"*M"),Table412[[#This Row],[MAT]]&amp;Table412[[#This Row],[X'#]],""))</f>
        <v>11403972</v>
      </c>
    </row>
    <row r="374" spans="1:15" x14ac:dyDescent="0.25">
      <c r="A374" s="37">
        <f t="shared" si="6"/>
        <v>14</v>
      </c>
      <c r="C374" s="36" t="s">
        <v>309</v>
      </c>
      <c r="D374" s="36" t="s">
        <v>256</v>
      </c>
      <c r="E374" s="36">
        <v>1140397</v>
      </c>
      <c r="F374" s="36">
        <v>3</v>
      </c>
      <c r="G374" s="36">
        <v>1130219</v>
      </c>
      <c r="H374" s="48" t="str">
        <f>IFERROR(INDEX(Table14[],MATCH($G374,Table14[SAPNo],0),3),"")</f>
        <v>Round 1313 CT182  10C (S)</v>
      </c>
      <c r="I374" s="37">
        <v>12</v>
      </c>
      <c r="J374" s="37">
        <f>IF(Table412[[#This Row],[MAT]]&lt;&gt;"",COUNTIF(Table3[LEVEL 5 MAT NO.],Table412[[#This Row],[MAT]]),"")</f>
        <v>0</v>
      </c>
      <c r="K374" s="36">
        <f>IFERROR(INDEX(Table3[],MATCH($E374,Table3[LEVEL 5 MAT NO.],0),2),0)</f>
        <v>0</v>
      </c>
      <c r="L374" s="36">
        <f>Table412[[#This Row],[Quantity in BOM]]*Table412[[#This Row],[Freq]]</f>
        <v>0</v>
      </c>
      <c r="M374" s="36" t="str">
        <f>IF(Table412[[#This Row],[Exist]]=1,Table412[[#This Row],[MAT]],"")</f>
        <v/>
      </c>
      <c r="N374" s="36" t="str">
        <f>IF(Table412[[#This Row],[Exist]]=1,Table412[[#This Row],[Component]],"")</f>
        <v/>
      </c>
      <c r="O374" s="36">
        <f>IFERROR(VALUE(Table412[[#This Row],[MAT]]&amp;Table412[[#This Row],[X'#]]),IF(COUNTIF(Table412[[#This Row],[MAT]],"*M"),Table412[[#This Row],[MAT]]&amp;Table412[[#This Row],[X'#]],""))</f>
        <v>11403973</v>
      </c>
    </row>
    <row r="375" spans="1:15" x14ac:dyDescent="0.25">
      <c r="A375" s="37">
        <f t="shared" si="6"/>
        <v>14</v>
      </c>
      <c r="C375" s="36" t="s">
        <v>309</v>
      </c>
      <c r="D375" s="36" t="s">
        <v>256</v>
      </c>
      <c r="E375" s="36">
        <v>1140397</v>
      </c>
      <c r="F375" s="36">
        <v>4</v>
      </c>
      <c r="G375" s="36">
        <v>418525</v>
      </c>
      <c r="H375" s="48" t="str">
        <f>IFERROR(INDEX(Table14[],MATCH($G375,Table14[SAPNo],0),3),"")</f>
        <v>Drop In 1308 CT31   (B)</v>
      </c>
      <c r="I375" s="37">
        <v>6</v>
      </c>
      <c r="J375" s="37">
        <f>IF(Table412[[#This Row],[MAT]]&lt;&gt;"",COUNTIF(Table3[LEVEL 5 MAT NO.],Table412[[#This Row],[MAT]]),"")</f>
        <v>0</v>
      </c>
      <c r="K375" s="36">
        <f>IFERROR(INDEX(Table3[],MATCH($E375,Table3[LEVEL 5 MAT NO.],0),2),0)</f>
        <v>0</v>
      </c>
      <c r="L375" s="36">
        <f>Table412[[#This Row],[Quantity in BOM]]*Table412[[#This Row],[Freq]]</f>
        <v>0</v>
      </c>
      <c r="M375" s="36" t="str">
        <f>IF(Table412[[#This Row],[Exist]]=1,Table412[[#This Row],[MAT]],"")</f>
        <v/>
      </c>
      <c r="N375" s="36" t="str">
        <f>IF(Table412[[#This Row],[Exist]]=1,Table412[[#This Row],[Component]],"")</f>
        <v/>
      </c>
      <c r="O375" s="36">
        <f>IFERROR(VALUE(Table412[[#This Row],[MAT]]&amp;Table412[[#This Row],[X'#]]),IF(COUNTIF(Table412[[#This Row],[MAT]],"*M"),Table412[[#This Row],[MAT]]&amp;Table412[[#This Row],[X'#]],""))</f>
        <v>11403974</v>
      </c>
    </row>
    <row r="376" spans="1:15" x14ac:dyDescent="0.25">
      <c r="A376" s="37">
        <f t="shared" si="6"/>
        <v>14</v>
      </c>
      <c r="C376" s="36" t="s">
        <v>309</v>
      </c>
      <c r="D376" s="36" t="s">
        <v>256</v>
      </c>
      <c r="E376" s="36">
        <v>1140397</v>
      </c>
      <c r="F376" s="36">
        <v>5</v>
      </c>
      <c r="G376" s="36">
        <v>1101509</v>
      </c>
      <c r="H376" s="48" t="str">
        <f>IFERROR(INDEX(Table14[],MATCH($G376,Table14[SAPNo],0),3),"")</f>
        <v>Short IA 8    (C)</v>
      </c>
      <c r="I376" s="37">
        <v>5</v>
      </c>
      <c r="J376" s="37">
        <f>IF(Table412[[#This Row],[MAT]]&lt;&gt;"",COUNTIF(Table3[LEVEL 5 MAT NO.],Table412[[#This Row],[MAT]]),"")</f>
        <v>0</v>
      </c>
      <c r="K376" s="36">
        <f>IFERROR(INDEX(Table3[],MATCH($E376,Table3[LEVEL 5 MAT NO.],0),2),0)</f>
        <v>0</v>
      </c>
      <c r="L376" s="36">
        <f>Table412[[#This Row],[Quantity in BOM]]*Table412[[#This Row],[Freq]]</f>
        <v>0</v>
      </c>
      <c r="M376" s="36" t="str">
        <f>IF(Table412[[#This Row],[Exist]]=1,Table412[[#This Row],[MAT]],"")</f>
        <v/>
      </c>
      <c r="N376" s="36" t="str">
        <f>IF(Table412[[#This Row],[Exist]]=1,Table412[[#This Row],[Component]],"")</f>
        <v/>
      </c>
      <c r="O376" s="36">
        <f>IFERROR(VALUE(Table412[[#This Row],[MAT]]&amp;Table412[[#This Row],[X'#]]),IF(COUNTIF(Table412[[#This Row],[MAT]],"*M"),Table412[[#This Row],[MAT]]&amp;Table412[[#This Row],[X'#]],""))</f>
        <v>11403975</v>
      </c>
    </row>
    <row r="377" spans="1:15" x14ac:dyDescent="0.25">
      <c r="A377" s="37">
        <f t="shared" si="6"/>
        <v>14</v>
      </c>
      <c r="C377" s="160" t="s">
        <v>309</v>
      </c>
      <c r="D377" s="160" t="s">
        <v>653</v>
      </c>
      <c r="E377" s="160">
        <v>1135183</v>
      </c>
      <c r="F377" s="160">
        <v>1</v>
      </c>
      <c r="G377" s="160">
        <v>907609</v>
      </c>
      <c r="H377" s="161" t="str">
        <f>IFERROR(INDEX(Table14[],MATCH($G377,Table14[SAPNo],0),3),"")</f>
        <v>Round 1313 CT125 GEDB 10C (S)</v>
      </c>
      <c r="I377" s="162">
        <v>20</v>
      </c>
      <c r="J377" s="37">
        <f>IF(Table412[[#This Row],[MAT]]&lt;&gt;"",COUNTIF(Table3[LEVEL 5 MAT NO.],Table412[[#This Row],[MAT]]),"")</f>
        <v>0</v>
      </c>
      <c r="K377" s="36">
        <f>IFERROR(INDEX(Table3[],MATCH($E377,Table3[LEVEL 5 MAT NO.],0),2),0)</f>
        <v>0</v>
      </c>
      <c r="L377" s="36">
        <f>Table412[[#This Row],[Quantity in BOM]]*Table412[[#This Row],[Freq]]</f>
        <v>0</v>
      </c>
      <c r="M377" s="36" t="str">
        <f>IF(Table412[[#This Row],[Exist]]=1,Table412[[#This Row],[MAT]],"")</f>
        <v/>
      </c>
      <c r="N377" s="36" t="str">
        <f>IF(Table412[[#This Row],[Exist]]=1,Table412[[#This Row],[Component]],"")</f>
        <v/>
      </c>
      <c r="O377" s="36">
        <f>IFERROR(VALUE(Table412[[#This Row],[MAT]]&amp;Table412[[#This Row],[X'#]]),IF(COUNTIF(Table412[[#This Row],[MAT]],"*M"),Table412[[#This Row],[MAT]]&amp;Table412[[#This Row],[X'#]],""))</f>
        <v>11351831</v>
      </c>
    </row>
    <row r="378" spans="1:15" x14ac:dyDescent="0.25">
      <c r="A378" s="37">
        <f t="shared" si="6"/>
        <v>14</v>
      </c>
      <c r="C378" s="160" t="s">
        <v>309</v>
      </c>
      <c r="D378" s="160" t="s">
        <v>653</v>
      </c>
      <c r="E378" s="160">
        <v>1135183</v>
      </c>
      <c r="F378" s="160">
        <v>2</v>
      </c>
      <c r="G378" s="160">
        <v>703670</v>
      </c>
      <c r="H378" s="161" t="str">
        <f>IFERROR(INDEX(Table14[],MATCH($G378,Table14[SAPNo],0),3),"")</f>
        <v>Round 1313 CT200  10C (B)</v>
      </c>
      <c r="I378" s="162">
        <v>3</v>
      </c>
      <c r="J378" s="37">
        <f>IF(Table412[[#This Row],[MAT]]&lt;&gt;"",COUNTIF(Table3[LEVEL 5 MAT NO.],Table412[[#This Row],[MAT]]),"")</f>
        <v>0</v>
      </c>
      <c r="K378" s="36">
        <f>IFERROR(INDEX(Table3[],MATCH($E378,Table3[LEVEL 5 MAT NO.],0),2),0)</f>
        <v>0</v>
      </c>
      <c r="L378" s="36">
        <f>Table412[[#This Row],[Quantity in BOM]]*Table412[[#This Row],[Freq]]</f>
        <v>0</v>
      </c>
      <c r="M378" s="36" t="str">
        <f>IF(Table412[[#This Row],[Exist]]=1,Table412[[#This Row],[MAT]],"")</f>
        <v/>
      </c>
      <c r="N378" s="36" t="str">
        <f>IF(Table412[[#This Row],[Exist]]=1,Table412[[#This Row],[Component]],"")</f>
        <v/>
      </c>
      <c r="O378" s="36">
        <f>IFERROR(VALUE(Table412[[#This Row],[MAT]]&amp;Table412[[#This Row],[X'#]]),IF(COUNTIF(Table412[[#This Row],[MAT]],"*M"),Table412[[#This Row],[MAT]]&amp;Table412[[#This Row],[X'#]],""))</f>
        <v>11351832</v>
      </c>
    </row>
    <row r="379" spans="1:15" x14ac:dyDescent="0.25">
      <c r="A379" s="37">
        <f t="shared" si="6"/>
        <v>14</v>
      </c>
      <c r="C379" s="160" t="s">
        <v>309</v>
      </c>
      <c r="D379" s="160" t="s">
        <v>653</v>
      </c>
      <c r="E379" s="160">
        <v>1135183</v>
      </c>
      <c r="F379" s="160">
        <v>3</v>
      </c>
      <c r="G379" s="160">
        <v>418525</v>
      </c>
      <c r="H379" s="161" t="str">
        <f>IFERROR(INDEX(Table14[],MATCH($G379,Table14[SAPNo],0),3),"")</f>
        <v>Drop In 1308 CT31   (B)</v>
      </c>
      <c r="I379" s="162">
        <v>10</v>
      </c>
      <c r="J379" s="37">
        <f>IF(Table412[[#This Row],[MAT]]&lt;&gt;"",COUNTIF(Table3[LEVEL 5 MAT NO.],Table412[[#This Row],[MAT]]),"")</f>
        <v>0</v>
      </c>
      <c r="K379" s="36">
        <f>IFERROR(INDEX(Table3[],MATCH($E379,Table3[LEVEL 5 MAT NO.],0),2),0)</f>
        <v>0</v>
      </c>
      <c r="L379" s="36">
        <f>Table412[[#This Row],[Quantity in BOM]]*Table412[[#This Row],[Freq]]</f>
        <v>0</v>
      </c>
      <c r="M379" s="36" t="str">
        <f>IF(Table412[[#This Row],[Exist]]=1,Table412[[#This Row],[MAT]],"")</f>
        <v/>
      </c>
      <c r="N379" s="36" t="str">
        <f>IF(Table412[[#This Row],[Exist]]=1,Table412[[#This Row],[Component]],"")</f>
        <v/>
      </c>
      <c r="O379" s="36">
        <f>IFERROR(VALUE(Table412[[#This Row],[MAT]]&amp;Table412[[#This Row],[X'#]]),IF(COUNTIF(Table412[[#This Row],[MAT]],"*M"),Table412[[#This Row],[MAT]]&amp;Table412[[#This Row],[X'#]],""))</f>
        <v>11351833</v>
      </c>
    </row>
    <row r="380" spans="1:15" x14ac:dyDescent="0.25">
      <c r="A380" s="37">
        <f t="shared" si="6"/>
        <v>14</v>
      </c>
      <c r="C380" s="36" t="s">
        <v>624</v>
      </c>
      <c r="D380" s="36" t="s">
        <v>3678</v>
      </c>
      <c r="E380" s="36">
        <v>1007406</v>
      </c>
      <c r="F380" s="36">
        <v>1</v>
      </c>
      <c r="G380" s="36">
        <v>745337</v>
      </c>
      <c r="H380" s="48" t="str">
        <f>IFERROR(INDEX(Table14[],MATCH($G380,Table14[SAPNo],0),3),"")</f>
        <v/>
      </c>
      <c r="I380" s="37">
        <v>24</v>
      </c>
      <c r="J380" s="37">
        <f>IF(Table412[[#This Row],[MAT]]&lt;&gt;"",COUNTIF(Table3[LEVEL 5 MAT NO.],Table412[[#This Row],[MAT]]),"")</f>
        <v>0</v>
      </c>
      <c r="K380" s="36">
        <f>IFERROR(INDEX(Table3[],MATCH($E380,Table3[LEVEL 5 MAT NO.],0),2),0)</f>
        <v>0</v>
      </c>
      <c r="L380" s="36">
        <f>Table412[[#This Row],[Quantity in BOM]]*Table412[[#This Row],[Freq]]</f>
        <v>0</v>
      </c>
      <c r="M380" s="36" t="str">
        <f>IF(Table412[[#This Row],[Exist]]=1,Table412[[#This Row],[MAT]],"")</f>
        <v/>
      </c>
      <c r="N380" s="36" t="str">
        <f>IF(Table412[[#This Row],[Exist]]=1,Table412[[#This Row],[Component]],"")</f>
        <v/>
      </c>
      <c r="O380" s="36">
        <f>IFERROR(VALUE(Table412[[#This Row],[MAT]]&amp;Table412[[#This Row],[X'#]]),IF(COUNTIF(Table412[[#This Row],[MAT]],"*M"),Table412[[#This Row],[MAT]]&amp;Table412[[#This Row],[X'#]],""))</f>
        <v>10074061</v>
      </c>
    </row>
    <row r="381" spans="1:15" x14ac:dyDescent="0.25">
      <c r="A381" s="37">
        <f t="shared" si="6"/>
        <v>14</v>
      </c>
      <c r="C381" s="36" t="s">
        <v>624</v>
      </c>
      <c r="D381" s="36" t="s">
        <v>3678</v>
      </c>
      <c r="E381" s="36">
        <v>1007406</v>
      </c>
      <c r="F381" s="36">
        <v>2</v>
      </c>
      <c r="G381" s="36">
        <v>703670</v>
      </c>
      <c r="H381" s="48" t="str">
        <f>IFERROR(INDEX(Table14[],MATCH($G381,Table14[SAPNo],0),3),"")</f>
        <v>Round 1313 CT200  10C (B)</v>
      </c>
      <c r="I381" s="37">
        <v>12</v>
      </c>
      <c r="J381" s="37">
        <f>IF(Table412[[#This Row],[MAT]]&lt;&gt;"",COUNTIF(Table3[LEVEL 5 MAT NO.],Table412[[#This Row],[MAT]]),"")</f>
        <v>0</v>
      </c>
      <c r="K381" s="36">
        <f>IFERROR(INDEX(Table3[],MATCH($E381,Table3[LEVEL 5 MAT NO.],0),2),0)</f>
        <v>0</v>
      </c>
      <c r="L381" s="36">
        <f>Table412[[#This Row],[Quantity in BOM]]*Table412[[#This Row],[Freq]]</f>
        <v>0</v>
      </c>
      <c r="M381" s="36" t="str">
        <f>IF(Table412[[#This Row],[Exist]]=1,Table412[[#This Row],[MAT]],"")</f>
        <v/>
      </c>
      <c r="N381" s="36" t="str">
        <f>IF(Table412[[#This Row],[Exist]]=1,Table412[[#This Row],[Component]],"")</f>
        <v/>
      </c>
      <c r="O381" s="36">
        <f>IFERROR(VALUE(Table412[[#This Row],[MAT]]&amp;Table412[[#This Row],[X'#]]),IF(COUNTIF(Table412[[#This Row],[MAT]],"*M"),Table412[[#This Row],[MAT]]&amp;Table412[[#This Row],[X'#]],""))</f>
        <v>10074062</v>
      </c>
    </row>
    <row r="382" spans="1:15" x14ac:dyDescent="0.25">
      <c r="A382" s="37">
        <f t="shared" si="6"/>
        <v>14</v>
      </c>
      <c r="C382" s="38" t="s">
        <v>624</v>
      </c>
      <c r="D382" s="36" t="s">
        <v>3678</v>
      </c>
      <c r="E382" s="36">
        <v>1104950</v>
      </c>
      <c r="F382" s="36">
        <v>1</v>
      </c>
      <c r="G382" s="36">
        <v>1130221</v>
      </c>
      <c r="H382" s="48" t="str">
        <f>IFERROR(INDEX(Table14[],MATCH($G382,Table14[SAPNo],0),3),"")</f>
        <v xml:space="preserve"> 1613 CT182  10C (S)</v>
      </c>
      <c r="I382" s="37">
        <v>24</v>
      </c>
      <c r="J382" s="37">
        <f>IF(Table412[[#This Row],[MAT]]&lt;&gt;"",COUNTIF(Table3[LEVEL 5 MAT NO.],Table412[[#This Row],[MAT]]),"")</f>
        <v>0</v>
      </c>
      <c r="K382" s="36">
        <f>IFERROR(INDEX(Table3[],MATCH($E382,Table3[LEVEL 5 MAT NO.],0),2),0)</f>
        <v>0</v>
      </c>
      <c r="L382" s="36">
        <f>Table412[[#This Row],[Quantity in BOM]]*Table412[[#This Row],[Freq]]</f>
        <v>0</v>
      </c>
      <c r="M382" s="36" t="str">
        <f>IF(Table412[[#This Row],[Exist]]=1,Table412[[#This Row],[MAT]],"")</f>
        <v/>
      </c>
      <c r="N382" s="36" t="str">
        <f>IF(Table412[[#This Row],[Exist]]=1,Table412[[#This Row],[Component]],"")</f>
        <v/>
      </c>
      <c r="O382" s="36">
        <f>IFERROR(VALUE(Table412[[#This Row],[MAT]]&amp;Table412[[#This Row],[X'#]]),IF(COUNTIF(Table412[[#This Row],[MAT]],"*M"),Table412[[#This Row],[MAT]]&amp;Table412[[#This Row],[X'#]],""))</f>
        <v>11049501</v>
      </c>
    </row>
    <row r="383" spans="1:15" x14ac:dyDescent="0.25">
      <c r="A383" s="37">
        <f t="shared" si="6"/>
        <v>14</v>
      </c>
      <c r="C383" s="38" t="s">
        <v>624</v>
      </c>
      <c r="D383" s="36" t="s">
        <v>3678</v>
      </c>
      <c r="E383" s="36">
        <v>1104950</v>
      </c>
      <c r="F383" s="36">
        <v>2</v>
      </c>
      <c r="G383" s="36">
        <v>1130219</v>
      </c>
      <c r="H383" s="48" t="str">
        <f>IFERROR(INDEX(Table14[],MATCH($G383,Table14[SAPNo],0),3),"")</f>
        <v>Round 1313 CT182  10C (S)</v>
      </c>
      <c r="I383" s="37">
        <v>6</v>
      </c>
      <c r="J383" s="37">
        <f>IF(Table412[[#This Row],[MAT]]&lt;&gt;"",COUNTIF(Table3[LEVEL 5 MAT NO.],Table412[[#This Row],[MAT]]),"")</f>
        <v>0</v>
      </c>
      <c r="K383" s="36">
        <f>IFERROR(INDEX(Table3[],MATCH($E383,Table3[LEVEL 5 MAT NO.],0),2),0)</f>
        <v>0</v>
      </c>
      <c r="L383" s="36">
        <f>Table412[[#This Row],[Quantity in BOM]]*Table412[[#This Row],[Freq]]</f>
        <v>0</v>
      </c>
      <c r="M383" s="36" t="str">
        <f>IF(Table412[[#This Row],[Exist]]=1,Table412[[#This Row],[MAT]],"")</f>
        <v/>
      </c>
      <c r="N383" s="36" t="str">
        <f>IF(Table412[[#This Row],[Exist]]=1,Table412[[#This Row],[Component]],"")</f>
        <v/>
      </c>
      <c r="O383" s="36">
        <f>IFERROR(VALUE(Table412[[#This Row],[MAT]]&amp;Table412[[#This Row],[X'#]]),IF(COUNTIF(Table412[[#This Row],[MAT]],"*M"),Table412[[#This Row],[MAT]]&amp;Table412[[#This Row],[X'#]],""))</f>
        <v>11049502</v>
      </c>
    </row>
    <row r="384" spans="1:15" x14ac:dyDescent="0.25">
      <c r="A384" s="37">
        <f t="shared" si="6"/>
        <v>14</v>
      </c>
      <c r="C384" s="38" t="s">
        <v>624</v>
      </c>
      <c r="D384" s="36" t="s">
        <v>3678</v>
      </c>
      <c r="E384" s="36">
        <v>1104950</v>
      </c>
      <c r="F384" s="36">
        <v>3</v>
      </c>
      <c r="G384" s="36">
        <v>703670</v>
      </c>
      <c r="H384" s="48" t="str">
        <f>IFERROR(INDEX(Table14[],MATCH($G384,Table14[SAPNo],0),3),"")</f>
        <v>Round 1313 CT200  10C (B)</v>
      </c>
      <c r="I384" s="37">
        <v>6</v>
      </c>
      <c r="J384" s="37">
        <f>IF(Table412[[#This Row],[MAT]]&lt;&gt;"",COUNTIF(Table3[LEVEL 5 MAT NO.],Table412[[#This Row],[MAT]]),"")</f>
        <v>0</v>
      </c>
      <c r="K384" s="36">
        <f>IFERROR(INDEX(Table3[],MATCH($E384,Table3[LEVEL 5 MAT NO.],0),2),0)</f>
        <v>0</v>
      </c>
      <c r="L384" s="36">
        <f>Table412[[#This Row],[Quantity in BOM]]*Table412[[#This Row],[Freq]]</f>
        <v>0</v>
      </c>
      <c r="M384" s="36" t="str">
        <f>IF(Table412[[#This Row],[Exist]]=1,Table412[[#This Row],[MAT]],"")</f>
        <v/>
      </c>
      <c r="N384" s="36" t="str">
        <f>IF(Table412[[#This Row],[Exist]]=1,Table412[[#This Row],[Component]],"")</f>
        <v/>
      </c>
      <c r="O384" s="36">
        <f>IFERROR(VALUE(Table412[[#This Row],[MAT]]&amp;Table412[[#This Row],[X'#]]),IF(COUNTIF(Table412[[#This Row],[MAT]],"*M"),Table412[[#This Row],[MAT]]&amp;Table412[[#This Row],[X'#]],""))</f>
        <v>11049503</v>
      </c>
    </row>
    <row r="385" spans="1:15" x14ac:dyDescent="0.25">
      <c r="A385" s="37">
        <f t="shared" si="6"/>
        <v>14</v>
      </c>
      <c r="C385" s="38" t="s">
        <v>624</v>
      </c>
      <c r="D385" s="36" t="s">
        <v>3679</v>
      </c>
      <c r="E385" s="36">
        <v>1109015</v>
      </c>
      <c r="F385" s="36">
        <v>1</v>
      </c>
      <c r="G385" s="36">
        <v>745337</v>
      </c>
      <c r="H385" s="48" t="str">
        <f>IFERROR(INDEX(Table14[],MATCH($G385,Table14[SAPNo],0),3),"")</f>
        <v/>
      </c>
      <c r="I385" s="37">
        <v>29</v>
      </c>
      <c r="J385" s="37">
        <f>IF(Table412[[#This Row],[MAT]]&lt;&gt;"",COUNTIF(Table3[LEVEL 5 MAT NO.],Table412[[#This Row],[MAT]]),"")</f>
        <v>0</v>
      </c>
      <c r="K385" s="36">
        <f>IFERROR(INDEX(Table3[],MATCH($E385,Table3[LEVEL 5 MAT NO.],0),2),0)</f>
        <v>0</v>
      </c>
      <c r="L385" s="36">
        <f>Table412[[#This Row],[Quantity in BOM]]*Table412[[#This Row],[Freq]]</f>
        <v>0</v>
      </c>
      <c r="M385" s="36" t="str">
        <f>IF(Table412[[#This Row],[Exist]]=1,Table412[[#This Row],[MAT]],"")</f>
        <v/>
      </c>
      <c r="N385" s="36" t="str">
        <f>IF(Table412[[#This Row],[Exist]]=1,Table412[[#This Row],[Component]],"")</f>
        <v/>
      </c>
      <c r="O385" s="36">
        <f>IFERROR(VALUE(Table412[[#This Row],[MAT]]&amp;Table412[[#This Row],[X'#]]),IF(COUNTIF(Table412[[#This Row],[MAT]],"*M"),Table412[[#This Row],[MAT]]&amp;Table412[[#This Row],[X'#]],""))</f>
        <v>11090151</v>
      </c>
    </row>
    <row r="386" spans="1:15" x14ac:dyDescent="0.25">
      <c r="A386" s="37">
        <f t="shared" si="6"/>
        <v>14</v>
      </c>
      <c r="C386" s="38" t="s">
        <v>624</v>
      </c>
      <c r="D386" s="36" t="s">
        <v>3679</v>
      </c>
      <c r="E386" s="36">
        <v>1109015</v>
      </c>
      <c r="F386" s="36">
        <v>2</v>
      </c>
      <c r="G386" s="36">
        <v>871781</v>
      </c>
      <c r="H386" s="48" t="str">
        <f>IFERROR(INDEX(Table14[],MATCH($G386,Table14[SAPNo],0),3),"")</f>
        <v>Round 1313 CT200  0.018" (B)</v>
      </c>
      <c r="I386" s="37">
        <v>6</v>
      </c>
      <c r="J386" s="37">
        <f>IF(Table412[[#This Row],[MAT]]&lt;&gt;"",COUNTIF(Table3[LEVEL 5 MAT NO.],Table412[[#This Row],[MAT]]),"")</f>
        <v>0</v>
      </c>
      <c r="K386" s="36">
        <f>IFERROR(INDEX(Table3[],MATCH($E386,Table3[LEVEL 5 MAT NO.],0),2),0)</f>
        <v>0</v>
      </c>
      <c r="L386" s="36">
        <f>Table412[[#This Row],[Quantity in BOM]]*Table412[[#This Row],[Freq]]</f>
        <v>0</v>
      </c>
      <c r="M386" s="36" t="str">
        <f>IF(Table412[[#This Row],[Exist]]=1,Table412[[#This Row],[MAT]],"")</f>
        <v/>
      </c>
      <c r="N386" s="36" t="str">
        <f>IF(Table412[[#This Row],[Exist]]=1,Table412[[#This Row],[Component]],"")</f>
        <v/>
      </c>
      <c r="O386" s="36">
        <f>IFERROR(VALUE(Table412[[#This Row],[MAT]]&amp;Table412[[#This Row],[X'#]]),IF(COUNTIF(Table412[[#This Row],[MAT]],"*M"),Table412[[#This Row],[MAT]]&amp;Table412[[#This Row],[X'#]],""))</f>
        <v>11090152</v>
      </c>
    </row>
    <row r="387" spans="1:15" x14ac:dyDescent="0.25">
      <c r="A387" s="37">
        <f t="shared" ref="A387:A450" si="7">A386+K386</f>
        <v>14</v>
      </c>
      <c r="C387" s="38" t="s">
        <v>624</v>
      </c>
      <c r="D387" s="36" t="s">
        <v>3679</v>
      </c>
      <c r="E387" s="36">
        <v>1109015</v>
      </c>
      <c r="F387" s="36">
        <v>3</v>
      </c>
      <c r="G387" s="36">
        <v>1037276</v>
      </c>
      <c r="H387" s="48" t="str">
        <f>IFERROR(INDEX(Table14[],MATCH($G387,Table14[SAPNo],0),3),"")</f>
        <v/>
      </c>
      <c r="I387" s="37">
        <v>3</v>
      </c>
      <c r="J387" s="37">
        <f>IF(Table412[[#This Row],[MAT]]&lt;&gt;"",COUNTIF(Table3[LEVEL 5 MAT NO.],Table412[[#This Row],[MAT]]),"")</f>
        <v>0</v>
      </c>
      <c r="K387" s="36">
        <f>IFERROR(INDEX(Table3[],MATCH($E387,Table3[LEVEL 5 MAT NO.],0),2),0)</f>
        <v>0</v>
      </c>
      <c r="L387" s="36">
        <f>Table412[[#This Row],[Quantity in BOM]]*Table412[[#This Row],[Freq]]</f>
        <v>0</v>
      </c>
      <c r="M387" s="36" t="str">
        <f>IF(Table412[[#This Row],[Exist]]=1,Table412[[#This Row],[MAT]],"")</f>
        <v/>
      </c>
      <c r="N387" s="36" t="str">
        <f>IF(Table412[[#This Row],[Exist]]=1,Table412[[#This Row],[Component]],"")</f>
        <v/>
      </c>
      <c r="O387" s="36">
        <f>IFERROR(VALUE(Table412[[#This Row],[MAT]]&amp;Table412[[#This Row],[X'#]]),IF(COUNTIF(Table412[[#This Row],[MAT]],"*M"),Table412[[#This Row],[MAT]]&amp;Table412[[#This Row],[X'#]],""))</f>
        <v>11090153</v>
      </c>
    </row>
    <row r="388" spans="1:15" x14ac:dyDescent="0.25">
      <c r="A388" s="37">
        <f t="shared" si="7"/>
        <v>14</v>
      </c>
      <c r="C388" s="38" t="s">
        <v>624</v>
      </c>
      <c r="D388" s="36" t="s">
        <v>3679</v>
      </c>
      <c r="E388" s="36">
        <v>1109015</v>
      </c>
      <c r="F388" s="36">
        <v>4</v>
      </c>
      <c r="G388" s="36">
        <v>745173</v>
      </c>
      <c r="H388" s="48" t="str">
        <f>IFERROR(INDEX(Table14[],MATCH($G388,Table14[SAPNo],0),3),"")</f>
        <v/>
      </c>
      <c r="I388" s="37">
        <v>4</v>
      </c>
      <c r="J388" s="37">
        <f>IF(Table412[[#This Row],[MAT]]&lt;&gt;"",COUNTIF(Table3[LEVEL 5 MAT NO.],Table412[[#This Row],[MAT]]),"")</f>
        <v>0</v>
      </c>
      <c r="K388" s="36">
        <f>IFERROR(INDEX(Table3[],MATCH($E388,Table3[LEVEL 5 MAT NO.],0),2),0)</f>
        <v>0</v>
      </c>
      <c r="L388" s="36">
        <f>Table412[[#This Row],[Quantity in BOM]]*Table412[[#This Row],[Freq]]</f>
        <v>0</v>
      </c>
      <c r="M388" s="36" t="str">
        <f>IF(Table412[[#This Row],[Exist]]=1,Table412[[#This Row],[MAT]],"")</f>
        <v/>
      </c>
      <c r="N388" s="36" t="str">
        <f>IF(Table412[[#This Row],[Exist]]=1,Table412[[#This Row],[Component]],"")</f>
        <v/>
      </c>
      <c r="O388" s="36">
        <f>IFERROR(VALUE(Table412[[#This Row],[MAT]]&amp;Table412[[#This Row],[X'#]]),IF(COUNTIF(Table412[[#This Row],[MAT]],"*M"),Table412[[#This Row],[MAT]]&amp;Table412[[#This Row],[X'#]],""))</f>
        <v>11090154</v>
      </c>
    </row>
    <row r="389" spans="1:15" x14ac:dyDescent="0.25">
      <c r="A389" s="37">
        <f t="shared" si="7"/>
        <v>14</v>
      </c>
      <c r="C389" s="36" t="s">
        <v>624</v>
      </c>
      <c r="D389" s="36" t="s">
        <v>3679</v>
      </c>
      <c r="E389" s="36">
        <v>1109015</v>
      </c>
      <c r="F389" s="36">
        <v>5</v>
      </c>
      <c r="G389" s="36">
        <v>948669</v>
      </c>
      <c r="H389" s="48" t="str">
        <f>IFERROR(INDEX(Table14[],MATCH($G389,Table14[SAPNo],0),3),"")</f>
        <v/>
      </c>
      <c r="I389" s="37">
        <v>3</v>
      </c>
      <c r="J389" s="37">
        <f>IF(Table412[[#This Row],[MAT]]&lt;&gt;"",COUNTIF(Table3[LEVEL 5 MAT NO.],Table412[[#This Row],[MAT]]),"")</f>
        <v>0</v>
      </c>
      <c r="K389" s="36">
        <f>IFERROR(INDEX(Table3[],MATCH($E389,Table3[LEVEL 5 MAT NO.],0),2),0)</f>
        <v>0</v>
      </c>
      <c r="L389" s="36">
        <f>Table412[[#This Row],[Quantity in BOM]]*Table412[[#This Row],[Freq]]</f>
        <v>0</v>
      </c>
      <c r="M389" s="36" t="str">
        <f>IF(Table412[[#This Row],[Exist]]=1,Table412[[#This Row],[MAT]],"")</f>
        <v/>
      </c>
      <c r="N389" s="36" t="str">
        <f>IF(Table412[[#This Row],[Exist]]=1,Table412[[#This Row],[Component]],"")</f>
        <v/>
      </c>
      <c r="O389" s="36">
        <f>IFERROR(VALUE(Table412[[#This Row],[MAT]]&amp;Table412[[#This Row],[X'#]]),IF(COUNTIF(Table412[[#This Row],[MAT]],"*M"),Table412[[#This Row],[MAT]]&amp;Table412[[#This Row],[X'#]],""))</f>
        <v>11090155</v>
      </c>
    </row>
    <row r="390" spans="1:15" x14ac:dyDescent="0.25">
      <c r="A390" s="37">
        <f t="shared" si="7"/>
        <v>14</v>
      </c>
      <c r="C390" s="36" t="s">
        <v>624</v>
      </c>
      <c r="D390" s="36" t="s">
        <v>3679</v>
      </c>
      <c r="E390" s="36">
        <v>1109015</v>
      </c>
      <c r="F390" s="36">
        <v>6</v>
      </c>
      <c r="G390" s="36">
        <v>418525</v>
      </c>
      <c r="H390" s="48" t="str">
        <f>IFERROR(INDEX(Table14[],MATCH($G390,Table14[SAPNo],0),3),"")</f>
        <v>Drop In 1308 CT31   (B)</v>
      </c>
      <c r="I390" s="37">
        <v>2</v>
      </c>
      <c r="J390" s="37">
        <f>IF(Table412[[#This Row],[MAT]]&lt;&gt;"",COUNTIF(Table3[LEVEL 5 MAT NO.],Table412[[#This Row],[MAT]]),"")</f>
        <v>0</v>
      </c>
      <c r="K390" s="36">
        <f>IFERROR(INDEX(Table3[],MATCH($E390,Table3[LEVEL 5 MAT NO.],0),2),0)</f>
        <v>0</v>
      </c>
      <c r="L390" s="36">
        <f>Table412[[#This Row],[Quantity in BOM]]*Table412[[#This Row],[Freq]]</f>
        <v>0</v>
      </c>
      <c r="M390" s="36" t="str">
        <f>IF(Table412[[#This Row],[Exist]]=1,Table412[[#This Row],[MAT]],"")</f>
        <v/>
      </c>
      <c r="N390" s="36" t="str">
        <f>IF(Table412[[#This Row],[Exist]]=1,Table412[[#This Row],[Component]],"")</f>
        <v/>
      </c>
      <c r="O390" s="36">
        <f>IFERROR(VALUE(Table412[[#This Row],[MAT]]&amp;Table412[[#This Row],[X'#]]),IF(COUNTIF(Table412[[#This Row],[MAT]],"*M"),Table412[[#This Row],[MAT]]&amp;Table412[[#This Row],[X'#]],""))</f>
        <v>11090156</v>
      </c>
    </row>
    <row r="391" spans="1:15" x14ac:dyDescent="0.25">
      <c r="A391" s="37">
        <f t="shared" si="7"/>
        <v>14</v>
      </c>
      <c r="C391" s="36" t="s">
        <v>637</v>
      </c>
      <c r="D391" s="36" t="s">
        <v>3680</v>
      </c>
      <c r="E391" s="36">
        <v>1140887</v>
      </c>
      <c r="F391" s="36">
        <v>1</v>
      </c>
      <c r="G391" s="36">
        <v>1130221</v>
      </c>
      <c r="H391" s="48" t="str">
        <f>IFERROR(INDEX(Table14[],MATCH($G391,Table14[SAPNo],0),3),"")</f>
        <v xml:space="preserve"> 1613 CT182  10C (S)</v>
      </c>
      <c r="I391" s="37">
        <v>43</v>
      </c>
      <c r="J391" s="37">
        <f>IF(Table412[[#This Row],[MAT]]&lt;&gt;"",COUNTIF(Table3[LEVEL 5 MAT NO.],Table412[[#This Row],[MAT]]),"")</f>
        <v>0</v>
      </c>
      <c r="K391" s="36">
        <f>IFERROR(INDEX(Table3[],MATCH($E391,Table3[LEVEL 5 MAT NO.],0),2),0)</f>
        <v>0</v>
      </c>
      <c r="L391" s="36">
        <f>Table412[[#This Row],[Quantity in BOM]]*Table412[[#This Row],[Freq]]</f>
        <v>0</v>
      </c>
      <c r="M391" s="36" t="str">
        <f>IF(Table412[[#This Row],[Exist]]=1,Table412[[#This Row],[MAT]],"")</f>
        <v/>
      </c>
      <c r="N391" s="36" t="str">
        <f>IF(Table412[[#This Row],[Exist]]=1,Table412[[#This Row],[Component]],"")</f>
        <v/>
      </c>
      <c r="O391" s="36">
        <f>IFERROR(VALUE(Table412[[#This Row],[MAT]]&amp;Table412[[#This Row],[X'#]]),IF(COUNTIF(Table412[[#This Row],[MAT]],"*M"),Table412[[#This Row],[MAT]]&amp;Table412[[#This Row],[X'#]],""))</f>
        <v>11408871</v>
      </c>
    </row>
    <row r="392" spans="1:15" x14ac:dyDescent="0.25">
      <c r="A392" s="37">
        <f t="shared" si="7"/>
        <v>14</v>
      </c>
      <c r="C392" s="36" t="s">
        <v>637</v>
      </c>
      <c r="D392" s="36" t="s">
        <v>3680</v>
      </c>
      <c r="E392" s="36">
        <v>1140887</v>
      </c>
      <c r="F392" s="36">
        <v>2</v>
      </c>
      <c r="G392" s="36">
        <v>1130219</v>
      </c>
      <c r="H392" s="48" t="str">
        <f>IFERROR(INDEX(Table14[],MATCH($G392,Table14[SAPNo],0),3),"")</f>
        <v>Round 1313 CT182  10C (S)</v>
      </c>
      <c r="I392" s="37">
        <v>6</v>
      </c>
      <c r="J392" s="37">
        <f>IF(Table412[[#This Row],[MAT]]&lt;&gt;"",COUNTIF(Table3[LEVEL 5 MAT NO.],Table412[[#This Row],[MAT]]),"")</f>
        <v>0</v>
      </c>
      <c r="K392" s="36">
        <f>IFERROR(INDEX(Table3[],MATCH($E392,Table3[LEVEL 5 MAT NO.],0),2),0)</f>
        <v>0</v>
      </c>
      <c r="L392" s="36">
        <f>Table412[[#This Row],[Quantity in BOM]]*Table412[[#This Row],[Freq]]</f>
        <v>0</v>
      </c>
      <c r="M392" s="36" t="str">
        <f>IF(Table412[[#This Row],[Exist]]=1,Table412[[#This Row],[MAT]],"")</f>
        <v/>
      </c>
      <c r="N392" s="36" t="str">
        <f>IF(Table412[[#This Row],[Exist]]=1,Table412[[#This Row],[Component]],"")</f>
        <v/>
      </c>
      <c r="O392" s="36">
        <f>IFERROR(VALUE(Table412[[#This Row],[MAT]]&amp;Table412[[#This Row],[X'#]]),IF(COUNTIF(Table412[[#This Row],[MAT]],"*M"),Table412[[#This Row],[MAT]]&amp;Table412[[#This Row],[X'#]],""))</f>
        <v>11408872</v>
      </c>
    </row>
    <row r="393" spans="1:15" x14ac:dyDescent="0.25">
      <c r="A393" s="37">
        <f t="shared" si="7"/>
        <v>14</v>
      </c>
      <c r="C393" s="36" t="s">
        <v>637</v>
      </c>
      <c r="D393" s="36" t="s">
        <v>3680</v>
      </c>
      <c r="E393" s="36">
        <v>1140887</v>
      </c>
      <c r="F393" s="36">
        <v>3</v>
      </c>
      <c r="G393" s="36">
        <v>703670</v>
      </c>
      <c r="H393" s="48" t="str">
        <f>IFERROR(INDEX(Table14[],MATCH($G393,Table14[SAPNo],0),3),"")</f>
        <v>Round 1313 CT200  10C (B)</v>
      </c>
      <c r="I393" s="37">
        <v>9</v>
      </c>
      <c r="J393" s="37">
        <f>IF(Table412[[#This Row],[MAT]]&lt;&gt;"",COUNTIF(Table3[LEVEL 5 MAT NO.],Table412[[#This Row],[MAT]]),"")</f>
        <v>0</v>
      </c>
      <c r="K393" s="36">
        <f>IFERROR(INDEX(Table3[],MATCH($E393,Table3[LEVEL 5 MAT NO.],0),2),0)</f>
        <v>0</v>
      </c>
      <c r="L393" s="36">
        <f>Table412[[#This Row],[Quantity in BOM]]*Table412[[#This Row],[Freq]]</f>
        <v>0</v>
      </c>
      <c r="M393" s="36" t="str">
        <f>IF(Table412[[#This Row],[Exist]]=1,Table412[[#This Row],[MAT]],"")</f>
        <v/>
      </c>
      <c r="N393" s="36" t="str">
        <f>IF(Table412[[#This Row],[Exist]]=1,Table412[[#This Row],[Component]],"")</f>
        <v/>
      </c>
      <c r="O393" s="36">
        <f>IFERROR(VALUE(Table412[[#This Row],[MAT]]&amp;Table412[[#This Row],[X'#]]),IF(COUNTIF(Table412[[#This Row],[MAT]],"*M"),Table412[[#This Row],[MAT]]&amp;Table412[[#This Row],[X'#]],""))</f>
        <v>11408873</v>
      </c>
    </row>
    <row r="394" spans="1:15" x14ac:dyDescent="0.25">
      <c r="A394" s="37">
        <f t="shared" si="7"/>
        <v>14</v>
      </c>
      <c r="C394" s="36" t="s">
        <v>637</v>
      </c>
      <c r="D394" s="36" t="s">
        <v>3680</v>
      </c>
      <c r="E394" s="36">
        <v>1140887</v>
      </c>
      <c r="F394" s="36">
        <v>4</v>
      </c>
      <c r="G394" s="36">
        <v>717749</v>
      </c>
      <c r="H394" s="48" t="str">
        <f>IFERROR(INDEX(Table14[],MATCH($G394,Table14[SAPNo],0),3),"")</f>
        <v>Round 1308 CT200  10C (B)</v>
      </c>
      <c r="I394" s="37">
        <v>3</v>
      </c>
      <c r="J394" s="37">
        <f>IF(Table412[[#This Row],[MAT]]&lt;&gt;"",COUNTIF(Table3[LEVEL 5 MAT NO.],Table412[[#This Row],[MAT]]),"")</f>
        <v>0</v>
      </c>
      <c r="K394" s="36">
        <f>IFERROR(INDEX(Table3[],MATCH($E394,Table3[LEVEL 5 MAT NO.],0),2),0)</f>
        <v>0</v>
      </c>
      <c r="L394" s="36">
        <f>Table412[[#This Row],[Quantity in BOM]]*Table412[[#This Row],[Freq]]</f>
        <v>0</v>
      </c>
      <c r="M394" s="36" t="str">
        <f>IF(Table412[[#This Row],[Exist]]=1,Table412[[#This Row],[MAT]],"")</f>
        <v/>
      </c>
      <c r="N394" s="36" t="str">
        <f>IF(Table412[[#This Row],[Exist]]=1,Table412[[#This Row],[Component]],"")</f>
        <v/>
      </c>
      <c r="O394" s="36">
        <f>IFERROR(VALUE(Table412[[#This Row],[MAT]]&amp;Table412[[#This Row],[X'#]]),IF(COUNTIF(Table412[[#This Row],[MAT]],"*M"),Table412[[#This Row],[MAT]]&amp;Table412[[#This Row],[X'#]],""))</f>
        <v>11408874</v>
      </c>
    </row>
    <row r="395" spans="1:15" x14ac:dyDescent="0.25">
      <c r="A395" s="37">
        <f t="shared" si="7"/>
        <v>14</v>
      </c>
      <c r="C395" s="36" t="s">
        <v>637</v>
      </c>
      <c r="D395" s="36" t="s">
        <v>3680</v>
      </c>
      <c r="E395" s="36">
        <v>1140887</v>
      </c>
      <c r="F395" s="36">
        <v>5</v>
      </c>
      <c r="G395" s="36">
        <v>871781</v>
      </c>
      <c r="H395" s="48" t="str">
        <f>IFERROR(INDEX(Table14[],MATCH($G395,Table14[SAPNo],0),3),"")</f>
        <v>Round 1313 CT200  0.018" (B)</v>
      </c>
      <c r="I395" s="37">
        <v>6</v>
      </c>
      <c r="J395" s="37">
        <f>IF(Table412[[#This Row],[MAT]]&lt;&gt;"",COUNTIF(Table3[LEVEL 5 MAT NO.],Table412[[#This Row],[MAT]]),"")</f>
        <v>0</v>
      </c>
      <c r="K395" s="36">
        <f>IFERROR(INDEX(Table3[],MATCH($E395,Table3[LEVEL 5 MAT NO.],0),2),0)</f>
        <v>0</v>
      </c>
      <c r="L395" s="36">
        <f>Table412[[#This Row],[Quantity in BOM]]*Table412[[#This Row],[Freq]]</f>
        <v>0</v>
      </c>
      <c r="M395" s="36" t="str">
        <f>IF(Table412[[#This Row],[Exist]]=1,Table412[[#This Row],[MAT]],"")</f>
        <v/>
      </c>
      <c r="N395" s="36" t="str">
        <f>IF(Table412[[#This Row],[Exist]]=1,Table412[[#This Row],[Component]],"")</f>
        <v/>
      </c>
      <c r="O395" s="36">
        <f>IFERROR(VALUE(Table412[[#This Row],[MAT]]&amp;Table412[[#This Row],[X'#]]),IF(COUNTIF(Table412[[#This Row],[MAT]],"*M"),Table412[[#This Row],[MAT]]&amp;Table412[[#This Row],[X'#]],""))</f>
        <v>11408875</v>
      </c>
    </row>
    <row r="396" spans="1:15" x14ac:dyDescent="0.25">
      <c r="A396" s="37">
        <f t="shared" si="7"/>
        <v>14</v>
      </c>
      <c r="C396" s="36" t="s">
        <v>637</v>
      </c>
      <c r="D396" s="36" t="s">
        <v>3680</v>
      </c>
      <c r="E396" s="36">
        <v>1140887</v>
      </c>
      <c r="F396" s="36">
        <v>6</v>
      </c>
      <c r="G396" s="36">
        <v>418525</v>
      </c>
      <c r="H396" s="48" t="str">
        <f>IFERROR(INDEX(Table14[],MATCH($G396,Table14[SAPNo],0),3),"")</f>
        <v>Drop In 1308 CT31   (B)</v>
      </c>
      <c r="I396" s="37">
        <v>6</v>
      </c>
      <c r="J396" s="37">
        <f>IF(Table412[[#This Row],[MAT]]&lt;&gt;"",COUNTIF(Table3[LEVEL 5 MAT NO.],Table412[[#This Row],[MAT]]),"")</f>
        <v>0</v>
      </c>
      <c r="K396" s="36">
        <f>IFERROR(INDEX(Table3[],MATCH($E396,Table3[LEVEL 5 MAT NO.],0),2),0)</f>
        <v>0</v>
      </c>
      <c r="L396" s="36">
        <f>Table412[[#This Row],[Quantity in BOM]]*Table412[[#This Row],[Freq]]</f>
        <v>0</v>
      </c>
      <c r="M396" s="36" t="str">
        <f>IF(Table412[[#This Row],[Exist]]=1,Table412[[#This Row],[MAT]],"")</f>
        <v/>
      </c>
      <c r="N396" s="36" t="str">
        <f>IF(Table412[[#This Row],[Exist]]=1,Table412[[#This Row],[Component]],"")</f>
        <v/>
      </c>
      <c r="O396" s="36">
        <f>IFERROR(VALUE(Table412[[#This Row],[MAT]]&amp;Table412[[#This Row],[X'#]]),IF(COUNTIF(Table412[[#This Row],[MAT]],"*M"),Table412[[#This Row],[MAT]]&amp;Table412[[#This Row],[X'#]],""))</f>
        <v>11408876</v>
      </c>
    </row>
    <row r="397" spans="1:15" x14ac:dyDescent="0.25">
      <c r="A397" s="37">
        <f t="shared" si="7"/>
        <v>14</v>
      </c>
      <c r="C397" s="36" t="s">
        <v>3681</v>
      </c>
      <c r="D397" s="36" t="s">
        <v>3682</v>
      </c>
      <c r="E397" s="36">
        <v>695382</v>
      </c>
      <c r="F397" s="36">
        <v>1</v>
      </c>
      <c r="G397" s="36">
        <v>729434</v>
      </c>
      <c r="H397" s="48" t="str">
        <f>IFERROR(INDEX(Table14[],MATCH($G397,Table14[SAPNo],0),3),"")</f>
        <v>Round 1308 CT82  10C (S)</v>
      </c>
      <c r="I397" s="37">
        <v>20</v>
      </c>
      <c r="J397" s="37">
        <f>IF(Table412[[#This Row],[MAT]]&lt;&gt;"",COUNTIF(Table3[LEVEL 5 MAT NO.],Table412[[#This Row],[MAT]]),"")</f>
        <v>0</v>
      </c>
      <c r="K397" s="36">
        <f>IFERROR(INDEX(Table3[],MATCH($E397,Table3[LEVEL 5 MAT NO.],0),2),0)</f>
        <v>0</v>
      </c>
      <c r="L397" s="36">
        <f>Table412[[#This Row],[Quantity in BOM]]*Table412[[#This Row],[Freq]]</f>
        <v>0</v>
      </c>
      <c r="M397" s="36" t="str">
        <f>IF(Table412[[#This Row],[Exist]]=1,Table412[[#This Row],[MAT]],"")</f>
        <v/>
      </c>
      <c r="N397" s="36" t="str">
        <f>IF(Table412[[#This Row],[Exist]]=1,Table412[[#This Row],[Component]],"")</f>
        <v/>
      </c>
      <c r="O397" s="36">
        <f>IFERROR(VALUE(Table412[[#This Row],[MAT]]&amp;Table412[[#This Row],[X'#]]),IF(COUNTIF(Table412[[#This Row],[MAT]],"*M"),Table412[[#This Row],[MAT]]&amp;Table412[[#This Row],[X'#]],""))</f>
        <v>6953821</v>
      </c>
    </row>
    <row r="398" spans="1:15" x14ac:dyDescent="0.25">
      <c r="A398" s="37">
        <f t="shared" si="7"/>
        <v>14</v>
      </c>
      <c r="C398" s="36" t="s">
        <v>3681</v>
      </c>
      <c r="D398" s="36" t="s">
        <v>3682</v>
      </c>
      <c r="E398" s="36">
        <v>695382</v>
      </c>
      <c r="F398" s="36">
        <v>2</v>
      </c>
      <c r="G398" s="36">
        <v>717749</v>
      </c>
      <c r="H398" s="48" t="str">
        <f>IFERROR(INDEX(Table14[],MATCH($G398,Table14[SAPNo],0),3),"")</f>
        <v>Round 1308 CT200  10C (B)</v>
      </c>
      <c r="I398" s="37">
        <v>12</v>
      </c>
      <c r="J398" s="37">
        <f>IF(Table412[[#This Row],[MAT]]&lt;&gt;"",COUNTIF(Table3[LEVEL 5 MAT NO.],Table412[[#This Row],[MAT]]),"")</f>
        <v>0</v>
      </c>
      <c r="K398" s="36">
        <f>IFERROR(INDEX(Table3[],MATCH($E398,Table3[LEVEL 5 MAT NO.],0),2),0)</f>
        <v>0</v>
      </c>
      <c r="L398" s="36">
        <f>Table412[[#This Row],[Quantity in BOM]]*Table412[[#This Row],[Freq]]</f>
        <v>0</v>
      </c>
      <c r="M398" s="36" t="str">
        <f>IF(Table412[[#This Row],[Exist]]=1,Table412[[#This Row],[MAT]],"")</f>
        <v/>
      </c>
      <c r="N398" s="36" t="str">
        <f>IF(Table412[[#This Row],[Exist]]=1,Table412[[#This Row],[Component]],"")</f>
        <v/>
      </c>
      <c r="O398" s="36">
        <f>IFERROR(VALUE(Table412[[#This Row],[MAT]]&amp;Table412[[#This Row],[X'#]]),IF(COUNTIF(Table412[[#This Row],[MAT]],"*M"),Table412[[#This Row],[MAT]]&amp;Table412[[#This Row],[X'#]],""))</f>
        <v>6953822</v>
      </c>
    </row>
    <row r="399" spans="1:15" x14ac:dyDescent="0.25">
      <c r="A399" s="37">
        <f t="shared" si="7"/>
        <v>14</v>
      </c>
      <c r="C399" s="36" t="s">
        <v>3683</v>
      </c>
      <c r="D399" s="36" t="s">
        <v>3496</v>
      </c>
      <c r="E399" s="36">
        <v>1109629</v>
      </c>
      <c r="F399" s="36">
        <v>1</v>
      </c>
      <c r="G399" s="36">
        <v>745171</v>
      </c>
      <c r="H399" s="48" t="str">
        <f>IFERROR(INDEX(Table14[],MATCH($G399,Table14[SAPNo],0),3),"")</f>
        <v>Round 1308 CT80  10C (B)</v>
      </c>
      <c r="I399" s="37">
        <v>28</v>
      </c>
      <c r="J399" s="37">
        <f>IF(Table412[[#This Row],[MAT]]&lt;&gt;"",COUNTIF(Table3[LEVEL 5 MAT NO.],Table412[[#This Row],[MAT]]),"")</f>
        <v>0</v>
      </c>
      <c r="K399" s="36">
        <f>IFERROR(INDEX(Table3[],MATCH($E399,Table3[LEVEL 5 MAT NO.],0),2),0)</f>
        <v>0</v>
      </c>
      <c r="L399" s="36">
        <f>Table412[[#This Row],[Quantity in BOM]]*Table412[[#This Row],[Freq]]</f>
        <v>0</v>
      </c>
      <c r="M399" s="36" t="str">
        <f>IF(Table412[[#This Row],[Exist]]=1,Table412[[#This Row],[MAT]],"")</f>
        <v/>
      </c>
      <c r="N399" s="36" t="str">
        <f>IF(Table412[[#This Row],[Exist]]=1,Table412[[#This Row],[Component]],"")</f>
        <v/>
      </c>
      <c r="O399" s="36">
        <f>IFERROR(VALUE(Table412[[#This Row],[MAT]]&amp;Table412[[#This Row],[X'#]]),IF(COUNTIF(Table412[[#This Row],[MAT]],"*M"),Table412[[#This Row],[MAT]]&amp;Table412[[#This Row],[X'#]],""))</f>
        <v>11096291</v>
      </c>
    </row>
    <row r="400" spans="1:15" x14ac:dyDescent="0.25">
      <c r="A400" s="37">
        <f t="shared" si="7"/>
        <v>14</v>
      </c>
      <c r="C400" s="36" t="s">
        <v>3683</v>
      </c>
      <c r="D400" s="36" t="s">
        <v>3496</v>
      </c>
      <c r="E400" s="36">
        <v>1109629</v>
      </c>
      <c r="F400" s="36">
        <v>2</v>
      </c>
      <c r="G400" s="36">
        <v>717749</v>
      </c>
      <c r="H400" s="48" t="str">
        <f>IFERROR(INDEX(Table14[],MATCH($G400,Table14[SAPNo],0),3),"")</f>
        <v>Round 1308 CT200  10C (B)</v>
      </c>
      <c r="I400" s="37">
        <v>8</v>
      </c>
      <c r="J400" s="37">
        <f>IF(Table412[[#This Row],[MAT]]&lt;&gt;"",COUNTIF(Table3[LEVEL 5 MAT NO.],Table412[[#This Row],[MAT]]),"")</f>
        <v>0</v>
      </c>
      <c r="K400" s="36">
        <f>IFERROR(INDEX(Table3[],MATCH($E400,Table3[LEVEL 5 MAT NO.],0),2),0)</f>
        <v>0</v>
      </c>
      <c r="L400" s="36">
        <f>Table412[[#This Row],[Quantity in BOM]]*Table412[[#This Row],[Freq]]</f>
        <v>0</v>
      </c>
      <c r="M400" s="36" t="str">
        <f>IF(Table412[[#This Row],[Exist]]=1,Table412[[#This Row],[MAT]],"")</f>
        <v/>
      </c>
      <c r="N400" s="36" t="str">
        <f>IF(Table412[[#This Row],[Exist]]=1,Table412[[#This Row],[Component]],"")</f>
        <v/>
      </c>
      <c r="O400" s="36">
        <f>IFERROR(VALUE(Table412[[#This Row],[MAT]]&amp;Table412[[#This Row],[X'#]]),IF(COUNTIF(Table412[[#This Row],[MAT]],"*M"),Table412[[#This Row],[MAT]]&amp;Table412[[#This Row],[X'#]],""))</f>
        <v>11096292</v>
      </c>
    </row>
    <row r="401" spans="1:15" x14ac:dyDescent="0.25">
      <c r="A401" s="37">
        <f t="shared" si="7"/>
        <v>14</v>
      </c>
      <c r="C401" s="36" t="s">
        <v>3683</v>
      </c>
      <c r="D401" s="36" t="s">
        <v>3496</v>
      </c>
      <c r="E401" s="36">
        <v>1109629</v>
      </c>
      <c r="F401" s="36">
        <v>3</v>
      </c>
      <c r="G401" s="36">
        <v>773383</v>
      </c>
      <c r="H401" s="48" t="str">
        <f>IFERROR(INDEX(Table14[],MATCH($G401,Table14[SAPNo],0),3),"")</f>
        <v>Round 1005 CT200  10C (B)</v>
      </c>
      <c r="I401" s="37">
        <v>4</v>
      </c>
      <c r="J401" s="37">
        <f>IF(Table412[[#This Row],[MAT]]&lt;&gt;"",COUNTIF(Table3[LEVEL 5 MAT NO.],Table412[[#This Row],[MAT]]),"")</f>
        <v>0</v>
      </c>
      <c r="K401" s="36">
        <f>IFERROR(INDEX(Table3[],MATCH($E401,Table3[LEVEL 5 MAT NO.],0),2),0)</f>
        <v>0</v>
      </c>
      <c r="L401" s="36">
        <f>Table412[[#This Row],[Quantity in BOM]]*Table412[[#This Row],[Freq]]</f>
        <v>0</v>
      </c>
      <c r="M401" s="36" t="str">
        <f>IF(Table412[[#This Row],[Exist]]=1,Table412[[#This Row],[MAT]],"")</f>
        <v/>
      </c>
      <c r="N401" s="36" t="str">
        <f>IF(Table412[[#This Row],[Exist]]=1,Table412[[#This Row],[Component]],"")</f>
        <v/>
      </c>
      <c r="O401" s="36">
        <f>IFERROR(VALUE(Table412[[#This Row],[MAT]]&amp;Table412[[#This Row],[X'#]]),IF(COUNTIF(Table412[[#This Row],[MAT]],"*M"),Table412[[#This Row],[MAT]]&amp;Table412[[#This Row],[X'#]],""))</f>
        <v>11096293</v>
      </c>
    </row>
    <row r="402" spans="1:15" x14ac:dyDescent="0.25">
      <c r="A402" s="37">
        <f t="shared" si="7"/>
        <v>14</v>
      </c>
      <c r="C402" s="36" t="s">
        <v>3683</v>
      </c>
      <c r="D402" s="36" t="s">
        <v>3496</v>
      </c>
      <c r="E402" s="36">
        <v>1109629</v>
      </c>
      <c r="F402" s="36">
        <v>4</v>
      </c>
      <c r="G402" s="36">
        <v>418525</v>
      </c>
      <c r="H402" s="48" t="str">
        <f>IFERROR(INDEX(Table14[],MATCH($G402,Table14[SAPNo],0),3),"")</f>
        <v>Drop In 1308 CT31   (B)</v>
      </c>
      <c r="I402" s="37">
        <v>8</v>
      </c>
      <c r="J402" s="37">
        <f>IF(Table412[[#This Row],[MAT]]&lt;&gt;"",COUNTIF(Table3[LEVEL 5 MAT NO.],Table412[[#This Row],[MAT]]),"")</f>
        <v>0</v>
      </c>
      <c r="K402" s="36">
        <f>IFERROR(INDEX(Table3[],MATCH($E402,Table3[LEVEL 5 MAT NO.],0),2),0)</f>
        <v>0</v>
      </c>
      <c r="L402" s="36">
        <f>Table412[[#This Row],[Quantity in BOM]]*Table412[[#This Row],[Freq]]</f>
        <v>0</v>
      </c>
      <c r="M402" s="36" t="str">
        <f>IF(Table412[[#This Row],[Exist]]=1,Table412[[#This Row],[MAT]],"")</f>
        <v/>
      </c>
      <c r="N402" s="36" t="str">
        <f>IF(Table412[[#This Row],[Exist]]=1,Table412[[#This Row],[Component]],"")</f>
        <v/>
      </c>
      <c r="O402" s="36">
        <f>IFERROR(VALUE(Table412[[#This Row],[MAT]]&amp;Table412[[#This Row],[X'#]]),IF(COUNTIF(Table412[[#This Row],[MAT]],"*M"),Table412[[#This Row],[MAT]]&amp;Table412[[#This Row],[X'#]],""))</f>
        <v>11096294</v>
      </c>
    </row>
    <row r="403" spans="1:15" x14ac:dyDescent="0.25">
      <c r="A403" s="37">
        <f t="shared" si="7"/>
        <v>14</v>
      </c>
      <c r="C403" s="36" t="s">
        <v>3683</v>
      </c>
      <c r="D403" s="36" t="s">
        <v>3496</v>
      </c>
      <c r="E403" s="36">
        <v>1109629</v>
      </c>
      <c r="F403" s="36">
        <v>5</v>
      </c>
      <c r="G403" s="36">
        <v>176086</v>
      </c>
      <c r="H403" s="48" t="str">
        <f>IFERROR(INDEX(Table14[],MATCH($G403,Table14[SAPNo],0),3),"")</f>
        <v/>
      </c>
      <c r="I403" s="37">
        <v>8</v>
      </c>
      <c r="J403" s="37">
        <f>IF(Table412[[#This Row],[MAT]]&lt;&gt;"",COUNTIF(Table3[LEVEL 5 MAT NO.],Table412[[#This Row],[MAT]]),"")</f>
        <v>0</v>
      </c>
      <c r="K403" s="36">
        <f>IFERROR(INDEX(Table3[],MATCH($E403,Table3[LEVEL 5 MAT NO.],0),2),0)</f>
        <v>0</v>
      </c>
      <c r="L403" s="36">
        <f>Table412[[#This Row],[Quantity in BOM]]*Table412[[#This Row],[Freq]]</f>
        <v>0</v>
      </c>
      <c r="M403" s="36" t="str">
        <f>IF(Table412[[#This Row],[Exist]]=1,Table412[[#This Row],[MAT]],"")</f>
        <v/>
      </c>
      <c r="N403" s="36" t="str">
        <f>IF(Table412[[#This Row],[Exist]]=1,Table412[[#This Row],[Component]],"")</f>
        <v/>
      </c>
      <c r="O403" s="36">
        <f>IFERROR(VALUE(Table412[[#This Row],[MAT]]&amp;Table412[[#This Row],[X'#]]),IF(COUNTIF(Table412[[#This Row],[MAT]],"*M"),Table412[[#This Row],[MAT]]&amp;Table412[[#This Row],[X'#]],""))</f>
        <v>11096295</v>
      </c>
    </row>
    <row r="404" spans="1:15" x14ac:dyDescent="0.25">
      <c r="A404" s="37">
        <f t="shared" si="7"/>
        <v>14</v>
      </c>
      <c r="C404" s="36" t="s">
        <v>3681</v>
      </c>
      <c r="D404" s="36" t="s">
        <v>3682</v>
      </c>
      <c r="E404" s="36">
        <v>649706</v>
      </c>
      <c r="F404" s="36">
        <v>1</v>
      </c>
      <c r="G404" s="36">
        <v>717749</v>
      </c>
      <c r="H404" s="48" t="str">
        <f>IFERROR(INDEX(Table14[],MATCH($G404,Table14[SAPNo],0),3),"")</f>
        <v>Round 1308 CT200  10C (B)</v>
      </c>
      <c r="I404" s="37">
        <v>32</v>
      </c>
      <c r="J404" s="37">
        <f>IF(Table412[[#This Row],[MAT]]&lt;&gt;"",COUNTIF(Table3[LEVEL 5 MAT NO.],Table412[[#This Row],[MAT]]),"")</f>
        <v>0</v>
      </c>
      <c r="K404" s="36">
        <f>IFERROR(INDEX(Table3[],MATCH($E404,Table3[LEVEL 5 MAT NO.],0),2),0)</f>
        <v>0</v>
      </c>
      <c r="L404" s="36">
        <f>Table412[[#This Row],[Quantity in BOM]]*Table412[[#This Row],[Freq]]</f>
        <v>0</v>
      </c>
      <c r="M404" s="36" t="str">
        <f>IF(Table412[[#This Row],[Exist]]=1,Table412[[#This Row],[MAT]],"")</f>
        <v/>
      </c>
      <c r="N404" s="36" t="str">
        <f>IF(Table412[[#This Row],[Exist]]=1,Table412[[#This Row],[Component]],"")</f>
        <v/>
      </c>
      <c r="O404" s="36">
        <f>IFERROR(VALUE(Table412[[#This Row],[MAT]]&amp;Table412[[#This Row],[X'#]]),IF(COUNTIF(Table412[[#This Row],[MAT]],"*M"),Table412[[#This Row],[MAT]]&amp;Table412[[#This Row],[X'#]],""))</f>
        <v>6497061</v>
      </c>
    </row>
    <row r="405" spans="1:15" x14ac:dyDescent="0.25">
      <c r="A405" s="37">
        <f t="shared" si="7"/>
        <v>14</v>
      </c>
      <c r="C405" s="36" t="s">
        <v>2691</v>
      </c>
      <c r="D405" s="36" t="s">
        <v>3591</v>
      </c>
      <c r="E405" s="36">
        <v>376796</v>
      </c>
      <c r="F405" s="36">
        <v>1</v>
      </c>
      <c r="G405" s="36">
        <v>177790</v>
      </c>
      <c r="H405" s="48" t="str">
        <f>IFERROR(INDEX(Table14[],MATCH($G405,Table14[SAPNo],0),3),"")</f>
        <v/>
      </c>
      <c r="I405" s="37">
        <v>3</v>
      </c>
      <c r="J405" s="37">
        <f>IF(Table412[[#This Row],[MAT]]&lt;&gt;"",COUNTIF(Table3[LEVEL 5 MAT NO.],Table412[[#This Row],[MAT]]),"")</f>
        <v>0</v>
      </c>
      <c r="K405" s="36">
        <f>IFERROR(INDEX(Table3[],MATCH($E405,Table3[LEVEL 5 MAT NO.],0),2),0)</f>
        <v>0</v>
      </c>
      <c r="L405" s="36">
        <f>Table412[[#This Row],[Quantity in BOM]]*Table412[[#This Row],[Freq]]</f>
        <v>0</v>
      </c>
      <c r="M405" s="36" t="str">
        <f>IF(Table412[[#This Row],[Exist]]=1,Table412[[#This Row],[MAT]],"")</f>
        <v/>
      </c>
      <c r="N405" s="36" t="str">
        <f>IF(Table412[[#This Row],[Exist]]=1,Table412[[#This Row],[Component]],"")</f>
        <v/>
      </c>
      <c r="O405" s="36">
        <f>IFERROR(VALUE(Table412[[#This Row],[MAT]]&amp;Table412[[#This Row],[X'#]]),IF(COUNTIF(Table412[[#This Row],[MAT]],"*M"),Table412[[#This Row],[MAT]]&amp;Table412[[#This Row],[X'#]],""))</f>
        <v>3767961</v>
      </c>
    </row>
    <row r="406" spans="1:15" x14ac:dyDescent="0.25">
      <c r="A406" s="37">
        <f t="shared" si="7"/>
        <v>14</v>
      </c>
      <c r="C406" s="36" t="s">
        <v>2691</v>
      </c>
      <c r="D406" s="36" t="s">
        <v>3591</v>
      </c>
      <c r="E406" s="36">
        <v>376796</v>
      </c>
      <c r="F406" s="36">
        <v>2</v>
      </c>
      <c r="G406" s="36">
        <v>361965</v>
      </c>
      <c r="H406" s="48" t="str">
        <f>IFERROR(INDEX(Table14[],MATCH($G406,Table14[SAPNo],0),3),"")</f>
        <v/>
      </c>
      <c r="I406" s="37">
        <v>36</v>
      </c>
      <c r="J406" s="37">
        <f>IF(Table412[[#This Row],[MAT]]&lt;&gt;"",COUNTIF(Table3[LEVEL 5 MAT NO.],Table412[[#This Row],[MAT]]),"")</f>
        <v>0</v>
      </c>
      <c r="K406" s="36">
        <f>IFERROR(INDEX(Table3[],MATCH($E406,Table3[LEVEL 5 MAT NO.],0),2),0)</f>
        <v>0</v>
      </c>
      <c r="L406" s="36">
        <f>Table412[[#This Row],[Quantity in BOM]]*Table412[[#This Row],[Freq]]</f>
        <v>0</v>
      </c>
      <c r="M406" s="36" t="str">
        <f>IF(Table412[[#This Row],[Exist]]=1,Table412[[#This Row],[MAT]],"")</f>
        <v/>
      </c>
      <c r="N406" s="36" t="str">
        <f>IF(Table412[[#This Row],[Exist]]=1,Table412[[#This Row],[Component]],"")</f>
        <v/>
      </c>
      <c r="O406" s="36">
        <f>IFERROR(VALUE(Table412[[#This Row],[MAT]]&amp;Table412[[#This Row],[X'#]]),IF(COUNTIF(Table412[[#This Row],[MAT]],"*M"),Table412[[#This Row],[MAT]]&amp;Table412[[#This Row],[X'#]],""))</f>
        <v>3767962</v>
      </c>
    </row>
    <row r="407" spans="1:15" x14ac:dyDescent="0.25">
      <c r="A407" s="37">
        <f t="shared" si="7"/>
        <v>14</v>
      </c>
      <c r="C407" s="36" t="s">
        <v>637</v>
      </c>
      <c r="D407" s="36" t="s">
        <v>746</v>
      </c>
      <c r="E407" s="36">
        <v>1059146</v>
      </c>
      <c r="F407" s="36">
        <v>1</v>
      </c>
      <c r="G407" s="36">
        <v>971093</v>
      </c>
      <c r="H407" s="48" t="str">
        <f>IFERROR(INDEX(Table14[],MATCH($G407,Table14[SAPNo],0),3),"")</f>
        <v>Long Bullet 16 CT217 LBL 0.018" (B)</v>
      </c>
      <c r="I407" s="37">
        <v>8</v>
      </c>
      <c r="J407" s="37">
        <f>IF(Table412[[#This Row],[MAT]]&lt;&gt;"",COUNTIF(Table3[LEVEL 5 MAT NO.],Table412[[#This Row],[MAT]]),"")</f>
        <v>0</v>
      </c>
      <c r="K407" s="36">
        <f>IFERROR(INDEX(Table3[],MATCH($E407,Table3[LEVEL 5 MAT NO.],0),2),0)</f>
        <v>0</v>
      </c>
      <c r="L407" s="36">
        <f>Table412[[#This Row],[Quantity in BOM]]*Table412[[#This Row],[Freq]]</f>
        <v>0</v>
      </c>
      <c r="M407" s="36" t="str">
        <f>IF(Table412[[#This Row],[Exist]]=1,Table412[[#This Row],[MAT]],"")</f>
        <v/>
      </c>
      <c r="N407" s="36" t="str">
        <f>IF(Table412[[#This Row],[Exist]]=1,Table412[[#This Row],[Component]],"")</f>
        <v/>
      </c>
      <c r="O407" s="36">
        <f>IFERROR(VALUE(Table412[[#This Row],[MAT]]&amp;Table412[[#This Row],[X'#]]),IF(COUNTIF(Table412[[#This Row],[MAT]],"*M"),Table412[[#This Row],[MAT]]&amp;Table412[[#This Row],[X'#]],""))</f>
        <v>10591461</v>
      </c>
    </row>
    <row r="408" spans="1:15" x14ac:dyDescent="0.25">
      <c r="A408" s="37">
        <f t="shared" si="7"/>
        <v>14</v>
      </c>
      <c r="C408" s="36" t="s">
        <v>637</v>
      </c>
      <c r="D408" s="36" t="s">
        <v>746</v>
      </c>
      <c r="E408" s="36">
        <v>1059146</v>
      </c>
      <c r="F408" s="36">
        <v>2</v>
      </c>
      <c r="G408" s="36">
        <v>983150</v>
      </c>
      <c r="H408" s="48" t="str">
        <f>IFERROR(INDEX(Table14[],MATCH($G408,Table14[SAPNo],0),3),"")</f>
        <v>Round 1613 CT216  0.018" (S)</v>
      </c>
      <c r="I408" s="37">
        <v>30</v>
      </c>
      <c r="J408" s="37">
        <f>IF(Table412[[#This Row],[MAT]]&lt;&gt;"",COUNTIF(Table3[LEVEL 5 MAT NO.],Table412[[#This Row],[MAT]]),"")</f>
        <v>0</v>
      </c>
      <c r="K408" s="36">
        <f>IFERROR(INDEX(Table3[],MATCH($E408,Table3[LEVEL 5 MAT NO.],0),2),0)</f>
        <v>0</v>
      </c>
      <c r="L408" s="36">
        <f>Table412[[#This Row],[Quantity in BOM]]*Table412[[#This Row],[Freq]]</f>
        <v>0</v>
      </c>
      <c r="M408" s="36" t="str">
        <f>IF(Table412[[#This Row],[Exist]]=1,Table412[[#This Row],[MAT]],"")</f>
        <v/>
      </c>
      <c r="N408" s="36" t="str">
        <f>IF(Table412[[#This Row],[Exist]]=1,Table412[[#This Row],[Component]],"")</f>
        <v/>
      </c>
      <c r="O408" s="36">
        <f>IFERROR(VALUE(Table412[[#This Row],[MAT]]&amp;Table412[[#This Row],[X'#]]),IF(COUNTIF(Table412[[#This Row],[MAT]],"*M"),Table412[[#This Row],[MAT]]&amp;Table412[[#This Row],[X'#]],""))</f>
        <v>10591462</v>
      </c>
    </row>
    <row r="409" spans="1:15" x14ac:dyDescent="0.25">
      <c r="A409" s="37">
        <f t="shared" si="7"/>
        <v>14</v>
      </c>
      <c r="C409" s="36" t="s">
        <v>637</v>
      </c>
      <c r="D409" s="36" t="s">
        <v>746</v>
      </c>
      <c r="E409" s="36">
        <v>1059146</v>
      </c>
      <c r="F409" s="36">
        <v>3</v>
      </c>
      <c r="G409" s="36">
        <v>647436</v>
      </c>
      <c r="H409" s="48" t="str">
        <f>IFERROR(INDEX(Table14[],MATCH($G409,Table14[SAPNo],0),3),"")</f>
        <v>Round 1613 CT200  0.018" (B)</v>
      </c>
      <c r="I409" s="37">
        <v>6</v>
      </c>
      <c r="J409" s="37">
        <f>IF(Table412[[#This Row],[MAT]]&lt;&gt;"",COUNTIF(Table3[LEVEL 5 MAT NO.],Table412[[#This Row],[MAT]]),"")</f>
        <v>0</v>
      </c>
      <c r="K409" s="36">
        <f>IFERROR(INDEX(Table3[],MATCH($E409,Table3[LEVEL 5 MAT NO.],0),2),0)</f>
        <v>0</v>
      </c>
      <c r="L409" s="36">
        <f>Table412[[#This Row],[Quantity in BOM]]*Table412[[#This Row],[Freq]]</f>
        <v>0</v>
      </c>
      <c r="M409" s="36" t="str">
        <f>IF(Table412[[#This Row],[Exist]]=1,Table412[[#This Row],[MAT]],"")</f>
        <v/>
      </c>
      <c r="N409" s="36" t="str">
        <f>IF(Table412[[#This Row],[Exist]]=1,Table412[[#This Row],[Component]],"")</f>
        <v/>
      </c>
      <c r="O409" s="36">
        <f>IFERROR(VALUE(Table412[[#This Row],[MAT]]&amp;Table412[[#This Row],[X'#]]),IF(COUNTIF(Table412[[#This Row],[MAT]],"*M"),Table412[[#This Row],[MAT]]&amp;Table412[[#This Row],[X'#]],""))</f>
        <v>10591463</v>
      </c>
    </row>
    <row r="410" spans="1:15" x14ac:dyDescent="0.25">
      <c r="A410" s="37">
        <f t="shared" si="7"/>
        <v>14</v>
      </c>
      <c r="C410" s="36" t="s">
        <v>637</v>
      </c>
      <c r="D410" s="36" t="s">
        <v>746</v>
      </c>
      <c r="E410" s="36">
        <v>1059146</v>
      </c>
      <c r="F410" s="36">
        <v>4</v>
      </c>
      <c r="G410" s="36">
        <v>871781</v>
      </c>
      <c r="H410" s="48" t="str">
        <f>IFERROR(INDEX(Table14[],MATCH($G410,Table14[SAPNo],0),3),"")</f>
        <v>Round 1313 CT200  0.018" (B)</v>
      </c>
      <c r="I410" s="37">
        <v>5</v>
      </c>
      <c r="J410" s="37">
        <f>IF(Table412[[#This Row],[MAT]]&lt;&gt;"",COUNTIF(Table3[LEVEL 5 MAT NO.],Table412[[#This Row],[MAT]]),"")</f>
        <v>0</v>
      </c>
      <c r="K410" s="36">
        <f>IFERROR(INDEX(Table3[],MATCH($E410,Table3[LEVEL 5 MAT NO.],0),2),0)</f>
        <v>0</v>
      </c>
      <c r="L410" s="36">
        <f>Table412[[#This Row],[Quantity in BOM]]*Table412[[#This Row],[Freq]]</f>
        <v>0</v>
      </c>
      <c r="M410" s="36" t="str">
        <f>IF(Table412[[#This Row],[Exist]]=1,Table412[[#This Row],[MAT]],"")</f>
        <v/>
      </c>
      <c r="N410" s="36" t="str">
        <f>IF(Table412[[#This Row],[Exist]]=1,Table412[[#This Row],[Component]],"")</f>
        <v/>
      </c>
      <c r="O410" s="36">
        <f>IFERROR(VALUE(Table412[[#This Row],[MAT]]&amp;Table412[[#This Row],[X'#]]),IF(COUNTIF(Table412[[#This Row],[MAT]],"*M"),Table412[[#This Row],[MAT]]&amp;Table412[[#This Row],[X'#]],""))</f>
        <v>10591464</v>
      </c>
    </row>
    <row r="411" spans="1:15" x14ac:dyDescent="0.25">
      <c r="A411" s="37">
        <f t="shared" si="7"/>
        <v>14</v>
      </c>
      <c r="C411" s="36" t="s">
        <v>637</v>
      </c>
      <c r="D411" s="36" t="s">
        <v>746</v>
      </c>
      <c r="E411" s="36">
        <v>1059146</v>
      </c>
      <c r="F411" s="36">
        <v>5</v>
      </c>
      <c r="G411" s="36">
        <v>649901</v>
      </c>
      <c r="H411" s="48" t="str">
        <f>IFERROR(INDEX(Table14[],MATCH($G411,Table14[SAPNo],0),3),"")</f>
        <v>Carbide IA 8    (C)</v>
      </c>
      <c r="I411" s="37">
        <v>5</v>
      </c>
      <c r="J411" s="37">
        <f>IF(Table412[[#This Row],[MAT]]&lt;&gt;"",COUNTIF(Table3[LEVEL 5 MAT NO.],Table412[[#This Row],[MAT]]),"")</f>
        <v>0</v>
      </c>
      <c r="K411" s="36">
        <f>IFERROR(INDEX(Table3[],MATCH($E411,Table3[LEVEL 5 MAT NO.],0),2),0)</f>
        <v>0</v>
      </c>
      <c r="L411" s="36">
        <f>Table412[[#This Row],[Quantity in BOM]]*Table412[[#This Row],[Freq]]</f>
        <v>0</v>
      </c>
      <c r="M411" s="36" t="str">
        <f>IF(Table412[[#This Row],[Exist]]=1,Table412[[#This Row],[MAT]],"")</f>
        <v/>
      </c>
      <c r="N411" s="36" t="str">
        <f>IF(Table412[[#This Row],[Exist]]=1,Table412[[#This Row],[Component]],"")</f>
        <v/>
      </c>
      <c r="O411" s="36">
        <f>IFERROR(VALUE(Table412[[#This Row],[MAT]]&amp;Table412[[#This Row],[X'#]]),IF(COUNTIF(Table412[[#This Row],[MAT]],"*M"),Table412[[#This Row],[MAT]]&amp;Table412[[#This Row],[X'#]],""))</f>
        <v>10591465</v>
      </c>
    </row>
    <row r="412" spans="1:15" x14ac:dyDescent="0.25">
      <c r="A412" s="37">
        <f t="shared" si="7"/>
        <v>14</v>
      </c>
      <c r="C412" s="36">
        <v>12</v>
      </c>
      <c r="D412" s="36" t="s">
        <v>3684</v>
      </c>
      <c r="E412" s="36">
        <v>1140761</v>
      </c>
      <c r="F412" s="36">
        <v>1</v>
      </c>
      <c r="G412" s="36">
        <v>1100741</v>
      </c>
      <c r="H412" s="48" t="str">
        <f>IFERROR(INDEX(Table14[],MATCH($G412,Table14[SAPNo],0),3),"")</f>
        <v>Round 1613 CT418  0.018" (S)</v>
      </c>
      <c r="I412" s="37">
        <v>44</v>
      </c>
      <c r="J412" s="37">
        <f>IF(Table412[[#This Row],[MAT]]&lt;&gt;"",COUNTIF(Table3[LEVEL 5 MAT NO.],Table412[[#This Row],[MAT]]),"")</f>
        <v>0</v>
      </c>
      <c r="K412" s="36">
        <f>IFERROR(INDEX(Table3[],MATCH($E412,Table3[LEVEL 5 MAT NO.],0),2),0)</f>
        <v>0</v>
      </c>
      <c r="L412" s="36">
        <f>Table412[[#This Row],[Quantity in BOM]]*Table412[[#This Row],[Freq]]</f>
        <v>0</v>
      </c>
      <c r="M412" s="36" t="str">
        <f>IF(Table412[[#This Row],[Exist]]=1,Table412[[#This Row],[MAT]],"")</f>
        <v/>
      </c>
      <c r="N412" s="36" t="str">
        <f>IF(Table412[[#This Row],[Exist]]=1,Table412[[#This Row],[Component]],"")</f>
        <v/>
      </c>
      <c r="O412" s="36">
        <f>IFERROR(VALUE(Table412[[#This Row],[MAT]]&amp;Table412[[#This Row],[X'#]]),IF(COUNTIF(Table412[[#This Row],[MAT]],"*M"),Table412[[#This Row],[MAT]]&amp;Table412[[#This Row],[X'#]],""))</f>
        <v>11407611</v>
      </c>
    </row>
    <row r="413" spans="1:15" x14ac:dyDescent="0.25">
      <c r="A413" s="37">
        <f t="shared" si="7"/>
        <v>14</v>
      </c>
      <c r="C413" s="36">
        <v>12</v>
      </c>
      <c r="D413" s="36" t="s">
        <v>3684</v>
      </c>
      <c r="E413" s="36">
        <v>1140761</v>
      </c>
      <c r="F413" s="36">
        <v>2</v>
      </c>
      <c r="G413" s="36">
        <v>1123317</v>
      </c>
      <c r="H413" s="48" t="str">
        <f>IFERROR(INDEX(Table14[],MATCH($G413,Table14[SAPNo],0),3),"")</f>
        <v/>
      </c>
      <c r="I413" s="37">
        <v>25</v>
      </c>
      <c r="J413" s="37">
        <f>IF(Table412[[#This Row],[MAT]]&lt;&gt;"",COUNTIF(Table3[LEVEL 5 MAT NO.],Table412[[#This Row],[MAT]]),"")</f>
        <v>0</v>
      </c>
      <c r="K413" s="36">
        <f>IFERROR(INDEX(Table3[],MATCH($E413,Table3[LEVEL 5 MAT NO.],0),2),0)</f>
        <v>0</v>
      </c>
      <c r="L413" s="36">
        <f>Table412[[#This Row],[Quantity in BOM]]*Table412[[#This Row],[Freq]]</f>
        <v>0</v>
      </c>
      <c r="M413" s="36" t="str">
        <f>IF(Table412[[#This Row],[Exist]]=1,Table412[[#This Row],[MAT]],"")</f>
        <v/>
      </c>
      <c r="N413" s="36" t="str">
        <f>IF(Table412[[#This Row],[Exist]]=1,Table412[[#This Row],[Component]],"")</f>
        <v/>
      </c>
      <c r="O413" s="36">
        <f>IFERROR(VALUE(Table412[[#This Row],[MAT]]&amp;Table412[[#This Row],[X'#]]),IF(COUNTIF(Table412[[#This Row],[MAT]],"*M"),Table412[[#This Row],[MAT]]&amp;Table412[[#This Row],[X'#]],""))</f>
        <v>11407612</v>
      </c>
    </row>
    <row r="414" spans="1:15" x14ac:dyDescent="0.25">
      <c r="A414" s="37">
        <f t="shared" si="7"/>
        <v>14</v>
      </c>
      <c r="C414" s="36">
        <v>12</v>
      </c>
      <c r="D414" s="36" t="s">
        <v>3684</v>
      </c>
      <c r="E414" s="36">
        <v>1140761</v>
      </c>
      <c r="F414" s="36">
        <v>3</v>
      </c>
      <c r="G414" s="36">
        <v>647436</v>
      </c>
      <c r="H414" s="48" t="str">
        <f>IFERROR(INDEX(Table14[],MATCH($G414,Table14[SAPNo],0),3),"")</f>
        <v>Round 1613 CT200  0.018" (B)</v>
      </c>
      <c r="I414" s="37">
        <v>12</v>
      </c>
      <c r="J414" s="37">
        <f>IF(Table412[[#This Row],[MAT]]&lt;&gt;"",COUNTIF(Table3[LEVEL 5 MAT NO.],Table412[[#This Row],[MAT]]),"")</f>
        <v>0</v>
      </c>
      <c r="K414" s="36">
        <f>IFERROR(INDEX(Table3[],MATCH($E414,Table3[LEVEL 5 MAT NO.],0),2),0)</f>
        <v>0</v>
      </c>
      <c r="L414" s="36">
        <f>Table412[[#This Row],[Quantity in BOM]]*Table412[[#This Row],[Freq]]</f>
        <v>0</v>
      </c>
      <c r="M414" s="36" t="str">
        <f>IF(Table412[[#This Row],[Exist]]=1,Table412[[#This Row],[MAT]],"")</f>
        <v/>
      </c>
      <c r="N414" s="36" t="str">
        <f>IF(Table412[[#This Row],[Exist]]=1,Table412[[#This Row],[Component]],"")</f>
        <v/>
      </c>
      <c r="O414" s="36">
        <f>IFERROR(VALUE(Table412[[#This Row],[MAT]]&amp;Table412[[#This Row],[X'#]]),IF(COUNTIF(Table412[[#This Row],[MAT]],"*M"),Table412[[#This Row],[MAT]]&amp;Table412[[#This Row],[X'#]],""))</f>
        <v>11407613</v>
      </c>
    </row>
    <row r="415" spans="1:15" x14ac:dyDescent="0.25">
      <c r="A415" s="37">
        <f t="shared" si="7"/>
        <v>14</v>
      </c>
      <c r="C415" s="36">
        <v>12</v>
      </c>
      <c r="D415" s="36" t="s">
        <v>3684</v>
      </c>
      <c r="E415" s="36">
        <v>1140761</v>
      </c>
      <c r="F415" s="36">
        <v>4</v>
      </c>
      <c r="G415" s="36">
        <v>871781</v>
      </c>
      <c r="H415" s="48" t="str">
        <f>IFERROR(INDEX(Table14[],MATCH($G415,Table14[SAPNo],0),3),"")</f>
        <v>Round 1313 CT200  0.018" (B)</v>
      </c>
      <c r="I415" s="37">
        <v>3</v>
      </c>
      <c r="J415" s="37">
        <f>IF(Table412[[#This Row],[MAT]]&lt;&gt;"",COUNTIF(Table3[LEVEL 5 MAT NO.],Table412[[#This Row],[MAT]]),"")</f>
        <v>0</v>
      </c>
      <c r="K415" s="36">
        <f>IFERROR(INDEX(Table3[],MATCH($E415,Table3[LEVEL 5 MAT NO.],0),2),0)</f>
        <v>0</v>
      </c>
      <c r="L415" s="36">
        <f>Table412[[#This Row],[Quantity in BOM]]*Table412[[#This Row],[Freq]]</f>
        <v>0</v>
      </c>
      <c r="M415" s="36" t="str">
        <f>IF(Table412[[#This Row],[Exist]]=1,Table412[[#This Row],[MAT]],"")</f>
        <v/>
      </c>
      <c r="N415" s="36" t="str">
        <f>IF(Table412[[#This Row],[Exist]]=1,Table412[[#This Row],[Component]],"")</f>
        <v/>
      </c>
      <c r="O415" s="36">
        <f>IFERROR(VALUE(Table412[[#This Row],[MAT]]&amp;Table412[[#This Row],[X'#]]),IF(COUNTIF(Table412[[#This Row],[MAT]],"*M"),Table412[[#This Row],[MAT]]&amp;Table412[[#This Row],[X'#]],""))</f>
        <v>11407614</v>
      </c>
    </row>
    <row r="416" spans="1:15" x14ac:dyDescent="0.25">
      <c r="A416" s="37">
        <f t="shared" si="7"/>
        <v>14</v>
      </c>
      <c r="C416" s="36">
        <v>12</v>
      </c>
      <c r="D416" s="36" t="s">
        <v>3684</v>
      </c>
      <c r="E416" s="36">
        <v>1140761</v>
      </c>
      <c r="F416" s="36">
        <v>5</v>
      </c>
      <c r="G416" s="36">
        <v>418525</v>
      </c>
      <c r="H416" s="48" t="str">
        <f>IFERROR(INDEX(Table14[],MATCH($G416,Table14[SAPNo],0),3),"")</f>
        <v>Drop In 1308 CT31   (B)</v>
      </c>
      <c r="I416" s="37">
        <v>3</v>
      </c>
      <c r="J416" s="37">
        <f>IF(Table412[[#This Row],[MAT]]&lt;&gt;"",COUNTIF(Table3[LEVEL 5 MAT NO.],Table412[[#This Row],[MAT]]),"")</f>
        <v>0</v>
      </c>
      <c r="K416" s="36">
        <f>IFERROR(INDEX(Table3[],MATCH($E416,Table3[LEVEL 5 MAT NO.],0),2),0)</f>
        <v>0</v>
      </c>
      <c r="L416" s="36">
        <f>Table412[[#This Row],[Quantity in BOM]]*Table412[[#This Row],[Freq]]</f>
        <v>0</v>
      </c>
      <c r="M416" s="36" t="str">
        <f>IF(Table412[[#This Row],[Exist]]=1,Table412[[#This Row],[MAT]],"")</f>
        <v/>
      </c>
      <c r="N416" s="36" t="str">
        <f>IF(Table412[[#This Row],[Exist]]=1,Table412[[#This Row],[Component]],"")</f>
        <v/>
      </c>
      <c r="O416" s="36">
        <f>IFERROR(VALUE(Table412[[#This Row],[MAT]]&amp;Table412[[#This Row],[X'#]]),IF(COUNTIF(Table412[[#This Row],[MAT]],"*M"),Table412[[#This Row],[MAT]]&amp;Table412[[#This Row],[X'#]],""))</f>
        <v>11407615</v>
      </c>
    </row>
    <row r="417" spans="1:15" x14ac:dyDescent="0.25">
      <c r="A417" s="37">
        <f t="shared" si="7"/>
        <v>14</v>
      </c>
      <c r="C417" s="36" t="s">
        <v>313</v>
      </c>
      <c r="D417" s="36" t="s">
        <v>272</v>
      </c>
      <c r="E417" s="36">
        <v>1083564</v>
      </c>
      <c r="F417" s="36">
        <v>2</v>
      </c>
      <c r="G417" s="36">
        <v>1130197</v>
      </c>
      <c r="H417" s="48" t="str">
        <f>IFERROR(INDEX(Table14[],MATCH($G417,Table14[SAPNo],0),3),"")</f>
        <v>Round 1608 CT182  0.018" (S)</v>
      </c>
      <c r="I417" s="37">
        <v>23</v>
      </c>
      <c r="J417" s="37">
        <f>IF(Table412[[#This Row],[MAT]]&lt;&gt;"",COUNTIF(Table3[LEVEL 5 MAT NO.],Table412[[#This Row],[MAT]]),"")</f>
        <v>0</v>
      </c>
      <c r="K417" s="36">
        <f>IFERROR(INDEX(Table3[],MATCH($E417,Table3[LEVEL 5 MAT NO.],0),2),0)</f>
        <v>0</v>
      </c>
      <c r="L417" s="36">
        <f>Table412[[#This Row],[Quantity in BOM]]*Table412[[#This Row],[Freq]]</f>
        <v>0</v>
      </c>
      <c r="M417" s="36" t="str">
        <f>IF(Table412[[#This Row],[Exist]]=1,Table412[[#This Row],[MAT]],"")</f>
        <v/>
      </c>
      <c r="N417" s="36" t="str">
        <f>IF(Table412[[#This Row],[Exist]]=1,Table412[[#This Row],[Component]],"")</f>
        <v/>
      </c>
      <c r="O417" s="36">
        <f>IFERROR(VALUE(Table412[[#This Row],[MAT]]&amp;Table412[[#This Row],[X'#]]),IF(COUNTIF(Table412[[#This Row],[MAT]],"*M"),Table412[[#This Row],[MAT]]&amp;Table412[[#This Row],[X'#]],""))</f>
        <v>10835642</v>
      </c>
    </row>
    <row r="418" spans="1:15" x14ac:dyDescent="0.25">
      <c r="A418" s="37">
        <f t="shared" si="7"/>
        <v>14</v>
      </c>
      <c r="C418" s="36" t="s">
        <v>313</v>
      </c>
      <c r="D418" s="36" t="s">
        <v>272</v>
      </c>
      <c r="E418" s="36">
        <v>1083564</v>
      </c>
      <c r="F418" s="36">
        <v>3</v>
      </c>
      <c r="G418" s="36">
        <v>1130198</v>
      </c>
      <c r="H418" s="48" t="str">
        <f>IFERROR(INDEX(Table14[],MATCH($G418,Table14[SAPNo],0),3),"")</f>
        <v>Round 1613 CT182  0.018" (S)</v>
      </c>
      <c r="I418" s="37">
        <v>9</v>
      </c>
      <c r="J418" s="37">
        <f>IF(Table412[[#This Row],[MAT]]&lt;&gt;"",COUNTIF(Table3[LEVEL 5 MAT NO.],Table412[[#This Row],[MAT]]),"")</f>
        <v>0</v>
      </c>
      <c r="K418" s="36">
        <f>IFERROR(INDEX(Table3[],MATCH($E418,Table3[LEVEL 5 MAT NO.],0),2),0)</f>
        <v>0</v>
      </c>
      <c r="L418" s="36">
        <f>Table412[[#This Row],[Quantity in BOM]]*Table412[[#This Row],[Freq]]</f>
        <v>0</v>
      </c>
      <c r="M418" s="36" t="str">
        <f>IF(Table412[[#This Row],[Exist]]=1,Table412[[#This Row],[MAT]],"")</f>
        <v/>
      </c>
      <c r="N418" s="36" t="str">
        <f>IF(Table412[[#This Row],[Exist]]=1,Table412[[#This Row],[Component]],"")</f>
        <v/>
      </c>
      <c r="O418" s="36">
        <f>IFERROR(VALUE(Table412[[#This Row],[MAT]]&amp;Table412[[#This Row],[X'#]]),IF(COUNTIF(Table412[[#This Row],[MAT]],"*M"),Table412[[#This Row],[MAT]]&amp;Table412[[#This Row],[X'#]],""))</f>
        <v>10835643</v>
      </c>
    </row>
    <row r="419" spans="1:15" x14ac:dyDescent="0.25">
      <c r="A419" s="37">
        <f t="shared" si="7"/>
        <v>14</v>
      </c>
      <c r="C419" s="36" t="s">
        <v>313</v>
      </c>
      <c r="D419" s="36" t="s">
        <v>314</v>
      </c>
      <c r="E419" s="36">
        <v>882281</v>
      </c>
      <c r="F419" s="36">
        <v>1</v>
      </c>
      <c r="G419" s="36">
        <v>1130198</v>
      </c>
      <c r="H419" s="48" t="str">
        <f>IFERROR(INDEX(Table14[],MATCH($G419,Table14[SAPNo],0),3),"")</f>
        <v>Round 1613 CT182  0.018" (S)</v>
      </c>
      <c r="I419" s="37">
        <v>33</v>
      </c>
      <c r="J419" s="37">
        <f>IF(Table412[[#This Row],[MAT]]&lt;&gt;"",COUNTIF(Table3[LEVEL 5 MAT NO.],Table412[[#This Row],[MAT]]),"")</f>
        <v>0</v>
      </c>
      <c r="K419" s="36">
        <f>IFERROR(INDEX(Table3[],MATCH($E419,Table3[LEVEL 5 MAT NO.],0),2),0)</f>
        <v>0</v>
      </c>
      <c r="L419" s="36">
        <f>Table412[[#This Row],[Quantity in BOM]]*Table412[[#This Row],[Freq]]</f>
        <v>0</v>
      </c>
      <c r="M419" s="36" t="str">
        <f>IF(Table412[[#This Row],[Exist]]=1,Table412[[#This Row],[MAT]],"")</f>
        <v/>
      </c>
      <c r="N419" s="36" t="str">
        <f>IF(Table412[[#This Row],[Exist]]=1,Table412[[#This Row],[Component]],"")</f>
        <v/>
      </c>
      <c r="O419" s="36">
        <f>IFERROR(VALUE(Table412[[#This Row],[MAT]]&amp;Table412[[#This Row],[X'#]]),IF(COUNTIF(Table412[[#This Row],[MAT]],"*M"),Table412[[#This Row],[MAT]]&amp;Table412[[#This Row],[X'#]],""))</f>
        <v>8822811</v>
      </c>
    </row>
    <row r="420" spans="1:15" x14ac:dyDescent="0.25">
      <c r="A420" s="37">
        <f t="shared" si="7"/>
        <v>14</v>
      </c>
      <c r="C420" s="36" t="s">
        <v>313</v>
      </c>
      <c r="D420" s="36" t="s">
        <v>314</v>
      </c>
      <c r="E420" s="36">
        <v>882281</v>
      </c>
      <c r="F420" s="36">
        <v>2</v>
      </c>
      <c r="G420" s="36">
        <v>1130197</v>
      </c>
      <c r="H420" s="48" t="str">
        <f>IFERROR(INDEX(Table14[],MATCH($G420,Table14[SAPNo],0),3),"")</f>
        <v>Round 1608 CT182  0.018" (S)</v>
      </c>
      <c r="I420" s="37">
        <v>23</v>
      </c>
      <c r="J420" s="37">
        <f>IF(Table412[[#This Row],[MAT]]&lt;&gt;"",COUNTIF(Table3[LEVEL 5 MAT NO.],Table412[[#This Row],[MAT]]),"")</f>
        <v>0</v>
      </c>
      <c r="K420" s="36">
        <f>IFERROR(INDEX(Table3[],MATCH($E420,Table3[LEVEL 5 MAT NO.],0),2),0)</f>
        <v>0</v>
      </c>
      <c r="L420" s="36">
        <f>Table412[[#This Row],[Quantity in BOM]]*Table412[[#This Row],[Freq]]</f>
        <v>0</v>
      </c>
      <c r="M420" s="36" t="str">
        <f>IF(Table412[[#This Row],[Exist]]=1,Table412[[#This Row],[MAT]],"")</f>
        <v/>
      </c>
      <c r="N420" s="36" t="str">
        <f>IF(Table412[[#This Row],[Exist]]=1,Table412[[#This Row],[Component]],"")</f>
        <v/>
      </c>
      <c r="O420" s="36">
        <f>IFERROR(VALUE(Table412[[#This Row],[MAT]]&amp;Table412[[#This Row],[X'#]]),IF(COUNTIF(Table412[[#This Row],[MAT]],"*M"),Table412[[#This Row],[MAT]]&amp;Table412[[#This Row],[X'#]],""))</f>
        <v>8822812</v>
      </c>
    </row>
    <row r="421" spans="1:15" x14ac:dyDescent="0.25">
      <c r="A421" s="37">
        <f t="shared" si="7"/>
        <v>14</v>
      </c>
      <c r="C421" s="36" t="s">
        <v>313</v>
      </c>
      <c r="D421" s="36" t="s">
        <v>314</v>
      </c>
      <c r="E421" s="36">
        <v>882281</v>
      </c>
      <c r="F421" s="36">
        <v>3</v>
      </c>
      <c r="G421" s="36">
        <v>418525</v>
      </c>
      <c r="H421" s="48" t="str">
        <f>IFERROR(INDEX(Table14[],MATCH($G421,Table14[SAPNo],0),3),"")</f>
        <v>Drop In 1308 CT31   (B)</v>
      </c>
      <c r="I421" s="37">
        <v>12</v>
      </c>
      <c r="J421" s="37">
        <f>IF(Table412[[#This Row],[MAT]]&lt;&gt;"",COUNTIF(Table3[LEVEL 5 MAT NO.],Table412[[#This Row],[MAT]]),"")</f>
        <v>0</v>
      </c>
      <c r="K421" s="36">
        <f>IFERROR(INDEX(Table3[],MATCH($E421,Table3[LEVEL 5 MAT NO.],0),2),0)</f>
        <v>0</v>
      </c>
      <c r="L421" s="36">
        <f>Table412[[#This Row],[Quantity in BOM]]*Table412[[#This Row],[Freq]]</f>
        <v>0</v>
      </c>
      <c r="M421" s="36" t="str">
        <f>IF(Table412[[#This Row],[Exist]]=1,Table412[[#This Row],[MAT]],"")</f>
        <v/>
      </c>
      <c r="N421" s="36" t="str">
        <f>IF(Table412[[#This Row],[Exist]]=1,Table412[[#This Row],[Component]],"")</f>
        <v/>
      </c>
      <c r="O421" s="36">
        <f>IFERROR(VALUE(Table412[[#This Row],[MAT]]&amp;Table412[[#This Row],[X'#]]),IF(COUNTIF(Table412[[#This Row],[MAT]],"*M"),Table412[[#This Row],[MAT]]&amp;Table412[[#This Row],[X'#]],""))</f>
        <v>8822813</v>
      </c>
    </row>
    <row r="422" spans="1:15" x14ac:dyDescent="0.25">
      <c r="A422" s="37">
        <f t="shared" si="7"/>
        <v>14</v>
      </c>
      <c r="C422" s="36" t="s">
        <v>319</v>
      </c>
      <c r="D422" s="36" t="s">
        <v>3685</v>
      </c>
      <c r="E422" s="36">
        <v>756668</v>
      </c>
      <c r="F422" s="36">
        <v>1</v>
      </c>
      <c r="G422" s="36">
        <v>745576</v>
      </c>
      <c r="H422" s="48" t="str">
        <f>IFERROR(INDEX(Table14[],MATCH($G422,Table14[SAPNo],0),3),"")</f>
        <v>Round 1913 CT82  0.018" (S)</v>
      </c>
      <c r="I422" s="37">
        <v>67</v>
      </c>
      <c r="J422" s="37">
        <f>IF(Table412[[#This Row],[MAT]]&lt;&gt;"",COUNTIF(Table3[LEVEL 5 MAT NO.],Table412[[#This Row],[MAT]]),"")</f>
        <v>0</v>
      </c>
      <c r="K422" s="36">
        <f>IFERROR(INDEX(Table3[],MATCH($E422,Table3[LEVEL 5 MAT NO.],0),2),0)</f>
        <v>0</v>
      </c>
      <c r="L422" s="36">
        <f>Table412[[#This Row],[Quantity in BOM]]*Table412[[#This Row],[Freq]]</f>
        <v>0</v>
      </c>
      <c r="M422" s="36" t="str">
        <f>IF(Table412[[#This Row],[Exist]]=1,Table412[[#This Row],[MAT]],"")</f>
        <v/>
      </c>
      <c r="N422" s="36" t="str">
        <f>IF(Table412[[#This Row],[Exist]]=1,Table412[[#This Row],[Component]],"")</f>
        <v/>
      </c>
      <c r="O422" s="36">
        <f>IFERROR(VALUE(Table412[[#This Row],[MAT]]&amp;Table412[[#This Row],[X'#]]),IF(COUNTIF(Table412[[#This Row],[MAT]],"*M"),Table412[[#This Row],[MAT]]&amp;Table412[[#This Row],[X'#]],""))</f>
        <v>7566681</v>
      </c>
    </row>
    <row r="423" spans="1:15" x14ac:dyDescent="0.25">
      <c r="A423" s="37">
        <f t="shared" si="7"/>
        <v>14</v>
      </c>
      <c r="C423" s="36" t="s">
        <v>319</v>
      </c>
      <c r="D423" s="36" t="s">
        <v>3685</v>
      </c>
      <c r="E423" s="36">
        <v>756668</v>
      </c>
      <c r="F423" s="36">
        <v>2</v>
      </c>
      <c r="G423" s="36">
        <v>729691</v>
      </c>
      <c r="H423" s="48" t="str">
        <f>IFERROR(INDEX(Table14[],MATCH($G423,Table14[SAPNo],0),3),"")</f>
        <v>Round 1613 CT82  0.018" (S)</v>
      </c>
      <c r="I423" s="37">
        <v>31</v>
      </c>
      <c r="J423" s="37">
        <f>IF(Table412[[#This Row],[MAT]]&lt;&gt;"",COUNTIF(Table3[LEVEL 5 MAT NO.],Table412[[#This Row],[MAT]]),"")</f>
        <v>0</v>
      </c>
      <c r="K423" s="36">
        <f>IFERROR(INDEX(Table3[],MATCH($E423,Table3[LEVEL 5 MAT NO.],0),2),0)</f>
        <v>0</v>
      </c>
      <c r="L423" s="36">
        <f>Table412[[#This Row],[Quantity in BOM]]*Table412[[#This Row],[Freq]]</f>
        <v>0</v>
      </c>
      <c r="M423" s="36" t="str">
        <f>IF(Table412[[#This Row],[Exist]]=1,Table412[[#This Row],[MAT]],"")</f>
        <v/>
      </c>
      <c r="N423" s="36" t="str">
        <f>IF(Table412[[#This Row],[Exist]]=1,Table412[[#This Row],[Component]],"")</f>
        <v/>
      </c>
      <c r="O423" s="36">
        <f>IFERROR(VALUE(Table412[[#This Row],[MAT]]&amp;Table412[[#This Row],[X'#]]),IF(COUNTIF(Table412[[#This Row],[MAT]],"*M"),Table412[[#This Row],[MAT]]&amp;Table412[[#This Row],[X'#]],""))</f>
        <v>7566682</v>
      </c>
    </row>
    <row r="424" spans="1:15" x14ac:dyDescent="0.25">
      <c r="A424" s="37">
        <f t="shared" si="7"/>
        <v>14</v>
      </c>
      <c r="C424" s="36" t="s">
        <v>319</v>
      </c>
      <c r="D424" s="36" t="s">
        <v>3685</v>
      </c>
      <c r="E424" s="36">
        <v>756668</v>
      </c>
      <c r="F424" s="36">
        <v>3</v>
      </c>
      <c r="G424" s="36">
        <v>179790</v>
      </c>
      <c r="H424" s="48" t="str">
        <f>IFERROR(INDEX(Table14[],MATCH($G424,Table14[SAPNo],0),3),"")</f>
        <v>Round 1613  OBS ELITE RC 0.018" (O)</v>
      </c>
      <c r="I424" s="37">
        <v>12</v>
      </c>
      <c r="J424" s="37">
        <f>IF(Table412[[#This Row],[MAT]]&lt;&gt;"",COUNTIF(Table3[LEVEL 5 MAT NO.],Table412[[#This Row],[MAT]]),"")</f>
        <v>0</v>
      </c>
      <c r="K424" s="36">
        <f>IFERROR(INDEX(Table3[],MATCH($E424,Table3[LEVEL 5 MAT NO.],0),2),0)</f>
        <v>0</v>
      </c>
      <c r="L424" s="36">
        <f>Table412[[#This Row],[Quantity in BOM]]*Table412[[#This Row],[Freq]]</f>
        <v>0</v>
      </c>
      <c r="M424" s="36" t="str">
        <f>IF(Table412[[#This Row],[Exist]]=1,Table412[[#This Row],[MAT]],"")</f>
        <v/>
      </c>
      <c r="N424" s="36" t="str">
        <f>IF(Table412[[#This Row],[Exist]]=1,Table412[[#This Row],[Component]],"")</f>
        <v/>
      </c>
      <c r="O424" s="36">
        <f>IFERROR(VALUE(Table412[[#This Row],[MAT]]&amp;Table412[[#This Row],[X'#]]),IF(COUNTIF(Table412[[#This Row],[MAT]],"*M"),Table412[[#This Row],[MAT]]&amp;Table412[[#This Row],[X'#]],""))</f>
        <v>7566683</v>
      </c>
    </row>
    <row r="425" spans="1:15" x14ac:dyDescent="0.25">
      <c r="A425" s="37">
        <f t="shared" si="7"/>
        <v>14</v>
      </c>
      <c r="C425" s="36" t="s">
        <v>319</v>
      </c>
      <c r="D425" s="36" t="s">
        <v>3685</v>
      </c>
      <c r="E425" s="36">
        <v>756668</v>
      </c>
      <c r="F425" s="36">
        <v>4</v>
      </c>
      <c r="G425" s="36">
        <v>418525</v>
      </c>
      <c r="H425" s="48" t="str">
        <f>IFERROR(INDEX(Table14[],MATCH($G425,Table14[SAPNo],0),3),"")</f>
        <v>Drop In 1308 CT31   (B)</v>
      </c>
      <c r="I425" s="37">
        <v>18</v>
      </c>
      <c r="J425" s="37">
        <f>IF(Table412[[#This Row],[MAT]]&lt;&gt;"",COUNTIF(Table3[LEVEL 5 MAT NO.],Table412[[#This Row],[MAT]]),"")</f>
        <v>0</v>
      </c>
      <c r="K425" s="36">
        <f>IFERROR(INDEX(Table3[],MATCH($E425,Table3[LEVEL 5 MAT NO.],0),2),0)</f>
        <v>0</v>
      </c>
      <c r="L425" s="36">
        <f>Table412[[#This Row],[Quantity in BOM]]*Table412[[#This Row],[Freq]]</f>
        <v>0</v>
      </c>
      <c r="M425" s="36" t="str">
        <f>IF(Table412[[#This Row],[Exist]]=1,Table412[[#This Row],[MAT]],"")</f>
        <v/>
      </c>
      <c r="N425" s="36" t="str">
        <f>IF(Table412[[#This Row],[Exist]]=1,Table412[[#This Row],[Component]],"")</f>
        <v/>
      </c>
      <c r="O425" s="36">
        <f>IFERROR(VALUE(Table412[[#This Row],[MAT]]&amp;Table412[[#This Row],[X'#]]),IF(COUNTIF(Table412[[#This Row],[MAT]],"*M"),Table412[[#This Row],[MAT]]&amp;Table412[[#This Row],[X'#]],""))</f>
        <v>7566684</v>
      </c>
    </row>
    <row r="426" spans="1:15" x14ac:dyDescent="0.25">
      <c r="A426" s="37">
        <f t="shared" si="7"/>
        <v>14</v>
      </c>
      <c r="C426" s="36" t="s">
        <v>313</v>
      </c>
      <c r="D426" s="36" t="s">
        <v>272</v>
      </c>
      <c r="E426" s="36">
        <v>1083564</v>
      </c>
      <c r="F426" s="36">
        <v>4</v>
      </c>
      <c r="G426" s="36">
        <v>418525</v>
      </c>
      <c r="H426" s="48" t="str">
        <f>IFERROR(INDEX(Table14[],MATCH($G426,Table14[SAPNo],0),3),"")</f>
        <v>Drop In 1308 CT31   (B)</v>
      </c>
      <c r="I426" s="37">
        <v>6</v>
      </c>
      <c r="J426" s="37">
        <f>IF(Table412[[#This Row],[MAT]]&lt;&gt;"",COUNTIF(Table3[LEVEL 5 MAT NO.],Table412[[#This Row],[MAT]]),"")</f>
        <v>0</v>
      </c>
      <c r="K426" s="36">
        <f>IFERROR(INDEX(Table3[],MATCH($E426,Table3[LEVEL 5 MAT NO.],0),2),0)</f>
        <v>0</v>
      </c>
      <c r="L426" s="36">
        <f>Table412[[#This Row],[Quantity in BOM]]*Table412[[#This Row],[Freq]]</f>
        <v>0</v>
      </c>
      <c r="M426" s="36" t="str">
        <f>IF(Table412[[#This Row],[Exist]]=1,Table412[[#This Row],[MAT]],"")</f>
        <v/>
      </c>
      <c r="N426" s="36" t="str">
        <f>IF(Table412[[#This Row],[Exist]]=1,Table412[[#This Row],[Component]],"")</f>
        <v/>
      </c>
      <c r="O426" s="36">
        <f>IFERROR(VALUE(Table412[[#This Row],[MAT]]&amp;Table412[[#This Row],[X'#]]),IF(COUNTIF(Table412[[#This Row],[MAT]],"*M"),Table412[[#This Row],[MAT]]&amp;Table412[[#This Row],[X'#]],""))</f>
        <v>10835644</v>
      </c>
    </row>
    <row r="427" spans="1:15" x14ac:dyDescent="0.25">
      <c r="A427" s="37">
        <f t="shared" si="7"/>
        <v>14</v>
      </c>
      <c r="C427" s="38" t="s">
        <v>313</v>
      </c>
      <c r="D427" s="36" t="s">
        <v>272</v>
      </c>
      <c r="E427" s="36">
        <v>1092981</v>
      </c>
      <c r="F427" s="36">
        <v>1</v>
      </c>
      <c r="G427" s="36">
        <v>1130198</v>
      </c>
      <c r="H427" s="48" t="str">
        <f>IFERROR(INDEX(Table14[],MATCH($G427,Table14[SAPNo],0),3),"")</f>
        <v>Round 1613 CT182  0.018" (S)</v>
      </c>
      <c r="I427" s="37">
        <v>33</v>
      </c>
      <c r="J427" s="37">
        <f>IF(Table412[[#This Row],[MAT]]&lt;&gt;"",COUNTIF(Table3[LEVEL 5 MAT NO.],Table412[[#This Row],[MAT]]),"")</f>
        <v>1</v>
      </c>
      <c r="K427" s="36">
        <f>IFERROR(INDEX(Table3[],MATCH($E427,Table3[LEVEL 5 MAT NO.],0),2),0)</f>
        <v>1</v>
      </c>
      <c r="L427" s="36">
        <f>Table412[[#This Row],[Quantity in BOM]]*Table412[[#This Row],[Freq]]</f>
        <v>33</v>
      </c>
      <c r="M427" s="36">
        <f>IF(Table412[[#This Row],[Exist]]=1,Table412[[#This Row],[MAT]],"")</f>
        <v>1092981</v>
      </c>
      <c r="N427" s="36">
        <f>IF(Table412[[#This Row],[Exist]]=1,Table412[[#This Row],[Component]],"")</f>
        <v>1130198</v>
      </c>
      <c r="O427" s="36">
        <f>IFERROR(VALUE(Table412[[#This Row],[MAT]]&amp;Table412[[#This Row],[X'#]]),IF(COUNTIF(Table412[[#This Row],[MAT]],"*M"),Table412[[#This Row],[MAT]]&amp;Table412[[#This Row],[X'#]],""))</f>
        <v>10929811</v>
      </c>
    </row>
    <row r="428" spans="1:15" x14ac:dyDescent="0.25">
      <c r="A428" s="37">
        <f t="shared" si="7"/>
        <v>15</v>
      </c>
      <c r="C428" s="36" t="s">
        <v>316</v>
      </c>
      <c r="D428" s="36" t="s">
        <v>318</v>
      </c>
      <c r="E428" s="36">
        <v>756537</v>
      </c>
      <c r="F428" s="36">
        <v>1</v>
      </c>
      <c r="G428" s="36">
        <v>729691</v>
      </c>
      <c r="H428" s="48" t="str">
        <f>IFERROR(INDEX(Table14[],MATCH($G428,Table14[SAPNo],0),3),"")</f>
        <v>Round 1613 CT82  0.018" (S)</v>
      </c>
      <c r="I428" s="37">
        <v>90</v>
      </c>
      <c r="J428" s="37">
        <f>IF(Table412[[#This Row],[MAT]]&lt;&gt;"",COUNTIF(Table3[LEVEL 5 MAT NO.],Table412[[#This Row],[MAT]]),"")</f>
        <v>0</v>
      </c>
      <c r="K428" s="36">
        <f>IFERROR(INDEX(Table3[],MATCH($E428,Table3[LEVEL 5 MAT NO.],0),2),0)</f>
        <v>0</v>
      </c>
      <c r="L428" s="36">
        <f>Table412[[#This Row],[Quantity in BOM]]*Table412[[#This Row],[Freq]]</f>
        <v>0</v>
      </c>
      <c r="M428" s="36" t="str">
        <f>IF(Table412[[#This Row],[Exist]]=1,Table412[[#This Row],[MAT]],"")</f>
        <v/>
      </c>
      <c r="N428" s="36" t="str">
        <f>IF(Table412[[#This Row],[Exist]]=1,Table412[[#This Row],[Component]],"")</f>
        <v/>
      </c>
      <c r="O428" s="36">
        <f>IFERROR(VALUE(Table412[[#This Row],[MAT]]&amp;Table412[[#This Row],[X'#]]),IF(COUNTIF(Table412[[#This Row],[MAT]],"*M"),Table412[[#This Row],[MAT]]&amp;Table412[[#This Row],[X'#]],""))</f>
        <v>7565371</v>
      </c>
    </row>
    <row r="429" spans="1:15" x14ac:dyDescent="0.25">
      <c r="A429" s="37">
        <f t="shared" si="7"/>
        <v>15</v>
      </c>
      <c r="C429" s="36" t="s">
        <v>316</v>
      </c>
      <c r="D429" s="36" t="s">
        <v>318</v>
      </c>
      <c r="E429" s="36">
        <v>756537</v>
      </c>
      <c r="F429" s="36">
        <v>2</v>
      </c>
      <c r="G429" s="36">
        <v>729688</v>
      </c>
      <c r="H429" s="48" t="str">
        <f>IFERROR(INDEX(Table14[],MATCH($G429,Table14[SAPNo],0),3),"")</f>
        <v>Round 1308 CT82  0.018" (S)</v>
      </c>
      <c r="I429" s="37">
        <v>48</v>
      </c>
      <c r="J429" s="37">
        <f>IF(Table412[[#This Row],[MAT]]&lt;&gt;"",COUNTIF(Table3[LEVEL 5 MAT NO.],Table412[[#This Row],[MAT]]),"")</f>
        <v>0</v>
      </c>
      <c r="K429" s="36">
        <f>IFERROR(INDEX(Table3[],MATCH($E429,Table3[LEVEL 5 MAT NO.],0),2),0)</f>
        <v>0</v>
      </c>
      <c r="L429" s="36">
        <f>Table412[[#This Row],[Quantity in BOM]]*Table412[[#This Row],[Freq]]</f>
        <v>0</v>
      </c>
      <c r="M429" s="36" t="str">
        <f>IF(Table412[[#This Row],[Exist]]=1,Table412[[#This Row],[MAT]],"")</f>
        <v/>
      </c>
      <c r="N429" s="36" t="str">
        <f>IF(Table412[[#This Row],[Exist]]=1,Table412[[#This Row],[Component]],"")</f>
        <v/>
      </c>
      <c r="O429" s="36">
        <f>IFERROR(VALUE(Table412[[#This Row],[MAT]]&amp;Table412[[#This Row],[X'#]]),IF(COUNTIF(Table412[[#This Row],[MAT]],"*M"),Table412[[#This Row],[MAT]]&amp;Table412[[#This Row],[X'#]],""))</f>
        <v>7565372</v>
      </c>
    </row>
    <row r="430" spans="1:15" x14ac:dyDescent="0.25">
      <c r="A430" s="37">
        <f t="shared" si="7"/>
        <v>15</v>
      </c>
      <c r="C430" s="36" t="s">
        <v>316</v>
      </c>
      <c r="D430" s="36" t="s">
        <v>318</v>
      </c>
      <c r="E430" s="36">
        <v>756537</v>
      </c>
      <c r="F430" s="36">
        <v>3</v>
      </c>
      <c r="G430" s="36">
        <v>418525</v>
      </c>
      <c r="H430" s="48" t="str">
        <f>IFERROR(INDEX(Table14[],MATCH($G430,Table14[SAPNo],0),3),"")</f>
        <v>Drop In 1308 CT31   (B)</v>
      </c>
      <c r="I430" s="37">
        <v>12</v>
      </c>
      <c r="J430" s="37">
        <f>IF(Table412[[#This Row],[MAT]]&lt;&gt;"",COUNTIF(Table3[LEVEL 5 MAT NO.],Table412[[#This Row],[MAT]]),"")</f>
        <v>0</v>
      </c>
      <c r="K430" s="36">
        <f>IFERROR(INDEX(Table3[],MATCH($E430,Table3[LEVEL 5 MAT NO.],0),2),0)</f>
        <v>0</v>
      </c>
      <c r="L430" s="36">
        <f>Table412[[#This Row],[Quantity in BOM]]*Table412[[#This Row],[Freq]]</f>
        <v>0</v>
      </c>
      <c r="M430" s="36" t="str">
        <f>IF(Table412[[#This Row],[Exist]]=1,Table412[[#This Row],[MAT]],"")</f>
        <v/>
      </c>
      <c r="N430" s="36" t="str">
        <f>IF(Table412[[#This Row],[Exist]]=1,Table412[[#This Row],[Component]],"")</f>
        <v/>
      </c>
      <c r="O430" s="36">
        <f>IFERROR(VALUE(Table412[[#This Row],[MAT]]&amp;Table412[[#This Row],[X'#]]),IF(COUNTIF(Table412[[#This Row],[MAT]],"*M"),Table412[[#This Row],[MAT]]&amp;Table412[[#This Row],[X'#]],""))</f>
        <v>7565373</v>
      </c>
    </row>
    <row r="431" spans="1:15" x14ac:dyDescent="0.25">
      <c r="A431" s="37">
        <f t="shared" si="7"/>
        <v>15</v>
      </c>
      <c r="C431" s="36" t="s">
        <v>316</v>
      </c>
      <c r="D431" s="36" t="s">
        <v>318</v>
      </c>
      <c r="E431" s="36">
        <v>756537</v>
      </c>
      <c r="F431" s="36">
        <v>4</v>
      </c>
      <c r="G431" s="36">
        <v>871781</v>
      </c>
      <c r="H431" s="48" t="str">
        <f>IFERROR(INDEX(Table14[],MATCH($G431,Table14[SAPNo],0),3),"")</f>
        <v>Round 1313 CT200  0.018" (B)</v>
      </c>
      <c r="I431" s="37">
        <v>4</v>
      </c>
      <c r="J431" s="37">
        <f>IF(Table412[[#This Row],[MAT]]&lt;&gt;"",COUNTIF(Table3[LEVEL 5 MAT NO.],Table412[[#This Row],[MAT]]),"")</f>
        <v>0</v>
      </c>
      <c r="K431" s="36">
        <f>IFERROR(INDEX(Table3[],MATCH($E431,Table3[LEVEL 5 MAT NO.],0),2),0)</f>
        <v>0</v>
      </c>
      <c r="L431" s="36">
        <f>Table412[[#This Row],[Quantity in BOM]]*Table412[[#This Row],[Freq]]</f>
        <v>0</v>
      </c>
      <c r="M431" s="36" t="str">
        <f>IF(Table412[[#This Row],[Exist]]=1,Table412[[#This Row],[MAT]],"")</f>
        <v/>
      </c>
      <c r="N431" s="36" t="str">
        <f>IF(Table412[[#This Row],[Exist]]=1,Table412[[#This Row],[Component]],"")</f>
        <v/>
      </c>
      <c r="O431" s="36">
        <f>IFERROR(VALUE(Table412[[#This Row],[MAT]]&amp;Table412[[#This Row],[X'#]]),IF(COUNTIF(Table412[[#This Row],[MAT]],"*M"),Table412[[#This Row],[MAT]]&amp;Table412[[#This Row],[X'#]],""))</f>
        <v>7565374</v>
      </c>
    </row>
    <row r="432" spans="1:15" x14ac:dyDescent="0.25">
      <c r="A432" s="37">
        <f t="shared" si="7"/>
        <v>15</v>
      </c>
      <c r="C432" s="36" t="s">
        <v>637</v>
      </c>
      <c r="D432" s="36" t="s">
        <v>3686</v>
      </c>
      <c r="E432" s="36">
        <v>756502</v>
      </c>
      <c r="F432" s="36">
        <v>1</v>
      </c>
      <c r="G432" s="36">
        <v>729691</v>
      </c>
      <c r="H432" s="48" t="str">
        <f>IFERROR(INDEX(Table14[],MATCH($G432,Table14[SAPNo],0),3),"")</f>
        <v>Round 1613 CT82  0.018" (S)</v>
      </c>
      <c r="I432" s="37">
        <v>51</v>
      </c>
      <c r="J432" s="37">
        <f>IF(Table412[[#This Row],[MAT]]&lt;&gt;"",COUNTIF(Table3[LEVEL 5 MAT NO.],Table412[[#This Row],[MAT]]),"")</f>
        <v>0</v>
      </c>
      <c r="K432" s="36">
        <f>IFERROR(INDEX(Table3[],MATCH($E432,Table3[LEVEL 5 MAT NO.],0),2),0)</f>
        <v>0</v>
      </c>
      <c r="L432" s="36">
        <f>Table412[[#This Row],[Quantity in BOM]]*Table412[[#This Row],[Freq]]</f>
        <v>0</v>
      </c>
      <c r="M432" s="36" t="str">
        <f>IF(Table412[[#This Row],[Exist]]=1,Table412[[#This Row],[MAT]],"")</f>
        <v/>
      </c>
      <c r="N432" s="36" t="str">
        <f>IF(Table412[[#This Row],[Exist]]=1,Table412[[#This Row],[Component]],"")</f>
        <v/>
      </c>
      <c r="O432" s="36">
        <f>IFERROR(VALUE(Table412[[#This Row],[MAT]]&amp;Table412[[#This Row],[X'#]]),IF(COUNTIF(Table412[[#This Row],[MAT]],"*M"),Table412[[#This Row],[MAT]]&amp;Table412[[#This Row],[X'#]],""))</f>
        <v>7565021</v>
      </c>
    </row>
    <row r="433" spans="1:15" x14ac:dyDescent="0.25">
      <c r="A433" s="37">
        <f t="shared" si="7"/>
        <v>15</v>
      </c>
      <c r="C433" s="36" t="s">
        <v>637</v>
      </c>
      <c r="D433" s="36" t="s">
        <v>3686</v>
      </c>
      <c r="E433" s="36">
        <v>756502</v>
      </c>
      <c r="F433" s="36">
        <v>2</v>
      </c>
      <c r="G433" s="36">
        <v>179692</v>
      </c>
      <c r="H433" s="48" t="str">
        <f>IFERROR(INDEX(Table14[],MATCH($G433,Table14[SAPNo],0),3),"")</f>
        <v>Round 1313  ELITE RC 0.018" (O)</v>
      </c>
      <c r="I433" s="37">
        <v>14</v>
      </c>
      <c r="J433" s="37">
        <f>IF(Table412[[#This Row],[MAT]]&lt;&gt;"",COUNTIF(Table3[LEVEL 5 MAT NO.],Table412[[#This Row],[MAT]]),"")</f>
        <v>0</v>
      </c>
      <c r="K433" s="36">
        <f>IFERROR(INDEX(Table3[],MATCH($E433,Table3[LEVEL 5 MAT NO.],0),2),0)</f>
        <v>0</v>
      </c>
      <c r="L433" s="36">
        <f>Table412[[#This Row],[Quantity in BOM]]*Table412[[#This Row],[Freq]]</f>
        <v>0</v>
      </c>
      <c r="M433" s="36" t="str">
        <f>IF(Table412[[#This Row],[Exist]]=1,Table412[[#This Row],[MAT]],"")</f>
        <v/>
      </c>
      <c r="N433" s="36" t="str">
        <f>IF(Table412[[#This Row],[Exist]]=1,Table412[[#This Row],[Component]],"")</f>
        <v/>
      </c>
      <c r="O433" s="36">
        <f>IFERROR(VALUE(Table412[[#This Row],[MAT]]&amp;Table412[[#This Row],[X'#]]),IF(COUNTIF(Table412[[#This Row],[MAT]],"*M"),Table412[[#This Row],[MAT]]&amp;Table412[[#This Row],[X'#]],""))</f>
        <v>7565022</v>
      </c>
    </row>
    <row r="434" spans="1:15" x14ac:dyDescent="0.25">
      <c r="A434" s="37">
        <f t="shared" si="7"/>
        <v>15</v>
      </c>
      <c r="C434" s="36" t="s">
        <v>637</v>
      </c>
      <c r="D434" s="36" t="s">
        <v>3686</v>
      </c>
      <c r="E434" s="36">
        <v>756502</v>
      </c>
      <c r="F434" s="36">
        <v>3</v>
      </c>
      <c r="G434" s="36">
        <v>418525</v>
      </c>
      <c r="H434" s="48" t="str">
        <f>IFERROR(INDEX(Table14[],MATCH($G434,Table14[SAPNo],0),3),"")</f>
        <v>Drop In 1308 CT31   (B)</v>
      </c>
      <c r="I434" s="37">
        <v>7</v>
      </c>
      <c r="J434" s="37">
        <f>IF(Table412[[#This Row],[MAT]]&lt;&gt;"",COUNTIF(Table3[LEVEL 5 MAT NO.],Table412[[#This Row],[MAT]]),"")</f>
        <v>0</v>
      </c>
      <c r="K434" s="36">
        <f>IFERROR(INDEX(Table3[],MATCH($E434,Table3[LEVEL 5 MAT NO.],0),2),0)</f>
        <v>0</v>
      </c>
      <c r="L434" s="36">
        <f>Table412[[#This Row],[Quantity in BOM]]*Table412[[#This Row],[Freq]]</f>
        <v>0</v>
      </c>
      <c r="M434" s="36" t="str">
        <f>IF(Table412[[#This Row],[Exist]]=1,Table412[[#This Row],[MAT]],"")</f>
        <v/>
      </c>
      <c r="N434" s="36" t="str">
        <f>IF(Table412[[#This Row],[Exist]]=1,Table412[[#This Row],[Component]],"")</f>
        <v/>
      </c>
      <c r="O434" s="36">
        <f>IFERROR(VALUE(Table412[[#This Row],[MAT]]&amp;Table412[[#This Row],[X'#]]),IF(COUNTIF(Table412[[#This Row],[MAT]],"*M"),Table412[[#This Row],[MAT]]&amp;Table412[[#This Row],[X'#]],""))</f>
        <v>7565023</v>
      </c>
    </row>
    <row r="435" spans="1:15" x14ac:dyDescent="0.25">
      <c r="A435" s="37">
        <f t="shared" si="7"/>
        <v>15</v>
      </c>
      <c r="C435" s="36" t="s">
        <v>637</v>
      </c>
      <c r="D435" s="36" t="s">
        <v>3686</v>
      </c>
      <c r="E435" s="36">
        <v>756502</v>
      </c>
      <c r="F435" s="36">
        <v>4</v>
      </c>
      <c r="G435" s="36">
        <v>410851</v>
      </c>
      <c r="H435" s="48" t="str">
        <f>IFERROR(INDEX(Table14[],MATCH($G435,Table14[SAPNo],0),3),"")</f>
        <v>PDC Dome 1308 CT31   (B)</v>
      </c>
      <c r="I435" s="37">
        <v>21</v>
      </c>
      <c r="J435" s="37">
        <f>IF(Table412[[#This Row],[MAT]]&lt;&gt;"",COUNTIF(Table3[LEVEL 5 MAT NO.],Table412[[#This Row],[MAT]]),"")</f>
        <v>0</v>
      </c>
      <c r="K435" s="36">
        <f>IFERROR(INDEX(Table3[],MATCH($E435,Table3[LEVEL 5 MAT NO.],0),2),0)</f>
        <v>0</v>
      </c>
      <c r="L435" s="36">
        <f>Table412[[#This Row],[Quantity in BOM]]*Table412[[#This Row],[Freq]]</f>
        <v>0</v>
      </c>
      <c r="M435" s="36" t="str">
        <f>IF(Table412[[#This Row],[Exist]]=1,Table412[[#This Row],[MAT]],"")</f>
        <v/>
      </c>
      <c r="N435" s="36" t="str">
        <f>IF(Table412[[#This Row],[Exist]]=1,Table412[[#This Row],[Component]],"")</f>
        <v/>
      </c>
      <c r="O435" s="36">
        <f>IFERROR(VALUE(Table412[[#This Row],[MAT]]&amp;Table412[[#This Row],[X'#]]),IF(COUNTIF(Table412[[#This Row],[MAT]],"*M"),Table412[[#This Row],[MAT]]&amp;Table412[[#This Row],[X'#]],""))</f>
        <v>7565024</v>
      </c>
    </row>
    <row r="436" spans="1:15" x14ac:dyDescent="0.25">
      <c r="A436" s="37">
        <f t="shared" si="7"/>
        <v>15</v>
      </c>
      <c r="C436" s="36" t="s">
        <v>637</v>
      </c>
      <c r="D436" s="36" t="s">
        <v>3687</v>
      </c>
      <c r="E436" s="36">
        <v>866362</v>
      </c>
      <c r="F436" s="36">
        <v>1</v>
      </c>
      <c r="G436" s="36">
        <v>729691</v>
      </c>
      <c r="H436" s="48" t="str">
        <f>IFERROR(INDEX(Table14[],MATCH($G436,Table14[SAPNo],0),3),"")</f>
        <v>Round 1613 CT82  0.018" (S)</v>
      </c>
      <c r="I436" s="37">
        <v>51</v>
      </c>
      <c r="J436" s="37">
        <f>IF(Table412[[#This Row],[MAT]]&lt;&gt;"",COUNTIF(Table3[LEVEL 5 MAT NO.],Table412[[#This Row],[MAT]]),"")</f>
        <v>0</v>
      </c>
      <c r="K436" s="36">
        <f>IFERROR(INDEX(Table3[],MATCH($E436,Table3[LEVEL 5 MAT NO.],0),2),0)</f>
        <v>0</v>
      </c>
      <c r="L436" s="36">
        <f>Table412[[#This Row],[Quantity in BOM]]*Table412[[#This Row],[Freq]]</f>
        <v>0</v>
      </c>
      <c r="M436" s="36" t="str">
        <f>IF(Table412[[#This Row],[Exist]]=1,Table412[[#This Row],[MAT]],"")</f>
        <v/>
      </c>
      <c r="N436" s="36" t="str">
        <f>IF(Table412[[#This Row],[Exist]]=1,Table412[[#This Row],[Component]],"")</f>
        <v/>
      </c>
      <c r="O436" s="36">
        <f>IFERROR(VALUE(Table412[[#This Row],[MAT]]&amp;Table412[[#This Row],[X'#]]),IF(COUNTIF(Table412[[#This Row],[MAT]],"*M"),Table412[[#This Row],[MAT]]&amp;Table412[[#This Row],[X'#]],""))</f>
        <v>8663621</v>
      </c>
    </row>
    <row r="437" spans="1:15" x14ac:dyDescent="0.25">
      <c r="A437" s="37">
        <f t="shared" si="7"/>
        <v>15</v>
      </c>
      <c r="C437" s="36" t="s">
        <v>637</v>
      </c>
      <c r="D437" s="36" t="s">
        <v>3687</v>
      </c>
      <c r="E437" s="36">
        <v>866362</v>
      </c>
      <c r="F437" s="36">
        <v>2</v>
      </c>
      <c r="G437" s="36">
        <v>729689</v>
      </c>
      <c r="H437" s="48" t="str">
        <f>IFERROR(INDEX(Table14[],MATCH($G437,Table14[SAPNo],0),3),"")</f>
        <v>Round 1313 CT82  0.018" (S)</v>
      </c>
      <c r="I437" s="37">
        <v>14</v>
      </c>
      <c r="J437" s="37">
        <f>IF(Table412[[#This Row],[MAT]]&lt;&gt;"",COUNTIF(Table3[LEVEL 5 MAT NO.],Table412[[#This Row],[MAT]]),"")</f>
        <v>0</v>
      </c>
      <c r="K437" s="36">
        <f>IFERROR(INDEX(Table3[],MATCH($E437,Table3[LEVEL 5 MAT NO.],0),2),0)</f>
        <v>0</v>
      </c>
      <c r="L437" s="36">
        <f>Table412[[#This Row],[Quantity in BOM]]*Table412[[#This Row],[Freq]]</f>
        <v>0</v>
      </c>
      <c r="M437" s="36" t="str">
        <f>IF(Table412[[#This Row],[Exist]]=1,Table412[[#This Row],[MAT]],"")</f>
        <v/>
      </c>
      <c r="N437" s="36" t="str">
        <f>IF(Table412[[#This Row],[Exist]]=1,Table412[[#This Row],[Component]],"")</f>
        <v/>
      </c>
      <c r="O437" s="36">
        <f>IFERROR(VALUE(Table412[[#This Row],[MAT]]&amp;Table412[[#This Row],[X'#]]),IF(COUNTIF(Table412[[#This Row],[MAT]],"*M"),Table412[[#This Row],[MAT]]&amp;Table412[[#This Row],[X'#]],""))</f>
        <v>8663622</v>
      </c>
    </row>
    <row r="438" spans="1:15" x14ac:dyDescent="0.25">
      <c r="A438" s="37">
        <f t="shared" si="7"/>
        <v>15</v>
      </c>
      <c r="C438" s="36" t="s">
        <v>637</v>
      </c>
      <c r="D438" s="36" t="s">
        <v>3687</v>
      </c>
      <c r="E438" s="36">
        <v>866362</v>
      </c>
      <c r="F438" s="36">
        <v>3</v>
      </c>
      <c r="G438" s="36">
        <v>418525</v>
      </c>
      <c r="H438" s="48" t="str">
        <f>IFERROR(INDEX(Table14[],MATCH($G438,Table14[SAPNo],0),3),"")</f>
        <v>Drop In 1308 CT31   (B)</v>
      </c>
      <c r="I438" s="37">
        <v>10</v>
      </c>
      <c r="J438" s="37">
        <f>IF(Table412[[#This Row],[MAT]]&lt;&gt;"",COUNTIF(Table3[LEVEL 5 MAT NO.],Table412[[#This Row],[MAT]]),"")</f>
        <v>0</v>
      </c>
      <c r="K438" s="36">
        <f>IFERROR(INDEX(Table3[],MATCH($E438,Table3[LEVEL 5 MAT NO.],0),2),0)</f>
        <v>0</v>
      </c>
      <c r="L438" s="36">
        <f>Table412[[#This Row],[Quantity in BOM]]*Table412[[#This Row],[Freq]]</f>
        <v>0</v>
      </c>
      <c r="M438" s="36" t="str">
        <f>IF(Table412[[#This Row],[Exist]]=1,Table412[[#This Row],[MAT]],"")</f>
        <v/>
      </c>
      <c r="N438" s="36" t="str">
        <f>IF(Table412[[#This Row],[Exist]]=1,Table412[[#This Row],[Component]],"")</f>
        <v/>
      </c>
      <c r="O438" s="36">
        <f>IFERROR(VALUE(Table412[[#This Row],[MAT]]&amp;Table412[[#This Row],[X'#]]),IF(COUNTIF(Table412[[#This Row],[MAT]],"*M"),Table412[[#This Row],[MAT]]&amp;Table412[[#This Row],[X'#]],""))</f>
        <v>8663623</v>
      </c>
    </row>
    <row r="439" spans="1:15" x14ac:dyDescent="0.25">
      <c r="A439" s="37">
        <f t="shared" si="7"/>
        <v>15</v>
      </c>
      <c r="C439" s="36" t="s">
        <v>637</v>
      </c>
      <c r="D439" s="36" t="s">
        <v>3687</v>
      </c>
      <c r="E439" s="36">
        <v>866362</v>
      </c>
      <c r="F439" s="36">
        <v>4</v>
      </c>
      <c r="G439" s="36">
        <v>871781</v>
      </c>
      <c r="H439" s="48" t="str">
        <f>IFERROR(INDEX(Table14[],MATCH($G439,Table14[SAPNo],0),3),"")</f>
        <v>Round 1313 CT200  0.018" (B)</v>
      </c>
      <c r="I439" s="37">
        <v>4</v>
      </c>
      <c r="J439" s="37">
        <f>IF(Table412[[#This Row],[MAT]]&lt;&gt;"",COUNTIF(Table3[LEVEL 5 MAT NO.],Table412[[#This Row],[MAT]]),"")</f>
        <v>0</v>
      </c>
      <c r="K439" s="36">
        <f>IFERROR(INDEX(Table3[],MATCH($E439,Table3[LEVEL 5 MAT NO.],0),2),0)</f>
        <v>0</v>
      </c>
      <c r="L439" s="36">
        <f>Table412[[#This Row],[Quantity in BOM]]*Table412[[#This Row],[Freq]]</f>
        <v>0</v>
      </c>
      <c r="M439" s="36" t="str">
        <f>IF(Table412[[#This Row],[Exist]]=1,Table412[[#This Row],[MAT]],"")</f>
        <v/>
      </c>
      <c r="N439" s="36" t="str">
        <f>IF(Table412[[#This Row],[Exist]]=1,Table412[[#This Row],[Component]],"")</f>
        <v/>
      </c>
      <c r="O439" s="36">
        <f>IFERROR(VALUE(Table412[[#This Row],[MAT]]&amp;Table412[[#This Row],[X'#]]),IF(COUNTIF(Table412[[#This Row],[MAT]],"*M"),Table412[[#This Row],[MAT]]&amp;Table412[[#This Row],[X'#]],""))</f>
        <v>8663624</v>
      </c>
    </row>
    <row r="440" spans="1:15" x14ac:dyDescent="0.25">
      <c r="A440" s="37">
        <f t="shared" si="7"/>
        <v>15</v>
      </c>
      <c r="C440" s="36" t="s">
        <v>637</v>
      </c>
      <c r="D440" s="36" t="s">
        <v>3687</v>
      </c>
      <c r="E440" s="36">
        <v>866362</v>
      </c>
      <c r="F440" s="36">
        <v>5</v>
      </c>
      <c r="G440" s="36">
        <v>410851</v>
      </c>
      <c r="H440" s="48" t="str">
        <f>IFERROR(INDEX(Table14[],MATCH($G440,Table14[SAPNo],0),3),"")</f>
        <v>PDC Dome 1308 CT31   (B)</v>
      </c>
      <c r="I440" s="37">
        <v>21</v>
      </c>
      <c r="J440" s="37">
        <f>IF(Table412[[#This Row],[MAT]]&lt;&gt;"",COUNTIF(Table3[LEVEL 5 MAT NO.],Table412[[#This Row],[MAT]]),"")</f>
        <v>0</v>
      </c>
      <c r="K440" s="36">
        <f>IFERROR(INDEX(Table3[],MATCH($E440,Table3[LEVEL 5 MAT NO.],0),2),0)</f>
        <v>0</v>
      </c>
      <c r="L440" s="36">
        <f>Table412[[#This Row],[Quantity in BOM]]*Table412[[#This Row],[Freq]]</f>
        <v>0</v>
      </c>
      <c r="M440" s="36" t="str">
        <f>IF(Table412[[#This Row],[Exist]]=1,Table412[[#This Row],[MAT]],"")</f>
        <v/>
      </c>
      <c r="N440" s="36" t="str">
        <f>IF(Table412[[#This Row],[Exist]]=1,Table412[[#This Row],[Component]],"")</f>
        <v/>
      </c>
      <c r="O440" s="36">
        <f>IFERROR(VALUE(Table412[[#This Row],[MAT]]&amp;Table412[[#This Row],[X'#]]),IF(COUNTIF(Table412[[#This Row],[MAT]],"*M"),Table412[[#This Row],[MAT]]&amp;Table412[[#This Row],[X'#]],""))</f>
        <v>8663625</v>
      </c>
    </row>
    <row r="441" spans="1:15" x14ac:dyDescent="0.25">
      <c r="A441" s="37">
        <f t="shared" si="7"/>
        <v>15</v>
      </c>
      <c r="C441" s="36" t="s">
        <v>624</v>
      </c>
      <c r="D441" s="36" t="s">
        <v>3688</v>
      </c>
      <c r="E441" s="36">
        <v>549372</v>
      </c>
      <c r="F441" s="36">
        <v>1</v>
      </c>
      <c r="G441" s="36">
        <v>409593</v>
      </c>
      <c r="H441" s="48" t="str">
        <f>IFERROR(INDEX(Table14[],MATCH($G441,Table14[SAPNo],0),3),"")</f>
        <v>Round 1608 CT27 OBS 10C (P)</v>
      </c>
      <c r="I441" s="37">
        <v>32</v>
      </c>
      <c r="J441" s="37">
        <f>IF(Table412[[#This Row],[MAT]]&lt;&gt;"",COUNTIF(Table3[LEVEL 5 MAT NO.],Table412[[#This Row],[MAT]]),"")</f>
        <v>0</v>
      </c>
      <c r="K441" s="36">
        <f>IFERROR(INDEX(Table3[],MATCH($E441,Table3[LEVEL 5 MAT NO.],0),2),0)</f>
        <v>0</v>
      </c>
      <c r="L441" s="36">
        <f>Table412[[#This Row],[Quantity in BOM]]*Table412[[#This Row],[Freq]]</f>
        <v>0</v>
      </c>
      <c r="M441" s="36" t="str">
        <f>IF(Table412[[#This Row],[Exist]]=1,Table412[[#This Row],[MAT]],"")</f>
        <v/>
      </c>
      <c r="N441" s="36" t="str">
        <f>IF(Table412[[#This Row],[Exist]]=1,Table412[[#This Row],[Component]],"")</f>
        <v/>
      </c>
      <c r="O441" s="36">
        <f>IFERROR(VALUE(Table412[[#This Row],[MAT]]&amp;Table412[[#This Row],[X'#]]),IF(COUNTIF(Table412[[#This Row],[MAT]],"*M"),Table412[[#This Row],[MAT]]&amp;Table412[[#This Row],[X'#]],""))</f>
        <v>5493721</v>
      </c>
    </row>
    <row r="442" spans="1:15" x14ac:dyDescent="0.25">
      <c r="A442" s="37">
        <f t="shared" si="7"/>
        <v>15</v>
      </c>
      <c r="C442" s="36" t="s">
        <v>624</v>
      </c>
      <c r="D442" s="36" t="s">
        <v>3688</v>
      </c>
      <c r="E442" s="36">
        <v>549372</v>
      </c>
      <c r="F442" s="36">
        <v>2</v>
      </c>
      <c r="G442" s="36">
        <v>397470</v>
      </c>
      <c r="H442" s="48" t="str">
        <f>IFERROR(INDEX(Table14[],MATCH($G442,Table14[SAPNo],0),3),"")</f>
        <v>Round 1608  ELITE RC 10C (O)</v>
      </c>
      <c r="I442" s="37">
        <v>6</v>
      </c>
      <c r="J442" s="37">
        <f>IF(Table412[[#This Row],[MAT]]&lt;&gt;"",COUNTIF(Table3[LEVEL 5 MAT NO.],Table412[[#This Row],[MAT]]),"")</f>
        <v>0</v>
      </c>
      <c r="K442" s="36">
        <f>IFERROR(INDEX(Table3[],MATCH($E442,Table3[LEVEL 5 MAT NO.],0),2),0)</f>
        <v>0</v>
      </c>
      <c r="L442" s="36">
        <f>Table412[[#This Row],[Quantity in BOM]]*Table412[[#This Row],[Freq]]</f>
        <v>0</v>
      </c>
      <c r="M442" s="36" t="str">
        <f>IF(Table412[[#This Row],[Exist]]=1,Table412[[#This Row],[MAT]],"")</f>
        <v/>
      </c>
      <c r="N442" s="36" t="str">
        <f>IF(Table412[[#This Row],[Exist]]=1,Table412[[#This Row],[Component]],"")</f>
        <v/>
      </c>
      <c r="O442" s="36">
        <f>IFERROR(VALUE(Table412[[#This Row],[MAT]]&amp;Table412[[#This Row],[X'#]]),IF(COUNTIF(Table412[[#This Row],[MAT]],"*M"),Table412[[#This Row],[MAT]]&amp;Table412[[#This Row],[X'#]],""))</f>
        <v>5493722</v>
      </c>
    </row>
    <row r="443" spans="1:15" x14ac:dyDescent="0.25">
      <c r="A443" s="37">
        <f t="shared" si="7"/>
        <v>15</v>
      </c>
      <c r="C443" s="36" t="s">
        <v>624</v>
      </c>
      <c r="D443" s="36" t="s">
        <v>3688</v>
      </c>
      <c r="E443" s="36">
        <v>549372</v>
      </c>
      <c r="F443" s="36">
        <v>3</v>
      </c>
      <c r="G443" s="36">
        <v>418525</v>
      </c>
      <c r="H443" s="48" t="str">
        <f>IFERROR(INDEX(Table14[],MATCH($G443,Table14[SAPNo],0),3),"")</f>
        <v>Drop In 1308 CT31   (B)</v>
      </c>
      <c r="I443" s="37">
        <v>6</v>
      </c>
      <c r="J443" s="37">
        <f>IF(Table412[[#This Row],[MAT]]&lt;&gt;"",COUNTIF(Table3[LEVEL 5 MAT NO.],Table412[[#This Row],[MAT]]),"")</f>
        <v>0</v>
      </c>
      <c r="K443" s="36">
        <f>IFERROR(INDEX(Table3[],MATCH($E443,Table3[LEVEL 5 MAT NO.],0),2),0)</f>
        <v>0</v>
      </c>
      <c r="L443" s="36">
        <f>Table412[[#This Row],[Quantity in BOM]]*Table412[[#This Row],[Freq]]</f>
        <v>0</v>
      </c>
      <c r="M443" s="36" t="str">
        <f>IF(Table412[[#This Row],[Exist]]=1,Table412[[#This Row],[MAT]],"")</f>
        <v/>
      </c>
      <c r="N443" s="36" t="str">
        <f>IF(Table412[[#This Row],[Exist]]=1,Table412[[#This Row],[Component]],"")</f>
        <v/>
      </c>
      <c r="O443" s="36">
        <f>IFERROR(VALUE(Table412[[#This Row],[MAT]]&amp;Table412[[#This Row],[X'#]]),IF(COUNTIF(Table412[[#This Row],[MAT]],"*M"),Table412[[#This Row],[MAT]]&amp;Table412[[#This Row],[X'#]],""))</f>
        <v>5493723</v>
      </c>
    </row>
    <row r="444" spans="1:15" x14ac:dyDescent="0.25">
      <c r="A444" s="37">
        <f t="shared" si="7"/>
        <v>15</v>
      </c>
      <c r="C444" s="36" t="s">
        <v>316</v>
      </c>
      <c r="D444" s="36" t="s">
        <v>320</v>
      </c>
      <c r="E444" s="36">
        <v>1107565</v>
      </c>
      <c r="F444" s="36">
        <v>1</v>
      </c>
      <c r="G444" s="36">
        <v>1130198</v>
      </c>
      <c r="H444" s="48" t="str">
        <f>IFERROR(INDEX(Table14[],MATCH($G444,Table14[SAPNo],0),3),"")</f>
        <v>Round 1613 CT182  0.018" (S)</v>
      </c>
      <c r="I444" s="37">
        <v>47</v>
      </c>
      <c r="J444" s="37">
        <f>IF(Table412[[#This Row],[MAT]]&lt;&gt;"",COUNTIF(Table3[LEVEL 5 MAT NO.],Table412[[#This Row],[MAT]]),"")</f>
        <v>0</v>
      </c>
      <c r="K444" s="36">
        <f>IFERROR(INDEX(Table3[],MATCH($E444,Table3[LEVEL 5 MAT NO.],0),2),0)</f>
        <v>0</v>
      </c>
      <c r="L444" s="36">
        <f>Table412[[#This Row],[Quantity in BOM]]*Table412[[#This Row],[Freq]]</f>
        <v>0</v>
      </c>
      <c r="M444" s="36" t="str">
        <f>IF(Table412[[#This Row],[Exist]]=1,Table412[[#This Row],[MAT]],"")</f>
        <v/>
      </c>
      <c r="N444" s="36" t="str">
        <f>IF(Table412[[#This Row],[Exist]]=1,Table412[[#This Row],[Component]],"")</f>
        <v/>
      </c>
      <c r="O444" s="36">
        <f>IFERROR(VALUE(Table412[[#This Row],[MAT]]&amp;Table412[[#This Row],[X'#]]),IF(COUNTIF(Table412[[#This Row],[MAT]],"*M"),Table412[[#This Row],[MAT]]&amp;Table412[[#This Row],[X'#]],""))</f>
        <v>11075651</v>
      </c>
    </row>
    <row r="445" spans="1:15" x14ac:dyDescent="0.25">
      <c r="A445" s="37">
        <f t="shared" si="7"/>
        <v>15</v>
      </c>
      <c r="C445" s="36" t="s">
        <v>316</v>
      </c>
      <c r="D445" s="36" t="s">
        <v>320</v>
      </c>
      <c r="E445" s="36">
        <v>1107565</v>
      </c>
      <c r="F445" s="36">
        <v>2</v>
      </c>
      <c r="G445" s="36">
        <v>410851</v>
      </c>
      <c r="H445" s="48" t="str">
        <f>IFERROR(INDEX(Table14[],MATCH($G445,Table14[SAPNo],0),3),"")</f>
        <v>PDC Dome 1308 CT31   (B)</v>
      </c>
      <c r="I445" s="37">
        <v>42</v>
      </c>
      <c r="J445" s="37">
        <f>IF(Table412[[#This Row],[MAT]]&lt;&gt;"",COUNTIF(Table3[LEVEL 5 MAT NO.],Table412[[#This Row],[MAT]]),"")</f>
        <v>0</v>
      </c>
      <c r="K445" s="36">
        <f>IFERROR(INDEX(Table3[],MATCH($E445,Table3[LEVEL 5 MAT NO.],0),2),0)</f>
        <v>0</v>
      </c>
      <c r="L445" s="36">
        <f>Table412[[#This Row],[Quantity in BOM]]*Table412[[#This Row],[Freq]]</f>
        <v>0</v>
      </c>
      <c r="M445" s="36" t="str">
        <f>IF(Table412[[#This Row],[Exist]]=1,Table412[[#This Row],[MAT]],"")</f>
        <v/>
      </c>
      <c r="N445" s="36" t="str">
        <f>IF(Table412[[#This Row],[Exist]]=1,Table412[[#This Row],[Component]],"")</f>
        <v/>
      </c>
      <c r="O445" s="36">
        <f>IFERROR(VALUE(Table412[[#This Row],[MAT]]&amp;Table412[[#This Row],[X'#]]),IF(COUNTIF(Table412[[#This Row],[MAT]],"*M"),Table412[[#This Row],[MAT]]&amp;Table412[[#This Row],[X'#]],""))</f>
        <v>11075652</v>
      </c>
    </row>
    <row r="446" spans="1:15" x14ac:dyDescent="0.25">
      <c r="A446" s="37">
        <f t="shared" si="7"/>
        <v>15</v>
      </c>
      <c r="C446" s="36" t="s">
        <v>316</v>
      </c>
      <c r="D446" s="36" t="s">
        <v>320</v>
      </c>
      <c r="E446" s="36">
        <v>1107565</v>
      </c>
      <c r="F446" s="36">
        <v>3</v>
      </c>
      <c r="G446" s="36">
        <v>971088</v>
      </c>
      <c r="H446" s="48" t="str">
        <f>IFERROR(INDEX(Table14[],MATCH($G446,Table14[SAPNo],0),3),"")</f>
        <v>Short Bullet 13 CT217 SBL 0.018" (B)</v>
      </c>
      <c r="I446" s="37">
        <v>39</v>
      </c>
      <c r="J446" s="37">
        <f>IF(Table412[[#This Row],[MAT]]&lt;&gt;"",COUNTIF(Table3[LEVEL 5 MAT NO.],Table412[[#This Row],[MAT]]),"")</f>
        <v>0</v>
      </c>
      <c r="K446" s="36">
        <f>IFERROR(INDEX(Table3[],MATCH($E446,Table3[LEVEL 5 MAT NO.],0),2),0)</f>
        <v>0</v>
      </c>
      <c r="L446" s="36">
        <f>Table412[[#This Row],[Quantity in BOM]]*Table412[[#This Row],[Freq]]</f>
        <v>0</v>
      </c>
      <c r="M446" s="36" t="str">
        <f>IF(Table412[[#This Row],[Exist]]=1,Table412[[#This Row],[MAT]],"")</f>
        <v/>
      </c>
      <c r="N446" s="36" t="str">
        <f>IF(Table412[[#This Row],[Exist]]=1,Table412[[#This Row],[Component]],"")</f>
        <v/>
      </c>
      <c r="O446" s="36">
        <f>IFERROR(VALUE(Table412[[#This Row],[MAT]]&amp;Table412[[#This Row],[X'#]]),IF(COUNTIF(Table412[[#This Row],[MAT]],"*M"),Table412[[#This Row],[MAT]]&amp;Table412[[#This Row],[X'#]],""))</f>
        <v>11075653</v>
      </c>
    </row>
    <row r="447" spans="1:15" x14ac:dyDescent="0.25">
      <c r="A447" s="37">
        <f t="shared" si="7"/>
        <v>15</v>
      </c>
      <c r="C447" s="36" t="s">
        <v>316</v>
      </c>
      <c r="D447" s="36" t="s">
        <v>320</v>
      </c>
      <c r="E447" s="36">
        <v>1107565</v>
      </c>
      <c r="F447" s="36">
        <v>4</v>
      </c>
      <c r="G447" s="36">
        <v>179733</v>
      </c>
      <c r="H447" s="48" t="str">
        <f>IFERROR(INDEX(Table14[],MATCH($G447,Table14[SAPNo],0),3),"")</f>
        <v>Short IA 13    (C)</v>
      </c>
      <c r="I447" s="37">
        <v>23</v>
      </c>
      <c r="J447" s="37">
        <f>IF(Table412[[#This Row],[MAT]]&lt;&gt;"",COUNTIF(Table3[LEVEL 5 MAT NO.],Table412[[#This Row],[MAT]]),"")</f>
        <v>0</v>
      </c>
      <c r="K447" s="36">
        <f>IFERROR(INDEX(Table3[],MATCH($E447,Table3[LEVEL 5 MAT NO.],0),2),0)</f>
        <v>0</v>
      </c>
      <c r="L447" s="36">
        <f>Table412[[#This Row],[Quantity in BOM]]*Table412[[#This Row],[Freq]]</f>
        <v>0</v>
      </c>
      <c r="M447" s="36" t="str">
        <f>IF(Table412[[#This Row],[Exist]]=1,Table412[[#This Row],[MAT]],"")</f>
        <v/>
      </c>
      <c r="N447" s="36" t="str">
        <f>IF(Table412[[#This Row],[Exist]]=1,Table412[[#This Row],[Component]],"")</f>
        <v/>
      </c>
      <c r="O447" s="36">
        <f>IFERROR(VALUE(Table412[[#This Row],[MAT]]&amp;Table412[[#This Row],[X'#]]),IF(COUNTIF(Table412[[#This Row],[MAT]],"*M"),Table412[[#This Row],[MAT]]&amp;Table412[[#This Row],[X'#]],""))</f>
        <v>11075654</v>
      </c>
    </row>
    <row r="448" spans="1:15" x14ac:dyDescent="0.25">
      <c r="A448" s="37">
        <f t="shared" si="7"/>
        <v>15</v>
      </c>
      <c r="C448" s="36" t="s">
        <v>316</v>
      </c>
      <c r="D448" s="36" t="s">
        <v>320</v>
      </c>
      <c r="E448" s="36">
        <v>1107565</v>
      </c>
      <c r="F448" s="36">
        <v>5</v>
      </c>
      <c r="G448" s="36">
        <v>418525</v>
      </c>
      <c r="H448" s="48" t="str">
        <f>IFERROR(INDEX(Table14[],MATCH($G448,Table14[SAPNo],0),3),"")</f>
        <v>Drop In 1308 CT31   (B)</v>
      </c>
      <c r="I448" s="37">
        <v>14</v>
      </c>
      <c r="J448" s="37">
        <f>IF(Table412[[#This Row],[MAT]]&lt;&gt;"",COUNTIF(Table3[LEVEL 5 MAT NO.],Table412[[#This Row],[MAT]]),"")</f>
        <v>0</v>
      </c>
      <c r="K448" s="36">
        <f>IFERROR(INDEX(Table3[],MATCH($E448,Table3[LEVEL 5 MAT NO.],0),2),0)</f>
        <v>0</v>
      </c>
      <c r="L448" s="36">
        <f>Table412[[#This Row],[Quantity in BOM]]*Table412[[#This Row],[Freq]]</f>
        <v>0</v>
      </c>
      <c r="M448" s="36" t="str">
        <f>IF(Table412[[#This Row],[Exist]]=1,Table412[[#This Row],[MAT]],"")</f>
        <v/>
      </c>
      <c r="N448" s="36" t="str">
        <f>IF(Table412[[#This Row],[Exist]]=1,Table412[[#This Row],[Component]],"")</f>
        <v/>
      </c>
      <c r="O448" s="36">
        <f>IFERROR(VALUE(Table412[[#This Row],[MAT]]&amp;Table412[[#This Row],[X'#]]),IF(COUNTIF(Table412[[#This Row],[MAT]],"*M"),Table412[[#This Row],[MAT]]&amp;Table412[[#This Row],[X'#]],""))</f>
        <v>11075655</v>
      </c>
    </row>
    <row r="449" spans="1:15" x14ac:dyDescent="0.25">
      <c r="A449" s="37">
        <f t="shared" si="7"/>
        <v>15</v>
      </c>
      <c r="C449" s="36" t="s">
        <v>316</v>
      </c>
      <c r="D449" s="36" t="s">
        <v>320</v>
      </c>
      <c r="E449" s="36">
        <v>1107565</v>
      </c>
      <c r="F449" s="36">
        <v>6</v>
      </c>
      <c r="G449" s="36">
        <v>1130204</v>
      </c>
      <c r="H449" s="48" t="str">
        <f>IFERROR(INDEX(Table14[],MATCH($G449,Table14[SAPNo],0),3),"")</f>
        <v>Short Bullet 16 CT182 SBL 0.018" (S)</v>
      </c>
      <c r="I449" s="37">
        <v>13</v>
      </c>
      <c r="J449" s="37">
        <f>IF(Table412[[#This Row],[MAT]]&lt;&gt;"",COUNTIF(Table3[LEVEL 5 MAT NO.],Table412[[#This Row],[MAT]]),"")</f>
        <v>0</v>
      </c>
      <c r="K449" s="36">
        <f>IFERROR(INDEX(Table3[],MATCH($E449,Table3[LEVEL 5 MAT NO.],0),2),0)</f>
        <v>0</v>
      </c>
      <c r="L449" s="36">
        <f>Table412[[#This Row],[Quantity in BOM]]*Table412[[#This Row],[Freq]]</f>
        <v>0</v>
      </c>
      <c r="M449" s="36" t="str">
        <f>IF(Table412[[#This Row],[Exist]]=1,Table412[[#This Row],[MAT]],"")</f>
        <v/>
      </c>
      <c r="N449" s="36" t="str">
        <f>IF(Table412[[#This Row],[Exist]]=1,Table412[[#This Row],[Component]],"")</f>
        <v/>
      </c>
      <c r="O449" s="36">
        <f>IFERROR(VALUE(Table412[[#This Row],[MAT]]&amp;Table412[[#This Row],[X'#]]),IF(COUNTIF(Table412[[#This Row],[MAT]],"*M"),Table412[[#This Row],[MAT]]&amp;Table412[[#This Row],[X'#]],""))</f>
        <v>11075656</v>
      </c>
    </row>
    <row r="450" spans="1:15" x14ac:dyDescent="0.25">
      <c r="A450" s="37">
        <f t="shared" si="7"/>
        <v>15</v>
      </c>
      <c r="C450" s="36" t="s">
        <v>316</v>
      </c>
      <c r="D450" s="36" t="s">
        <v>320</v>
      </c>
      <c r="E450" s="36">
        <v>1107565</v>
      </c>
      <c r="F450" s="36">
        <v>7</v>
      </c>
      <c r="G450" s="36">
        <v>761246</v>
      </c>
      <c r="H450" s="48" t="str">
        <f>IFERROR(INDEX(Table14[],MATCH($G450,Table14[SAPNo],0),3),"")</f>
        <v>Long Bullet 16 CT80 LBL 0.018" (B)</v>
      </c>
      <c r="I450" s="37">
        <v>10</v>
      </c>
      <c r="J450" s="37">
        <f>IF(Table412[[#This Row],[MAT]]&lt;&gt;"",COUNTIF(Table3[LEVEL 5 MAT NO.],Table412[[#This Row],[MAT]]),"")</f>
        <v>0</v>
      </c>
      <c r="K450" s="36">
        <f>IFERROR(INDEX(Table3[],MATCH($E450,Table3[LEVEL 5 MAT NO.],0),2),0)</f>
        <v>0</v>
      </c>
      <c r="L450" s="36">
        <f>Table412[[#This Row],[Quantity in BOM]]*Table412[[#This Row],[Freq]]</f>
        <v>0</v>
      </c>
      <c r="M450" s="36" t="str">
        <f>IF(Table412[[#This Row],[Exist]]=1,Table412[[#This Row],[MAT]],"")</f>
        <v/>
      </c>
      <c r="N450" s="36" t="str">
        <f>IF(Table412[[#This Row],[Exist]]=1,Table412[[#This Row],[Component]],"")</f>
        <v/>
      </c>
      <c r="O450" s="36">
        <f>IFERROR(VALUE(Table412[[#This Row],[MAT]]&amp;Table412[[#This Row],[X'#]]),IF(COUNTIF(Table412[[#This Row],[MAT]],"*M"),Table412[[#This Row],[MAT]]&amp;Table412[[#This Row],[X'#]],""))</f>
        <v>11075657</v>
      </c>
    </row>
    <row r="451" spans="1:15" x14ac:dyDescent="0.25">
      <c r="A451" s="37">
        <f t="shared" ref="A451:A514" si="8">A450+K450</f>
        <v>15</v>
      </c>
      <c r="C451" s="36" t="s">
        <v>319</v>
      </c>
      <c r="D451" s="36" t="s">
        <v>320</v>
      </c>
      <c r="E451" s="36">
        <v>1137355</v>
      </c>
      <c r="F451" s="36">
        <v>1</v>
      </c>
      <c r="G451" s="36">
        <v>729691</v>
      </c>
      <c r="H451" s="48" t="str">
        <f>IFERROR(INDEX(Table14[],MATCH($G451,Table14[SAPNo],0),3),"")</f>
        <v>Round 1613 CT82  0.018" (S)</v>
      </c>
      <c r="I451" s="37">
        <v>80</v>
      </c>
      <c r="J451" s="37">
        <f>IF(Table412[[#This Row],[MAT]]&lt;&gt;"",COUNTIF(Table3[LEVEL 5 MAT NO.],Table412[[#This Row],[MAT]]),"")</f>
        <v>0</v>
      </c>
      <c r="K451" s="36">
        <f>IFERROR(INDEX(Table3[],MATCH($E451,Table3[LEVEL 5 MAT NO.],0),2),0)</f>
        <v>0</v>
      </c>
      <c r="L451" s="36">
        <f>Table412[[#This Row],[Quantity in BOM]]*Table412[[#This Row],[Freq]]</f>
        <v>0</v>
      </c>
      <c r="M451" s="36" t="str">
        <f>IF(Table412[[#This Row],[Exist]]=1,Table412[[#This Row],[MAT]],"")</f>
        <v/>
      </c>
      <c r="N451" s="36" t="str">
        <f>IF(Table412[[#This Row],[Exist]]=1,Table412[[#This Row],[Component]],"")</f>
        <v/>
      </c>
      <c r="O451" s="36">
        <f>IFERROR(VALUE(Table412[[#This Row],[MAT]]&amp;Table412[[#This Row],[X'#]]),IF(COUNTIF(Table412[[#This Row],[MAT]],"*M"),Table412[[#This Row],[MAT]]&amp;Table412[[#This Row],[X'#]],""))</f>
        <v>11373551</v>
      </c>
    </row>
    <row r="452" spans="1:15" x14ac:dyDescent="0.25">
      <c r="A452" s="37">
        <f t="shared" si="8"/>
        <v>15</v>
      </c>
      <c r="C452" s="36" t="s">
        <v>319</v>
      </c>
      <c r="D452" s="36" t="s">
        <v>320</v>
      </c>
      <c r="E452" s="36">
        <v>1137355</v>
      </c>
      <c r="F452" s="36">
        <v>2</v>
      </c>
      <c r="G452" s="36">
        <v>179734</v>
      </c>
      <c r="H452" s="48" t="str">
        <f>IFERROR(INDEX(Table14[],MATCH($G452,Table14[SAPNo],0),3),"")</f>
        <v>Long IPA 13    (C)</v>
      </c>
      <c r="I452" s="37">
        <v>35</v>
      </c>
      <c r="J452" s="37">
        <f>IF(Table412[[#This Row],[MAT]]&lt;&gt;"",COUNTIF(Table3[LEVEL 5 MAT NO.],Table412[[#This Row],[MAT]]),"")</f>
        <v>0</v>
      </c>
      <c r="K452" s="36">
        <f>IFERROR(INDEX(Table3[],MATCH($E452,Table3[LEVEL 5 MAT NO.],0),2),0)</f>
        <v>0</v>
      </c>
      <c r="L452" s="36">
        <f>Table412[[#This Row],[Quantity in BOM]]*Table412[[#This Row],[Freq]]</f>
        <v>0</v>
      </c>
      <c r="M452" s="36" t="str">
        <f>IF(Table412[[#This Row],[Exist]]=1,Table412[[#This Row],[MAT]],"")</f>
        <v/>
      </c>
      <c r="N452" s="36" t="str">
        <f>IF(Table412[[#This Row],[Exist]]=1,Table412[[#This Row],[Component]],"")</f>
        <v/>
      </c>
      <c r="O452" s="36">
        <f>IFERROR(VALUE(Table412[[#This Row],[MAT]]&amp;Table412[[#This Row],[X'#]]),IF(COUNTIF(Table412[[#This Row],[MAT]],"*M"),Table412[[#This Row],[MAT]]&amp;Table412[[#This Row],[X'#]],""))</f>
        <v>11373552</v>
      </c>
    </row>
    <row r="453" spans="1:15" x14ac:dyDescent="0.25">
      <c r="A453" s="37">
        <f t="shared" si="8"/>
        <v>15</v>
      </c>
      <c r="C453" s="36" t="s">
        <v>319</v>
      </c>
      <c r="D453" s="36" t="s">
        <v>320</v>
      </c>
      <c r="E453" s="36">
        <v>1137355</v>
      </c>
      <c r="F453" s="36">
        <v>3</v>
      </c>
      <c r="G453" s="36">
        <v>410851</v>
      </c>
      <c r="H453" s="48" t="str">
        <f>IFERROR(INDEX(Table14[],MATCH($G453,Table14[SAPNo],0),3),"")</f>
        <v>PDC Dome 1308 CT31   (B)</v>
      </c>
      <c r="I453" s="37">
        <v>28</v>
      </c>
      <c r="J453" s="37">
        <f>IF(Table412[[#This Row],[MAT]]&lt;&gt;"",COUNTIF(Table3[LEVEL 5 MAT NO.],Table412[[#This Row],[MAT]]),"")</f>
        <v>0</v>
      </c>
      <c r="K453" s="36">
        <f>IFERROR(INDEX(Table3[],MATCH($E453,Table3[LEVEL 5 MAT NO.],0),2),0)</f>
        <v>0</v>
      </c>
      <c r="L453" s="36">
        <f>Table412[[#This Row],[Quantity in BOM]]*Table412[[#This Row],[Freq]]</f>
        <v>0</v>
      </c>
      <c r="M453" s="36" t="str">
        <f>IF(Table412[[#This Row],[Exist]]=1,Table412[[#This Row],[MAT]],"")</f>
        <v/>
      </c>
      <c r="N453" s="36" t="str">
        <f>IF(Table412[[#This Row],[Exist]]=1,Table412[[#This Row],[Component]],"")</f>
        <v/>
      </c>
      <c r="O453" s="36">
        <f>IFERROR(VALUE(Table412[[#This Row],[MAT]]&amp;Table412[[#This Row],[X'#]]),IF(COUNTIF(Table412[[#This Row],[MAT]],"*M"),Table412[[#This Row],[MAT]]&amp;Table412[[#This Row],[X'#]],""))</f>
        <v>11373553</v>
      </c>
    </row>
    <row r="454" spans="1:15" x14ac:dyDescent="0.25">
      <c r="A454" s="37">
        <f t="shared" si="8"/>
        <v>15</v>
      </c>
      <c r="C454" s="36" t="s">
        <v>319</v>
      </c>
      <c r="D454" s="36" t="s">
        <v>320</v>
      </c>
      <c r="E454" s="36">
        <v>1137355</v>
      </c>
      <c r="F454" s="36">
        <v>4</v>
      </c>
      <c r="G454" s="36">
        <v>853551</v>
      </c>
      <c r="H454" s="48" t="str">
        <f>IFERROR(INDEX(Table14[],MATCH($G454,Table14[SAPNo],0),3),"")</f>
        <v>Round 1613 CT125 GEDB 0.018" (S)</v>
      </c>
      <c r="I454" s="37">
        <v>27</v>
      </c>
      <c r="J454" s="37">
        <f>IF(Table412[[#This Row],[MAT]]&lt;&gt;"",COUNTIF(Table3[LEVEL 5 MAT NO.],Table412[[#This Row],[MAT]]),"")</f>
        <v>0</v>
      </c>
      <c r="K454" s="36">
        <f>IFERROR(INDEX(Table3[],MATCH($E454,Table3[LEVEL 5 MAT NO.],0),2),0)</f>
        <v>0</v>
      </c>
      <c r="L454" s="36">
        <f>Table412[[#This Row],[Quantity in BOM]]*Table412[[#This Row],[Freq]]</f>
        <v>0</v>
      </c>
      <c r="M454" s="36" t="str">
        <f>IF(Table412[[#This Row],[Exist]]=1,Table412[[#This Row],[MAT]],"")</f>
        <v/>
      </c>
      <c r="N454" s="36" t="str">
        <f>IF(Table412[[#This Row],[Exist]]=1,Table412[[#This Row],[Component]],"")</f>
        <v/>
      </c>
      <c r="O454" s="36">
        <f>IFERROR(VALUE(Table412[[#This Row],[MAT]]&amp;Table412[[#This Row],[X'#]]),IF(COUNTIF(Table412[[#This Row],[MAT]],"*M"),Table412[[#This Row],[MAT]]&amp;Table412[[#This Row],[X'#]],""))</f>
        <v>11373554</v>
      </c>
    </row>
    <row r="455" spans="1:15" x14ac:dyDescent="0.25">
      <c r="A455" s="37">
        <f t="shared" si="8"/>
        <v>15</v>
      </c>
      <c r="C455" s="36" t="s">
        <v>319</v>
      </c>
      <c r="D455" s="36" t="s">
        <v>320</v>
      </c>
      <c r="E455" s="36">
        <v>1137355</v>
      </c>
      <c r="F455" s="36">
        <v>5</v>
      </c>
      <c r="G455" s="36">
        <v>418525</v>
      </c>
      <c r="H455" s="48" t="str">
        <f>IFERROR(INDEX(Table14[],MATCH($G455,Table14[SAPNo],0),3),"")</f>
        <v>Drop In 1308 CT31   (B)</v>
      </c>
      <c r="I455" s="37">
        <v>14</v>
      </c>
      <c r="J455" s="37">
        <f>IF(Table412[[#This Row],[MAT]]&lt;&gt;"",COUNTIF(Table3[LEVEL 5 MAT NO.],Table412[[#This Row],[MAT]]),"")</f>
        <v>0</v>
      </c>
      <c r="K455" s="36">
        <f>IFERROR(INDEX(Table3[],MATCH($E455,Table3[LEVEL 5 MAT NO.],0),2),0)</f>
        <v>0</v>
      </c>
      <c r="L455" s="36">
        <f>Table412[[#This Row],[Quantity in BOM]]*Table412[[#This Row],[Freq]]</f>
        <v>0</v>
      </c>
      <c r="M455" s="36" t="str">
        <f>IF(Table412[[#This Row],[Exist]]=1,Table412[[#This Row],[MAT]],"")</f>
        <v/>
      </c>
      <c r="N455" s="36" t="str">
        <f>IF(Table412[[#This Row],[Exist]]=1,Table412[[#This Row],[Component]],"")</f>
        <v/>
      </c>
      <c r="O455" s="36">
        <f>IFERROR(VALUE(Table412[[#This Row],[MAT]]&amp;Table412[[#This Row],[X'#]]),IF(COUNTIF(Table412[[#This Row],[MAT]],"*M"),Table412[[#This Row],[MAT]]&amp;Table412[[#This Row],[X'#]],""))</f>
        <v>11373555</v>
      </c>
    </row>
    <row r="456" spans="1:15" x14ac:dyDescent="0.25">
      <c r="A456" s="37">
        <f t="shared" si="8"/>
        <v>15</v>
      </c>
      <c r="C456" s="38" t="s">
        <v>313</v>
      </c>
      <c r="D456" s="36" t="s">
        <v>272</v>
      </c>
      <c r="E456" s="36">
        <v>1092981</v>
      </c>
      <c r="F456" s="36">
        <v>2</v>
      </c>
      <c r="G456" s="36">
        <v>647435</v>
      </c>
      <c r="H456" s="48" t="str">
        <f>IFERROR(INDEX(Table14[],MATCH($G456,Table14[SAPNo],0),3),"")</f>
        <v>Round 1608 CT200  0.018" (B)</v>
      </c>
      <c r="I456" s="37">
        <v>23</v>
      </c>
      <c r="J456" s="37">
        <f>IF(Table412[[#This Row],[MAT]]&lt;&gt;"",COUNTIF(Table3[LEVEL 5 MAT NO.],Table412[[#This Row],[MAT]]),"")</f>
        <v>1</v>
      </c>
      <c r="K456" s="36">
        <f>IFERROR(INDEX(Table3[],MATCH($E456,Table3[LEVEL 5 MAT NO.],0),2),0)</f>
        <v>1</v>
      </c>
      <c r="L456" s="36">
        <f>Table412[[#This Row],[Quantity in BOM]]*Table412[[#This Row],[Freq]]</f>
        <v>23</v>
      </c>
      <c r="M456" s="36">
        <f>IF(Table412[[#This Row],[Exist]]=1,Table412[[#This Row],[MAT]],"")</f>
        <v>1092981</v>
      </c>
      <c r="N456" s="36">
        <f>IF(Table412[[#This Row],[Exist]]=1,Table412[[#This Row],[Component]],"")</f>
        <v>647435</v>
      </c>
      <c r="O456" s="36">
        <f>IFERROR(VALUE(Table412[[#This Row],[MAT]]&amp;Table412[[#This Row],[X'#]]),IF(COUNTIF(Table412[[#This Row],[MAT]],"*M"),Table412[[#This Row],[MAT]]&amp;Table412[[#This Row],[X'#]],""))</f>
        <v>10929812</v>
      </c>
    </row>
    <row r="457" spans="1:15" x14ac:dyDescent="0.25">
      <c r="A457" s="37">
        <f t="shared" si="8"/>
        <v>16</v>
      </c>
      <c r="C457" s="38" t="s">
        <v>313</v>
      </c>
      <c r="D457" s="36" t="s">
        <v>272</v>
      </c>
      <c r="E457" s="36">
        <v>1092981</v>
      </c>
      <c r="F457" s="36">
        <v>3</v>
      </c>
      <c r="G457" s="36">
        <v>418525</v>
      </c>
      <c r="H457" s="48" t="str">
        <f>IFERROR(INDEX(Table14[],MATCH($G457,Table14[SAPNo],0),3),"")</f>
        <v>Drop In 1308 CT31   (B)</v>
      </c>
      <c r="I457" s="37">
        <v>6</v>
      </c>
      <c r="J457" s="37">
        <f>IF(Table412[[#This Row],[MAT]]&lt;&gt;"",COUNTIF(Table3[LEVEL 5 MAT NO.],Table412[[#This Row],[MAT]]),"")</f>
        <v>1</v>
      </c>
      <c r="K457" s="36">
        <f>IFERROR(INDEX(Table3[],MATCH($E457,Table3[LEVEL 5 MAT NO.],0),2),0)</f>
        <v>1</v>
      </c>
      <c r="L457" s="36">
        <f>Table412[[#This Row],[Quantity in BOM]]*Table412[[#This Row],[Freq]]</f>
        <v>6</v>
      </c>
      <c r="M457" s="36">
        <f>IF(Table412[[#This Row],[Exist]]=1,Table412[[#This Row],[MAT]],"")</f>
        <v>1092981</v>
      </c>
      <c r="N457" s="36">
        <f>IF(Table412[[#This Row],[Exist]]=1,Table412[[#This Row],[Component]],"")</f>
        <v>418525</v>
      </c>
      <c r="O457" s="36">
        <f>IFERROR(VALUE(Table412[[#This Row],[MAT]]&amp;Table412[[#This Row],[X'#]]),IF(COUNTIF(Table412[[#This Row],[MAT]],"*M"),Table412[[#This Row],[MAT]]&amp;Table412[[#This Row],[X'#]],""))</f>
        <v>10929813</v>
      </c>
    </row>
    <row r="458" spans="1:15" x14ac:dyDescent="0.25">
      <c r="A458" s="37">
        <f t="shared" si="8"/>
        <v>17</v>
      </c>
      <c r="C458" s="36">
        <v>3.625</v>
      </c>
      <c r="D458" s="36" t="s">
        <v>636</v>
      </c>
      <c r="E458" s="36">
        <v>1096183</v>
      </c>
      <c r="F458" s="36">
        <v>1</v>
      </c>
      <c r="G458" s="36">
        <v>1130217</v>
      </c>
      <c r="H458" s="48" t="str">
        <f>IFERROR(INDEX(Table14[],MATCH($G458,Table14[SAPNo],0),3),"")</f>
        <v>Round 1010 CT182   10C (S)</v>
      </c>
      <c r="I458" s="37">
        <v>19</v>
      </c>
      <c r="J458" s="37">
        <f>IF(Table412[[#This Row],[MAT]]&lt;&gt;"",COUNTIF(Table3[LEVEL 5 MAT NO.],Table412[[#This Row],[MAT]]),"")</f>
        <v>1</v>
      </c>
      <c r="K458" s="36">
        <f>IFERROR(INDEX(Table3[],MATCH($E458,Table3[LEVEL 5 MAT NO.],0),2),0)</f>
        <v>0</v>
      </c>
      <c r="L458" s="36">
        <f>Table412[[#This Row],[Quantity in BOM]]*Table412[[#This Row],[Freq]]</f>
        <v>0</v>
      </c>
      <c r="M458" s="36">
        <f>IF(Table412[[#This Row],[Exist]]=1,Table412[[#This Row],[MAT]],"")</f>
        <v>1096183</v>
      </c>
      <c r="N458" s="36">
        <f>IF(Table412[[#This Row],[Exist]]=1,Table412[[#This Row],[Component]],"")</f>
        <v>1130217</v>
      </c>
      <c r="O458" s="36">
        <f>IFERROR(VALUE(Table412[[#This Row],[MAT]]&amp;Table412[[#This Row],[X'#]]),IF(COUNTIF(Table412[[#This Row],[MAT]],"*M"),Table412[[#This Row],[MAT]]&amp;Table412[[#This Row],[X'#]],""))</f>
        <v>10961831</v>
      </c>
    </row>
    <row r="459" spans="1:15" x14ac:dyDescent="0.25">
      <c r="A459" s="37">
        <f t="shared" si="8"/>
        <v>17</v>
      </c>
      <c r="C459" s="36">
        <v>3.625</v>
      </c>
      <c r="D459" s="36" t="s">
        <v>636</v>
      </c>
      <c r="E459" s="36">
        <v>1096183</v>
      </c>
      <c r="F459" s="36">
        <v>2</v>
      </c>
      <c r="G459" s="36">
        <v>1129936</v>
      </c>
      <c r="H459" s="48" t="str">
        <f>IFERROR(INDEX(Table14[],MATCH($G459,Table14[SAPNo],0),3),"")</f>
        <v>Round 1005 CT182  10C (S)</v>
      </c>
      <c r="I459" s="37">
        <v>14</v>
      </c>
      <c r="J459" s="37">
        <f>IF(Table412[[#This Row],[MAT]]&lt;&gt;"",COUNTIF(Table3[LEVEL 5 MAT NO.],Table412[[#This Row],[MAT]]),"")</f>
        <v>1</v>
      </c>
      <c r="K459" s="36">
        <f>IFERROR(INDEX(Table3[],MATCH($E459,Table3[LEVEL 5 MAT NO.],0),2),0)</f>
        <v>0</v>
      </c>
      <c r="L459" s="36">
        <f>Table412[[#This Row],[Quantity in BOM]]*Table412[[#This Row],[Freq]]</f>
        <v>0</v>
      </c>
      <c r="M459" s="36">
        <f>IF(Table412[[#This Row],[Exist]]=1,Table412[[#This Row],[MAT]],"")</f>
        <v>1096183</v>
      </c>
      <c r="N459" s="36">
        <f>IF(Table412[[#This Row],[Exist]]=1,Table412[[#This Row],[Component]],"")</f>
        <v>1129936</v>
      </c>
      <c r="O459" s="36">
        <f>IFERROR(VALUE(Table412[[#This Row],[MAT]]&amp;Table412[[#This Row],[X'#]]),IF(COUNTIF(Table412[[#This Row],[MAT]],"*M"),Table412[[#This Row],[MAT]]&amp;Table412[[#This Row],[X'#]],""))</f>
        <v>10961832</v>
      </c>
    </row>
    <row r="460" spans="1:15" x14ac:dyDescent="0.25">
      <c r="A460" s="37">
        <f t="shared" si="8"/>
        <v>17</v>
      </c>
      <c r="C460" s="36" t="s">
        <v>304</v>
      </c>
      <c r="D460" s="36" t="s">
        <v>636</v>
      </c>
      <c r="E460" s="36">
        <v>1084341</v>
      </c>
      <c r="F460" s="36">
        <v>1</v>
      </c>
      <c r="G460" s="36">
        <v>1039029</v>
      </c>
      <c r="H460" s="48" t="str">
        <f>IFERROR(INDEX(Table14[],MATCH($G460,Table14[SAPNo],0),3),"")</f>
        <v>Round 1010 CT138  10C (S)</v>
      </c>
      <c r="I460" s="37">
        <v>19</v>
      </c>
      <c r="J460" s="37">
        <f>IF(Table412[[#This Row],[MAT]]&lt;&gt;"",COUNTIF(Table3[LEVEL 5 MAT NO.],Table412[[#This Row],[MAT]]),"")</f>
        <v>0</v>
      </c>
      <c r="K460" s="36">
        <f>IFERROR(INDEX(Table3[],MATCH($E460,Table3[LEVEL 5 MAT NO.],0),2),0)</f>
        <v>0</v>
      </c>
      <c r="L460" s="36">
        <f>Table412[[#This Row],[Quantity in BOM]]*Table412[[#This Row],[Freq]]</f>
        <v>0</v>
      </c>
      <c r="M460" s="36" t="str">
        <f>IF(Table412[[#This Row],[Exist]]=1,Table412[[#This Row],[MAT]],"")</f>
        <v/>
      </c>
      <c r="N460" s="36" t="str">
        <f>IF(Table412[[#This Row],[Exist]]=1,Table412[[#This Row],[Component]],"")</f>
        <v/>
      </c>
      <c r="O460" s="36">
        <f>IFERROR(VALUE(Table412[[#This Row],[MAT]]&amp;Table412[[#This Row],[X'#]]),IF(COUNTIF(Table412[[#This Row],[MAT]],"*M"),Table412[[#This Row],[MAT]]&amp;Table412[[#This Row],[X'#]],""))</f>
        <v>10843411</v>
      </c>
    </row>
    <row r="461" spans="1:15" x14ac:dyDescent="0.25">
      <c r="A461" s="37">
        <f t="shared" si="8"/>
        <v>17</v>
      </c>
      <c r="C461" s="36" t="s">
        <v>316</v>
      </c>
      <c r="D461" s="36" t="s">
        <v>3627</v>
      </c>
      <c r="E461" s="36">
        <v>942738</v>
      </c>
      <c r="F461" s="36">
        <v>1</v>
      </c>
      <c r="G461" s="36">
        <v>1130198</v>
      </c>
      <c r="H461" s="48" t="str">
        <f>IFERROR(INDEX(Table14[],MATCH($G461,Table14[SAPNo],0),3),"")</f>
        <v>Round 1613 CT182  0.018" (S)</v>
      </c>
      <c r="I461" s="37">
        <v>147</v>
      </c>
      <c r="J461" s="37">
        <f>IF(Table412[[#This Row],[MAT]]&lt;&gt;"",COUNTIF(Table3[LEVEL 5 MAT NO.],Table412[[#This Row],[MAT]]),"")</f>
        <v>0</v>
      </c>
      <c r="K461" s="36">
        <f>IFERROR(INDEX(Table3[],MATCH($E461,Table3[LEVEL 5 MAT NO.],0),2),0)</f>
        <v>0</v>
      </c>
      <c r="L461" s="36">
        <f>Table412[[#This Row],[Quantity in BOM]]*Table412[[#This Row],[Freq]]</f>
        <v>0</v>
      </c>
      <c r="M461" s="36" t="str">
        <f>IF(Table412[[#This Row],[Exist]]=1,Table412[[#This Row],[MAT]],"")</f>
        <v/>
      </c>
      <c r="N461" s="36" t="str">
        <f>IF(Table412[[#This Row],[Exist]]=1,Table412[[#This Row],[Component]],"")</f>
        <v/>
      </c>
      <c r="O461" s="36">
        <f>IFERROR(VALUE(Table412[[#This Row],[MAT]]&amp;Table412[[#This Row],[X'#]]),IF(COUNTIF(Table412[[#This Row],[MAT]],"*M"),Table412[[#This Row],[MAT]]&amp;Table412[[#This Row],[X'#]],""))</f>
        <v>9427381</v>
      </c>
    </row>
    <row r="462" spans="1:15" x14ac:dyDescent="0.25">
      <c r="A462" s="37">
        <f t="shared" si="8"/>
        <v>17</v>
      </c>
      <c r="C462" s="36" t="s">
        <v>316</v>
      </c>
      <c r="D462" s="36" t="s">
        <v>3627</v>
      </c>
      <c r="E462" s="36">
        <v>942738</v>
      </c>
      <c r="F462" s="36">
        <v>2</v>
      </c>
      <c r="G462" s="36">
        <v>418525</v>
      </c>
      <c r="H462" s="48" t="str">
        <f>IFERROR(INDEX(Table14[],MATCH($G462,Table14[SAPNo],0),3),"")</f>
        <v>Drop In 1308 CT31   (B)</v>
      </c>
      <c r="I462" s="37">
        <v>16</v>
      </c>
      <c r="J462" s="37">
        <f>IF(Table412[[#This Row],[MAT]]&lt;&gt;"",COUNTIF(Table3[LEVEL 5 MAT NO.],Table412[[#This Row],[MAT]]),"")</f>
        <v>0</v>
      </c>
      <c r="K462" s="36">
        <f>IFERROR(INDEX(Table3[],MATCH($E462,Table3[LEVEL 5 MAT NO.],0),2),0)</f>
        <v>0</v>
      </c>
      <c r="L462" s="36">
        <f>Table412[[#This Row],[Quantity in BOM]]*Table412[[#This Row],[Freq]]</f>
        <v>0</v>
      </c>
      <c r="M462" s="36" t="str">
        <f>IF(Table412[[#This Row],[Exist]]=1,Table412[[#This Row],[MAT]],"")</f>
        <v/>
      </c>
      <c r="N462" s="36" t="str">
        <f>IF(Table412[[#This Row],[Exist]]=1,Table412[[#This Row],[Component]],"")</f>
        <v/>
      </c>
      <c r="O462" s="36">
        <f>IFERROR(VALUE(Table412[[#This Row],[MAT]]&amp;Table412[[#This Row],[X'#]]),IF(COUNTIF(Table412[[#This Row],[MAT]],"*M"),Table412[[#This Row],[MAT]]&amp;Table412[[#This Row],[X'#]],""))</f>
        <v>9427382</v>
      </c>
    </row>
    <row r="463" spans="1:15" x14ac:dyDescent="0.25">
      <c r="A463" s="37">
        <f t="shared" si="8"/>
        <v>17</v>
      </c>
      <c r="C463" s="38">
        <v>8.5</v>
      </c>
      <c r="D463" s="36" t="s">
        <v>275</v>
      </c>
      <c r="E463" s="36">
        <v>1102426</v>
      </c>
      <c r="F463" s="36">
        <v>1</v>
      </c>
      <c r="G463" s="36">
        <v>1130198</v>
      </c>
      <c r="H463" s="48" t="str">
        <f>IFERROR(INDEX(Table14[],MATCH($G463,Table14[SAPNo],0),3),"")</f>
        <v>Round 1613 CT182  0.018" (S)</v>
      </c>
      <c r="I463" s="37">
        <v>31</v>
      </c>
      <c r="J463" s="37">
        <f>IF(Table412[[#This Row],[MAT]]&lt;&gt;"",COUNTIF(Table3[LEVEL 5 MAT NO.],Table412[[#This Row],[MAT]]),"")</f>
        <v>0</v>
      </c>
      <c r="K463" s="36">
        <f>IFERROR(INDEX(Table3[],MATCH($E463,Table3[LEVEL 5 MAT NO.],0),2),0)</f>
        <v>0</v>
      </c>
      <c r="L463" s="36">
        <f>Table412[[#This Row],[Quantity in BOM]]*Table412[[#This Row],[Freq]]</f>
        <v>0</v>
      </c>
      <c r="M463" s="36" t="str">
        <f>IF(Table412[[#This Row],[Exist]]=1,Table412[[#This Row],[MAT]],"")</f>
        <v/>
      </c>
      <c r="N463" s="36" t="str">
        <f>IF(Table412[[#This Row],[Exist]]=1,Table412[[#This Row],[Component]],"")</f>
        <v/>
      </c>
      <c r="O463" s="36">
        <f>IFERROR(VALUE(Table412[[#This Row],[MAT]]&amp;Table412[[#This Row],[X'#]]),IF(COUNTIF(Table412[[#This Row],[MAT]],"*M"),Table412[[#This Row],[MAT]]&amp;Table412[[#This Row],[X'#]],""))</f>
        <v>11024261</v>
      </c>
    </row>
    <row r="464" spans="1:15" x14ac:dyDescent="0.25">
      <c r="A464" s="37">
        <f t="shared" si="8"/>
        <v>17</v>
      </c>
      <c r="C464" s="38">
        <v>8.5</v>
      </c>
      <c r="D464" s="36" t="s">
        <v>275</v>
      </c>
      <c r="E464" s="36">
        <v>1102426</v>
      </c>
      <c r="F464" s="36">
        <v>2</v>
      </c>
      <c r="G464" s="36">
        <v>562195</v>
      </c>
      <c r="H464" s="48" t="str">
        <f>IFERROR(INDEX(Table14[],MATCH($G464,Table14[SAPNo],0),3),"")</f>
        <v>TBO 13MM 0.012R</v>
      </c>
      <c r="I464" s="37">
        <v>15</v>
      </c>
      <c r="J464" s="37">
        <f>IF(Table412[[#This Row],[MAT]]&lt;&gt;"",COUNTIF(Table3[LEVEL 5 MAT NO.],Table412[[#This Row],[MAT]]),"")</f>
        <v>0</v>
      </c>
      <c r="K464" s="36">
        <f>IFERROR(INDEX(Table3[],MATCH($E464,Table3[LEVEL 5 MAT NO.],0),2),0)</f>
        <v>0</v>
      </c>
      <c r="L464" s="36">
        <f>Table412[[#This Row],[Quantity in BOM]]*Table412[[#This Row],[Freq]]</f>
        <v>0</v>
      </c>
      <c r="M464" s="36" t="str">
        <f>IF(Table412[[#This Row],[Exist]]=1,Table412[[#This Row],[MAT]],"")</f>
        <v/>
      </c>
      <c r="N464" s="36" t="str">
        <f>IF(Table412[[#This Row],[Exist]]=1,Table412[[#This Row],[Component]],"")</f>
        <v/>
      </c>
      <c r="O464" s="36">
        <f>IFERROR(VALUE(Table412[[#This Row],[MAT]]&amp;Table412[[#This Row],[X'#]]),IF(COUNTIF(Table412[[#This Row],[MAT]],"*M"),Table412[[#This Row],[MAT]]&amp;Table412[[#This Row],[X'#]],""))</f>
        <v>11024262</v>
      </c>
    </row>
    <row r="465" spans="1:15" x14ac:dyDescent="0.25">
      <c r="A465" s="37">
        <f t="shared" si="8"/>
        <v>17</v>
      </c>
      <c r="C465" s="38">
        <v>8.5</v>
      </c>
      <c r="D465" s="36" t="s">
        <v>275</v>
      </c>
      <c r="E465" s="36">
        <v>1102426</v>
      </c>
      <c r="F465" s="36">
        <v>3</v>
      </c>
      <c r="G465" s="36">
        <v>418525</v>
      </c>
      <c r="H465" s="48" t="str">
        <f>IFERROR(INDEX(Table14[],MATCH($G465,Table14[SAPNo],0),3),"")</f>
        <v>Drop In 1308 CT31   (B)</v>
      </c>
      <c r="I465" s="37">
        <v>6</v>
      </c>
      <c r="J465" s="37">
        <f>IF(Table412[[#This Row],[MAT]]&lt;&gt;"",COUNTIF(Table3[LEVEL 5 MAT NO.],Table412[[#This Row],[MAT]]),"")</f>
        <v>0</v>
      </c>
      <c r="K465" s="36">
        <f>IFERROR(INDEX(Table3[],MATCH($E465,Table3[LEVEL 5 MAT NO.],0),2),0)</f>
        <v>0</v>
      </c>
      <c r="L465" s="36">
        <f>Table412[[#This Row],[Quantity in BOM]]*Table412[[#This Row],[Freq]]</f>
        <v>0</v>
      </c>
      <c r="M465" s="36" t="str">
        <f>IF(Table412[[#This Row],[Exist]]=1,Table412[[#This Row],[MAT]],"")</f>
        <v/>
      </c>
      <c r="N465" s="36" t="str">
        <f>IF(Table412[[#This Row],[Exist]]=1,Table412[[#This Row],[Component]],"")</f>
        <v/>
      </c>
      <c r="O465" s="36">
        <f>IFERROR(VALUE(Table412[[#This Row],[MAT]]&amp;Table412[[#This Row],[X'#]]),IF(COUNTIF(Table412[[#This Row],[MAT]],"*M"),Table412[[#This Row],[MAT]]&amp;Table412[[#This Row],[X'#]],""))</f>
        <v>11024263</v>
      </c>
    </row>
    <row r="466" spans="1:15" x14ac:dyDescent="0.25">
      <c r="A466" s="37">
        <f t="shared" si="8"/>
        <v>17</v>
      </c>
      <c r="C466" s="38" t="s">
        <v>3689</v>
      </c>
      <c r="D466" s="36" t="s">
        <v>286</v>
      </c>
      <c r="E466" s="36">
        <v>1121983</v>
      </c>
      <c r="F466" s="36">
        <v>1</v>
      </c>
      <c r="G466" s="36">
        <v>1130198</v>
      </c>
      <c r="H466" s="48" t="str">
        <f>IFERROR(INDEX(Table14[],MATCH($G466,Table14[SAPNo],0),3),"")</f>
        <v>Round 1613 CT182  0.018" (S)</v>
      </c>
      <c r="I466" s="37">
        <v>40</v>
      </c>
      <c r="J466" s="37">
        <f>IF(Table412[[#This Row],[MAT]]&lt;&gt;"",COUNTIF(Table3[LEVEL 5 MAT NO.],Table412[[#This Row],[MAT]]),"")</f>
        <v>0</v>
      </c>
      <c r="K466" s="36">
        <f>IFERROR(INDEX(Table3[],MATCH($E466,Table3[LEVEL 5 MAT NO.],0),2),0)</f>
        <v>0</v>
      </c>
      <c r="L466" s="36">
        <f>Table412[[#This Row],[Quantity in BOM]]*Table412[[#This Row],[Freq]]</f>
        <v>0</v>
      </c>
      <c r="M466" s="36" t="str">
        <f>IF(Table412[[#This Row],[Exist]]=1,Table412[[#This Row],[MAT]],"")</f>
        <v/>
      </c>
      <c r="N466" s="36" t="str">
        <f>IF(Table412[[#This Row],[Exist]]=1,Table412[[#This Row],[Component]],"")</f>
        <v/>
      </c>
      <c r="O466" s="36">
        <f>IFERROR(VALUE(Table412[[#This Row],[MAT]]&amp;Table412[[#This Row],[X'#]]),IF(COUNTIF(Table412[[#This Row],[MAT]],"*M"),Table412[[#This Row],[MAT]]&amp;Table412[[#This Row],[X'#]],""))</f>
        <v>11219831</v>
      </c>
    </row>
    <row r="467" spans="1:15" x14ac:dyDescent="0.25">
      <c r="A467" s="37">
        <f t="shared" si="8"/>
        <v>17</v>
      </c>
      <c r="C467" s="36" t="s">
        <v>3689</v>
      </c>
      <c r="D467" s="36" t="s">
        <v>286</v>
      </c>
      <c r="E467" s="36">
        <v>1121983</v>
      </c>
      <c r="F467" s="36">
        <v>2</v>
      </c>
      <c r="G467" s="36">
        <v>1130196</v>
      </c>
      <c r="H467" s="48" t="str">
        <f>IFERROR(INDEX(Table14[],MATCH($G467,Table14[SAPNo],0),3),"")</f>
        <v>Round 1313 CT182  0.018" (S)</v>
      </c>
      <c r="I467" s="37">
        <v>18</v>
      </c>
      <c r="J467" s="37">
        <f>IF(Table412[[#This Row],[MAT]]&lt;&gt;"",COUNTIF(Table3[LEVEL 5 MAT NO.],Table412[[#This Row],[MAT]]),"")</f>
        <v>0</v>
      </c>
      <c r="K467" s="36">
        <f>IFERROR(INDEX(Table3[],MATCH($E467,Table3[LEVEL 5 MAT NO.],0),2),0)</f>
        <v>0</v>
      </c>
      <c r="L467" s="36">
        <f>Table412[[#This Row],[Quantity in BOM]]*Table412[[#This Row],[Freq]]</f>
        <v>0</v>
      </c>
      <c r="M467" s="36" t="str">
        <f>IF(Table412[[#This Row],[Exist]]=1,Table412[[#This Row],[MAT]],"")</f>
        <v/>
      </c>
      <c r="N467" s="36" t="str">
        <f>IF(Table412[[#This Row],[Exist]]=1,Table412[[#This Row],[Component]],"")</f>
        <v/>
      </c>
      <c r="O467" s="36">
        <f>IFERROR(VALUE(Table412[[#This Row],[MAT]]&amp;Table412[[#This Row],[X'#]]),IF(COUNTIF(Table412[[#This Row],[MAT]],"*M"),Table412[[#This Row],[MAT]]&amp;Table412[[#This Row],[X'#]],""))</f>
        <v>11219832</v>
      </c>
    </row>
    <row r="468" spans="1:15" x14ac:dyDescent="0.25">
      <c r="A468" s="37">
        <f t="shared" si="8"/>
        <v>17</v>
      </c>
      <c r="C468" s="36" t="s">
        <v>316</v>
      </c>
      <c r="D468" s="36" t="s">
        <v>3627</v>
      </c>
      <c r="E468" s="36">
        <v>1058252</v>
      </c>
      <c r="F468" s="36">
        <v>1</v>
      </c>
      <c r="G468" s="36">
        <v>1130198</v>
      </c>
      <c r="H468" s="48" t="str">
        <f>IFERROR(INDEX(Table14[],MATCH($G468,Table14[SAPNo],0),3),"")</f>
        <v>Round 1613 CT182  0.018" (S)</v>
      </c>
      <c r="I468" s="37">
        <v>147</v>
      </c>
      <c r="J468" s="37">
        <f>IF(Table412[[#This Row],[MAT]]&lt;&gt;"",COUNTIF(Table3[LEVEL 5 MAT NO.],Table412[[#This Row],[MAT]]),"")</f>
        <v>1</v>
      </c>
      <c r="K468" s="36">
        <f>IFERROR(INDEX(Table3[],MATCH($E468,Table3[LEVEL 5 MAT NO.],0),2),0)</f>
        <v>4</v>
      </c>
      <c r="L468" s="36">
        <f>Table412[[#This Row],[Quantity in BOM]]*Table412[[#This Row],[Freq]]</f>
        <v>588</v>
      </c>
      <c r="M468" s="36">
        <f>IF(Table412[[#This Row],[Exist]]=1,Table412[[#This Row],[MAT]],"")</f>
        <v>1058252</v>
      </c>
      <c r="N468" s="36">
        <f>IF(Table412[[#This Row],[Exist]]=1,Table412[[#This Row],[Component]],"")</f>
        <v>1130198</v>
      </c>
      <c r="O468" s="36">
        <f>IFERROR(VALUE(Table412[[#This Row],[MAT]]&amp;Table412[[#This Row],[X'#]]),IF(COUNTIF(Table412[[#This Row],[MAT]],"*M"),Table412[[#This Row],[MAT]]&amp;Table412[[#This Row],[X'#]],""))</f>
        <v>10582521</v>
      </c>
    </row>
    <row r="469" spans="1:15" x14ac:dyDescent="0.25">
      <c r="A469" s="37">
        <f t="shared" si="8"/>
        <v>21</v>
      </c>
      <c r="C469" s="36" t="s">
        <v>316</v>
      </c>
      <c r="D469" s="36" t="s">
        <v>3627</v>
      </c>
      <c r="E469" s="36">
        <v>1058252</v>
      </c>
      <c r="F469" s="36">
        <v>2</v>
      </c>
      <c r="G469" s="36">
        <v>418525</v>
      </c>
      <c r="H469" s="48" t="str">
        <f>IFERROR(INDEX(Table14[],MATCH($G469,Table14[SAPNo],0),3),"")</f>
        <v>Drop In 1308 CT31   (B)</v>
      </c>
      <c r="I469" s="37">
        <v>8</v>
      </c>
      <c r="J469" s="37">
        <f>IF(Table412[[#This Row],[MAT]]&lt;&gt;"",COUNTIF(Table3[LEVEL 5 MAT NO.],Table412[[#This Row],[MAT]]),"")</f>
        <v>1</v>
      </c>
      <c r="K469" s="36">
        <f>IFERROR(INDEX(Table3[],MATCH($E469,Table3[LEVEL 5 MAT NO.],0),2),0)</f>
        <v>4</v>
      </c>
      <c r="L469" s="36">
        <f>Table412[[#This Row],[Quantity in BOM]]*Table412[[#This Row],[Freq]]</f>
        <v>32</v>
      </c>
      <c r="M469" s="36">
        <f>IF(Table412[[#This Row],[Exist]]=1,Table412[[#This Row],[MAT]],"")</f>
        <v>1058252</v>
      </c>
      <c r="N469" s="36">
        <f>IF(Table412[[#This Row],[Exist]]=1,Table412[[#This Row],[Component]],"")</f>
        <v>418525</v>
      </c>
      <c r="O469" s="36">
        <f>IFERROR(VALUE(Table412[[#This Row],[MAT]]&amp;Table412[[#This Row],[X'#]]),IF(COUNTIF(Table412[[#This Row],[MAT]],"*M"),Table412[[#This Row],[MAT]]&amp;Table412[[#This Row],[X'#]],""))</f>
        <v>10582522</v>
      </c>
    </row>
    <row r="470" spans="1:15" x14ac:dyDescent="0.25">
      <c r="A470" s="37">
        <f t="shared" si="8"/>
        <v>25</v>
      </c>
      <c r="C470" s="36" t="s">
        <v>316</v>
      </c>
      <c r="D470" s="36" t="s">
        <v>3627</v>
      </c>
      <c r="E470" s="36">
        <v>1060889</v>
      </c>
      <c r="F470" s="36">
        <v>1</v>
      </c>
      <c r="G470" s="36">
        <v>1130198</v>
      </c>
      <c r="H470" s="48" t="str">
        <f>IFERROR(INDEX(Table14[],MATCH($G470,Table14[SAPNo],0),3),"")</f>
        <v>Round 1613 CT182  0.018" (S)</v>
      </c>
      <c r="I470" s="37">
        <v>97</v>
      </c>
      <c r="J470" s="37">
        <f>IF(Table412[[#This Row],[MAT]]&lt;&gt;"",COUNTIF(Table3[LEVEL 5 MAT NO.],Table412[[#This Row],[MAT]]),"")</f>
        <v>0</v>
      </c>
      <c r="K470" s="36">
        <f>IFERROR(INDEX(Table3[],MATCH($E470,Table3[LEVEL 5 MAT NO.],0),2),0)</f>
        <v>0</v>
      </c>
      <c r="L470" s="36">
        <f>Table412[[#This Row],[Quantity in BOM]]*Table412[[#This Row],[Freq]]</f>
        <v>0</v>
      </c>
      <c r="M470" s="36" t="str">
        <f>IF(Table412[[#This Row],[Exist]]=1,Table412[[#This Row],[MAT]],"")</f>
        <v/>
      </c>
      <c r="N470" s="36" t="str">
        <f>IF(Table412[[#This Row],[Exist]]=1,Table412[[#This Row],[Component]],"")</f>
        <v/>
      </c>
      <c r="O470" s="36">
        <f>IFERROR(VALUE(Table412[[#This Row],[MAT]]&amp;Table412[[#This Row],[X'#]]),IF(COUNTIF(Table412[[#This Row],[MAT]],"*M"),Table412[[#This Row],[MAT]]&amp;Table412[[#This Row],[X'#]],""))</f>
        <v>10608891</v>
      </c>
    </row>
    <row r="471" spans="1:15" x14ac:dyDescent="0.25">
      <c r="A471" s="37">
        <f t="shared" si="8"/>
        <v>25</v>
      </c>
      <c r="C471" s="36" t="s">
        <v>316</v>
      </c>
      <c r="D471" s="36" t="s">
        <v>3627</v>
      </c>
      <c r="E471" s="36">
        <v>1060889</v>
      </c>
      <c r="F471" s="36">
        <v>2</v>
      </c>
      <c r="G471" s="36">
        <v>647436</v>
      </c>
      <c r="H471" s="48" t="str">
        <f>IFERROR(INDEX(Table14[],MATCH($G471,Table14[SAPNo],0),3),"")</f>
        <v>Round 1613 CT200  0.018" (B)</v>
      </c>
      <c r="I471" s="37">
        <v>40</v>
      </c>
      <c r="J471" s="37">
        <f>IF(Table412[[#This Row],[MAT]]&lt;&gt;"",COUNTIF(Table3[LEVEL 5 MAT NO.],Table412[[#This Row],[MAT]]),"")</f>
        <v>0</v>
      </c>
      <c r="K471" s="36">
        <f>IFERROR(INDEX(Table3[],MATCH($E471,Table3[LEVEL 5 MAT NO.],0),2),0)</f>
        <v>0</v>
      </c>
      <c r="L471" s="36">
        <f>Table412[[#This Row],[Quantity in BOM]]*Table412[[#This Row],[Freq]]</f>
        <v>0</v>
      </c>
      <c r="M471" s="36" t="str">
        <f>IF(Table412[[#This Row],[Exist]]=1,Table412[[#This Row],[MAT]],"")</f>
        <v/>
      </c>
      <c r="N471" s="36" t="str">
        <f>IF(Table412[[#This Row],[Exist]]=1,Table412[[#This Row],[Component]],"")</f>
        <v/>
      </c>
      <c r="O471" s="36">
        <f>IFERROR(VALUE(Table412[[#This Row],[MAT]]&amp;Table412[[#This Row],[X'#]]),IF(COUNTIF(Table412[[#This Row],[MAT]],"*M"),Table412[[#This Row],[MAT]]&amp;Table412[[#This Row],[X'#]],""))</f>
        <v>10608892</v>
      </c>
    </row>
    <row r="472" spans="1:15" x14ac:dyDescent="0.25">
      <c r="A472" s="37">
        <f t="shared" si="8"/>
        <v>25</v>
      </c>
      <c r="C472" s="36" t="s">
        <v>316</v>
      </c>
      <c r="D472" s="36" t="s">
        <v>3627</v>
      </c>
      <c r="E472" s="36">
        <v>1060889</v>
      </c>
      <c r="F472" s="36">
        <v>3</v>
      </c>
      <c r="G472" s="36">
        <v>418525</v>
      </c>
      <c r="H472" s="48" t="str">
        <f>IFERROR(INDEX(Table14[],MATCH($G472,Table14[SAPNo],0),3),"")</f>
        <v>Drop In 1308 CT31   (B)</v>
      </c>
      <c r="I472" s="37">
        <v>8</v>
      </c>
      <c r="J472" s="37">
        <f>IF(Table412[[#This Row],[MAT]]&lt;&gt;"",COUNTIF(Table3[LEVEL 5 MAT NO.],Table412[[#This Row],[MAT]]),"")</f>
        <v>0</v>
      </c>
      <c r="K472" s="36">
        <f>IFERROR(INDEX(Table3[],MATCH($E472,Table3[LEVEL 5 MAT NO.],0),2),0)</f>
        <v>0</v>
      </c>
      <c r="L472" s="36">
        <f>Table412[[#This Row],[Quantity in BOM]]*Table412[[#This Row],[Freq]]</f>
        <v>0</v>
      </c>
      <c r="M472" s="36" t="str">
        <f>IF(Table412[[#This Row],[Exist]]=1,Table412[[#This Row],[MAT]],"")</f>
        <v/>
      </c>
      <c r="N472" s="36" t="str">
        <f>IF(Table412[[#This Row],[Exist]]=1,Table412[[#This Row],[Component]],"")</f>
        <v/>
      </c>
      <c r="O472" s="36">
        <f>IFERROR(VALUE(Table412[[#This Row],[MAT]]&amp;Table412[[#This Row],[X'#]]),IF(COUNTIF(Table412[[#This Row],[MAT]],"*M"),Table412[[#This Row],[MAT]]&amp;Table412[[#This Row],[X'#]],""))</f>
        <v>10608893</v>
      </c>
    </row>
    <row r="473" spans="1:15" x14ac:dyDescent="0.25">
      <c r="A473" s="37">
        <f t="shared" si="8"/>
        <v>25</v>
      </c>
      <c r="C473" s="36" t="s">
        <v>309</v>
      </c>
      <c r="D473" s="36" t="s">
        <v>312</v>
      </c>
      <c r="E473" s="36">
        <v>1162241</v>
      </c>
      <c r="F473" s="36">
        <v>1</v>
      </c>
      <c r="G473" s="36">
        <v>1100696</v>
      </c>
      <c r="H473" s="48" t="str">
        <f>IFERROR(INDEX(Table14[],MATCH($G473,Table14[SAPNo],0),3),"")</f>
        <v>Round 1313 CT418  10C (S)</v>
      </c>
      <c r="I473" s="37">
        <v>16</v>
      </c>
      <c r="J473" s="37">
        <f>IF(Table412[[#This Row],[MAT]]&lt;&gt;"",COUNTIF(Table3[LEVEL 5 MAT NO.],Table412[[#This Row],[MAT]]),"")</f>
        <v>0</v>
      </c>
      <c r="K473" s="36">
        <f>IFERROR(INDEX(Table3[],MATCH($E473,Table3[LEVEL 5 MAT NO.],0),2),0)</f>
        <v>0</v>
      </c>
      <c r="L473" s="36">
        <f>Table412[[#This Row],[Quantity in BOM]]*Table412[[#This Row],[Freq]]</f>
        <v>0</v>
      </c>
      <c r="M473" s="36" t="str">
        <f>IF(Table412[[#This Row],[Exist]]=1,Table412[[#This Row],[MAT]],"")</f>
        <v/>
      </c>
      <c r="N473" s="36" t="str">
        <f>IF(Table412[[#This Row],[Exist]]=1,Table412[[#This Row],[Component]],"")</f>
        <v/>
      </c>
      <c r="O473" s="36">
        <f>IFERROR(VALUE(Table412[[#This Row],[MAT]]&amp;Table412[[#This Row],[X'#]]),IF(COUNTIF(Table412[[#This Row],[MAT]],"*M"),Table412[[#This Row],[MAT]]&amp;Table412[[#This Row],[X'#]],""))</f>
        <v>11622411</v>
      </c>
    </row>
    <row r="474" spans="1:15" x14ac:dyDescent="0.25">
      <c r="A474" s="37">
        <f t="shared" si="8"/>
        <v>25</v>
      </c>
      <c r="C474" s="36" t="s">
        <v>309</v>
      </c>
      <c r="D474" s="36" t="s">
        <v>312</v>
      </c>
      <c r="E474" s="36">
        <v>1162241</v>
      </c>
      <c r="F474" s="36">
        <v>2</v>
      </c>
      <c r="G474" s="36">
        <v>871781</v>
      </c>
      <c r="H474" s="48" t="str">
        <f>IFERROR(INDEX(Table14[],MATCH($G474,Table14[SAPNo],0),3),"")</f>
        <v>Round 1313 CT200  0.018" (B)</v>
      </c>
      <c r="I474" s="37">
        <v>6</v>
      </c>
      <c r="J474" s="37">
        <f>IF(Table412[[#This Row],[MAT]]&lt;&gt;"",COUNTIF(Table3[LEVEL 5 MAT NO.],Table412[[#This Row],[MAT]]),"")</f>
        <v>0</v>
      </c>
      <c r="K474" s="36">
        <f>IFERROR(INDEX(Table3[],MATCH($E474,Table3[LEVEL 5 MAT NO.],0),2),0)</f>
        <v>0</v>
      </c>
      <c r="L474" s="36">
        <f>Table412[[#This Row],[Quantity in BOM]]*Table412[[#This Row],[Freq]]</f>
        <v>0</v>
      </c>
      <c r="M474" s="36" t="str">
        <f>IF(Table412[[#This Row],[Exist]]=1,Table412[[#This Row],[MAT]],"")</f>
        <v/>
      </c>
      <c r="N474" s="36" t="str">
        <f>IF(Table412[[#This Row],[Exist]]=1,Table412[[#This Row],[Component]],"")</f>
        <v/>
      </c>
      <c r="O474" s="36">
        <f>IFERROR(VALUE(Table412[[#This Row],[MAT]]&amp;Table412[[#This Row],[X'#]]),IF(COUNTIF(Table412[[#This Row],[MAT]],"*M"),Table412[[#This Row],[MAT]]&amp;Table412[[#This Row],[X'#]],""))</f>
        <v>11622412</v>
      </c>
    </row>
    <row r="475" spans="1:15" x14ac:dyDescent="0.25">
      <c r="A475" s="37">
        <f t="shared" si="8"/>
        <v>25</v>
      </c>
      <c r="C475" s="36" t="s">
        <v>309</v>
      </c>
      <c r="D475" s="36" t="s">
        <v>312</v>
      </c>
      <c r="E475" s="36">
        <v>1162241</v>
      </c>
      <c r="F475" s="36">
        <v>3</v>
      </c>
      <c r="G475" s="36">
        <v>1145493</v>
      </c>
      <c r="H475" s="48" t="str">
        <f>IFERROR(INDEX(Table14[],MATCH($G475,Table14[SAPNo],0),3),"")</f>
        <v>Round 1313 CT427  10C (S)</v>
      </c>
      <c r="I475" s="37">
        <v>9</v>
      </c>
      <c r="J475" s="37">
        <f>IF(Table412[[#This Row],[MAT]]&lt;&gt;"",COUNTIF(Table3[LEVEL 5 MAT NO.],Table412[[#This Row],[MAT]]),"")</f>
        <v>0</v>
      </c>
      <c r="K475" s="36">
        <f>IFERROR(INDEX(Table3[],MATCH($E475,Table3[LEVEL 5 MAT NO.],0),2),0)</f>
        <v>0</v>
      </c>
      <c r="L475" s="36">
        <f>Table412[[#This Row],[Quantity in BOM]]*Table412[[#This Row],[Freq]]</f>
        <v>0</v>
      </c>
      <c r="M475" s="36" t="str">
        <f>IF(Table412[[#This Row],[Exist]]=1,Table412[[#This Row],[MAT]],"")</f>
        <v/>
      </c>
      <c r="N475" s="36" t="str">
        <f>IF(Table412[[#This Row],[Exist]]=1,Table412[[#This Row],[Component]],"")</f>
        <v/>
      </c>
      <c r="O475" s="36">
        <f>IFERROR(VALUE(Table412[[#This Row],[MAT]]&amp;Table412[[#This Row],[X'#]]),IF(COUNTIF(Table412[[#This Row],[MAT]],"*M"),Table412[[#This Row],[MAT]]&amp;Table412[[#This Row],[X'#]],""))</f>
        <v>11622413</v>
      </c>
    </row>
    <row r="476" spans="1:15" x14ac:dyDescent="0.25">
      <c r="A476" s="37">
        <f t="shared" si="8"/>
        <v>25</v>
      </c>
      <c r="C476" s="36" t="s">
        <v>319</v>
      </c>
      <c r="D476" s="36" t="s">
        <v>701</v>
      </c>
      <c r="E476" s="36">
        <v>886362</v>
      </c>
      <c r="F476" s="36">
        <v>1</v>
      </c>
      <c r="G476" s="36">
        <v>1130200</v>
      </c>
      <c r="H476" s="48" t="str">
        <f>IFERROR(INDEX(Table14[],MATCH($G476,Table14[SAPNo],0),3),"")</f>
        <v>Round 1913 CT182  0.018" (S)</v>
      </c>
      <c r="I476" s="37">
        <v>70</v>
      </c>
      <c r="J476" s="37">
        <f>IF(Table412[[#This Row],[MAT]]&lt;&gt;"",COUNTIF(Table3[LEVEL 5 MAT NO.],Table412[[#This Row],[MAT]]),"")</f>
        <v>0</v>
      </c>
      <c r="K476" s="36">
        <f>IFERROR(INDEX(Table3[],MATCH($E476,Table3[LEVEL 5 MAT NO.],0),2),0)</f>
        <v>0</v>
      </c>
      <c r="L476" s="36">
        <f>Table412[[#This Row],[Quantity in BOM]]*Table412[[#This Row],[Freq]]</f>
        <v>0</v>
      </c>
      <c r="M476" s="36" t="str">
        <f>IF(Table412[[#This Row],[Exist]]=1,Table412[[#This Row],[MAT]],"")</f>
        <v/>
      </c>
      <c r="N476" s="36" t="str">
        <f>IF(Table412[[#This Row],[Exist]]=1,Table412[[#This Row],[Component]],"")</f>
        <v/>
      </c>
      <c r="O476" s="36">
        <f>IFERROR(VALUE(Table412[[#This Row],[MAT]]&amp;Table412[[#This Row],[X'#]]),IF(COUNTIF(Table412[[#This Row],[MAT]],"*M"),Table412[[#This Row],[MAT]]&amp;Table412[[#This Row],[X'#]],""))</f>
        <v>8863621</v>
      </c>
    </row>
    <row r="477" spans="1:15" x14ac:dyDescent="0.25">
      <c r="A477" s="37">
        <f t="shared" si="8"/>
        <v>25</v>
      </c>
      <c r="C477" s="36" t="s">
        <v>319</v>
      </c>
      <c r="D477" s="36" t="s">
        <v>701</v>
      </c>
      <c r="E477" s="36">
        <v>886362</v>
      </c>
      <c r="F477" s="36">
        <v>2</v>
      </c>
      <c r="G477" s="36">
        <v>1130198</v>
      </c>
      <c r="H477" s="48" t="str">
        <f>IFERROR(INDEX(Table14[],MATCH($G477,Table14[SAPNo],0),3),"")</f>
        <v>Round 1613 CT182  0.018" (S)</v>
      </c>
      <c r="I477" s="37">
        <v>35</v>
      </c>
      <c r="J477" s="37">
        <f>IF(Table412[[#This Row],[MAT]]&lt;&gt;"",COUNTIF(Table3[LEVEL 5 MAT NO.],Table412[[#This Row],[MAT]]),"")</f>
        <v>0</v>
      </c>
      <c r="K477" s="36">
        <f>IFERROR(INDEX(Table3[],MATCH($E477,Table3[LEVEL 5 MAT NO.],0),2),0)</f>
        <v>0</v>
      </c>
      <c r="L477" s="36">
        <f>Table412[[#This Row],[Quantity in BOM]]*Table412[[#This Row],[Freq]]</f>
        <v>0</v>
      </c>
      <c r="M477" s="36" t="str">
        <f>IF(Table412[[#This Row],[Exist]]=1,Table412[[#This Row],[MAT]],"")</f>
        <v/>
      </c>
      <c r="N477" s="36" t="str">
        <f>IF(Table412[[#This Row],[Exist]]=1,Table412[[#This Row],[Component]],"")</f>
        <v/>
      </c>
      <c r="O477" s="36">
        <f>IFERROR(VALUE(Table412[[#This Row],[MAT]]&amp;Table412[[#This Row],[X'#]]),IF(COUNTIF(Table412[[#This Row],[MAT]],"*M"),Table412[[#This Row],[MAT]]&amp;Table412[[#This Row],[X'#]],""))</f>
        <v>8863622</v>
      </c>
    </row>
    <row r="478" spans="1:15" x14ac:dyDescent="0.25">
      <c r="A478" s="37">
        <f t="shared" si="8"/>
        <v>25</v>
      </c>
      <c r="C478" s="36" t="s">
        <v>319</v>
      </c>
      <c r="D478" s="36" t="s">
        <v>701</v>
      </c>
      <c r="E478" s="36">
        <v>886362</v>
      </c>
      <c r="F478" s="36">
        <v>3</v>
      </c>
      <c r="G478" s="36">
        <v>647436</v>
      </c>
      <c r="H478" s="48" t="str">
        <f>IFERROR(INDEX(Table14[],MATCH($G478,Table14[SAPNo],0),3),"")</f>
        <v>Round 1613 CT200  0.018" (B)</v>
      </c>
      <c r="I478" s="37">
        <v>14</v>
      </c>
      <c r="J478" s="37">
        <f>IF(Table412[[#This Row],[MAT]]&lt;&gt;"",COUNTIF(Table3[LEVEL 5 MAT NO.],Table412[[#This Row],[MAT]]),"")</f>
        <v>0</v>
      </c>
      <c r="K478" s="36">
        <f>IFERROR(INDEX(Table3[],MATCH($E478,Table3[LEVEL 5 MAT NO.],0),2),0)</f>
        <v>0</v>
      </c>
      <c r="L478" s="36">
        <f>Table412[[#This Row],[Quantity in BOM]]*Table412[[#This Row],[Freq]]</f>
        <v>0</v>
      </c>
      <c r="M478" s="36" t="str">
        <f>IF(Table412[[#This Row],[Exist]]=1,Table412[[#This Row],[MAT]],"")</f>
        <v/>
      </c>
      <c r="N478" s="36" t="str">
        <f>IF(Table412[[#This Row],[Exist]]=1,Table412[[#This Row],[Component]],"")</f>
        <v/>
      </c>
      <c r="O478" s="36">
        <f>IFERROR(VALUE(Table412[[#This Row],[MAT]]&amp;Table412[[#This Row],[X'#]]),IF(COUNTIF(Table412[[#This Row],[MAT]],"*M"),Table412[[#This Row],[MAT]]&amp;Table412[[#This Row],[X'#]],""))</f>
        <v>8863623</v>
      </c>
    </row>
    <row r="479" spans="1:15" x14ac:dyDescent="0.25">
      <c r="A479" s="37">
        <f t="shared" si="8"/>
        <v>25</v>
      </c>
      <c r="C479" s="36" t="s">
        <v>319</v>
      </c>
      <c r="D479" s="36" t="s">
        <v>701</v>
      </c>
      <c r="E479" s="36">
        <v>886362</v>
      </c>
      <c r="F479" s="36">
        <v>4</v>
      </c>
      <c r="G479" s="36">
        <v>418525</v>
      </c>
      <c r="H479" s="48" t="str">
        <f>IFERROR(INDEX(Table14[],MATCH($G479,Table14[SAPNo],0),3),"")</f>
        <v>Drop In 1308 CT31   (B)</v>
      </c>
      <c r="I479" s="37">
        <v>14</v>
      </c>
      <c r="J479" s="37">
        <f>IF(Table412[[#This Row],[MAT]]&lt;&gt;"",COUNTIF(Table3[LEVEL 5 MAT NO.],Table412[[#This Row],[MAT]]),"")</f>
        <v>0</v>
      </c>
      <c r="K479" s="36">
        <f>IFERROR(INDEX(Table3[],MATCH($E479,Table3[LEVEL 5 MAT NO.],0),2),0)</f>
        <v>0</v>
      </c>
      <c r="L479" s="36">
        <f>Table412[[#This Row],[Quantity in BOM]]*Table412[[#This Row],[Freq]]</f>
        <v>0</v>
      </c>
      <c r="M479" s="36" t="str">
        <f>IF(Table412[[#This Row],[Exist]]=1,Table412[[#This Row],[MAT]],"")</f>
        <v/>
      </c>
      <c r="N479" s="36" t="str">
        <f>IF(Table412[[#This Row],[Exist]]=1,Table412[[#This Row],[Component]],"")</f>
        <v/>
      </c>
      <c r="O479" s="36">
        <f>IFERROR(VALUE(Table412[[#This Row],[MAT]]&amp;Table412[[#This Row],[X'#]]),IF(COUNTIF(Table412[[#This Row],[MAT]],"*M"),Table412[[#This Row],[MAT]]&amp;Table412[[#This Row],[X'#]],""))</f>
        <v>8863624</v>
      </c>
    </row>
    <row r="480" spans="1:15" x14ac:dyDescent="0.25">
      <c r="A480" s="37">
        <f t="shared" si="8"/>
        <v>25</v>
      </c>
      <c r="C480" s="36" t="s">
        <v>315</v>
      </c>
      <c r="D480" s="36" t="s">
        <v>367</v>
      </c>
      <c r="E480" s="36">
        <v>1000708</v>
      </c>
      <c r="F480" s="36">
        <v>1</v>
      </c>
      <c r="G480" s="36">
        <v>1130200</v>
      </c>
      <c r="H480" s="48" t="str">
        <f>IFERROR(INDEX(Table14[],MATCH($G480,Table14[SAPNo],0),3),"")</f>
        <v>Round 1913 CT182  0.018" (S)</v>
      </c>
      <c r="I480" s="37">
        <v>36</v>
      </c>
      <c r="J480" s="37">
        <f>IF(Table412[[#This Row],[MAT]]&lt;&gt;"",COUNTIF(Table3[LEVEL 5 MAT NO.],Table412[[#This Row],[MAT]]),"")</f>
        <v>0</v>
      </c>
      <c r="K480" s="36">
        <f>IFERROR(INDEX(Table3[],MATCH($E480,Table3[LEVEL 5 MAT NO.],0),2),0)</f>
        <v>0</v>
      </c>
      <c r="L480" s="36">
        <f>Table412[[#This Row],[Quantity in BOM]]*Table412[[#This Row],[Freq]]</f>
        <v>0</v>
      </c>
      <c r="M480" s="36" t="str">
        <f>IF(Table412[[#This Row],[Exist]]=1,Table412[[#This Row],[MAT]],"")</f>
        <v/>
      </c>
      <c r="N480" s="36" t="str">
        <f>IF(Table412[[#This Row],[Exist]]=1,Table412[[#This Row],[Component]],"")</f>
        <v/>
      </c>
      <c r="O480" s="36">
        <f>IFERROR(VALUE(Table412[[#This Row],[MAT]]&amp;Table412[[#This Row],[X'#]]),IF(COUNTIF(Table412[[#This Row],[MAT]],"*M"),Table412[[#This Row],[MAT]]&amp;Table412[[#This Row],[X'#]],""))</f>
        <v>10007081</v>
      </c>
    </row>
    <row r="481" spans="1:15" x14ac:dyDescent="0.25">
      <c r="A481" s="37">
        <f t="shared" si="8"/>
        <v>25</v>
      </c>
      <c r="C481" s="36" t="s">
        <v>315</v>
      </c>
      <c r="D481" s="36" t="s">
        <v>367</v>
      </c>
      <c r="E481" s="36">
        <v>1000708</v>
      </c>
      <c r="F481" s="36">
        <v>2</v>
      </c>
      <c r="G481" s="36">
        <v>1130198</v>
      </c>
      <c r="H481" s="48" t="str">
        <f>IFERROR(INDEX(Table14[],MATCH($G481,Table14[SAPNo],0),3),"")</f>
        <v>Round 1613 CT182  0.018" (S)</v>
      </c>
      <c r="I481" s="37">
        <v>13</v>
      </c>
      <c r="J481" s="37">
        <f>IF(Table412[[#This Row],[MAT]]&lt;&gt;"",COUNTIF(Table3[LEVEL 5 MAT NO.],Table412[[#This Row],[MAT]]),"")</f>
        <v>0</v>
      </c>
      <c r="K481" s="36">
        <f>IFERROR(INDEX(Table3[],MATCH($E481,Table3[LEVEL 5 MAT NO.],0),2),0)</f>
        <v>0</v>
      </c>
      <c r="L481" s="36">
        <f>Table412[[#This Row],[Quantity in BOM]]*Table412[[#This Row],[Freq]]</f>
        <v>0</v>
      </c>
      <c r="M481" s="36" t="str">
        <f>IF(Table412[[#This Row],[Exist]]=1,Table412[[#This Row],[MAT]],"")</f>
        <v/>
      </c>
      <c r="N481" s="36" t="str">
        <f>IF(Table412[[#This Row],[Exist]]=1,Table412[[#This Row],[Component]],"")</f>
        <v/>
      </c>
      <c r="O481" s="36">
        <f>IFERROR(VALUE(Table412[[#This Row],[MAT]]&amp;Table412[[#This Row],[X'#]]),IF(COUNTIF(Table412[[#This Row],[MAT]],"*M"),Table412[[#This Row],[MAT]]&amp;Table412[[#This Row],[X'#]],""))</f>
        <v>10007082</v>
      </c>
    </row>
    <row r="482" spans="1:15" x14ac:dyDescent="0.25">
      <c r="A482" s="37">
        <f t="shared" si="8"/>
        <v>25</v>
      </c>
      <c r="C482" s="36" t="s">
        <v>315</v>
      </c>
      <c r="D482" s="36" t="s">
        <v>367</v>
      </c>
      <c r="E482" s="36">
        <v>1000708</v>
      </c>
      <c r="F482" s="36">
        <v>3</v>
      </c>
      <c r="G482" s="36">
        <v>375538</v>
      </c>
      <c r="H482" s="48" t="str">
        <f>IFERROR(INDEX(Table14[],MATCH($G482,Table14[SAPNo],0),3),"")</f>
        <v>R1 13  R1 PEP .012R LG BEVEL  (D)</v>
      </c>
      <c r="I482" s="37">
        <v>16</v>
      </c>
      <c r="J482" s="37">
        <f>IF(Table412[[#This Row],[MAT]]&lt;&gt;"",COUNTIF(Table3[LEVEL 5 MAT NO.],Table412[[#This Row],[MAT]]),"")</f>
        <v>0</v>
      </c>
      <c r="K482" s="36">
        <f>IFERROR(INDEX(Table3[],MATCH($E482,Table3[LEVEL 5 MAT NO.],0),2),0)</f>
        <v>0</v>
      </c>
      <c r="L482" s="36">
        <f>Table412[[#This Row],[Quantity in BOM]]*Table412[[#This Row],[Freq]]</f>
        <v>0</v>
      </c>
      <c r="M482" s="36" t="str">
        <f>IF(Table412[[#This Row],[Exist]]=1,Table412[[#This Row],[MAT]],"")</f>
        <v/>
      </c>
      <c r="N482" s="36" t="str">
        <f>IF(Table412[[#This Row],[Exist]]=1,Table412[[#This Row],[Component]],"")</f>
        <v/>
      </c>
      <c r="O482" s="36">
        <f>IFERROR(VALUE(Table412[[#This Row],[MAT]]&amp;Table412[[#This Row],[X'#]]),IF(COUNTIF(Table412[[#This Row],[MAT]],"*M"),Table412[[#This Row],[MAT]]&amp;Table412[[#This Row],[X'#]],""))</f>
        <v>10007083</v>
      </c>
    </row>
    <row r="483" spans="1:15" x14ac:dyDescent="0.25">
      <c r="A483" s="37">
        <f t="shared" si="8"/>
        <v>25</v>
      </c>
      <c r="C483" s="36" t="s">
        <v>315</v>
      </c>
      <c r="D483" s="36" t="s">
        <v>367</v>
      </c>
      <c r="E483" s="36">
        <v>1000708</v>
      </c>
      <c r="F483" s="36">
        <v>4</v>
      </c>
      <c r="G483" s="36">
        <v>647436</v>
      </c>
      <c r="H483" s="48" t="str">
        <f>IFERROR(INDEX(Table14[],MATCH($G483,Table14[SAPNo],0),3),"")</f>
        <v>Round 1613 CT200  0.018" (B)</v>
      </c>
      <c r="I483" s="37">
        <v>8</v>
      </c>
      <c r="J483" s="37">
        <f>IF(Table412[[#This Row],[MAT]]&lt;&gt;"",COUNTIF(Table3[LEVEL 5 MAT NO.],Table412[[#This Row],[MAT]]),"")</f>
        <v>0</v>
      </c>
      <c r="K483" s="36">
        <f>IFERROR(INDEX(Table3[],MATCH($E483,Table3[LEVEL 5 MAT NO.],0),2),0)</f>
        <v>0</v>
      </c>
      <c r="L483" s="36">
        <f>Table412[[#This Row],[Quantity in BOM]]*Table412[[#This Row],[Freq]]</f>
        <v>0</v>
      </c>
      <c r="M483" s="36" t="str">
        <f>IF(Table412[[#This Row],[Exist]]=1,Table412[[#This Row],[MAT]],"")</f>
        <v/>
      </c>
      <c r="N483" s="36" t="str">
        <f>IF(Table412[[#This Row],[Exist]]=1,Table412[[#This Row],[Component]],"")</f>
        <v/>
      </c>
      <c r="O483" s="36">
        <f>IFERROR(VALUE(Table412[[#This Row],[MAT]]&amp;Table412[[#This Row],[X'#]]),IF(COUNTIF(Table412[[#This Row],[MAT]],"*M"),Table412[[#This Row],[MAT]]&amp;Table412[[#This Row],[X'#]],""))</f>
        <v>10007084</v>
      </c>
    </row>
    <row r="484" spans="1:15" x14ac:dyDescent="0.25">
      <c r="A484" s="37">
        <f t="shared" si="8"/>
        <v>25</v>
      </c>
      <c r="C484" s="36" t="s">
        <v>315</v>
      </c>
      <c r="D484" s="36" t="s">
        <v>367</v>
      </c>
      <c r="E484" s="36">
        <v>1000708</v>
      </c>
      <c r="F484" s="36">
        <v>5</v>
      </c>
      <c r="G484" s="36">
        <v>418525</v>
      </c>
      <c r="H484" s="48" t="str">
        <f>IFERROR(INDEX(Table14[],MATCH($G484,Table14[SAPNo],0),3),"")</f>
        <v>Drop In 1308 CT31   (B)</v>
      </c>
      <c r="I484" s="37">
        <v>8</v>
      </c>
      <c r="J484" s="37">
        <f>IF(Table412[[#This Row],[MAT]]&lt;&gt;"",COUNTIF(Table3[LEVEL 5 MAT NO.],Table412[[#This Row],[MAT]]),"")</f>
        <v>0</v>
      </c>
      <c r="K484" s="36">
        <f>IFERROR(INDEX(Table3[],MATCH($E484,Table3[LEVEL 5 MAT NO.],0),2),0)</f>
        <v>0</v>
      </c>
      <c r="L484" s="36">
        <f>Table412[[#This Row],[Quantity in BOM]]*Table412[[#This Row],[Freq]]</f>
        <v>0</v>
      </c>
      <c r="M484" s="36" t="str">
        <f>IF(Table412[[#This Row],[Exist]]=1,Table412[[#This Row],[MAT]],"")</f>
        <v/>
      </c>
      <c r="N484" s="36" t="str">
        <f>IF(Table412[[#This Row],[Exist]]=1,Table412[[#This Row],[Component]],"")</f>
        <v/>
      </c>
      <c r="O484" s="36">
        <f>IFERROR(VALUE(Table412[[#This Row],[MAT]]&amp;Table412[[#This Row],[X'#]]),IF(COUNTIF(Table412[[#This Row],[MAT]],"*M"),Table412[[#This Row],[MAT]]&amp;Table412[[#This Row],[X'#]],""))</f>
        <v>10007085</v>
      </c>
    </row>
    <row r="485" spans="1:15" x14ac:dyDescent="0.25">
      <c r="A485" s="37">
        <f t="shared" si="8"/>
        <v>25</v>
      </c>
      <c r="C485" s="36" t="s">
        <v>315</v>
      </c>
      <c r="D485" s="36" t="s">
        <v>367</v>
      </c>
      <c r="E485" s="36">
        <v>1000708</v>
      </c>
      <c r="F485" s="36">
        <v>6</v>
      </c>
      <c r="G485" s="36">
        <v>871781</v>
      </c>
      <c r="H485" s="48" t="str">
        <f>IFERROR(INDEX(Table14[],MATCH($G485,Table14[SAPNo],0),3),"")</f>
        <v>Round 1313 CT200  0.018" (B)</v>
      </c>
      <c r="I485" s="37">
        <v>8</v>
      </c>
      <c r="J485" s="37">
        <f>IF(Table412[[#This Row],[MAT]]&lt;&gt;"",COUNTIF(Table3[LEVEL 5 MAT NO.],Table412[[#This Row],[MAT]]),"")</f>
        <v>0</v>
      </c>
      <c r="K485" s="36">
        <f>IFERROR(INDEX(Table3[],MATCH($E485,Table3[LEVEL 5 MAT NO.],0),2),0)</f>
        <v>0</v>
      </c>
      <c r="L485" s="36">
        <f>Table412[[#This Row],[Quantity in BOM]]*Table412[[#This Row],[Freq]]</f>
        <v>0</v>
      </c>
      <c r="M485" s="36" t="str">
        <f>IF(Table412[[#This Row],[Exist]]=1,Table412[[#This Row],[MAT]],"")</f>
        <v/>
      </c>
      <c r="N485" s="36" t="str">
        <f>IF(Table412[[#This Row],[Exist]]=1,Table412[[#This Row],[Component]],"")</f>
        <v/>
      </c>
      <c r="O485" s="36">
        <f>IFERROR(VALUE(Table412[[#This Row],[MAT]]&amp;Table412[[#This Row],[X'#]]),IF(COUNTIF(Table412[[#This Row],[MAT]],"*M"),Table412[[#This Row],[MAT]]&amp;Table412[[#This Row],[X'#]],""))</f>
        <v>10007086</v>
      </c>
    </row>
    <row r="486" spans="1:15" x14ac:dyDescent="0.25">
      <c r="A486" s="37">
        <f t="shared" si="8"/>
        <v>25</v>
      </c>
      <c r="C486" s="36" t="s">
        <v>316</v>
      </c>
      <c r="D486" s="36" t="s">
        <v>3690</v>
      </c>
      <c r="E486" s="36">
        <v>1094728</v>
      </c>
      <c r="F486" s="36">
        <v>1</v>
      </c>
      <c r="G486" s="36">
        <v>1130198</v>
      </c>
      <c r="H486" s="48" t="str">
        <f>IFERROR(INDEX(Table14[],MATCH($G486,Table14[SAPNo],0),3),"")</f>
        <v>Round 1613 CT182  0.018" (S)</v>
      </c>
      <c r="I486" s="37">
        <v>67</v>
      </c>
      <c r="J486" s="37">
        <f>IF(Table412[[#This Row],[MAT]]&lt;&gt;"",COUNTIF(Table3[LEVEL 5 MAT NO.],Table412[[#This Row],[MAT]]),"")</f>
        <v>0</v>
      </c>
      <c r="K486" s="36">
        <f>IFERROR(INDEX(Table3[],MATCH($E486,Table3[LEVEL 5 MAT NO.],0),2),0)</f>
        <v>0</v>
      </c>
      <c r="L486" s="36">
        <f>Table412[[#This Row],[Quantity in BOM]]*Table412[[#This Row],[Freq]]</f>
        <v>0</v>
      </c>
      <c r="M486" s="36" t="str">
        <f>IF(Table412[[#This Row],[Exist]]=1,Table412[[#This Row],[MAT]],"")</f>
        <v/>
      </c>
      <c r="N486" s="36" t="str">
        <f>IF(Table412[[#This Row],[Exist]]=1,Table412[[#This Row],[Component]],"")</f>
        <v/>
      </c>
      <c r="O486" s="36">
        <f>IFERROR(VALUE(Table412[[#This Row],[MAT]]&amp;Table412[[#This Row],[X'#]]),IF(COUNTIF(Table412[[#This Row],[MAT]],"*M"),Table412[[#This Row],[MAT]]&amp;Table412[[#This Row],[X'#]],""))</f>
        <v>10947281</v>
      </c>
    </row>
    <row r="487" spans="1:15" x14ac:dyDescent="0.25">
      <c r="A487" s="37">
        <f t="shared" si="8"/>
        <v>25</v>
      </c>
      <c r="C487" s="36" t="s">
        <v>316</v>
      </c>
      <c r="D487" s="36" t="s">
        <v>3690</v>
      </c>
      <c r="E487" s="36">
        <v>1094728</v>
      </c>
      <c r="F487" s="36">
        <v>2</v>
      </c>
      <c r="G487" s="36">
        <v>1130196</v>
      </c>
      <c r="H487" s="48" t="str">
        <f>IFERROR(INDEX(Table14[],MATCH($G487,Table14[SAPNo],0),3),"")</f>
        <v>Round 1313 CT182  0.018" (S)</v>
      </c>
      <c r="I487" s="37">
        <v>10</v>
      </c>
      <c r="J487" s="37">
        <f>IF(Table412[[#This Row],[MAT]]&lt;&gt;"",COUNTIF(Table3[LEVEL 5 MAT NO.],Table412[[#This Row],[MAT]]),"")</f>
        <v>0</v>
      </c>
      <c r="K487" s="36">
        <f>IFERROR(INDEX(Table3[],MATCH($E487,Table3[LEVEL 5 MAT NO.],0),2),0)</f>
        <v>0</v>
      </c>
      <c r="L487" s="36">
        <f>Table412[[#This Row],[Quantity in BOM]]*Table412[[#This Row],[Freq]]</f>
        <v>0</v>
      </c>
      <c r="M487" s="36" t="str">
        <f>IF(Table412[[#This Row],[Exist]]=1,Table412[[#This Row],[MAT]],"")</f>
        <v/>
      </c>
      <c r="N487" s="36" t="str">
        <f>IF(Table412[[#This Row],[Exist]]=1,Table412[[#This Row],[Component]],"")</f>
        <v/>
      </c>
      <c r="O487" s="36">
        <f>IFERROR(VALUE(Table412[[#This Row],[MAT]]&amp;Table412[[#This Row],[X'#]]),IF(COUNTIF(Table412[[#This Row],[MAT]],"*M"),Table412[[#This Row],[MAT]]&amp;Table412[[#This Row],[X'#]],""))</f>
        <v>10947282</v>
      </c>
    </row>
    <row r="488" spans="1:15" x14ac:dyDescent="0.25">
      <c r="A488" s="37">
        <f t="shared" si="8"/>
        <v>25</v>
      </c>
      <c r="C488" s="36" t="s">
        <v>316</v>
      </c>
      <c r="D488" s="36" t="s">
        <v>3690</v>
      </c>
      <c r="E488" s="36">
        <v>1094728</v>
      </c>
      <c r="F488" s="36">
        <v>3</v>
      </c>
      <c r="G488" s="36">
        <v>1037276</v>
      </c>
      <c r="H488" s="48" t="str">
        <f>IFERROR(INDEX(Table14[],MATCH($G488,Table14[SAPNo],0),3),"")</f>
        <v/>
      </c>
      <c r="I488" s="37">
        <v>9</v>
      </c>
      <c r="J488" s="37">
        <f>IF(Table412[[#This Row],[MAT]]&lt;&gt;"",COUNTIF(Table3[LEVEL 5 MAT NO.],Table412[[#This Row],[MAT]]),"")</f>
        <v>0</v>
      </c>
      <c r="K488" s="36">
        <f>IFERROR(INDEX(Table3[],MATCH($E488,Table3[LEVEL 5 MAT NO.],0),2),0)</f>
        <v>0</v>
      </c>
      <c r="L488" s="36">
        <f>Table412[[#This Row],[Quantity in BOM]]*Table412[[#This Row],[Freq]]</f>
        <v>0</v>
      </c>
      <c r="M488" s="36" t="str">
        <f>IF(Table412[[#This Row],[Exist]]=1,Table412[[#This Row],[MAT]],"")</f>
        <v/>
      </c>
      <c r="N488" s="36" t="str">
        <f>IF(Table412[[#This Row],[Exist]]=1,Table412[[#This Row],[Component]],"")</f>
        <v/>
      </c>
      <c r="O488" s="36">
        <f>IFERROR(VALUE(Table412[[#This Row],[MAT]]&amp;Table412[[#This Row],[X'#]]),IF(COUNTIF(Table412[[#This Row],[MAT]],"*M"),Table412[[#This Row],[MAT]]&amp;Table412[[#This Row],[X'#]],""))</f>
        <v>10947283</v>
      </c>
    </row>
    <row r="489" spans="1:15" x14ac:dyDescent="0.25">
      <c r="A489" s="37">
        <f t="shared" si="8"/>
        <v>25</v>
      </c>
      <c r="C489" s="36" t="s">
        <v>316</v>
      </c>
      <c r="D489" s="36" t="s">
        <v>3690</v>
      </c>
      <c r="E489" s="36">
        <v>1094728</v>
      </c>
      <c r="F489" s="36">
        <v>4</v>
      </c>
      <c r="G489" s="36">
        <v>647436</v>
      </c>
      <c r="H489" s="48" t="str">
        <f>IFERROR(INDEX(Table14[],MATCH($G489,Table14[SAPNo],0),3),"")</f>
        <v>Round 1613 CT200  0.018" (B)</v>
      </c>
      <c r="I489" s="37">
        <v>3</v>
      </c>
      <c r="J489" s="37">
        <f>IF(Table412[[#This Row],[MAT]]&lt;&gt;"",COUNTIF(Table3[LEVEL 5 MAT NO.],Table412[[#This Row],[MAT]]),"")</f>
        <v>0</v>
      </c>
      <c r="K489" s="36">
        <f>IFERROR(INDEX(Table3[],MATCH($E489,Table3[LEVEL 5 MAT NO.],0),2),0)</f>
        <v>0</v>
      </c>
      <c r="L489" s="36">
        <f>Table412[[#This Row],[Quantity in BOM]]*Table412[[#This Row],[Freq]]</f>
        <v>0</v>
      </c>
      <c r="M489" s="36" t="str">
        <f>IF(Table412[[#This Row],[Exist]]=1,Table412[[#This Row],[MAT]],"")</f>
        <v/>
      </c>
      <c r="N489" s="36" t="str">
        <f>IF(Table412[[#This Row],[Exist]]=1,Table412[[#This Row],[Component]],"")</f>
        <v/>
      </c>
      <c r="O489" s="36">
        <f>IFERROR(VALUE(Table412[[#This Row],[MAT]]&amp;Table412[[#This Row],[X'#]]),IF(COUNTIF(Table412[[#This Row],[MAT]],"*M"),Table412[[#This Row],[MAT]]&amp;Table412[[#This Row],[X'#]],""))</f>
        <v>10947284</v>
      </c>
    </row>
    <row r="490" spans="1:15" x14ac:dyDescent="0.25">
      <c r="A490" s="37">
        <f t="shared" si="8"/>
        <v>25</v>
      </c>
      <c r="C490" s="36" t="s">
        <v>3691</v>
      </c>
      <c r="D490" s="36" t="s">
        <v>3692</v>
      </c>
      <c r="E490" s="36">
        <v>1108207</v>
      </c>
      <c r="F490" s="36">
        <v>1</v>
      </c>
      <c r="G490" s="36">
        <v>1130200</v>
      </c>
      <c r="H490" s="48" t="str">
        <f>IFERROR(INDEX(Table14[],MATCH($G490,Table14[SAPNo],0),3),"")</f>
        <v>Round 1913 CT182  0.018" (S)</v>
      </c>
      <c r="I490" s="37">
        <v>78</v>
      </c>
      <c r="J490" s="37">
        <f>IF(Table412[[#This Row],[MAT]]&lt;&gt;"",COUNTIF(Table3[LEVEL 5 MAT NO.],Table412[[#This Row],[MAT]]),"")</f>
        <v>0</v>
      </c>
      <c r="K490" s="36">
        <f>IFERROR(INDEX(Table3[],MATCH($E490,Table3[LEVEL 5 MAT NO.],0),2),0)</f>
        <v>0</v>
      </c>
      <c r="L490" s="36">
        <f>Table412[[#This Row],[Quantity in BOM]]*Table412[[#This Row],[Freq]]</f>
        <v>0</v>
      </c>
      <c r="M490" s="36" t="str">
        <f>IF(Table412[[#This Row],[Exist]]=1,Table412[[#This Row],[MAT]],"")</f>
        <v/>
      </c>
      <c r="N490" s="36" t="str">
        <f>IF(Table412[[#This Row],[Exist]]=1,Table412[[#This Row],[Component]],"")</f>
        <v/>
      </c>
      <c r="O490" s="36">
        <f>IFERROR(VALUE(Table412[[#This Row],[MAT]]&amp;Table412[[#This Row],[X'#]]),IF(COUNTIF(Table412[[#This Row],[MAT]],"*M"),Table412[[#This Row],[MAT]]&amp;Table412[[#This Row],[X'#]],""))</f>
        <v>11082071</v>
      </c>
    </row>
    <row r="491" spans="1:15" x14ac:dyDescent="0.25">
      <c r="A491" s="37">
        <f t="shared" si="8"/>
        <v>25</v>
      </c>
      <c r="C491" s="36" t="s">
        <v>3691</v>
      </c>
      <c r="D491" s="36" t="s">
        <v>3692</v>
      </c>
      <c r="E491" s="36">
        <v>1108207</v>
      </c>
      <c r="F491" s="36">
        <v>2</v>
      </c>
      <c r="G491" s="36">
        <v>179734</v>
      </c>
      <c r="H491" s="48" t="str">
        <f>IFERROR(INDEX(Table14[],MATCH($G491,Table14[SAPNo],0),3),"")</f>
        <v>Long IPA 13    (C)</v>
      </c>
      <c r="I491" s="37">
        <v>75</v>
      </c>
      <c r="J491" s="37">
        <f>IF(Table412[[#This Row],[MAT]]&lt;&gt;"",COUNTIF(Table3[LEVEL 5 MAT NO.],Table412[[#This Row],[MAT]]),"")</f>
        <v>0</v>
      </c>
      <c r="K491" s="36">
        <f>IFERROR(INDEX(Table3[],MATCH($E491,Table3[LEVEL 5 MAT NO.],0),2),0)</f>
        <v>0</v>
      </c>
      <c r="L491" s="36">
        <f>Table412[[#This Row],[Quantity in BOM]]*Table412[[#This Row],[Freq]]</f>
        <v>0</v>
      </c>
      <c r="M491" s="36" t="str">
        <f>IF(Table412[[#This Row],[Exist]]=1,Table412[[#This Row],[MAT]],"")</f>
        <v/>
      </c>
      <c r="N491" s="36" t="str">
        <f>IF(Table412[[#This Row],[Exist]]=1,Table412[[#This Row],[Component]],"")</f>
        <v/>
      </c>
      <c r="O491" s="36">
        <f>IFERROR(VALUE(Table412[[#This Row],[MAT]]&amp;Table412[[#This Row],[X'#]]),IF(COUNTIF(Table412[[#This Row],[MAT]],"*M"),Table412[[#This Row],[MAT]]&amp;Table412[[#This Row],[X'#]],""))</f>
        <v>11082072</v>
      </c>
    </row>
    <row r="492" spans="1:15" x14ac:dyDescent="0.25">
      <c r="A492" s="37">
        <f t="shared" si="8"/>
        <v>25</v>
      </c>
      <c r="C492" s="36" t="s">
        <v>3691</v>
      </c>
      <c r="D492" s="36" t="s">
        <v>3692</v>
      </c>
      <c r="E492" s="36">
        <v>1108207</v>
      </c>
      <c r="F492" s="36">
        <v>3</v>
      </c>
      <c r="G492" s="36">
        <v>410851</v>
      </c>
      <c r="H492" s="48" t="str">
        <f>IFERROR(INDEX(Table14[],MATCH($G492,Table14[SAPNo],0),3),"")</f>
        <v>PDC Dome 1308 CT31   (B)</v>
      </c>
      <c r="I492" s="37">
        <v>54</v>
      </c>
      <c r="J492" s="37">
        <f>IF(Table412[[#This Row],[MAT]]&lt;&gt;"",COUNTIF(Table3[LEVEL 5 MAT NO.],Table412[[#This Row],[MAT]]),"")</f>
        <v>0</v>
      </c>
      <c r="K492" s="36">
        <f>IFERROR(INDEX(Table3[],MATCH($E492,Table3[LEVEL 5 MAT NO.],0),2),0)</f>
        <v>0</v>
      </c>
      <c r="L492" s="36">
        <f>Table412[[#This Row],[Quantity in BOM]]*Table412[[#This Row],[Freq]]</f>
        <v>0</v>
      </c>
      <c r="M492" s="36" t="str">
        <f>IF(Table412[[#This Row],[Exist]]=1,Table412[[#This Row],[MAT]],"")</f>
        <v/>
      </c>
      <c r="N492" s="36" t="str">
        <f>IF(Table412[[#This Row],[Exist]]=1,Table412[[#This Row],[Component]],"")</f>
        <v/>
      </c>
      <c r="O492" s="36">
        <f>IFERROR(VALUE(Table412[[#This Row],[MAT]]&amp;Table412[[#This Row],[X'#]]),IF(COUNTIF(Table412[[#This Row],[MAT]],"*M"),Table412[[#This Row],[MAT]]&amp;Table412[[#This Row],[X'#]],""))</f>
        <v>11082073</v>
      </c>
    </row>
    <row r="493" spans="1:15" x14ac:dyDescent="0.25">
      <c r="A493" s="37">
        <f t="shared" si="8"/>
        <v>25</v>
      </c>
      <c r="C493" s="36" t="s">
        <v>3691</v>
      </c>
      <c r="D493" s="36" t="s">
        <v>3692</v>
      </c>
      <c r="E493" s="36">
        <v>1108207</v>
      </c>
      <c r="F493" s="36">
        <v>4</v>
      </c>
      <c r="G493" s="36">
        <v>983152</v>
      </c>
      <c r="H493" s="48" t="str">
        <f>IFERROR(INDEX(Table14[],MATCH($G493,Table14[SAPNo],0),3),"")</f>
        <v>Round 1913 CT216  0.018" (S)</v>
      </c>
      <c r="I493" s="37">
        <v>27</v>
      </c>
      <c r="J493" s="37">
        <f>IF(Table412[[#This Row],[MAT]]&lt;&gt;"",COUNTIF(Table3[LEVEL 5 MAT NO.],Table412[[#This Row],[MAT]]),"")</f>
        <v>0</v>
      </c>
      <c r="K493" s="36">
        <f>IFERROR(INDEX(Table3[],MATCH($E493,Table3[LEVEL 5 MAT NO.],0),2),0)</f>
        <v>0</v>
      </c>
      <c r="L493" s="36">
        <f>Table412[[#This Row],[Quantity in BOM]]*Table412[[#This Row],[Freq]]</f>
        <v>0</v>
      </c>
      <c r="M493" s="36" t="str">
        <f>IF(Table412[[#This Row],[Exist]]=1,Table412[[#This Row],[MAT]],"")</f>
        <v/>
      </c>
      <c r="N493" s="36" t="str">
        <f>IF(Table412[[#This Row],[Exist]]=1,Table412[[#This Row],[Component]],"")</f>
        <v/>
      </c>
      <c r="O493" s="36">
        <f>IFERROR(VALUE(Table412[[#This Row],[MAT]]&amp;Table412[[#This Row],[X'#]]),IF(COUNTIF(Table412[[#This Row],[MAT]],"*M"),Table412[[#This Row],[MAT]]&amp;Table412[[#This Row],[X'#]],""))</f>
        <v>11082074</v>
      </c>
    </row>
    <row r="494" spans="1:15" x14ac:dyDescent="0.25">
      <c r="A494" s="37">
        <f t="shared" si="8"/>
        <v>25</v>
      </c>
      <c r="C494" s="36" t="s">
        <v>3691</v>
      </c>
      <c r="D494" s="36" t="s">
        <v>3692</v>
      </c>
      <c r="E494" s="36">
        <v>1108207</v>
      </c>
      <c r="F494" s="36">
        <v>5</v>
      </c>
      <c r="G494" s="36">
        <v>1039064</v>
      </c>
      <c r="H494" s="48" t="str">
        <f>IFERROR(INDEX(Table14[],MATCH($G494,Table14[SAPNo],0),3),"")</f>
        <v>Round 1913 CT138 TSP V 0.018" (S)</v>
      </c>
      <c r="I494" s="37">
        <v>27</v>
      </c>
      <c r="J494" s="37">
        <f>IF(Table412[[#This Row],[MAT]]&lt;&gt;"",COUNTIF(Table3[LEVEL 5 MAT NO.],Table412[[#This Row],[MAT]]),"")</f>
        <v>0</v>
      </c>
      <c r="K494" s="36">
        <f>IFERROR(INDEX(Table3[],MATCH($E494,Table3[LEVEL 5 MAT NO.],0),2),0)</f>
        <v>0</v>
      </c>
      <c r="L494" s="36">
        <f>Table412[[#This Row],[Quantity in BOM]]*Table412[[#This Row],[Freq]]</f>
        <v>0</v>
      </c>
      <c r="M494" s="36" t="str">
        <f>IF(Table412[[#This Row],[Exist]]=1,Table412[[#This Row],[MAT]],"")</f>
        <v/>
      </c>
      <c r="N494" s="36" t="str">
        <f>IF(Table412[[#This Row],[Exist]]=1,Table412[[#This Row],[Component]],"")</f>
        <v/>
      </c>
      <c r="O494" s="36">
        <f>IFERROR(VALUE(Table412[[#This Row],[MAT]]&amp;Table412[[#This Row],[X'#]]),IF(COUNTIF(Table412[[#This Row],[MAT]],"*M"),Table412[[#This Row],[MAT]]&amp;Table412[[#This Row],[X'#]],""))</f>
        <v>11082075</v>
      </c>
    </row>
    <row r="495" spans="1:15" x14ac:dyDescent="0.25">
      <c r="A495" s="37">
        <f t="shared" si="8"/>
        <v>25</v>
      </c>
      <c r="C495" s="36" t="s">
        <v>3691</v>
      </c>
      <c r="D495" s="36" t="s">
        <v>3692</v>
      </c>
      <c r="E495" s="36">
        <v>1108207</v>
      </c>
      <c r="F495" s="36">
        <v>6</v>
      </c>
      <c r="G495" s="36">
        <v>418525</v>
      </c>
      <c r="H495" s="48" t="str">
        <f>IFERROR(INDEX(Table14[],MATCH($G495,Table14[SAPNo],0),3),"")</f>
        <v>Drop In 1308 CT31   (B)</v>
      </c>
      <c r="I495" s="37">
        <v>18</v>
      </c>
      <c r="J495" s="37">
        <f>IF(Table412[[#This Row],[MAT]]&lt;&gt;"",COUNTIF(Table3[LEVEL 5 MAT NO.],Table412[[#This Row],[MAT]]),"")</f>
        <v>0</v>
      </c>
      <c r="K495" s="36">
        <f>IFERROR(INDEX(Table3[],MATCH($E495,Table3[LEVEL 5 MAT NO.],0),2),0)</f>
        <v>0</v>
      </c>
      <c r="L495" s="36">
        <f>Table412[[#This Row],[Quantity in BOM]]*Table412[[#This Row],[Freq]]</f>
        <v>0</v>
      </c>
      <c r="M495" s="36" t="str">
        <f>IF(Table412[[#This Row],[Exist]]=1,Table412[[#This Row],[MAT]],"")</f>
        <v/>
      </c>
      <c r="N495" s="36" t="str">
        <f>IF(Table412[[#This Row],[Exist]]=1,Table412[[#This Row],[Component]],"")</f>
        <v/>
      </c>
      <c r="O495" s="36">
        <f>IFERROR(VALUE(Table412[[#This Row],[MAT]]&amp;Table412[[#This Row],[X'#]]),IF(COUNTIF(Table412[[#This Row],[MAT]],"*M"),Table412[[#This Row],[MAT]]&amp;Table412[[#This Row],[X'#]],""))</f>
        <v>11082076</v>
      </c>
    </row>
    <row r="496" spans="1:15" x14ac:dyDescent="0.25">
      <c r="A496" s="37">
        <f t="shared" si="8"/>
        <v>25</v>
      </c>
      <c r="C496" s="36" t="s">
        <v>309</v>
      </c>
      <c r="D496" s="36" t="s">
        <v>312</v>
      </c>
      <c r="E496" s="36">
        <v>1149944</v>
      </c>
      <c r="F496" s="36">
        <v>1</v>
      </c>
      <c r="G496" s="36">
        <v>1100696</v>
      </c>
      <c r="H496" s="48" t="str">
        <f>IFERROR(INDEX(Table14[],MATCH($G496,Table14[SAPNo],0),3),"")</f>
        <v>Round 1313 CT418  10C (S)</v>
      </c>
      <c r="I496" s="37">
        <v>9</v>
      </c>
      <c r="J496" s="37">
        <f>IF(Table412[[#This Row],[MAT]]&lt;&gt;"",COUNTIF(Table3[LEVEL 5 MAT NO.],Table412[[#This Row],[MAT]]),"")</f>
        <v>0</v>
      </c>
      <c r="K496" s="36">
        <f>IFERROR(INDEX(Table3[],MATCH($E496,Table3[LEVEL 5 MAT NO.],0),2),0)</f>
        <v>0</v>
      </c>
      <c r="L496" s="36">
        <f>Table412[[#This Row],[Quantity in BOM]]*Table412[[#This Row],[Freq]]</f>
        <v>0</v>
      </c>
      <c r="M496" s="36" t="str">
        <f>IF(Table412[[#This Row],[Exist]]=1,Table412[[#This Row],[MAT]],"")</f>
        <v/>
      </c>
      <c r="N496" s="36" t="str">
        <f>IF(Table412[[#This Row],[Exist]]=1,Table412[[#This Row],[Component]],"")</f>
        <v/>
      </c>
      <c r="O496" s="36">
        <f>IFERROR(VALUE(Table412[[#This Row],[MAT]]&amp;Table412[[#This Row],[X'#]]),IF(COUNTIF(Table412[[#This Row],[MAT]],"*M"),Table412[[#This Row],[MAT]]&amp;Table412[[#This Row],[X'#]],""))</f>
        <v>11499441</v>
      </c>
    </row>
    <row r="497" spans="1:15" x14ac:dyDescent="0.25">
      <c r="A497" s="37">
        <f t="shared" si="8"/>
        <v>25</v>
      </c>
      <c r="C497" s="36" t="s">
        <v>309</v>
      </c>
      <c r="D497" s="36" t="s">
        <v>312</v>
      </c>
      <c r="E497" s="36">
        <v>1149944</v>
      </c>
      <c r="F497" s="36">
        <v>2</v>
      </c>
      <c r="G497" s="36">
        <v>871781</v>
      </c>
      <c r="H497" s="48" t="str">
        <f>IFERROR(INDEX(Table14[],MATCH($G497,Table14[SAPNo],0),3),"")</f>
        <v>Round 1313 CT200  0.018" (B)</v>
      </c>
      <c r="I497" s="37">
        <v>6</v>
      </c>
      <c r="J497" s="37">
        <f>IF(Table412[[#This Row],[MAT]]&lt;&gt;"",COUNTIF(Table3[LEVEL 5 MAT NO.],Table412[[#This Row],[MAT]]),"")</f>
        <v>0</v>
      </c>
      <c r="K497" s="36">
        <f>IFERROR(INDEX(Table3[],MATCH($E497,Table3[LEVEL 5 MAT NO.],0),2),0)</f>
        <v>0</v>
      </c>
      <c r="L497" s="36">
        <f>Table412[[#This Row],[Quantity in BOM]]*Table412[[#This Row],[Freq]]</f>
        <v>0</v>
      </c>
      <c r="M497" s="36" t="str">
        <f>IF(Table412[[#This Row],[Exist]]=1,Table412[[#This Row],[MAT]],"")</f>
        <v/>
      </c>
      <c r="N497" s="36" t="str">
        <f>IF(Table412[[#This Row],[Exist]]=1,Table412[[#This Row],[Component]],"")</f>
        <v/>
      </c>
      <c r="O497" s="36">
        <f>IFERROR(VALUE(Table412[[#This Row],[MAT]]&amp;Table412[[#This Row],[X'#]]),IF(COUNTIF(Table412[[#This Row],[MAT]],"*M"),Table412[[#This Row],[MAT]]&amp;Table412[[#This Row],[X'#]],""))</f>
        <v>11499442</v>
      </c>
    </row>
    <row r="498" spans="1:15" x14ac:dyDescent="0.25">
      <c r="A498" s="37">
        <f t="shared" si="8"/>
        <v>25</v>
      </c>
      <c r="C498" s="36" t="s">
        <v>309</v>
      </c>
      <c r="D498" s="36" t="s">
        <v>312</v>
      </c>
      <c r="E498" s="36">
        <v>1149944</v>
      </c>
      <c r="F498" s="36">
        <v>3</v>
      </c>
      <c r="G498" s="36">
        <v>1146740</v>
      </c>
      <c r="H498" s="48" t="str">
        <f>IFERROR(INDEX(Table14[],MATCH($G498,Table14[SAPNo],0),3),"")</f>
        <v>Round 1313 CT418 60deg 10C (S)</v>
      </c>
      <c r="I498" s="37">
        <v>21</v>
      </c>
      <c r="J498" s="37">
        <f>IF(Table412[[#This Row],[MAT]]&lt;&gt;"",COUNTIF(Table3[LEVEL 5 MAT NO.],Table412[[#This Row],[MAT]]),"")</f>
        <v>0</v>
      </c>
      <c r="K498" s="36">
        <f>IFERROR(INDEX(Table3[],MATCH($E498,Table3[LEVEL 5 MAT NO.],0),2),0)</f>
        <v>0</v>
      </c>
      <c r="L498" s="36">
        <f>Table412[[#This Row],[Quantity in BOM]]*Table412[[#This Row],[Freq]]</f>
        <v>0</v>
      </c>
      <c r="M498" s="36" t="str">
        <f>IF(Table412[[#This Row],[Exist]]=1,Table412[[#This Row],[MAT]],"")</f>
        <v/>
      </c>
      <c r="N498" s="36" t="str">
        <f>IF(Table412[[#This Row],[Exist]]=1,Table412[[#This Row],[Component]],"")</f>
        <v/>
      </c>
      <c r="O498" s="36">
        <f>IFERROR(VALUE(Table412[[#This Row],[MAT]]&amp;Table412[[#This Row],[X'#]]),IF(COUNTIF(Table412[[#This Row],[MAT]],"*M"),Table412[[#This Row],[MAT]]&amp;Table412[[#This Row],[X'#]],""))</f>
        <v>11499443</v>
      </c>
    </row>
    <row r="499" spans="1:15" x14ac:dyDescent="0.25">
      <c r="A499" s="37">
        <f t="shared" si="8"/>
        <v>25</v>
      </c>
      <c r="C499" s="36" t="s">
        <v>304</v>
      </c>
      <c r="D499" s="36" t="s">
        <v>636</v>
      </c>
      <c r="E499" s="36">
        <v>1084341</v>
      </c>
      <c r="F499" s="36">
        <v>2</v>
      </c>
      <c r="G499" s="36">
        <v>1050785</v>
      </c>
      <c r="H499" s="48" t="str">
        <f>IFERROR(INDEX(Table14[],MATCH($G499,Table14[SAPNo],0),3),"")</f>
        <v>Round 1005 CT138  10C (S)</v>
      </c>
      <c r="I499" s="37">
        <v>14</v>
      </c>
      <c r="J499" s="37">
        <f>IF(Table412[[#This Row],[MAT]]&lt;&gt;"",COUNTIF(Table3[LEVEL 5 MAT NO.],Table412[[#This Row],[MAT]]),"")</f>
        <v>0</v>
      </c>
      <c r="K499" s="36">
        <f>IFERROR(INDEX(Table3[],MATCH($E499,Table3[LEVEL 5 MAT NO.],0),2),0)</f>
        <v>0</v>
      </c>
      <c r="L499" s="36">
        <f>Table412[[#This Row],[Quantity in BOM]]*Table412[[#This Row],[Freq]]</f>
        <v>0</v>
      </c>
      <c r="M499" s="36" t="str">
        <f>IF(Table412[[#This Row],[Exist]]=1,Table412[[#This Row],[MAT]],"")</f>
        <v/>
      </c>
      <c r="N499" s="36" t="str">
        <f>IF(Table412[[#This Row],[Exist]]=1,Table412[[#This Row],[Component]],"")</f>
        <v/>
      </c>
      <c r="O499" s="36">
        <f>IFERROR(VALUE(Table412[[#This Row],[MAT]]&amp;Table412[[#This Row],[X'#]]),IF(COUNTIF(Table412[[#This Row],[MAT]],"*M"),Table412[[#This Row],[MAT]]&amp;Table412[[#This Row],[X'#]],""))</f>
        <v>10843412</v>
      </c>
    </row>
    <row r="500" spans="1:15" x14ac:dyDescent="0.25">
      <c r="A500" s="37">
        <f t="shared" si="8"/>
        <v>25</v>
      </c>
      <c r="C500" s="36" t="s">
        <v>3689</v>
      </c>
      <c r="D500" s="36" t="s">
        <v>286</v>
      </c>
      <c r="E500" s="36">
        <v>1121983</v>
      </c>
      <c r="F500" s="36">
        <v>3</v>
      </c>
      <c r="G500" s="36">
        <v>1022971</v>
      </c>
      <c r="H500" s="48" t="str">
        <f>IFERROR(INDEX(Table14[],MATCH($G500,Table14[SAPNo],0),3),"")</f>
        <v xml:space="preserve"> 1613 CT182M  0.01 (S)</v>
      </c>
      <c r="I500" s="37">
        <v>10</v>
      </c>
      <c r="J500" s="37">
        <f>IF(Table412[[#This Row],[MAT]]&lt;&gt;"",COUNTIF(Table3[LEVEL 5 MAT NO.],Table412[[#This Row],[MAT]]),"")</f>
        <v>0</v>
      </c>
      <c r="K500" s="36">
        <f>IFERROR(INDEX(Table3[],MATCH($E500,Table3[LEVEL 5 MAT NO.],0),2),0)</f>
        <v>0</v>
      </c>
      <c r="L500" s="36">
        <f>Table412[[#This Row],[Quantity in BOM]]*Table412[[#This Row],[Freq]]</f>
        <v>0</v>
      </c>
      <c r="M500" s="36" t="str">
        <f>IF(Table412[[#This Row],[Exist]]=1,Table412[[#This Row],[MAT]],"")</f>
        <v/>
      </c>
      <c r="N500" s="36" t="str">
        <f>IF(Table412[[#This Row],[Exist]]=1,Table412[[#This Row],[Component]],"")</f>
        <v/>
      </c>
      <c r="O500" s="36">
        <f>IFERROR(VALUE(Table412[[#This Row],[MAT]]&amp;Table412[[#This Row],[X'#]]),IF(COUNTIF(Table412[[#This Row],[MAT]],"*M"),Table412[[#This Row],[MAT]]&amp;Table412[[#This Row],[X'#]],""))</f>
        <v>11219833</v>
      </c>
    </row>
    <row r="501" spans="1:15" x14ac:dyDescent="0.25">
      <c r="A501" s="37">
        <f t="shared" si="8"/>
        <v>25</v>
      </c>
      <c r="C501" s="36" t="s">
        <v>3689</v>
      </c>
      <c r="D501" s="36" t="s">
        <v>286</v>
      </c>
      <c r="E501" s="36">
        <v>1121983</v>
      </c>
      <c r="F501" s="36">
        <v>4</v>
      </c>
      <c r="G501" s="36">
        <v>871781</v>
      </c>
      <c r="H501" s="48" t="str">
        <f>IFERROR(INDEX(Table14[],MATCH($G501,Table14[SAPNo],0),3),"")</f>
        <v>Round 1313 CT200  0.018" (B)</v>
      </c>
      <c r="I501" s="37">
        <v>3</v>
      </c>
      <c r="J501" s="37">
        <f>IF(Table412[[#This Row],[MAT]]&lt;&gt;"",COUNTIF(Table3[LEVEL 5 MAT NO.],Table412[[#This Row],[MAT]]),"")</f>
        <v>0</v>
      </c>
      <c r="K501" s="36">
        <f>IFERROR(INDEX(Table3[],MATCH($E501,Table3[LEVEL 5 MAT NO.],0),2),0)</f>
        <v>0</v>
      </c>
      <c r="L501" s="36">
        <f>Table412[[#This Row],[Quantity in BOM]]*Table412[[#This Row],[Freq]]</f>
        <v>0</v>
      </c>
      <c r="M501" s="36" t="str">
        <f>IF(Table412[[#This Row],[Exist]]=1,Table412[[#This Row],[MAT]],"")</f>
        <v/>
      </c>
      <c r="N501" s="36" t="str">
        <f>IF(Table412[[#This Row],[Exist]]=1,Table412[[#This Row],[Component]],"")</f>
        <v/>
      </c>
      <c r="O501" s="36">
        <f>IFERROR(VALUE(Table412[[#This Row],[MAT]]&amp;Table412[[#This Row],[X'#]]),IF(COUNTIF(Table412[[#This Row],[MAT]],"*M"),Table412[[#This Row],[MAT]]&amp;Table412[[#This Row],[X'#]],""))</f>
        <v>11219834</v>
      </c>
    </row>
    <row r="502" spans="1:15" x14ac:dyDescent="0.25">
      <c r="A502" s="37">
        <f t="shared" si="8"/>
        <v>25</v>
      </c>
      <c r="C502" s="36" t="s">
        <v>3689</v>
      </c>
      <c r="D502" s="36" t="s">
        <v>286</v>
      </c>
      <c r="E502" s="36">
        <v>1121983</v>
      </c>
      <c r="F502" s="36">
        <v>5</v>
      </c>
      <c r="G502" s="36">
        <v>418525</v>
      </c>
      <c r="H502" s="48" t="str">
        <f>IFERROR(INDEX(Table14[],MATCH($G502,Table14[SAPNo],0),3),"")</f>
        <v>Drop In 1308 CT31   (B)</v>
      </c>
      <c r="I502" s="37">
        <v>2</v>
      </c>
      <c r="J502" s="37">
        <f>IF(Table412[[#This Row],[MAT]]&lt;&gt;"",COUNTIF(Table3[LEVEL 5 MAT NO.],Table412[[#This Row],[MAT]]),"")</f>
        <v>0</v>
      </c>
      <c r="K502" s="36">
        <f>IFERROR(INDEX(Table3[],MATCH($E502,Table3[LEVEL 5 MAT NO.],0),2),0)</f>
        <v>0</v>
      </c>
      <c r="L502" s="36">
        <f>Table412[[#This Row],[Quantity in BOM]]*Table412[[#This Row],[Freq]]</f>
        <v>0</v>
      </c>
      <c r="M502" s="36" t="str">
        <f>IF(Table412[[#This Row],[Exist]]=1,Table412[[#This Row],[MAT]],"")</f>
        <v/>
      </c>
      <c r="N502" s="36" t="str">
        <f>IF(Table412[[#This Row],[Exist]]=1,Table412[[#This Row],[Component]],"")</f>
        <v/>
      </c>
      <c r="O502" s="36">
        <f>IFERROR(VALUE(Table412[[#This Row],[MAT]]&amp;Table412[[#This Row],[X'#]]),IF(COUNTIF(Table412[[#This Row],[MAT]],"*M"),Table412[[#This Row],[MAT]]&amp;Table412[[#This Row],[X'#]],""))</f>
        <v>11219835</v>
      </c>
    </row>
    <row r="503" spans="1:15" x14ac:dyDescent="0.25">
      <c r="A503" s="37">
        <f t="shared" si="8"/>
        <v>25</v>
      </c>
      <c r="C503" s="36" t="s">
        <v>309</v>
      </c>
      <c r="D503" s="36" t="s">
        <v>653</v>
      </c>
      <c r="E503" s="36">
        <v>1150007</v>
      </c>
      <c r="F503" s="36">
        <v>1</v>
      </c>
      <c r="G503" s="36">
        <v>1145493</v>
      </c>
      <c r="H503" s="48" t="str">
        <f>IFERROR(INDEX(Table14[],MATCH($G503,Table14[SAPNo],0),3),"")</f>
        <v>Round 1313 CT427  10C (S)</v>
      </c>
      <c r="I503" s="37">
        <v>23</v>
      </c>
      <c r="J503" s="37">
        <f>IF(Table412[[#This Row],[MAT]]&lt;&gt;"",COUNTIF(Table3[LEVEL 5 MAT NO.],Table412[[#This Row],[MAT]]),"")</f>
        <v>0</v>
      </c>
      <c r="K503" s="36">
        <f>IFERROR(INDEX(Table3[],MATCH($E503,Table3[LEVEL 5 MAT NO.],0),2),0)</f>
        <v>0</v>
      </c>
      <c r="L503" s="36">
        <f>Table412[[#This Row],[Quantity in BOM]]*Table412[[#This Row],[Freq]]</f>
        <v>0</v>
      </c>
      <c r="M503" s="36" t="str">
        <f>IF(Table412[[#This Row],[Exist]]=1,Table412[[#This Row],[MAT]],"")</f>
        <v/>
      </c>
      <c r="N503" s="36" t="str">
        <f>IF(Table412[[#This Row],[Exist]]=1,Table412[[#This Row],[Component]],"")</f>
        <v/>
      </c>
      <c r="O503" s="36">
        <f>IFERROR(VALUE(Table412[[#This Row],[MAT]]&amp;Table412[[#This Row],[X'#]]),IF(COUNTIF(Table412[[#This Row],[MAT]],"*M"),Table412[[#This Row],[MAT]]&amp;Table412[[#This Row],[X'#]],""))</f>
        <v>11500071</v>
      </c>
    </row>
    <row r="504" spans="1:15" x14ac:dyDescent="0.25">
      <c r="A504" s="37">
        <f t="shared" si="8"/>
        <v>25</v>
      </c>
      <c r="C504" s="36" t="s">
        <v>309</v>
      </c>
      <c r="D504" s="36" t="s">
        <v>653</v>
      </c>
      <c r="E504" s="36">
        <v>1150007</v>
      </c>
      <c r="F504" s="36">
        <v>2</v>
      </c>
      <c r="G504" s="36">
        <v>418525</v>
      </c>
      <c r="H504" s="48" t="str">
        <f>IFERROR(INDEX(Table14[],MATCH($G504,Table14[SAPNo],0),3),"")</f>
        <v>Drop In 1308 CT31   (B)</v>
      </c>
      <c r="I504" s="37">
        <v>10</v>
      </c>
      <c r="J504" s="37">
        <f>IF(Table412[[#This Row],[MAT]]&lt;&gt;"",COUNTIF(Table3[LEVEL 5 MAT NO.],Table412[[#This Row],[MAT]]),"")</f>
        <v>0</v>
      </c>
      <c r="K504" s="36">
        <f>IFERROR(INDEX(Table3[],MATCH($E504,Table3[LEVEL 5 MAT NO.],0),2),0)</f>
        <v>0</v>
      </c>
      <c r="L504" s="36">
        <f>Table412[[#This Row],[Quantity in BOM]]*Table412[[#This Row],[Freq]]</f>
        <v>0</v>
      </c>
      <c r="M504" s="36" t="str">
        <f>IF(Table412[[#This Row],[Exist]]=1,Table412[[#This Row],[MAT]],"")</f>
        <v/>
      </c>
      <c r="N504" s="36" t="str">
        <f>IF(Table412[[#This Row],[Exist]]=1,Table412[[#This Row],[Component]],"")</f>
        <v/>
      </c>
      <c r="O504" s="36">
        <f>IFERROR(VALUE(Table412[[#This Row],[MAT]]&amp;Table412[[#This Row],[X'#]]),IF(COUNTIF(Table412[[#This Row],[MAT]],"*M"),Table412[[#This Row],[MAT]]&amp;Table412[[#This Row],[X'#]],""))</f>
        <v>11500072</v>
      </c>
    </row>
    <row r="505" spans="1:15" x14ac:dyDescent="0.25">
      <c r="A505" s="37">
        <f t="shared" si="8"/>
        <v>25</v>
      </c>
      <c r="C505" s="36" t="s">
        <v>624</v>
      </c>
      <c r="D505" s="36" t="s">
        <v>625</v>
      </c>
      <c r="E505" s="36">
        <v>959209</v>
      </c>
      <c r="F505" s="36">
        <v>1</v>
      </c>
      <c r="G505" s="36">
        <v>1130198</v>
      </c>
      <c r="H505" s="48" t="str">
        <f>IFERROR(INDEX(Table14[],MATCH($G505,Table14[SAPNo],0),3),"")</f>
        <v>Round 1613 CT182  0.018" (S)</v>
      </c>
      <c r="I505" s="37">
        <v>28</v>
      </c>
      <c r="J505" s="37">
        <f>IF(Table412[[#This Row],[MAT]]&lt;&gt;"",COUNTIF(Table3[LEVEL 5 MAT NO.],Table412[[#This Row],[MAT]]),"")</f>
        <v>1</v>
      </c>
      <c r="K505" s="36">
        <f>IFERROR(INDEX(Table3[],MATCH($E505,Table3[LEVEL 5 MAT NO.],0),2),0)</f>
        <v>4</v>
      </c>
      <c r="L505" s="36">
        <f>Table412[[#This Row],[Quantity in BOM]]*Table412[[#This Row],[Freq]]</f>
        <v>112</v>
      </c>
      <c r="M505" s="36">
        <f>IF(Table412[[#This Row],[Exist]]=1,Table412[[#This Row],[MAT]],"")</f>
        <v>959209</v>
      </c>
      <c r="N505" s="36">
        <f>IF(Table412[[#This Row],[Exist]]=1,Table412[[#This Row],[Component]],"")</f>
        <v>1130198</v>
      </c>
      <c r="O505" s="36">
        <f>IFERROR(VALUE(Table412[[#This Row],[MAT]]&amp;Table412[[#This Row],[X'#]]),IF(COUNTIF(Table412[[#This Row],[MAT]],"*M"),Table412[[#This Row],[MAT]]&amp;Table412[[#This Row],[X'#]],""))</f>
        <v>9592091</v>
      </c>
    </row>
    <row r="506" spans="1:15" x14ac:dyDescent="0.25">
      <c r="A506" s="37">
        <f t="shared" si="8"/>
        <v>29</v>
      </c>
      <c r="C506" s="36" t="s">
        <v>624</v>
      </c>
      <c r="D506" s="36" t="s">
        <v>625</v>
      </c>
      <c r="E506" s="36">
        <v>959209</v>
      </c>
      <c r="F506" s="36">
        <v>2</v>
      </c>
      <c r="G506" s="36">
        <v>1130197</v>
      </c>
      <c r="H506" s="48" t="str">
        <f>IFERROR(INDEX(Table14[],MATCH($G506,Table14[SAPNo],0),3),"")</f>
        <v>Round 1608 CT182  0.018" (S)</v>
      </c>
      <c r="I506" s="37">
        <v>9</v>
      </c>
      <c r="J506" s="37">
        <f>IF(Table412[[#This Row],[MAT]]&lt;&gt;"",COUNTIF(Table3[LEVEL 5 MAT NO.],Table412[[#This Row],[MAT]]),"")</f>
        <v>1</v>
      </c>
      <c r="K506" s="36">
        <f>IFERROR(INDEX(Table3[],MATCH($E506,Table3[LEVEL 5 MAT NO.],0),2),0)</f>
        <v>4</v>
      </c>
      <c r="L506" s="36">
        <f>Table412[[#This Row],[Quantity in BOM]]*Table412[[#This Row],[Freq]]</f>
        <v>36</v>
      </c>
      <c r="M506" s="36">
        <f>IF(Table412[[#This Row],[Exist]]=1,Table412[[#This Row],[MAT]],"")</f>
        <v>959209</v>
      </c>
      <c r="N506" s="36">
        <f>IF(Table412[[#This Row],[Exist]]=1,Table412[[#This Row],[Component]],"")</f>
        <v>1130197</v>
      </c>
      <c r="O506" s="36">
        <f>IFERROR(VALUE(Table412[[#This Row],[MAT]]&amp;Table412[[#This Row],[X'#]]),IF(COUNTIF(Table412[[#This Row],[MAT]],"*M"),Table412[[#This Row],[MAT]]&amp;Table412[[#This Row],[X'#]],""))</f>
        <v>9592092</v>
      </c>
    </row>
    <row r="507" spans="1:15" x14ac:dyDescent="0.25">
      <c r="A507" s="37">
        <f t="shared" si="8"/>
        <v>33</v>
      </c>
      <c r="C507" s="36" t="s">
        <v>624</v>
      </c>
      <c r="D507" s="36" t="s">
        <v>625</v>
      </c>
      <c r="E507" s="36">
        <v>959209</v>
      </c>
      <c r="F507" s="36">
        <v>3</v>
      </c>
      <c r="G507" s="36">
        <v>1134752</v>
      </c>
      <c r="H507" s="48" t="str">
        <f>IFERROR(INDEX(Table14[],MATCH($G507,Table14[SAPNo],0),3),"")</f>
        <v>Round 1308 CT182  0.018" (S)</v>
      </c>
      <c r="I507" s="37">
        <v>18</v>
      </c>
      <c r="J507" s="37">
        <f>IF(Table412[[#This Row],[MAT]]&lt;&gt;"",COUNTIF(Table3[LEVEL 5 MAT NO.],Table412[[#This Row],[MAT]]),"")</f>
        <v>1</v>
      </c>
      <c r="K507" s="36">
        <f>IFERROR(INDEX(Table3[],MATCH($E507,Table3[LEVEL 5 MAT NO.],0),2),0)</f>
        <v>4</v>
      </c>
      <c r="L507" s="36">
        <f>Table412[[#This Row],[Quantity in BOM]]*Table412[[#This Row],[Freq]]</f>
        <v>72</v>
      </c>
      <c r="M507" s="36">
        <f>IF(Table412[[#This Row],[Exist]]=1,Table412[[#This Row],[MAT]],"")</f>
        <v>959209</v>
      </c>
      <c r="N507" s="36">
        <f>IF(Table412[[#This Row],[Exist]]=1,Table412[[#This Row],[Component]],"")</f>
        <v>1134752</v>
      </c>
      <c r="O507" s="36">
        <f>IFERROR(VALUE(Table412[[#This Row],[MAT]]&amp;Table412[[#This Row],[X'#]]),IF(COUNTIF(Table412[[#This Row],[MAT]],"*M"),Table412[[#This Row],[MAT]]&amp;Table412[[#This Row],[X'#]],""))</f>
        <v>9592093</v>
      </c>
    </row>
    <row r="508" spans="1:15" x14ac:dyDescent="0.25">
      <c r="A508" s="37">
        <f t="shared" si="8"/>
        <v>37</v>
      </c>
      <c r="C508" s="36" t="s">
        <v>624</v>
      </c>
      <c r="D508" s="36" t="s">
        <v>625</v>
      </c>
      <c r="E508" s="36">
        <v>959209</v>
      </c>
      <c r="F508" s="36">
        <v>4</v>
      </c>
      <c r="G508" s="36">
        <v>871781</v>
      </c>
      <c r="H508" s="48" t="str">
        <f>IFERROR(INDEX(Table14[],MATCH($G508,Table14[SAPNo],0),3),"")</f>
        <v>Round 1313 CT200  0.018" (B)</v>
      </c>
      <c r="I508" s="37">
        <v>3</v>
      </c>
      <c r="J508" s="37">
        <f>IF(Table412[[#This Row],[MAT]]&lt;&gt;"",COUNTIF(Table3[LEVEL 5 MAT NO.],Table412[[#This Row],[MAT]]),"")</f>
        <v>1</v>
      </c>
      <c r="K508" s="36">
        <f>IFERROR(INDEX(Table3[],MATCH($E508,Table3[LEVEL 5 MAT NO.],0),2),0)</f>
        <v>4</v>
      </c>
      <c r="L508" s="36">
        <f>Table412[[#This Row],[Quantity in BOM]]*Table412[[#This Row],[Freq]]</f>
        <v>12</v>
      </c>
      <c r="M508" s="36">
        <f>IF(Table412[[#This Row],[Exist]]=1,Table412[[#This Row],[MAT]],"")</f>
        <v>959209</v>
      </c>
      <c r="N508" s="36">
        <f>IF(Table412[[#This Row],[Exist]]=1,Table412[[#This Row],[Component]],"")</f>
        <v>871781</v>
      </c>
      <c r="O508" s="36">
        <f>IFERROR(VALUE(Table412[[#This Row],[MAT]]&amp;Table412[[#This Row],[X'#]]),IF(COUNTIF(Table412[[#This Row],[MAT]],"*M"),Table412[[#This Row],[MAT]]&amp;Table412[[#This Row],[X'#]],""))</f>
        <v>9592094</v>
      </c>
    </row>
    <row r="509" spans="1:15" x14ac:dyDescent="0.25">
      <c r="A509" s="37">
        <f t="shared" si="8"/>
        <v>41</v>
      </c>
      <c r="C509" s="36" t="s">
        <v>624</v>
      </c>
      <c r="D509" s="36" t="s">
        <v>625</v>
      </c>
      <c r="E509" s="36">
        <v>959209</v>
      </c>
      <c r="F509" s="36">
        <v>5</v>
      </c>
      <c r="G509" s="36">
        <v>625854</v>
      </c>
      <c r="H509" s="48" t="str">
        <f>IFERROR(INDEX(Table14[],MATCH($G509,Table14[SAPNo],0),3),"")</f>
        <v>Carbide IA 1318    (C)</v>
      </c>
      <c r="I509" s="37">
        <v>6</v>
      </c>
      <c r="J509" s="37">
        <f>IF(Table412[[#This Row],[MAT]]&lt;&gt;"",COUNTIF(Table3[LEVEL 5 MAT NO.],Table412[[#This Row],[MAT]]),"")</f>
        <v>1</v>
      </c>
      <c r="K509" s="36">
        <f>IFERROR(INDEX(Table3[],MATCH($E509,Table3[LEVEL 5 MAT NO.],0),2),0)</f>
        <v>4</v>
      </c>
      <c r="L509" s="36">
        <f>Table412[[#This Row],[Quantity in BOM]]*Table412[[#This Row],[Freq]]</f>
        <v>24</v>
      </c>
      <c r="M509" s="36">
        <f>IF(Table412[[#This Row],[Exist]]=1,Table412[[#This Row],[MAT]],"")</f>
        <v>959209</v>
      </c>
      <c r="N509" s="36">
        <f>IF(Table412[[#This Row],[Exist]]=1,Table412[[#This Row],[Component]],"")</f>
        <v>625854</v>
      </c>
      <c r="O509" s="36">
        <f>IFERROR(VALUE(Table412[[#This Row],[MAT]]&amp;Table412[[#This Row],[X'#]]),IF(COUNTIF(Table412[[#This Row],[MAT]],"*M"),Table412[[#This Row],[MAT]]&amp;Table412[[#This Row],[X'#]],""))</f>
        <v>9592095</v>
      </c>
    </row>
    <row r="510" spans="1:15" x14ac:dyDescent="0.25">
      <c r="A510" s="37">
        <f t="shared" si="8"/>
        <v>45</v>
      </c>
      <c r="C510" s="36" t="s">
        <v>624</v>
      </c>
      <c r="D510" s="36" t="s">
        <v>625</v>
      </c>
      <c r="E510" s="36">
        <v>959209</v>
      </c>
      <c r="F510" s="36">
        <v>6</v>
      </c>
      <c r="G510" s="36">
        <v>418525</v>
      </c>
      <c r="H510" s="48" t="str">
        <f>IFERROR(INDEX(Table14[],MATCH($G510,Table14[SAPNo],0),3),"")</f>
        <v>Drop In 1308 CT31   (B)</v>
      </c>
      <c r="I510" s="37">
        <v>9</v>
      </c>
      <c r="J510" s="37">
        <f>IF(Table412[[#This Row],[MAT]]&lt;&gt;"",COUNTIF(Table3[LEVEL 5 MAT NO.],Table412[[#This Row],[MAT]]),"")</f>
        <v>1</v>
      </c>
      <c r="K510" s="36">
        <f>IFERROR(INDEX(Table3[],MATCH($E510,Table3[LEVEL 5 MAT NO.],0),2),0)</f>
        <v>4</v>
      </c>
      <c r="L510" s="36">
        <f>Table412[[#This Row],[Quantity in BOM]]*Table412[[#This Row],[Freq]]</f>
        <v>36</v>
      </c>
      <c r="M510" s="36">
        <f>IF(Table412[[#This Row],[Exist]]=1,Table412[[#This Row],[MAT]],"")</f>
        <v>959209</v>
      </c>
      <c r="N510" s="36">
        <f>IF(Table412[[#This Row],[Exist]]=1,Table412[[#This Row],[Component]],"")</f>
        <v>418525</v>
      </c>
      <c r="O510" s="36">
        <f>IFERROR(VALUE(Table412[[#This Row],[MAT]]&amp;Table412[[#This Row],[X'#]]),IF(COUNTIF(Table412[[#This Row],[MAT]],"*M"),Table412[[#This Row],[MAT]]&amp;Table412[[#This Row],[X'#]],""))</f>
        <v>9592096</v>
      </c>
    </row>
    <row r="511" spans="1:15" x14ac:dyDescent="0.25">
      <c r="A511" s="37">
        <f t="shared" si="8"/>
        <v>49</v>
      </c>
      <c r="C511" s="36" t="s">
        <v>315</v>
      </c>
      <c r="D511" s="36" t="s">
        <v>284</v>
      </c>
      <c r="E511" s="36">
        <v>1097591</v>
      </c>
      <c r="F511" s="36">
        <v>1</v>
      </c>
      <c r="G511" s="36">
        <v>1039064</v>
      </c>
      <c r="H511" s="48" t="str">
        <f>IFERROR(INDEX(Table14[],MATCH($G511,Table14[SAPNo],0),3),"")</f>
        <v>Round 1913 CT138 TSP V 0.018" (S)</v>
      </c>
      <c r="I511" s="37">
        <v>43</v>
      </c>
      <c r="J511" s="37">
        <f>IF(Table412[[#This Row],[MAT]]&lt;&gt;"",COUNTIF(Table3[LEVEL 5 MAT NO.],Table412[[#This Row],[MAT]]),"")</f>
        <v>0</v>
      </c>
      <c r="K511" s="36">
        <f>IFERROR(INDEX(Table3[],MATCH($E511,Table3[LEVEL 5 MAT NO.],0),2),0)</f>
        <v>0</v>
      </c>
      <c r="L511" s="36">
        <f>Table412[[#This Row],[Quantity in BOM]]*Table412[[#This Row],[Freq]]</f>
        <v>0</v>
      </c>
      <c r="M511" s="36" t="str">
        <f>IF(Table412[[#This Row],[Exist]]=1,Table412[[#This Row],[MAT]],"")</f>
        <v/>
      </c>
      <c r="N511" s="36" t="str">
        <f>IF(Table412[[#This Row],[Exist]]=1,Table412[[#This Row],[Component]],"")</f>
        <v/>
      </c>
      <c r="O511" s="36">
        <f>IFERROR(VALUE(Table412[[#This Row],[MAT]]&amp;Table412[[#This Row],[X'#]]),IF(COUNTIF(Table412[[#This Row],[MAT]],"*M"),Table412[[#This Row],[MAT]]&amp;Table412[[#This Row],[X'#]],""))</f>
        <v>10975911</v>
      </c>
    </row>
    <row r="512" spans="1:15" x14ac:dyDescent="0.25">
      <c r="A512" s="37">
        <f t="shared" si="8"/>
        <v>49</v>
      </c>
      <c r="C512" s="36" t="s">
        <v>315</v>
      </c>
      <c r="D512" s="36" t="s">
        <v>284</v>
      </c>
      <c r="E512" s="36">
        <v>1097591</v>
      </c>
      <c r="F512" s="36">
        <v>2</v>
      </c>
      <c r="G512" s="36">
        <v>983152</v>
      </c>
      <c r="H512" s="48" t="str">
        <f>IFERROR(INDEX(Table14[],MATCH($G512,Table14[SAPNo],0),3),"")</f>
        <v>Round 1913 CT216  0.018" (S)</v>
      </c>
      <c r="I512" s="37">
        <v>46</v>
      </c>
      <c r="J512" s="37">
        <f>IF(Table412[[#This Row],[MAT]]&lt;&gt;"",COUNTIF(Table3[LEVEL 5 MAT NO.],Table412[[#This Row],[MAT]]),"")</f>
        <v>0</v>
      </c>
      <c r="K512" s="36">
        <f>IFERROR(INDEX(Table3[],MATCH($E512,Table3[LEVEL 5 MAT NO.],0),2),0)</f>
        <v>0</v>
      </c>
      <c r="L512" s="36">
        <f>Table412[[#This Row],[Quantity in BOM]]*Table412[[#This Row],[Freq]]</f>
        <v>0</v>
      </c>
      <c r="M512" s="36" t="str">
        <f>IF(Table412[[#This Row],[Exist]]=1,Table412[[#This Row],[MAT]],"")</f>
        <v/>
      </c>
      <c r="N512" s="36" t="str">
        <f>IF(Table412[[#This Row],[Exist]]=1,Table412[[#This Row],[Component]],"")</f>
        <v/>
      </c>
      <c r="O512" s="36">
        <f>IFERROR(VALUE(Table412[[#This Row],[MAT]]&amp;Table412[[#This Row],[X'#]]),IF(COUNTIF(Table412[[#This Row],[MAT]],"*M"),Table412[[#This Row],[MAT]]&amp;Table412[[#This Row],[X'#]],""))</f>
        <v>10975912</v>
      </c>
    </row>
    <row r="513" spans="1:15" x14ac:dyDescent="0.25">
      <c r="A513" s="37">
        <f t="shared" si="8"/>
        <v>49</v>
      </c>
      <c r="C513" s="36" t="s">
        <v>315</v>
      </c>
      <c r="D513" s="36" t="s">
        <v>284</v>
      </c>
      <c r="E513" s="36">
        <v>1097591</v>
      </c>
      <c r="F513" s="36">
        <v>3</v>
      </c>
      <c r="G513" s="36">
        <v>1039060</v>
      </c>
      <c r="H513" s="48" t="str">
        <f>IFERROR(INDEX(Table14[],MATCH($G513,Table14[SAPNo],0),3),"")</f>
        <v>Round 1613 CT138  0.018" (S)</v>
      </c>
      <c r="I513" s="37">
        <v>9</v>
      </c>
      <c r="J513" s="37">
        <f>IF(Table412[[#This Row],[MAT]]&lt;&gt;"",COUNTIF(Table3[LEVEL 5 MAT NO.],Table412[[#This Row],[MAT]]),"")</f>
        <v>0</v>
      </c>
      <c r="K513" s="36">
        <f>IFERROR(INDEX(Table3[],MATCH($E513,Table3[LEVEL 5 MAT NO.],0),2),0)</f>
        <v>0</v>
      </c>
      <c r="L513" s="36">
        <f>Table412[[#This Row],[Quantity in BOM]]*Table412[[#This Row],[Freq]]</f>
        <v>0</v>
      </c>
      <c r="M513" s="36" t="str">
        <f>IF(Table412[[#This Row],[Exist]]=1,Table412[[#This Row],[MAT]],"")</f>
        <v/>
      </c>
      <c r="N513" s="36" t="str">
        <f>IF(Table412[[#This Row],[Exist]]=1,Table412[[#This Row],[Component]],"")</f>
        <v/>
      </c>
      <c r="O513" s="36">
        <f>IFERROR(VALUE(Table412[[#This Row],[MAT]]&amp;Table412[[#This Row],[X'#]]),IF(COUNTIF(Table412[[#This Row],[MAT]],"*M"),Table412[[#This Row],[MAT]]&amp;Table412[[#This Row],[X'#]],""))</f>
        <v>10975913</v>
      </c>
    </row>
    <row r="514" spans="1:15" x14ac:dyDescent="0.25">
      <c r="A514" s="37">
        <f t="shared" si="8"/>
        <v>49</v>
      </c>
      <c r="C514" s="36" t="s">
        <v>315</v>
      </c>
      <c r="D514" s="36" t="s">
        <v>284</v>
      </c>
      <c r="E514" s="36">
        <v>1097591</v>
      </c>
      <c r="F514" s="36">
        <v>4</v>
      </c>
      <c r="G514" s="36">
        <v>871781</v>
      </c>
      <c r="H514" s="48" t="str">
        <f>IFERROR(INDEX(Table14[],MATCH($G514,Table14[SAPNo],0),3),"")</f>
        <v>Round 1313 CT200  0.018" (B)</v>
      </c>
      <c r="I514" s="37">
        <v>4</v>
      </c>
      <c r="J514" s="37">
        <f>IF(Table412[[#This Row],[MAT]]&lt;&gt;"",COUNTIF(Table3[LEVEL 5 MAT NO.],Table412[[#This Row],[MAT]]),"")</f>
        <v>0</v>
      </c>
      <c r="K514" s="36">
        <f>IFERROR(INDEX(Table3[],MATCH($E514,Table3[LEVEL 5 MAT NO.],0),2),0)</f>
        <v>0</v>
      </c>
      <c r="L514" s="36">
        <f>Table412[[#This Row],[Quantity in BOM]]*Table412[[#This Row],[Freq]]</f>
        <v>0</v>
      </c>
      <c r="M514" s="36" t="str">
        <f>IF(Table412[[#This Row],[Exist]]=1,Table412[[#This Row],[MAT]],"")</f>
        <v/>
      </c>
      <c r="N514" s="36" t="str">
        <f>IF(Table412[[#This Row],[Exist]]=1,Table412[[#This Row],[Component]],"")</f>
        <v/>
      </c>
      <c r="O514" s="36">
        <f>IFERROR(VALUE(Table412[[#This Row],[MAT]]&amp;Table412[[#This Row],[X'#]]),IF(COUNTIF(Table412[[#This Row],[MAT]],"*M"),Table412[[#This Row],[MAT]]&amp;Table412[[#This Row],[X'#]],""))</f>
        <v>10975914</v>
      </c>
    </row>
    <row r="515" spans="1:15" x14ac:dyDescent="0.25">
      <c r="A515" s="37">
        <f t="shared" ref="A515:A579" si="9">A514+K514</f>
        <v>49</v>
      </c>
      <c r="C515" s="36" t="s">
        <v>315</v>
      </c>
      <c r="D515" s="36" t="s">
        <v>284</v>
      </c>
      <c r="E515" s="36">
        <v>1097591</v>
      </c>
      <c r="F515" s="36">
        <v>5</v>
      </c>
      <c r="G515" s="36">
        <v>418525</v>
      </c>
      <c r="H515" s="48" t="str">
        <f>IFERROR(INDEX(Table14[],MATCH($G515,Table14[SAPNo],0),3),"")</f>
        <v>Drop In 1308 CT31   (B)</v>
      </c>
      <c r="I515" s="37">
        <v>4</v>
      </c>
      <c r="J515" s="37">
        <f>IF(Table412[[#This Row],[MAT]]&lt;&gt;"",COUNTIF(Table3[LEVEL 5 MAT NO.],Table412[[#This Row],[MAT]]),"")</f>
        <v>0</v>
      </c>
      <c r="K515" s="36">
        <f>IFERROR(INDEX(Table3[],MATCH($E515,Table3[LEVEL 5 MAT NO.],0),2),0)</f>
        <v>0</v>
      </c>
      <c r="L515" s="36">
        <f>Table412[[#This Row],[Quantity in BOM]]*Table412[[#This Row],[Freq]]</f>
        <v>0</v>
      </c>
      <c r="M515" s="36" t="str">
        <f>IF(Table412[[#This Row],[Exist]]=1,Table412[[#This Row],[MAT]],"")</f>
        <v/>
      </c>
      <c r="N515" s="36" t="str">
        <f>IF(Table412[[#This Row],[Exist]]=1,Table412[[#This Row],[Component]],"")</f>
        <v/>
      </c>
      <c r="O515" s="36">
        <f>IFERROR(VALUE(Table412[[#This Row],[MAT]]&amp;Table412[[#This Row],[X'#]]),IF(COUNTIF(Table412[[#This Row],[MAT]],"*M"),Table412[[#This Row],[MAT]]&amp;Table412[[#This Row],[X'#]],""))</f>
        <v>10975915</v>
      </c>
    </row>
    <row r="516" spans="1:15" x14ac:dyDescent="0.25">
      <c r="A516" s="37">
        <f t="shared" si="9"/>
        <v>49</v>
      </c>
      <c r="C516" s="36" t="s">
        <v>313</v>
      </c>
      <c r="D516" s="36" t="s">
        <v>3693</v>
      </c>
      <c r="E516" s="36">
        <v>1098918</v>
      </c>
      <c r="F516" s="36">
        <v>1</v>
      </c>
      <c r="G516" s="36">
        <v>1130198</v>
      </c>
      <c r="H516" s="48" t="str">
        <f>IFERROR(INDEX(Table14[],MATCH($G516,Table14[SAPNo],0),3),"")</f>
        <v>Round 1613 CT182  0.018" (S)</v>
      </c>
      <c r="I516" s="37">
        <v>20</v>
      </c>
      <c r="J516" s="37">
        <f>IF(Table412[[#This Row],[MAT]]&lt;&gt;"",COUNTIF(Table3[LEVEL 5 MAT NO.],Table412[[#This Row],[MAT]]),"")</f>
        <v>0</v>
      </c>
      <c r="K516" s="36">
        <f>IFERROR(INDEX(Table3[],MATCH($E516,Table3[LEVEL 5 MAT NO.],0),2),0)</f>
        <v>0</v>
      </c>
      <c r="L516" s="36">
        <f>Table412[[#This Row],[Quantity in BOM]]*Table412[[#This Row],[Freq]]</f>
        <v>0</v>
      </c>
      <c r="M516" s="36" t="str">
        <f>IF(Table412[[#This Row],[Exist]]=1,Table412[[#This Row],[MAT]],"")</f>
        <v/>
      </c>
      <c r="N516" s="36" t="str">
        <f>IF(Table412[[#This Row],[Exist]]=1,Table412[[#This Row],[Component]],"")</f>
        <v/>
      </c>
      <c r="O516" s="36">
        <f>IFERROR(VALUE(Table412[[#This Row],[MAT]]&amp;Table412[[#This Row],[X'#]]),IF(COUNTIF(Table412[[#This Row],[MAT]],"*M"),Table412[[#This Row],[MAT]]&amp;Table412[[#This Row],[X'#]],""))</f>
        <v>10989181</v>
      </c>
    </row>
    <row r="517" spans="1:15" x14ac:dyDescent="0.25">
      <c r="A517" s="37">
        <f t="shared" si="9"/>
        <v>49</v>
      </c>
      <c r="C517" s="36" t="s">
        <v>313</v>
      </c>
      <c r="D517" s="36" t="s">
        <v>3693</v>
      </c>
      <c r="E517" s="36">
        <v>1098918</v>
      </c>
      <c r="F517" s="36">
        <v>2</v>
      </c>
      <c r="G517" s="36">
        <v>1130204</v>
      </c>
      <c r="H517" s="48" t="str">
        <f>IFERROR(INDEX(Table14[],MATCH($G517,Table14[SAPNo],0),3),"")</f>
        <v>Short Bullet 16 CT182 SBL 0.018" (S)</v>
      </c>
      <c r="I517" s="37">
        <v>9</v>
      </c>
      <c r="J517" s="37">
        <f>IF(Table412[[#This Row],[MAT]]&lt;&gt;"",COUNTIF(Table3[LEVEL 5 MAT NO.],Table412[[#This Row],[MAT]]),"")</f>
        <v>0</v>
      </c>
      <c r="K517" s="36">
        <f>IFERROR(INDEX(Table3[],MATCH($E517,Table3[LEVEL 5 MAT NO.],0),2),0)</f>
        <v>0</v>
      </c>
      <c r="L517" s="36">
        <f>Table412[[#This Row],[Quantity in BOM]]*Table412[[#This Row],[Freq]]</f>
        <v>0</v>
      </c>
      <c r="M517" s="36" t="str">
        <f>IF(Table412[[#This Row],[Exist]]=1,Table412[[#This Row],[MAT]],"")</f>
        <v/>
      </c>
      <c r="N517" s="36" t="str">
        <f>IF(Table412[[#This Row],[Exist]]=1,Table412[[#This Row],[Component]],"")</f>
        <v/>
      </c>
      <c r="O517" s="36">
        <f>IFERROR(VALUE(Table412[[#This Row],[MAT]]&amp;Table412[[#This Row],[X'#]]),IF(COUNTIF(Table412[[#This Row],[MAT]],"*M"),Table412[[#This Row],[MAT]]&amp;Table412[[#This Row],[X'#]],""))</f>
        <v>10989182</v>
      </c>
    </row>
    <row r="518" spans="1:15" x14ac:dyDescent="0.25">
      <c r="A518" s="37">
        <f t="shared" si="9"/>
        <v>49</v>
      </c>
      <c r="C518" s="36" t="s">
        <v>313</v>
      </c>
      <c r="D518" s="36" t="s">
        <v>3693</v>
      </c>
      <c r="E518" s="36">
        <v>1098918</v>
      </c>
      <c r="F518" s="36">
        <v>3</v>
      </c>
      <c r="G518" s="36">
        <v>761246</v>
      </c>
      <c r="H518" s="48" t="str">
        <f>IFERROR(INDEX(Table14[],MATCH($G518,Table14[SAPNo],0),3),"")</f>
        <v>Long Bullet 16 CT80 LBL 0.018" (B)</v>
      </c>
      <c r="I518" s="37">
        <v>2</v>
      </c>
      <c r="J518" s="37">
        <f>IF(Table412[[#This Row],[MAT]]&lt;&gt;"",COUNTIF(Table3[LEVEL 5 MAT NO.],Table412[[#This Row],[MAT]]),"")</f>
        <v>0</v>
      </c>
      <c r="K518" s="36">
        <f>IFERROR(INDEX(Table3[],MATCH($E518,Table3[LEVEL 5 MAT NO.],0),2),0)</f>
        <v>0</v>
      </c>
      <c r="L518" s="36">
        <f>Table412[[#This Row],[Quantity in BOM]]*Table412[[#This Row],[Freq]]</f>
        <v>0</v>
      </c>
      <c r="M518" s="36" t="str">
        <f>IF(Table412[[#This Row],[Exist]]=1,Table412[[#This Row],[MAT]],"")</f>
        <v/>
      </c>
      <c r="N518" s="36" t="str">
        <f>IF(Table412[[#This Row],[Exist]]=1,Table412[[#This Row],[Component]],"")</f>
        <v/>
      </c>
      <c r="O518" s="36">
        <f>IFERROR(VALUE(Table412[[#This Row],[MAT]]&amp;Table412[[#This Row],[X'#]]),IF(COUNTIF(Table412[[#This Row],[MAT]],"*M"),Table412[[#This Row],[MAT]]&amp;Table412[[#This Row],[X'#]],""))</f>
        <v>10989183</v>
      </c>
    </row>
    <row r="519" spans="1:15" x14ac:dyDescent="0.25">
      <c r="A519" s="37">
        <f t="shared" si="9"/>
        <v>49</v>
      </c>
      <c r="C519" s="36" t="s">
        <v>313</v>
      </c>
      <c r="D519" s="36" t="s">
        <v>3693</v>
      </c>
      <c r="E519" s="36">
        <v>1098918</v>
      </c>
      <c r="F519" s="36">
        <v>4</v>
      </c>
      <c r="G519" s="36">
        <v>418525</v>
      </c>
      <c r="H519" s="48" t="str">
        <f>IFERROR(INDEX(Table14[],MATCH($G519,Table14[SAPNo],0),3),"")</f>
        <v>Drop In 1308 CT31   (B)</v>
      </c>
      <c r="I519" s="37">
        <v>12</v>
      </c>
      <c r="J519" s="37">
        <f>IF(Table412[[#This Row],[MAT]]&lt;&gt;"",COUNTIF(Table3[LEVEL 5 MAT NO.],Table412[[#This Row],[MAT]]),"")</f>
        <v>0</v>
      </c>
      <c r="K519" s="36">
        <f>IFERROR(INDEX(Table3[],MATCH($E519,Table3[LEVEL 5 MAT NO.],0),2),0)</f>
        <v>0</v>
      </c>
      <c r="L519" s="36">
        <f>Table412[[#This Row],[Quantity in BOM]]*Table412[[#This Row],[Freq]]</f>
        <v>0</v>
      </c>
      <c r="M519" s="36" t="str">
        <f>IF(Table412[[#This Row],[Exist]]=1,Table412[[#This Row],[MAT]],"")</f>
        <v/>
      </c>
      <c r="N519" s="36" t="str">
        <f>IF(Table412[[#This Row],[Exist]]=1,Table412[[#This Row],[Component]],"")</f>
        <v/>
      </c>
      <c r="O519" s="36">
        <f>IFERROR(VALUE(Table412[[#This Row],[MAT]]&amp;Table412[[#This Row],[X'#]]),IF(COUNTIF(Table412[[#This Row],[MAT]],"*M"),Table412[[#This Row],[MAT]]&amp;Table412[[#This Row],[X'#]],""))</f>
        <v>10989184</v>
      </c>
    </row>
    <row r="520" spans="1:15" x14ac:dyDescent="0.25">
      <c r="A520" s="37">
        <f t="shared" si="9"/>
        <v>49</v>
      </c>
      <c r="C520" s="36" t="s">
        <v>313</v>
      </c>
      <c r="D520" s="36" t="s">
        <v>3694</v>
      </c>
      <c r="E520" s="36">
        <v>1093763</v>
      </c>
      <c r="F520" s="36">
        <v>1</v>
      </c>
      <c r="G520" s="36">
        <v>1130198</v>
      </c>
      <c r="H520" s="48" t="str">
        <f>IFERROR(INDEX(Table14[],MATCH($G520,Table14[SAPNo],0),3),"")</f>
        <v>Round 1613 CT182  0.018" (S)</v>
      </c>
      <c r="I520" s="37">
        <v>33</v>
      </c>
      <c r="J520" s="37">
        <f>IF(Table412[[#This Row],[MAT]]&lt;&gt;"",COUNTIF(Table3[LEVEL 5 MAT NO.],Table412[[#This Row],[MAT]]),"")</f>
        <v>0</v>
      </c>
      <c r="K520" s="36">
        <f>IFERROR(INDEX(Table3[],MATCH($E520,Table3[LEVEL 5 MAT NO.],0),2),0)</f>
        <v>0</v>
      </c>
      <c r="L520" s="36">
        <f>Table412[[#This Row],[Quantity in BOM]]*Table412[[#This Row],[Freq]]</f>
        <v>0</v>
      </c>
      <c r="M520" s="36" t="str">
        <f>IF(Table412[[#This Row],[Exist]]=1,Table412[[#This Row],[MAT]],"")</f>
        <v/>
      </c>
      <c r="N520" s="36" t="str">
        <f>IF(Table412[[#This Row],[Exist]]=1,Table412[[#This Row],[Component]],"")</f>
        <v/>
      </c>
      <c r="O520" s="36">
        <f>IFERROR(VALUE(Table412[[#This Row],[MAT]]&amp;Table412[[#This Row],[X'#]]),IF(COUNTIF(Table412[[#This Row],[MAT]],"*M"),Table412[[#This Row],[MAT]]&amp;Table412[[#This Row],[X'#]],""))</f>
        <v>10937631</v>
      </c>
    </row>
    <row r="521" spans="1:15" x14ac:dyDescent="0.25">
      <c r="A521" s="37">
        <f t="shared" si="9"/>
        <v>49</v>
      </c>
      <c r="C521" s="36" t="s">
        <v>313</v>
      </c>
      <c r="D521" s="36" t="s">
        <v>3694</v>
      </c>
      <c r="E521" s="36">
        <v>1093763</v>
      </c>
      <c r="F521" s="36">
        <v>2</v>
      </c>
      <c r="G521" s="36">
        <v>647435</v>
      </c>
      <c r="H521" s="48" t="str">
        <f>IFERROR(INDEX(Table14[],MATCH($G521,Table14[SAPNo],0),3),"")</f>
        <v>Round 1608 CT200  0.018" (B)</v>
      </c>
      <c r="I521" s="37">
        <v>23</v>
      </c>
      <c r="J521" s="37">
        <f>IF(Table412[[#This Row],[MAT]]&lt;&gt;"",COUNTIF(Table3[LEVEL 5 MAT NO.],Table412[[#This Row],[MAT]]),"")</f>
        <v>0</v>
      </c>
      <c r="K521" s="36">
        <f>IFERROR(INDEX(Table3[],MATCH($E521,Table3[LEVEL 5 MAT NO.],0),2),0)</f>
        <v>0</v>
      </c>
      <c r="L521" s="36">
        <f>Table412[[#This Row],[Quantity in BOM]]*Table412[[#This Row],[Freq]]</f>
        <v>0</v>
      </c>
      <c r="M521" s="36" t="str">
        <f>IF(Table412[[#This Row],[Exist]]=1,Table412[[#This Row],[MAT]],"")</f>
        <v/>
      </c>
      <c r="N521" s="36" t="str">
        <f>IF(Table412[[#This Row],[Exist]]=1,Table412[[#This Row],[Component]],"")</f>
        <v/>
      </c>
      <c r="O521" s="36">
        <f>IFERROR(VALUE(Table412[[#This Row],[MAT]]&amp;Table412[[#This Row],[X'#]]),IF(COUNTIF(Table412[[#This Row],[MAT]],"*M"),Table412[[#This Row],[MAT]]&amp;Table412[[#This Row],[X'#]],""))</f>
        <v>10937632</v>
      </c>
    </row>
    <row r="522" spans="1:15" x14ac:dyDescent="0.25">
      <c r="A522" s="37">
        <f t="shared" si="9"/>
        <v>49</v>
      </c>
      <c r="C522" s="36" t="s">
        <v>313</v>
      </c>
      <c r="D522" s="36" t="s">
        <v>3694</v>
      </c>
      <c r="E522" s="36">
        <v>1093763</v>
      </c>
      <c r="F522" s="36">
        <v>3</v>
      </c>
      <c r="G522" s="36">
        <v>418525</v>
      </c>
      <c r="H522" s="48" t="str">
        <f>IFERROR(INDEX(Table14[],MATCH($G522,Table14[SAPNo],0),3),"")</f>
        <v>Drop In 1308 CT31   (B)</v>
      </c>
      <c r="I522" s="37">
        <v>6</v>
      </c>
      <c r="J522" s="37">
        <f>IF(Table412[[#This Row],[MAT]]&lt;&gt;"",COUNTIF(Table3[LEVEL 5 MAT NO.],Table412[[#This Row],[MAT]]),"")</f>
        <v>0</v>
      </c>
      <c r="K522" s="36">
        <f>IFERROR(INDEX(Table3[],MATCH($E522,Table3[LEVEL 5 MAT NO.],0),2),0)</f>
        <v>0</v>
      </c>
      <c r="L522" s="36">
        <f>Table412[[#This Row],[Quantity in BOM]]*Table412[[#This Row],[Freq]]</f>
        <v>0</v>
      </c>
      <c r="M522" s="36" t="str">
        <f>IF(Table412[[#This Row],[Exist]]=1,Table412[[#This Row],[MAT]],"")</f>
        <v/>
      </c>
      <c r="N522" s="36" t="str">
        <f>IF(Table412[[#This Row],[Exist]]=1,Table412[[#This Row],[Component]],"")</f>
        <v/>
      </c>
      <c r="O522" s="36">
        <f>IFERROR(VALUE(Table412[[#This Row],[MAT]]&amp;Table412[[#This Row],[X'#]]),IF(COUNTIF(Table412[[#This Row],[MAT]],"*M"),Table412[[#This Row],[MAT]]&amp;Table412[[#This Row],[X'#]],""))</f>
        <v>10937633</v>
      </c>
    </row>
    <row r="523" spans="1:15" x14ac:dyDescent="0.25">
      <c r="A523" s="37">
        <f t="shared" si="9"/>
        <v>49</v>
      </c>
      <c r="C523" s="36" t="s">
        <v>316</v>
      </c>
      <c r="D523" s="36" t="s">
        <v>290</v>
      </c>
      <c r="E523" s="36">
        <v>1023917</v>
      </c>
      <c r="F523" s="36">
        <v>1</v>
      </c>
      <c r="G523" s="36">
        <v>853551</v>
      </c>
      <c r="H523" s="48" t="str">
        <f>IFERROR(INDEX(Table14[],MATCH($G523,Table14[SAPNo],0),3),"")</f>
        <v>Round 1613 CT125 GEDB 0.018" (S)</v>
      </c>
      <c r="I523" s="37">
        <v>156</v>
      </c>
      <c r="J523" s="37">
        <f>IF(Table412[[#This Row],[MAT]]&lt;&gt;"",COUNTIF(Table3[LEVEL 5 MAT NO.],Table412[[#This Row],[MAT]]),"")</f>
        <v>0</v>
      </c>
      <c r="K523" s="36">
        <f>IFERROR(INDEX(Table3[],MATCH($E523,Table3[LEVEL 5 MAT NO.],0),2),0)</f>
        <v>0</v>
      </c>
      <c r="L523" s="36">
        <f>Table412[[#This Row],[Quantity in BOM]]*Table412[[#This Row],[Freq]]</f>
        <v>0</v>
      </c>
      <c r="M523" s="36" t="str">
        <f>IF(Table412[[#This Row],[Exist]]=1,Table412[[#This Row],[MAT]],"")</f>
        <v/>
      </c>
      <c r="N523" s="36" t="str">
        <f>IF(Table412[[#This Row],[Exist]]=1,Table412[[#This Row],[Component]],"")</f>
        <v/>
      </c>
      <c r="O523" s="36">
        <f>IFERROR(VALUE(Table412[[#This Row],[MAT]]&amp;Table412[[#This Row],[X'#]]),IF(COUNTIF(Table412[[#This Row],[MAT]],"*M"),Table412[[#This Row],[MAT]]&amp;Table412[[#This Row],[X'#]],""))</f>
        <v>10239171</v>
      </c>
    </row>
    <row r="524" spans="1:15" x14ac:dyDescent="0.25">
      <c r="A524" s="37">
        <f t="shared" si="9"/>
        <v>49</v>
      </c>
      <c r="C524" s="36" t="s">
        <v>316</v>
      </c>
      <c r="D524" s="36" t="s">
        <v>290</v>
      </c>
      <c r="E524" s="36">
        <v>1023917</v>
      </c>
      <c r="F524" s="36">
        <v>2</v>
      </c>
      <c r="G524" s="36">
        <v>887499</v>
      </c>
      <c r="H524" s="48" t="str">
        <f>IFERROR(INDEX(Table14[],MATCH($G524,Table14[SAPNo],0),3),"")</f>
        <v/>
      </c>
      <c r="I524" s="37">
        <v>16</v>
      </c>
      <c r="J524" s="37">
        <f>IF(Table412[[#This Row],[MAT]]&lt;&gt;"",COUNTIF(Table3[LEVEL 5 MAT NO.],Table412[[#This Row],[MAT]]),"")</f>
        <v>0</v>
      </c>
      <c r="K524" s="36">
        <f>IFERROR(INDEX(Table3[],MATCH($E524,Table3[LEVEL 5 MAT NO.],0),2),0)</f>
        <v>0</v>
      </c>
      <c r="L524" s="36">
        <f>Table412[[#This Row],[Quantity in BOM]]*Table412[[#This Row],[Freq]]</f>
        <v>0</v>
      </c>
      <c r="M524" s="36" t="str">
        <f>IF(Table412[[#This Row],[Exist]]=1,Table412[[#This Row],[MAT]],"")</f>
        <v/>
      </c>
      <c r="N524" s="36" t="str">
        <f>IF(Table412[[#This Row],[Exist]]=1,Table412[[#This Row],[Component]],"")</f>
        <v/>
      </c>
      <c r="O524" s="36">
        <f>IFERROR(VALUE(Table412[[#This Row],[MAT]]&amp;Table412[[#This Row],[X'#]]),IF(COUNTIF(Table412[[#This Row],[MAT]],"*M"),Table412[[#This Row],[MAT]]&amp;Table412[[#This Row],[X'#]],""))</f>
        <v>10239172</v>
      </c>
    </row>
    <row r="525" spans="1:15" x14ac:dyDescent="0.25">
      <c r="A525" s="37">
        <f t="shared" si="9"/>
        <v>49</v>
      </c>
      <c r="C525" s="36" t="s">
        <v>316</v>
      </c>
      <c r="D525" s="36" t="s">
        <v>290</v>
      </c>
      <c r="E525" s="36">
        <v>1023917</v>
      </c>
      <c r="F525" s="36">
        <v>3</v>
      </c>
      <c r="G525" s="36">
        <v>418525</v>
      </c>
      <c r="H525" s="48" t="str">
        <f>IFERROR(INDEX(Table14[],MATCH($G525,Table14[SAPNo],0),3),"")</f>
        <v>Drop In 1308 CT31   (B)</v>
      </c>
      <c r="I525" s="37">
        <v>8</v>
      </c>
      <c r="J525" s="37">
        <f>IF(Table412[[#This Row],[MAT]]&lt;&gt;"",COUNTIF(Table3[LEVEL 5 MAT NO.],Table412[[#This Row],[MAT]]),"")</f>
        <v>0</v>
      </c>
      <c r="K525" s="36">
        <f>IFERROR(INDEX(Table3[],MATCH($E525,Table3[LEVEL 5 MAT NO.],0),2),0)</f>
        <v>0</v>
      </c>
      <c r="L525" s="36">
        <f>Table412[[#This Row],[Quantity in BOM]]*Table412[[#This Row],[Freq]]</f>
        <v>0</v>
      </c>
      <c r="M525" s="36" t="str">
        <f>IF(Table412[[#This Row],[Exist]]=1,Table412[[#This Row],[MAT]],"")</f>
        <v/>
      </c>
      <c r="N525" s="36" t="str">
        <f>IF(Table412[[#This Row],[Exist]]=1,Table412[[#This Row],[Component]],"")</f>
        <v/>
      </c>
      <c r="O525" s="36">
        <f>IFERROR(VALUE(Table412[[#This Row],[MAT]]&amp;Table412[[#This Row],[X'#]]),IF(COUNTIF(Table412[[#This Row],[MAT]],"*M"),Table412[[#This Row],[MAT]]&amp;Table412[[#This Row],[X'#]],""))</f>
        <v>10239173</v>
      </c>
    </row>
    <row r="526" spans="1:15" x14ac:dyDescent="0.25">
      <c r="A526" s="37">
        <f t="shared" si="9"/>
        <v>49</v>
      </c>
      <c r="C526" s="36" t="s">
        <v>316</v>
      </c>
      <c r="D526" s="36" t="s">
        <v>465</v>
      </c>
      <c r="E526" s="36">
        <v>1083976</v>
      </c>
      <c r="F526" s="36">
        <v>1</v>
      </c>
      <c r="G526" s="36">
        <v>1130198</v>
      </c>
      <c r="H526" s="48" t="str">
        <f>IFERROR(INDEX(Table14[],MATCH($G526,Table14[SAPNo],0),3),"")</f>
        <v>Round 1613 CT182  0.018" (S)</v>
      </c>
      <c r="I526" s="37">
        <v>74</v>
      </c>
      <c r="J526" s="37">
        <f>IF(Table412[[#This Row],[MAT]]&lt;&gt;"",COUNTIF(Table3[LEVEL 5 MAT NO.],Table412[[#This Row],[MAT]]),"")</f>
        <v>0</v>
      </c>
      <c r="K526" s="36">
        <f>IFERROR(INDEX(Table3[],MATCH($E526,Table3[LEVEL 5 MAT NO.],0),2),0)</f>
        <v>0</v>
      </c>
      <c r="L526" s="36">
        <f>Table412[[#This Row],[Quantity in BOM]]*Table412[[#This Row],[Freq]]</f>
        <v>0</v>
      </c>
      <c r="M526" s="36" t="str">
        <f>IF(Table412[[#This Row],[Exist]]=1,Table412[[#This Row],[MAT]],"")</f>
        <v/>
      </c>
      <c r="N526" s="36" t="str">
        <f>IF(Table412[[#This Row],[Exist]]=1,Table412[[#This Row],[Component]],"")</f>
        <v/>
      </c>
      <c r="O526" s="36">
        <f>IFERROR(VALUE(Table412[[#This Row],[MAT]]&amp;Table412[[#This Row],[X'#]]),IF(COUNTIF(Table412[[#This Row],[MAT]],"*M"),Table412[[#This Row],[MAT]]&amp;Table412[[#This Row],[X'#]],""))</f>
        <v>10839761</v>
      </c>
    </row>
    <row r="527" spans="1:15" x14ac:dyDescent="0.25">
      <c r="A527" s="37">
        <f t="shared" si="9"/>
        <v>49</v>
      </c>
      <c r="C527" s="36" t="s">
        <v>316</v>
      </c>
      <c r="D527" s="36" t="s">
        <v>465</v>
      </c>
      <c r="E527" s="36">
        <v>1083976</v>
      </c>
      <c r="F527" s="36">
        <v>2</v>
      </c>
      <c r="G527" s="36">
        <v>983150</v>
      </c>
      <c r="H527" s="48" t="str">
        <f>IFERROR(INDEX(Table14[],MATCH($G527,Table14[SAPNo],0),3),"")</f>
        <v>Round 1613 CT216  0.018" (S)</v>
      </c>
      <c r="I527" s="37">
        <v>33</v>
      </c>
      <c r="J527" s="37">
        <f>IF(Table412[[#This Row],[MAT]]&lt;&gt;"",COUNTIF(Table3[LEVEL 5 MAT NO.],Table412[[#This Row],[MAT]]),"")</f>
        <v>0</v>
      </c>
      <c r="K527" s="36">
        <f>IFERROR(INDEX(Table3[],MATCH($E527,Table3[LEVEL 5 MAT NO.],0),2),0)</f>
        <v>0</v>
      </c>
      <c r="L527" s="36">
        <f>Table412[[#This Row],[Quantity in BOM]]*Table412[[#This Row],[Freq]]</f>
        <v>0</v>
      </c>
      <c r="M527" s="36" t="str">
        <f>IF(Table412[[#This Row],[Exist]]=1,Table412[[#This Row],[MAT]],"")</f>
        <v/>
      </c>
      <c r="N527" s="36" t="str">
        <f>IF(Table412[[#This Row],[Exist]]=1,Table412[[#This Row],[Component]],"")</f>
        <v/>
      </c>
      <c r="O527" s="36">
        <f>IFERROR(VALUE(Table412[[#This Row],[MAT]]&amp;Table412[[#This Row],[X'#]]),IF(COUNTIF(Table412[[#This Row],[MAT]],"*M"),Table412[[#This Row],[MAT]]&amp;Table412[[#This Row],[X'#]],""))</f>
        <v>10839762</v>
      </c>
    </row>
    <row r="528" spans="1:15" x14ac:dyDescent="0.25">
      <c r="A528" s="37">
        <f t="shared" si="9"/>
        <v>49</v>
      </c>
      <c r="C528" s="36" t="s">
        <v>316</v>
      </c>
      <c r="D528" s="36" t="s">
        <v>465</v>
      </c>
      <c r="E528" s="36">
        <v>1083976</v>
      </c>
      <c r="F528" s="36">
        <v>3</v>
      </c>
      <c r="G528" s="36">
        <v>625854</v>
      </c>
      <c r="H528" s="48" t="str">
        <f>IFERROR(INDEX(Table14[],MATCH($G528,Table14[SAPNo],0),3),"")</f>
        <v>Carbide IA 1318    (C)</v>
      </c>
      <c r="I528" s="37">
        <v>21</v>
      </c>
      <c r="J528" s="37">
        <f>IF(Table412[[#This Row],[MAT]]&lt;&gt;"",COUNTIF(Table3[LEVEL 5 MAT NO.],Table412[[#This Row],[MAT]]),"")</f>
        <v>0</v>
      </c>
      <c r="K528" s="36">
        <f>IFERROR(INDEX(Table3[],MATCH($E528,Table3[LEVEL 5 MAT NO.],0),2),0)</f>
        <v>0</v>
      </c>
      <c r="L528" s="36">
        <f>Table412[[#This Row],[Quantity in BOM]]*Table412[[#This Row],[Freq]]</f>
        <v>0</v>
      </c>
      <c r="M528" s="36" t="str">
        <f>IF(Table412[[#This Row],[Exist]]=1,Table412[[#This Row],[MAT]],"")</f>
        <v/>
      </c>
      <c r="N528" s="36" t="str">
        <f>IF(Table412[[#This Row],[Exist]]=1,Table412[[#This Row],[Component]],"")</f>
        <v/>
      </c>
      <c r="O528" s="36">
        <f>IFERROR(VALUE(Table412[[#This Row],[MAT]]&amp;Table412[[#This Row],[X'#]]),IF(COUNTIF(Table412[[#This Row],[MAT]],"*M"),Table412[[#This Row],[MAT]]&amp;Table412[[#This Row],[X'#]],""))</f>
        <v>10839763</v>
      </c>
    </row>
    <row r="529" spans="1:15" x14ac:dyDescent="0.25">
      <c r="A529" s="37">
        <f t="shared" si="9"/>
        <v>49</v>
      </c>
      <c r="C529" s="36" t="s">
        <v>316</v>
      </c>
      <c r="D529" s="36" t="s">
        <v>465</v>
      </c>
      <c r="E529" s="36">
        <v>1083976</v>
      </c>
      <c r="F529" s="36">
        <v>4</v>
      </c>
      <c r="G529" s="36">
        <v>418525</v>
      </c>
      <c r="H529" s="48" t="str">
        <f>IFERROR(INDEX(Table14[],MATCH($G529,Table14[SAPNo],0),3),"")</f>
        <v>Drop In 1308 CT31   (B)</v>
      </c>
      <c r="I529" s="37">
        <v>7</v>
      </c>
      <c r="J529" s="37">
        <f>IF(Table412[[#This Row],[MAT]]&lt;&gt;"",COUNTIF(Table3[LEVEL 5 MAT NO.],Table412[[#This Row],[MAT]]),"")</f>
        <v>0</v>
      </c>
      <c r="K529" s="36">
        <f>IFERROR(INDEX(Table3[],MATCH($E529,Table3[LEVEL 5 MAT NO.],0),2),0)</f>
        <v>0</v>
      </c>
      <c r="L529" s="36">
        <f>Table412[[#This Row],[Quantity in BOM]]*Table412[[#This Row],[Freq]]</f>
        <v>0</v>
      </c>
      <c r="M529" s="36" t="str">
        <f>IF(Table412[[#This Row],[Exist]]=1,Table412[[#This Row],[MAT]],"")</f>
        <v/>
      </c>
      <c r="N529" s="36" t="str">
        <f>IF(Table412[[#This Row],[Exist]]=1,Table412[[#This Row],[Component]],"")</f>
        <v/>
      </c>
      <c r="O529" s="36">
        <f>IFERROR(VALUE(Table412[[#This Row],[MAT]]&amp;Table412[[#This Row],[X'#]]),IF(COUNTIF(Table412[[#This Row],[MAT]],"*M"),Table412[[#This Row],[MAT]]&amp;Table412[[#This Row],[X'#]],""))</f>
        <v>10839764</v>
      </c>
    </row>
    <row r="530" spans="1:15" x14ac:dyDescent="0.25">
      <c r="A530" s="37">
        <f t="shared" si="9"/>
        <v>49</v>
      </c>
      <c r="C530" s="36" t="s">
        <v>304</v>
      </c>
      <c r="D530" s="36" t="s">
        <v>636</v>
      </c>
      <c r="E530" s="36">
        <v>960723</v>
      </c>
      <c r="F530" s="36">
        <v>1</v>
      </c>
      <c r="G530" s="36">
        <v>1130194</v>
      </c>
      <c r="H530" s="48" t="str">
        <f>IFERROR(INDEX(Table14[],MATCH($G530,Table14[SAPNo],0),3),"")</f>
        <v>1010 CT182 18C</v>
      </c>
      <c r="I530" s="37">
        <v>26</v>
      </c>
      <c r="J530" s="37">
        <f>IF(Table412[[#This Row],[MAT]]&lt;&gt;"",COUNTIF(Table3[LEVEL 5 MAT NO.],Table412[[#This Row],[MAT]]),"")</f>
        <v>1</v>
      </c>
      <c r="K530" s="36">
        <f>IFERROR(INDEX(Table3[],MATCH($E530,Table3[LEVEL 5 MAT NO.],0),2),0)</f>
        <v>8</v>
      </c>
      <c r="L530" s="36">
        <f>Table412[[#This Row],[Quantity in BOM]]*Table412[[#This Row],[Freq]]</f>
        <v>208</v>
      </c>
      <c r="M530" s="36">
        <f>IF(Table412[[#This Row],[Exist]]=1,Table412[[#This Row],[MAT]],"")</f>
        <v>960723</v>
      </c>
      <c r="N530" s="36">
        <f>IF(Table412[[#This Row],[Exist]]=1,Table412[[#This Row],[Component]],"")</f>
        <v>1130194</v>
      </c>
      <c r="O530" s="36">
        <f>IFERROR(VALUE(Table412[[#This Row],[MAT]]&amp;Table412[[#This Row],[X'#]]),IF(COUNTIF(Table412[[#This Row],[MAT]],"*M"),Table412[[#This Row],[MAT]]&amp;Table412[[#This Row],[X'#]],""))</f>
        <v>9607231</v>
      </c>
    </row>
    <row r="531" spans="1:15" x14ac:dyDescent="0.25">
      <c r="A531" s="37">
        <f t="shared" si="9"/>
        <v>57</v>
      </c>
      <c r="C531" s="36" t="s">
        <v>304</v>
      </c>
      <c r="D531" s="36" t="s">
        <v>636</v>
      </c>
      <c r="E531" s="36">
        <v>960723</v>
      </c>
      <c r="F531" s="36">
        <v>2</v>
      </c>
      <c r="G531" s="36">
        <v>1130193</v>
      </c>
      <c r="H531" s="48" t="str">
        <f>IFERROR(INDEX(Table14[],MATCH($G531,Table14[SAPNo],0),3),"")</f>
        <v xml:space="preserve"> 1005 CT182  0.018 (S)</v>
      </c>
      <c r="I531" s="37">
        <v>8</v>
      </c>
      <c r="J531" s="37">
        <f>IF(Table412[[#This Row],[MAT]]&lt;&gt;"",COUNTIF(Table3[LEVEL 5 MAT NO.],Table412[[#This Row],[MAT]]),"")</f>
        <v>1</v>
      </c>
      <c r="K531" s="36">
        <f>IFERROR(INDEX(Table3[],MATCH($E531,Table3[LEVEL 5 MAT NO.],0),2),0)</f>
        <v>8</v>
      </c>
      <c r="L531" s="36">
        <f>Table412[[#This Row],[Quantity in BOM]]*Table412[[#This Row],[Freq]]</f>
        <v>64</v>
      </c>
      <c r="M531" s="36">
        <f>IF(Table412[[#This Row],[Exist]]=1,Table412[[#This Row],[MAT]],"")</f>
        <v>960723</v>
      </c>
      <c r="N531" s="36">
        <f>IF(Table412[[#This Row],[Exist]]=1,Table412[[#This Row],[Component]],"")</f>
        <v>1130193</v>
      </c>
      <c r="O531" s="36">
        <f>IFERROR(VALUE(Table412[[#This Row],[MAT]]&amp;Table412[[#This Row],[X'#]]),IF(COUNTIF(Table412[[#This Row],[MAT]],"*M"),Table412[[#This Row],[MAT]]&amp;Table412[[#This Row],[X'#]],""))</f>
        <v>9607232</v>
      </c>
    </row>
    <row r="532" spans="1:15" x14ac:dyDescent="0.25">
      <c r="A532" s="37">
        <f t="shared" si="9"/>
        <v>65</v>
      </c>
      <c r="C532" s="36" t="s">
        <v>304</v>
      </c>
      <c r="D532" s="36" t="s">
        <v>636</v>
      </c>
      <c r="E532" s="36">
        <v>960723</v>
      </c>
      <c r="F532" s="36">
        <v>3</v>
      </c>
      <c r="G532" s="36">
        <v>882800</v>
      </c>
      <c r="H532" s="48" t="str">
        <f>IFERROR(INDEX(Table14[],MATCH($G532,Table14[SAPNo],0),3),"")</f>
        <v>Round 0808 CT80  0.018" (B)</v>
      </c>
      <c r="I532" s="37">
        <v>10</v>
      </c>
      <c r="J532" s="37">
        <f>IF(Table412[[#This Row],[MAT]]&lt;&gt;"",COUNTIF(Table3[LEVEL 5 MAT NO.],Table412[[#This Row],[MAT]]),"")</f>
        <v>1</v>
      </c>
      <c r="K532" s="36">
        <f>IFERROR(INDEX(Table3[],MATCH($E532,Table3[LEVEL 5 MAT NO.],0),2),0)</f>
        <v>8</v>
      </c>
      <c r="L532" s="36">
        <f>Table412[[#This Row],[Quantity in BOM]]*Table412[[#This Row],[Freq]]</f>
        <v>80</v>
      </c>
      <c r="M532" s="36">
        <f>IF(Table412[[#This Row],[Exist]]=1,Table412[[#This Row],[MAT]],"")</f>
        <v>960723</v>
      </c>
      <c r="N532" s="36">
        <f>IF(Table412[[#This Row],[Exist]]=1,Table412[[#This Row],[Component]],"")</f>
        <v>882800</v>
      </c>
      <c r="O532" s="36">
        <f>IFERROR(VALUE(Table412[[#This Row],[MAT]]&amp;Table412[[#This Row],[X'#]]),IF(COUNTIF(Table412[[#This Row],[MAT]],"*M"),Table412[[#This Row],[MAT]]&amp;Table412[[#This Row],[X'#]],""))</f>
        <v>9607233</v>
      </c>
    </row>
    <row r="533" spans="1:15" x14ac:dyDescent="0.25">
      <c r="A533" s="37">
        <f t="shared" si="9"/>
        <v>73</v>
      </c>
      <c r="C533" s="36" t="s">
        <v>3691</v>
      </c>
      <c r="D533" s="36" t="s">
        <v>3695</v>
      </c>
      <c r="E533" s="36">
        <v>1094991</v>
      </c>
      <c r="F533" s="36">
        <v>1</v>
      </c>
      <c r="G533" s="36">
        <v>1130200</v>
      </c>
      <c r="H533" s="48" t="str">
        <f>IFERROR(INDEX(Table14[],MATCH($G533,Table14[SAPNo],0),3),"")</f>
        <v>Round 1913 CT182  0.018" (S)</v>
      </c>
      <c r="I533" s="37">
        <v>87</v>
      </c>
      <c r="J533" s="37">
        <f>IF(Table412[[#This Row],[MAT]]&lt;&gt;"",COUNTIF(Table3[LEVEL 5 MAT NO.],Table412[[#This Row],[MAT]]),"")</f>
        <v>0</v>
      </c>
      <c r="K533" s="36">
        <f>IFERROR(INDEX(Table3[],MATCH($E533,Table3[LEVEL 5 MAT NO.],0),2),0)</f>
        <v>0</v>
      </c>
      <c r="L533" s="36">
        <f>Table412[[#This Row],[Quantity in BOM]]*Table412[[#This Row],[Freq]]</f>
        <v>0</v>
      </c>
      <c r="M533" s="36" t="str">
        <f>IF(Table412[[#This Row],[Exist]]=1,Table412[[#This Row],[MAT]],"")</f>
        <v/>
      </c>
      <c r="N533" s="36" t="str">
        <f>IF(Table412[[#This Row],[Exist]]=1,Table412[[#This Row],[Component]],"")</f>
        <v/>
      </c>
      <c r="O533" s="36">
        <f>IFERROR(VALUE(Table412[[#This Row],[MAT]]&amp;Table412[[#This Row],[X'#]]),IF(COUNTIF(Table412[[#This Row],[MAT]],"*M"),Table412[[#This Row],[MAT]]&amp;Table412[[#This Row],[X'#]],""))</f>
        <v>10949911</v>
      </c>
    </row>
    <row r="534" spans="1:15" x14ac:dyDescent="0.25">
      <c r="A534" s="37">
        <f t="shared" si="9"/>
        <v>73</v>
      </c>
      <c r="C534" s="36" t="s">
        <v>3691</v>
      </c>
      <c r="D534" s="36" t="s">
        <v>3695</v>
      </c>
      <c r="E534" s="36">
        <v>1094991</v>
      </c>
      <c r="F534" s="36">
        <v>2</v>
      </c>
      <c r="G534" s="36">
        <v>708306</v>
      </c>
      <c r="H534" s="48" t="str">
        <f>IFERROR(INDEX(Table14[],MATCH($G534,Table14[SAPNo],0),3),"")</f>
        <v>Round 1913 CT200  0.018" (B)</v>
      </c>
      <c r="I534" s="37">
        <v>63</v>
      </c>
      <c r="J534" s="37">
        <f>IF(Table412[[#This Row],[MAT]]&lt;&gt;"",COUNTIF(Table3[LEVEL 5 MAT NO.],Table412[[#This Row],[MAT]]),"")</f>
        <v>0</v>
      </c>
      <c r="K534" s="36">
        <f>IFERROR(INDEX(Table3[],MATCH($E534,Table3[LEVEL 5 MAT NO.],0),2),0)</f>
        <v>0</v>
      </c>
      <c r="L534" s="36">
        <f>Table412[[#This Row],[Quantity in BOM]]*Table412[[#This Row],[Freq]]</f>
        <v>0</v>
      </c>
      <c r="M534" s="36" t="str">
        <f>IF(Table412[[#This Row],[Exist]]=1,Table412[[#This Row],[MAT]],"")</f>
        <v/>
      </c>
      <c r="N534" s="36" t="str">
        <f>IF(Table412[[#This Row],[Exist]]=1,Table412[[#This Row],[Component]],"")</f>
        <v/>
      </c>
      <c r="O534" s="36">
        <f>IFERROR(VALUE(Table412[[#This Row],[MAT]]&amp;Table412[[#This Row],[X'#]]),IF(COUNTIF(Table412[[#This Row],[MAT]],"*M"),Table412[[#This Row],[MAT]]&amp;Table412[[#This Row],[X'#]],""))</f>
        <v>10949912</v>
      </c>
    </row>
    <row r="535" spans="1:15" x14ac:dyDescent="0.25">
      <c r="A535" s="37">
        <f t="shared" si="9"/>
        <v>73</v>
      </c>
      <c r="C535" s="36" t="s">
        <v>3691</v>
      </c>
      <c r="D535" s="36" t="s">
        <v>3695</v>
      </c>
      <c r="E535" s="36">
        <v>1094991</v>
      </c>
      <c r="F535" s="36">
        <v>3</v>
      </c>
      <c r="G535" s="36">
        <v>755975</v>
      </c>
      <c r="H535" s="48" t="str">
        <f>IFERROR(INDEX(Table14[],MATCH($G535,Table14[SAPNo],0),3),"")</f>
        <v>Round 1913 CT80  0.018" (B)</v>
      </c>
      <c r="I535" s="37">
        <v>16</v>
      </c>
      <c r="J535" s="37">
        <f>IF(Table412[[#This Row],[MAT]]&lt;&gt;"",COUNTIF(Table3[LEVEL 5 MAT NO.],Table412[[#This Row],[MAT]]),"")</f>
        <v>0</v>
      </c>
      <c r="K535" s="36">
        <f>IFERROR(INDEX(Table3[],MATCH($E535,Table3[LEVEL 5 MAT NO.],0),2),0)</f>
        <v>0</v>
      </c>
      <c r="L535" s="36">
        <f>Table412[[#This Row],[Quantity in BOM]]*Table412[[#This Row],[Freq]]</f>
        <v>0</v>
      </c>
      <c r="M535" s="36" t="str">
        <f>IF(Table412[[#This Row],[Exist]]=1,Table412[[#This Row],[MAT]],"")</f>
        <v/>
      </c>
      <c r="N535" s="36" t="str">
        <f>IF(Table412[[#This Row],[Exist]]=1,Table412[[#This Row],[Component]],"")</f>
        <v/>
      </c>
      <c r="O535" s="36">
        <f>IFERROR(VALUE(Table412[[#This Row],[MAT]]&amp;Table412[[#This Row],[X'#]]),IF(COUNTIF(Table412[[#This Row],[MAT]],"*M"),Table412[[#This Row],[MAT]]&amp;Table412[[#This Row],[X'#]],""))</f>
        <v>10949913</v>
      </c>
    </row>
    <row r="536" spans="1:15" x14ac:dyDescent="0.25">
      <c r="A536" s="37">
        <f t="shared" si="9"/>
        <v>73</v>
      </c>
      <c r="C536" s="36" t="s">
        <v>3691</v>
      </c>
      <c r="D536" s="36" t="s">
        <v>3695</v>
      </c>
      <c r="E536" s="36">
        <v>1094991</v>
      </c>
      <c r="F536" s="36">
        <v>4</v>
      </c>
      <c r="G536" s="36">
        <v>745338</v>
      </c>
      <c r="H536" s="48" t="str">
        <f>IFERROR(INDEX(Table14[],MATCH($G536,Table14[SAPNo],0),3),"")</f>
        <v>Round 1613 CT80  0.018" (B)</v>
      </c>
      <c r="I536" s="37">
        <v>13</v>
      </c>
      <c r="J536" s="37">
        <f>IF(Table412[[#This Row],[MAT]]&lt;&gt;"",COUNTIF(Table3[LEVEL 5 MAT NO.],Table412[[#This Row],[MAT]]),"")</f>
        <v>0</v>
      </c>
      <c r="K536" s="36">
        <f>IFERROR(INDEX(Table3[],MATCH($E536,Table3[LEVEL 5 MAT NO.],0),2),0)</f>
        <v>0</v>
      </c>
      <c r="L536" s="36">
        <f>Table412[[#This Row],[Quantity in BOM]]*Table412[[#This Row],[Freq]]</f>
        <v>0</v>
      </c>
      <c r="M536" s="36" t="str">
        <f>IF(Table412[[#This Row],[Exist]]=1,Table412[[#This Row],[MAT]],"")</f>
        <v/>
      </c>
      <c r="N536" s="36" t="str">
        <f>IF(Table412[[#This Row],[Exist]]=1,Table412[[#This Row],[Component]],"")</f>
        <v/>
      </c>
      <c r="O536" s="36">
        <f>IFERROR(VALUE(Table412[[#This Row],[MAT]]&amp;Table412[[#This Row],[X'#]]),IF(COUNTIF(Table412[[#This Row],[MAT]],"*M"),Table412[[#This Row],[MAT]]&amp;Table412[[#This Row],[X'#]],""))</f>
        <v>10949914</v>
      </c>
    </row>
    <row r="537" spans="1:15" x14ac:dyDescent="0.25">
      <c r="A537" s="37">
        <f t="shared" si="9"/>
        <v>73</v>
      </c>
      <c r="C537" s="36" t="s">
        <v>3691</v>
      </c>
      <c r="D537" s="36" t="s">
        <v>3695</v>
      </c>
      <c r="E537" s="36">
        <v>1094991</v>
      </c>
      <c r="F537" s="36">
        <v>5</v>
      </c>
      <c r="G537" s="36">
        <v>418525</v>
      </c>
      <c r="H537" s="48" t="str">
        <f>IFERROR(INDEX(Table14[],MATCH($G537,Table14[SAPNo],0),3),"")</f>
        <v>Drop In 1308 CT31   (B)</v>
      </c>
      <c r="I537" s="37">
        <v>12</v>
      </c>
      <c r="J537" s="37">
        <f>IF(Table412[[#This Row],[MAT]]&lt;&gt;"",COUNTIF(Table3[LEVEL 5 MAT NO.],Table412[[#This Row],[MAT]]),"")</f>
        <v>0</v>
      </c>
      <c r="K537" s="36">
        <f>IFERROR(INDEX(Table3[],MATCH($E537,Table3[LEVEL 5 MAT NO.],0),2),0)</f>
        <v>0</v>
      </c>
      <c r="L537" s="36">
        <f>Table412[[#This Row],[Quantity in BOM]]*Table412[[#This Row],[Freq]]</f>
        <v>0</v>
      </c>
      <c r="M537" s="36" t="str">
        <f>IF(Table412[[#This Row],[Exist]]=1,Table412[[#This Row],[MAT]],"")</f>
        <v/>
      </c>
      <c r="N537" s="36" t="str">
        <f>IF(Table412[[#This Row],[Exist]]=1,Table412[[#This Row],[Component]],"")</f>
        <v/>
      </c>
      <c r="O537" s="36">
        <f>IFERROR(VALUE(Table412[[#This Row],[MAT]]&amp;Table412[[#This Row],[X'#]]),IF(COUNTIF(Table412[[#This Row],[MAT]],"*M"),Table412[[#This Row],[MAT]]&amp;Table412[[#This Row],[X'#]],""))</f>
        <v>10949915</v>
      </c>
    </row>
    <row r="538" spans="1:15" x14ac:dyDescent="0.25">
      <c r="A538" s="37">
        <f t="shared" si="9"/>
        <v>73</v>
      </c>
      <c r="C538" s="36" t="s">
        <v>3691</v>
      </c>
      <c r="D538" s="36" t="s">
        <v>3695</v>
      </c>
      <c r="E538" s="36">
        <v>1094991</v>
      </c>
      <c r="F538" s="36">
        <v>6</v>
      </c>
      <c r="G538" s="36">
        <v>179734</v>
      </c>
      <c r="H538" s="48" t="str">
        <f>IFERROR(INDEX(Table14[],MATCH($G538,Table14[SAPNo],0),3),"")</f>
        <v>Long IPA 13    (C)</v>
      </c>
      <c r="I538" s="37">
        <v>36</v>
      </c>
      <c r="J538" s="37">
        <f>IF(Table412[[#This Row],[MAT]]&lt;&gt;"",COUNTIF(Table3[LEVEL 5 MAT NO.],Table412[[#This Row],[MAT]]),"")</f>
        <v>0</v>
      </c>
      <c r="K538" s="36">
        <f>IFERROR(INDEX(Table3[],MATCH($E538,Table3[LEVEL 5 MAT NO.],0),2),0)</f>
        <v>0</v>
      </c>
      <c r="L538" s="36">
        <f>Table412[[#This Row],[Quantity in BOM]]*Table412[[#This Row],[Freq]]</f>
        <v>0</v>
      </c>
      <c r="M538" s="36" t="str">
        <f>IF(Table412[[#This Row],[Exist]]=1,Table412[[#This Row],[MAT]],"")</f>
        <v/>
      </c>
      <c r="N538" s="36" t="str">
        <f>IF(Table412[[#This Row],[Exist]]=1,Table412[[#This Row],[Component]],"")</f>
        <v/>
      </c>
      <c r="O538" s="36">
        <f>IFERROR(VALUE(Table412[[#This Row],[MAT]]&amp;Table412[[#This Row],[X'#]]),IF(COUNTIF(Table412[[#This Row],[MAT]],"*M"),Table412[[#This Row],[MAT]]&amp;Table412[[#This Row],[X'#]],""))</f>
        <v>10949916</v>
      </c>
    </row>
    <row r="539" spans="1:15" x14ac:dyDescent="0.25">
      <c r="A539" s="37">
        <f t="shared" si="9"/>
        <v>73</v>
      </c>
      <c r="C539" s="36" t="s">
        <v>3691</v>
      </c>
      <c r="D539" s="36" t="s">
        <v>3695</v>
      </c>
      <c r="E539" s="36">
        <v>1094991</v>
      </c>
      <c r="F539" s="36">
        <v>7</v>
      </c>
      <c r="G539" s="36">
        <v>871781</v>
      </c>
      <c r="H539" s="48" t="str">
        <f>IFERROR(INDEX(Table14[],MATCH($G539,Table14[SAPNo],0),3),"")</f>
        <v>Round 1313 CT200  0.018" (B)</v>
      </c>
      <c r="I539" s="37">
        <v>4</v>
      </c>
      <c r="J539" s="37">
        <f>IF(Table412[[#This Row],[MAT]]&lt;&gt;"",COUNTIF(Table3[LEVEL 5 MAT NO.],Table412[[#This Row],[MAT]]),"")</f>
        <v>0</v>
      </c>
      <c r="K539" s="36">
        <f>IFERROR(INDEX(Table3[],MATCH($E539,Table3[LEVEL 5 MAT NO.],0),2),0)</f>
        <v>0</v>
      </c>
      <c r="L539" s="36">
        <f>Table412[[#This Row],[Quantity in BOM]]*Table412[[#This Row],[Freq]]</f>
        <v>0</v>
      </c>
      <c r="M539" s="36" t="str">
        <f>IF(Table412[[#This Row],[Exist]]=1,Table412[[#This Row],[MAT]],"")</f>
        <v/>
      </c>
      <c r="N539" s="36" t="str">
        <f>IF(Table412[[#This Row],[Exist]]=1,Table412[[#This Row],[Component]],"")</f>
        <v/>
      </c>
      <c r="O539" s="36">
        <f>IFERROR(VALUE(Table412[[#This Row],[MAT]]&amp;Table412[[#This Row],[X'#]]),IF(COUNTIF(Table412[[#This Row],[MAT]],"*M"),Table412[[#This Row],[MAT]]&amp;Table412[[#This Row],[X'#]],""))</f>
        <v>10949917</v>
      </c>
    </row>
    <row r="540" spans="1:15" x14ac:dyDescent="0.25">
      <c r="A540" s="37">
        <f t="shared" si="9"/>
        <v>73</v>
      </c>
      <c r="C540" s="36" t="s">
        <v>3691</v>
      </c>
      <c r="D540" s="36" t="s">
        <v>3695</v>
      </c>
      <c r="E540" s="36">
        <v>1094991</v>
      </c>
      <c r="F540" s="36">
        <v>8</v>
      </c>
      <c r="G540" s="36">
        <v>410851</v>
      </c>
      <c r="H540" s="48" t="str">
        <f>IFERROR(INDEX(Table14[],MATCH($G540,Table14[SAPNo],0),3),"")</f>
        <v>PDC Dome 1308 CT31   (B)</v>
      </c>
      <c r="I540" s="37">
        <v>56</v>
      </c>
      <c r="J540" s="37">
        <f>IF(Table412[[#This Row],[MAT]]&lt;&gt;"",COUNTIF(Table3[LEVEL 5 MAT NO.],Table412[[#This Row],[MAT]]),"")</f>
        <v>0</v>
      </c>
      <c r="K540" s="36">
        <f>IFERROR(INDEX(Table3[],MATCH($E540,Table3[LEVEL 5 MAT NO.],0),2),0)</f>
        <v>0</v>
      </c>
      <c r="L540" s="36">
        <f>Table412[[#This Row],[Quantity in BOM]]*Table412[[#This Row],[Freq]]</f>
        <v>0</v>
      </c>
      <c r="M540" s="36" t="str">
        <f>IF(Table412[[#This Row],[Exist]]=1,Table412[[#This Row],[MAT]],"")</f>
        <v/>
      </c>
      <c r="N540" s="36" t="str">
        <f>IF(Table412[[#This Row],[Exist]]=1,Table412[[#This Row],[Component]],"")</f>
        <v/>
      </c>
      <c r="O540" s="36">
        <f>IFERROR(VALUE(Table412[[#This Row],[MAT]]&amp;Table412[[#This Row],[X'#]]),IF(COUNTIF(Table412[[#This Row],[MAT]],"*M"),Table412[[#This Row],[MAT]]&amp;Table412[[#This Row],[X'#]],""))</f>
        <v>10949918</v>
      </c>
    </row>
    <row r="541" spans="1:15" x14ac:dyDescent="0.25">
      <c r="A541" s="37">
        <f t="shared" si="9"/>
        <v>73</v>
      </c>
      <c r="C541" s="36" t="s">
        <v>315</v>
      </c>
      <c r="D541" s="36" t="s">
        <v>643</v>
      </c>
      <c r="E541" s="36">
        <v>1095217</v>
      </c>
      <c r="F541" s="36">
        <v>1</v>
      </c>
      <c r="G541" s="36">
        <v>1130200</v>
      </c>
      <c r="H541" s="48" t="str">
        <f>IFERROR(INDEX(Table14[],MATCH($G541,Table14[SAPNo],0),3),"")</f>
        <v>Round 1913 CT182  0.018" (S)</v>
      </c>
      <c r="I541" s="37">
        <v>52</v>
      </c>
      <c r="J541" s="37">
        <f>IF(Table412[[#This Row],[MAT]]&lt;&gt;"",COUNTIF(Table3[LEVEL 5 MAT NO.],Table412[[#This Row],[MAT]]),"")</f>
        <v>1</v>
      </c>
      <c r="K541" s="36">
        <f>IFERROR(INDEX(Table3[],MATCH($E541,Table3[LEVEL 5 MAT NO.],0),2),0)</f>
        <v>0</v>
      </c>
      <c r="L541" s="36">
        <f>Table412[[#This Row],[Quantity in BOM]]*Table412[[#This Row],[Freq]]</f>
        <v>0</v>
      </c>
      <c r="M541" s="36">
        <f>IF(Table412[[#This Row],[Exist]]=1,Table412[[#This Row],[MAT]],"")</f>
        <v>1095217</v>
      </c>
      <c r="N541" s="36">
        <f>IF(Table412[[#This Row],[Exist]]=1,Table412[[#This Row],[Component]],"")</f>
        <v>1130200</v>
      </c>
      <c r="O541" s="36">
        <f>IFERROR(VALUE(Table412[[#This Row],[MAT]]&amp;Table412[[#This Row],[X'#]]),IF(COUNTIF(Table412[[#This Row],[MAT]],"*M"),Table412[[#This Row],[MAT]]&amp;Table412[[#This Row],[X'#]],""))</f>
        <v>10952171</v>
      </c>
    </row>
    <row r="542" spans="1:15" x14ac:dyDescent="0.25">
      <c r="A542" s="37">
        <f t="shared" si="9"/>
        <v>73</v>
      </c>
      <c r="C542" s="36" t="s">
        <v>315</v>
      </c>
      <c r="D542" s="36" t="s">
        <v>643</v>
      </c>
      <c r="E542" s="36">
        <v>1095217</v>
      </c>
      <c r="F542" s="36">
        <v>2</v>
      </c>
      <c r="G542" s="36">
        <v>708306</v>
      </c>
      <c r="H542" s="48" t="str">
        <f>IFERROR(INDEX(Table14[],MATCH($G542,Table14[SAPNo],0),3),"")</f>
        <v>Round 1913 CT200  0.018" (B)</v>
      </c>
      <c r="I542" s="37">
        <v>35</v>
      </c>
      <c r="J542" s="37">
        <f>IF(Table412[[#This Row],[MAT]]&lt;&gt;"",COUNTIF(Table3[LEVEL 5 MAT NO.],Table412[[#This Row],[MAT]]),"")</f>
        <v>1</v>
      </c>
      <c r="K542" s="36">
        <f>IFERROR(INDEX(Table3[],MATCH($E542,Table3[LEVEL 5 MAT NO.],0),2),0)</f>
        <v>0</v>
      </c>
      <c r="L542" s="36">
        <f>Table412[[#This Row],[Quantity in BOM]]*Table412[[#This Row],[Freq]]</f>
        <v>0</v>
      </c>
      <c r="M542" s="36">
        <f>IF(Table412[[#This Row],[Exist]]=1,Table412[[#This Row],[MAT]],"")</f>
        <v>1095217</v>
      </c>
      <c r="N542" s="36">
        <f>IF(Table412[[#This Row],[Exist]]=1,Table412[[#This Row],[Component]],"")</f>
        <v>708306</v>
      </c>
      <c r="O542" s="36">
        <f>IFERROR(VALUE(Table412[[#This Row],[MAT]]&amp;Table412[[#This Row],[X'#]]),IF(COUNTIF(Table412[[#This Row],[MAT]],"*M"),Table412[[#This Row],[MAT]]&amp;Table412[[#This Row],[X'#]],""))</f>
        <v>10952172</v>
      </c>
    </row>
    <row r="543" spans="1:15" x14ac:dyDescent="0.25">
      <c r="A543" s="37">
        <f t="shared" si="9"/>
        <v>73</v>
      </c>
      <c r="C543" s="36" t="s">
        <v>315</v>
      </c>
      <c r="D543" s="36" t="s">
        <v>643</v>
      </c>
      <c r="E543" s="36">
        <v>1095217</v>
      </c>
      <c r="F543" s="36">
        <v>3</v>
      </c>
      <c r="G543" s="36">
        <v>871781</v>
      </c>
      <c r="H543" s="48" t="str">
        <f>IFERROR(INDEX(Table14[],MATCH($G543,Table14[SAPNo],0),3),"")</f>
        <v>Round 1313 CT200  0.018" (B)</v>
      </c>
      <c r="I543" s="37">
        <v>4</v>
      </c>
      <c r="J543" s="37">
        <f>IF(Table412[[#This Row],[MAT]]&lt;&gt;"",COUNTIF(Table3[LEVEL 5 MAT NO.],Table412[[#This Row],[MAT]]),"")</f>
        <v>1</v>
      </c>
      <c r="K543" s="36">
        <f>IFERROR(INDEX(Table3[],MATCH($E543,Table3[LEVEL 5 MAT NO.],0),2),0)</f>
        <v>0</v>
      </c>
      <c r="L543" s="36">
        <f>Table412[[#This Row],[Quantity in BOM]]*Table412[[#This Row],[Freq]]</f>
        <v>0</v>
      </c>
      <c r="M543" s="36">
        <f>IF(Table412[[#This Row],[Exist]]=1,Table412[[#This Row],[MAT]],"")</f>
        <v>1095217</v>
      </c>
      <c r="N543" s="36">
        <f>IF(Table412[[#This Row],[Exist]]=1,Table412[[#This Row],[Component]],"")</f>
        <v>871781</v>
      </c>
      <c r="O543" s="36">
        <f>IFERROR(VALUE(Table412[[#This Row],[MAT]]&amp;Table412[[#This Row],[X'#]]),IF(COUNTIF(Table412[[#This Row],[MAT]],"*M"),Table412[[#This Row],[MAT]]&amp;Table412[[#This Row],[X'#]],""))</f>
        <v>10952173</v>
      </c>
    </row>
    <row r="544" spans="1:15" x14ac:dyDescent="0.25">
      <c r="A544" s="37">
        <f t="shared" si="9"/>
        <v>73</v>
      </c>
      <c r="C544" s="36" t="s">
        <v>315</v>
      </c>
      <c r="D544" s="36" t="s">
        <v>643</v>
      </c>
      <c r="E544" s="36">
        <v>1095217</v>
      </c>
      <c r="F544" s="36">
        <v>4</v>
      </c>
      <c r="G544" s="36">
        <v>418525</v>
      </c>
      <c r="H544" s="48" t="str">
        <f>IFERROR(INDEX(Table14[],MATCH($G544,Table14[SAPNo],0),3),"")</f>
        <v>Drop In 1308 CT31   (B)</v>
      </c>
      <c r="I544" s="37">
        <v>3</v>
      </c>
      <c r="J544" s="37">
        <f>IF(Table412[[#This Row],[MAT]]&lt;&gt;"",COUNTIF(Table3[LEVEL 5 MAT NO.],Table412[[#This Row],[MAT]]),"")</f>
        <v>1</v>
      </c>
      <c r="K544" s="36">
        <f>IFERROR(INDEX(Table3[],MATCH($E544,Table3[LEVEL 5 MAT NO.],0),2),0)</f>
        <v>0</v>
      </c>
      <c r="L544" s="36">
        <f>Table412[[#This Row],[Quantity in BOM]]*Table412[[#This Row],[Freq]]</f>
        <v>0</v>
      </c>
      <c r="M544" s="36">
        <f>IF(Table412[[#This Row],[Exist]]=1,Table412[[#This Row],[MAT]],"")</f>
        <v>1095217</v>
      </c>
      <c r="N544" s="36">
        <f>IF(Table412[[#This Row],[Exist]]=1,Table412[[#This Row],[Component]],"")</f>
        <v>418525</v>
      </c>
      <c r="O544" s="36">
        <f>IFERROR(VALUE(Table412[[#This Row],[MAT]]&amp;Table412[[#This Row],[X'#]]),IF(COUNTIF(Table412[[#This Row],[MAT]],"*M"),Table412[[#This Row],[MAT]]&amp;Table412[[#This Row],[X'#]],""))</f>
        <v>10952174</v>
      </c>
    </row>
    <row r="545" spans="1:15" x14ac:dyDescent="0.25">
      <c r="A545" s="37">
        <f t="shared" si="9"/>
        <v>73</v>
      </c>
      <c r="C545" s="36" t="s">
        <v>315</v>
      </c>
      <c r="D545" s="36" t="s">
        <v>3696</v>
      </c>
      <c r="E545" s="36">
        <v>1085745</v>
      </c>
      <c r="F545" s="36">
        <v>1</v>
      </c>
      <c r="G545" s="36">
        <v>1130200</v>
      </c>
      <c r="H545" s="48" t="str">
        <f>IFERROR(INDEX(Table14[],MATCH($G545,Table14[SAPNo],0),3),"")</f>
        <v>Round 1913 CT182  0.018" (S)</v>
      </c>
      <c r="I545" s="37">
        <v>25</v>
      </c>
      <c r="J545" s="37">
        <f>IF(Table412[[#This Row],[MAT]]&lt;&gt;"",COUNTIF(Table3[LEVEL 5 MAT NO.],Table412[[#This Row],[MAT]]),"")</f>
        <v>0</v>
      </c>
      <c r="K545" s="36">
        <f>IFERROR(INDEX(Table3[],MATCH($E545,Table3[LEVEL 5 MAT NO.],0),2),0)</f>
        <v>0</v>
      </c>
      <c r="L545" s="36">
        <f>Table412[[#This Row],[Quantity in BOM]]*Table412[[#This Row],[Freq]]</f>
        <v>0</v>
      </c>
      <c r="M545" s="36" t="str">
        <f>IF(Table412[[#This Row],[Exist]]=1,Table412[[#This Row],[MAT]],"")</f>
        <v/>
      </c>
      <c r="N545" s="36" t="str">
        <f>IF(Table412[[#This Row],[Exist]]=1,Table412[[#This Row],[Component]],"")</f>
        <v/>
      </c>
      <c r="O545" s="36">
        <f>IFERROR(VALUE(Table412[[#This Row],[MAT]]&amp;Table412[[#This Row],[X'#]]),IF(COUNTIF(Table412[[#This Row],[MAT]],"*M"),Table412[[#This Row],[MAT]]&amp;Table412[[#This Row],[X'#]],""))</f>
        <v>10857451</v>
      </c>
    </row>
    <row r="546" spans="1:15" x14ac:dyDescent="0.25">
      <c r="A546" s="37">
        <f t="shared" si="9"/>
        <v>73</v>
      </c>
      <c r="C546" s="36" t="s">
        <v>315</v>
      </c>
      <c r="D546" s="36" t="s">
        <v>3696</v>
      </c>
      <c r="E546" s="36">
        <v>1085745</v>
      </c>
      <c r="F546" s="36">
        <v>2</v>
      </c>
      <c r="G546" s="36">
        <v>1130198</v>
      </c>
      <c r="H546" s="48" t="str">
        <f>IFERROR(INDEX(Table14[],MATCH($G546,Table14[SAPNo],0),3),"")</f>
        <v>Round 1613 CT182  0.018" (S)</v>
      </c>
      <c r="I546" s="37">
        <v>7</v>
      </c>
      <c r="J546" s="37">
        <f>IF(Table412[[#This Row],[MAT]]&lt;&gt;"",COUNTIF(Table3[LEVEL 5 MAT NO.],Table412[[#This Row],[MAT]]),"")</f>
        <v>0</v>
      </c>
      <c r="K546" s="36">
        <f>IFERROR(INDEX(Table3[],MATCH($E546,Table3[LEVEL 5 MAT NO.],0),2),0)</f>
        <v>0</v>
      </c>
      <c r="L546" s="36">
        <f>Table412[[#This Row],[Quantity in BOM]]*Table412[[#This Row],[Freq]]</f>
        <v>0</v>
      </c>
      <c r="M546" s="36" t="str">
        <f>IF(Table412[[#This Row],[Exist]]=1,Table412[[#This Row],[MAT]],"")</f>
        <v/>
      </c>
      <c r="N546" s="36" t="str">
        <f>IF(Table412[[#This Row],[Exist]]=1,Table412[[#This Row],[Component]],"")</f>
        <v/>
      </c>
      <c r="O546" s="36">
        <f>IFERROR(VALUE(Table412[[#This Row],[MAT]]&amp;Table412[[#This Row],[X'#]]),IF(COUNTIF(Table412[[#This Row],[MAT]],"*M"),Table412[[#This Row],[MAT]]&amp;Table412[[#This Row],[X'#]],""))</f>
        <v>10857452</v>
      </c>
    </row>
    <row r="547" spans="1:15" x14ac:dyDescent="0.25">
      <c r="A547" s="37">
        <f t="shared" si="9"/>
        <v>73</v>
      </c>
      <c r="C547" s="36" t="s">
        <v>315</v>
      </c>
      <c r="D547" s="36" t="s">
        <v>3696</v>
      </c>
      <c r="E547" s="36">
        <v>1085745</v>
      </c>
      <c r="F547" s="36">
        <v>3</v>
      </c>
      <c r="G547" s="36">
        <v>179734</v>
      </c>
      <c r="H547" s="48" t="str">
        <f>IFERROR(INDEX(Table14[],MATCH($G547,Table14[SAPNo],0),3),"")</f>
        <v>Long IPA 13    (C)</v>
      </c>
      <c r="I547" s="37">
        <v>35</v>
      </c>
      <c r="J547" s="37">
        <f>IF(Table412[[#This Row],[MAT]]&lt;&gt;"",COUNTIF(Table3[LEVEL 5 MAT NO.],Table412[[#This Row],[MAT]]),"")</f>
        <v>0</v>
      </c>
      <c r="K547" s="36">
        <f>IFERROR(INDEX(Table3[],MATCH($E547,Table3[LEVEL 5 MAT NO.],0),2),0)</f>
        <v>0</v>
      </c>
      <c r="L547" s="36">
        <f>Table412[[#This Row],[Quantity in BOM]]*Table412[[#This Row],[Freq]]</f>
        <v>0</v>
      </c>
      <c r="M547" s="36" t="str">
        <f>IF(Table412[[#This Row],[Exist]]=1,Table412[[#This Row],[MAT]],"")</f>
        <v/>
      </c>
      <c r="N547" s="36" t="str">
        <f>IF(Table412[[#This Row],[Exist]]=1,Table412[[#This Row],[Component]],"")</f>
        <v/>
      </c>
      <c r="O547" s="36">
        <f>IFERROR(VALUE(Table412[[#This Row],[MAT]]&amp;Table412[[#This Row],[X'#]]),IF(COUNTIF(Table412[[#This Row],[MAT]],"*M"),Table412[[#This Row],[MAT]]&amp;Table412[[#This Row],[X'#]],""))</f>
        <v>10857453</v>
      </c>
    </row>
    <row r="548" spans="1:15" x14ac:dyDescent="0.25">
      <c r="A548" s="37">
        <f t="shared" si="9"/>
        <v>73</v>
      </c>
      <c r="C548" s="36" t="s">
        <v>315</v>
      </c>
      <c r="D548" s="36" t="s">
        <v>3696</v>
      </c>
      <c r="E548" s="36">
        <v>1085745</v>
      </c>
      <c r="F548" s="36">
        <v>4</v>
      </c>
      <c r="G548" s="36">
        <v>1130204</v>
      </c>
      <c r="H548" s="48" t="str">
        <f>IFERROR(INDEX(Table14[],MATCH($G548,Table14[SAPNo],0),3),"")</f>
        <v>Short Bullet 16 CT182 SBL 0.018" (S)</v>
      </c>
      <c r="I548" s="37">
        <v>9</v>
      </c>
      <c r="J548" s="37">
        <f>IF(Table412[[#This Row],[MAT]]&lt;&gt;"",COUNTIF(Table3[LEVEL 5 MAT NO.],Table412[[#This Row],[MAT]]),"")</f>
        <v>0</v>
      </c>
      <c r="K548" s="36">
        <f>IFERROR(INDEX(Table3[],MATCH($E548,Table3[LEVEL 5 MAT NO.],0),2),0)</f>
        <v>0</v>
      </c>
      <c r="L548" s="36">
        <f>Table412[[#This Row],[Quantity in BOM]]*Table412[[#This Row],[Freq]]</f>
        <v>0</v>
      </c>
      <c r="M548" s="36" t="str">
        <f>IF(Table412[[#This Row],[Exist]]=1,Table412[[#This Row],[MAT]],"")</f>
        <v/>
      </c>
      <c r="N548" s="36" t="str">
        <f>IF(Table412[[#This Row],[Exist]]=1,Table412[[#This Row],[Component]],"")</f>
        <v/>
      </c>
      <c r="O548" s="36">
        <f>IFERROR(VALUE(Table412[[#This Row],[MAT]]&amp;Table412[[#This Row],[X'#]]),IF(COUNTIF(Table412[[#This Row],[MAT]],"*M"),Table412[[#This Row],[MAT]]&amp;Table412[[#This Row],[X'#]],""))</f>
        <v>10857454</v>
      </c>
    </row>
    <row r="549" spans="1:15" x14ac:dyDescent="0.25">
      <c r="A549" s="37">
        <f t="shared" si="9"/>
        <v>73</v>
      </c>
      <c r="C549" s="36" t="s">
        <v>315</v>
      </c>
      <c r="D549" s="36" t="s">
        <v>3696</v>
      </c>
      <c r="E549" s="36">
        <v>1085745</v>
      </c>
      <c r="F549" s="36">
        <v>5</v>
      </c>
      <c r="G549" s="36">
        <v>1130206</v>
      </c>
      <c r="H549" s="48" t="str">
        <f>IFERROR(INDEX(Table14[],MATCH($G549,Table14[SAPNo],0),3),"")</f>
        <v xml:space="preserve"> 19 CT182  0.018 (S)</v>
      </c>
      <c r="I549" s="37">
        <v>6</v>
      </c>
      <c r="J549" s="37">
        <f>IF(Table412[[#This Row],[MAT]]&lt;&gt;"",COUNTIF(Table3[LEVEL 5 MAT NO.],Table412[[#This Row],[MAT]]),"")</f>
        <v>0</v>
      </c>
      <c r="K549" s="36">
        <f>IFERROR(INDEX(Table3[],MATCH($E549,Table3[LEVEL 5 MAT NO.],0),2),0)</f>
        <v>0</v>
      </c>
      <c r="L549" s="36">
        <f>Table412[[#This Row],[Quantity in BOM]]*Table412[[#This Row],[Freq]]</f>
        <v>0</v>
      </c>
      <c r="M549" s="36" t="str">
        <f>IF(Table412[[#This Row],[Exist]]=1,Table412[[#This Row],[MAT]],"")</f>
        <v/>
      </c>
      <c r="N549" s="36" t="str">
        <f>IF(Table412[[#This Row],[Exist]]=1,Table412[[#This Row],[Component]],"")</f>
        <v/>
      </c>
      <c r="O549" s="36">
        <f>IFERROR(VALUE(Table412[[#This Row],[MAT]]&amp;Table412[[#This Row],[X'#]]),IF(COUNTIF(Table412[[#This Row],[MAT]],"*M"),Table412[[#This Row],[MAT]]&amp;Table412[[#This Row],[X'#]],""))</f>
        <v>10857455</v>
      </c>
    </row>
    <row r="550" spans="1:15" x14ac:dyDescent="0.25">
      <c r="A550" s="37">
        <f t="shared" si="9"/>
        <v>73</v>
      </c>
      <c r="C550" s="160" t="s">
        <v>309</v>
      </c>
      <c r="D550" s="160" t="s">
        <v>653</v>
      </c>
      <c r="E550" s="160">
        <v>1170939</v>
      </c>
      <c r="F550" s="160">
        <v>1</v>
      </c>
      <c r="G550" s="160">
        <v>1100696</v>
      </c>
      <c r="H550" s="161" t="str">
        <f>IFERROR(INDEX(Table14[],MATCH($G550,Table14[SAPNo],0),3),"")</f>
        <v>Round 1313 CT418  10C (S)</v>
      </c>
      <c r="I550" s="162">
        <v>23</v>
      </c>
      <c r="J550" s="37">
        <f>IF(Table412[[#This Row],[MAT]]&lt;&gt;"",COUNTIF(Table3[LEVEL 5 MAT NO.],Table412[[#This Row],[MAT]]),"")</f>
        <v>0</v>
      </c>
      <c r="K550" s="36">
        <f>IFERROR(INDEX(Table3[],MATCH($E550,Table3[LEVEL 5 MAT NO.],0),2),0)</f>
        <v>0</v>
      </c>
      <c r="L550" s="36">
        <f>Table412[[#This Row],[Quantity in BOM]]*Table412[[#This Row],[Freq]]</f>
        <v>0</v>
      </c>
      <c r="M550" s="36" t="str">
        <f>IF(Table412[[#This Row],[Exist]]=1,Table412[[#This Row],[MAT]],"")</f>
        <v/>
      </c>
      <c r="N550" s="36" t="str">
        <f>IF(Table412[[#This Row],[Exist]]=1,Table412[[#This Row],[Component]],"")</f>
        <v/>
      </c>
      <c r="O550" s="36">
        <f>IFERROR(VALUE(Table412[[#This Row],[MAT]]&amp;Table412[[#This Row],[X'#]]),IF(COUNTIF(Table412[[#This Row],[MAT]],"*M"),Table412[[#This Row],[MAT]]&amp;Table412[[#This Row],[X'#]],""))</f>
        <v>11709391</v>
      </c>
    </row>
    <row r="551" spans="1:15" x14ac:dyDescent="0.25">
      <c r="A551" s="37">
        <f t="shared" si="9"/>
        <v>73</v>
      </c>
      <c r="C551" s="160" t="s">
        <v>309</v>
      </c>
      <c r="D551" s="160" t="s">
        <v>653</v>
      </c>
      <c r="E551" s="160">
        <v>1170939</v>
      </c>
      <c r="F551" s="160">
        <v>2</v>
      </c>
      <c r="G551" s="160">
        <v>418525</v>
      </c>
      <c r="H551" s="161" t="str">
        <f>IFERROR(INDEX(Table14[],MATCH($G551,Table14[SAPNo],0),3),"")</f>
        <v>Drop In 1308 CT31   (B)</v>
      </c>
      <c r="I551" s="162">
        <v>10</v>
      </c>
      <c r="J551" s="37">
        <f>IF(Table412[[#This Row],[MAT]]&lt;&gt;"",COUNTIF(Table3[LEVEL 5 MAT NO.],Table412[[#This Row],[MAT]]),"")</f>
        <v>0</v>
      </c>
      <c r="K551" s="36">
        <f>IFERROR(INDEX(Table3[],MATCH($E551,Table3[LEVEL 5 MAT NO.],0),2),0)</f>
        <v>0</v>
      </c>
      <c r="L551" s="36">
        <f>Table412[[#This Row],[Quantity in BOM]]*Table412[[#This Row],[Freq]]</f>
        <v>0</v>
      </c>
      <c r="M551" s="36" t="str">
        <f>IF(Table412[[#This Row],[Exist]]=1,Table412[[#This Row],[MAT]],"")</f>
        <v/>
      </c>
      <c r="N551" s="36" t="str">
        <f>IF(Table412[[#This Row],[Exist]]=1,Table412[[#This Row],[Component]],"")</f>
        <v/>
      </c>
      <c r="O551" s="36">
        <f>IFERROR(VALUE(Table412[[#This Row],[MAT]]&amp;Table412[[#This Row],[X'#]]),IF(COUNTIF(Table412[[#This Row],[MAT]],"*M"),Table412[[#This Row],[MAT]]&amp;Table412[[#This Row],[X'#]],""))</f>
        <v>11709392</v>
      </c>
    </row>
    <row r="552" spans="1:15" x14ac:dyDescent="0.25">
      <c r="A552" s="37">
        <f t="shared" si="9"/>
        <v>73</v>
      </c>
      <c r="C552" s="38" t="s">
        <v>309</v>
      </c>
      <c r="D552" s="36" t="s">
        <v>651</v>
      </c>
      <c r="E552" s="36">
        <v>1137348</v>
      </c>
      <c r="F552" s="36">
        <v>1</v>
      </c>
      <c r="G552" s="36">
        <v>1100696</v>
      </c>
      <c r="H552" s="48" t="str">
        <f>IFERROR(INDEX(Table14[],MATCH($G552,Table14[SAPNo],0),3),"")</f>
        <v>Round 1313 CT418  10C (S)</v>
      </c>
      <c r="I552" s="37">
        <v>22</v>
      </c>
      <c r="J552" s="37">
        <f>IF(Table412[[#This Row],[MAT]]&lt;&gt;"",COUNTIF(Table3[LEVEL 5 MAT NO.],Table412[[#This Row],[MAT]]),"")</f>
        <v>0</v>
      </c>
      <c r="K552" s="36">
        <f>IFERROR(INDEX(Table3[],MATCH($E552,Table3[LEVEL 5 MAT NO.],0),2),0)</f>
        <v>0</v>
      </c>
      <c r="L552" s="36">
        <f>Table412[[#This Row],[Quantity in BOM]]*Table412[[#This Row],[Freq]]</f>
        <v>0</v>
      </c>
      <c r="M552" s="36" t="str">
        <f>IF(Table412[[#This Row],[Exist]]=1,Table412[[#This Row],[MAT]],"")</f>
        <v/>
      </c>
      <c r="N552" s="36" t="str">
        <f>IF(Table412[[#This Row],[Exist]]=1,Table412[[#This Row],[Component]],"")</f>
        <v/>
      </c>
      <c r="O552" s="36">
        <f>IFERROR(VALUE(Table412[[#This Row],[MAT]]&amp;Table412[[#This Row],[X'#]]),IF(COUNTIF(Table412[[#This Row],[MAT]],"*M"),Table412[[#This Row],[MAT]]&amp;Table412[[#This Row],[X'#]],""))</f>
        <v>11373481</v>
      </c>
    </row>
    <row r="553" spans="1:15" x14ac:dyDescent="0.25">
      <c r="A553" s="37">
        <f t="shared" si="9"/>
        <v>73</v>
      </c>
      <c r="C553" s="38" t="s">
        <v>309</v>
      </c>
      <c r="D553" s="36" t="s">
        <v>651</v>
      </c>
      <c r="E553" s="36">
        <v>1137348</v>
      </c>
      <c r="F553" s="36">
        <v>2</v>
      </c>
      <c r="G553" s="36">
        <v>871781</v>
      </c>
      <c r="H553" s="48" t="str">
        <f>IFERROR(INDEX(Table14[],MATCH($G553,Table14[SAPNo],0),3),"")</f>
        <v>Round 1313 CT200  0.018" (B)</v>
      </c>
      <c r="I553" s="37">
        <v>6</v>
      </c>
      <c r="J553" s="37">
        <f>IF(Table412[[#This Row],[MAT]]&lt;&gt;"",COUNTIF(Table3[LEVEL 5 MAT NO.],Table412[[#This Row],[MAT]]),"")</f>
        <v>0</v>
      </c>
      <c r="K553" s="36">
        <f>IFERROR(INDEX(Table3[],MATCH($E553,Table3[LEVEL 5 MAT NO.],0),2),0)</f>
        <v>0</v>
      </c>
      <c r="L553" s="36">
        <f>Table412[[#This Row],[Quantity in BOM]]*Table412[[#This Row],[Freq]]</f>
        <v>0</v>
      </c>
      <c r="M553" s="36" t="str">
        <f>IF(Table412[[#This Row],[Exist]]=1,Table412[[#This Row],[MAT]],"")</f>
        <v/>
      </c>
      <c r="N553" s="36" t="str">
        <f>IF(Table412[[#This Row],[Exist]]=1,Table412[[#This Row],[Component]],"")</f>
        <v/>
      </c>
      <c r="O553" s="36">
        <f>IFERROR(VALUE(Table412[[#This Row],[MAT]]&amp;Table412[[#This Row],[X'#]]),IF(COUNTIF(Table412[[#This Row],[MAT]],"*M"),Table412[[#This Row],[MAT]]&amp;Table412[[#This Row],[X'#]],""))</f>
        <v>11373482</v>
      </c>
    </row>
    <row r="554" spans="1:15" x14ac:dyDescent="0.25">
      <c r="A554" s="37">
        <f t="shared" si="9"/>
        <v>73</v>
      </c>
      <c r="C554" s="38" t="s">
        <v>309</v>
      </c>
      <c r="D554" s="36" t="s">
        <v>651</v>
      </c>
      <c r="E554" s="36">
        <v>1137348</v>
      </c>
      <c r="F554" s="36">
        <v>3</v>
      </c>
      <c r="G554" s="36">
        <v>703670</v>
      </c>
      <c r="H554" s="48" t="str">
        <f>IFERROR(INDEX(Table14[],MATCH($G554,Table14[SAPNo],0),3),"")</f>
        <v>Round 1313 CT200  10C (B)</v>
      </c>
      <c r="I554" s="37">
        <v>3</v>
      </c>
      <c r="J554" s="37">
        <f>IF(Table412[[#This Row],[MAT]]&lt;&gt;"",COUNTIF(Table3[LEVEL 5 MAT NO.],Table412[[#This Row],[MAT]]),"")</f>
        <v>0</v>
      </c>
      <c r="K554" s="36">
        <f>IFERROR(INDEX(Table3[],MATCH($E554,Table3[LEVEL 5 MAT NO.],0),2),0)</f>
        <v>0</v>
      </c>
      <c r="L554" s="36">
        <f>Table412[[#This Row],[Quantity in BOM]]*Table412[[#This Row],[Freq]]</f>
        <v>0</v>
      </c>
      <c r="M554" s="36" t="str">
        <f>IF(Table412[[#This Row],[Exist]]=1,Table412[[#This Row],[MAT]],"")</f>
        <v/>
      </c>
      <c r="N554" s="36" t="str">
        <f>IF(Table412[[#This Row],[Exist]]=1,Table412[[#This Row],[Component]],"")</f>
        <v/>
      </c>
      <c r="O554" s="36">
        <f>IFERROR(VALUE(Table412[[#This Row],[MAT]]&amp;Table412[[#This Row],[X'#]]),IF(COUNTIF(Table412[[#This Row],[MAT]],"*M"),Table412[[#This Row],[MAT]]&amp;Table412[[#This Row],[X'#]],""))</f>
        <v>11373483</v>
      </c>
    </row>
    <row r="555" spans="1:15" x14ac:dyDescent="0.25">
      <c r="A555" s="37">
        <f t="shared" si="9"/>
        <v>73</v>
      </c>
      <c r="C555" s="38">
        <v>8.375</v>
      </c>
      <c r="D555" s="36" t="s">
        <v>649</v>
      </c>
      <c r="E555" s="36">
        <v>1134878</v>
      </c>
      <c r="F555" s="36">
        <v>1</v>
      </c>
      <c r="G555" s="36">
        <v>1130198</v>
      </c>
      <c r="H555" s="48" t="str">
        <f>IFERROR(INDEX(Table14[],MATCH($G555,Table14[SAPNo],0),3),"")</f>
        <v>Round 1613 CT182  0.018" (S)</v>
      </c>
      <c r="I555" s="37">
        <v>27</v>
      </c>
      <c r="J555" s="37">
        <f>IF(Table412[[#This Row],[MAT]]&lt;&gt;"",COUNTIF(Table3[LEVEL 5 MAT NO.],Table412[[#This Row],[MAT]]),"")</f>
        <v>1</v>
      </c>
      <c r="K555" s="36">
        <f>IFERROR(INDEX(Table3[],MATCH($E555,Table3[LEVEL 5 MAT NO.],0),2),0)</f>
        <v>3</v>
      </c>
      <c r="L555" s="36">
        <f>Table412[[#This Row],[Quantity in BOM]]*Table412[[#This Row],[Freq]]</f>
        <v>81</v>
      </c>
      <c r="M555" s="36">
        <f>IF(Table412[[#This Row],[Exist]]=1,Table412[[#This Row],[MAT]],"")</f>
        <v>1134878</v>
      </c>
      <c r="N555" s="36">
        <f>IF(Table412[[#This Row],[Exist]]=1,Table412[[#This Row],[Component]],"")</f>
        <v>1130198</v>
      </c>
      <c r="O555" s="36">
        <f>IFERROR(VALUE(Table412[[#This Row],[MAT]]&amp;Table412[[#This Row],[X'#]]),IF(COUNTIF(Table412[[#This Row],[MAT]],"*M"),Table412[[#This Row],[MAT]]&amp;Table412[[#This Row],[X'#]],""))</f>
        <v>11348781</v>
      </c>
    </row>
    <row r="556" spans="1:15" x14ac:dyDescent="0.25">
      <c r="A556" s="37">
        <f t="shared" si="9"/>
        <v>76</v>
      </c>
      <c r="C556" s="38">
        <v>8.375</v>
      </c>
      <c r="D556" s="36" t="s">
        <v>649</v>
      </c>
      <c r="E556" s="36">
        <v>1134878</v>
      </c>
      <c r="F556" s="36">
        <v>2</v>
      </c>
      <c r="G556" s="36">
        <v>717751</v>
      </c>
      <c r="H556" s="48" t="str">
        <f>IFERROR(INDEX(Table14[],MATCH($G556,Table14[SAPNo],0),3),"")</f>
        <v>Round 1308 CT200  0.018" (B)</v>
      </c>
      <c r="I556" s="37">
        <v>13</v>
      </c>
      <c r="J556" s="37">
        <f>IF(Table412[[#This Row],[MAT]]&lt;&gt;"",COUNTIF(Table3[LEVEL 5 MAT NO.],Table412[[#This Row],[MAT]]),"")</f>
        <v>1</v>
      </c>
      <c r="K556" s="36">
        <f>IFERROR(INDEX(Table3[],MATCH($E556,Table3[LEVEL 5 MAT NO.],0),2),0)</f>
        <v>3</v>
      </c>
      <c r="L556" s="36">
        <f>Table412[[#This Row],[Quantity in BOM]]*Table412[[#This Row],[Freq]]</f>
        <v>39</v>
      </c>
      <c r="M556" s="36">
        <f>IF(Table412[[#This Row],[Exist]]=1,Table412[[#This Row],[MAT]],"")</f>
        <v>1134878</v>
      </c>
      <c r="N556" s="36">
        <f>IF(Table412[[#This Row],[Exist]]=1,Table412[[#This Row],[Component]],"")</f>
        <v>717751</v>
      </c>
      <c r="O556" s="36">
        <f>IFERROR(VALUE(Table412[[#This Row],[MAT]]&amp;Table412[[#This Row],[X'#]]),IF(COUNTIF(Table412[[#This Row],[MAT]],"*M"),Table412[[#This Row],[MAT]]&amp;Table412[[#This Row],[X'#]],""))</f>
        <v>11348782</v>
      </c>
    </row>
    <row r="557" spans="1:15" x14ac:dyDescent="0.25">
      <c r="A557" s="37">
        <f t="shared" si="9"/>
        <v>79</v>
      </c>
      <c r="C557" s="38">
        <v>8.375</v>
      </c>
      <c r="D557" s="36" t="s">
        <v>649</v>
      </c>
      <c r="E557" s="36">
        <v>1134878</v>
      </c>
      <c r="F557" s="36">
        <v>3</v>
      </c>
      <c r="G557" s="36">
        <v>418525</v>
      </c>
      <c r="H557" s="48" t="str">
        <f>IFERROR(INDEX(Table14[],MATCH($G557,Table14[SAPNo],0),3),"")</f>
        <v>Drop In 1308 CT31   (B)</v>
      </c>
      <c r="I557" s="37">
        <v>5</v>
      </c>
      <c r="J557" s="37">
        <f>IF(Table412[[#This Row],[MAT]]&lt;&gt;"",COUNTIF(Table3[LEVEL 5 MAT NO.],Table412[[#This Row],[MAT]]),"")</f>
        <v>1</v>
      </c>
      <c r="K557" s="36">
        <f>IFERROR(INDEX(Table3[],MATCH($E557,Table3[LEVEL 5 MAT NO.],0),2),0)</f>
        <v>3</v>
      </c>
      <c r="L557" s="36">
        <f>Table412[[#This Row],[Quantity in BOM]]*Table412[[#This Row],[Freq]]</f>
        <v>15</v>
      </c>
      <c r="M557" s="36">
        <f>IF(Table412[[#This Row],[Exist]]=1,Table412[[#This Row],[MAT]],"")</f>
        <v>1134878</v>
      </c>
      <c r="N557" s="36">
        <f>IF(Table412[[#This Row],[Exist]]=1,Table412[[#This Row],[Component]],"")</f>
        <v>418525</v>
      </c>
      <c r="O557" s="36">
        <f>IFERROR(VALUE(Table412[[#This Row],[MAT]]&amp;Table412[[#This Row],[X'#]]),IF(COUNTIF(Table412[[#This Row],[MAT]],"*M"),Table412[[#This Row],[MAT]]&amp;Table412[[#This Row],[X'#]],""))</f>
        <v>11348783</v>
      </c>
    </row>
    <row r="558" spans="1:15" x14ac:dyDescent="0.25">
      <c r="A558" s="37">
        <f t="shared" si="9"/>
        <v>82</v>
      </c>
      <c r="C558" s="38">
        <v>8.375</v>
      </c>
      <c r="D558" s="36" t="s">
        <v>649</v>
      </c>
      <c r="E558" s="36">
        <v>1134878</v>
      </c>
      <c r="F558" s="36">
        <v>4</v>
      </c>
      <c r="G558" s="36">
        <v>1104086</v>
      </c>
      <c r="H558" s="48" t="str">
        <f>IFERROR(INDEX(Table14[],MATCH($G558,Table14[SAPNo],0),3),"")</f>
        <v xml:space="preserve"> 1613 CT144H  0.018 ()</v>
      </c>
      <c r="I558" s="37">
        <v>1</v>
      </c>
      <c r="J558" s="37">
        <f>IF(Table412[[#This Row],[MAT]]&lt;&gt;"",COUNTIF(Table3[LEVEL 5 MAT NO.],Table412[[#This Row],[MAT]]),"")</f>
        <v>1</v>
      </c>
      <c r="K558" s="36">
        <f>IFERROR(INDEX(Table3[],MATCH($E558,Table3[LEVEL 5 MAT NO.],0),2),0)</f>
        <v>3</v>
      </c>
      <c r="L558" s="36">
        <f>Table412[[#This Row],[Quantity in BOM]]*Table412[[#This Row],[Freq]]</f>
        <v>3</v>
      </c>
      <c r="M558" s="36">
        <f>IF(Table412[[#This Row],[Exist]]=1,Table412[[#This Row],[MAT]],"")</f>
        <v>1134878</v>
      </c>
      <c r="N558" s="36">
        <f>IF(Table412[[#This Row],[Exist]]=1,Table412[[#This Row],[Component]],"")</f>
        <v>1104086</v>
      </c>
      <c r="O558" s="36">
        <f>IFERROR(VALUE(Table412[[#This Row],[MAT]]&amp;Table412[[#This Row],[X'#]]),IF(COUNTIF(Table412[[#This Row],[MAT]],"*M"),Table412[[#This Row],[MAT]]&amp;Table412[[#This Row],[X'#]],""))</f>
        <v>11348784</v>
      </c>
    </row>
    <row r="559" spans="1:15" x14ac:dyDescent="0.25">
      <c r="A559" s="37">
        <f t="shared" si="9"/>
        <v>85</v>
      </c>
      <c r="C559" s="38" t="s">
        <v>309</v>
      </c>
      <c r="D559" s="36" t="s">
        <v>653</v>
      </c>
      <c r="E559" s="36">
        <v>1137349</v>
      </c>
      <c r="F559" s="36">
        <v>1</v>
      </c>
      <c r="G559" s="36">
        <v>1100696</v>
      </c>
      <c r="H559" s="48" t="str">
        <f>IFERROR(INDEX(Table14[],MATCH($G559,Table14[SAPNo],0),3),"")</f>
        <v>Round 1313 CT418  10C (S)</v>
      </c>
      <c r="I559" s="37">
        <v>17</v>
      </c>
      <c r="J559" s="37">
        <f>IF(Table412[[#This Row],[MAT]]&lt;&gt;"",COUNTIF(Table3[LEVEL 5 MAT NO.],Table412[[#This Row],[MAT]]),"")</f>
        <v>1</v>
      </c>
      <c r="K559" s="36">
        <f>IFERROR(INDEX(Table3[],MATCH($E559,Table3[LEVEL 5 MAT NO.],0),2),0)</f>
        <v>8</v>
      </c>
      <c r="L559" s="36">
        <f>Table412[[#This Row],[Quantity in BOM]]*Table412[[#This Row],[Freq]]</f>
        <v>136</v>
      </c>
      <c r="M559" s="36">
        <f>IF(Table412[[#This Row],[Exist]]=1,Table412[[#This Row],[MAT]],"")</f>
        <v>1137349</v>
      </c>
      <c r="N559" s="36">
        <f>IF(Table412[[#This Row],[Exist]]=1,Table412[[#This Row],[Component]],"")</f>
        <v>1100696</v>
      </c>
      <c r="O559" s="36">
        <f>IFERROR(VALUE(Table412[[#This Row],[MAT]]&amp;Table412[[#This Row],[X'#]]),IF(COUNTIF(Table412[[#This Row],[MAT]],"*M"),Table412[[#This Row],[MAT]]&amp;Table412[[#This Row],[X'#]],""))</f>
        <v>11373491</v>
      </c>
    </row>
    <row r="560" spans="1:15" x14ac:dyDescent="0.25">
      <c r="A560" s="37">
        <f t="shared" si="9"/>
        <v>93</v>
      </c>
      <c r="C560" s="36" t="s">
        <v>309</v>
      </c>
      <c r="D560" s="36" t="s">
        <v>653</v>
      </c>
      <c r="E560" s="36">
        <v>1137349</v>
      </c>
      <c r="F560" s="36">
        <v>2</v>
      </c>
      <c r="G560" s="36">
        <v>418525</v>
      </c>
      <c r="H560" s="48" t="str">
        <f>IFERROR(INDEX(Table14[],MATCH($G560,Table14[SAPNo],0),3),"")</f>
        <v>Drop In 1308 CT31   (B)</v>
      </c>
      <c r="I560" s="37">
        <v>10</v>
      </c>
      <c r="J560" s="37">
        <f>IF(Table412[[#This Row],[MAT]]&lt;&gt;"",COUNTIF(Table3[LEVEL 5 MAT NO.],Table412[[#This Row],[MAT]]),"")</f>
        <v>1</v>
      </c>
      <c r="K560" s="36">
        <f>IFERROR(INDEX(Table3[],MATCH($E560,Table3[LEVEL 5 MAT NO.],0),2),0)</f>
        <v>8</v>
      </c>
      <c r="L560" s="36">
        <f>Table412[[#This Row],[Quantity in BOM]]*Table412[[#This Row],[Freq]]</f>
        <v>80</v>
      </c>
      <c r="M560" s="36">
        <f>IF(Table412[[#This Row],[Exist]]=1,Table412[[#This Row],[MAT]],"")</f>
        <v>1137349</v>
      </c>
      <c r="N560" s="36">
        <f>IF(Table412[[#This Row],[Exist]]=1,Table412[[#This Row],[Component]],"")</f>
        <v>418525</v>
      </c>
      <c r="O560" s="36">
        <f>IFERROR(VALUE(Table412[[#This Row],[MAT]]&amp;Table412[[#This Row],[X'#]]),IF(COUNTIF(Table412[[#This Row],[MAT]],"*M"),Table412[[#This Row],[MAT]]&amp;Table412[[#This Row],[X'#]],""))</f>
        <v>11373492</v>
      </c>
    </row>
    <row r="561" spans="1:15" x14ac:dyDescent="0.25">
      <c r="A561" s="37">
        <f t="shared" si="9"/>
        <v>101</v>
      </c>
      <c r="C561" s="38" t="s">
        <v>309</v>
      </c>
      <c r="D561" s="36" t="s">
        <v>653</v>
      </c>
      <c r="E561" s="36">
        <v>1137349</v>
      </c>
      <c r="F561" s="36">
        <v>3</v>
      </c>
      <c r="G561" s="36">
        <v>1146346</v>
      </c>
      <c r="H561" s="48" t="str">
        <f>IFERROR(INDEX(Table14[],MATCH($G561,Table14[SAPNo],0),3),"")</f>
        <v>1313 CT418 18-60</v>
      </c>
      <c r="I561" s="37">
        <v>6</v>
      </c>
      <c r="J561" s="37">
        <f>IF(Table412[[#This Row],[MAT]]&lt;&gt;"",COUNTIF(Table3[LEVEL 5 MAT NO.],Table412[[#This Row],[MAT]]),"")</f>
        <v>1</v>
      </c>
      <c r="K561" s="36">
        <f>IFERROR(INDEX(Table3[],MATCH($E561,Table3[LEVEL 5 MAT NO.],0),2),0)</f>
        <v>8</v>
      </c>
      <c r="L561" s="36">
        <f>Table412[[#This Row],[Quantity in BOM]]*Table412[[#This Row],[Freq]]</f>
        <v>48</v>
      </c>
      <c r="M561" s="36">
        <f>IF(Table412[[#This Row],[Exist]]=1,Table412[[#This Row],[MAT]],"")</f>
        <v>1137349</v>
      </c>
      <c r="N561" s="36">
        <f>IF(Table412[[#This Row],[Exist]]=1,Table412[[#This Row],[Component]],"")</f>
        <v>1146346</v>
      </c>
      <c r="O561" s="36">
        <f>IFERROR(VALUE(Table412[[#This Row],[MAT]]&amp;Table412[[#This Row],[X'#]]),IF(COUNTIF(Table412[[#This Row],[MAT]],"*M"),Table412[[#This Row],[MAT]]&amp;Table412[[#This Row],[X'#]],""))</f>
        <v>11373493</v>
      </c>
    </row>
    <row r="562" spans="1:15" x14ac:dyDescent="0.25">
      <c r="A562" s="37">
        <f t="shared" si="9"/>
        <v>109</v>
      </c>
      <c r="C562" s="36" t="s">
        <v>637</v>
      </c>
      <c r="D562" s="36" t="s">
        <v>656</v>
      </c>
      <c r="E562" s="36">
        <v>1138896</v>
      </c>
      <c r="F562" s="36">
        <v>1</v>
      </c>
      <c r="G562" s="36">
        <v>1130200</v>
      </c>
      <c r="H562" s="48" t="str">
        <f>IFERROR(INDEX(Table14[],MATCH($G562,Table14[SAPNo],0),3),"")</f>
        <v>Round 1913 CT182  0.018" (S)</v>
      </c>
      <c r="I562" s="37">
        <v>33</v>
      </c>
      <c r="J562" s="37">
        <f>IF(Table412[[#This Row],[MAT]]&lt;&gt;"",COUNTIF(Table3[LEVEL 5 MAT NO.],Table412[[#This Row],[MAT]]),"")</f>
        <v>0</v>
      </c>
      <c r="K562" s="36">
        <f>IFERROR(INDEX(Table3[],MATCH($E562,Table3[LEVEL 5 MAT NO.],0),2),0)</f>
        <v>0</v>
      </c>
      <c r="L562" s="36">
        <f>Table412[[#This Row],[Quantity in BOM]]*Table412[[#This Row],[Freq]]</f>
        <v>0</v>
      </c>
      <c r="M562" s="36" t="str">
        <f>IF(Table412[[#This Row],[Exist]]=1,Table412[[#This Row],[MAT]],"")</f>
        <v/>
      </c>
      <c r="N562" s="36" t="str">
        <f>IF(Table412[[#This Row],[Exist]]=1,Table412[[#This Row],[Component]],"")</f>
        <v/>
      </c>
      <c r="O562" s="36">
        <f>IFERROR(VALUE(Table412[[#This Row],[MAT]]&amp;Table412[[#This Row],[X'#]]),IF(COUNTIF(Table412[[#This Row],[MAT]],"*M"),Table412[[#This Row],[MAT]]&amp;Table412[[#This Row],[X'#]],""))</f>
        <v>11388961</v>
      </c>
    </row>
    <row r="563" spans="1:15" x14ac:dyDescent="0.25">
      <c r="A563" s="37">
        <f t="shared" si="9"/>
        <v>109</v>
      </c>
      <c r="C563" s="36" t="s">
        <v>637</v>
      </c>
      <c r="D563" s="36" t="s">
        <v>656</v>
      </c>
      <c r="E563" s="36">
        <v>1138896</v>
      </c>
      <c r="F563" s="36">
        <v>2</v>
      </c>
      <c r="G563" s="36">
        <v>1130198</v>
      </c>
      <c r="H563" s="48" t="str">
        <f>IFERROR(INDEX(Table14[],MATCH($G563,Table14[SAPNo],0),3),"")</f>
        <v>Round 1613 CT182  0.018" (S)</v>
      </c>
      <c r="I563" s="37">
        <v>20</v>
      </c>
      <c r="J563" s="37">
        <f>IF(Table412[[#This Row],[MAT]]&lt;&gt;"",COUNTIF(Table3[LEVEL 5 MAT NO.],Table412[[#This Row],[MAT]]),"")</f>
        <v>0</v>
      </c>
      <c r="K563" s="36">
        <f>IFERROR(INDEX(Table3[],MATCH($E563,Table3[LEVEL 5 MAT NO.],0),2),0)</f>
        <v>0</v>
      </c>
      <c r="L563" s="36">
        <f>Table412[[#This Row],[Quantity in BOM]]*Table412[[#This Row],[Freq]]</f>
        <v>0</v>
      </c>
      <c r="M563" s="36" t="str">
        <f>IF(Table412[[#This Row],[Exist]]=1,Table412[[#This Row],[MAT]],"")</f>
        <v/>
      </c>
      <c r="N563" s="36" t="str">
        <f>IF(Table412[[#This Row],[Exist]]=1,Table412[[#This Row],[Component]],"")</f>
        <v/>
      </c>
      <c r="O563" s="36">
        <f>IFERROR(VALUE(Table412[[#This Row],[MAT]]&amp;Table412[[#This Row],[X'#]]),IF(COUNTIF(Table412[[#This Row],[MAT]],"*M"),Table412[[#This Row],[MAT]]&amp;Table412[[#This Row],[X'#]],""))</f>
        <v>11388962</v>
      </c>
    </row>
    <row r="564" spans="1:15" x14ac:dyDescent="0.25">
      <c r="A564" s="37">
        <f t="shared" si="9"/>
        <v>109</v>
      </c>
      <c r="C564" s="36" t="s">
        <v>637</v>
      </c>
      <c r="D564" s="36" t="s">
        <v>656</v>
      </c>
      <c r="E564" s="36">
        <v>1138896</v>
      </c>
      <c r="F564" s="36">
        <v>3</v>
      </c>
      <c r="G564" s="36">
        <v>871781</v>
      </c>
      <c r="H564" s="48" t="str">
        <f>IFERROR(INDEX(Table14[],MATCH($G564,Table14[SAPNo],0),3),"")</f>
        <v>Round 1313 CT200  0.018" (B)</v>
      </c>
      <c r="I564" s="37">
        <v>7</v>
      </c>
      <c r="J564" s="37">
        <f>IF(Table412[[#This Row],[MAT]]&lt;&gt;"",COUNTIF(Table3[LEVEL 5 MAT NO.],Table412[[#This Row],[MAT]]),"")</f>
        <v>0</v>
      </c>
      <c r="K564" s="36">
        <f>IFERROR(INDEX(Table3[],MATCH($E564,Table3[LEVEL 5 MAT NO.],0),2),0)</f>
        <v>0</v>
      </c>
      <c r="L564" s="36">
        <f>Table412[[#This Row],[Quantity in BOM]]*Table412[[#This Row],[Freq]]</f>
        <v>0</v>
      </c>
      <c r="M564" s="36" t="str">
        <f>IF(Table412[[#This Row],[Exist]]=1,Table412[[#This Row],[MAT]],"")</f>
        <v/>
      </c>
      <c r="N564" s="36" t="str">
        <f>IF(Table412[[#This Row],[Exist]]=1,Table412[[#This Row],[Component]],"")</f>
        <v/>
      </c>
      <c r="O564" s="36">
        <f>IFERROR(VALUE(Table412[[#This Row],[MAT]]&amp;Table412[[#This Row],[X'#]]),IF(COUNTIF(Table412[[#This Row],[MAT]],"*M"),Table412[[#This Row],[MAT]]&amp;Table412[[#This Row],[X'#]],""))</f>
        <v>11388963</v>
      </c>
    </row>
    <row r="565" spans="1:15" x14ac:dyDescent="0.25">
      <c r="A565" s="37">
        <f t="shared" si="9"/>
        <v>109</v>
      </c>
      <c r="C565" s="36" t="s">
        <v>313</v>
      </c>
      <c r="D565" s="36" t="s">
        <v>272</v>
      </c>
      <c r="E565" s="36">
        <v>1147796</v>
      </c>
      <c r="F565" s="36">
        <v>1</v>
      </c>
      <c r="G565" s="36">
        <v>1144821</v>
      </c>
      <c r="H565" s="48" t="str">
        <f>IFERROR(INDEX(Table14[],MATCH($G565,Table14[SAPNo],0),3),"")</f>
        <v>Round 1613 CT153/CR42 Test Cutter 0.018" (T)</v>
      </c>
      <c r="I565" s="37">
        <v>33</v>
      </c>
      <c r="J565" s="37">
        <f>IF(Table412[[#This Row],[MAT]]&lt;&gt;"",COUNTIF(Table3[LEVEL 5 MAT NO.],Table412[[#This Row],[MAT]]),"")</f>
        <v>0</v>
      </c>
      <c r="K565" s="36">
        <f>IFERROR(INDEX(Table3[],MATCH($E565,Table3[LEVEL 5 MAT NO.],0),2),0)</f>
        <v>0</v>
      </c>
      <c r="L565" s="36">
        <f>Table412[[#This Row],[Quantity in BOM]]*Table412[[#This Row],[Freq]]</f>
        <v>0</v>
      </c>
      <c r="M565" s="36" t="str">
        <f>IF(Table412[[#This Row],[Exist]]=1,Table412[[#This Row],[MAT]],"")</f>
        <v/>
      </c>
      <c r="N565" s="36" t="str">
        <f>IF(Table412[[#This Row],[Exist]]=1,Table412[[#This Row],[Component]],"")</f>
        <v/>
      </c>
      <c r="O565" s="36">
        <f>IFERROR(VALUE(Table412[[#This Row],[MAT]]&amp;Table412[[#This Row],[X'#]]),IF(COUNTIF(Table412[[#This Row],[MAT]],"*M"),Table412[[#This Row],[MAT]]&amp;Table412[[#This Row],[X'#]],""))</f>
        <v>11477961</v>
      </c>
    </row>
    <row r="566" spans="1:15" x14ac:dyDescent="0.25">
      <c r="A566" s="37">
        <f t="shared" si="9"/>
        <v>109</v>
      </c>
      <c r="C566" s="36" t="s">
        <v>313</v>
      </c>
      <c r="D566" s="36" t="s">
        <v>272</v>
      </c>
      <c r="E566" s="36">
        <v>1147796</v>
      </c>
      <c r="F566" s="36">
        <v>2</v>
      </c>
      <c r="G566" s="36">
        <v>1014939</v>
      </c>
      <c r="H566" s="48" t="str">
        <f>IFERROR(INDEX(Table14[],MATCH($G566,Table14[SAPNo],0),3),"")</f>
        <v>Round 1608 CT133  0.018" (S)</v>
      </c>
      <c r="I566" s="37">
        <v>23</v>
      </c>
      <c r="J566" s="37">
        <f>IF(Table412[[#This Row],[MAT]]&lt;&gt;"",COUNTIF(Table3[LEVEL 5 MAT NO.],Table412[[#This Row],[MAT]]),"")</f>
        <v>0</v>
      </c>
      <c r="K566" s="36">
        <f>IFERROR(INDEX(Table3[],MATCH($E566,Table3[LEVEL 5 MAT NO.],0),2),0)</f>
        <v>0</v>
      </c>
      <c r="L566" s="36">
        <f>Table412[[#This Row],[Quantity in BOM]]*Table412[[#This Row],[Freq]]</f>
        <v>0</v>
      </c>
      <c r="M566" s="36" t="str">
        <f>IF(Table412[[#This Row],[Exist]]=1,Table412[[#This Row],[MAT]],"")</f>
        <v/>
      </c>
      <c r="N566" s="36" t="str">
        <f>IF(Table412[[#This Row],[Exist]]=1,Table412[[#This Row],[Component]],"")</f>
        <v/>
      </c>
      <c r="O566" s="36">
        <f>IFERROR(VALUE(Table412[[#This Row],[MAT]]&amp;Table412[[#This Row],[X'#]]),IF(COUNTIF(Table412[[#This Row],[MAT]],"*M"),Table412[[#This Row],[MAT]]&amp;Table412[[#This Row],[X'#]],""))</f>
        <v>11477962</v>
      </c>
    </row>
    <row r="567" spans="1:15" x14ac:dyDescent="0.25">
      <c r="A567" s="37">
        <f t="shared" si="9"/>
        <v>109</v>
      </c>
      <c r="C567" s="36" t="s">
        <v>313</v>
      </c>
      <c r="D567" s="36" t="s">
        <v>272</v>
      </c>
      <c r="E567" s="36">
        <v>1147796</v>
      </c>
      <c r="F567" s="36">
        <v>3</v>
      </c>
      <c r="G567" s="36">
        <v>418525</v>
      </c>
      <c r="H567" s="48" t="str">
        <f>IFERROR(INDEX(Table14[],MATCH($G567,Table14[SAPNo],0),3),"")</f>
        <v>Drop In 1308 CT31   (B)</v>
      </c>
      <c r="I567" s="37">
        <v>6</v>
      </c>
      <c r="J567" s="37">
        <f>IF(Table412[[#This Row],[MAT]]&lt;&gt;"",COUNTIF(Table3[LEVEL 5 MAT NO.],Table412[[#This Row],[MAT]]),"")</f>
        <v>0</v>
      </c>
      <c r="K567" s="36">
        <f>IFERROR(INDEX(Table3[],MATCH($E567,Table3[LEVEL 5 MAT NO.],0),2),0)</f>
        <v>0</v>
      </c>
      <c r="L567" s="36">
        <f>Table412[[#This Row],[Quantity in BOM]]*Table412[[#This Row],[Freq]]</f>
        <v>0</v>
      </c>
      <c r="M567" s="36" t="str">
        <f>IF(Table412[[#This Row],[Exist]]=1,Table412[[#This Row],[MAT]],"")</f>
        <v/>
      </c>
      <c r="N567" s="36" t="str">
        <f>IF(Table412[[#This Row],[Exist]]=1,Table412[[#This Row],[Component]],"")</f>
        <v/>
      </c>
      <c r="O567" s="36">
        <f>IFERROR(VALUE(Table412[[#This Row],[MAT]]&amp;Table412[[#This Row],[X'#]]),IF(COUNTIF(Table412[[#This Row],[MAT]],"*M"),Table412[[#This Row],[MAT]]&amp;Table412[[#This Row],[X'#]],""))</f>
        <v>11477963</v>
      </c>
    </row>
    <row r="568" spans="1:15" x14ac:dyDescent="0.25">
      <c r="A568" s="37">
        <f t="shared" si="9"/>
        <v>109</v>
      </c>
      <c r="C568" s="36" t="s">
        <v>624</v>
      </c>
      <c r="D568" s="36" t="s">
        <v>650</v>
      </c>
      <c r="E568" s="36">
        <v>1135558</v>
      </c>
      <c r="F568" s="36">
        <v>1</v>
      </c>
      <c r="G568" s="36">
        <v>1130198</v>
      </c>
      <c r="H568" s="48" t="str">
        <f>IFERROR(INDEX(Table14[],MATCH($G568,Table14[SAPNo],0),3),"")</f>
        <v>Round 1613 CT182  0.018" (S)</v>
      </c>
      <c r="I568" s="37">
        <v>28</v>
      </c>
      <c r="J568" s="37">
        <f>IF(Table412[[#This Row],[MAT]]&lt;&gt;"",COUNTIF(Table3[LEVEL 5 MAT NO.],Table412[[#This Row],[MAT]]),"")</f>
        <v>1</v>
      </c>
      <c r="K568" s="36">
        <f>IFERROR(INDEX(Table3[],MATCH($E568,Table3[LEVEL 5 MAT NO.],0),2),0)</f>
        <v>3</v>
      </c>
      <c r="L568" s="36">
        <f>Table412[[#This Row],[Quantity in BOM]]*Table412[[#This Row],[Freq]]</f>
        <v>84</v>
      </c>
      <c r="M568" s="36">
        <f>IF(Table412[[#This Row],[Exist]]=1,Table412[[#This Row],[MAT]],"")</f>
        <v>1135558</v>
      </c>
      <c r="N568" s="36">
        <f>IF(Table412[[#This Row],[Exist]]=1,Table412[[#This Row],[Component]],"")</f>
        <v>1130198</v>
      </c>
      <c r="O568" s="36">
        <f>IFERROR(VALUE(Table412[[#This Row],[MAT]]&amp;Table412[[#This Row],[X'#]]),IF(COUNTIF(Table412[[#This Row],[MAT]],"*M"),Table412[[#This Row],[MAT]]&amp;Table412[[#This Row],[X'#]],""))</f>
        <v>11355581</v>
      </c>
    </row>
    <row r="569" spans="1:15" x14ac:dyDescent="0.25">
      <c r="A569" s="37">
        <f t="shared" si="9"/>
        <v>112</v>
      </c>
      <c r="C569" s="36" t="s">
        <v>624</v>
      </c>
      <c r="D569" s="36" t="s">
        <v>650</v>
      </c>
      <c r="E569" s="36">
        <v>1135558</v>
      </c>
      <c r="F569" s="36">
        <v>2</v>
      </c>
      <c r="G569" s="36">
        <v>1130196</v>
      </c>
      <c r="H569" s="48" t="str">
        <f>IFERROR(INDEX(Table14[],MATCH($G569,Table14[SAPNo],0),3),"")</f>
        <v>Round 1313 CT182  0.018" (S)</v>
      </c>
      <c r="I569" s="37">
        <v>3</v>
      </c>
      <c r="J569" s="37">
        <f>IF(Table412[[#This Row],[MAT]]&lt;&gt;"",COUNTIF(Table3[LEVEL 5 MAT NO.],Table412[[#This Row],[MAT]]),"")</f>
        <v>1</v>
      </c>
      <c r="K569" s="36">
        <f>IFERROR(INDEX(Table3[],MATCH($E569,Table3[LEVEL 5 MAT NO.],0),2),0)</f>
        <v>3</v>
      </c>
      <c r="L569" s="36">
        <f>Table412[[#This Row],[Quantity in BOM]]*Table412[[#This Row],[Freq]]</f>
        <v>9</v>
      </c>
      <c r="M569" s="36">
        <f>IF(Table412[[#This Row],[Exist]]=1,Table412[[#This Row],[MAT]],"")</f>
        <v>1135558</v>
      </c>
      <c r="N569" s="36">
        <f>IF(Table412[[#This Row],[Exist]]=1,Table412[[#This Row],[Component]],"")</f>
        <v>1130196</v>
      </c>
      <c r="O569" s="36">
        <f>IFERROR(VALUE(Table412[[#This Row],[MAT]]&amp;Table412[[#This Row],[X'#]]),IF(COUNTIF(Table412[[#This Row],[MAT]],"*M"),Table412[[#This Row],[MAT]]&amp;Table412[[#This Row],[X'#]],""))</f>
        <v>11355582</v>
      </c>
    </row>
    <row r="570" spans="1:15" x14ac:dyDescent="0.25">
      <c r="A570" s="37">
        <f t="shared" si="9"/>
        <v>115</v>
      </c>
      <c r="C570" s="36" t="s">
        <v>624</v>
      </c>
      <c r="D570" s="36" t="s">
        <v>650</v>
      </c>
      <c r="E570" s="36">
        <v>1135558</v>
      </c>
      <c r="F570" s="36">
        <v>3</v>
      </c>
      <c r="G570" s="36">
        <v>871781</v>
      </c>
      <c r="H570" s="48" t="str">
        <f>IFERROR(INDEX(Table14[],MATCH($G570,Table14[SAPNo],0),3),"")</f>
        <v>Round 1313 CT200  0.018" (B)</v>
      </c>
      <c r="I570" s="37">
        <v>3</v>
      </c>
      <c r="J570" s="37">
        <f>IF(Table412[[#This Row],[MAT]]&lt;&gt;"",COUNTIF(Table3[LEVEL 5 MAT NO.],Table412[[#This Row],[MAT]]),"")</f>
        <v>1</v>
      </c>
      <c r="K570" s="36">
        <f>IFERROR(INDEX(Table3[],MATCH($E570,Table3[LEVEL 5 MAT NO.],0),2),0)</f>
        <v>3</v>
      </c>
      <c r="L570" s="36">
        <f>Table412[[#This Row],[Quantity in BOM]]*Table412[[#This Row],[Freq]]</f>
        <v>9</v>
      </c>
      <c r="M570" s="36">
        <f>IF(Table412[[#This Row],[Exist]]=1,Table412[[#This Row],[MAT]],"")</f>
        <v>1135558</v>
      </c>
      <c r="N570" s="36">
        <f>IF(Table412[[#This Row],[Exist]]=1,Table412[[#This Row],[Component]],"")</f>
        <v>871781</v>
      </c>
      <c r="O570" s="36">
        <f>IFERROR(VALUE(Table412[[#This Row],[MAT]]&amp;Table412[[#This Row],[X'#]]),IF(COUNTIF(Table412[[#This Row],[MAT]],"*M"),Table412[[#This Row],[MAT]]&amp;Table412[[#This Row],[X'#]],""))</f>
        <v>11355583</v>
      </c>
    </row>
    <row r="571" spans="1:15" x14ac:dyDescent="0.25">
      <c r="A571" s="37">
        <f t="shared" si="9"/>
        <v>118</v>
      </c>
      <c r="C571" s="36" t="s">
        <v>624</v>
      </c>
      <c r="D571" s="36" t="s">
        <v>650</v>
      </c>
      <c r="E571" s="36">
        <v>1135558</v>
      </c>
      <c r="F571" s="36">
        <v>4</v>
      </c>
      <c r="G571" s="36">
        <v>418525</v>
      </c>
      <c r="H571" s="48" t="str">
        <f>IFERROR(INDEX(Table14[],MATCH($G571,Table14[SAPNo],0),3),"")</f>
        <v>Drop In 1308 CT31   (B)</v>
      </c>
      <c r="I571" s="37">
        <v>6</v>
      </c>
      <c r="J571" s="37">
        <f>IF(Table412[[#This Row],[MAT]]&lt;&gt;"",COUNTIF(Table3[LEVEL 5 MAT NO.],Table412[[#This Row],[MAT]]),"")</f>
        <v>1</v>
      </c>
      <c r="K571" s="36">
        <f>IFERROR(INDEX(Table3[],MATCH($E571,Table3[LEVEL 5 MAT NO.],0),2),0)</f>
        <v>3</v>
      </c>
      <c r="L571" s="36">
        <f>Table412[[#This Row],[Quantity in BOM]]*Table412[[#This Row],[Freq]]</f>
        <v>18</v>
      </c>
      <c r="M571" s="36">
        <f>IF(Table412[[#This Row],[Exist]]=1,Table412[[#This Row],[MAT]],"")</f>
        <v>1135558</v>
      </c>
      <c r="N571" s="36">
        <f>IF(Table412[[#This Row],[Exist]]=1,Table412[[#This Row],[Component]],"")</f>
        <v>418525</v>
      </c>
      <c r="O571" s="36">
        <f>IFERROR(VALUE(Table412[[#This Row],[MAT]]&amp;Table412[[#This Row],[X'#]]),IF(COUNTIF(Table412[[#This Row],[MAT]],"*M"),Table412[[#This Row],[MAT]]&amp;Table412[[#This Row],[X'#]],""))</f>
        <v>11355584</v>
      </c>
    </row>
    <row r="572" spans="1:15" x14ac:dyDescent="0.25">
      <c r="A572" s="37">
        <f t="shared" si="9"/>
        <v>121</v>
      </c>
      <c r="C572" s="38" t="s">
        <v>637</v>
      </c>
      <c r="D572" s="36" t="s">
        <v>638</v>
      </c>
      <c r="E572" s="36">
        <v>1142907</v>
      </c>
      <c r="F572" s="36">
        <v>1</v>
      </c>
      <c r="G572" s="36">
        <v>1130200</v>
      </c>
      <c r="H572" s="48" t="str">
        <f>IFERROR(INDEX(Table14[],MATCH($G572,Table14[SAPNo],0),3),"")</f>
        <v>Round 1913 CT182  0.018" (S)</v>
      </c>
      <c r="I572" s="37">
        <v>32</v>
      </c>
      <c r="J572" s="37">
        <f>IF(Table412[[#This Row],[MAT]]&lt;&gt;"",COUNTIF(Table3[LEVEL 5 MAT NO.],Table412[[#This Row],[MAT]]),"")</f>
        <v>1</v>
      </c>
      <c r="K572" s="36">
        <f>IFERROR(INDEX(Table3[],MATCH($E572,Table3[LEVEL 5 MAT NO.],0),2),0)</f>
        <v>0</v>
      </c>
      <c r="L572" s="36">
        <f>Table412[[#This Row],[Quantity in BOM]]*Table412[[#This Row],[Freq]]</f>
        <v>0</v>
      </c>
      <c r="M572" s="36">
        <f>IF(Table412[[#This Row],[Exist]]=1,Table412[[#This Row],[MAT]],"")</f>
        <v>1142907</v>
      </c>
      <c r="N572" s="36">
        <f>IF(Table412[[#This Row],[Exist]]=1,Table412[[#This Row],[Component]],"")</f>
        <v>1130200</v>
      </c>
      <c r="O572" s="36">
        <f>IFERROR(VALUE(Table412[[#This Row],[MAT]]&amp;Table412[[#This Row],[X'#]]),IF(COUNTIF(Table412[[#This Row],[MAT]],"*M"),Table412[[#This Row],[MAT]]&amp;Table412[[#This Row],[X'#]],""))</f>
        <v>11429071</v>
      </c>
    </row>
    <row r="573" spans="1:15" x14ac:dyDescent="0.25">
      <c r="A573" s="37">
        <f t="shared" si="9"/>
        <v>121</v>
      </c>
      <c r="C573" s="38" t="s">
        <v>637</v>
      </c>
      <c r="D573" s="36" t="s">
        <v>638</v>
      </c>
      <c r="E573" s="36">
        <v>1142907</v>
      </c>
      <c r="F573" s="36">
        <v>2</v>
      </c>
      <c r="G573" s="36">
        <v>1130198</v>
      </c>
      <c r="H573" s="48" t="str">
        <f>IFERROR(INDEX(Table14[],MATCH($G573,Table14[SAPNo],0),3),"")</f>
        <v>Round 1613 CT182  0.018" (S)</v>
      </c>
      <c r="I573" s="37">
        <v>9</v>
      </c>
      <c r="J573" s="37">
        <f>IF(Table412[[#This Row],[MAT]]&lt;&gt;"",COUNTIF(Table3[LEVEL 5 MAT NO.],Table412[[#This Row],[MAT]]),"")</f>
        <v>1</v>
      </c>
      <c r="K573" s="36">
        <f>IFERROR(INDEX(Table3[],MATCH($E573,Table3[LEVEL 5 MAT NO.],0),2),0)</f>
        <v>0</v>
      </c>
      <c r="L573" s="36">
        <f>Table412[[#This Row],[Quantity in BOM]]*Table412[[#This Row],[Freq]]</f>
        <v>0</v>
      </c>
      <c r="M573" s="36">
        <f>IF(Table412[[#This Row],[Exist]]=1,Table412[[#This Row],[MAT]],"")</f>
        <v>1142907</v>
      </c>
      <c r="N573" s="36">
        <f>IF(Table412[[#This Row],[Exist]]=1,Table412[[#This Row],[Component]],"")</f>
        <v>1130198</v>
      </c>
      <c r="O573" s="36">
        <f>IFERROR(VALUE(Table412[[#This Row],[MAT]]&amp;Table412[[#This Row],[X'#]]),IF(COUNTIF(Table412[[#This Row],[MAT]],"*M"),Table412[[#This Row],[MAT]]&amp;Table412[[#This Row],[X'#]],""))</f>
        <v>11429072</v>
      </c>
    </row>
    <row r="574" spans="1:15" x14ac:dyDescent="0.25">
      <c r="A574" s="37">
        <f t="shared" si="9"/>
        <v>121</v>
      </c>
      <c r="C574" s="38" t="s">
        <v>637</v>
      </c>
      <c r="D574" s="36" t="s">
        <v>638</v>
      </c>
      <c r="E574" s="36">
        <v>1142907</v>
      </c>
      <c r="F574" s="36">
        <v>3</v>
      </c>
      <c r="G574" s="36">
        <v>1130196</v>
      </c>
      <c r="H574" s="48" t="str">
        <f>IFERROR(INDEX(Table14[],MATCH($G574,Table14[SAPNo],0),3),"")</f>
        <v>Round 1313 CT182  0.018" (S)</v>
      </c>
      <c r="I574" s="37">
        <v>12</v>
      </c>
      <c r="J574" s="37">
        <f>IF(Table412[[#This Row],[MAT]]&lt;&gt;"",COUNTIF(Table3[LEVEL 5 MAT NO.],Table412[[#This Row],[MAT]]),"")</f>
        <v>1</v>
      </c>
      <c r="K574" s="36">
        <f>IFERROR(INDEX(Table3[],MATCH($E574,Table3[LEVEL 5 MAT NO.],0),2),0)</f>
        <v>0</v>
      </c>
      <c r="L574" s="36">
        <f>Table412[[#This Row],[Quantity in BOM]]*Table412[[#This Row],[Freq]]</f>
        <v>0</v>
      </c>
      <c r="M574" s="36">
        <f>IF(Table412[[#This Row],[Exist]]=1,Table412[[#This Row],[MAT]],"")</f>
        <v>1142907</v>
      </c>
      <c r="N574" s="36">
        <f>IF(Table412[[#This Row],[Exist]]=1,Table412[[#This Row],[Component]],"")</f>
        <v>1130196</v>
      </c>
      <c r="O574" s="36">
        <f>IFERROR(VALUE(Table412[[#This Row],[MAT]]&amp;Table412[[#This Row],[X'#]]),IF(COUNTIF(Table412[[#This Row],[MAT]],"*M"),Table412[[#This Row],[MAT]]&amp;Table412[[#This Row],[X'#]],""))</f>
        <v>11429073</v>
      </c>
    </row>
    <row r="575" spans="1:15" x14ac:dyDescent="0.25">
      <c r="A575" s="37">
        <f t="shared" si="9"/>
        <v>121</v>
      </c>
      <c r="C575" s="38" t="s">
        <v>637</v>
      </c>
      <c r="D575" s="36" t="s">
        <v>638</v>
      </c>
      <c r="E575" s="36">
        <v>1142907</v>
      </c>
      <c r="F575" s="36">
        <v>4</v>
      </c>
      <c r="G575" s="36">
        <v>871781</v>
      </c>
      <c r="H575" s="48" t="str">
        <f>IFERROR(INDEX(Table14[],MATCH($G575,Table14[SAPNo],0),3),"")</f>
        <v>Round 1313 CT200  0.018" (B)</v>
      </c>
      <c r="I575" s="37">
        <v>4</v>
      </c>
      <c r="J575" s="37">
        <f>IF(Table412[[#This Row],[MAT]]&lt;&gt;"",COUNTIF(Table3[LEVEL 5 MAT NO.],Table412[[#This Row],[MAT]]),"")</f>
        <v>1</v>
      </c>
      <c r="K575" s="36">
        <f>IFERROR(INDEX(Table3[],MATCH($E575,Table3[LEVEL 5 MAT NO.],0),2),0)</f>
        <v>0</v>
      </c>
      <c r="L575" s="36">
        <f>Table412[[#This Row],[Quantity in BOM]]*Table412[[#This Row],[Freq]]</f>
        <v>0</v>
      </c>
      <c r="M575" s="36">
        <f>IF(Table412[[#This Row],[Exist]]=1,Table412[[#This Row],[MAT]],"")</f>
        <v>1142907</v>
      </c>
      <c r="N575" s="36">
        <f>IF(Table412[[#This Row],[Exist]]=1,Table412[[#This Row],[Component]],"")</f>
        <v>871781</v>
      </c>
      <c r="O575" s="36">
        <f>IFERROR(VALUE(Table412[[#This Row],[MAT]]&amp;Table412[[#This Row],[X'#]]),IF(COUNTIF(Table412[[#This Row],[MAT]],"*M"),Table412[[#This Row],[MAT]]&amp;Table412[[#This Row],[X'#]],""))</f>
        <v>11429074</v>
      </c>
    </row>
    <row r="576" spans="1:15" x14ac:dyDescent="0.25">
      <c r="A576" s="37">
        <f t="shared" si="9"/>
        <v>121</v>
      </c>
      <c r="C576" s="38" t="s">
        <v>637</v>
      </c>
      <c r="D576" s="36" t="s">
        <v>638</v>
      </c>
      <c r="E576" s="36">
        <v>1142907</v>
      </c>
      <c r="F576" s="36">
        <v>5</v>
      </c>
      <c r="G576" s="36">
        <v>418525</v>
      </c>
      <c r="H576" s="48" t="str">
        <f>IFERROR(INDEX(Table14[],MATCH($G576,Table14[SAPNo],0),3),"")</f>
        <v>Drop In 1308 CT31   (B)</v>
      </c>
      <c r="I576" s="37">
        <v>3</v>
      </c>
      <c r="J576" s="37">
        <f>IF(Table412[[#This Row],[MAT]]&lt;&gt;"",COUNTIF(Table3[LEVEL 5 MAT NO.],Table412[[#This Row],[MAT]]),"")</f>
        <v>1</v>
      </c>
      <c r="K576" s="36">
        <f>IFERROR(INDEX(Table3[],MATCH($E576,Table3[LEVEL 5 MAT NO.],0),2),0)</f>
        <v>0</v>
      </c>
      <c r="L576" s="36">
        <f>Table412[[#This Row],[Quantity in BOM]]*Table412[[#This Row],[Freq]]</f>
        <v>0</v>
      </c>
      <c r="M576" s="36">
        <f>IF(Table412[[#This Row],[Exist]]=1,Table412[[#This Row],[MAT]],"")</f>
        <v>1142907</v>
      </c>
      <c r="N576" s="36">
        <f>IF(Table412[[#This Row],[Exist]]=1,Table412[[#This Row],[Component]],"")</f>
        <v>418525</v>
      </c>
      <c r="O576" s="36">
        <f>IFERROR(VALUE(Table412[[#This Row],[MAT]]&amp;Table412[[#This Row],[X'#]]),IF(COUNTIF(Table412[[#This Row],[MAT]],"*M"),Table412[[#This Row],[MAT]]&amp;Table412[[#This Row],[X'#]],""))</f>
        <v>11429075</v>
      </c>
    </row>
    <row r="577" spans="1:15" x14ac:dyDescent="0.25">
      <c r="A577" s="37">
        <f t="shared" si="9"/>
        <v>121</v>
      </c>
      <c r="C577" s="36" t="s">
        <v>624</v>
      </c>
      <c r="D577" s="36" t="s">
        <v>657</v>
      </c>
      <c r="E577" s="36">
        <v>1159702</v>
      </c>
      <c r="F577" s="36">
        <v>1</v>
      </c>
      <c r="G577" s="36">
        <v>1130198</v>
      </c>
      <c r="H577" s="48" t="str">
        <f>IFERROR(INDEX(Table14[],MATCH($G577,Table14[SAPNo],0),3),"")</f>
        <v>Round 1613 CT182  0.018" (S)</v>
      </c>
      <c r="I577" s="37">
        <v>15</v>
      </c>
      <c r="J577" s="37">
        <f>IF(Table412[[#This Row],[MAT]]&lt;&gt;"",COUNTIF(Table3[LEVEL 5 MAT NO.],Table412[[#This Row],[MAT]]),"")</f>
        <v>0</v>
      </c>
      <c r="K577" s="36">
        <f>IFERROR(INDEX(Table3[],MATCH($E577,Table3[LEVEL 5 MAT NO.],0),2),0)</f>
        <v>0</v>
      </c>
      <c r="L577" s="36">
        <f>Table412[[#This Row],[Quantity in BOM]]*Table412[[#This Row],[Freq]]</f>
        <v>0</v>
      </c>
      <c r="M577" s="36" t="str">
        <f>IF(Table412[[#This Row],[Exist]]=1,Table412[[#This Row],[MAT]],"")</f>
        <v/>
      </c>
      <c r="N577" s="36" t="str">
        <f>IF(Table412[[#This Row],[Exist]]=1,Table412[[#This Row],[Component]],"")</f>
        <v/>
      </c>
      <c r="O577" s="36">
        <f>IFERROR(VALUE(Table412[[#This Row],[MAT]]&amp;Table412[[#This Row],[X'#]]),IF(COUNTIF(Table412[[#This Row],[MAT]],"*M"),Table412[[#This Row],[MAT]]&amp;Table412[[#This Row],[X'#]],""))</f>
        <v>11597021</v>
      </c>
    </row>
    <row r="578" spans="1:15" x14ac:dyDescent="0.25">
      <c r="A578" s="37">
        <f t="shared" si="9"/>
        <v>121</v>
      </c>
      <c r="C578" s="36" t="s">
        <v>624</v>
      </c>
      <c r="D578" s="36" t="s">
        <v>657</v>
      </c>
      <c r="E578" s="36">
        <v>1159702</v>
      </c>
      <c r="F578" s="36">
        <v>2</v>
      </c>
      <c r="G578" s="36">
        <v>1130196</v>
      </c>
      <c r="H578" s="48" t="str">
        <f>IFERROR(INDEX(Table14[],MATCH($G578,Table14[SAPNo],0),3),"")</f>
        <v>Round 1313 CT182  0.018" (S)</v>
      </c>
      <c r="I578" s="37">
        <v>11</v>
      </c>
      <c r="J578" s="37">
        <f>IF(Table412[[#This Row],[MAT]]&lt;&gt;"",COUNTIF(Table3[LEVEL 5 MAT NO.],Table412[[#This Row],[MAT]]),"")</f>
        <v>0</v>
      </c>
      <c r="K578" s="36">
        <f>IFERROR(INDEX(Table3[],MATCH($E578,Table3[LEVEL 5 MAT NO.],0),2),0)</f>
        <v>0</v>
      </c>
      <c r="L578" s="36">
        <f>Table412[[#This Row],[Quantity in BOM]]*Table412[[#This Row],[Freq]]</f>
        <v>0</v>
      </c>
      <c r="M578" s="36" t="str">
        <f>IF(Table412[[#This Row],[Exist]]=1,Table412[[#This Row],[MAT]],"")</f>
        <v/>
      </c>
      <c r="N578" s="36" t="str">
        <f>IF(Table412[[#This Row],[Exist]]=1,Table412[[#This Row],[Component]],"")</f>
        <v/>
      </c>
      <c r="O578" s="36">
        <f>IFERROR(VALUE(Table412[[#This Row],[MAT]]&amp;Table412[[#This Row],[X'#]]),IF(COUNTIF(Table412[[#This Row],[MAT]],"*M"),Table412[[#This Row],[MAT]]&amp;Table412[[#This Row],[X'#]],""))</f>
        <v>11597022</v>
      </c>
    </row>
    <row r="579" spans="1:15" x14ac:dyDescent="0.25">
      <c r="A579" s="37">
        <f t="shared" si="9"/>
        <v>121</v>
      </c>
      <c r="C579" s="36" t="s">
        <v>3549</v>
      </c>
      <c r="D579" s="36" t="s">
        <v>3455</v>
      </c>
      <c r="E579" s="36">
        <v>657759</v>
      </c>
      <c r="F579" s="36">
        <v>1</v>
      </c>
      <c r="G579" s="36">
        <v>717747</v>
      </c>
      <c r="H579" s="48" t="str">
        <f>IFERROR(INDEX(Table14[],MATCH($G579,Table14[SAPNo],0),3),"")</f>
        <v>Round 1010 CT200  10C (B)</v>
      </c>
      <c r="I579" s="37">
        <v>54</v>
      </c>
      <c r="J579" s="37">
        <f>IF(Table412[[#This Row],[MAT]]&lt;&gt;"",COUNTIF(Table3[LEVEL 5 MAT NO.],Table412[[#This Row],[MAT]]),"")</f>
        <v>0</v>
      </c>
      <c r="K579" s="36">
        <f>IFERROR(INDEX(Table3[],MATCH($E579,Table3[LEVEL 5 MAT NO.],0),2),0)</f>
        <v>0</v>
      </c>
      <c r="L579" s="36">
        <f>Table412[[#This Row],[Quantity in BOM]]*Table412[[#This Row],[Freq]]</f>
        <v>0</v>
      </c>
      <c r="M579" s="36" t="str">
        <f>IF(Table412[[#This Row],[Exist]]=1,Table412[[#This Row],[MAT]],"")</f>
        <v/>
      </c>
      <c r="N579" s="36" t="str">
        <f>IF(Table412[[#This Row],[Exist]]=1,Table412[[#This Row],[Component]],"")</f>
        <v/>
      </c>
      <c r="O579" s="36">
        <f>IFERROR(VALUE(Table412[[#This Row],[MAT]]&amp;Table412[[#This Row],[X'#]]),IF(COUNTIF(Table412[[#This Row],[MAT]],"*M"),Table412[[#This Row],[MAT]]&amp;Table412[[#This Row],[X'#]],""))</f>
        <v>6577591</v>
      </c>
    </row>
    <row r="580" spans="1:15" x14ac:dyDescent="0.25">
      <c r="A580" s="37">
        <f t="shared" ref="A580:A643" si="10">A579+K579</f>
        <v>121</v>
      </c>
      <c r="C580" s="36" t="s">
        <v>3549</v>
      </c>
      <c r="D580" s="36" t="s">
        <v>3455</v>
      </c>
      <c r="E580" s="36">
        <v>657759</v>
      </c>
      <c r="F580" s="36">
        <v>2</v>
      </c>
      <c r="G580" s="36">
        <v>703670</v>
      </c>
      <c r="H580" s="48" t="str">
        <f>IFERROR(INDEX(Table14[],MATCH($G580,Table14[SAPNo],0),3),"")</f>
        <v>Round 1313 CT200  10C (B)</v>
      </c>
      <c r="I580" s="37">
        <v>9</v>
      </c>
      <c r="J580" s="37">
        <f>IF(Table412[[#This Row],[MAT]]&lt;&gt;"",COUNTIF(Table3[LEVEL 5 MAT NO.],Table412[[#This Row],[MAT]]),"")</f>
        <v>0</v>
      </c>
      <c r="K580" s="36">
        <f>IFERROR(INDEX(Table3[],MATCH($E580,Table3[LEVEL 5 MAT NO.],0),2),0)</f>
        <v>0</v>
      </c>
      <c r="L580" s="36">
        <f>Table412[[#This Row],[Quantity in BOM]]*Table412[[#This Row],[Freq]]</f>
        <v>0</v>
      </c>
      <c r="M580" s="36" t="str">
        <f>IF(Table412[[#This Row],[Exist]]=1,Table412[[#This Row],[MAT]],"")</f>
        <v/>
      </c>
      <c r="N580" s="36" t="str">
        <f>IF(Table412[[#This Row],[Exist]]=1,Table412[[#This Row],[Component]],"")</f>
        <v/>
      </c>
      <c r="O580" s="36">
        <f>IFERROR(VALUE(Table412[[#This Row],[MAT]]&amp;Table412[[#This Row],[X'#]]),IF(COUNTIF(Table412[[#This Row],[MAT]],"*M"),Table412[[#This Row],[MAT]]&amp;Table412[[#This Row],[X'#]],""))</f>
        <v>6577592</v>
      </c>
    </row>
    <row r="581" spans="1:15" x14ac:dyDescent="0.25">
      <c r="A581" s="37">
        <f t="shared" si="10"/>
        <v>121</v>
      </c>
      <c r="C581" s="36" t="s">
        <v>3549</v>
      </c>
      <c r="D581" s="36" t="s">
        <v>3455</v>
      </c>
      <c r="E581" s="36">
        <v>657759</v>
      </c>
      <c r="F581" s="36">
        <v>3</v>
      </c>
      <c r="G581" s="36">
        <v>177778</v>
      </c>
      <c r="H581" s="48" t="str">
        <f>IFERROR(INDEX(Table14[],MATCH($G581,Table14[SAPNo],0),3),"")</f>
        <v>Drop In 1303 CT200   (B)</v>
      </c>
      <c r="I581" s="37">
        <v>3</v>
      </c>
      <c r="J581" s="37">
        <f>IF(Table412[[#This Row],[MAT]]&lt;&gt;"",COUNTIF(Table3[LEVEL 5 MAT NO.],Table412[[#This Row],[MAT]]),"")</f>
        <v>0</v>
      </c>
      <c r="K581" s="36">
        <f>IFERROR(INDEX(Table3[],MATCH($E581,Table3[LEVEL 5 MAT NO.],0),2),0)</f>
        <v>0</v>
      </c>
      <c r="L581" s="36">
        <f>Table412[[#This Row],[Quantity in BOM]]*Table412[[#This Row],[Freq]]</f>
        <v>0</v>
      </c>
      <c r="M581" s="36" t="str">
        <f>IF(Table412[[#This Row],[Exist]]=1,Table412[[#This Row],[MAT]],"")</f>
        <v/>
      </c>
      <c r="N581" s="36" t="str">
        <f>IF(Table412[[#This Row],[Exist]]=1,Table412[[#This Row],[Component]],"")</f>
        <v/>
      </c>
      <c r="O581" s="36">
        <f>IFERROR(VALUE(Table412[[#This Row],[MAT]]&amp;Table412[[#This Row],[X'#]]),IF(COUNTIF(Table412[[#This Row],[MAT]],"*M"),Table412[[#This Row],[MAT]]&amp;Table412[[#This Row],[X'#]],""))</f>
        <v>6577593</v>
      </c>
    </row>
    <row r="582" spans="1:15" x14ac:dyDescent="0.25">
      <c r="A582" s="37">
        <f t="shared" si="10"/>
        <v>121</v>
      </c>
      <c r="C582" s="36" t="s">
        <v>315</v>
      </c>
      <c r="D582" s="36" t="s">
        <v>3697</v>
      </c>
      <c r="E582" s="36">
        <v>1070175</v>
      </c>
      <c r="F582" s="36">
        <v>1</v>
      </c>
      <c r="G582" s="36">
        <v>853552</v>
      </c>
      <c r="H582" s="48" t="str">
        <f>IFERROR(INDEX(Table14[],MATCH($G582,Table14[SAPNo],0),3),"")</f>
        <v>Round 1913 CT125  0.018" (S)</v>
      </c>
      <c r="I582" s="37">
        <v>48</v>
      </c>
      <c r="J582" s="37">
        <f>IF(Table412[[#This Row],[MAT]]&lt;&gt;"",COUNTIF(Table3[LEVEL 5 MAT NO.],Table412[[#This Row],[MAT]]),"")</f>
        <v>0</v>
      </c>
      <c r="K582" s="36">
        <f>IFERROR(INDEX(Table3[],MATCH($E582,Table3[LEVEL 5 MAT NO.],0),2),0)</f>
        <v>0</v>
      </c>
      <c r="L582" s="36">
        <f>Table412[[#This Row],[Quantity in BOM]]*Table412[[#This Row],[Freq]]</f>
        <v>0</v>
      </c>
      <c r="M582" s="36" t="str">
        <f>IF(Table412[[#This Row],[Exist]]=1,Table412[[#This Row],[MAT]],"")</f>
        <v/>
      </c>
      <c r="N582" s="36" t="str">
        <f>IF(Table412[[#This Row],[Exist]]=1,Table412[[#This Row],[Component]],"")</f>
        <v/>
      </c>
      <c r="O582" s="36">
        <f>IFERROR(VALUE(Table412[[#This Row],[MAT]]&amp;Table412[[#This Row],[X'#]]),IF(COUNTIF(Table412[[#This Row],[MAT]],"*M"),Table412[[#This Row],[MAT]]&amp;Table412[[#This Row],[X'#]],""))</f>
        <v>10701751</v>
      </c>
    </row>
    <row r="583" spans="1:15" x14ac:dyDescent="0.25">
      <c r="A583" s="37">
        <f t="shared" si="10"/>
        <v>121</v>
      </c>
      <c r="C583" s="36" t="s">
        <v>315</v>
      </c>
      <c r="D583" s="36" t="s">
        <v>3697</v>
      </c>
      <c r="E583" s="36">
        <v>1070175</v>
      </c>
      <c r="F583" s="36">
        <v>2</v>
      </c>
      <c r="G583" s="36">
        <v>708306</v>
      </c>
      <c r="H583" s="48" t="str">
        <f>IFERROR(INDEX(Table14[],MATCH($G583,Table14[SAPNo],0),3),"")</f>
        <v>Round 1913 CT200  0.018" (B)</v>
      </c>
      <c r="I583" s="37">
        <v>34</v>
      </c>
      <c r="J583" s="37">
        <f>IF(Table412[[#This Row],[MAT]]&lt;&gt;"",COUNTIF(Table3[LEVEL 5 MAT NO.],Table412[[#This Row],[MAT]]),"")</f>
        <v>0</v>
      </c>
      <c r="K583" s="36">
        <f>IFERROR(INDEX(Table3[],MATCH($E583,Table3[LEVEL 5 MAT NO.],0),2),0)</f>
        <v>0</v>
      </c>
      <c r="L583" s="36">
        <f>Table412[[#This Row],[Quantity in BOM]]*Table412[[#This Row],[Freq]]</f>
        <v>0</v>
      </c>
      <c r="M583" s="36" t="str">
        <f>IF(Table412[[#This Row],[Exist]]=1,Table412[[#This Row],[MAT]],"")</f>
        <v/>
      </c>
      <c r="N583" s="36" t="str">
        <f>IF(Table412[[#This Row],[Exist]]=1,Table412[[#This Row],[Component]],"")</f>
        <v/>
      </c>
      <c r="O583" s="36">
        <f>IFERROR(VALUE(Table412[[#This Row],[MAT]]&amp;Table412[[#This Row],[X'#]]),IF(COUNTIF(Table412[[#This Row],[MAT]],"*M"),Table412[[#This Row],[MAT]]&amp;Table412[[#This Row],[X'#]],""))</f>
        <v>10701752</v>
      </c>
    </row>
    <row r="584" spans="1:15" x14ac:dyDescent="0.25">
      <c r="A584" s="37">
        <f t="shared" si="10"/>
        <v>121</v>
      </c>
      <c r="C584" s="36" t="s">
        <v>315</v>
      </c>
      <c r="D584" s="36" t="s">
        <v>3697</v>
      </c>
      <c r="E584" s="36">
        <v>1070175</v>
      </c>
      <c r="F584" s="36">
        <v>3</v>
      </c>
      <c r="G584" s="36">
        <v>853551</v>
      </c>
      <c r="H584" s="48" t="str">
        <f>IFERROR(INDEX(Table14[],MATCH($G584,Table14[SAPNo],0),3),"")</f>
        <v>Round 1613 CT125 GEDB 0.018" (S)</v>
      </c>
      <c r="I584" s="37">
        <v>9</v>
      </c>
      <c r="J584" s="37">
        <f>IF(Table412[[#This Row],[MAT]]&lt;&gt;"",COUNTIF(Table3[LEVEL 5 MAT NO.],Table412[[#This Row],[MAT]]),"")</f>
        <v>0</v>
      </c>
      <c r="K584" s="36">
        <f>IFERROR(INDEX(Table3[],MATCH($E584,Table3[LEVEL 5 MAT NO.],0),2),0)</f>
        <v>0</v>
      </c>
      <c r="L584" s="36">
        <f>Table412[[#This Row],[Quantity in BOM]]*Table412[[#This Row],[Freq]]</f>
        <v>0</v>
      </c>
      <c r="M584" s="36" t="str">
        <f>IF(Table412[[#This Row],[Exist]]=1,Table412[[#This Row],[MAT]],"")</f>
        <v/>
      </c>
      <c r="N584" s="36" t="str">
        <f>IF(Table412[[#This Row],[Exist]]=1,Table412[[#This Row],[Component]],"")</f>
        <v/>
      </c>
      <c r="O584" s="36">
        <f>IFERROR(VALUE(Table412[[#This Row],[MAT]]&amp;Table412[[#This Row],[X'#]]),IF(COUNTIF(Table412[[#This Row],[MAT]],"*M"),Table412[[#This Row],[MAT]]&amp;Table412[[#This Row],[X'#]],""))</f>
        <v>10701753</v>
      </c>
    </row>
    <row r="585" spans="1:15" x14ac:dyDescent="0.25">
      <c r="A585" s="37">
        <f t="shared" si="10"/>
        <v>121</v>
      </c>
      <c r="C585" s="36" t="s">
        <v>315</v>
      </c>
      <c r="D585" s="36" t="s">
        <v>3697</v>
      </c>
      <c r="E585" s="36">
        <v>1070175</v>
      </c>
      <c r="F585" s="36">
        <v>4</v>
      </c>
      <c r="G585" s="36">
        <v>871781</v>
      </c>
      <c r="H585" s="48" t="str">
        <f>IFERROR(INDEX(Table14[],MATCH($G585,Table14[SAPNo],0),3),"")</f>
        <v>Round 1313 CT200  0.018" (B)</v>
      </c>
      <c r="I585" s="37">
        <v>4</v>
      </c>
      <c r="J585" s="37">
        <f>IF(Table412[[#This Row],[MAT]]&lt;&gt;"",COUNTIF(Table3[LEVEL 5 MAT NO.],Table412[[#This Row],[MAT]]),"")</f>
        <v>0</v>
      </c>
      <c r="K585" s="36">
        <f>IFERROR(INDEX(Table3[],MATCH($E585,Table3[LEVEL 5 MAT NO.],0),2),0)</f>
        <v>0</v>
      </c>
      <c r="L585" s="36">
        <f>Table412[[#This Row],[Quantity in BOM]]*Table412[[#This Row],[Freq]]</f>
        <v>0</v>
      </c>
      <c r="M585" s="36" t="str">
        <f>IF(Table412[[#This Row],[Exist]]=1,Table412[[#This Row],[MAT]],"")</f>
        <v/>
      </c>
      <c r="N585" s="36" t="str">
        <f>IF(Table412[[#This Row],[Exist]]=1,Table412[[#This Row],[Component]],"")</f>
        <v/>
      </c>
      <c r="O585" s="36">
        <f>IFERROR(VALUE(Table412[[#This Row],[MAT]]&amp;Table412[[#This Row],[X'#]]),IF(COUNTIF(Table412[[#This Row],[MAT]],"*M"),Table412[[#This Row],[MAT]]&amp;Table412[[#This Row],[X'#]],""))</f>
        <v>10701754</v>
      </c>
    </row>
    <row r="586" spans="1:15" x14ac:dyDescent="0.25">
      <c r="A586" s="37">
        <f t="shared" si="10"/>
        <v>121</v>
      </c>
      <c r="C586" s="36" t="s">
        <v>315</v>
      </c>
      <c r="D586" s="36" t="s">
        <v>3697</v>
      </c>
      <c r="E586" s="36">
        <v>1070175</v>
      </c>
      <c r="F586" s="36">
        <v>5</v>
      </c>
      <c r="G586" s="36">
        <v>418525</v>
      </c>
      <c r="H586" s="48" t="str">
        <f>IFERROR(INDEX(Table14[],MATCH($G586,Table14[SAPNo],0),3),"")</f>
        <v>Drop In 1308 CT31   (B)</v>
      </c>
      <c r="I586" s="37">
        <v>4</v>
      </c>
      <c r="J586" s="37">
        <f>IF(Table412[[#This Row],[MAT]]&lt;&gt;"",COUNTIF(Table3[LEVEL 5 MAT NO.],Table412[[#This Row],[MAT]]),"")</f>
        <v>0</v>
      </c>
      <c r="K586" s="36">
        <f>IFERROR(INDEX(Table3[],MATCH($E586,Table3[LEVEL 5 MAT NO.],0),2),0)</f>
        <v>0</v>
      </c>
      <c r="L586" s="36">
        <f>Table412[[#This Row],[Quantity in BOM]]*Table412[[#This Row],[Freq]]</f>
        <v>0</v>
      </c>
      <c r="M586" s="36" t="str">
        <f>IF(Table412[[#This Row],[Exist]]=1,Table412[[#This Row],[MAT]],"")</f>
        <v/>
      </c>
      <c r="N586" s="36" t="str">
        <f>IF(Table412[[#This Row],[Exist]]=1,Table412[[#This Row],[Component]],"")</f>
        <v/>
      </c>
      <c r="O586" s="36">
        <f>IFERROR(VALUE(Table412[[#This Row],[MAT]]&amp;Table412[[#This Row],[X'#]]),IF(COUNTIF(Table412[[#This Row],[MAT]],"*M"),Table412[[#This Row],[MAT]]&amp;Table412[[#This Row],[X'#]],""))</f>
        <v>10701755</v>
      </c>
    </row>
    <row r="587" spans="1:15" x14ac:dyDescent="0.25">
      <c r="A587" s="37">
        <f t="shared" si="10"/>
        <v>121</v>
      </c>
      <c r="C587" s="36" t="s">
        <v>313</v>
      </c>
      <c r="D587" s="36" t="s">
        <v>314</v>
      </c>
      <c r="E587" s="36">
        <v>756447</v>
      </c>
      <c r="F587" s="36">
        <v>1</v>
      </c>
      <c r="G587" s="36">
        <v>1130198</v>
      </c>
      <c r="H587" s="48" t="str">
        <f>IFERROR(INDEX(Table14[],MATCH($G587,Table14[SAPNo],0),3),"")</f>
        <v>Round 1613 CT182  0.018" (S)</v>
      </c>
      <c r="I587" s="37">
        <v>58</v>
      </c>
      <c r="J587" s="37">
        <f>IF(Table412[[#This Row],[MAT]]&lt;&gt;"",COUNTIF(Table3[LEVEL 5 MAT NO.],Table412[[#This Row],[MAT]]),"")</f>
        <v>0</v>
      </c>
      <c r="K587" s="36">
        <f>IFERROR(INDEX(Table3[],MATCH($E587,Table3[LEVEL 5 MAT NO.],0),2),0)</f>
        <v>0</v>
      </c>
      <c r="L587" s="36">
        <f>Table412[[#This Row],[Quantity in BOM]]*Table412[[#This Row],[Freq]]</f>
        <v>0</v>
      </c>
      <c r="M587" s="36" t="str">
        <f>IF(Table412[[#This Row],[Exist]]=1,Table412[[#This Row],[MAT]],"")</f>
        <v/>
      </c>
      <c r="N587" s="36" t="str">
        <f>IF(Table412[[#This Row],[Exist]]=1,Table412[[#This Row],[Component]],"")</f>
        <v/>
      </c>
      <c r="O587" s="36">
        <f>IFERROR(VALUE(Table412[[#This Row],[MAT]]&amp;Table412[[#This Row],[X'#]]),IF(COUNTIF(Table412[[#This Row],[MAT]],"*M"),Table412[[#This Row],[MAT]]&amp;Table412[[#This Row],[X'#]],""))</f>
        <v>7564471</v>
      </c>
    </row>
    <row r="588" spans="1:15" x14ac:dyDescent="0.25">
      <c r="A588" s="37">
        <f t="shared" si="10"/>
        <v>121</v>
      </c>
      <c r="C588" s="38" t="s">
        <v>313</v>
      </c>
      <c r="D588" s="36" t="s">
        <v>314</v>
      </c>
      <c r="E588" s="36">
        <v>756447</v>
      </c>
      <c r="F588" s="36">
        <v>2</v>
      </c>
      <c r="G588" s="36">
        <v>1130196</v>
      </c>
      <c r="H588" s="48" t="str">
        <f>IFERROR(INDEX(Table14[],MATCH($G588,Table14[SAPNo],0),3),"")</f>
        <v>Round 1313 CT182  0.018" (S)</v>
      </c>
      <c r="I588" s="37">
        <v>7</v>
      </c>
      <c r="J588" s="37">
        <f>IF(Table412[[#This Row],[MAT]]&lt;&gt;"",COUNTIF(Table3[LEVEL 5 MAT NO.],Table412[[#This Row],[MAT]]),"")</f>
        <v>0</v>
      </c>
      <c r="K588" s="36">
        <f>IFERROR(INDEX(Table3[],MATCH($E588,Table3[LEVEL 5 MAT NO.],0),2),0)</f>
        <v>0</v>
      </c>
      <c r="L588" s="36">
        <f>Table412[[#This Row],[Quantity in BOM]]*Table412[[#This Row],[Freq]]</f>
        <v>0</v>
      </c>
      <c r="M588" s="36" t="str">
        <f>IF(Table412[[#This Row],[Exist]]=1,Table412[[#This Row],[MAT]],"")</f>
        <v/>
      </c>
      <c r="N588" s="36" t="str">
        <f>IF(Table412[[#This Row],[Exist]]=1,Table412[[#This Row],[Component]],"")</f>
        <v/>
      </c>
      <c r="O588" s="36">
        <f>IFERROR(VALUE(Table412[[#This Row],[MAT]]&amp;Table412[[#This Row],[X'#]]),IF(COUNTIF(Table412[[#This Row],[MAT]],"*M"),Table412[[#This Row],[MAT]]&amp;Table412[[#This Row],[X'#]],""))</f>
        <v>7564472</v>
      </c>
    </row>
    <row r="589" spans="1:15" x14ac:dyDescent="0.25">
      <c r="A589" s="37">
        <f t="shared" si="10"/>
        <v>121</v>
      </c>
      <c r="C589" s="38" t="s">
        <v>313</v>
      </c>
      <c r="D589" s="36" t="s">
        <v>314</v>
      </c>
      <c r="E589" s="36">
        <v>756447</v>
      </c>
      <c r="F589" s="36">
        <v>3</v>
      </c>
      <c r="G589" s="36">
        <v>418525</v>
      </c>
      <c r="H589" s="48" t="str">
        <f>IFERROR(INDEX(Table14[],MATCH($G589,Table14[SAPNo],0),3),"")</f>
        <v>Drop In 1308 CT31   (B)</v>
      </c>
      <c r="I589" s="37">
        <v>12</v>
      </c>
      <c r="J589" s="37">
        <f>IF(Table412[[#This Row],[MAT]]&lt;&gt;"",COUNTIF(Table3[LEVEL 5 MAT NO.],Table412[[#This Row],[MAT]]),"")</f>
        <v>0</v>
      </c>
      <c r="K589" s="36">
        <f>IFERROR(INDEX(Table3[],MATCH($E589,Table3[LEVEL 5 MAT NO.],0),2),0)</f>
        <v>0</v>
      </c>
      <c r="L589" s="36">
        <f>Table412[[#This Row],[Quantity in BOM]]*Table412[[#This Row],[Freq]]</f>
        <v>0</v>
      </c>
      <c r="M589" s="36" t="str">
        <f>IF(Table412[[#This Row],[Exist]]=1,Table412[[#This Row],[MAT]],"")</f>
        <v/>
      </c>
      <c r="N589" s="36" t="str">
        <f>IF(Table412[[#This Row],[Exist]]=1,Table412[[#This Row],[Component]],"")</f>
        <v/>
      </c>
      <c r="O589" s="36">
        <f>IFERROR(VALUE(Table412[[#This Row],[MAT]]&amp;Table412[[#This Row],[X'#]]),IF(COUNTIF(Table412[[#This Row],[MAT]],"*M"),Table412[[#This Row],[MAT]]&amp;Table412[[#This Row],[X'#]],""))</f>
        <v>7564473</v>
      </c>
    </row>
    <row r="590" spans="1:15" x14ac:dyDescent="0.25">
      <c r="A590" s="37">
        <f t="shared" si="10"/>
        <v>121</v>
      </c>
      <c r="C590" s="38" t="s">
        <v>313</v>
      </c>
      <c r="D590" s="36" t="s">
        <v>3698</v>
      </c>
      <c r="E590" s="36">
        <v>800418</v>
      </c>
      <c r="F590" s="36">
        <v>1</v>
      </c>
      <c r="G590" s="36">
        <v>1130198</v>
      </c>
      <c r="H590" s="48" t="str">
        <f>IFERROR(INDEX(Table14[],MATCH($G590,Table14[SAPNo],0),3),"")</f>
        <v>Round 1613 CT182  0.018" (S)</v>
      </c>
      <c r="I590" s="37">
        <v>58</v>
      </c>
      <c r="J590" s="37">
        <f>IF(Table412[[#This Row],[MAT]]&lt;&gt;"",COUNTIF(Table3[LEVEL 5 MAT NO.],Table412[[#This Row],[MAT]]),"")</f>
        <v>0</v>
      </c>
      <c r="K590" s="36">
        <f>IFERROR(INDEX(Table3[],MATCH($E590,Table3[LEVEL 5 MAT NO.],0),2),0)</f>
        <v>0</v>
      </c>
      <c r="L590" s="36">
        <f>Table412[[#This Row],[Quantity in BOM]]*Table412[[#This Row],[Freq]]</f>
        <v>0</v>
      </c>
      <c r="M590" s="36" t="str">
        <f>IF(Table412[[#This Row],[Exist]]=1,Table412[[#This Row],[MAT]],"")</f>
        <v/>
      </c>
      <c r="N590" s="36" t="str">
        <f>IF(Table412[[#This Row],[Exist]]=1,Table412[[#This Row],[Component]],"")</f>
        <v/>
      </c>
      <c r="O590" s="36">
        <f>IFERROR(VALUE(Table412[[#This Row],[MAT]]&amp;Table412[[#This Row],[X'#]]),IF(COUNTIF(Table412[[#This Row],[MAT]],"*M"),Table412[[#This Row],[MAT]]&amp;Table412[[#This Row],[X'#]],""))</f>
        <v>8004181</v>
      </c>
    </row>
    <row r="591" spans="1:15" x14ac:dyDescent="0.25">
      <c r="A591" s="37">
        <f t="shared" si="10"/>
        <v>121</v>
      </c>
      <c r="C591" s="38" t="s">
        <v>313</v>
      </c>
      <c r="D591" s="36" t="s">
        <v>3698</v>
      </c>
      <c r="E591" s="36">
        <v>800418</v>
      </c>
      <c r="F591" s="36">
        <v>2</v>
      </c>
      <c r="G591" s="36">
        <v>1130196</v>
      </c>
      <c r="H591" s="48" t="str">
        <f>IFERROR(INDEX(Table14[],MATCH($G591,Table14[SAPNo],0),3),"")</f>
        <v>Round 1313 CT182  0.018" (S)</v>
      </c>
      <c r="I591" s="37">
        <v>7</v>
      </c>
      <c r="J591" s="37">
        <f>IF(Table412[[#This Row],[MAT]]&lt;&gt;"",COUNTIF(Table3[LEVEL 5 MAT NO.],Table412[[#This Row],[MAT]]),"")</f>
        <v>0</v>
      </c>
      <c r="K591" s="36">
        <f>IFERROR(INDEX(Table3[],MATCH($E591,Table3[LEVEL 5 MAT NO.],0),2),0)</f>
        <v>0</v>
      </c>
      <c r="L591" s="36">
        <f>Table412[[#This Row],[Quantity in BOM]]*Table412[[#This Row],[Freq]]</f>
        <v>0</v>
      </c>
      <c r="M591" s="36" t="str">
        <f>IF(Table412[[#This Row],[Exist]]=1,Table412[[#This Row],[MAT]],"")</f>
        <v/>
      </c>
      <c r="N591" s="36" t="str">
        <f>IF(Table412[[#This Row],[Exist]]=1,Table412[[#This Row],[Component]],"")</f>
        <v/>
      </c>
      <c r="O591" s="36">
        <f>IFERROR(VALUE(Table412[[#This Row],[MAT]]&amp;Table412[[#This Row],[X'#]]),IF(COUNTIF(Table412[[#This Row],[MAT]],"*M"),Table412[[#This Row],[MAT]]&amp;Table412[[#This Row],[X'#]],""))</f>
        <v>8004182</v>
      </c>
    </row>
    <row r="592" spans="1:15" x14ac:dyDescent="0.25">
      <c r="A592" s="37">
        <f t="shared" si="10"/>
        <v>121</v>
      </c>
      <c r="C592" s="38" t="s">
        <v>313</v>
      </c>
      <c r="D592" s="36" t="s">
        <v>3698</v>
      </c>
      <c r="E592" s="36">
        <v>800418</v>
      </c>
      <c r="F592" s="36">
        <v>3</v>
      </c>
      <c r="G592" s="36">
        <v>418525</v>
      </c>
      <c r="H592" s="48" t="str">
        <f>IFERROR(INDEX(Table14[],MATCH($G592,Table14[SAPNo],0),3),"")</f>
        <v>Drop In 1308 CT31   (B)</v>
      </c>
      <c r="I592" s="37">
        <v>12</v>
      </c>
      <c r="J592" s="37">
        <f>IF(Table412[[#This Row],[MAT]]&lt;&gt;"",COUNTIF(Table3[LEVEL 5 MAT NO.],Table412[[#This Row],[MAT]]),"")</f>
        <v>0</v>
      </c>
      <c r="K592" s="36">
        <f>IFERROR(INDEX(Table3[],MATCH($E592,Table3[LEVEL 5 MAT NO.],0),2),0)</f>
        <v>0</v>
      </c>
      <c r="L592" s="36">
        <f>Table412[[#This Row],[Quantity in BOM]]*Table412[[#This Row],[Freq]]</f>
        <v>0</v>
      </c>
      <c r="M592" s="36" t="str">
        <f>IF(Table412[[#This Row],[Exist]]=1,Table412[[#This Row],[MAT]],"")</f>
        <v/>
      </c>
      <c r="N592" s="36" t="str">
        <f>IF(Table412[[#This Row],[Exist]]=1,Table412[[#This Row],[Component]],"")</f>
        <v/>
      </c>
      <c r="O592" s="36">
        <f>IFERROR(VALUE(Table412[[#This Row],[MAT]]&amp;Table412[[#This Row],[X'#]]),IF(COUNTIF(Table412[[#This Row],[MAT]],"*M"),Table412[[#This Row],[MAT]]&amp;Table412[[#This Row],[X'#]],""))</f>
        <v>8004183</v>
      </c>
    </row>
    <row r="593" spans="1:15" x14ac:dyDescent="0.25">
      <c r="A593" s="37">
        <f t="shared" si="10"/>
        <v>121</v>
      </c>
      <c r="C593" s="38" t="s">
        <v>313</v>
      </c>
      <c r="D593" s="36" t="s">
        <v>314</v>
      </c>
      <c r="E593" s="36">
        <v>1005293</v>
      </c>
      <c r="F593" s="36">
        <v>1</v>
      </c>
      <c r="G593" s="36">
        <v>1130198</v>
      </c>
      <c r="H593" s="48" t="str">
        <f>IFERROR(INDEX(Table14[],MATCH($G593,Table14[SAPNo],0),3),"")</f>
        <v>Round 1613 CT182  0.018" (S)</v>
      </c>
      <c r="I593" s="37">
        <v>33</v>
      </c>
      <c r="J593" s="37">
        <f>IF(Table412[[#This Row],[MAT]]&lt;&gt;"",COUNTIF(Table3[LEVEL 5 MAT NO.],Table412[[#This Row],[MAT]]),"")</f>
        <v>0</v>
      </c>
      <c r="K593" s="36">
        <f>IFERROR(INDEX(Table3[],MATCH($E593,Table3[LEVEL 5 MAT NO.],0),2),0)</f>
        <v>0</v>
      </c>
      <c r="L593" s="36">
        <f>Table412[[#This Row],[Quantity in BOM]]*Table412[[#This Row],[Freq]]</f>
        <v>0</v>
      </c>
      <c r="M593" s="36" t="str">
        <f>IF(Table412[[#This Row],[Exist]]=1,Table412[[#This Row],[MAT]],"")</f>
        <v/>
      </c>
      <c r="N593" s="36" t="str">
        <f>IF(Table412[[#This Row],[Exist]]=1,Table412[[#This Row],[Component]],"")</f>
        <v/>
      </c>
      <c r="O593" s="36">
        <f>IFERROR(VALUE(Table412[[#This Row],[MAT]]&amp;Table412[[#This Row],[X'#]]),IF(COUNTIF(Table412[[#This Row],[MAT]],"*M"),Table412[[#This Row],[MAT]]&amp;Table412[[#This Row],[X'#]],""))</f>
        <v>10052931</v>
      </c>
    </row>
    <row r="594" spans="1:15" x14ac:dyDescent="0.25">
      <c r="A594" s="37">
        <f t="shared" si="10"/>
        <v>121</v>
      </c>
      <c r="C594" s="38" t="s">
        <v>313</v>
      </c>
      <c r="D594" s="36" t="s">
        <v>314</v>
      </c>
      <c r="E594" s="36">
        <v>1005293</v>
      </c>
      <c r="F594" s="36">
        <v>2</v>
      </c>
      <c r="G594" s="36">
        <v>647435</v>
      </c>
      <c r="H594" s="48" t="str">
        <f>IFERROR(INDEX(Table14[],MATCH($G594,Table14[SAPNo],0),3),"")</f>
        <v>Round 1608 CT200  0.018" (B)</v>
      </c>
      <c r="I594" s="37">
        <v>23</v>
      </c>
      <c r="J594" s="37">
        <f>IF(Table412[[#This Row],[MAT]]&lt;&gt;"",COUNTIF(Table3[LEVEL 5 MAT NO.],Table412[[#This Row],[MAT]]),"")</f>
        <v>0</v>
      </c>
      <c r="K594" s="36">
        <f>IFERROR(INDEX(Table3[],MATCH($E594,Table3[LEVEL 5 MAT NO.],0),2),0)</f>
        <v>0</v>
      </c>
      <c r="L594" s="36">
        <f>Table412[[#This Row],[Quantity in BOM]]*Table412[[#This Row],[Freq]]</f>
        <v>0</v>
      </c>
      <c r="M594" s="36" t="str">
        <f>IF(Table412[[#This Row],[Exist]]=1,Table412[[#This Row],[MAT]],"")</f>
        <v/>
      </c>
      <c r="N594" s="36" t="str">
        <f>IF(Table412[[#This Row],[Exist]]=1,Table412[[#This Row],[Component]],"")</f>
        <v/>
      </c>
      <c r="O594" s="36">
        <f>IFERROR(VALUE(Table412[[#This Row],[MAT]]&amp;Table412[[#This Row],[X'#]]),IF(COUNTIF(Table412[[#This Row],[MAT]],"*M"),Table412[[#This Row],[MAT]]&amp;Table412[[#This Row],[X'#]],""))</f>
        <v>10052932</v>
      </c>
    </row>
    <row r="595" spans="1:15" x14ac:dyDescent="0.25">
      <c r="A595" s="37">
        <f t="shared" si="10"/>
        <v>121</v>
      </c>
      <c r="C595" s="38" t="s">
        <v>313</v>
      </c>
      <c r="D595" s="36" t="s">
        <v>314</v>
      </c>
      <c r="E595" s="36">
        <v>1005293</v>
      </c>
      <c r="F595" s="36">
        <v>3</v>
      </c>
      <c r="G595" s="36">
        <v>418525</v>
      </c>
      <c r="H595" s="48" t="str">
        <f>IFERROR(INDEX(Table14[],MATCH($G595,Table14[SAPNo],0),3),"")</f>
        <v>Drop In 1308 CT31   (B)</v>
      </c>
      <c r="I595" s="37">
        <v>6</v>
      </c>
      <c r="J595" s="37">
        <f>IF(Table412[[#This Row],[MAT]]&lt;&gt;"",COUNTIF(Table3[LEVEL 5 MAT NO.],Table412[[#This Row],[MAT]]),"")</f>
        <v>0</v>
      </c>
      <c r="K595" s="36">
        <f>IFERROR(INDEX(Table3[],MATCH($E595,Table3[LEVEL 5 MAT NO.],0),2),0)</f>
        <v>0</v>
      </c>
      <c r="L595" s="36">
        <f>Table412[[#This Row],[Quantity in BOM]]*Table412[[#This Row],[Freq]]</f>
        <v>0</v>
      </c>
      <c r="M595" s="36" t="str">
        <f>IF(Table412[[#This Row],[Exist]]=1,Table412[[#This Row],[MAT]],"")</f>
        <v/>
      </c>
      <c r="N595" s="36" t="str">
        <f>IF(Table412[[#This Row],[Exist]]=1,Table412[[#This Row],[Component]],"")</f>
        <v/>
      </c>
      <c r="O595" s="36">
        <f>IFERROR(VALUE(Table412[[#This Row],[MAT]]&amp;Table412[[#This Row],[X'#]]),IF(COUNTIF(Table412[[#This Row],[MAT]],"*M"),Table412[[#This Row],[MAT]]&amp;Table412[[#This Row],[X'#]],""))</f>
        <v>10052933</v>
      </c>
    </row>
    <row r="596" spans="1:15" x14ac:dyDescent="0.25">
      <c r="A596" s="37">
        <f t="shared" si="10"/>
        <v>121</v>
      </c>
      <c r="C596" s="38" t="s">
        <v>313</v>
      </c>
      <c r="D596" s="36" t="s">
        <v>314</v>
      </c>
      <c r="E596" s="36">
        <v>1020985</v>
      </c>
      <c r="F596" s="36">
        <v>1</v>
      </c>
      <c r="G596" s="36">
        <v>744015</v>
      </c>
      <c r="H596" s="48" t="str">
        <f>IFERROR(INDEX(Table14[],MATCH($G596,Table14[SAPNo],0),3),"")</f>
        <v>Round 1613 CT81  0.018" (P)</v>
      </c>
      <c r="I596" s="37">
        <v>33</v>
      </c>
      <c r="J596" s="37">
        <f>IF(Table412[[#This Row],[MAT]]&lt;&gt;"",COUNTIF(Table3[LEVEL 5 MAT NO.],Table412[[#This Row],[MAT]]),"")</f>
        <v>0</v>
      </c>
      <c r="K596" s="36">
        <f>IFERROR(INDEX(Table3[],MATCH($E596,Table3[LEVEL 5 MAT NO.],0),2),0)</f>
        <v>0</v>
      </c>
      <c r="L596" s="36">
        <f>Table412[[#This Row],[Quantity in BOM]]*Table412[[#This Row],[Freq]]</f>
        <v>0</v>
      </c>
      <c r="M596" s="36" t="str">
        <f>IF(Table412[[#This Row],[Exist]]=1,Table412[[#This Row],[MAT]],"")</f>
        <v/>
      </c>
      <c r="N596" s="36" t="str">
        <f>IF(Table412[[#This Row],[Exist]]=1,Table412[[#This Row],[Component]],"")</f>
        <v/>
      </c>
      <c r="O596" s="36">
        <f>IFERROR(VALUE(Table412[[#This Row],[MAT]]&amp;Table412[[#This Row],[X'#]]),IF(COUNTIF(Table412[[#This Row],[MAT]],"*M"),Table412[[#This Row],[MAT]]&amp;Table412[[#This Row],[X'#]],""))</f>
        <v>10209851</v>
      </c>
    </row>
    <row r="597" spans="1:15" x14ac:dyDescent="0.25">
      <c r="A597" s="37">
        <f t="shared" si="10"/>
        <v>121</v>
      </c>
      <c r="C597" s="38" t="s">
        <v>313</v>
      </c>
      <c r="D597" s="36" t="s">
        <v>314</v>
      </c>
      <c r="E597" s="36">
        <v>1020985</v>
      </c>
      <c r="F597" s="36">
        <v>2</v>
      </c>
      <c r="G597" s="36">
        <v>647435</v>
      </c>
      <c r="H597" s="48" t="str">
        <f>IFERROR(INDEX(Table14[],MATCH($G597,Table14[SAPNo],0),3),"")</f>
        <v>Round 1608 CT200  0.018" (B)</v>
      </c>
      <c r="I597" s="37">
        <v>23</v>
      </c>
      <c r="J597" s="37">
        <f>IF(Table412[[#This Row],[MAT]]&lt;&gt;"",COUNTIF(Table3[LEVEL 5 MAT NO.],Table412[[#This Row],[MAT]]),"")</f>
        <v>0</v>
      </c>
      <c r="K597" s="36">
        <f>IFERROR(INDEX(Table3[],MATCH($E597,Table3[LEVEL 5 MAT NO.],0),2),0)</f>
        <v>0</v>
      </c>
      <c r="L597" s="36">
        <f>Table412[[#This Row],[Quantity in BOM]]*Table412[[#This Row],[Freq]]</f>
        <v>0</v>
      </c>
      <c r="M597" s="36" t="str">
        <f>IF(Table412[[#This Row],[Exist]]=1,Table412[[#This Row],[MAT]],"")</f>
        <v/>
      </c>
      <c r="N597" s="36" t="str">
        <f>IF(Table412[[#This Row],[Exist]]=1,Table412[[#This Row],[Component]],"")</f>
        <v/>
      </c>
      <c r="O597" s="36">
        <f>IFERROR(VALUE(Table412[[#This Row],[MAT]]&amp;Table412[[#This Row],[X'#]]),IF(COUNTIF(Table412[[#This Row],[MAT]],"*M"),Table412[[#This Row],[MAT]]&amp;Table412[[#This Row],[X'#]],""))</f>
        <v>10209852</v>
      </c>
    </row>
    <row r="598" spans="1:15" x14ac:dyDescent="0.25">
      <c r="A598" s="37">
        <f t="shared" si="10"/>
        <v>121</v>
      </c>
      <c r="C598" s="38" t="s">
        <v>313</v>
      </c>
      <c r="D598" s="36" t="s">
        <v>314</v>
      </c>
      <c r="E598" s="36">
        <v>1020985</v>
      </c>
      <c r="F598" s="36">
        <v>3</v>
      </c>
      <c r="G598" s="36">
        <v>418525</v>
      </c>
      <c r="H598" s="48" t="str">
        <f>IFERROR(INDEX(Table14[],MATCH($G598,Table14[SAPNo],0),3),"")</f>
        <v>Drop In 1308 CT31   (B)</v>
      </c>
      <c r="I598" s="37">
        <v>6</v>
      </c>
      <c r="J598" s="37">
        <f>IF(Table412[[#This Row],[MAT]]&lt;&gt;"",COUNTIF(Table3[LEVEL 5 MAT NO.],Table412[[#This Row],[MAT]]),"")</f>
        <v>0</v>
      </c>
      <c r="K598" s="36">
        <f>IFERROR(INDEX(Table3[],MATCH($E598,Table3[LEVEL 5 MAT NO.],0),2),0)</f>
        <v>0</v>
      </c>
      <c r="L598" s="36">
        <f>Table412[[#This Row],[Quantity in BOM]]*Table412[[#This Row],[Freq]]</f>
        <v>0</v>
      </c>
      <c r="M598" s="36" t="str">
        <f>IF(Table412[[#This Row],[Exist]]=1,Table412[[#This Row],[MAT]],"")</f>
        <v/>
      </c>
      <c r="N598" s="36" t="str">
        <f>IF(Table412[[#This Row],[Exist]]=1,Table412[[#This Row],[Component]],"")</f>
        <v/>
      </c>
      <c r="O598" s="36">
        <f>IFERROR(VALUE(Table412[[#This Row],[MAT]]&amp;Table412[[#This Row],[X'#]]),IF(COUNTIF(Table412[[#This Row],[MAT]],"*M"),Table412[[#This Row],[MAT]]&amp;Table412[[#This Row],[X'#]],""))</f>
        <v>10209853</v>
      </c>
    </row>
    <row r="599" spans="1:15" x14ac:dyDescent="0.25">
      <c r="A599" s="37">
        <f t="shared" si="10"/>
        <v>121</v>
      </c>
      <c r="C599" s="38" t="s">
        <v>313</v>
      </c>
      <c r="D599" s="36" t="s">
        <v>314</v>
      </c>
      <c r="E599" s="36">
        <v>1029802</v>
      </c>
      <c r="F599" s="36">
        <v>1</v>
      </c>
      <c r="G599" s="36">
        <v>1130198</v>
      </c>
      <c r="H599" s="48" t="str">
        <f>IFERROR(INDEX(Table14[],MATCH($G599,Table14[SAPNo],0),3),"")</f>
        <v>Round 1613 CT182  0.018" (S)</v>
      </c>
      <c r="I599" s="37">
        <v>20</v>
      </c>
      <c r="J599" s="37">
        <f>IF(Table412[[#This Row],[MAT]]&lt;&gt;"",COUNTIF(Table3[LEVEL 5 MAT NO.],Table412[[#This Row],[MAT]]),"")</f>
        <v>0</v>
      </c>
      <c r="K599" s="36">
        <f>IFERROR(INDEX(Table3[],MATCH($E599,Table3[LEVEL 5 MAT NO.],0),2),0)</f>
        <v>0</v>
      </c>
      <c r="L599" s="36">
        <f>Table412[[#This Row],[Quantity in BOM]]*Table412[[#This Row],[Freq]]</f>
        <v>0</v>
      </c>
      <c r="M599" s="36" t="str">
        <f>IF(Table412[[#This Row],[Exist]]=1,Table412[[#This Row],[MAT]],"")</f>
        <v/>
      </c>
      <c r="N599" s="36" t="str">
        <f>IF(Table412[[#This Row],[Exist]]=1,Table412[[#This Row],[Component]],"")</f>
        <v/>
      </c>
      <c r="O599" s="36">
        <f>IFERROR(VALUE(Table412[[#This Row],[MAT]]&amp;Table412[[#This Row],[X'#]]),IF(COUNTIF(Table412[[#This Row],[MAT]],"*M"),Table412[[#This Row],[MAT]]&amp;Table412[[#This Row],[X'#]],""))</f>
        <v>10298021</v>
      </c>
    </row>
    <row r="600" spans="1:15" x14ac:dyDescent="0.25">
      <c r="A600" s="37">
        <f t="shared" si="10"/>
        <v>121</v>
      </c>
      <c r="C600" s="38" t="s">
        <v>313</v>
      </c>
      <c r="D600" s="36" t="s">
        <v>314</v>
      </c>
      <c r="E600" s="36">
        <v>1029802</v>
      </c>
      <c r="F600" s="36">
        <v>2</v>
      </c>
      <c r="G600" s="36">
        <v>647435</v>
      </c>
      <c r="H600" s="48" t="str">
        <f>IFERROR(INDEX(Table14[],MATCH($G600,Table14[SAPNo],0),3),"")</f>
        <v>Round 1608 CT200  0.018" (B)</v>
      </c>
      <c r="I600" s="37">
        <v>23</v>
      </c>
      <c r="J600" s="37">
        <f>IF(Table412[[#This Row],[MAT]]&lt;&gt;"",COUNTIF(Table3[LEVEL 5 MAT NO.],Table412[[#This Row],[MAT]]),"")</f>
        <v>0</v>
      </c>
      <c r="K600" s="36">
        <f>IFERROR(INDEX(Table3[],MATCH($E600,Table3[LEVEL 5 MAT NO.],0),2),0)</f>
        <v>0</v>
      </c>
      <c r="L600" s="36">
        <f>Table412[[#This Row],[Quantity in BOM]]*Table412[[#This Row],[Freq]]</f>
        <v>0</v>
      </c>
      <c r="M600" s="36" t="str">
        <f>IF(Table412[[#This Row],[Exist]]=1,Table412[[#This Row],[MAT]],"")</f>
        <v/>
      </c>
      <c r="N600" s="36" t="str">
        <f>IF(Table412[[#This Row],[Exist]]=1,Table412[[#This Row],[Component]],"")</f>
        <v/>
      </c>
      <c r="O600" s="36">
        <f>IFERROR(VALUE(Table412[[#This Row],[MAT]]&amp;Table412[[#This Row],[X'#]]),IF(COUNTIF(Table412[[#This Row],[MAT]],"*M"),Table412[[#This Row],[MAT]]&amp;Table412[[#This Row],[X'#]],""))</f>
        <v>10298022</v>
      </c>
    </row>
    <row r="601" spans="1:15" x14ac:dyDescent="0.25">
      <c r="A601" s="37">
        <f t="shared" si="10"/>
        <v>121</v>
      </c>
      <c r="C601" s="38" t="s">
        <v>313</v>
      </c>
      <c r="D601" s="36" t="s">
        <v>314</v>
      </c>
      <c r="E601" s="36">
        <v>1029802</v>
      </c>
      <c r="F601" s="36">
        <v>3</v>
      </c>
      <c r="G601" s="36">
        <v>933120</v>
      </c>
      <c r="H601" s="48" t="str">
        <f>IFERROR(INDEX(Table14[],MATCH($G601,Table14[SAPNo],0),3),"")</f>
        <v>Round 1613 CT405 GEDB 0.018" (P)</v>
      </c>
      <c r="I601" s="37">
        <v>13</v>
      </c>
      <c r="J601" s="37">
        <f>IF(Table412[[#This Row],[MAT]]&lt;&gt;"",COUNTIF(Table3[LEVEL 5 MAT NO.],Table412[[#This Row],[MAT]]),"")</f>
        <v>0</v>
      </c>
      <c r="K601" s="36">
        <f>IFERROR(INDEX(Table3[],MATCH($E601,Table3[LEVEL 5 MAT NO.],0),2),0)</f>
        <v>0</v>
      </c>
      <c r="L601" s="36">
        <f>Table412[[#This Row],[Quantity in BOM]]*Table412[[#This Row],[Freq]]</f>
        <v>0</v>
      </c>
      <c r="M601" s="36" t="str">
        <f>IF(Table412[[#This Row],[Exist]]=1,Table412[[#This Row],[MAT]],"")</f>
        <v/>
      </c>
      <c r="N601" s="36" t="str">
        <f>IF(Table412[[#This Row],[Exist]]=1,Table412[[#This Row],[Component]],"")</f>
        <v/>
      </c>
      <c r="O601" s="36">
        <f>IFERROR(VALUE(Table412[[#This Row],[MAT]]&amp;Table412[[#This Row],[X'#]]),IF(COUNTIF(Table412[[#This Row],[MAT]],"*M"),Table412[[#This Row],[MAT]]&amp;Table412[[#This Row],[X'#]],""))</f>
        <v>10298023</v>
      </c>
    </row>
    <row r="602" spans="1:15" x14ac:dyDescent="0.25">
      <c r="A602" s="37">
        <f t="shared" si="10"/>
        <v>121</v>
      </c>
      <c r="C602" s="38" t="s">
        <v>313</v>
      </c>
      <c r="D602" s="36" t="s">
        <v>314</v>
      </c>
      <c r="E602" s="36">
        <v>1029802</v>
      </c>
      <c r="F602" s="36">
        <v>4</v>
      </c>
      <c r="G602" s="36">
        <v>418525</v>
      </c>
      <c r="H602" s="48" t="str">
        <f>IFERROR(INDEX(Table14[],MATCH($G602,Table14[SAPNo],0),3),"")</f>
        <v>Drop In 1308 CT31   (B)</v>
      </c>
      <c r="I602" s="37">
        <v>6</v>
      </c>
      <c r="J602" s="37">
        <f>IF(Table412[[#This Row],[MAT]]&lt;&gt;"",COUNTIF(Table3[LEVEL 5 MAT NO.],Table412[[#This Row],[MAT]]),"")</f>
        <v>0</v>
      </c>
      <c r="K602" s="36">
        <f>IFERROR(INDEX(Table3[],MATCH($E602,Table3[LEVEL 5 MAT NO.],0),2),0)</f>
        <v>0</v>
      </c>
      <c r="L602" s="36">
        <f>Table412[[#This Row],[Quantity in BOM]]*Table412[[#This Row],[Freq]]</f>
        <v>0</v>
      </c>
      <c r="M602" s="36" t="str">
        <f>IF(Table412[[#This Row],[Exist]]=1,Table412[[#This Row],[MAT]],"")</f>
        <v/>
      </c>
      <c r="N602" s="36" t="str">
        <f>IF(Table412[[#This Row],[Exist]]=1,Table412[[#This Row],[Component]],"")</f>
        <v/>
      </c>
      <c r="O602" s="36">
        <f>IFERROR(VALUE(Table412[[#This Row],[MAT]]&amp;Table412[[#This Row],[X'#]]),IF(COUNTIF(Table412[[#This Row],[MAT]],"*M"),Table412[[#This Row],[MAT]]&amp;Table412[[#This Row],[X'#]],""))</f>
        <v>10298024</v>
      </c>
    </row>
    <row r="603" spans="1:15" x14ac:dyDescent="0.25">
      <c r="A603" s="37">
        <f t="shared" si="10"/>
        <v>121</v>
      </c>
      <c r="C603" s="38" t="s">
        <v>316</v>
      </c>
      <c r="D603" s="36" t="s">
        <v>3699</v>
      </c>
      <c r="E603" s="36">
        <v>836417</v>
      </c>
      <c r="F603" s="36">
        <v>1</v>
      </c>
      <c r="G603" s="36">
        <v>1130223</v>
      </c>
      <c r="H603" s="48" t="str">
        <f>IFERROR(INDEX(Table14[],MATCH($G603,Table14[SAPNo],0),3),"")</f>
        <v xml:space="preserve"> 1913 CT182  10C (S)</v>
      </c>
      <c r="I603" s="37">
        <v>71</v>
      </c>
      <c r="J603" s="37">
        <f>IF(Table412[[#This Row],[MAT]]&lt;&gt;"",COUNTIF(Table3[LEVEL 5 MAT NO.],Table412[[#This Row],[MAT]]),"")</f>
        <v>0</v>
      </c>
      <c r="K603" s="36">
        <f>IFERROR(INDEX(Table3[],MATCH($E603,Table3[LEVEL 5 MAT NO.],0),2),0)</f>
        <v>0</v>
      </c>
      <c r="L603" s="36">
        <f>Table412[[#This Row],[Quantity in BOM]]*Table412[[#This Row],[Freq]]</f>
        <v>0</v>
      </c>
      <c r="M603" s="36" t="str">
        <f>IF(Table412[[#This Row],[Exist]]=1,Table412[[#This Row],[MAT]],"")</f>
        <v/>
      </c>
      <c r="N603" s="36" t="str">
        <f>IF(Table412[[#This Row],[Exist]]=1,Table412[[#This Row],[Component]],"")</f>
        <v/>
      </c>
      <c r="O603" s="36">
        <f>IFERROR(VALUE(Table412[[#This Row],[MAT]]&amp;Table412[[#This Row],[X'#]]),IF(COUNTIF(Table412[[#This Row],[MAT]],"*M"),Table412[[#This Row],[MAT]]&amp;Table412[[#This Row],[X'#]],""))</f>
        <v>8364171</v>
      </c>
    </row>
    <row r="604" spans="1:15" x14ac:dyDescent="0.25">
      <c r="A604" s="37">
        <f t="shared" si="10"/>
        <v>121</v>
      </c>
      <c r="C604" s="38" t="s">
        <v>316</v>
      </c>
      <c r="D604" s="36" t="s">
        <v>3699</v>
      </c>
      <c r="E604" s="36">
        <v>836417</v>
      </c>
      <c r="F604" s="36">
        <v>2</v>
      </c>
      <c r="G604" s="36">
        <v>1130221</v>
      </c>
      <c r="H604" s="48" t="str">
        <f>IFERROR(INDEX(Table14[],MATCH($G604,Table14[SAPNo],0),3),"")</f>
        <v xml:space="preserve"> 1613 CT182  10C (S)</v>
      </c>
      <c r="I604" s="37">
        <v>35</v>
      </c>
      <c r="J604" s="37">
        <f>IF(Table412[[#This Row],[MAT]]&lt;&gt;"",COUNTIF(Table3[LEVEL 5 MAT NO.],Table412[[#This Row],[MAT]]),"")</f>
        <v>0</v>
      </c>
      <c r="K604" s="36">
        <f>IFERROR(INDEX(Table3[],MATCH($E604,Table3[LEVEL 5 MAT NO.],0),2),0)</f>
        <v>0</v>
      </c>
      <c r="L604" s="36">
        <f>Table412[[#This Row],[Quantity in BOM]]*Table412[[#This Row],[Freq]]</f>
        <v>0</v>
      </c>
      <c r="M604" s="36" t="str">
        <f>IF(Table412[[#This Row],[Exist]]=1,Table412[[#This Row],[MAT]],"")</f>
        <v/>
      </c>
      <c r="N604" s="36" t="str">
        <f>IF(Table412[[#This Row],[Exist]]=1,Table412[[#This Row],[Component]],"")</f>
        <v/>
      </c>
      <c r="O604" s="36">
        <f>IFERROR(VALUE(Table412[[#This Row],[MAT]]&amp;Table412[[#This Row],[X'#]]),IF(COUNTIF(Table412[[#This Row],[MAT]],"*M"),Table412[[#This Row],[MAT]]&amp;Table412[[#This Row],[X'#]],""))</f>
        <v>8364172</v>
      </c>
    </row>
    <row r="605" spans="1:15" x14ac:dyDescent="0.25">
      <c r="A605" s="37">
        <f t="shared" si="10"/>
        <v>121</v>
      </c>
      <c r="C605" s="38" t="s">
        <v>316</v>
      </c>
      <c r="D605" s="36" t="s">
        <v>3699</v>
      </c>
      <c r="E605" s="36">
        <v>836417</v>
      </c>
      <c r="F605" s="36">
        <v>3</v>
      </c>
      <c r="G605" s="36">
        <v>621152</v>
      </c>
      <c r="H605" s="48" t="str">
        <f>IFERROR(INDEX(Table14[],MATCH($G605,Table14[SAPNo],0),3),"")</f>
        <v>MDR 1318    (D)</v>
      </c>
      <c r="I605" s="37">
        <v>3</v>
      </c>
      <c r="J605" s="37">
        <f>IF(Table412[[#This Row],[MAT]]&lt;&gt;"",COUNTIF(Table3[LEVEL 5 MAT NO.],Table412[[#This Row],[MAT]]),"")</f>
        <v>0</v>
      </c>
      <c r="K605" s="36">
        <f>IFERROR(INDEX(Table3[],MATCH($E605,Table3[LEVEL 5 MAT NO.],0),2),0)</f>
        <v>0</v>
      </c>
      <c r="L605" s="36">
        <f>Table412[[#This Row],[Quantity in BOM]]*Table412[[#This Row],[Freq]]</f>
        <v>0</v>
      </c>
      <c r="M605" s="36" t="str">
        <f>IF(Table412[[#This Row],[Exist]]=1,Table412[[#This Row],[MAT]],"")</f>
        <v/>
      </c>
      <c r="N605" s="36" t="str">
        <f>IF(Table412[[#This Row],[Exist]]=1,Table412[[#This Row],[Component]],"")</f>
        <v/>
      </c>
      <c r="O605" s="36">
        <f>IFERROR(VALUE(Table412[[#This Row],[MAT]]&amp;Table412[[#This Row],[X'#]]),IF(COUNTIF(Table412[[#This Row],[MAT]],"*M"),Table412[[#This Row],[MAT]]&amp;Table412[[#This Row],[X'#]],""))</f>
        <v>8364173</v>
      </c>
    </row>
    <row r="606" spans="1:15" x14ac:dyDescent="0.25">
      <c r="A606" s="37">
        <f t="shared" si="10"/>
        <v>121</v>
      </c>
      <c r="C606" s="38" t="s">
        <v>316</v>
      </c>
      <c r="D606" s="36" t="s">
        <v>3699</v>
      </c>
      <c r="E606" s="36">
        <v>836417</v>
      </c>
      <c r="F606" s="36">
        <v>4</v>
      </c>
      <c r="G606" s="36">
        <v>418525</v>
      </c>
      <c r="H606" s="48" t="str">
        <f>IFERROR(INDEX(Table14[],MATCH($G606,Table14[SAPNo],0),3),"")</f>
        <v>Drop In 1308 CT31   (B)</v>
      </c>
      <c r="I606" s="37">
        <v>18</v>
      </c>
      <c r="J606" s="37">
        <f>IF(Table412[[#This Row],[MAT]]&lt;&gt;"",COUNTIF(Table3[LEVEL 5 MAT NO.],Table412[[#This Row],[MAT]]),"")</f>
        <v>0</v>
      </c>
      <c r="K606" s="36">
        <f>IFERROR(INDEX(Table3[],MATCH($E606,Table3[LEVEL 5 MAT NO.],0),2),0)</f>
        <v>0</v>
      </c>
      <c r="L606" s="36">
        <f>Table412[[#This Row],[Quantity in BOM]]*Table412[[#This Row],[Freq]]</f>
        <v>0</v>
      </c>
      <c r="M606" s="36" t="str">
        <f>IF(Table412[[#This Row],[Exist]]=1,Table412[[#This Row],[MAT]],"")</f>
        <v/>
      </c>
      <c r="N606" s="36" t="str">
        <f>IF(Table412[[#This Row],[Exist]]=1,Table412[[#This Row],[Component]],"")</f>
        <v/>
      </c>
      <c r="O606" s="36">
        <f>IFERROR(VALUE(Table412[[#This Row],[MAT]]&amp;Table412[[#This Row],[X'#]]),IF(COUNTIF(Table412[[#This Row],[MAT]],"*M"),Table412[[#This Row],[MAT]]&amp;Table412[[#This Row],[X'#]],""))</f>
        <v>8364174</v>
      </c>
    </row>
    <row r="607" spans="1:15" x14ac:dyDescent="0.25">
      <c r="A607" s="37">
        <f t="shared" si="10"/>
        <v>121</v>
      </c>
      <c r="C607" s="38" t="s">
        <v>631</v>
      </c>
      <c r="D607" s="36" t="s">
        <v>667</v>
      </c>
      <c r="E607" s="36">
        <v>1103307</v>
      </c>
      <c r="F607" s="36">
        <v>1</v>
      </c>
      <c r="G607" s="36">
        <v>738227</v>
      </c>
      <c r="H607" s="48" t="str">
        <f>IFERROR(INDEX(Table14[],MATCH($G607,Table14[SAPNo],0),3),"")</f>
        <v>Round 1308 CR31  0.018" (T)</v>
      </c>
      <c r="I607" s="37">
        <v>5</v>
      </c>
      <c r="J607" s="37">
        <f>IF(Table412[[#This Row],[MAT]]&lt;&gt;"",COUNTIF(Table3[LEVEL 5 MAT NO.],Table412[[#This Row],[MAT]]),"")</f>
        <v>0</v>
      </c>
      <c r="K607" s="36">
        <f>IFERROR(INDEX(Table3[],MATCH($E607,Table3[LEVEL 5 MAT NO.],0),2),0)</f>
        <v>0</v>
      </c>
      <c r="L607" s="36">
        <f>Table412[[#This Row],[Quantity in BOM]]*Table412[[#This Row],[Freq]]</f>
        <v>0</v>
      </c>
      <c r="M607" s="36" t="str">
        <f>IF(Table412[[#This Row],[Exist]]=1,Table412[[#This Row],[MAT]],"")</f>
        <v/>
      </c>
      <c r="N607" s="36" t="str">
        <f>IF(Table412[[#This Row],[Exist]]=1,Table412[[#This Row],[Component]],"")</f>
        <v/>
      </c>
      <c r="O607" s="36">
        <f>IFERROR(VALUE(Table412[[#This Row],[MAT]]&amp;Table412[[#This Row],[X'#]]),IF(COUNTIF(Table412[[#This Row],[MAT]],"*M"),Table412[[#This Row],[MAT]]&amp;Table412[[#This Row],[X'#]],""))</f>
        <v>11033071</v>
      </c>
    </row>
    <row r="608" spans="1:15" x14ac:dyDescent="0.25">
      <c r="A608" s="37">
        <f t="shared" si="10"/>
        <v>121</v>
      </c>
      <c r="C608" s="38" t="s">
        <v>631</v>
      </c>
      <c r="D608" s="36" t="s">
        <v>667</v>
      </c>
      <c r="E608" s="36">
        <v>1103307</v>
      </c>
      <c r="F608" s="36">
        <v>2</v>
      </c>
      <c r="G608" s="36">
        <v>738228</v>
      </c>
      <c r="H608" s="48" t="str">
        <f>IFERROR(INDEX(Table14[],MATCH($G608,Table14[SAPNo],0),3),"")</f>
        <v>Round 1608 CR31  0.018" (T)</v>
      </c>
      <c r="I608" s="37">
        <v>21</v>
      </c>
      <c r="J608" s="37">
        <f>IF(Table412[[#This Row],[MAT]]&lt;&gt;"",COUNTIF(Table3[LEVEL 5 MAT NO.],Table412[[#This Row],[MAT]]),"")</f>
        <v>0</v>
      </c>
      <c r="K608" s="36">
        <f>IFERROR(INDEX(Table3[],MATCH($E608,Table3[LEVEL 5 MAT NO.],0),2),0)</f>
        <v>0</v>
      </c>
      <c r="L608" s="36">
        <f>Table412[[#This Row],[Quantity in BOM]]*Table412[[#This Row],[Freq]]</f>
        <v>0</v>
      </c>
      <c r="M608" s="36" t="str">
        <f>IF(Table412[[#This Row],[Exist]]=1,Table412[[#This Row],[MAT]],"")</f>
        <v/>
      </c>
      <c r="N608" s="36" t="str">
        <f>IF(Table412[[#This Row],[Exist]]=1,Table412[[#This Row],[Component]],"")</f>
        <v/>
      </c>
      <c r="O608" s="36">
        <f>IFERROR(VALUE(Table412[[#This Row],[MAT]]&amp;Table412[[#This Row],[X'#]]),IF(COUNTIF(Table412[[#This Row],[MAT]],"*M"),Table412[[#This Row],[MAT]]&amp;Table412[[#This Row],[X'#]],""))</f>
        <v>11033072</v>
      </c>
    </row>
    <row r="609" spans="1:15" x14ac:dyDescent="0.25">
      <c r="A609" s="37">
        <f t="shared" si="10"/>
        <v>121</v>
      </c>
      <c r="C609" s="38" t="s">
        <v>631</v>
      </c>
      <c r="D609" s="36" t="s">
        <v>667</v>
      </c>
      <c r="E609" s="36">
        <v>1103307</v>
      </c>
      <c r="F609" s="36">
        <v>3</v>
      </c>
      <c r="G609" s="36">
        <v>661066</v>
      </c>
      <c r="H609" s="48" t="str">
        <f>IFERROR(INDEX(Table14[],MATCH($G609,Table14[SAPNo],0),3),"")</f>
        <v>Round 1613 CR44  0.018" (T)</v>
      </c>
      <c r="I609" s="37">
        <v>6</v>
      </c>
      <c r="J609" s="37">
        <f>IF(Table412[[#This Row],[MAT]]&lt;&gt;"",COUNTIF(Table3[LEVEL 5 MAT NO.],Table412[[#This Row],[MAT]]),"")</f>
        <v>0</v>
      </c>
      <c r="K609" s="36">
        <f>IFERROR(INDEX(Table3[],MATCH($E609,Table3[LEVEL 5 MAT NO.],0),2),0)</f>
        <v>0</v>
      </c>
      <c r="L609" s="36">
        <f>Table412[[#This Row],[Quantity in BOM]]*Table412[[#This Row],[Freq]]</f>
        <v>0</v>
      </c>
      <c r="M609" s="36" t="str">
        <f>IF(Table412[[#This Row],[Exist]]=1,Table412[[#This Row],[MAT]],"")</f>
        <v/>
      </c>
      <c r="N609" s="36" t="str">
        <f>IF(Table412[[#This Row],[Exist]]=1,Table412[[#This Row],[Component]],"")</f>
        <v/>
      </c>
      <c r="O609" s="36">
        <f>IFERROR(VALUE(Table412[[#This Row],[MAT]]&amp;Table412[[#This Row],[X'#]]),IF(COUNTIF(Table412[[#This Row],[MAT]],"*M"),Table412[[#This Row],[MAT]]&amp;Table412[[#This Row],[X'#]],""))</f>
        <v>11033073</v>
      </c>
    </row>
    <row r="610" spans="1:15" x14ac:dyDescent="0.25">
      <c r="A610" s="37">
        <f t="shared" si="10"/>
        <v>121</v>
      </c>
      <c r="C610" s="38" t="s">
        <v>631</v>
      </c>
      <c r="D610" s="36" t="s">
        <v>667</v>
      </c>
      <c r="E610" s="36">
        <v>1103307</v>
      </c>
      <c r="F610" s="36">
        <v>4</v>
      </c>
      <c r="G610" s="36">
        <v>661065</v>
      </c>
      <c r="H610" s="48" t="str">
        <f>IFERROR(INDEX(Table14[],MATCH($G610,Table14[SAPNo],0),3),"")</f>
        <v>Round 1313 CR31  0.018" (T)</v>
      </c>
      <c r="I610" s="37">
        <v>7</v>
      </c>
      <c r="J610" s="37">
        <f>IF(Table412[[#This Row],[MAT]]&lt;&gt;"",COUNTIF(Table3[LEVEL 5 MAT NO.],Table412[[#This Row],[MAT]]),"")</f>
        <v>0</v>
      </c>
      <c r="K610" s="36">
        <f>IFERROR(INDEX(Table3[],MATCH($E610,Table3[LEVEL 5 MAT NO.],0),2),0)</f>
        <v>0</v>
      </c>
      <c r="L610" s="36">
        <f>Table412[[#This Row],[Quantity in BOM]]*Table412[[#This Row],[Freq]]</f>
        <v>0</v>
      </c>
      <c r="M610" s="36" t="str">
        <f>IF(Table412[[#This Row],[Exist]]=1,Table412[[#This Row],[MAT]],"")</f>
        <v/>
      </c>
      <c r="N610" s="36" t="str">
        <f>IF(Table412[[#This Row],[Exist]]=1,Table412[[#This Row],[Component]],"")</f>
        <v/>
      </c>
      <c r="O610" s="36">
        <f>IFERROR(VALUE(Table412[[#This Row],[MAT]]&amp;Table412[[#This Row],[X'#]]),IF(COUNTIF(Table412[[#This Row],[MAT]],"*M"),Table412[[#This Row],[MAT]]&amp;Table412[[#This Row],[X'#]],""))</f>
        <v>11033074</v>
      </c>
    </row>
    <row r="611" spans="1:15" x14ac:dyDescent="0.25">
      <c r="A611" s="37">
        <f t="shared" si="10"/>
        <v>121</v>
      </c>
      <c r="C611" s="38" t="s">
        <v>631</v>
      </c>
      <c r="D611" s="36" t="s">
        <v>667</v>
      </c>
      <c r="E611" s="36">
        <v>1103307</v>
      </c>
      <c r="F611" s="36">
        <v>5</v>
      </c>
      <c r="G611" s="36">
        <v>976360</v>
      </c>
      <c r="H611" s="48" t="str">
        <f>IFERROR(INDEX(Table14[],MATCH($G611,Table14[SAPNo],0),3),"")</f>
        <v xml:space="preserve"> 1608 TEST USS-DL  0.01 ()</v>
      </c>
      <c r="I611" s="37">
        <v>12</v>
      </c>
      <c r="J611" s="37">
        <f>IF(Table412[[#This Row],[MAT]]&lt;&gt;"",COUNTIF(Table3[LEVEL 5 MAT NO.],Table412[[#This Row],[MAT]]),"")</f>
        <v>0</v>
      </c>
      <c r="K611" s="36">
        <f>IFERROR(INDEX(Table3[],MATCH($E611,Table3[LEVEL 5 MAT NO.],0),2),0)</f>
        <v>0</v>
      </c>
      <c r="L611" s="36">
        <f>Table412[[#This Row],[Quantity in BOM]]*Table412[[#This Row],[Freq]]</f>
        <v>0</v>
      </c>
      <c r="M611" s="36" t="str">
        <f>IF(Table412[[#This Row],[Exist]]=1,Table412[[#This Row],[MAT]],"")</f>
        <v/>
      </c>
      <c r="N611" s="36" t="str">
        <f>IF(Table412[[#This Row],[Exist]]=1,Table412[[#This Row],[Component]],"")</f>
        <v/>
      </c>
      <c r="O611" s="36">
        <f>IFERROR(VALUE(Table412[[#This Row],[MAT]]&amp;Table412[[#This Row],[X'#]]),IF(COUNTIF(Table412[[#This Row],[MAT]],"*M"),Table412[[#This Row],[MAT]]&amp;Table412[[#This Row],[X'#]],""))</f>
        <v>11033075</v>
      </c>
    </row>
    <row r="612" spans="1:15" x14ac:dyDescent="0.25">
      <c r="A612" s="37">
        <f t="shared" si="10"/>
        <v>121</v>
      </c>
      <c r="C612" s="38" t="s">
        <v>631</v>
      </c>
      <c r="D612" s="36" t="s">
        <v>667</v>
      </c>
      <c r="E612" s="36">
        <v>1103307</v>
      </c>
      <c r="F612" s="36">
        <v>6</v>
      </c>
      <c r="G612" s="36">
        <v>418525</v>
      </c>
      <c r="H612" s="48" t="str">
        <f>IFERROR(INDEX(Table14[],MATCH($G612,Table14[SAPNo],0),3),"")</f>
        <v>Drop In 1308 CT31   (B)</v>
      </c>
      <c r="I612" s="37">
        <v>4</v>
      </c>
      <c r="J612" s="37">
        <f>IF(Table412[[#This Row],[MAT]]&lt;&gt;"",COUNTIF(Table3[LEVEL 5 MAT NO.],Table412[[#This Row],[MAT]]),"")</f>
        <v>0</v>
      </c>
      <c r="K612" s="36">
        <f>IFERROR(INDEX(Table3[],MATCH($E612,Table3[LEVEL 5 MAT NO.],0),2),0)</f>
        <v>0</v>
      </c>
      <c r="L612" s="36">
        <f>Table412[[#This Row],[Quantity in BOM]]*Table412[[#This Row],[Freq]]</f>
        <v>0</v>
      </c>
      <c r="M612" s="36" t="str">
        <f>IF(Table412[[#This Row],[Exist]]=1,Table412[[#This Row],[MAT]],"")</f>
        <v/>
      </c>
      <c r="N612" s="36" t="str">
        <f>IF(Table412[[#This Row],[Exist]]=1,Table412[[#This Row],[Component]],"")</f>
        <v/>
      </c>
      <c r="O612" s="36">
        <f>IFERROR(VALUE(Table412[[#This Row],[MAT]]&amp;Table412[[#This Row],[X'#]]),IF(COUNTIF(Table412[[#This Row],[MAT]],"*M"),Table412[[#This Row],[MAT]]&amp;Table412[[#This Row],[X'#]],""))</f>
        <v>11033076</v>
      </c>
    </row>
    <row r="613" spans="1:15" x14ac:dyDescent="0.25">
      <c r="A613" s="37">
        <f t="shared" si="10"/>
        <v>121</v>
      </c>
      <c r="C613" s="38" t="s">
        <v>631</v>
      </c>
      <c r="D613" s="36" t="s">
        <v>667</v>
      </c>
      <c r="E613" s="36">
        <v>1103307</v>
      </c>
      <c r="F613" s="36">
        <v>7</v>
      </c>
      <c r="G613" s="36">
        <v>871781</v>
      </c>
      <c r="H613" s="48" t="str">
        <f>IFERROR(INDEX(Table14[],MATCH($G613,Table14[SAPNo],0),3),"")</f>
        <v>Round 1313 CT200  0.018" (B)</v>
      </c>
      <c r="I613" s="37">
        <v>3</v>
      </c>
      <c r="J613" s="37">
        <f>IF(Table412[[#This Row],[MAT]]&lt;&gt;"",COUNTIF(Table3[LEVEL 5 MAT NO.],Table412[[#This Row],[MAT]]),"")</f>
        <v>0</v>
      </c>
      <c r="K613" s="36">
        <f>IFERROR(INDEX(Table3[],MATCH($E613,Table3[LEVEL 5 MAT NO.],0),2),0)</f>
        <v>0</v>
      </c>
      <c r="L613" s="36">
        <f>Table412[[#This Row],[Quantity in BOM]]*Table412[[#This Row],[Freq]]</f>
        <v>0</v>
      </c>
      <c r="M613" s="36" t="str">
        <f>IF(Table412[[#This Row],[Exist]]=1,Table412[[#This Row],[MAT]],"")</f>
        <v/>
      </c>
      <c r="N613" s="36" t="str">
        <f>IF(Table412[[#This Row],[Exist]]=1,Table412[[#This Row],[Component]],"")</f>
        <v/>
      </c>
      <c r="O613" s="36">
        <f>IFERROR(VALUE(Table412[[#This Row],[MAT]]&amp;Table412[[#This Row],[X'#]]),IF(COUNTIF(Table412[[#This Row],[MAT]],"*M"),Table412[[#This Row],[MAT]]&amp;Table412[[#This Row],[X'#]],""))</f>
        <v>11033077</v>
      </c>
    </row>
    <row r="614" spans="1:15" x14ac:dyDescent="0.25">
      <c r="A614" s="37">
        <f t="shared" si="10"/>
        <v>121</v>
      </c>
      <c r="C614" s="38" t="s">
        <v>315</v>
      </c>
      <c r="D614" s="36" t="s">
        <v>3700</v>
      </c>
      <c r="E614" s="36">
        <v>763567</v>
      </c>
      <c r="F614" s="36">
        <v>1</v>
      </c>
      <c r="G614" s="36">
        <v>1130197</v>
      </c>
      <c r="H614" s="48" t="str">
        <f>IFERROR(INDEX(Table14[],MATCH($G614,Table14[SAPNo],0),3),"")</f>
        <v>Round 1608 CT182  0.018" (S)</v>
      </c>
      <c r="I614" s="37">
        <v>64</v>
      </c>
      <c r="J614" s="37">
        <f>IF(Table412[[#This Row],[MAT]]&lt;&gt;"",COUNTIF(Table3[LEVEL 5 MAT NO.],Table412[[#This Row],[MAT]]),"")</f>
        <v>0</v>
      </c>
      <c r="K614" s="36">
        <f>IFERROR(INDEX(Table3[],MATCH($E614,Table3[LEVEL 5 MAT NO.],0),2),0)</f>
        <v>0</v>
      </c>
      <c r="L614" s="36">
        <f>Table412[[#This Row],[Quantity in BOM]]*Table412[[#This Row],[Freq]]</f>
        <v>0</v>
      </c>
      <c r="M614" s="36" t="str">
        <f>IF(Table412[[#This Row],[Exist]]=1,Table412[[#This Row],[MAT]],"")</f>
        <v/>
      </c>
      <c r="N614" s="36" t="str">
        <f>IF(Table412[[#This Row],[Exist]]=1,Table412[[#This Row],[Component]],"")</f>
        <v/>
      </c>
      <c r="O614" s="36">
        <f>IFERROR(VALUE(Table412[[#This Row],[MAT]]&amp;Table412[[#This Row],[X'#]]),IF(COUNTIF(Table412[[#This Row],[MAT]],"*M"),Table412[[#This Row],[MAT]]&amp;Table412[[#This Row],[X'#]],""))</f>
        <v>7635671</v>
      </c>
    </row>
    <row r="615" spans="1:15" x14ac:dyDescent="0.25">
      <c r="A615" s="37">
        <f t="shared" si="10"/>
        <v>121</v>
      </c>
      <c r="C615" s="38" t="s">
        <v>315</v>
      </c>
      <c r="D615" s="36" t="s">
        <v>3700</v>
      </c>
      <c r="E615" s="36">
        <v>763567</v>
      </c>
      <c r="F615" s="36">
        <v>2</v>
      </c>
      <c r="G615" s="36">
        <v>1134752</v>
      </c>
      <c r="H615" s="48" t="str">
        <f>IFERROR(INDEX(Table14[],MATCH($G615,Table14[SAPNo],0),3),"")</f>
        <v>Round 1308 CT182  0.018" (S)</v>
      </c>
      <c r="I615" s="37">
        <v>56</v>
      </c>
      <c r="J615" s="37">
        <f>IF(Table412[[#This Row],[MAT]]&lt;&gt;"",COUNTIF(Table3[LEVEL 5 MAT NO.],Table412[[#This Row],[MAT]]),"")</f>
        <v>0</v>
      </c>
      <c r="K615" s="36">
        <f>IFERROR(INDEX(Table3[],MATCH($E615,Table3[LEVEL 5 MAT NO.],0),2),0)</f>
        <v>0</v>
      </c>
      <c r="L615" s="36">
        <f>Table412[[#This Row],[Quantity in BOM]]*Table412[[#This Row],[Freq]]</f>
        <v>0</v>
      </c>
      <c r="M615" s="36" t="str">
        <f>IF(Table412[[#This Row],[Exist]]=1,Table412[[#This Row],[MAT]],"")</f>
        <v/>
      </c>
      <c r="N615" s="36" t="str">
        <f>IF(Table412[[#This Row],[Exist]]=1,Table412[[#This Row],[Component]],"")</f>
        <v/>
      </c>
      <c r="O615" s="36">
        <f>IFERROR(VALUE(Table412[[#This Row],[MAT]]&amp;Table412[[#This Row],[X'#]]),IF(COUNTIF(Table412[[#This Row],[MAT]],"*M"),Table412[[#This Row],[MAT]]&amp;Table412[[#This Row],[X'#]],""))</f>
        <v>7635672</v>
      </c>
    </row>
    <row r="616" spans="1:15" x14ac:dyDescent="0.25">
      <c r="A616" s="37">
        <f t="shared" si="10"/>
        <v>121</v>
      </c>
      <c r="C616" s="38" t="s">
        <v>315</v>
      </c>
      <c r="D616" s="36" t="s">
        <v>3700</v>
      </c>
      <c r="E616" s="36">
        <v>763567</v>
      </c>
      <c r="F616" s="36">
        <v>3</v>
      </c>
      <c r="G616" s="36">
        <v>179694</v>
      </c>
      <c r="H616" s="48" t="str">
        <f>IFERROR(INDEX(Table14[],MATCH($G616,Table14[SAPNo],0),3),"")</f>
        <v>Round 1308  ELITE RC O 0.020" (O)</v>
      </c>
      <c r="I616" s="37">
        <v>9</v>
      </c>
      <c r="J616" s="37">
        <f>IF(Table412[[#This Row],[MAT]]&lt;&gt;"",COUNTIF(Table3[LEVEL 5 MAT NO.],Table412[[#This Row],[MAT]]),"")</f>
        <v>0</v>
      </c>
      <c r="K616" s="36">
        <f>IFERROR(INDEX(Table3[],MATCH($E616,Table3[LEVEL 5 MAT NO.],0),2),0)</f>
        <v>0</v>
      </c>
      <c r="L616" s="36">
        <f>Table412[[#This Row],[Quantity in BOM]]*Table412[[#This Row],[Freq]]</f>
        <v>0</v>
      </c>
      <c r="M616" s="36" t="str">
        <f>IF(Table412[[#This Row],[Exist]]=1,Table412[[#This Row],[MAT]],"")</f>
        <v/>
      </c>
      <c r="N616" s="36" t="str">
        <f>IF(Table412[[#This Row],[Exist]]=1,Table412[[#This Row],[Component]],"")</f>
        <v/>
      </c>
      <c r="O616" s="36">
        <f>IFERROR(VALUE(Table412[[#This Row],[MAT]]&amp;Table412[[#This Row],[X'#]]),IF(COUNTIF(Table412[[#This Row],[MAT]],"*M"),Table412[[#This Row],[MAT]]&amp;Table412[[#This Row],[X'#]],""))</f>
        <v>7635673</v>
      </c>
    </row>
    <row r="617" spans="1:15" x14ac:dyDescent="0.25">
      <c r="A617" s="37">
        <f t="shared" si="10"/>
        <v>121</v>
      </c>
      <c r="C617" s="38" t="s">
        <v>315</v>
      </c>
      <c r="D617" s="36" t="s">
        <v>3700</v>
      </c>
      <c r="E617" s="36">
        <v>763567</v>
      </c>
      <c r="F617" s="36">
        <v>4</v>
      </c>
      <c r="G617" s="36">
        <v>418525</v>
      </c>
      <c r="H617" s="48" t="str">
        <f>IFERROR(INDEX(Table14[],MATCH($G617,Table14[SAPNo],0),3),"")</f>
        <v>Drop In 1308 CT31   (B)</v>
      </c>
      <c r="I617" s="37">
        <v>13</v>
      </c>
      <c r="J617" s="37">
        <f>IF(Table412[[#This Row],[MAT]]&lt;&gt;"",COUNTIF(Table3[LEVEL 5 MAT NO.],Table412[[#This Row],[MAT]]),"")</f>
        <v>0</v>
      </c>
      <c r="K617" s="36">
        <f>IFERROR(INDEX(Table3[],MATCH($E617,Table3[LEVEL 5 MAT NO.],0),2),0)</f>
        <v>0</v>
      </c>
      <c r="L617" s="36">
        <f>Table412[[#This Row],[Quantity in BOM]]*Table412[[#This Row],[Freq]]</f>
        <v>0</v>
      </c>
      <c r="M617" s="36" t="str">
        <f>IF(Table412[[#This Row],[Exist]]=1,Table412[[#This Row],[MAT]],"")</f>
        <v/>
      </c>
      <c r="N617" s="36" t="str">
        <f>IF(Table412[[#This Row],[Exist]]=1,Table412[[#This Row],[Component]],"")</f>
        <v/>
      </c>
      <c r="O617" s="36">
        <f>IFERROR(VALUE(Table412[[#This Row],[MAT]]&amp;Table412[[#This Row],[X'#]]),IF(COUNTIF(Table412[[#This Row],[MAT]],"*M"),Table412[[#This Row],[MAT]]&amp;Table412[[#This Row],[X'#]],""))</f>
        <v>7635674</v>
      </c>
    </row>
    <row r="618" spans="1:15" x14ac:dyDescent="0.25">
      <c r="A618" s="37">
        <f t="shared" si="10"/>
        <v>121</v>
      </c>
      <c r="C618" s="38" t="s">
        <v>315</v>
      </c>
      <c r="D618" s="36" t="s">
        <v>3700</v>
      </c>
      <c r="E618" s="36">
        <v>763567</v>
      </c>
      <c r="F618" s="36">
        <v>5</v>
      </c>
      <c r="G618" s="36">
        <v>871781</v>
      </c>
      <c r="H618" s="48" t="str">
        <f>IFERROR(INDEX(Table14[],MATCH($G618,Table14[SAPNo],0),3),"")</f>
        <v>Round 1313 CT200  0.018" (B)</v>
      </c>
      <c r="I618" s="37">
        <v>5</v>
      </c>
      <c r="J618" s="37">
        <f>IF(Table412[[#This Row],[MAT]]&lt;&gt;"",COUNTIF(Table3[LEVEL 5 MAT NO.],Table412[[#This Row],[MAT]]),"")</f>
        <v>0</v>
      </c>
      <c r="K618" s="36">
        <f>IFERROR(INDEX(Table3[],MATCH($E618,Table3[LEVEL 5 MAT NO.],0),2),0)</f>
        <v>0</v>
      </c>
      <c r="L618" s="36">
        <f>Table412[[#This Row],[Quantity in BOM]]*Table412[[#This Row],[Freq]]</f>
        <v>0</v>
      </c>
      <c r="M618" s="36" t="str">
        <f>IF(Table412[[#This Row],[Exist]]=1,Table412[[#This Row],[MAT]],"")</f>
        <v/>
      </c>
      <c r="N618" s="36" t="str">
        <f>IF(Table412[[#This Row],[Exist]]=1,Table412[[#This Row],[Component]],"")</f>
        <v/>
      </c>
      <c r="O618" s="36">
        <f>IFERROR(VALUE(Table412[[#This Row],[MAT]]&amp;Table412[[#This Row],[X'#]]),IF(COUNTIF(Table412[[#This Row],[MAT]],"*M"),Table412[[#This Row],[MAT]]&amp;Table412[[#This Row],[X'#]],""))</f>
        <v>7635675</v>
      </c>
    </row>
    <row r="619" spans="1:15" x14ac:dyDescent="0.25">
      <c r="A619" s="37">
        <f t="shared" si="10"/>
        <v>121</v>
      </c>
      <c r="C619" s="38" t="s">
        <v>3495</v>
      </c>
      <c r="D619" s="36" t="s">
        <v>3496</v>
      </c>
      <c r="E619" s="36">
        <v>616958</v>
      </c>
      <c r="F619" s="36">
        <v>1</v>
      </c>
      <c r="G619" s="36">
        <v>177778</v>
      </c>
      <c r="H619" s="48" t="str">
        <f>IFERROR(INDEX(Table14[],MATCH($G619,Table14[SAPNo],0),3),"")</f>
        <v>Drop In 1303 CT200   (B)</v>
      </c>
      <c r="I619" s="37">
        <v>14</v>
      </c>
      <c r="J619" s="37">
        <f>IF(Table412[[#This Row],[MAT]]&lt;&gt;"",COUNTIF(Table3[LEVEL 5 MAT NO.],Table412[[#This Row],[MAT]]),"")</f>
        <v>0</v>
      </c>
      <c r="K619" s="36">
        <f>IFERROR(INDEX(Table3[],MATCH($E619,Table3[LEVEL 5 MAT NO.],0),2),0)</f>
        <v>0</v>
      </c>
      <c r="L619" s="36">
        <f>Table412[[#This Row],[Quantity in BOM]]*Table412[[#This Row],[Freq]]</f>
        <v>0</v>
      </c>
      <c r="M619" s="36" t="str">
        <f>IF(Table412[[#This Row],[Exist]]=1,Table412[[#This Row],[MAT]],"")</f>
        <v/>
      </c>
      <c r="N619" s="36" t="str">
        <f>IF(Table412[[#This Row],[Exist]]=1,Table412[[#This Row],[Component]],"")</f>
        <v/>
      </c>
      <c r="O619" s="36">
        <f>IFERROR(VALUE(Table412[[#This Row],[MAT]]&amp;Table412[[#This Row],[X'#]]),IF(COUNTIF(Table412[[#This Row],[MAT]],"*M"),Table412[[#This Row],[MAT]]&amp;Table412[[#This Row],[X'#]],""))</f>
        <v>6169581</v>
      </c>
    </row>
    <row r="620" spans="1:15" x14ac:dyDescent="0.25">
      <c r="A620" s="37">
        <f t="shared" si="10"/>
        <v>121</v>
      </c>
      <c r="C620" s="38" t="s">
        <v>3495</v>
      </c>
      <c r="D620" s="36" t="s">
        <v>3496</v>
      </c>
      <c r="E620" s="36">
        <v>616958</v>
      </c>
      <c r="F620" s="36">
        <v>2</v>
      </c>
      <c r="G620" s="36">
        <v>583447</v>
      </c>
      <c r="H620" s="48" t="str">
        <f>IFERROR(INDEX(Table14[],MATCH($G620,Table14[SAPNo],0),3),"")</f>
        <v/>
      </c>
      <c r="I620" s="37">
        <v>30</v>
      </c>
      <c r="J620" s="37">
        <f>IF(Table412[[#This Row],[MAT]]&lt;&gt;"",COUNTIF(Table3[LEVEL 5 MAT NO.],Table412[[#This Row],[MAT]]),"")</f>
        <v>0</v>
      </c>
      <c r="K620" s="36">
        <f>IFERROR(INDEX(Table3[],MATCH($E620,Table3[LEVEL 5 MAT NO.],0),2),0)</f>
        <v>0</v>
      </c>
      <c r="L620" s="36">
        <f>Table412[[#This Row],[Quantity in BOM]]*Table412[[#This Row],[Freq]]</f>
        <v>0</v>
      </c>
      <c r="M620" s="36" t="str">
        <f>IF(Table412[[#This Row],[Exist]]=1,Table412[[#This Row],[MAT]],"")</f>
        <v/>
      </c>
      <c r="N620" s="36" t="str">
        <f>IF(Table412[[#This Row],[Exist]]=1,Table412[[#This Row],[Component]],"")</f>
        <v/>
      </c>
      <c r="O620" s="36">
        <f>IFERROR(VALUE(Table412[[#This Row],[MAT]]&amp;Table412[[#This Row],[X'#]]),IF(COUNTIF(Table412[[#This Row],[MAT]],"*M"),Table412[[#This Row],[MAT]]&amp;Table412[[#This Row],[X'#]],""))</f>
        <v>6169582</v>
      </c>
    </row>
    <row r="621" spans="1:15" x14ac:dyDescent="0.25">
      <c r="A621" s="37">
        <f t="shared" si="10"/>
        <v>121</v>
      </c>
      <c r="C621" s="38" t="s">
        <v>624</v>
      </c>
      <c r="D621" s="36" t="s">
        <v>3701</v>
      </c>
      <c r="E621" s="36">
        <v>709378</v>
      </c>
      <c r="F621" s="36">
        <v>1</v>
      </c>
      <c r="G621" s="36">
        <v>638561</v>
      </c>
      <c r="H621" s="48" t="str">
        <f>IFERROR(INDEX(Table14[],MATCH($G621,Table14[SAPNo],0),3),"")</f>
        <v>Round 1613 CT70  0.018" (S)</v>
      </c>
      <c r="I621" s="37">
        <v>25</v>
      </c>
      <c r="J621" s="37">
        <f>IF(Table412[[#This Row],[MAT]]&lt;&gt;"",COUNTIF(Table3[LEVEL 5 MAT NO.],Table412[[#This Row],[MAT]]),"")</f>
        <v>0</v>
      </c>
      <c r="K621" s="36">
        <f>IFERROR(INDEX(Table3[],MATCH($E621,Table3[LEVEL 5 MAT NO.],0),2),0)</f>
        <v>0</v>
      </c>
      <c r="L621" s="36">
        <f>Table412[[#This Row],[Quantity in BOM]]*Table412[[#This Row],[Freq]]</f>
        <v>0</v>
      </c>
      <c r="M621" s="36" t="str">
        <f>IF(Table412[[#This Row],[Exist]]=1,Table412[[#This Row],[MAT]],"")</f>
        <v/>
      </c>
      <c r="N621" s="36" t="str">
        <f>IF(Table412[[#This Row],[Exist]]=1,Table412[[#This Row],[Component]],"")</f>
        <v/>
      </c>
      <c r="O621" s="36">
        <f>IFERROR(VALUE(Table412[[#This Row],[MAT]]&amp;Table412[[#This Row],[X'#]]),IF(COUNTIF(Table412[[#This Row],[MAT]],"*M"),Table412[[#This Row],[MAT]]&amp;Table412[[#This Row],[X'#]],""))</f>
        <v>7093781</v>
      </c>
    </row>
    <row r="622" spans="1:15" x14ac:dyDescent="0.25">
      <c r="A622" s="37">
        <f t="shared" si="10"/>
        <v>121</v>
      </c>
      <c r="C622" s="38" t="s">
        <v>624</v>
      </c>
      <c r="D622" s="36" t="s">
        <v>3701</v>
      </c>
      <c r="E622" s="36">
        <v>709378</v>
      </c>
      <c r="F622" s="36">
        <v>2</v>
      </c>
      <c r="G622" s="36">
        <v>638560</v>
      </c>
      <c r="H622" s="48" t="str">
        <f>IFERROR(INDEX(Table14[],MATCH($G622,Table14[SAPNo],0),3),"")</f>
        <v>Round 1313 CT70  0.018" (S)</v>
      </c>
      <c r="I622" s="37">
        <v>15</v>
      </c>
      <c r="J622" s="37">
        <f>IF(Table412[[#This Row],[MAT]]&lt;&gt;"",COUNTIF(Table3[LEVEL 5 MAT NO.],Table412[[#This Row],[MAT]]),"")</f>
        <v>0</v>
      </c>
      <c r="K622" s="36">
        <f>IFERROR(INDEX(Table3[],MATCH($E622,Table3[LEVEL 5 MAT NO.],0),2),0)</f>
        <v>0</v>
      </c>
      <c r="L622" s="36">
        <f>Table412[[#This Row],[Quantity in BOM]]*Table412[[#This Row],[Freq]]</f>
        <v>0</v>
      </c>
      <c r="M622" s="36" t="str">
        <f>IF(Table412[[#This Row],[Exist]]=1,Table412[[#This Row],[MAT]],"")</f>
        <v/>
      </c>
      <c r="N622" s="36" t="str">
        <f>IF(Table412[[#This Row],[Exist]]=1,Table412[[#This Row],[Component]],"")</f>
        <v/>
      </c>
      <c r="O622" s="36">
        <f>IFERROR(VALUE(Table412[[#This Row],[MAT]]&amp;Table412[[#This Row],[X'#]]),IF(COUNTIF(Table412[[#This Row],[MAT]],"*M"),Table412[[#This Row],[MAT]]&amp;Table412[[#This Row],[X'#]],""))</f>
        <v>7093782</v>
      </c>
    </row>
    <row r="623" spans="1:15" x14ac:dyDescent="0.25">
      <c r="A623" s="37">
        <f t="shared" si="10"/>
        <v>121</v>
      </c>
      <c r="C623" s="38" t="s">
        <v>624</v>
      </c>
      <c r="D623" s="36" t="s">
        <v>3701</v>
      </c>
      <c r="E623" s="36">
        <v>709378</v>
      </c>
      <c r="F623" s="36">
        <v>3</v>
      </c>
      <c r="G623" s="36">
        <v>418525</v>
      </c>
      <c r="H623" s="48" t="str">
        <f>IFERROR(INDEX(Table14[],MATCH($G623,Table14[SAPNo],0),3),"")</f>
        <v>Drop In 1308 CT31   (B)</v>
      </c>
      <c r="I623" s="37">
        <v>6</v>
      </c>
      <c r="J623" s="37">
        <f>IF(Table412[[#This Row],[MAT]]&lt;&gt;"",COUNTIF(Table3[LEVEL 5 MAT NO.],Table412[[#This Row],[MAT]]),"")</f>
        <v>0</v>
      </c>
      <c r="K623" s="36">
        <f>IFERROR(INDEX(Table3[],MATCH($E623,Table3[LEVEL 5 MAT NO.],0),2),0)</f>
        <v>0</v>
      </c>
      <c r="L623" s="36">
        <f>Table412[[#This Row],[Quantity in BOM]]*Table412[[#This Row],[Freq]]</f>
        <v>0</v>
      </c>
      <c r="M623" s="36" t="str">
        <f>IF(Table412[[#This Row],[Exist]]=1,Table412[[#This Row],[MAT]],"")</f>
        <v/>
      </c>
      <c r="N623" s="36" t="str">
        <f>IF(Table412[[#This Row],[Exist]]=1,Table412[[#This Row],[Component]],"")</f>
        <v/>
      </c>
      <c r="O623" s="36">
        <f>IFERROR(VALUE(Table412[[#This Row],[MAT]]&amp;Table412[[#This Row],[X'#]]),IF(COUNTIF(Table412[[#This Row],[MAT]],"*M"),Table412[[#This Row],[MAT]]&amp;Table412[[#This Row],[X'#]],""))</f>
        <v>7093783</v>
      </c>
    </row>
    <row r="624" spans="1:15" x14ac:dyDescent="0.25">
      <c r="A624" s="37">
        <f t="shared" si="10"/>
        <v>121</v>
      </c>
      <c r="C624" s="38" t="s">
        <v>624</v>
      </c>
      <c r="D624" s="36" t="s">
        <v>3701</v>
      </c>
      <c r="E624" s="36">
        <v>709378</v>
      </c>
      <c r="F624" s="36">
        <v>4</v>
      </c>
      <c r="G624" s="36">
        <v>871781</v>
      </c>
      <c r="H624" s="48" t="str">
        <f>IFERROR(INDEX(Table14[],MATCH($G624,Table14[SAPNo],0),3),"")</f>
        <v>Round 1313 CT200  0.018" (B)</v>
      </c>
      <c r="I624" s="37">
        <v>2</v>
      </c>
      <c r="J624" s="37">
        <f>IF(Table412[[#This Row],[MAT]]&lt;&gt;"",COUNTIF(Table3[LEVEL 5 MAT NO.],Table412[[#This Row],[MAT]]),"")</f>
        <v>0</v>
      </c>
      <c r="K624" s="36">
        <f>IFERROR(INDEX(Table3[],MATCH($E624,Table3[LEVEL 5 MAT NO.],0),2),0)</f>
        <v>0</v>
      </c>
      <c r="L624" s="36">
        <f>Table412[[#This Row],[Quantity in BOM]]*Table412[[#This Row],[Freq]]</f>
        <v>0</v>
      </c>
      <c r="M624" s="36" t="str">
        <f>IF(Table412[[#This Row],[Exist]]=1,Table412[[#This Row],[MAT]],"")</f>
        <v/>
      </c>
      <c r="N624" s="36" t="str">
        <f>IF(Table412[[#This Row],[Exist]]=1,Table412[[#This Row],[Component]],"")</f>
        <v/>
      </c>
      <c r="O624" s="36">
        <f>IFERROR(VALUE(Table412[[#This Row],[MAT]]&amp;Table412[[#This Row],[X'#]]),IF(COUNTIF(Table412[[#This Row],[MAT]],"*M"),Table412[[#This Row],[MAT]]&amp;Table412[[#This Row],[X'#]],""))</f>
        <v>7093784</v>
      </c>
    </row>
    <row r="625" spans="1:15" x14ac:dyDescent="0.25">
      <c r="A625" s="37">
        <f t="shared" si="10"/>
        <v>121</v>
      </c>
      <c r="C625" s="38" t="s">
        <v>315</v>
      </c>
      <c r="D625" s="36" t="s">
        <v>314</v>
      </c>
      <c r="E625" s="36">
        <v>791391</v>
      </c>
      <c r="F625" s="36">
        <v>1</v>
      </c>
      <c r="G625" s="36">
        <v>1130221</v>
      </c>
      <c r="H625" s="48" t="str">
        <f>IFERROR(INDEX(Table14[],MATCH($G625,Table14[SAPNo],0),3),"")</f>
        <v xml:space="preserve"> 1613 CT182  10C (S)</v>
      </c>
      <c r="I625" s="37">
        <v>44</v>
      </c>
      <c r="J625" s="37">
        <f>IF(Table412[[#This Row],[MAT]]&lt;&gt;"",COUNTIF(Table3[LEVEL 5 MAT NO.],Table412[[#This Row],[MAT]]),"")</f>
        <v>0</v>
      </c>
      <c r="K625" s="36">
        <f>IFERROR(INDEX(Table3[],MATCH($E625,Table3[LEVEL 5 MAT NO.],0),2),0)</f>
        <v>0</v>
      </c>
      <c r="L625" s="36">
        <f>Table412[[#This Row],[Quantity in BOM]]*Table412[[#This Row],[Freq]]</f>
        <v>0</v>
      </c>
      <c r="M625" s="36" t="str">
        <f>IF(Table412[[#This Row],[Exist]]=1,Table412[[#This Row],[MAT]],"")</f>
        <v/>
      </c>
      <c r="N625" s="36" t="str">
        <f>IF(Table412[[#This Row],[Exist]]=1,Table412[[#This Row],[Component]],"")</f>
        <v/>
      </c>
      <c r="O625" s="36">
        <f>IFERROR(VALUE(Table412[[#This Row],[MAT]]&amp;Table412[[#This Row],[X'#]]),IF(COUNTIF(Table412[[#This Row],[MAT]],"*M"),Table412[[#This Row],[MAT]]&amp;Table412[[#This Row],[X'#]],""))</f>
        <v>7913911</v>
      </c>
    </row>
    <row r="626" spans="1:15" x14ac:dyDescent="0.25">
      <c r="A626" s="37">
        <f t="shared" si="10"/>
        <v>121</v>
      </c>
      <c r="C626" s="38" t="s">
        <v>315</v>
      </c>
      <c r="D626" s="36" t="s">
        <v>314</v>
      </c>
      <c r="E626" s="36">
        <v>791391</v>
      </c>
      <c r="F626" s="36">
        <v>2</v>
      </c>
      <c r="G626" s="36">
        <v>1134751</v>
      </c>
      <c r="H626" s="48" t="str">
        <f>IFERROR(INDEX(Table14[],MATCH($G626,Table14[SAPNo],0),3),"")</f>
        <v xml:space="preserve"> 1308 CT182  0.01 (S)</v>
      </c>
      <c r="I626" s="37">
        <v>26</v>
      </c>
      <c r="J626" s="37">
        <f>IF(Table412[[#This Row],[MAT]]&lt;&gt;"",COUNTIF(Table3[LEVEL 5 MAT NO.],Table412[[#This Row],[MAT]]),"")</f>
        <v>0</v>
      </c>
      <c r="K626" s="36">
        <f>IFERROR(INDEX(Table3[],MATCH($E626,Table3[LEVEL 5 MAT NO.],0),2),0)</f>
        <v>0</v>
      </c>
      <c r="L626" s="36">
        <f>Table412[[#This Row],[Quantity in BOM]]*Table412[[#This Row],[Freq]]</f>
        <v>0</v>
      </c>
      <c r="M626" s="36" t="str">
        <f>IF(Table412[[#This Row],[Exist]]=1,Table412[[#This Row],[MAT]],"")</f>
        <v/>
      </c>
      <c r="N626" s="36" t="str">
        <f>IF(Table412[[#This Row],[Exist]]=1,Table412[[#This Row],[Component]],"")</f>
        <v/>
      </c>
      <c r="O626" s="36">
        <f>IFERROR(VALUE(Table412[[#This Row],[MAT]]&amp;Table412[[#This Row],[X'#]]),IF(COUNTIF(Table412[[#This Row],[MAT]],"*M"),Table412[[#This Row],[MAT]]&amp;Table412[[#This Row],[X'#]],""))</f>
        <v>7913912</v>
      </c>
    </row>
    <row r="627" spans="1:15" x14ac:dyDescent="0.25">
      <c r="A627" s="37">
        <f t="shared" si="10"/>
        <v>121</v>
      </c>
      <c r="C627" s="38" t="s">
        <v>315</v>
      </c>
      <c r="D627" s="36" t="s">
        <v>314</v>
      </c>
      <c r="E627" s="36">
        <v>791391</v>
      </c>
      <c r="F627" s="36">
        <v>3</v>
      </c>
      <c r="G627" s="36">
        <v>703671</v>
      </c>
      <c r="H627" s="48" t="str">
        <f>IFERROR(INDEX(Table14[],MATCH($G627,Table14[SAPNo],0),3),"")</f>
        <v>Round 1613 CT200  10C (B)</v>
      </c>
      <c r="I627" s="37">
        <v>6</v>
      </c>
      <c r="J627" s="37">
        <f>IF(Table412[[#This Row],[MAT]]&lt;&gt;"",COUNTIF(Table3[LEVEL 5 MAT NO.],Table412[[#This Row],[MAT]]),"")</f>
        <v>0</v>
      </c>
      <c r="K627" s="36">
        <f>IFERROR(INDEX(Table3[],MATCH($E627,Table3[LEVEL 5 MAT NO.],0),2),0)</f>
        <v>0</v>
      </c>
      <c r="L627" s="36">
        <f>Table412[[#This Row],[Quantity in BOM]]*Table412[[#This Row],[Freq]]</f>
        <v>0</v>
      </c>
      <c r="M627" s="36" t="str">
        <f>IF(Table412[[#This Row],[Exist]]=1,Table412[[#This Row],[MAT]],"")</f>
        <v/>
      </c>
      <c r="N627" s="36" t="str">
        <f>IF(Table412[[#This Row],[Exist]]=1,Table412[[#This Row],[Component]],"")</f>
        <v/>
      </c>
      <c r="O627" s="36">
        <f>IFERROR(VALUE(Table412[[#This Row],[MAT]]&amp;Table412[[#This Row],[X'#]]),IF(COUNTIF(Table412[[#This Row],[MAT]],"*M"),Table412[[#This Row],[MAT]]&amp;Table412[[#This Row],[X'#]],""))</f>
        <v>7913913</v>
      </c>
    </row>
    <row r="628" spans="1:15" x14ac:dyDescent="0.25">
      <c r="A628" s="37">
        <f t="shared" si="10"/>
        <v>121</v>
      </c>
      <c r="C628" s="38" t="s">
        <v>315</v>
      </c>
      <c r="D628" s="36" t="s">
        <v>314</v>
      </c>
      <c r="E628" s="36">
        <v>791391</v>
      </c>
      <c r="F628" s="36">
        <v>4</v>
      </c>
      <c r="G628" s="36">
        <v>717749</v>
      </c>
      <c r="H628" s="48" t="str">
        <f>IFERROR(INDEX(Table14[],MATCH($G628,Table14[SAPNo],0),3),"")</f>
        <v>Round 1308 CT200  10C (B)</v>
      </c>
      <c r="I628" s="37">
        <v>6</v>
      </c>
      <c r="J628" s="37">
        <f>IF(Table412[[#This Row],[MAT]]&lt;&gt;"",COUNTIF(Table3[LEVEL 5 MAT NO.],Table412[[#This Row],[MAT]]),"")</f>
        <v>0</v>
      </c>
      <c r="K628" s="36">
        <f>IFERROR(INDEX(Table3[],MATCH($E628,Table3[LEVEL 5 MAT NO.],0),2),0)</f>
        <v>0</v>
      </c>
      <c r="L628" s="36">
        <f>Table412[[#This Row],[Quantity in BOM]]*Table412[[#This Row],[Freq]]</f>
        <v>0</v>
      </c>
      <c r="M628" s="36" t="str">
        <f>IF(Table412[[#This Row],[Exist]]=1,Table412[[#This Row],[MAT]],"")</f>
        <v/>
      </c>
      <c r="N628" s="36" t="str">
        <f>IF(Table412[[#This Row],[Exist]]=1,Table412[[#This Row],[Component]],"")</f>
        <v/>
      </c>
      <c r="O628" s="36">
        <f>IFERROR(VALUE(Table412[[#This Row],[MAT]]&amp;Table412[[#This Row],[X'#]]),IF(COUNTIF(Table412[[#This Row],[MAT]],"*M"),Table412[[#This Row],[MAT]]&amp;Table412[[#This Row],[X'#]],""))</f>
        <v>7913914</v>
      </c>
    </row>
    <row r="629" spans="1:15" x14ac:dyDescent="0.25">
      <c r="A629" s="37">
        <f t="shared" si="10"/>
        <v>121</v>
      </c>
      <c r="C629" s="38" t="s">
        <v>315</v>
      </c>
      <c r="D629" s="36" t="s">
        <v>314</v>
      </c>
      <c r="E629" s="36">
        <v>791391</v>
      </c>
      <c r="F629" s="36">
        <v>5</v>
      </c>
      <c r="G629" s="36">
        <v>871781</v>
      </c>
      <c r="H629" s="48" t="str">
        <f>IFERROR(INDEX(Table14[],MATCH($G629,Table14[SAPNo],0),3),"")</f>
        <v>Round 1313 CT200  0.018" (B)</v>
      </c>
      <c r="I629" s="37">
        <v>3</v>
      </c>
      <c r="J629" s="37">
        <f>IF(Table412[[#This Row],[MAT]]&lt;&gt;"",COUNTIF(Table3[LEVEL 5 MAT NO.],Table412[[#This Row],[MAT]]),"")</f>
        <v>0</v>
      </c>
      <c r="K629" s="36">
        <f>IFERROR(INDEX(Table3[],MATCH($E629,Table3[LEVEL 5 MAT NO.],0),2),0)</f>
        <v>0</v>
      </c>
      <c r="L629" s="36">
        <f>Table412[[#This Row],[Quantity in BOM]]*Table412[[#This Row],[Freq]]</f>
        <v>0</v>
      </c>
      <c r="M629" s="36" t="str">
        <f>IF(Table412[[#This Row],[Exist]]=1,Table412[[#This Row],[MAT]],"")</f>
        <v/>
      </c>
      <c r="N629" s="36" t="str">
        <f>IF(Table412[[#This Row],[Exist]]=1,Table412[[#This Row],[Component]],"")</f>
        <v/>
      </c>
      <c r="O629" s="36">
        <f>IFERROR(VALUE(Table412[[#This Row],[MAT]]&amp;Table412[[#This Row],[X'#]]),IF(COUNTIF(Table412[[#This Row],[MAT]],"*M"),Table412[[#This Row],[MAT]]&amp;Table412[[#This Row],[X'#]],""))</f>
        <v>7913915</v>
      </c>
    </row>
    <row r="630" spans="1:15" x14ac:dyDescent="0.25">
      <c r="A630" s="37">
        <f t="shared" si="10"/>
        <v>121</v>
      </c>
      <c r="C630" s="38" t="s">
        <v>315</v>
      </c>
      <c r="D630" s="36" t="s">
        <v>314</v>
      </c>
      <c r="E630" s="36">
        <v>791391</v>
      </c>
      <c r="F630" s="36">
        <v>6</v>
      </c>
      <c r="G630" s="36">
        <v>418525</v>
      </c>
      <c r="H630" s="48" t="str">
        <f>IFERROR(INDEX(Table14[],MATCH($G630,Table14[SAPNo],0),3),"")</f>
        <v>Drop In 1308 CT31   (B)</v>
      </c>
      <c r="I630" s="37">
        <v>9</v>
      </c>
      <c r="J630" s="37">
        <f>IF(Table412[[#This Row],[MAT]]&lt;&gt;"",COUNTIF(Table3[LEVEL 5 MAT NO.],Table412[[#This Row],[MAT]]),"")</f>
        <v>0</v>
      </c>
      <c r="K630" s="36">
        <f>IFERROR(INDEX(Table3[],MATCH($E630,Table3[LEVEL 5 MAT NO.],0),2),0)</f>
        <v>0</v>
      </c>
      <c r="L630" s="36">
        <f>Table412[[#This Row],[Quantity in BOM]]*Table412[[#This Row],[Freq]]</f>
        <v>0</v>
      </c>
      <c r="M630" s="36" t="str">
        <f>IF(Table412[[#This Row],[Exist]]=1,Table412[[#This Row],[MAT]],"")</f>
        <v/>
      </c>
      <c r="N630" s="36" t="str">
        <f>IF(Table412[[#This Row],[Exist]]=1,Table412[[#This Row],[Component]],"")</f>
        <v/>
      </c>
      <c r="O630" s="36">
        <f>IFERROR(VALUE(Table412[[#This Row],[MAT]]&amp;Table412[[#This Row],[X'#]]),IF(COUNTIF(Table412[[#This Row],[MAT]],"*M"),Table412[[#This Row],[MAT]]&amp;Table412[[#This Row],[X'#]],""))</f>
        <v>7913916</v>
      </c>
    </row>
    <row r="631" spans="1:15" x14ac:dyDescent="0.25">
      <c r="A631" s="37">
        <f t="shared" si="10"/>
        <v>121</v>
      </c>
      <c r="C631" s="38" t="s">
        <v>313</v>
      </c>
      <c r="D631" s="36" t="s">
        <v>314</v>
      </c>
      <c r="E631" s="36">
        <v>791867</v>
      </c>
      <c r="F631" s="36">
        <v>1</v>
      </c>
      <c r="G631" s="36">
        <v>1130221</v>
      </c>
      <c r="H631" s="48" t="str">
        <f>IFERROR(INDEX(Table14[],MATCH($G631,Table14[SAPNo],0),3),"")</f>
        <v xml:space="preserve"> 1613 CT182  10C (S)</v>
      </c>
      <c r="I631" s="37">
        <v>30</v>
      </c>
      <c r="J631" s="37">
        <f>IF(Table412[[#This Row],[MAT]]&lt;&gt;"",COUNTIF(Table3[LEVEL 5 MAT NO.],Table412[[#This Row],[MAT]]),"")</f>
        <v>0</v>
      </c>
      <c r="K631" s="36">
        <f>IFERROR(INDEX(Table3[],MATCH($E631,Table3[LEVEL 5 MAT NO.],0),2),0)</f>
        <v>0</v>
      </c>
      <c r="L631" s="36">
        <f>Table412[[#This Row],[Quantity in BOM]]*Table412[[#This Row],[Freq]]</f>
        <v>0</v>
      </c>
      <c r="M631" s="36" t="str">
        <f>IF(Table412[[#This Row],[Exist]]=1,Table412[[#This Row],[MAT]],"")</f>
        <v/>
      </c>
      <c r="N631" s="36" t="str">
        <f>IF(Table412[[#This Row],[Exist]]=1,Table412[[#This Row],[Component]],"")</f>
        <v/>
      </c>
      <c r="O631" s="36">
        <f>IFERROR(VALUE(Table412[[#This Row],[MAT]]&amp;Table412[[#This Row],[X'#]]),IF(COUNTIF(Table412[[#This Row],[MAT]],"*M"),Table412[[#This Row],[MAT]]&amp;Table412[[#This Row],[X'#]],""))</f>
        <v>7918671</v>
      </c>
    </row>
    <row r="632" spans="1:15" x14ac:dyDescent="0.25">
      <c r="A632" s="37">
        <f t="shared" si="10"/>
        <v>121</v>
      </c>
      <c r="C632" s="38" t="s">
        <v>313</v>
      </c>
      <c r="D632" s="36" t="s">
        <v>314</v>
      </c>
      <c r="E632" s="36">
        <v>791867</v>
      </c>
      <c r="F632" s="36">
        <v>2</v>
      </c>
      <c r="G632" s="36">
        <v>1130219</v>
      </c>
      <c r="H632" s="48" t="str">
        <f>IFERROR(INDEX(Table14[],MATCH($G632,Table14[SAPNo],0),3),"")</f>
        <v>Round 1313 CT182  10C (S)</v>
      </c>
      <c r="I632" s="37">
        <v>26</v>
      </c>
      <c r="J632" s="37">
        <f>IF(Table412[[#This Row],[MAT]]&lt;&gt;"",COUNTIF(Table3[LEVEL 5 MAT NO.],Table412[[#This Row],[MAT]]),"")</f>
        <v>0</v>
      </c>
      <c r="K632" s="36">
        <f>IFERROR(INDEX(Table3[],MATCH($E632,Table3[LEVEL 5 MAT NO.],0),2),0)</f>
        <v>0</v>
      </c>
      <c r="L632" s="36">
        <f>Table412[[#This Row],[Quantity in BOM]]*Table412[[#This Row],[Freq]]</f>
        <v>0</v>
      </c>
      <c r="M632" s="36" t="str">
        <f>IF(Table412[[#This Row],[Exist]]=1,Table412[[#This Row],[MAT]],"")</f>
        <v/>
      </c>
      <c r="N632" s="36" t="str">
        <f>IF(Table412[[#This Row],[Exist]]=1,Table412[[#This Row],[Component]],"")</f>
        <v/>
      </c>
      <c r="O632" s="36">
        <f>IFERROR(VALUE(Table412[[#This Row],[MAT]]&amp;Table412[[#This Row],[X'#]]),IF(COUNTIF(Table412[[#This Row],[MAT]],"*M"),Table412[[#This Row],[MAT]]&amp;Table412[[#This Row],[X'#]],""))</f>
        <v>7918672</v>
      </c>
    </row>
    <row r="633" spans="1:15" x14ac:dyDescent="0.25">
      <c r="A633" s="37">
        <f t="shared" si="10"/>
        <v>121</v>
      </c>
      <c r="C633" s="38" t="s">
        <v>313</v>
      </c>
      <c r="D633" s="36" t="s">
        <v>314</v>
      </c>
      <c r="E633" s="36">
        <v>791867</v>
      </c>
      <c r="F633" s="36">
        <v>3</v>
      </c>
      <c r="G633" s="36">
        <v>1134751</v>
      </c>
      <c r="H633" s="48" t="str">
        <f>IFERROR(INDEX(Table14[],MATCH($G633,Table14[SAPNo],0),3),"")</f>
        <v xml:space="preserve"> 1308 CT182  0.01 (S)</v>
      </c>
      <c r="I633" s="37">
        <v>6</v>
      </c>
      <c r="J633" s="37">
        <f>IF(Table412[[#This Row],[MAT]]&lt;&gt;"",COUNTIF(Table3[LEVEL 5 MAT NO.],Table412[[#This Row],[MAT]]),"")</f>
        <v>0</v>
      </c>
      <c r="K633" s="36">
        <f>IFERROR(INDEX(Table3[],MATCH($E633,Table3[LEVEL 5 MAT NO.],0),2),0)</f>
        <v>0</v>
      </c>
      <c r="L633" s="36">
        <f>Table412[[#This Row],[Quantity in BOM]]*Table412[[#This Row],[Freq]]</f>
        <v>0</v>
      </c>
      <c r="M633" s="36" t="str">
        <f>IF(Table412[[#This Row],[Exist]]=1,Table412[[#This Row],[MAT]],"")</f>
        <v/>
      </c>
      <c r="N633" s="36" t="str">
        <f>IF(Table412[[#This Row],[Exist]]=1,Table412[[#This Row],[Component]],"")</f>
        <v/>
      </c>
      <c r="O633" s="36">
        <f>IFERROR(VALUE(Table412[[#This Row],[MAT]]&amp;Table412[[#This Row],[X'#]]),IF(COUNTIF(Table412[[#This Row],[MAT]],"*M"),Table412[[#This Row],[MAT]]&amp;Table412[[#This Row],[X'#]],""))</f>
        <v>7918673</v>
      </c>
    </row>
    <row r="634" spans="1:15" x14ac:dyDescent="0.25">
      <c r="A634" s="37">
        <f t="shared" si="10"/>
        <v>121</v>
      </c>
      <c r="C634" s="38" t="s">
        <v>313</v>
      </c>
      <c r="D634" s="36" t="s">
        <v>314</v>
      </c>
      <c r="E634" s="36">
        <v>791867</v>
      </c>
      <c r="F634" s="36">
        <v>4</v>
      </c>
      <c r="G634" s="36">
        <v>871781</v>
      </c>
      <c r="H634" s="48" t="str">
        <f>IFERROR(INDEX(Table14[],MATCH($G634,Table14[SAPNo],0),3),"")</f>
        <v>Round 1313 CT200  0.018" (B)</v>
      </c>
      <c r="I634" s="37">
        <v>3</v>
      </c>
      <c r="J634" s="37">
        <f>IF(Table412[[#This Row],[MAT]]&lt;&gt;"",COUNTIF(Table3[LEVEL 5 MAT NO.],Table412[[#This Row],[MAT]]),"")</f>
        <v>0</v>
      </c>
      <c r="K634" s="36">
        <f>IFERROR(INDEX(Table3[],MATCH($E634,Table3[LEVEL 5 MAT NO.],0),2),0)</f>
        <v>0</v>
      </c>
      <c r="L634" s="36">
        <f>Table412[[#This Row],[Quantity in BOM]]*Table412[[#This Row],[Freq]]</f>
        <v>0</v>
      </c>
      <c r="M634" s="36" t="str">
        <f>IF(Table412[[#This Row],[Exist]]=1,Table412[[#This Row],[MAT]],"")</f>
        <v/>
      </c>
      <c r="N634" s="36" t="str">
        <f>IF(Table412[[#This Row],[Exist]]=1,Table412[[#This Row],[Component]],"")</f>
        <v/>
      </c>
      <c r="O634" s="36">
        <f>IFERROR(VALUE(Table412[[#This Row],[MAT]]&amp;Table412[[#This Row],[X'#]]),IF(COUNTIF(Table412[[#This Row],[MAT]],"*M"),Table412[[#This Row],[MAT]]&amp;Table412[[#This Row],[X'#]],""))</f>
        <v>7918674</v>
      </c>
    </row>
    <row r="635" spans="1:15" x14ac:dyDescent="0.25">
      <c r="A635" s="37">
        <f t="shared" si="10"/>
        <v>121</v>
      </c>
      <c r="C635" s="38" t="s">
        <v>313</v>
      </c>
      <c r="D635" s="36" t="s">
        <v>314</v>
      </c>
      <c r="E635" s="36">
        <v>791867</v>
      </c>
      <c r="F635" s="36">
        <v>5</v>
      </c>
      <c r="G635" s="36">
        <v>418525</v>
      </c>
      <c r="H635" s="48" t="str">
        <f>IFERROR(INDEX(Table14[],MATCH($G635,Table14[SAPNo],0),3),"")</f>
        <v>Drop In 1308 CT31   (B)</v>
      </c>
      <c r="I635" s="37">
        <v>9</v>
      </c>
      <c r="J635" s="37">
        <f>IF(Table412[[#This Row],[MAT]]&lt;&gt;"",COUNTIF(Table3[LEVEL 5 MAT NO.],Table412[[#This Row],[MAT]]),"")</f>
        <v>0</v>
      </c>
      <c r="K635" s="36">
        <f>IFERROR(INDEX(Table3[],MATCH($E635,Table3[LEVEL 5 MAT NO.],0),2),0)</f>
        <v>0</v>
      </c>
      <c r="L635" s="36">
        <f>Table412[[#This Row],[Quantity in BOM]]*Table412[[#This Row],[Freq]]</f>
        <v>0</v>
      </c>
      <c r="M635" s="36" t="str">
        <f>IF(Table412[[#This Row],[Exist]]=1,Table412[[#This Row],[MAT]],"")</f>
        <v/>
      </c>
      <c r="N635" s="36" t="str">
        <f>IF(Table412[[#This Row],[Exist]]=1,Table412[[#This Row],[Component]],"")</f>
        <v/>
      </c>
      <c r="O635" s="36">
        <f>IFERROR(VALUE(Table412[[#This Row],[MAT]]&amp;Table412[[#This Row],[X'#]]),IF(COUNTIF(Table412[[#This Row],[MAT]],"*M"),Table412[[#This Row],[MAT]]&amp;Table412[[#This Row],[X'#]],""))</f>
        <v>7918675</v>
      </c>
    </row>
    <row r="636" spans="1:15" x14ac:dyDescent="0.25">
      <c r="A636" s="37">
        <f t="shared" si="10"/>
        <v>121</v>
      </c>
      <c r="C636" s="38">
        <v>12</v>
      </c>
      <c r="D636" s="36" t="s">
        <v>3697</v>
      </c>
      <c r="E636" s="36">
        <v>887309</v>
      </c>
      <c r="F636" s="36">
        <v>1</v>
      </c>
      <c r="G636" s="36">
        <v>745576</v>
      </c>
      <c r="H636" s="48" t="str">
        <f>IFERROR(INDEX(Table14[],MATCH($G636,Table14[SAPNo],0),3),"")</f>
        <v>Round 1913 CT82  0.018" (S)</v>
      </c>
      <c r="I636" s="37">
        <v>82</v>
      </c>
      <c r="J636" s="37">
        <f>IF(Table412[[#This Row],[MAT]]&lt;&gt;"",COUNTIF(Table3[LEVEL 5 MAT NO.],Table412[[#This Row],[MAT]]),"")</f>
        <v>0</v>
      </c>
      <c r="K636" s="36">
        <f>IFERROR(INDEX(Table3[],MATCH($E636,Table3[LEVEL 5 MAT NO.],0),2),0)</f>
        <v>0</v>
      </c>
      <c r="L636" s="36">
        <f>Table412[[#This Row],[Quantity in BOM]]*Table412[[#This Row],[Freq]]</f>
        <v>0</v>
      </c>
      <c r="M636" s="36" t="str">
        <f>IF(Table412[[#This Row],[Exist]]=1,Table412[[#This Row],[MAT]],"")</f>
        <v/>
      </c>
      <c r="N636" s="36" t="str">
        <f>IF(Table412[[#This Row],[Exist]]=1,Table412[[#This Row],[Component]],"")</f>
        <v/>
      </c>
      <c r="O636" s="36">
        <f>IFERROR(VALUE(Table412[[#This Row],[MAT]]&amp;Table412[[#This Row],[X'#]]),IF(COUNTIF(Table412[[#This Row],[MAT]],"*M"),Table412[[#This Row],[MAT]]&amp;Table412[[#This Row],[X'#]],""))</f>
        <v>8873091</v>
      </c>
    </row>
    <row r="637" spans="1:15" x14ac:dyDescent="0.25">
      <c r="A637" s="37">
        <f t="shared" si="10"/>
        <v>121</v>
      </c>
      <c r="C637" s="38">
        <v>12</v>
      </c>
      <c r="D637" s="36" t="s">
        <v>3697</v>
      </c>
      <c r="E637" s="36">
        <v>887309</v>
      </c>
      <c r="F637" s="36">
        <v>2</v>
      </c>
      <c r="G637" s="36">
        <v>729691</v>
      </c>
      <c r="H637" s="48" t="str">
        <f>IFERROR(INDEX(Table14[],MATCH($G637,Table14[SAPNo],0),3),"")</f>
        <v>Round 1613 CT82  0.018" (S)</v>
      </c>
      <c r="I637" s="37">
        <v>9</v>
      </c>
      <c r="J637" s="37">
        <f>IF(Table412[[#This Row],[MAT]]&lt;&gt;"",COUNTIF(Table3[LEVEL 5 MAT NO.],Table412[[#This Row],[MAT]]),"")</f>
        <v>0</v>
      </c>
      <c r="K637" s="36">
        <f>IFERROR(INDEX(Table3[],MATCH($E637,Table3[LEVEL 5 MAT NO.],0),2),0)</f>
        <v>0</v>
      </c>
      <c r="L637" s="36">
        <f>Table412[[#This Row],[Quantity in BOM]]*Table412[[#This Row],[Freq]]</f>
        <v>0</v>
      </c>
      <c r="M637" s="36" t="str">
        <f>IF(Table412[[#This Row],[Exist]]=1,Table412[[#This Row],[MAT]],"")</f>
        <v/>
      </c>
      <c r="N637" s="36" t="str">
        <f>IF(Table412[[#This Row],[Exist]]=1,Table412[[#This Row],[Component]],"")</f>
        <v/>
      </c>
      <c r="O637" s="36">
        <f>IFERROR(VALUE(Table412[[#This Row],[MAT]]&amp;Table412[[#This Row],[X'#]]),IF(COUNTIF(Table412[[#This Row],[MAT]],"*M"),Table412[[#This Row],[MAT]]&amp;Table412[[#This Row],[X'#]],""))</f>
        <v>8873092</v>
      </c>
    </row>
    <row r="638" spans="1:15" x14ac:dyDescent="0.25">
      <c r="A638" s="37">
        <f t="shared" si="10"/>
        <v>121</v>
      </c>
      <c r="C638" s="38">
        <v>12</v>
      </c>
      <c r="D638" s="36" t="s">
        <v>3697</v>
      </c>
      <c r="E638" s="36">
        <v>887309</v>
      </c>
      <c r="F638" s="36">
        <v>3</v>
      </c>
      <c r="G638" s="36">
        <v>871781</v>
      </c>
      <c r="H638" s="48" t="str">
        <f>IFERROR(INDEX(Table14[],MATCH($G638,Table14[SAPNo],0),3),"")</f>
        <v>Round 1313 CT200  0.018" (B)</v>
      </c>
      <c r="I638" s="37">
        <v>4</v>
      </c>
      <c r="J638" s="37">
        <f>IF(Table412[[#This Row],[MAT]]&lt;&gt;"",COUNTIF(Table3[LEVEL 5 MAT NO.],Table412[[#This Row],[MAT]]),"")</f>
        <v>0</v>
      </c>
      <c r="K638" s="36">
        <f>IFERROR(INDEX(Table3[],MATCH($E638,Table3[LEVEL 5 MAT NO.],0),2),0)</f>
        <v>0</v>
      </c>
      <c r="L638" s="36">
        <f>Table412[[#This Row],[Quantity in BOM]]*Table412[[#This Row],[Freq]]</f>
        <v>0</v>
      </c>
      <c r="M638" s="36" t="str">
        <f>IF(Table412[[#This Row],[Exist]]=1,Table412[[#This Row],[MAT]],"")</f>
        <v/>
      </c>
      <c r="N638" s="36" t="str">
        <f>IF(Table412[[#This Row],[Exist]]=1,Table412[[#This Row],[Component]],"")</f>
        <v/>
      </c>
      <c r="O638" s="36">
        <f>IFERROR(VALUE(Table412[[#This Row],[MAT]]&amp;Table412[[#This Row],[X'#]]),IF(COUNTIF(Table412[[#This Row],[MAT]],"*M"),Table412[[#This Row],[MAT]]&amp;Table412[[#This Row],[X'#]],""))</f>
        <v>8873093</v>
      </c>
    </row>
    <row r="639" spans="1:15" x14ac:dyDescent="0.25">
      <c r="A639" s="37">
        <f t="shared" si="10"/>
        <v>121</v>
      </c>
      <c r="C639" s="38">
        <v>12</v>
      </c>
      <c r="D639" s="36" t="s">
        <v>3697</v>
      </c>
      <c r="E639" s="36">
        <v>887309</v>
      </c>
      <c r="F639" s="36">
        <v>4</v>
      </c>
      <c r="G639" s="36">
        <v>418525</v>
      </c>
      <c r="H639" s="48" t="str">
        <f>IFERROR(INDEX(Table14[],MATCH($G639,Table14[SAPNo],0),3),"")</f>
        <v>Drop In 1308 CT31   (B)</v>
      </c>
      <c r="I639" s="37">
        <v>12</v>
      </c>
      <c r="J639" s="37">
        <f>IF(Table412[[#This Row],[MAT]]&lt;&gt;"",COUNTIF(Table3[LEVEL 5 MAT NO.],Table412[[#This Row],[MAT]]),"")</f>
        <v>0</v>
      </c>
      <c r="K639" s="36">
        <f>IFERROR(INDEX(Table3[],MATCH($E639,Table3[LEVEL 5 MAT NO.],0),2),0)</f>
        <v>0</v>
      </c>
      <c r="L639" s="36">
        <f>Table412[[#This Row],[Quantity in BOM]]*Table412[[#This Row],[Freq]]</f>
        <v>0</v>
      </c>
      <c r="M639" s="36" t="str">
        <f>IF(Table412[[#This Row],[Exist]]=1,Table412[[#This Row],[MAT]],"")</f>
        <v/>
      </c>
      <c r="N639" s="36" t="str">
        <f>IF(Table412[[#This Row],[Exist]]=1,Table412[[#This Row],[Component]],"")</f>
        <v/>
      </c>
      <c r="O639" s="36">
        <f>IFERROR(VALUE(Table412[[#This Row],[MAT]]&amp;Table412[[#This Row],[X'#]]),IF(COUNTIF(Table412[[#This Row],[MAT]],"*M"),Table412[[#This Row],[MAT]]&amp;Table412[[#This Row],[X'#]],""))</f>
        <v>8873094</v>
      </c>
    </row>
    <row r="640" spans="1:15" x14ac:dyDescent="0.25">
      <c r="A640" s="37">
        <f t="shared" si="10"/>
        <v>121</v>
      </c>
      <c r="C640" s="38" t="s">
        <v>313</v>
      </c>
      <c r="D640" s="36" t="s">
        <v>314</v>
      </c>
      <c r="E640" s="36">
        <v>979843</v>
      </c>
      <c r="F640" s="36">
        <v>1</v>
      </c>
      <c r="G640" s="36">
        <v>729691</v>
      </c>
      <c r="H640" s="48" t="str">
        <f>IFERROR(INDEX(Table14[],MATCH($G640,Table14[SAPNo],0),3),"")</f>
        <v>Round 1613 CT82  0.018" (S)</v>
      </c>
      <c r="I640" s="37">
        <v>33</v>
      </c>
      <c r="J640" s="37">
        <f>IF(Table412[[#This Row],[MAT]]&lt;&gt;"",COUNTIF(Table3[LEVEL 5 MAT NO.],Table412[[#This Row],[MAT]]),"")</f>
        <v>0</v>
      </c>
      <c r="K640" s="36">
        <f>IFERROR(INDEX(Table3[],MATCH($E640,Table3[LEVEL 5 MAT NO.],0),2),0)</f>
        <v>0</v>
      </c>
      <c r="L640" s="36">
        <f>Table412[[#This Row],[Quantity in BOM]]*Table412[[#This Row],[Freq]]</f>
        <v>0</v>
      </c>
      <c r="M640" s="36" t="str">
        <f>IF(Table412[[#This Row],[Exist]]=1,Table412[[#This Row],[MAT]],"")</f>
        <v/>
      </c>
      <c r="N640" s="36" t="str">
        <f>IF(Table412[[#This Row],[Exist]]=1,Table412[[#This Row],[Component]],"")</f>
        <v/>
      </c>
      <c r="O640" s="36">
        <f>IFERROR(VALUE(Table412[[#This Row],[MAT]]&amp;Table412[[#This Row],[X'#]]),IF(COUNTIF(Table412[[#This Row],[MAT]],"*M"),Table412[[#This Row],[MAT]]&amp;Table412[[#This Row],[X'#]],""))</f>
        <v>9798431</v>
      </c>
    </row>
    <row r="641" spans="1:15" x14ac:dyDescent="0.25">
      <c r="A641" s="37">
        <f t="shared" si="10"/>
        <v>121</v>
      </c>
      <c r="C641" s="38" t="s">
        <v>313</v>
      </c>
      <c r="D641" s="36" t="s">
        <v>314</v>
      </c>
      <c r="E641" s="36">
        <v>979843</v>
      </c>
      <c r="F641" s="36">
        <v>2</v>
      </c>
      <c r="G641" s="36">
        <v>729690</v>
      </c>
      <c r="H641" s="48" t="str">
        <f>IFERROR(INDEX(Table14[],MATCH($G641,Table14[SAPNo],0),3),"")</f>
        <v>Round 1608 CT82  0.018" (S)</v>
      </c>
      <c r="I641" s="37">
        <v>23</v>
      </c>
      <c r="J641" s="37">
        <f>IF(Table412[[#This Row],[MAT]]&lt;&gt;"",COUNTIF(Table3[LEVEL 5 MAT NO.],Table412[[#This Row],[MAT]]),"")</f>
        <v>0</v>
      </c>
      <c r="K641" s="36">
        <f>IFERROR(INDEX(Table3[],MATCH($E641,Table3[LEVEL 5 MAT NO.],0),2),0)</f>
        <v>0</v>
      </c>
      <c r="L641" s="36">
        <f>Table412[[#This Row],[Quantity in BOM]]*Table412[[#This Row],[Freq]]</f>
        <v>0</v>
      </c>
      <c r="M641" s="36" t="str">
        <f>IF(Table412[[#This Row],[Exist]]=1,Table412[[#This Row],[MAT]],"")</f>
        <v/>
      </c>
      <c r="N641" s="36" t="str">
        <f>IF(Table412[[#This Row],[Exist]]=1,Table412[[#This Row],[Component]],"")</f>
        <v/>
      </c>
      <c r="O641" s="36">
        <f>IFERROR(VALUE(Table412[[#This Row],[MAT]]&amp;Table412[[#This Row],[X'#]]),IF(COUNTIF(Table412[[#This Row],[MAT]],"*M"),Table412[[#This Row],[MAT]]&amp;Table412[[#This Row],[X'#]],""))</f>
        <v>9798432</v>
      </c>
    </row>
    <row r="642" spans="1:15" x14ac:dyDescent="0.25">
      <c r="A642" s="37">
        <f t="shared" si="10"/>
        <v>121</v>
      </c>
      <c r="C642" s="38" t="s">
        <v>313</v>
      </c>
      <c r="D642" s="36" t="s">
        <v>314</v>
      </c>
      <c r="E642" s="36">
        <v>979843</v>
      </c>
      <c r="F642" s="36">
        <v>3</v>
      </c>
      <c r="G642" s="36">
        <v>418525</v>
      </c>
      <c r="H642" s="48" t="str">
        <f>IFERROR(INDEX(Table14[],MATCH($G642,Table14[SAPNo],0),3),"")</f>
        <v>Drop In 1308 CT31   (B)</v>
      </c>
      <c r="I642" s="37">
        <v>12</v>
      </c>
      <c r="J642" s="37">
        <f>IF(Table412[[#This Row],[MAT]]&lt;&gt;"",COUNTIF(Table3[LEVEL 5 MAT NO.],Table412[[#This Row],[MAT]]),"")</f>
        <v>0</v>
      </c>
      <c r="K642" s="36">
        <f>IFERROR(INDEX(Table3[],MATCH($E642,Table3[LEVEL 5 MAT NO.],0),2),0)</f>
        <v>0</v>
      </c>
      <c r="L642" s="36">
        <f>Table412[[#This Row],[Quantity in BOM]]*Table412[[#This Row],[Freq]]</f>
        <v>0</v>
      </c>
      <c r="M642" s="36" t="str">
        <f>IF(Table412[[#This Row],[Exist]]=1,Table412[[#This Row],[MAT]],"")</f>
        <v/>
      </c>
      <c r="N642" s="36" t="str">
        <f>IF(Table412[[#This Row],[Exist]]=1,Table412[[#This Row],[Component]],"")</f>
        <v/>
      </c>
      <c r="O642" s="36">
        <f>IFERROR(VALUE(Table412[[#This Row],[MAT]]&amp;Table412[[#This Row],[X'#]]),IF(COUNTIF(Table412[[#This Row],[MAT]],"*M"),Table412[[#This Row],[MAT]]&amp;Table412[[#This Row],[X'#]],""))</f>
        <v>9798433</v>
      </c>
    </row>
    <row r="643" spans="1:15" x14ac:dyDescent="0.25">
      <c r="A643" s="37">
        <f t="shared" si="10"/>
        <v>121</v>
      </c>
      <c r="C643" s="36" t="s">
        <v>313</v>
      </c>
      <c r="D643" s="36" t="s">
        <v>3698</v>
      </c>
      <c r="E643" s="36">
        <v>1006037</v>
      </c>
      <c r="F643" s="36">
        <v>1</v>
      </c>
      <c r="G643" s="36">
        <v>1130198</v>
      </c>
      <c r="H643" s="48" t="str">
        <f>IFERROR(INDEX(Table14[],MATCH($G643,Table14[SAPNo],0),3),"")</f>
        <v>Round 1613 CT182  0.018" (S)</v>
      </c>
      <c r="I643" s="37">
        <v>30</v>
      </c>
      <c r="J643" s="37">
        <f>IF(Table412[[#This Row],[MAT]]&lt;&gt;"",COUNTIF(Table3[LEVEL 5 MAT NO.],Table412[[#This Row],[MAT]]),"")</f>
        <v>0</v>
      </c>
      <c r="K643" s="36">
        <f>IFERROR(INDEX(Table3[],MATCH($E643,Table3[LEVEL 5 MAT NO.],0),2),0)</f>
        <v>0</v>
      </c>
      <c r="L643" s="36">
        <f>Table412[[#This Row],[Quantity in BOM]]*Table412[[#This Row],[Freq]]</f>
        <v>0</v>
      </c>
      <c r="M643" s="36" t="str">
        <f>IF(Table412[[#This Row],[Exist]]=1,Table412[[#This Row],[MAT]],"")</f>
        <v/>
      </c>
      <c r="N643" s="36" t="str">
        <f>IF(Table412[[#This Row],[Exist]]=1,Table412[[#This Row],[Component]],"")</f>
        <v/>
      </c>
      <c r="O643" s="36">
        <f>IFERROR(VALUE(Table412[[#This Row],[MAT]]&amp;Table412[[#This Row],[X'#]]),IF(COUNTIF(Table412[[#This Row],[MAT]],"*M"),Table412[[#This Row],[MAT]]&amp;Table412[[#This Row],[X'#]],""))</f>
        <v>10060371</v>
      </c>
    </row>
    <row r="644" spans="1:15" x14ac:dyDescent="0.25">
      <c r="A644" s="37">
        <f t="shared" ref="A644:A707" si="11">A643+K643</f>
        <v>121</v>
      </c>
      <c r="C644" s="36" t="s">
        <v>313</v>
      </c>
      <c r="D644" s="36" t="s">
        <v>3698</v>
      </c>
      <c r="E644" s="36">
        <v>1006037</v>
      </c>
      <c r="F644" s="36">
        <v>2</v>
      </c>
      <c r="G644" s="36">
        <v>647436</v>
      </c>
      <c r="H644" s="48" t="str">
        <f>IFERROR(INDEX(Table14[],MATCH($G644,Table14[SAPNo],0),3),"")</f>
        <v>Round 1613 CT200  0.018" (B)</v>
      </c>
      <c r="I644" s="37">
        <v>28</v>
      </c>
      <c r="J644" s="37">
        <f>IF(Table412[[#This Row],[MAT]]&lt;&gt;"",COUNTIF(Table3[LEVEL 5 MAT NO.],Table412[[#This Row],[MAT]]),"")</f>
        <v>0</v>
      </c>
      <c r="K644" s="36">
        <f>IFERROR(INDEX(Table3[],MATCH($E644,Table3[LEVEL 5 MAT NO.],0),2),0)</f>
        <v>0</v>
      </c>
      <c r="L644" s="36">
        <f>Table412[[#This Row],[Quantity in BOM]]*Table412[[#This Row],[Freq]]</f>
        <v>0</v>
      </c>
      <c r="M644" s="36" t="str">
        <f>IF(Table412[[#This Row],[Exist]]=1,Table412[[#This Row],[MAT]],"")</f>
        <v/>
      </c>
      <c r="N644" s="36" t="str">
        <f>IF(Table412[[#This Row],[Exist]]=1,Table412[[#This Row],[Component]],"")</f>
        <v/>
      </c>
      <c r="O644" s="36">
        <f>IFERROR(VALUE(Table412[[#This Row],[MAT]]&amp;Table412[[#This Row],[X'#]]),IF(COUNTIF(Table412[[#This Row],[MAT]],"*M"),Table412[[#This Row],[MAT]]&amp;Table412[[#This Row],[X'#]],""))</f>
        <v>10060372</v>
      </c>
    </row>
    <row r="645" spans="1:15" x14ac:dyDescent="0.25">
      <c r="A645" s="37">
        <f t="shared" si="11"/>
        <v>121</v>
      </c>
      <c r="C645" s="36" t="s">
        <v>313</v>
      </c>
      <c r="D645" s="36" t="s">
        <v>3698</v>
      </c>
      <c r="E645" s="36">
        <v>1006037</v>
      </c>
      <c r="F645" s="36">
        <v>3</v>
      </c>
      <c r="G645" s="36">
        <v>1130196</v>
      </c>
      <c r="H645" s="48" t="str">
        <f>IFERROR(INDEX(Table14[],MATCH($G645,Table14[SAPNo],0),3),"")</f>
        <v>Round 1313 CT182  0.018" (S)</v>
      </c>
      <c r="I645" s="37">
        <v>7</v>
      </c>
      <c r="J645" s="37">
        <f>IF(Table412[[#This Row],[MAT]]&lt;&gt;"",COUNTIF(Table3[LEVEL 5 MAT NO.],Table412[[#This Row],[MAT]]),"")</f>
        <v>0</v>
      </c>
      <c r="K645" s="36">
        <f>IFERROR(INDEX(Table3[],MATCH($E645,Table3[LEVEL 5 MAT NO.],0),2),0)</f>
        <v>0</v>
      </c>
      <c r="L645" s="36">
        <f>Table412[[#This Row],[Quantity in BOM]]*Table412[[#This Row],[Freq]]</f>
        <v>0</v>
      </c>
      <c r="M645" s="36" t="str">
        <f>IF(Table412[[#This Row],[Exist]]=1,Table412[[#This Row],[MAT]],"")</f>
        <v/>
      </c>
      <c r="N645" s="36" t="str">
        <f>IF(Table412[[#This Row],[Exist]]=1,Table412[[#This Row],[Component]],"")</f>
        <v/>
      </c>
      <c r="O645" s="36">
        <f>IFERROR(VALUE(Table412[[#This Row],[MAT]]&amp;Table412[[#This Row],[X'#]]),IF(COUNTIF(Table412[[#This Row],[MAT]],"*M"),Table412[[#This Row],[MAT]]&amp;Table412[[#This Row],[X'#]],""))</f>
        <v>10060373</v>
      </c>
    </row>
    <row r="646" spans="1:15" x14ac:dyDescent="0.25">
      <c r="A646" s="37">
        <f t="shared" si="11"/>
        <v>121</v>
      </c>
      <c r="C646" s="36" t="s">
        <v>313</v>
      </c>
      <c r="D646" s="36" t="s">
        <v>3698</v>
      </c>
      <c r="E646" s="36">
        <v>1006037</v>
      </c>
      <c r="F646" s="36">
        <v>4</v>
      </c>
      <c r="G646" s="36">
        <v>418525</v>
      </c>
      <c r="H646" s="48" t="str">
        <f>IFERROR(INDEX(Table14[],MATCH($G646,Table14[SAPNo],0),3),"")</f>
        <v>Drop In 1308 CT31   (B)</v>
      </c>
      <c r="I646" s="37">
        <v>6</v>
      </c>
      <c r="J646" s="37">
        <f>IF(Table412[[#This Row],[MAT]]&lt;&gt;"",COUNTIF(Table3[LEVEL 5 MAT NO.],Table412[[#This Row],[MAT]]),"")</f>
        <v>0</v>
      </c>
      <c r="K646" s="36">
        <f>IFERROR(INDEX(Table3[],MATCH($E646,Table3[LEVEL 5 MAT NO.],0),2),0)</f>
        <v>0</v>
      </c>
      <c r="L646" s="36">
        <f>Table412[[#This Row],[Quantity in BOM]]*Table412[[#This Row],[Freq]]</f>
        <v>0</v>
      </c>
      <c r="M646" s="36" t="str">
        <f>IF(Table412[[#This Row],[Exist]]=1,Table412[[#This Row],[MAT]],"")</f>
        <v/>
      </c>
      <c r="N646" s="36" t="str">
        <f>IF(Table412[[#This Row],[Exist]]=1,Table412[[#This Row],[Component]],"")</f>
        <v/>
      </c>
      <c r="O646" s="36">
        <f>IFERROR(VALUE(Table412[[#This Row],[MAT]]&amp;Table412[[#This Row],[X'#]]),IF(COUNTIF(Table412[[#This Row],[MAT]],"*M"),Table412[[#This Row],[MAT]]&amp;Table412[[#This Row],[X'#]],""))</f>
        <v>10060374</v>
      </c>
    </row>
    <row r="647" spans="1:15" x14ac:dyDescent="0.25">
      <c r="A647" s="37">
        <f t="shared" si="11"/>
        <v>121</v>
      </c>
      <c r="C647" s="36" t="s">
        <v>313</v>
      </c>
      <c r="D647" s="36" t="s">
        <v>314</v>
      </c>
      <c r="E647" s="36">
        <v>1019988</v>
      </c>
      <c r="F647" s="36">
        <v>1</v>
      </c>
      <c r="G647" s="36">
        <v>744015</v>
      </c>
      <c r="H647" s="48" t="str">
        <f>IFERROR(INDEX(Table14[],MATCH($G647,Table14[SAPNo],0),3),"")</f>
        <v>Round 1613 CT81  0.018" (P)</v>
      </c>
      <c r="I647" s="37">
        <v>30</v>
      </c>
      <c r="J647" s="37">
        <f>IF(Table412[[#This Row],[MAT]]&lt;&gt;"",COUNTIF(Table3[LEVEL 5 MAT NO.],Table412[[#This Row],[MAT]]),"")</f>
        <v>0</v>
      </c>
      <c r="K647" s="36">
        <f>IFERROR(INDEX(Table3[],MATCH($E647,Table3[LEVEL 5 MAT NO.],0),2),0)</f>
        <v>0</v>
      </c>
      <c r="L647" s="36">
        <f>Table412[[#This Row],[Quantity in BOM]]*Table412[[#This Row],[Freq]]</f>
        <v>0</v>
      </c>
      <c r="M647" s="36" t="str">
        <f>IF(Table412[[#This Row],[Exist]]=1,Table412[[#This Row],[MAT]],"")</f>
        <v/>
      </c>
      <c r="N647" s="36" t="str">
        <f>IF(Table412[[#This Row],[Exist]]=1,Table412[[#This Row],[Component]],"")</f>
        <v/>
      </c>
      <c r="O647" s="36">
        <f>IFERROR(VALUE(Table412[[#This Row],[MAT]]&amp;Table412[[#This Row],[X'#]]),IF(COUNTIF(Table412[[#This Row],[MAT]],"*M"),Table412[[#This Row],[MAT]]&amp;Table412[[#This Row],[X'#]],""))</f>
        <v>10199881</v>
      </c>
    </row>
    <row r="648" spans="1:15" x14ac:dyDescent="0.25">
      <c r="A648" s="37">
        <f t="shared" si="11"/>
        <v>121</v>
      </c>
      <c r="C648" s="36" t="s">
        <v>313</v>
      </c>
      <c r="D648" s="36" t="s">
        <v>314</v>
      </c>
      <c r="E648" s="36">
        <v>1019988</v>
      </c>
      <c r="F648" s="36">
        <v>2</v>
      </c>
      <c r="G648" s="36">
        <v>647436</v>
      </c>
      <c r="H648" s="48" t="str">
        <f>IFERROR(INDEX(Table14[],MATCH($G648,Table14[SAPNo],0),3),"")</f>
        <v>Round 1613 CT200  0.018" (B)</v>
      </c>
      <c r="I648" s="37">
        <v>28</v>
      </c>
      <c r="J648" s="37">
        <f>IF(Table412[[#This Row],[MAT]]&lt;&gt;"",COUNTIF(Table3[LEVEL 5 MAT NO.],Table412[[#This Row],[MAT]]),"")</f>
        <v>0</v>
      </c>
      <c r="K648" s="36">
        <f>IFERROR(INDEX(Table3[],MATCH($E648,Table3[LEVEL 5 MAT NO.],0),2),0)</f>
        <v>0</v>
      </c>
      <c r="L648" s="36">
        <f>Table412[[#This Row],[Quantity in BOM]]*Table412[[#This Row],[Freq]]</f>
        <v>0</v>
      </c>
      <c r="M648" s="36" t="str">
        <f>IF(Table412[[#This Row],[Exist]]=1,Table412[[#This Row],[MAT]],"")</f>
        <v/>
      </c>
      <c r="N648" s="36" t="str">
        <f>IF(Table412[[#This Row],[Exist]]=1,Table412[[#This Row],[Component]],"")</f>
        <v/>
      </c>
      <c r="O648" s="36">
        <f>IFERROR(VALUE(Table412[[#This Row],[MAT]]&amp;Table412[[#This Row],[X'#]]),IF(COUNTIF(Table412[[#This Row],[MAT]],"*M"),Table412[[#This Row],[MAT]]&amp;Table412[[#This Row],[X'#]],""))</f>
        <v>10199882</v>
      </c>
    </row>
    <row r="649" spans="1:15" x14ac:dyDescent="0.25">
      <c r="A649" s="37">
        <f t="shared" si="11"/>
        <v>121</v>
      </c>
      <c r="C649" s="36" t="s">
        <v>313</v>
      </c>
      <c r="D649" s="36" t="s">
        <v>314</v>
      </c>
      <c r="E649" s="36">
        <v>1019988</v>
      </c>
      <c r="F649" s="36">
        <v>3</v>
      </c>
      <c r="G649" s="36">
        <v>752555</v>
      </c>
      <c r="H649" s="48" t="str">
        <f>IFERROR(INDEX(Table14[],MATCH($G649,Table14[SAPNo],0),3),"")</f>
        <v>Round 1313 CT81  0.018" (P)</v>
      </c>
      <c r="I649" s="37">
        <v>7</v>
      </c>
      <c r="J649" s="37">
        <f>IF(Table412[[#This Row],[MAT]]&lt;&gt;"",COUNTIF(Table3[LEVEL 5 MAT NO.],Table412[[#This Row],[MAT]]),"")</f>
        <v>0</v>
      </c>
      <c r="K649" s="36">
        <f>IFERROR(INDEX(Table3[],MATCH($E649,Table3[LEVEL 5 MAT NO.],0),2),0)</f>
        <v>0</v>
      </c>
      <c r="L649" s="36">
        <f>Table412[[#This Row],[Quantity in BOM]]*Table412[[#This Row],[Freq]]</f>
        <v>0</v>
      </c>
      <c r="M649" s="36" t="str">
        <f>IF(Table412[[#This Row],[Exist]]=1,Table412[[#This Row],[MAT]],"")</f>
        <v/>
      </c>
      <c r="N649" s="36" t="str">
        <f>IF(Table412[[#This Row],[Exist]]=1,Table412[[#This Row],[Component]],"")</f>
        <v/>
      </c>
      <c r="O649" s="36">
        <f>IFERROR(VALUE(Table412[[#This Row],[MAT]]&amp;Table412[[#This Row],[X'#]]),IF(COUNTIF(Table412[[#This Row],[MAT]],"*M"),Table412[[#This Row],[MAT]]&amp;Table412[[#This Row],[X'#]],""))</f>
        <v>10199883</v>
      </c>
    </row>
    <row r="650" spans="1:15" x14ac:dyDescent="0.25">
      <c r="A650" s="37">
        <f t="shared" si="11"/>
        <v>121</v>
      </c>
      <c r="C650" s="36" t="s">
        <v>313</v>
      </c>
      <c r="D650" s="36" t="s">
        <v>314</v>
      </c>
      <c r="E650" s="36">
        <v>1019988</v>
      </c>
      <c r="F650" s="36">
        <v>4</v>
      </c>
      <c r="G650" s="36">
        <v>418525</v>
      </c>
      <c r="H650" s="48" t="str">
        <f>IFERROR(INDEX(Table14[],MATCH($G650,Table14[SAPNo],0),3),"")</f>
        <v>Drop In 1308 CT31   (B)</v>
      </c>
      <c r="I650" s="37">
        <v>6</v>
      </c>
      <c r="J650" s="37">
        <f>IF(Table412[[#This Row],[MAT]]&lt;&gt;"",COUNTIF(Table3[LEVEL 5 MAT NO.],Table412[[#This Row],[MAT]]),"")</f>
        <v>0</v>
      </c>
      <c r="K650" s="36">
        <f>IFERROR(INDEX(Table3[],MATCH($E650,Table3[LEVEL 5 MAT NO.],0),2),0)</f>
        <v>0</v>
      </c>
      <c r="L650" s="36">
        <f>Table412[[#This Row],[Quantity in BOM]]*Table412[[#This Row],[Freq]]</f>
        <v>0</v>
      </c>
      <c r="M650" s="36" t="str">
        <f>IF(Table412[[#This Row],[Exist]]=1,Table412[[#This Row],[MAT]],"")</f>
        <v/>
      </c>
      <c r="N650" s="36" t="str">
        <f>IF(Table412[[#This Row],[Exist]]=1,Table412[[#This Row],[Component]],"")</f>
        <v/>
      </c>
      <c r="O650" s="36">
        <f>IFERROR(VALUE(Table412[[#This Row],[MAT]]&amp;Table412[[#This Row],[X'#]]),IF(COUNTIF(Table412[[#This Row],[MAT]],"*M"),Table412[[#This Row],[MAT]]&amp;Table412[[#This Row],[X'#]],""))</f>
        <v>10199884</v>
      </c>
    </row>
    <row r="651" spans="1:15" x14ac:dyDescent="0.25">
      <c r="A651" s="37">
        <f t="shared" si="11"/>
        <v>121</v>
      </c>
      <c r="C651" s="36" t="s">
        <v>313</v>
      </c>
      <c r="D651" s="36" t="s">
        <v>314</v>
      </c>
      <c r="E651" s="36">
        <v>1029800</v>
      </c>
      <c r="F651" s="36">
        <v>1</v>
      </c>
      <c r="G651" s="36">
        <v>745338</v>
      </c>
      <c r="H651" s="48" t="str">
        <f>IFERROR(INDEX(Table14[],MATCH($G651,Table14[SAPNo],0),3),"")</f>
        <v>Round 1613 CT80  0.018" (B)</v>
      </c>
      <c r="I651" s="37">
        <v>30</v>
      </c>
      <c r="J651" s="37">
        <f>IF(Table412[[#This Row],[MAT]]&lt;&gt;"",COUNTIF(Table3[LEVEL 5 MAT NO.],Table412[[#This Row],[MAT]]),"")</f>
        <v>0</v>
      </c>
      <c r="K651" s="36">
        <f>IFERROR(INDEX(Table3[],MATCH($E651,Table3[LEVEL 5 MAT NO.],0),2),0)</f>
        <v>0</v>
      </c>
      <c r="L651" s="36">
        <f>Table412[[#This Row],[Quantity in BOM]]*Table412[[#This Row],[Freq]]</f>
        <v>0</v>
      </c>
      <c r="M651" s="36" t="str">
        <f>IF(Table412[[#This Row],[Exist]]=1,Table412[[#This Row],[MAT]],"")</f>
        <v/>
      </c>
      <c r="N651" s="36" t="str">
        <f>IF(Table412[[#This Row],[Exist]]=1,Table412[[#This Row],[Component]],"")</f>
        <v/>
      </c>
      <c r="O651" s="36">
        <f>IFERROR(VALUE(Table412[[#This Row],[MAT]]&amp;Table412[[#This Row],[X'#]]),IF(COUNTIF(Table412[[#This Row],[MAT]],"*M"),Table412[[#This Row],[MAT]]&amp;Table412[[#This Row],[X'#]],""))</f>
        <v>10298001</v>
      </c>
    </row>
    <row r="652" spans="1:15" x14ac:dyDescent="0.25">
      <c r="A652" s="37">
        <f t="shared" si="11"/>
        <v>121</v>
      </c>
      <c r="C652" s="36" t="s">
        <v>313</v>
      </c>
      <c r="D652" s="36" t="s">
        <v>314</v>
      </c>
      <c r="E652" s="36">
        <v>1029800</v>
      </c>
      <c r="F652" s="36">
        <v>2</v>
      </c>
      <c r="G652" s="36">
        <v>647436</v>
      </c>
      <c r="H652" s="48" t="str">
        <f>IFERROR(INDEX(Table14[],MATCH($G652,Table14[SAPNo],0),3),"")</f>
        <v>Round 1613 CT200  0.018" (B)</v>
      </c>
      <c r="I652" s="37">
        <v>28</v>
      </c>
      <c r="J652" s="37">
        <f>IF(Table412[[#This Row],[MAT]]&lt;&gt;"",COUNTIF(Table3[LEVEL 5 MAT NO.],Table412[[#This Row],[MAT]]),"")</f>
        <v>0</v>
      </c>
      <c r="K652" s="36">
        <f>IFERROR(INDEX(Table3[],MATCH($E652,Table3[LEVEL 5 MAT NO.],0),2),0)</f>
        <v>0</v>
      </c>
      <c r="L652" s="36">
        <f>Table412[[#This Row],[Quantity in BOM]]*Table412[[#This Row],[Freq]]</f>
        <v>0</v>
      </c>
      <c r="M652" s="36" t="str">
        <f>IF(Table412[[#This Row],[Exist]]=1,Table412[[#This Row],[MAT]],"")</f>
        <v/>
      </c>
      <c r="N652" s="36" t="str">
        <f>IF(Table412[[#This Row],[Exist]]=1,Table412[[#This Row],[Component]],"")</f>
        <v/>
      </c>
      <c r="O652" s="36">
        <f>IFERROR(VALUE(Table412[[#This Row],[MAT]]&amp;Table412[[#This Row],[X'#]]),IF(COUNTIF(Table412[[#This Row],[MAT]],"*M"),Table412[[#This Row],[MAT]]&amp;Table412[[#This Row],[X'#]],""))</f>
        <v>10298002</v>
      </c>
    </row>
    <row r="653" spans="1:15" x14ac:dyDescent="0.25">
      <c r="A653" s="37">
        <f t="shared" si="11"/>
        <v>121</v>
      </c>
      <c r="C653" s="36" t="s">
        <v>313</v>
      </c>
      <c r="D653" s="36" t="s">
        <v>314</v>
      </c>
      <c r="E653" s="36">
        <v>1029800</v>
      </c>
      <c r="F653" s="36">
        <v>3</v>
      </c>
      <c r="G653" s="36">
        <v>745174</v>
      </c>
      <c r="H653" s="48" t="str">
        <f>IFERROR(INDEX(Table14[],MATCH($G653,Table14[SAPNo],0),3),"")</f>
        <v/>
      </c>
      <c r="I653" s="37">
        <v>7</v>
      </c>
      <c r="J653" s="37">
        <f>IF(Table412[[#This Row],[MAT]]&lt;&gt;"",COUNTIF(Table3[LEVEL 5 MAT NO.],Table412[[#This Row],[MAT]]),"")</f>
        <v>0</v>
      </c>
      <c r="K653" s="36">
        <f>IFERROR(INDEX(Table3[],MATCH($E653,Table3[LEVEL 5 MAT NO.],0),2),0)</f>
        <v>0</v>
      </c>
      <c r="L653" s="36">
        <f>Table412[[#This Row],[Quantity in BOM]]*Table412[[#This Row],[Freq]]</f>
        <v>0</v>
      </c>
      <c r="M653" s="36" t="str">
        <f>IF(Table412[[#This Row],[Exist]]=1,Table412[[#This Row],[MAT]],"")</f>
        <v/>
      </c>
      <c r="N653" s="36" t="str">
        <f>IF(Table412[[#This Row],[Exist]]=1,Table412[[#This Row],[Component]],"")</f>
        <v/>
      </c>
      <c r="O653" s="36">
        <f>IFERROR(VALUE(Table412[[#This Row],[MAT]]&amp;Table412[[#This Row],[X'#]]),IF(COUNTIF(Table412[[#This Row],[MAT]],"*M"),Table412[[#This Row],[MAT]]&amp;Table412[[#This Row],[X'#]],""))</f>
        <v>10298003</v>
      </c>
    </row>
    <row r="654" spans="1:15" x14ac:dyDescent="0.25">
      <c r="A654" s="37">
        <f t="shared" si="11"/>
        <v>121</v>
      </c>
      <c r="C654" s="36" t="s">
        <v>313</v>
      </c>
      <c r="D654" s="36" t="s">
        <v>314</v>
      </c>
      <c r="E654" s="36">
        <v>1029800</v>
      </c>
      <c r="F654" s="36">
        <v>4</v>
      </c>
      <c r="G654" s="36">
        <v>418525</v>
      </c>
      <c r="H654" s="48" t="str">
        <f>IFERROR(INDEX(Table14[],MATCH($G654,Table14[SAPNo],0),3),"")</f>
        <v>Drop In 1308 CT31   (B)</v>
      </c>
      <c r="I654" s="37">
        <v>6</v>
      </c>
      <c r="J654" s="37">
        <f>IF(Table412[[#This Row],[MAT]]&lt;&gt;"",COUNTIF(Table3[LEVEL 5 MAT NO.],Table412[[#This Row],[MAT]]),"")</f>
        <v>0</v>
      </c>
      <c r="K654" s="36">
        <f>IFERROR(INDEX(Table3[],MATCH($E654,Table3[LEVEL 5 MAT NO.],0),2),0)</f>
        <v>0</v>
      </c>
      <c r="L654" s="36">
        <f>Table412[[#This Row],[Quantity in BOM]]*Table412[[#This Row],[Freq]]</f>
        <v>0</v>
      </c>
      <c r="M654" s="36" t="str">
        <f>IF(Table412[[#This Row],[Exist]]=1,Table412[[#This Row],[MAT]],"")</f>
        <v/>
      </c>
      <c r="N654" s="36" t="str">
        <f>IF(Table412[[#This Row],[Exist]]=1,Table412[[#This Row],[Component]],"")</f>
        <v/>
      </c>
      <c r="O654" s="36">
        <f>IFERROR(VALUE(Table412[[#This Row],[MAT]]&amp;Table412[[#This Row],[X'#]]),IF(COUNTIF(Table412[[#This Row],[MAT]],"*M"),Table412[[#This Row],[MAT]]&amp;Table412[[#This Row],[X'#]],""))</f>
        <v>10298004</v>
      </c>
    </row>
    <row r="655" spans="1:15" x14ac:dyDescent="0.25">
      <c r="A655" s="37">
        <f t="shared" si="11"/>
        <v>121</v>
      </c>
      <c r="C655" s="36" t="s">
        <v>313</v>
      </c>
      <c r="D655" s="36" t="s">
        <v>314</v>
      </c>
      <c r="E655" s="36">
        <v>1032643</v>
      </c>
      <c r="F655" s="36">
        <v>1</v>
      </c>
      <c r="G655" s="36">
        <v>744015</v>
      </c>
      <c r="H655" s="48" t="str">
        <f>IFERROR(INDEX(Table14[],MATCH($G655,Table14[SAPNo],0),3),"")</f>
        <v>Round 1613 CT81  0.018" (P)</v>
      </c>
      <c r="I655" s="37">
        <v>34</v>
      </c>
      <c r="J655" s="37">
        <f>IF(Table412[[#This Row],[MAT]]&lt;&gt;"",COUNTIF(Table3[LEVEL 5 MAT NO.],Table412[[#This Row],[MAT]]),"")</f>
        <v>0</v>
      </c>
      <c r="K655" s="36">
        <f>IFERROR(INDEX(Table3[],MATCH($E655,Table3[LEVEL 5 MAT NO.],0),2),0)</f>
        <v>0</v>
      </c>
      <c r="L655" s="36">
        <f>Table412[[#This Row],[Quantity in BOM]]*Table412[[#This Row],[Freq]]</f>
        <v>0</v>
      </c>
      <c r="M655" s="36" t="str">
        <f>IF(Table412[[#This Row],[Exist]]=1,Table412[[#This Row],[MAT]],"")</f>
        <v/>
      </c>
      <c r="N655" s="36" t="str">
        <f>IF(Table412[[#This Row],[Exist]]=1,Table412[[#This Row],[Component]],"")</f>
        <v/>
      </c>
      <c r="O655" s="36">
        <f>IFERROR(VALUE(Table412[[#This Row],[MAT]]&amp;Table412[[#This Row],[X'#]]),IF(COUNTIF(Table412[[#This Row],[MAT]],"*M"),Table412[[#This Row],[MAT]]&amp;Table412[[#This Row],[X'#]],""))</f>
        <v>10326431</v>
      </c>
    </row>
    <row r="656" spans="1:15" x14ac:dyDescent="0.25">
      <c r="A656" s="37">
        <f t="shared" si="11"/>
        <v>121</v>
      </c>
      <c r="C656" s="36" t="s">
        <v>313</v>
      </c>
      <c r="D656" s="36" t="s">
        <v>314</v>
      </c>
      <c r="E656" s="36">
        <v>1032643</v>
      </c>
      <c r="F656" s="36">
        <v>2</v>
      </c>
      <c r="G656" s="36">
        <v>647435</v>
      </c>
      <c r="H656" s="48" t="str">
        <f>IFERROR(INDEX(Table14[],MATCH($G656,Table14[SAPNo],0),3),"")</f>
        <v>Round 1608 CT200  0.018" (B)</v>
      </c>
      <c r="I656" s="37">
        <v>24</v>
      </c>
      <c r="J656" s="37">
        <f>IF(Table412[[#This Row],[MAT]]&lt;&gt;"",COUNTIF(Table3[LEVEL 5 MAT NO.],Table412[[#This Row],[MAT]]),"")</f>
        <v>0</v>
      </c>
      <c r="K656" s="36">
        <f>IFERROR(INDEX(Table3[],MATCH($E656,Table3[LEVEL 5 MAT NO.],0),2),0)</f>
        <v>0</v>
      </c>
      <c r="L656" s="36">
        <f>Table412[[#This Row],[Quantity in BOM]]*Table412[[#This Row],[Freq]]</f>
        <v>0</v>
      </c>
      <c r="M656" s="36" t="str">
        <f>IF(Table412[[#This Row],[Exist]]=1,Table412[[#This Row],[MAT]],"")</f>
        <v/>
      </c>
      <c r="N656" s="36" t="str">
        <f>IF(Table412[[#This Row],[Exist]]=1,Table412[[#This Row],[Component]],"")</f>
        <v/>
      </c>
      <c r="O656" s="36">
        <f>IFERROR(VALUE(Table412[[#This Row],[MAT]]&amp;Table412[[#This Row],[X'#]]),IF(COUNTIF(Table412[[#This Row],[MAT]],"*M"),Table412[[#This Row],[MAT]]&amp;Table412[[#This Row],[X'#]],""))</f>
        <v>10326432</v>
      </c>
    </row>
    <row r="657" spans="1:15" x14ac:dyDescent="0.25">
      <c r="A657" s="37">
        <f t="shared" si="11"/>
        <v>121</v>
      </c>
      <c r="C657" s="36" t="s">
        <v>313</v>
      </c>
      <c r="D657" s="36" t="s">
        <v>314</v>
      </c>
      <c r="E657" s="36">
        <v>1032643</v>
      </c>
      <c r="F657" s="36">
        <v>3</v>
      </c>
      <c r="G657" s="36">
        <v>418525</v>
      </c>
      <c r="H657" s="48" t="str">
        <f>IFERROR(INDEX(Table14[],MATCH($G657,Table14[SAPNo],0),3),"")</f>
        <v>Drop In 1308 CT31   (B)</v>
      </c>
      <c r="I657" s="37">
        <v>6</v>
      </c>
      <c r="J657" s="37">
        <f>IF(Table412[[#This Row],[MAT]]&lt;&gt;"",COUNTIF(Table3[LEVEL 5 MAT NO.],Table412[[#This Row],[MAT]]),"")</f>
        <v>0</v>
      </c>
      <c r="K657" s="36">
        <f>IFERROR(INDEX(Table3[],MATCH($E657,Table3[LEVEL 5 MAT NO.],0),2),0)</f>
        <v>0</v>
      </c>
      <c r="L657" s="36">
        <f>Table412[[#This Row],[Quantity in BOM]]*Table412[[#This Row],[Freq]]</f>
        <v>0</v>
      </c>
      <c r="M657" s="36" t="str">
        <f>IF(Table412[[#This Row],[Exist]]=1,Table412[[#This Row],[MAT]],"")</f>
        <v/>
      </c>
      <c r="N657" s="36" t="str">
        <f>IF(Table412[[#This Row],[Exist]]=1,Table412[[#This Row],[Component]],"")</f>
        <v/>
      </c>
      <c r="O657" s="36">
        <f>IFERROR(VALUE(Table412[[#This Row],[MAT]]&amp;Table412[[#This Row],[X'#]]),IF(COUNTIF(Table412[[#This Row],[MAT]],"*M"),Table412[[#This Row],[MAT]]&amp;Table412[[#This Row],[X'#]],""))</f>
        <v>10326433</v>
      </c>
    </row>
    <row r="658" spans="1:15" x14ac:dyDescent="0.25">
      <c r="A658" s="37">
        <f t="shared" si="11"/>
        <v>121</v>
      </c>
      <c r="C658" s="36" t="s">
        <v>313</v>
      </c>
      <c r="D658" s="36" t="s">
        <v>314</v>
      </c>
      <c r="E658" s="36">
        <v>1040699</v>
      </c>
      <c r="F658" s="36">
        <v>1</v>
      </c>
      <c r="G658" s="36">
        <v>744015</v>
      </c>
      <c r="H658" s="48" t="str">
        <f>IFERROR(INDEX(Table14[],MATCH($G658,Table14[SAPNo],0),3),"")</f>
        <v>Round 1613 CT81  0.018" (P)</v>
      </c>
      <c r="I658" s="37">
        <v>33</v>
      </c>
      <c r="J658" s="37">
        <f>IF(Table412[[#This Row],[MAT]]&lt;&gt;"",COUNTIF(Table3[LEVEL 5 MAT NO.],Table412[[#This Row],[MAT]]),"")</f>
        <v>0</v>
      </c>
      <c r="K658" s="36">
        <f>IFERROR(INDEX(Table3[],MATCH($E658,Table3[LEVEL 5 MAT NO.],0),2),0)</f>
        <v>0</v>
      </c>
      <c r="L658" s="36">
        <f>Table412[[#This Row],[Quantity in BOM]]*Table412[[#This Row],[Freq]]</f>
        <v>0</v>
      </c>
      <c r="M658" s="36" t="str">
        <f>IF(Table412[[#This Row],[Exist]]=1,Table412[[#This Row],[MAT]],"")</f>
        <v/>
      </c>
      <c r="N658" s="36" t="str">
        <f>IF(Table412[[#This Row],[Exist]]=1,Table412[[#This Row],[Component]],"")</f>
        <v/>
      </c>
      <c r="O658" s="36">
        <f>IFERROR(VALUE(Table412[[#This Row],[MAT]]&amp;Table412[[#This Row],[X'#]]),IF(COUNTIF(Table412[[#This Row],[MAT]],"*M"),Table412[[#This Row],[MAT]]&amp;Table412[[#This Row],[X'#]],""))</f>
        <v>10406991</v>
      </c>
    </row>
    <row r="659" spans="1:15" x14ac:dyDescent="0.25">
      <c r="A659" s="37">
        <f t="shared" si="11"/>
        <v>121</v>
      </c>
      <c r="C659" s="36" t="s">
        <v>313</v>
      </c>
      <c r="D659" s="36" t="s">
        <v>314</v>
      </c>
      <c r="E659" s="36">
        <v>1040699</v>
      </c>
      <c r="F659" s="36">
        <v>2</v>
      </c>
      <c r="G659" s="36">
        <v>647435</v>
      </c>
      <c r="H659" s="48" t="str">
        <f>IFERROR(INDEX(Table14[],MATCH($G659,Table14[SAPNo],0),3),"")</f>
        <v>Round 1608 CT200  0.018" (B)</v>
      </c>
      <c r="I659" s="37">
        <v>23</v>
      </c>
      <c r="J659" s="37">
        <f>IF(Table412[[#This Row],[MAT]]&lt;&gt;"",COUNTIF(Table3[LEVEL 5 MAT NO.],Table412[[#This Row],[MAT]]),"")</f>
        <v>0</v>
      </c>
      <c r="K659" s="36">
        <f>IFERROR(INDEX(Table3[],MATCH($E659,Table3[LEVEL 5 MAT NO.],0),2),0)</f>
        <v>0</v>
      </c>
      <c r="L659" s="36">
        <f>Table412[[#This Row],[Quantity in BOM]]*Table412[[#This Row],[Freq]]</f>
        <v>0</v>
      </c>
      <c r="M659" s="36" t="str">
        <f>IF(Table412[[#This Row],[Exist]]=1,Table412[[#This Row],[MAT]],"")</f>
        <v/>
      </c>
      <c r="N659" s="36" t="str">
        <f>IF(Table412[[#This Row],[Exist]]=1,Table412[[#This Row],[Component]],"")</f>
        <v/>
      </c>
      <c r="O659" s="36">
        <f>IFERROR(VALUE(Table412[[#This Row],[MAT]]&amp;Table412[[#This Row],[X'#]]),IF(COUNTIF(Table412[[#This Row],[MAT]],"*M"),Table412[[#This Row],[MAT]]&amp;Table412[[#This Row],[X'#]],""))</f>
        <v>10406992</v>
      </c>
    </row>
    <row r="660" spans="1:15" x14ac:dyDescent="0.25">
      <c r="A660" s="37">
        <f t="shared" si="11"/>
        <v>121</v>
      </c>
      <c r="C660" s="36" t="s">
        <v>313</v>
      </c>
      <c r="D660" s="36" t="s">
        <v>314</v>
      </c>
      <c r="E660" s="36">
        <v>1040699</v>
      </c>
      <c r="F660" s="36">
        <v>3</v>
      </c>
      <c r="G660" s="36">
        <v>418525</v>
      </c>
      <c r="H660" s="48" t="str">
        <f>IFERROR(INDEX(Table14[],MATCH($G660,Table14[SAPNo],0),3),"")</f>
        <v>Drop In 1308 CT31   (B)</v>
      </c>
      <c r="I660" s="37">
        <v>8</v>
      </c>
      <c r="J660" s="37">
        <f>IF(Table412[[#This Row],[MAT]]&lt;&gt;"",COUNTIF(Table3[LEVEL 5 MAT NO.],Table412[[#This Row],[MAT]]),"")</f>
        <v>0</v>
      </c>
      <c r="K660" s="36">
        <f>IFERROR(INDEX(Table3[],MATCH($E660,Table3[LEVEL 5 MAT NO.],0),2),0)</f>
        <v>0</v>
      </c>
      <c r="L660" s="36">
        <f>Table412[[#This Row],[Quantity in BOM]]*Table412[[#This Row],[Freq]]</f>
        <v>0</v>
      </c>
      <c r="M660" s="36" t="str">
        <f>IF(Table412[[#This Row],[Exist]]=1,Table412[[#This Row],[MAT]],"")</f>
        <v/>
      </c>
      <c r="N660" s="36" t="str">
        <f>IF(Table412[[#This Row],[Exist]]=1,Table412[[#This Row],[Component]],"")</f>
        <v/>
      </c>
      <c r="O660" s="36">
        <f>IFERROR(VALUE(Table412[[#This Row],[MAT]]&amp;Table412[[#This Row],[X'#]]),IF(COUNTIF(Table412[[#This Row],[MAT]],"*M"),Table412[[#This Row],[MAT]]&amp;Table412[[#This Row],[X'#]],""))</f>
        <v>10406993</v>
      </c>
    </row>
    <row r="661" spans="1:15" x14ac:dyDescent="0.25">
      <c r="A661" s="37">
        <f t="shared" si="11"/>
        <v>121</v>
      </c>
      <c r="C661" s="36" t="s">
        <v>313</v>
      </c>
      <c r="D661" s="36" t="s">
        <v>272</v>
      </c>
      <c r="E661" s="36">
        <v>1053617</v>
      </c>
      <c r="F661" s="36">
        <v>1</v>
      </c>
      <c r="G661" s="36">
        <v>1130198</v>
      </c>
      <c r="H661" s="48" t="str">
        <f>IFERROR(INDEX(Table14[],MATCH($G661,Table14[SAPNo],0),3),"")</f>
        <v>Round 1613 CT182  0.018" (S)</v>
      </c>
      <c r="I661" s="37">
        <v>33</v>
      </c>
      <c r="J661" s="37">
        <f>IF(Table412[[#This Row],[MAT]]&lt;&gt;"",COUNTIF(Table3[LEVEL 5 MAT NO.],Table412[[#This Row],[MAT]]),"")</f>
        <v>0</v>
      </c>
      <c r="K661" s="36">
        <f>IFERROR(INDEX(Table3[],MATCH($E661,Table3[LEVEL 5 MAT NO.],0),2),0)</f>
        <v>0</v>
      </c>
      <c r="L661" s="36">
        <f>Table412[[#This Row],[Quantity in BOM]]*Table412[[#This Row],[Freq]]</f>
        <v>0</v>
      </c>
      <c r="M661" s="36" t="str">
        <f>IF(Table412[[#This Row],[Exist]]=1,Table412[[#This Row],[MAT]],"")</f>
        <v/>
      </c>
      <c r="N661" s="36" t="str">
        <f>IF(Table412[[#This Row],[Exist]]=1,Table412[[#This Row],[Component]],"")</f>
        <v/>
      </c>
      <c r="O661" s="36">
        <f>IFERROR(VALUE(Table412[[#This Row],[MAT]]&amp;Table412[[#This Row],[X'#]]),IF(COUNTIF(Table412[[#This Row],[MAT]],"*M"),Table412[[#This Row],[MAT]]&amp;Table412[[#This Row],[X'#]],""))</f>
        <v>10536171</v>
      </c>
    </row>
    <row r="662" spans="1:15" x14ac:dyDescent="0.25">
      <c r="A662" s="37">
        <f t="shared" si="11"/>
        <v>121</v>
      </c>
      <c r="C662" s="36" t="s">
        <v>313</v>
      </c>
      <c r="D662" s="36" t="s">
        <v>272</v>
      </c>
      <c r="E662" s="36">
        <v>1053617</v>
      </c>
      <c r="F662" s="36">
        <v>2</v>
      </c>
      <c r="G662" s="36">
        <v>983148</v>
      </c>
      <c r="H662" s="48" t="str">
        <f>IFERROR(INDEX(Table14[],MATCH($G662,Table14[SAPNo],0),3),"")</f>
        <v>Round 1608 CT216  0.018" (S)</v>
      </c>
      <c r="I662" s="37">
        <v>17</v>
      </c>
      <c r="J662" s="37">
        <f>IF(Table412[[#This Row],[MAT]]&lt;&gt;"",COUNTIF(Table3[LEVEL 5 MAT NO.],Table412[[#This Row],[MAT]]),"")</f>
        <v>0</v>
      </c>
      <c r="K662" s="36">
        <f>IFERROR(INDEX(Table3[],MATCH($E662,Table3[LEVEL 5 MAT NO.],0),2),0)</f>
        <v>0</v>
      </c>
      <c r="L662" s="36">
        <f>Table412[[#This Row],[Quantity in BOM]]*Table412[[#This Row],[Freq]]</f>
        <v>0</v>
      </c>
      <c r="M662" s="36" t="str">
        <f>IF(Table412[[#This Row],[Exist]]=1,Table412[[#This Row],[MAT]],"")</f>
        <v/>
      </c>
      <c r="N662" s="36" t="str">
        <f>IF(Table412[[#This Row],[Exist]]=1,Table412[[#This Row],[Component]],"")</f>
        <v/>
      </c>
      <c r="O662" s="36">
        <f>IFERROR(VALUE(Table412[[#This Row],[MAT]]&amp;Table412[[#This Row],[X'#]]),IF(COUNTIF(Table412[[#This Row],[MAT]],"*M"),Table412[[#This Row],[MAT]]&amp;Table412[[#This Row],[X'#]],""))</f>
        <v>10536172</v>
      </c>
    </row>
    <row r="663" spans="1:15" x14ac:dyDescent="0.25">
      <c r="A663" s="37">
        <f t="shared" si="11"/>
        <v>121</v>
      </c>
      <c r="C663" s="36" t="s">
        <v>313</v>
      </c>
      <c r="D663" s="36" t="s">
        <v>272</v>
      </c>
      <c r="E663" s="36">
        <v>1053617</v>
      </c>
      <c r="F663" s="36">
        <v>3</v>
      </c>
      <c r="G663" s="36">
        <v>647435</v>
      </c>
      <c r="H663" s="48" t="str">
        <f>IFERROR(INDEX(Table14[],MATCH($G663,Table14[SAPNo],0),3),"")</f>
        <v>Round 1608 CT200  0.018" (B)</v>
      </c>
      <c r="I663" s="37">
        <v>6</v>
      </c>
      <c r="J663" s="37">
        <f>IF(Table412[[#This Row],[MAT]]&lt;&gt;"",COUNTIF(Table3[LEVEL 5 MAT NO.],Table412[[#This Row],[MAT]]),"")</f>
        <v>0</v>
      </c>
      <c r="K663" s="36">
        <f>IFERROR(INDEX(Table3[],MATCH($E663,Table3[LEVEL 5 MAT NO.],0),2),0)</f>
        <v>0</v>
      </c>
      <c r="L663" s="36">
        <f>Table412[[#This Row],[Quantity in BOM]]*Table412[[#This Row],[Freq]]</f>
        <v>0</v>
      </c>
      <c r="M663" s="36" t="str">
        <f>IF(Table412[[#This Row],[Exist]]=1,Table412[[#This Row],[MAT]],"")</f>
        <v/>
      </c>
      <c r="N663" s="36" t="str">
        <f>IF(Table412[[#This Row],[Exist]]=1,Table412[[#This Row],[Component]],"")</f>
        <v/>
      </c>
      <c r="O663" s="36">
        <f>IFERROR(VALUE(Table412[[#This Row],[MAT]]&amp;Table412[[#This Row],[X'#]]),IF(COUNTIF(Table412[[#This Row],[MAT]],"*M"),Table412[[#This Row],[MAT]]&amp;Table412[[#This Row],[X'#]],""))</f>
        <v>10536173</v>
      </c>
    </row>
    <row r="664" spans="1:15" x14ac:dyDescent="0.25">
      <c r="A664" s="37">
        <f t="shared" si="11"/>
        <v>121</v>
      </c>
      <c r="C664" s="36" t="s">
        <v>313</v>
      </c>
      <c r="D664" s="36" t="s">
        <v>272</v>
      </c>
      <c r="E664" s="36">
        <v>1053617</v>
      </c>
      <c r="F664" s="36">
        <v>4</v>
      </c>
      <c r="G664" s="36">
        <v>418525</v>
      </c>
      <c r="H664" s="48" t="str">
        <f>IFERROR(INDEX(Table14[],MATCH($G664,Table14[SAPNo],0),3),"")</f>
        <v>Drop In 1308 CT31   (B)</v>
      </c>
      <c r="I664" s="37">
        <v>6</v>
      </c>
      <c r="J664" s="37">
        <f>IF(Table412[[#This Row],[MAT]]&lt;&gt;"",COUNTIF(Table3[LEVEL 5 MAT NO.],Table412[[#This Row],[MAT]]),"")</f>
        <v>0</v>
      </c>
      <c r="K664" s="36">
        <f>IFERROR(INDEX(Table3[],MATCH($E664,Table3[LEVEL 5 MAT NO.],0),2),0)</f>
        <v>0</v>
      </c>
      <c r="L664" s="36">
        <f>Table412[[#This Row],[Quantity in BOM]]*Table412[[#This Row],[Freq]]</f>
        <v>0</v>
      </c>
      <c r="M664" s="36" t="str">
        <f>IF(Table412[[#This Row],[Exist]]=1,Table412[[#This Row],[MAT]],"")</f>
        <v/>
      </c>
      <c r="N664" s="36" t="str">
        <f>IF(Table412[[#This Row],[Exist]]=1,Table412[[#This Row],[Component]],"")</f>
        <v/>
      </c>
      <c r="O664" s="36">
        <f>IFERROR(VALUE(Table412[[#This Row],[MAT]]&amp;Table412[[#This Row],[X'#]]),IF(COUNTIF(Table412[[#This Row],[MAT]],"*M"),Table412[[#This Row],[MAT]]&amp;Table412[[#This Row],[X'#]],""))</f>
        <v>10536174</v>
      </c>
    </row>
    <row r="665" spans="1:15" x14ac:dyDescent="0.25">
      <c r="A665" s="37">
        <f t="shared" si="11"/>
        <v>121</v>
      </c>
      <c r="C665" s="36" t="s">
        <v>637</v>
      </c>
      <c r="D665" s="36" t="s">
        <v>3617</v>
      </c>
      <c r="E665" s="36">
        <v>1126138</v>
      </c>
      <c r="F665" s="36">
        <v>1</v>
      </c>
      <c r="G665" s="36">
        <v>853552</v>
      </c>
      <c r="H665" s="48" t="str">
        <f>IFERROR(INDEX(Table14[],MATCH($G665,Table14[SAPNo],0),3),"")</f>
        <v>Round 1913 CT125  0.018" (S)</v>
      </c>
      <c r="I665" s="37">
        <v>32</v>
      </c>
      <c r="J665" s="37">
        <f>IF(Table412[[#This Row],[MAT]]&lt;&gt;"",COUNTIF(Table3[LEVEL 5 MAT NO.],Table412[[#This Row],[MAT]]),"")</f>
        <v>0</v>
      </c>
      <c r="K665" s="36">
        <f>IFERROR(INDEX(Table3[],MATCH($E665,Table3[LEVEL 5 MAT NO.],0),2),0)</f>
        <v>0</v>
      </c>
      <c r="L665" s="36">
        <f>Table412[[#This Row],[Quantity in BOM]]*Table412[[#This Row],[Freq]]</f>
        <v>0</v>
      </c>
      <c r="M665" s="36" t="str">
        <f>IF(Table412[[#This Row],[Exist]]=1,Table412[[#This Row],[MAT]],"")</f>
        <v/>
      </c>
      <c r="N665" s="36" t="str">
        <f>IF(Table412[[#This Row],[Exist]]=1,Table412[[#This Row],[Component]],"")</f>
        <v/>
      </c>
      <c r="O665" s="36">
        <f>IFERROR(VALUE(Table412[[#This Row],[MAT]]&amp;Table412[[#This Row],[X'#]]),IF(COUNTIF(Table412[[#This Row],[MAT]],"*M"),Table412[[#This Row],[MAT]]&amp;Table412[[#This Row],[X'#]],""))</f>
        <v>11261381</v>
      </c>
    </row>
    <row r="666" spans="1:15" x14ac:dyDescent="0.25">
      <c r="A666" s="37">
        <f t="shared" si="11"/>
        <v>121</v>
      </c>
      <c r="C666" s="36" t="s">
        <v>637</v>
      </c>
      <c r="D666" s="36" t="s">
        <v>3617</v>
      </c>
      <c r="E666" s="36">
        <v>1126138</v>
      </c>
      <c r="F666" s="36">
        <v>2</v>
      </c>
      <c r="G666" s="36">
        <v>1130198</v>
      </c>
      <c r="H666" s="48" t="str">
        <f>IFERROR(INDEX(Table14[],MATCH($G666,Table14[SAPNo],0),3),"")</f>
        <v>Round 1613 CT182  0.018" (S)</v>
      </c>
      <c r="I666" s="37">
        <v>9</v>
      </c>
      <c r="J666" s="37">
        <f>IF(Table412[[#This Row],[MAT]]&lt;&gt;"",COUNTIF(Table3[LEVEL 5 MAT NO.],Table412[[#This Row],[MAT]]),"")</f>
        <v>0</v>
      </c>
      <c r="K666" s="36">
        <f>IFERROR(INDEX(Table3[],MATCH($E666,Table3[LEVEL 5 MAT NO.],0),2),0)</f>
        <v>0</v>
      </c>
      <c r="L666" s="36">
        <f>Table412[[#This Row],[Quantity in BOM]]*Table412[[#This Row],[Freq]]</f>
        <v>0</v>
      </c>
      <c r="M666" s="36" t="str">
        <f>IF(Table412[[#This Row],[Exist]]=1,Table412[[#This Row],[MAT]],"")</f>
        <v/>
      </c>
      <c r="N666" s="36" t="str">
        <f>IF(Table412[[#This Row],[Exist]]=1,Table412[[#This Row],[Component]],"")</f>
        <v/>
      </c>
      <c r="O666" s="36">
        <f>IFERROR(VALUE(Table412[[#This Row],[MAT]]&amp;Table412[[#This Row],[X'#]]),IF(COUNTIF(Table412[[#This Row],[MAT]],"*M"),Table412[[#This Row],[MAT]]&amp;Table412[[#This Row],[X'#]],""))</f>
        <v>11261382</v>
      </c>
    </row>
    <row r="667" spans="1:15" x14ac:dyDescent="0.25">
      <c r="A667" s="37">
        <f t="shared" si="11"/>
        <v>121</v>
      </c>
      <c r="C667" s="36" t="s">
        <v>637</v>
      </c>
      <c r="D667" s="36" t="s">
        <v>3617</v>
      </c>
      <c r="E667" s="36">
        <v>1126138</v>
      </c>
      <c r="F667" s="36">
        <v>3</v>
      </c>
      <c r="G667" s="36">
        <v>1130196</v>
      </c>
      <c r="H667" s="48" t="str">
        <f>IFERROR(INDEX(Table14[],MATCH($G667,Table14[SAPNo],0),3),"")</f>
        <v>Round 1313 CT182  0.018" (S)</v>
      </c>
      <c r="I667" s="37">
        <v>12</v>
      </c>
      <c r="J667" s="37">
        <f>IF(Table412[[#This Row],[MAT]]&lt;&gt;"",COUNTIF(Table3[LEVEL 5 MAT NO.],Table412[[#This Row],[MAT]]),"")</f>
        <v>0</v>
      </c>
      <c r="K667" s="36">
        <f>IFERROR(INDEX(Table3[],MATCH($E667,Table3[LEVEL 5 MAT NO.],0),2),0)</f>
        <v>0</v>
      </c>
      <c r="L667" s="36">
        <f>Table412[[#This Row],[Quantity in BOM]]*Table412[[#This Row],[Freq]]</f>
        <v>0</v>
      </c>
      <c r="M667" s="36" t="str">
        <f>IF(Table412[[#This Row],[Exist]]=1,Table412[[#This Row],[MAT]],"")</f>
        <v/>
      </c>
      <c r="N667" s="36" t="str">
        <f>IF(Table412[[#This Row],[Exist]]=1,Table412[[#This Row],[Component]],"")</f>
        <v/>
      </c>
      <c r="O667" s="36">
        <f>IFERROR(VALUE(Table412[[#This Row],[MAT]]&amp;Table412[[#This Row],[X'#]]),IF(COUNTIF(Table412[[#This Row],[MAT]],"*M"),Table412[[#This Row],[MAT]]&amp;Table412[[#This Row],[X'#]],""))</f>
        <v>11261383</v>
      </c>
    </row>
    <row r="668" spans="1:15" x14ac:dyDescent="0.25">
      <c r="A668" s="37">
        <f t="shared" si="11"/>
        <v>121</v>
      </c>
      <c r="C668" s="36" t="s">
        <v>637</v>
      </c>
      <c r="D668" s="36" t="s">
        <v>3617</v>
      </c>
      <c r="E668" s="36">
        <v>1126138</v>
      </c>
      <c r="F668" s="36">
        <v>4</v>
      </c>
      <c r="G668" s="36">
        <v>871781</v>
      </c>
      <c r="H668" s="48" t="str">
        <f>IFERROR(INDEX(Table14[],MATCH($G668,Table14[SAPNo],0),3),"")</f>
        <v>Round 1313 CT200  0.018" (B)</v>
      </c>
      <c r="I668" s="37">
        <v>4</v>
      </c>
      <c r="J668" s="37">
        <f>IF(Table412[[#This Row],[MAT]]&lt;&gt;"",COUNTIF(Table3[LEVEL 5 MAT NO.],Table412[[#This Row],[MAT]]),"")</f>
        <v>0</v>
      </c>
      <c r="K668" s="36">
        <f>IFERROR(INDEX(Table3[],MATCH($E668,Table3[LEVEL 5 MAT NO.],0),2),0)</f>
        <v>0</v>
      </c>
      <c r="L668" s="36">
        <f>Table412[[#This Row],[Quantity in BOM]]*Table412[[#This Row],[Freq]]</f>
        <v>0</v>
      </c>
      <c r="M668" s="36" t="str">
        <f>IF(Table412[[#This Row],[Exist]]=1,Table412[[#This Row],[MAT]],"")</f>
        <v/>
      </c>
      <c r="N668" s="36" t="str">
        <f>IF(Table412[[#This Row],[Exist]]=1,Table412[[#This Row],[Component]],"")</f>
        <v/>
      </c>
      <c r="O668" s="36">
        <f>IFERROR(VALUE(Table412[[#This Row],[MAT]]&amp;Table412[[#This Row],[X'#]]),IF(COUNTIF(Table412[[#This Row],[MAT]],"*M"),Table412[[#This Row],[MAT]]&amp;Table412[[#This Row],[X'#]],""))</f>
        <v>11261384</v>
      </c>
    </row>
    <row r="669" spans="1:15" x14ac:dyDescent="0.25">
      <c r="A669" s="37">
        <f t="shared" si="11"/>
        <v>121</v>
      </c>
      <c r="C669" s="36" t="s">
        <v>637</v>
      </c>
      <c r="D669" s="36" t="s">
        <v>3617</v>
      </c>
      <c r="E669" s="36">
        <v>1126138</v>
      </c>
      <c r="F669" s="36">
        <v>5</v>
      </c>
      <c r="G669" s="36">
        <v>418525</v>
      </c>
      <c r="H669" s="48" t="str">
        <f>IFERROR(INDEX(Table14[],MATCH($G669,Table14[SAPNo],0),3),"")</f>
        <v>Drop In 1308 CT31   (B)</v>
      </c>
      <c r="I669" s="37">
        <v>3</v>
      </c>
      <c r="J669" s="37">
        <f>IF(Table412[[#This Row],[MAT]]&lt;&gt;"",COUNTIF(Table3[LEVEL 5 MAT NO.],Table412[[#This Row],[MAT]]),"")</f>
        <v>0</v>
      </c>
      <c r="K669" s="36">
        <f>IFERROR(INDEX(Table3[],MATCH($E669,Table3[LEVEL 5 MAT NO.],0),2),0)</f>
        <v>0</v>
      </c>
      <c r="L669" s="36">
        <f>Table412[[#This Row],[Quantity in BOM]]*Table412[[#This Row],[Freq]]</f>
        <v>0</v>
      </c>
      <c r="M669" s="36" t="str">
        <f>IF(Table412[[#This Row],[Exist]]=1,Table412[[#This Row],[MAT]],"")</f>
        <v/>
      </c>
      <c r="N669" s="36" t="str">
        <f>IF(Table412[[#This Row],[Exist]]=1,Table412[[#This Row],[Component]],"")</f>
        <v/>
      </c>
      <c r="O669" s="36">
        <f>IFERROR(VALUE(Table412[[#This Row],[MAT]]&amp;Table412[[#This Row],[X'#]]),IF(COUNTIF(Table412[[#This Row],[MAT]],"*M"),Table412[[#This Row],[MAT]]&amp;Table412[[#This Row],[X'#]],""))</f>
        <v>11261385</v>
      </c>
    </row>
    <row r="670" spans="1:15" x14ac:dyDescent="0.25">
      <c r="A670" s="37">
        <f t="shared" si="11"/>
        <v>121</v>
      </c>
      <c r="C670" s="36" t="s">
        <v>631</v>
      </c>
      <c r="D670" s="36" t="s">
        <v>3702</v>
      </c>
      <c r="E670" s="36">
        <v>1141552</v>
      </c>
      <c r="F670" s="36">
        <v>1</v>
      </c>
      <c r="G670" s="36">
        <v>1144689</v>
      </c>
      <c r="H670" s="48" t="str">
        <f>IFERROR(INDEX(Table14[],MATCH($G670,Table14[SAPNo],0),3),"")</f>
        <v>Round 1308 CT153/CR42 Test Cutter 10C (T)</v>
      </c>
      <c r="I670" s="37">
        <v>2</v>
      </c>
      <c r="J670" s="37">
        <f>IF(Table412[[#This Row],[MAT]]&lt;&gt;"",COUNTIF(Table3[LEVEL 5 MAT NO.],Table412[[#This Row],[MAT]]),"")</f>
        <v>0</v>
      </c>
      <c r="K670" s="36">
        <f>IFERROR(INDEX(Table3[],MATCH($E670,Table3[LEVEL 5 MAT NO.],0),2),0)</f>
        <v>0</v>
      </c>
      <c r="L670" s="36">
        <f>Table412[[#This Row],[Quantity in BOM]]*Table412[[#This Row],[Freq]]</f>
        <v>0</v>
      </c>
      <c r="M670" s="36" t="str">
        <f>IF(Table412[[#This Row],[Exist]]=1,Table412[[#This Row],[MAT]],"")</f>
        <v/>
      </c>
      <c r="N670" s="36" t="str">
        <f>IF(Table412[[#This Row],[Exist]]=1,Table412[[#This Row],[Component]],"")</f>
        <v/>
      </c>
      <c r="O670" s="36">
        <f>IFERROR(VALUE(Table412[[#This Row],[MAT]]&amp;Table412[[#This Row],[X'#]]),IF(COUNTIF(Table412[[#This Row],[MAT]],"*M"),Table412[[#This Row],[MAT]]&amp;Table412[[#This Row],[X'#]],""))</f>
        <v>11415521</v>
      </c>
    </row>
    <row r="671" spans="1:15" x14ac:dyDescent="0.25">
      <c r="A671" s="37">
        <f t="shared" si="11"/>
        <v>121</v>
      </c>
      <c r="C671" s="36" t="s">
        <v>631</v>
      </c>
      <c r="D671" s="36" t="s">
        <v>3702</v>
      </c>
      <c r="E671" s="36">
        <v>1141552</v>
      </c>
      <c r="F671" s="36">
        <v>2</v>
      </c>
      <c r="G671" s="36">
        <v>1144818</v>
      </c>
      <c r="H671" s="48" t="str">
        <f>IFERROR(INDEX(Table14[],MATCH($G671,Table14[SAPNo],0),3),"")</f>
        <v>Round 1308 CT153/CR42 Test Cutter 0.018" (T)</v>
      </c>
      <c r="I671" s="37">
        <v>2</v>
      </c>
      <c r="J671" s="37">
        <f>IF(Table412[[#This Row],[MAT]]&lt;&gt;"",COUNTIF(Table3[LEVEL 5 MAT NO.],Table412[[#This Row],[MAT]]),"")</f>
        <v>0</v>
      </c>
      <c r="K671" s="36">
        <f>IFERROR(INDEX(Table3[],MATCH($E671,Table3[LEVEL 5 MAT NO.],0),2),0)</f>
        <v>0</v>
      </c>
      <c r="L671" s="36">
        <f>Table412[[#This Row],[Quantity in BOM]]*Table412[[#This Row],[Freq]]</f>
        <v>0</v>
      </c>
      <c r="M671" s="36" t="str">
        <f>IF(Table412[[#This Row],[Exist]]=1,Table412[[#This Row],[MAT]],"")</f>
        <v/>
      </c>
      <c r="N671" s="36" t="str">
        <f>IF(Table412[[#This Row],[Exist]]=1,Table412[[#This Row],[Component]],"")</f>
        <v/>
      </c>
      <c r="O671" s="36">
        <f>IFERROR(VALUE(Table412[[#This Row],[MAT]]&amp;Table412[[#This Row],[X'#]]),IF(COUNTIF(Table412[[#This Row],[MAT]],"*M"),Table412[[#This Row],[MAT]]&amp;Table412[[#This Row],[X'#]],""))</f>
        <v>11415522</v>
      </c>
    </row>
    <row r="672" spans="1:15" x14ac:dyDescent="0.25">
      <c r="A672" s="37">
        <f t="shared" si="11"/>
        <v>121</v>
      </c>
      <c r="C672" s="36" t="s">
        <v>631</v>
      </c>
      <c r="D672" s="36" t="s">
        <v>3702</v>
      </c>
      <c r="E672" s="36">
        <v>1141552</v>
      </c>
      <c r="F672" s="36">
        <v>3</v>
      </c>
      <c r="G672" s="36">
        <v>1176639</v>
      </c>
      <c r="H672" s="48" t="str">
        <f>IFERROR(INDEX(Table14[],MATCH($G672,Table14[SAPNo],0),3),"")</f>
        <v>Round 1308 CT 155  0.018 (T)</v>
      </c>
      <c r="I672" s="37">
        <v>6</v>
      </c>
      <c r="J672" s="37">
        <f>IF(Table412[[#This Row],[MAT]]&lt;&gt;"",COUNTIF(Table3[LEVEL 5 MAT NO.],Table412[[#This Row],[MAT]]),"")</f>
        <v>0</v>
      </c>
      <c r="K672" s="36">
        <f>IFERROR(INDEX(Table3[],MATCH($E672,Table3[LEVEL 5 MAT NO.],0),2),0)</f>
        <v>0</v>
      </c>
      <c r="L672" s="36">
        <f>Table412[[#This Row],[Quantity in BOM]]*Table412[[#This Row],[Freq]]</f>
        <v>0</v>
      </c>
      <c r="M672" s="36" t="str">
        <f>IF(Table412[[#This Row],[Exist]]=1,Table412[[#This Row],[MAT]],"")</f>
        <v/>
      </c>
      <c r="N672" s="36" t="str">
        <f>IF(Table412[[#This Row],[Exist]]=1,Table412[[#This Row],[Component]],"")</f>
        <v/>
      </c>
      <c r="O672" s="36">
        <f>IFERROR(VALUE(Table412[[#This Row],[MAT]]&amp;Table412[[#This Row],[X'#]]),IF(COUNTIF(Table412[[#This Row],[MAT]],"*M"),Table412[[#This Row],[MAT]]&amp;Table412[[#This Row],[X'#]],""))</f>
        <v>11415523</v>
      </c>
    </row>
    <row r="673" spans="1:15" x14ac:dyDescent="0.25">
      <c r="A673" s="37">
        <f t="shared" si="11"/>
        <v>121</v>
      </c>
      <c r="C673" s="36" t="s">
        <v>631</v>
      </c>
      <c r="D673" s="36" t="s">
        <v>3702</v>
      </c>
      <c r="E673" s="36">
        <v>1141552</v>
      </c>
      <c r="F673" s="36">
        <v>4</v>
      </c>
      <c r="G673" s="36">
        <v>1181761</v>
      </c>
      <c r="H673" s="48" t="str">
        <f>IFERROR(INDEX(Table14[],MATCH($G673,Table14[SAPNo],0),3),"")</f>
        <v>Round 1608 CT 155  0.018 (T)</v>
      </c>
      <c r="I673" s="37">
        <v>8</v>
      </c>
      <c r="J673" s="37">
        <f>IF(Table412[[#This Row],[MAT]]&lt;&gt;"",COUNTIF(Table3[LEVEL 5 MAT NO.],Table412[[#This Row],[MAT]]),"")</f>
        <v>0</v>
      </c>
      <c r="K673" s="36">
        <f>IFERROR(INDEX(Table3[],MATCH($E673,Table3[LEVEL 5 MAT NO.],0),2),0)</f>
        <v>0</v>
      </c>
      <c r="L673" s="36">
        <f>Table412[[#This Row],[Quantity in BOM]]*Table412[[#This Row],[Freq]]</f>
        <v>0</v>
      </c>
      <c r="M673" s="36" t="str">
        <f>IF(Table412[[#This Row],[Exist]]=1,Table412[[#This Row],[MAT]],"")</f>
        <v/>
      </c>
      <c r="N673" s="36" t="str">
        <f>IF(Table412[[#This Row],[Exist]]=1,Table412[[#This Row],[Component]],"")</f>
        <v/>
      </c>
      <c r="O673" s="36">
        <f>IFERROR(VALUE(Table412[[#This Row],[MAT]]&amp;Table412[[#This Row],[X'#]]),IF(COUNTIF(Table412[[#This Row],[MAT]],"*M"),Table412[[#This Row],[MAT]]&amp;Table412[[#This Row],[X'#]],""))</f>
        <v>11415524</v>
      </c>
    </row>
    <row r="674" spans="1:15" x14ac:dyDescent="0.25">
      <c r="A674" s="37">
        <f t="shared" si="11"/>
        <v>121</v>
      </c>
      <c r="C674" s="36" t="s">
        <v>631</v>
      </c>
      <c r="D674" s="36" t="s">
        <v>3702</v>
      </c>
      <c r="E674" s="36">
        <v>1141552</v>
      </c>
      <c r="F674" s="36">
        <v>5</v>
      </c>
      <c r="G674" s="36">
        <v>661066</v>
      </c>
      <c r="H674" s="48" t="str">
        <f>IFERROR(INDEX(Table14[],MATCH($G674,Table14[SAPNo],0),3),"")</f>
        <v>Round 1613 CR44  0.018" (T)</v>
      </c>
      <c r="I674" s="37">
        <v>6</v>
      </c>
      <c r="J674" s="37">
        <f>IF(Table412[[#This Row],[MAT]]&lt;&gt;"",COUNTIF(Table3[LEVEL 5 MAT NO.],Table412[[#This Row],[MAT]]),"")</f>
        <v>0</v>
      </c>
      <c r="K674" s="36">
        <f>IFERROR(INDEX(Table3[],MATCH($E674,Table3[LEVEL 5 MAT NO.],0),2),0)</f>
        <v>0</v>
      </c>
      <c r="L674" s="36">
        <f>Table412[[#This Row],[Quantity in BOM]]*Table412[[#This Row],[Freq]]</f>
        <v>0</v>
      </c>
      <c r="M674" s="36" t="str">
        <f>IF(Table412[[#This Row],[Exist]]=1,Table412[[#This Row],[MAT]],"")</f>
        <v/>
      </c>
      <c r="N674" s="36" t="str">
        <f>IF(Table412[[#This Row],[Exist]]=1,Table412[[#This Row],[Component]],"")</f>
        <v/>
      </c>
      <c r="O674" s="36">
        <f>IFERROR(VALUE(Table412[[#This Row],[MAT]]&amp;Table412[[#This Row],[X'#]]),IF(COUNTIF(Table412[[#This Row],[MAT]],"*M"),Table412[[#This Row],[MAT]]&amp;Table412[[#This Row],[X'#]],""))</f>
        <v>11415525</v>
      </c>
    </row>
    <row r="675" spans="1:15" x14ac:dyDescent="0.25">
      <c r="A675" s="37">
        <f t="shared" si="11"/>
        <v>121</v>
      </c>
      <c r="C675" s="36" t="s">
        <v>631</v>
      </c>
      <c r="D675" s="36" t="s">
        <v>3702</v>
      </c>
      <c r="E675" s="36">
        <v>1141552</v>
      </c>
      <c r="F675" s="36">
        <v>6</v>
      </c>
      <c r="G675" s="36">
        <v>1039036</v>
      </c>
      <c r="H675" s="48" t="str">
        <f>IFERROR(INDEX(Table14[],MATCH($G675,Table14[SAPNo],0),3),"")</f>
        <v>Round 1313 CT138  0.018" (S)</v>
      </c>
      <c r="I675" s="37">
        <v>12</v>
      </c>
      <c r="J675" s="37">
        <f>IF(Table412[[#This Row],[MAT]]&lt;&gt;"",COUNTIF(Table3[LEVEL 5 MAT NO.],Table412[[#This Row],[MAT]]),"")</f>
        <v>0</v>
      </c>
      <c r="K675" s="36">
        <f>IFERROR(INDEX(Table3[],MATCH($E675,Table3[LEVEL 5 MAT NO.],0),2),0)</f>
        <v>0</v>
      </c>
      <c r="L675" s="36">
        <f>Table412[[#This Row],[Quantity in BOM]]*Table412[[#This Row],[Freq]]</f>
        <v>0</v>
      </c>
      <c r="M675" s="36" t="str">
        <f>IF(Table412[[#This Row],[Exist]]=1,Table412[[#This Row],[MAT]],"")</f>
        <v/>
      </c>
      <c r="N675" s="36" t="str">
        <f>IF(Table412[[#This Row],[Exist]]=1,Table412[[#This Row],[Component]],"")</f>
        <v/>
      </c>
      <c r="O675" s="36">
        <f>IFERROR(VALUE(Table412[[#This Row],[MAT]]&amp;Table412[[#This Row],[X'#]]),IF(COUNTIF(Table412[[#This Row],[MAT]],"*M"),Table412[[#This Row],[MAT]]&amp;Table412[[#This Row],[X'#]],""))</f>
        <v>11415526</v>
      </c>
    </row>
    <row r="676" spans="1:15" x14ac:dyDescent="0.25">
      <c r="A676" s="37">
        <f t="shared" si="11"/>
        <v>121</v>
      </c>
      <c r="C676" s="36" t="s">
        <v>631</v>
      </c>
      <c r="D676" s="36" t="s">
        <v>3702</v>
      </c>
      <c r="E676" s="36">
        <v>1141552</v>
      </c>
      <c r="F676" s="36">
        <v>7</v>
      </c>
      <c r="G676" s="36">
        <v>1039033</v>
      </c>
      <c r="H676" s="48" t="str">
        <f>IFERROR(INDEX(Table14[],MATCH($G676,Table14[SAPNo],0),3),"")</f>
        <v>Round 1308 CT138  10C (S)</v>
      </c>
      <c r="I676" s="37">
        <v>21</v>
      </c>
      <c r="J676" s="37">
        <f>IF(Table412[[#This Row],[MAT]]&lt;&gt;"",COUNTIF(Table3[LEVEL 5 MAT NO.],Table412[[#This Row],[MAT]]),"")</f>
        <v>0</v>
      </c>
      <c r="K676" s="36">
        <f>IFERROR(INDEX(Table3[],MATCH($E676,Table3[LEVEL 5 MAT NO.],0),2),0)</f>
        <v>0</v>
      </c>
      <c r="L676" s="36">
        <f>Table412[[#This Row],[Quantity in BOM]]*Table412[[#This Row],[Freq]]</f>
        <v>0</v>
      </c>
      <c r="M676" s="36" t="str">
        <f>IF(Table412[[#This Row],[Exist]]=1,Table412[[#This Row],[MAT]],"")</f>
        <v/>
      </c>
      <c r="N676" s="36" t="str">
        <f>IF(Table412[[#This Row],[Exist]]=1,Table412[[#This Row],[Component]],"")</f>
        <v/>
      </c>
      <c r="O676" s="36">
        <f>IFERROR(VALUE(Table412[[#This Row],[MAT]]&amp;Table412[[#This Row],[X'#]]),IF(COUNTIF(Table412[[#This Row],[MAT]],"*M"),Table412[[#This Row],[MAT]]&amp;Table412[[#This Row],[X'#]],""))</f>
        <v>11415527</v>
      </c>
    </row>
    <row r="677" spans="1:15" x14ac:dyDescent="0.25">
      <c r="A677" s="37">
        <f t="shared" si="11"/>
        <v>121</v>
      </c>
      <c r="C677" s="36" t="s">
        <v>631</v>
      </c>
      <c r="D677" s="36" t="s">
        <v>3702</v>
      </c>
      <c r="E677" s="36">
        <v>1141552</v>
      </c>
      <c r="F677" s="36">
        <v>8</v>
      </c>
      <c r="G677" s="36">
        <v>418525</v>
      </c>
      <c r="H677" s="48" t="str">
        <f>IFERROR(INDEX(Table14[],MATCH($G677,Table14[SAPNo],0),3),"")</f>
        <v>Drop In 1308 CT31   (B)</v>
      </c>
      <c r="I677" s="37">
        <v>7</v>
      </c>
      <c r="J677" s="37">
        <f>IF(Table412[[#This Row],[MAT]]&lt;&gt;"",COUNTIF(Table3[LEVEL 5 MAT NO.],Table412[[#This Row],[MAT]]),"")</f>
        <v>0</v>
      </c>
      <c r="K677" s="36">
        <f>IFERROR(INDEX(Table3[],MATCH($E677,Table3[LEVEL 5 MAT NO.],0),2),0)</f>
        <v>0</v>
      </c>
      <c r="L677" s="36">
        <f>Table412[[#This Row],[Quantity in BOM]]*Table412[[#This Row],[Freq]]</f>
        <v>0</v>
      </c>
      <c r="M677" s="36" t="str">
        <f>IF(Table412[[#This Row],[Exist]]=1,Table412[[#This Row],[MAT]],"")</f>
        <v/>
      </c>
      <c r="N677" s="36" t="str">
        <f>IF(Table412[[#This Row],[Exist]]=1,Table412[[#This Row],[Component]],"")</f>
        <v/>
      </c>
      <c r="O677" s="36">
        <f>IFERROR(VALUE(Table412[[#This Row],[MAT]]&amp;Table412[[#This Row],[X'#]]),IF(COUNTIF(Table412[[#This Row],[MAT]],"*M"),Table412[[#This Row],[MAT]]&amp;Table412[[#This Row],[X'#]],""))</f>
        <v>11415528</v>
      </c>
    </row>
    <row r="678" spans="1:15" x14ac:dyDescent="0.25">
      <c r="A678" s="37">
        <f t="shared" si="11"/>
        <v>121</v>
      </c>
      <c r="C678" s="36" t="s">
        <v>624</v>
      </c>
      <c r="D678" s="36" t="s">
        <v>657</v>
      </c>
      <c r="E678" s="36">
        <v>1159702</v>
      </c>
      <c r="F678" s="36">
        <v>3</v>
      </c>
      <c r="G678" s="36">
        <v>717751</v>
      </c>
      <c r="H678" s="48" t="str">
        <f>IFERROR(INDEX(Table14[],MATCH($G678,Table14[SAPNo],0),3),"")</f>
        <v>Round 1308 CT200  0.018" (B)</v>
      </c>
      <c r="I678" s="37">
        <v>5</v>
      </c>
      <c r="J678" s="37">
        <f>IF(Table412[[#This Row],[MAT]]&lt;&gt;"",COUNTIF(Table3[LEVEL 5 MAT NO.],Table412[[#This Row],[MAT]]),"")</f>
        <v>0</v>
      </c>
      <c r="K678" s="36">
        <f>IFERROR(INDEX(Table3[],MATCH($E678,Table3[LEVEL 5 MAT NO.],0),2),0)</f>
        <v>0</v>
      </c>
      <c r="L678" s="36">
        <f>Table412[[#This Row],[Quantity in BOM]]*Table412[[#This Row],[Freq]]</f>
        <v>0</v>
      </c>
      <c r="M678" s="36" t="str">
        <f>IF(Table412[[#This Row],[Exist]]=1,Table412[[#This Row],[MAT]],"")</f>
        <v/>
      </c>
      <c r="N678" s="36" t="str">
        <f>IF(Table412[[#This Row],[Exist]]=1,Table412[[#This Row],[Component]],"")</f>
        <v/>
      </c>
      <c r="O678" s="36">
        <f>IFERROR(VALUE(Table412[[#This Row],[MAT]]&amp;Table412[[#This Row],[X'#]]),IF(COUNTIF(Table412[[#This Row],[MAT]],"*M"),Table412[[#This Row],[MAT]]&amp;Table412[[#This Row],[X'#]],""))</f>
        <v>11597023</v>
      </c>
    </row>
    <row r="679" spans="1:15" x14ac:dyDescent="0.25">
      <c r="A679" s="37">
        <f t="shared" si="11"/>
        <v>121</v>
      </c>
      <c r="C679" s="36" t="s">
        <v>624</v>
      </c>
      <c r="D679" s="36" t="s">
        <v>657</v>
      </c>
      <c r="E679" s="36">
        <v>1159702</v>
      </c>
      <c r="F679" s="36">
        <v>4</v>
      </c>
      <c r="G679" s="36">
        <v>1078371</v>
      </c>
      <c r="H679" s="48" t="str">
        <f>IFERROR(INDEX(Table14[],MATCH($G679,Table14[SAPNo],0),3),"")</f>
        <v xml:space="preserve"> 13 CT143   ()</v>
      </c>
      <c r="I679" s="37">
        <v>5</v>
      </c>
      <c r="J679" s="37">
        <f>IF(Table412[[#This Row],[MAT]]&lt;&gt;"",COUNTIF(Table3[LEVEL 5 MAT NO.],Table412[[#This Row],[MAT]]),"")</f>
        <v>0</v>
      </c>
      <c r="K679" s="36">
        <f>IFERROR(INDEX(Table3[],MATCH($E679,Table3[LEVEL 5 MAT NO.],0),2),0)</f>
        <v>0</v>
      </c>
      <c r="L679" s="36">
        <f>Table412[[#This Row],[Quantity in BOM]]*Table412[[#This Row],[Freq]]</f>
        <v>0</v>
      </c>
      <c r="M679" s="36" t="str">
        <f>IF(Table412[[#This Row],[Exist]]=1,Table412[[#This Row],[MAT]],"")</f>
        <v/>
      </c>
      <c r="N679" s="36" t="str">
        <f>IF(Table412[[#This Row],[Exist]]=1,Table412[[#This Row],[Component]],"")</f>
        <v/>
      </c>
      <c r="O679" s="36">
        <f>IFERROR(VALUE(Table412[[#This Row],[MAT]]&amp;Table412[[#This Row],[X'#]]),IF(COUNTIF(Table412[[#This Row],[MAT]],"*M"),Table412[[#This Row],[MAT]]&amp;Table412[[#This Row],[X'#]],""))</f>
        <v>11597024</v>
      </c>
    </row>
    <row r="680" spans="1:15" x14ac:dyDescent="0.25">
      <c r="A680" s="37">
        <f t="shared" si="11"/>
        <v>121</v>
      </c>
      <c r="C680" s="36" t="s">
        <v>309</v>
      </c>
      <c r="D680" s="36" t="s">
        <v>256</v>
      </c>
      <c r="E680" s="36" t="s">
        <v>3703</v>
      </c>
      <c r="F680" s="36">
        <v>1</v>
      </c>
      <c r="G680" s="36">
        <v>1136984</v>
      </c>
      <c r="H680" s="48" t="str">
        <f>IFERROR(INDEX(Table14[],MATCH($G680,Table14[SAPNo],0),3),"")</f>
        <v>DBLMCHT 1313 CT182DM  10C (S)</v>
      </c>
      <c r="I680" s="37">
        <v>13</v>
      </c>
      <c r="J680" s="37">
        <f>IF(Table412[[#This Row],[MAT]]&lt;&gt;"",COUNTIF(Table3[LEVEL 5 MAT NO.],Table412[[#This Row],[MAT]]),"")</f>
        <v>0</v>
      </c>
      <c r="K680" s="36">
        <f>IFERROR(INDEX(Table3[],MATCH($E680,Table3[LEVEL 5 MAT NO.],0),2),0)</f>
        <v>0</v>
      </c>
      <c r="L680" s="36">
        <f>Table412[[#This Row],[Quantity in BOM]]*Table412[[#This Row],[Freq]]</f>
        <v>0</v>
      </c>
      <c r="M680" s="36" t="str">
        <f>IF(Table412[[#This Row],[Exist]]=1,Table412[[#This Row],[MAT]],"")</f>
        <v/>
      </c>
      <c r="N680" s="36" t="str">
        <f>IF(Table412[[#This Row],[Exist]]=1,Table412[[#This Row],[Component]],"")</f>
        <v/>
      </c>
      <c r="O680" s="36" t="str">
        <f>IFERROR(VALUE(Table412[[#This Row],[MAT]]&amp;Table412[[#This Row],[X'#]]),IF(COUNTIF(Table412[[#This Row],[MAT]],"*M"),Table412[[#This Row],[MAT]]&amp;Table412[[#This Row],[X'#]],""))</f>
        <v/>
      </c>
    </row>
    <row r="681" spans="1:15" x14ac:dyDescent="0.25">
      <c r="A681" s="37">
        <f t="shared" si="11"/>
        <v>121</v>
      </c>
      <c r="C681" s="36" t="s">
        <v>309</v>
      </c>
      <c r="D681" s="36" t="s">
        <v>256</v>
      </c>
      <c r="E681" s="36" t="s">
        <v>3703</v>
      </c>
      <c r="F681" s="36">
        <v>2</v>
      </c>
      <c r="G681" s="36">
        <v>1100696</v>
      </c>
      <c r="H681" s="48" t="str">
        <f>IFERROR(INDEX(Table14[],MATCH($G681,Table14[SAPNo],0),3),"")</f>
        <v>Round 1313 CT418  10C (S)</v>
      </c>
      <c r="I681" s="37">
        <v>12</v>
      </c>
      <c r="J681" s="37">
        <f>IF(Table412[[#This Row],[MAT]]&lt;&gt;"",COUNTIF(Table3[LEVEL 5 MAT NO.],Table412[[#This Row],[MAT]]),"")</f>
        <v>0</v>
      </c>
      <c r="K681" s="36">
        <f>IFERROR(INDEX(Table3[],MATCH($E681,Table3[LEVEL 5 MAT NO.],0),2),0)</f>
        <v>0</v>
      </c>
      <c r="L681" s="36">
        <f>Table412[[#This Row],[Quantity in BOM]]*Table412[[#This Row],[Freq]]</f>
        <v>0</v>
      </c>
      <c r="M681" s="36" t="str">
        <f>IF(Table412[[#This Row],[Exist]]=1,Table412[[#This Row],[MAT]],"")</f>
        <v/>
      </c>
      <c r="N681" s="36" t="str">
        <f>IF(Table412[[#This Row],[Exist]]=1,Table412[[#This Row],[Component]],"")</f>
        <v/>
      </c>
      <c r="O681" s="36" t="str">
        <f>IFERROR(VALUE(Table412[[#This Row],[MAT]]&amp;Table412[[#This Row],[X'#]]),IF(COUNTIF(Table412[[#This Row],[MAT]],"*M"),Table412[[#This Row],[MAT]]&amp;Table412[[#This Row],[X'#]],""))</f>
        <v/>
      </c>
    </row>
    <row r="682" spans="1:15" x14ac:dyDescent="0.25">
      <c r="A682" s="37">
        <f t="shared" si="11"/>
        <v>121</v>
      </c>
      <c r="C682" s="36" t="s">
        <v>309</v>
      </c>
      <c r="D682" s="36" t="s">
        <v>256</v>
      </c>
      <c r="E682" s="36" t="s">
        <v>3703</v>
      </c>
      <c r="F682" s="36">
        <v>3</v>
      </c>
      <c r="G682" s="36">
        <v>418525</v>
      </c>
      <c r="H682" s="48" t="str">
        <f>IFERROR(INDEX(Table14[],MATCH($G682,Table14[SAPNo],0),3),"")</f>
        <v>Drop In 1308 CT31   (B)</v>
      </c>
      <c r="I682" s="37">
        <v>6</v>
      </c>
      <c r="J682" s="37">
        <f>IF(Table412[[#This Row],[MAT]]&lt;&gt;"",COUNTIF(Table3[LEVEL 5 MAT NO.],Table412[[#This Row],[MAT]]),"")</f>
        <v>0</v>
      </c>
      <c r="K682" s="36">
        <f>IFERROR(INDEX(Table3[],MATCH($E682,Table3[LEVEL 5 MAT NO.],0),2),0)</f>
        <v>0</v>
      </c>
      <c r="L682" s="36">
        <f>Table412[[#This Row],[Quantity in BOM]]*Table412[[#This Row],[Freq]]</f>
        <v>0</v>
      </c>
      <c r="M682" s="36" t="str">
        <f>IF(Table412[[#This Row],[Exist]]=1,Table412[[#This Row],[MAT]],"")</f>
        <v/>
      </c>
      <c r="N682" s="36" t="str">
        <f>IF(Table412[[#This Row],[Exist]]=1,Table412[[#This Row],[Component]],"")</f>
        <v/>
      </c>
      <c r="O682" s="36" t="str">
        <f>IFERROR(VALUE(Table412[[#This Row],[MAT]]&amp;Table412[[#This Row],[X'#]]),IF(COUNTIF(Table412[[#This Row],[MAT]],"*M"),Table412[[#This Row],[MAT]]&amp;Table412[[#This Row],[X'#]],""))</f>
        <v/>
      </c>
    </row>
    <row r="683" spans="1:15" x14ac:dyDescent="0.25">
      <c r="A683" s="37">
        <f t="shared" si="11"/>
        <v>121</v>
      </c>
      <c r="C683" s="38" t="s">
        <v>309</v>
      </c>
      <c r="D683" s="36" t="s">
        <v>256</v>
      </c>
      <c r="E683" s="36" t="s">
        <v>3703</v>
      </c>
      <c r="F683" s="36">
        <v>4</v>
      </c>
      <c r="G683" s="36">
        <v>1101509</v>
      </c>
      <c r="H683" s="48" t="str">
        <f>IFERROR(INDEX(Table14[],MATCH($G683,Table14[SAPNo],0),3),"")</f>
        <v>Short IA 8    (C)</v>
      </c>
      <c r="I683" s="37">
        <v>5</v>
      </c>
      <c r="J683" s="37">
        <f>IF(Table412[[#This Row],[MAT]]&lt;&gt;"",COUNTIF(Table3[LEVEL 5 MAT NO.],Table412[[#This Row],[MAT]]),"")</f>
        <v>0</v>
      </c>
      <c r="K683" s="36">
        <f>IFERROR(INDEX(Table3[],MATCH($E683,Table3[LEVEL 5 MAT NO.],0),2),0)</f>
        <v>0</v>
      </c>
      <c r="L683" s="36">
        <f>Table412[[#This Row],[Quantity in BOM]]*Table412[[#This Row],[Freq]]</f>
        <v>0</v>
      </c>
      <c r="M683" s="36" t="str">
        <f>IF(Table412[[#This Row],[Exist]]=1,Table412[[#This Row],[MAT]],"")</f>
        <v/>
      </c>
      <c r="N683" s="36" t="str">
        <f>IF(Table412[[#This Row],[Exist]]=1,Table412[[#This Row],[Component]],"")</f>
        <v/>
      </c>
      <c r="O683" s="36" t="str">
        <f>IFERROR(VALUE(Table412[[#This Row],[MAT]]&amp;Table412[[#This Row],[X'#]]),IF(COUNTIF(Table412[[#This Row],[MAT]],"*M"),Table412[[#This Row],[MAT]]&amp;Table412[[#This Row],[X'#]],""))</f>
        <v/>
      </c>
    </row>
    <row r="684" spans="1:15" x14ac:dyDescent="0.25">
      <c r="A684" s="37">
        <f t="shared" si="11"/>
        <v>121</v>
      </c>
      <c r="C684" s="38" t="s">
        <v>309</v>
      </c>
      <c r="D684" s="36" t="s">
        <v>256</v>
      </c>
      <c r="E684" s="36" t="s">
        <v>3703</v>
      </c>
      <c r="F684" s="36">
        <v>5</v>
      </c>
      <c r="G684" s="36">
        <v>1104083</v>
      </c>
      <c r="H684" s="48" t="str">
        <f>IFERROR(INDEX(Table14[],MATCH($G684,Table14[SAPNo],0),3),"")</f>
        <v>1313 CT144H  10C (S)</v>
      </c>
      <c r="I684" s="37">
        <v>1</v>
      </c>
      <c r="J684" s="37">
        <f>IF(Table412[[#This Row],[MAT]]&lt;&gt;"",COUNTIF(Table3[LEVEL 5 MAT NO.],Table412[[#This Row],[MAT]]),"")</f>
        <v>0</v>
      </c>
      <c r="K684" s="36">
        <f>IFERROR(INDEX(Table3[],MATCH($E684,Table3[LEVEL 5 MAT NO.],0),2),0)</f>
        <v>0</v>
      </c>
      <c r="L684" s="36">
        <f>Table412[[#This Row],[Quantity in BOM]]*Table412[[#This Row],[Freq]]</f>
        <v>0</v>
      </c>
      <c r="M684" s="36" t="str">
        <f>IF(Table412[[#This Row],[Exist]]=1,Table412[[#This Row],[MAT]],"")</f>
        <v/>
      </c>
      <c r="N684" s="36" t="str">
        <f>IF(Table412[[#This Row],[Exist]]=1,Table412[[#This Row],[Component]],"")</f>
        <v/>
      </c>
      <c r="O684" s="36" t="str">
        <f>IFERROR(VALUE(Table412[[#This Row],[MAT]]&amp;Table412[[#This Row],[X'#]]),IF(COUNTIF(Table412[[#This Row],[MAT]],"*M"),Table412[[#This Row],[MAT]]&amp;Table412[[#This Row],[X'#]],""))</f>
        <v/>
      </c>
    </row>
    <row r="685" spans="1:15" x14ac:dyDescent="0.25">
      <c r="A685" s="37">
        <f t="shared" si="11"/>
        <v>121</v>
      </c>
      <c r="C685" s="36" t="s">
        <v>319</v>
      </c>
      <c r="D685" s="36" t="s">
        <v>320</v>
      </c>
      <c r="E685" s="36">
        <v>1283277</v>
      </c>
      <c r="F685" s="36">
        <v>1</v>
      </c>
      <c r="G685" s="111">
        <v>1271790</v>
      </c>
      <c r="H685" s="48" t="str">
        <f>IFERROR(INDEX(Table14[],MATCH($G685,Table14[SAPNo],0),3),"")</f>
        <v xml:space="preserve">1613 CT170 18-60 </v>
      </c>
      <c r="I685" s="37">
        <v>47</v>
      </c>
      <c r="J685" s="37">
        <f>IF(Table412[[#This Row],[MAT]]&lt;&gt;"",COUNTIF(Table3[LEVEL 5 MAT NO.],Table412[[#This Row],[MAT]]),"")</f>
        <v>1</v>
      </c>
      <c r="K685" s="36">
        <f>IFERROR(INDEX(Table3[],MATCH($E685,Table3[LEVEL 5 MAT NO.],0),2),0)</f>
        <v>2</v>
      </c>
      <c r="L685" s="36">
        <f>Table412[[#This Row],[Quantity in BOM]]*Table412[[#This Row],[Freq]]</f>
        <v>94</v>
      </c>
      <c r="M685" s="36">
        <f>IF(Table412[[#This Row],[Exist]]=1,Table412[[#This Row],[MAT]],"")</f>
        <v>1283277</v>
      </c>
      <c r="N685" s="36">
        <f>IF(Table412[[#This Row],[Exist]]=1,Table412[[#This Row],[Component]],"")</f>
        <v>1271790</v>
      </c>
      <c r="O685" s="36">
        <f>IFERROR(VALUE(Table412[[#This Row],[MAT]]&amp;Table412[[#This Row],[X'#]]),IF(COUNTIF(Table412[[#This Row],[MAT]],"*M"),Table412[[#This Row],[MAT]]&amp;Table412[[#This Row],[X'#]],""))</f>
        <v>12832771</v>
      </c>
    </row>
    <row r="686" spans="1:15" x14ac:dyDescent="0.25">
      <c r="A686" s="37">
        <f t="shared" si="11"/>
        <v>123</v>
      </c>
      <c r="C686" s="36" t="s">
        <v>319</v>
      </c>
      <c r="D686" s="36" t="s">
        <v>320</v>
      </c>
      <c r="E686" s="36">
        <v>1283277</v>
      </c>
      <c r="F686" s="36">
        <v>2</v>
      </c>
      <c r="G686" s="36">
        <v>179734</v>
      </c>
      <c r="H686" s="48" t="str">
        <f>IFERROR(INDEX(Table14[],MATCH($G686,Table14[SAPNo],0),3),"")</f>
        <v>Long IPA 13    (C)</v>
      </c>
      <c r="I686" s="37">
        <v>35</v>
      </c>
      <c r="J686" s="37">
        <f>IF(Table412[[#This Row],[MAT]]&lt;&gt;"",COUNTIF(Table3[LEVEL 5 MAT NO.],Table412[[#This Row],[MAT]]),"")</f>
        <v>1</v>
      </c>
      <c r="K686" s="36">
        <f>IFERROR(INDEX(Table3[],MATCH($E686,Table3[LEVEL 5 MAT NO.],0),2),0)</f>
        <v>2</v>
      </c>
      <c r="L686" s="36">
        <f>Table412[[#This Row],[Quantity in BOM]]*Table412[[#This Row],[Freq]]</f>
        <v>70</v>
      </c>
      <c r="M686" s="36">
        <f>IF(Table412[[#This Row],[Exist]]=1,Table412[[#This Row],[MAT]],"")</f>
        <v>1283277</v>
      </c>
      <c r="N686" s="36">
        <f>IF(Table412[[#This Row],[Exist]]=1,Table412[[#This Row],[Component]],"")</f>
        <v>179734</v>
      </c>
      <c r="O686" s="36">
        <f>IFERROR(VALUE(Table412[[#This Row],[MAT]]&amp;Table412[[#This Row],[X'#]]),IF(COUNTIF(Table412[[#This Row],[MAT]],"*M"),Table412[[#This Row],[MAT]]&amp;Table412[[#This Row],[X'#]],""))</f>
        <v>12832772</v>
      </c>
    </row>
    <row r="687" spans="1:15" x14ac:dyDescent="0.25">
      <c r="A687" s="37">
        <f t="shared" si="11"/>
        <v>125</v>
      </c>
      <c r="C687" s="36" t="s">
        <v>319</v>
      </c>
      <c r="D687" s="36" t="s">
        <v>320</v>
      </c>
      <c r="E687" s="36">
        <v>1283277</v>
      </c>
      <c r="F687" s="36">
        <v>3</v>
      </c>
      <c r="G687" s="36">
        <v>1146737</v>
      </c>
      <c r="H687" s="48" t="str">
        <f>IFERROR(INDEX(Table14[],MATCH($G687,Table14[SAPNo],0),3),"")</f>
        <v>1613 CT418 18-60</v>
      </c>
      <c r="I687" s="37">
        <v>33</v>
      </c>
      <c r="J687" s="37">
        <f>IF(Table412[[#This Row],[MAT]]&lt;&gt;"",COUNTIF(Table3[LEVEL 5 MAT NO.],Table412[[#This Row],[MAT]]),"")</f>
        <v>1</v>
      </c>
      <c r="K687" s="36">
        <f>IFERROR(INDEX(Table3[],MATCH($E687,Table3[LEVEL 5 MAT NO.],0),2),0)</f>
        <v>2</v>
      </c>
      <c r="L687" s="36">
        <f>Table412[[#This Row],[Quantity in BOM]]*Table412[[#This Row],[Freq]]</f>
        <v>66</v>
      </c>
      <c r="M687" s="36">
        <f>IF(Table412[[#This Row],[Exist]]=1,Table412[[#This Row],[MAT]],"")</f>
        <v>1283277</v>
      </c>
      <c r="N687" s="36">
        <f>IF(Table412[[#This Row],[Exist]]=1,Table412[[#This Row],[Component]],"")</f>
        <v>1146737</v>
      </c>
      <c r="O687" s="36">
        <f>IFERROR(VALUE(Table412[[#This Row],[MAT]]&amp;Table412[[#This Row],[X'#]]),IF(COUNTIF(Table412[[#This Row],[MAT]],"*M"),Table412[[#This Row],[MAT]]&amp;Table412[[#This Row],[X'#]],""))</f>
        <v>12832773</v>
      </c>
    </row>
    <row r="688" spans="1:15" x14ac:dyDescent="0.25">
      <c r="A688" s="37">
        <f t="shared" si="11"/>
        <v>127</v>
      </c>
      <c r="C688" s="36" t="s">
        <v>319</v>
      </c>
      <c r="D688" s="36" t="s">
        <v>320</v>
      </c>
      <c r="E688" s="36">
        <v>1283277</v>
      </c>
      <c r="F688" s="36">
        <v>4</v>
      </c>
      <c r="G688" s="111">
        <v>410851</v>
      </c>
      <c r="H688" s="48" t="str">
        <f>IFERROR(INDEX(Table14[],MATCH($G688,Table14[SAPNo],0),3),"")</f>
        <v>PDC Dome 1308 CT31   (B)</v>
      </c>
      <c r="I688" s="37">
        <v>28</v>
      </c>
      <c r="J688" s="37">
        <f>IF(Table412[[#This Row],[MAT]]&lt;&gt;"",COUNTIF(Table3[LEVEL 5 MAT NO.],Table412[[#This Row],[MAT]]),"")</f>
        <v>1</v>
      </c>
      <c r="K688" s="36">
        <f>IFERROR(INDEX(Table3[],MATCH($E688,Table3[LEVEL 5 MAT NO.],0),2),0)</f>
        <v>2</v>
      </c>
      <c r="L688" s="36">
        <f>Table412[[#This Row],[Quantity in BOM]]*Table412[[#This Row],[Freq]]</f>
        <v>56</v>
      </c>
      <c r="M688" s="36">
        <f>IF(Table412[[#This Row],[Exist]]=1,Table412[[#This Row],[MAT]],"")</f>
        <v>1283277</v>
      </c>
      <c r="N688" s="36">
        <f>IF(Table412[[#This Row],[Exist]]=1,Table412[[#This Row],[Component]],"")</f>
        <v>410851</v>
      </c>
      <c r="O688" s="36">
        <f>IFERROR(VALUE(Table412[[#This Row],[MAT]]&amp;Table412[[#This Row],[X'#]]),IF(COUNTIF(Table412[[#This Row],[MAT]],"*M"),Table412[[#This Row],[MAT]]&amp;Table412[[#This Row],[X'#]],""))</f>
        <v>12832774</v>
      </c>
    </row>
    <row r="689" spans="1:15" x14ac:dyDescent="0.25">
      <c r="A689" s="37">
        <f t="shared" si="11"/>
        <v>129</v>
      </c>
      <c r="C689" s="36" t="s">
        <v>319</v>
      </c>
      <c r="D689" s="36" t="s">
        <v>320</v>
      </c>
      <c r="E689" s="36">
        <v>1283277</v>
      </c>
      <c r="F689" s="36">
        <v>5</v>
      </c>
      <c r="G689" s="36">
        <v>647436</v>
      </c>
      <c r="H689" s="48" t="str">
        <f>IFERROR(INDEX(Table14[],MATCH($G689,Table14[SAPNo],0),3),"")</f>
        <v>Round 1613 CT200  0.018" (B)</v>
      </c>
      <c r="I689" s="37">
        <v>27</v>
      </c>
      <c r="J689" s="37">
        <f>IF(Table412[[#This Row],[MAT]]&lt;&gt;"",COUNTIF(Table3[LEVEL 5 MAT NO.],Table412[[#This Row],[MAT]]),"")</f>
        <v>1</v>
      </c>
      <c r="K689" s="36">
        <f>IFERROR(INDEX(Table3[],MATCH($E689,Table3[LEVEL 5 MAT NO.],0),2),0)</f>
        <v>2</v>
      </c>
      <c r="L689" s="36">
        <f>Table412[[#This Row],[Quantity in BOM]]*Table412[[#This Row],[Freq]]</f>
        <v>54</v>
      </c>
      <c r="M689" s="36">
        <f>IF(Table412[[#This Row],[Exist]]=1,Table412[[#This Row],[MAT]],"")</f>
        <v>1283277</v>
      </c>
      <c r="N689" s="36">
        <f>IF(Table412[[#This Row],[Exist]]=1,Table412[[#This Row],[Component]],"")</f>
        <v>647436</v>
      </c>
      <c r="O689" s="36">
        <f>IFERROR(VALUE(Table412[[#This Row],[MAT]]&amp;Table412[[#This Row],[X'#]]),IF(COUNTIF(Table412[[#This Row],[MAT]],"*M"),Table412[[#This Row],[MAT]]&amp;Table412[[#This Row],[X'#]],""))</f>
        <v>12832775</v>
      </c>
    </row>
    <row r="690" spans="1:15" x14ac:dyDescent="0.25">
      <c r="A690" s="37">
        <f t="shared" si="11"/>
        <v>131</v>
      </c>
      <c r="C690" s="38" t="s">
        <v>319</v>
      </c>
      <c r="D690" s="36" t="s">
        <v>320</v>
      </c>
      <c r="E690" s="36">
        <v>1283277</v>
      </c>
      <c r="F690" s="36">
        <v>6</v>
      </c>
      <c r="G690" s="36">
        <v>418525</v>
      </c>
      <c r="H690" s="48" t="str">
        <f>IFERROR(INDEX(Table14[],MATCH($G690,Table14[SAPNo],0),3),"")</f>
        <v>Drop In 1308 CT31   (B)</v>
      </c>
      <c r="I690" s="37">
        <v>14</v>
      </c>
      <c r="J690" s="37">
        <f>IF(Table412[[#This Row],[MAT]]&lt;&gt;"",COUNTIF(Table3[LEVEL 5 MAT NO.],Table412[[#This Row],[MAT]]),"")</f>
        <v>1</v>
      </c>
      <c r="K690" s="36">
        <f>IFERROR(INDEX(Table3[],MATCH($E690,Table3[LEVEL 5 MAT NO.],0),2),0)</f>
        <v>2</v>
      </c>
      <c r="L690" s="36">
        <f>Table412[[#This Row],[Quantity in BOM]]*Table412[[#This Row],[Freq]]</f>
        <v>28</v>
      </c>
      <c r="M690" s="36">
        <f>IF(Table412[[#This Row],[Exist]]=1,Table412[[#This Row],[MAT]],"")</f>
        <v>1283277</v>
      </c>
      <c r="N690" s="36">
        <f>IF(Table412[[#This Row],[Exist]]=1,Table412[[#This Row],[Component]],"")</f>
        <v>418525</v>
      </c>
      <c r="O690" s="36">
        <f>IFERROR(VALUE(Table412[[#This Row],[MAT]]&amp;Table412[[#This Row],[X'#]]),IF(COUNTIF(Table412[[#This Row],[MAT]],"*M"),Table412[[#This Row],[MAT]]&amp;Table412[[#This Row],[X'#]],""))</f>
        <v>12832776</v>
      </c>
    </row>
    <row r="691" spans="1:15" x14ac:dyDescent="0.25">
      <c r="A691" s="37">
        <f t="shared" si="11"/>
        <v>133</v>
      </c>
      <c r="C691" s="160" t="s">
        <v>309</v>
      </c>
      <c r="D691" s="160" t="s">
        <v>653</v>
      </c>
      <c r="E691" s="160">
        <v>1174282</v>
      </c>
      <c r="F691" s="160">
        <v>1</v>
      </c>
      <c r="G691" s="160">
        <v>1145493</v>
      </c>
      <c r="H691" s="48" t="str">
        <f>IFERROR(INDEX(Table14[],MATCH($G691,Table14[SAPNo],0),3),"")</f>
        <v>Round 1313 CT427  10C (S)</v>
      </c>
      <c r="I691" s="162">
        <v>23</v>
      </c>
      <c r="J691" s="37">
        <f>IF(Table412[[#This Row],[MAT]]&lt;&gt;"",COUNTIF(Table3[LEVEL 5 MAT NO.],Table412[[#This Row],[MAT]]),"")</f>
        <v>0</v>
      </c>
      <c r="K691" s="36">
        <f>IFERROR(INDEX(Table3[],MATCH($E691,Table3[LEVEL 5 MAT NO.],0),2),0)</f>
        <v>0</v>
      </c>
      <c r="L691" s="36">
        <f>Table412[[#This Row],[Quantity in BOM]]*Table412[[#This Row],[Freq]]</f>
        <v>0</v>
      </c>
      <c r="M691" s="36" t="str">
        <f>IF(Table412[[#This Row],[Exist]]=1,Table412[[#This Row],[MAT]],"")</f>
        <v/>
      </c>
      <c r="N691" s="36" t="str">
        <f>IF(Table412[[#This Row],[Exist]]=1,Table412[[#This Row],[Component]],"")</f>
        <v/>
      </c>
      <c r="O691" s="36">
        <f>IFERROR(VALUE(Table412[[#This Row],[MAT]]&amp;Table412[[#This Row],[X'#]]),IF(COUNTIF(Table412[[#This Row],[MAT]],"*M"),Table412[[#This Row],[MAT]]&amp;Table412[[#This Row],[X'#]],""))</f>
        <v>11742821</v>
      </c>
    </row>
    <row r="692" spans="1:15" x14ac:dyDescent="0.25">
      <c r="A692" s="37">
        <f t="shared" si="11"/>
        <v>133</v>
      </c>
      <c r="C692" s="160" t="s">
        <v>309</v>
      </c>
      <c r="D692" s="160" t="s">
        <v>653</v>
      </c>
      <c r="E692" s="160">
        <v>1174282</v>
      </c>
      <c r="F692" s="160">
        <v>2</v>
      </c>
      <c r="G692" s="160">
        <v>418525</v>
      </c>
      <c r="H692" s="48" t="str">
        <f>IFERROR(INDEX(Table14[],MATCH($G692,Table14[SAPNo],0),3),"")</f>
        <v>Drop In 1308 CT31   (B)</v>
      </c>
      <c r="I692" s="162">
        <v>10</v>
      </c>
      <c r="J692" s="37">
        <f>IF(Table412[[#This Row],[MAT]]&lt;&gt;"",COUNTIF(Table3[LEVEL 5 MAT NO.],Table412[[#This Row],[MAT]]),"")</f>
        <v>0</v>
      </c>
      <c r="K692" s="36">
        <f>IFERROR(INDEX(Table3[],MATCH($E692,Table3[LEVEL 5 MAT NO.],0),2),0)</f>
        <v>0</v>
      </c>
      <c r="L692" s="36">
        <f>Table412[[#This Row],[Quantity in BOM]]*Table412[[#This Row],[Freq]]</f>
        <v>0</v>
      </c>
      <c r="M692" s="36" t="str">
        <f>IF(Table412[[#This Row],[Exist]]=1,Table412[[#This Row],[MAT]],"")</f>
        <v/>
      </c>
      <c r="N692" s="36" t="str">
        <f>IF(Table412[[#This Row],[Exist]]=1,Table412[[#This Row],[Component]],"")</f>
        <v/>
      </c>
      <c r="O692" s="36">
        <f>IFERROR(VALUE(Table412[[#This Row],[MAT]]&amp;Table412[[#This Row],[X'#]]),IF(COUNTIF(Table412[[#This Row],[MAT]],"*M"),Table412[[#This Row],[MAT]]&amp;Table412[[#This Row],[X'#]],""))</f>
        <v>11742822</v>
      </c>
    </row>
    <row r="693" spans="1:15" x14ac:dyDescent="0.25">
      <c r="A693" s="37">
        <f t="shared" si="11"/>
        <v>133</v>
      </c>
      <c r="C693" s="36" t="s">
        <v>313</v>
      </c>
      <c r="D693" s="36" t="s">
        <v>314</v>
      </c>
      <c r="E693" s="36">
        <v>1176919</v>
      </c>
      <c r="F693" s="36">
        <v>1</v>
      </c>
      <c r="G693" s="36">
        <v>1130198</v>
      </c>
      <c r="H693" s="48" t="str">
        <f>IFERROR(INDEX(Table14[],MATCH($G693,Table14[SAPNo],0),3),"")</f>
        <v>Round 1613 CT182  0.018" (S)</v>
      </c>
      <c r="I693" s="37">
        <v>33</v>
      </c>
      <c r="J693" s="37">
        <f>IF(Table412[[#This Row],[MAT]]&lt;&gt;"",COUNTIF(Table3[LEVEL 5 MAT NO.],Table412[[#This Row],[MAT]]),"")</f>
        <v>0</v>
      </c>
      <c r="K693" s="36">
        <f>IFERROR(INDEX(Table3[],MATCH($E693,Table3[LEVEL 5 MAT NO.],0),2),0)</f>
        <v>0</v>
      </c>
      <c r="L693" s="36">
        <f>Table412[[#This Row],[Quantity in BOM]]*Table412[[#This Row],[Freq]]</f>
        <v>0</v>
      </c>
      <c r="M693" s="36" t="str">
        <f>IF(Table412[[#This Row],[Exist]]=1,Table412[[#This Row],[MAT]],"")</f>
        <v/>
      </c>
      <c r="N693" s="36" t="str">
        <f>IF(Table412[[#This Row],[Exist]]=1,Table412[[#This Row],[Component]],"")</f>
        <v/>
      </c>
      <c r="O693" s="36">
        <f>IFERROR(VALUE(Table412[[#This Row],[MAT]]&amp;Table412[[#This Row],[X'#]]),IF(COUNTIF(Table412[[#This Row],[MAT]],"*M"),Table412[[#This Row],[MAT]]&amp;Table412[[#This Row],[X'#]],""))</f>
        <v>11769191</v>
      </c>
    </row>
    <row r="694" spans="1:15" x14ac:dyDescent="0.25">
      <c r="A694" s="37">
        <f t="shared" si="11"/>
        <v>133</v>
      </c>
      <c r="C694" s="36" t="s">
        <v>313</v>
      </c>
      <c r="D694" s="36" t="s">
        <v>314</v>
      </c>
      <c r="E694" s="36">
        <v>1176919</v>
      </c>
      <c r="F694" s="36">
        <v>2</v>
      </c>
      <c r="G694" s="36">
        <v>1130197</v>
      </c>
      <c r="H694" s="48" t="str">
        <f>IFERROR(INDEX(Table14[],MATCH($G694,Table14[SAPNo],0),3),"")</f>
        <v>Round 1608 CT182  0.018" (S)</v>
      </c>
      <c r="I694" s="37">
        <v>23</v>
      </c>
      <c r="J694" s="37">
        <f>IF(Table412[[#This Row],[MAT]]&lt;&gt;"",COUNTIF(Table3[LEVEL 5 MAT NO.],Table412[[#This Row],[MAT]]),"")</f>
        <v>0</v>
      </c>
      <c r="K694" s="36">
        <f>IFERROR(INDEX(Table3[],MATCH($E694,Table3[LEVEL 5 MAT NO.],0),2),0)</f>
        <v>0</v>
      </c>
      <c r="L694" s="36">
        <f>Table412[[#This Row],[Quantity in BOM]]*Table412[[#This Row],[Freq]]</f>
        <v>0</v>
      </c>
      <c r="M694" s="36" t="str">
        <f>IF(Table412[[#This Row],[Exist]]=1,Table412[[#This Row],[MAT]],"")</f>
        <v/>
      </c>
      <c r="N694" s="36" t="str">
        <f>IF(Table412[[#This Row],[Exist]]=1,Table412[[#This Row],[Component]],"")</f>
        <v/>
      </c>
      <c r="O694" s="36">
        <f>IFERROR(VALUE(Table412[[#This Row],[MAT]]&amp;Table412[[#This Row],[X'#]]),IF(COUNTIF(Table412[[#This Row],[MAT]],"*M"),Table412[[#This Row],[MAT]]&amp;Table412[[#This Row],[X'#]],""))</f>
        <v>11769192</v>
      </c>
    </row>
    <row r="695" spans="1:15" x14ac:dyDescent="0.25">
      <c r="A695" s="37">
        <f t="shared" si="11"/>
        <v>133</v>
      </c>
      <c r="C695" s="36" t="s">
        <v>313</v>
      </c>
      <c r="D695" s="36" t="s">
        <v>314</v>
      </c>
      <c r="E695" s="36">
        <v>1176919</v>
      </c>
      <c r="F695" s="36">
        <v>3</v>
      </c>
      <c r="G695" s="36">
        <v>418525</v>
      </c>
      <c r="H695" s="48" t="str">
        <f>IFERROR(INDEX(Table14[],MATCH($G695,Table14[SAPNo],0),3),"")</f>
        <v>Drop In 1308 CT31   (B)</v>
      </c>
      <c r="I695" s="37">
        <v>6</v>
      </c>
      <c r="J695" s="37">
        <f>IF(Table412[[#This Row],[MAT]]&lt;&gt;"",COUNTIF(Table3[LEVEL 5 MAT NO.],Table412[[#This Row],[MAT]]),"")</f>
        <v>0</v>
      </c>
      <c r="K695" s="36">
        <f>IFERROR(INDEX(Table3[],MATCH($E695,Table3[LEVEL 5 MAT NO.],0),2),0)</f>
        <v>0</v>
      </c>
      <c r="L695" s="36">
        <f>Table412[[#This Row],[Quantity in BOM]]*Table412[[#This Row],[Freq]]</f>
        <v>0</v>
      </c>
      <c r="M695" s="36" t="str">
        <f>IF(Table412[[#This Row],[Exist]]=1,Table412[[#This Row],[MAT]],"")</f>
        <v/>
      </c>
      <c r="N695" s="36" t="str">
        <f>IF(Table412[[#This Row],[Exist]]=1,Table412[[#This Row],[Component]],"")</f>
        <v/>
      </c>
      <c r="O695" s="36">
        <f>IFERROR(VALUE(Table412[[#This Row],[MAT]]&amp;Table412[[#This Row],[X'#]]),IF(COUNTIF(Table412[[#This Row],[MAT]],"*M"),Table412[[#This Row],[MAT]]&amp;Table412[[#This Row],[X'#]],""))</f>
        <v>11769193</v>
      </c>
    </row>
    <row r="696" spans="1:15" x14ac:dyDescent="0.25">
      <c r="A696" s="37">
        <f t="shared" si="11"/>
        <v>133</v>
      </c>
      <c r="C696" s="36">
        <v>6.125</v>
      </c>
      <c r="D696" s="36" t="s">
        <v>310</v>
      </c>
      <c r="E696" s="36">
        <v>1186699</v>
      </c>
      <c r="F696" s="36">
        <v>1</v>
      </c>
      <c r="G696" s="36">
        <v>1145493</v>
      </c>
      <c r="H696" s="48" t="str">
        <f>IFERROR(INDEX(Table14[],MATCH($G696,Table14[SAPNo],0),3),"")</f>
        <v>Round 1313 CT427  10C (S)</v>
      </c>
      <c r="I696" s="37">
        <v>25</v>
      </c>
      <c r="J696" s="37">
        <f>IF(Table412[[#This Row],[MAT]]&lt;&gt;"",COUNTIF(Table3[LEVEL 5 MAT NO.],Table412[[#This Row],[MAT]]),"")</f>
        <v>0</v>
      </c>
      <c r="K696" s="36">
        <f>IFERROR(INDEX(Table3[],MATCH($E696,Table3[LEVEL 5 MAT NO.],0),2),0)</f>
        <v>0</v>
      </c>
      <c r="L696" s="36">
        <f>Table412[[#This Row],[Quantity in BOM]]*Table412[[#This Row],[Freq]]</f>
        <v>0</v>
      </c>
      <c r="M696" s="36" t="str">
        <f>IF(Table412[[#This Row],[Exist]]=1,Table412[[#This Row],[MAT]],"")</f>
        <v/>
      </c>
      <c r="N696" s="36" t="str">
        <f>IF(Table412[[#This Row],[Exist]]=1,Table412[[#This Row],[Component]],"")</f>
        <v/>
      </c>
      <c r="O696" s="36">
        <f>IFERROR(VALUE(Table412[[#This Row],[MAT]]&amp;Table412[[#This Row],[X'#]]),IF(COUNTIF(Table412[[#This Row],[MAT]],"*M"),Table412[[#This Row],[MAT]]&amp;Table412[[#This Row],[X'#]],""))</f>
        <v>11866991</v>
      </c>
    </row>
    <row r="697" spans="1:15" x14ac:dyDescent="0.25">
      <c r="A697" s="37">
        <f t="shared" si="11"/>
        <v>133</v>
      </c>
      <c r="C697" s="36">
        <v>6.125</v>
      </c>
      <c r="D697" s="36" t="s">
        <v>310</v>
      </c>
      <c r="E697" s="36">
        <v>1186699</v>
      </c>
      <c r="F697" s="36">
        <v>2</v>
      </c>
      <c r="G697" s="36">
        <v>871781</v>
      </c>
      <c r="H697" s="48" t="str">
        <f>IFERROR(INDEX(Table14[],MATCH($G697,Table14[SAPNo],0),3),"")</f>
        <v>Round 1313 CT200  0.018" (B)</v>
      </c>
      <c r="I697" s="37">
        <v>6</v>
      </c>
      <c r="J697" s="37">
        <f>IF(Table412[[#This Row],[MAT]]&lt;&gt;"",COUNTIF(Table3[LEVEL 5 MAT NO.],Table412[[#This Row],[MAT]]),"")</f>
        <v>0</v>
      </c>
      <c r="K697" s="36">
        <f>IFERROR(INDEX(Table3[],MATCH($E697,Table3[LEVEL 5 MAT NO.],0),2),0)</f>
        <v>0</v>
      </c>
      <c r="L697" s="36">
        <f>Table412[[#This Row],[Quantity in BOM]]*Table412[[#This Row],[Freq]]</f>
        <v>0</v>
      </c>
      <c r="M697" s="36" t="str">
        <f>IF(Table412[[#This Row],[Exist]]=1,Table412[[#This Row],[MAT]],"")</f>
        <v/>
      </c>
      <c r="N697" s="36" t="str">
        <f>IF(Table412[[#This Row],[Exist]]=1,Table412[[#This Row],[Component]],"")</f>
        <v/>
      </c>
      <c r="O697" s="36">
        <f>IFERROR(VALUE(Table412[[#This Row],[MAT]]&amp;Table412[[#This Row],[X'#]]),IF(COUNTIF(Table412[[#This Row],[MAT]],"*M"),Table412[[#This Row],[MAT]]&amp;Table412[[#This Row],[X'#]],""))</f>
        <v>11866992</v>
      </c>
    </row>
    <row r="698" spans="1:15" x14ac:dyDescent="0.25">
      <c r="A698" s="37">
        <f t="shared" si="11"/>
        <v>133</v>
      </c>
      <c r="C698" s="36">
        <v>16</v>
      </c>
      <c r="D698" s="36" t="s">
        <v>317</v>
      </c>
      <c r="E698" s="36">
        <v>1190973</v>
      </c>
      <c r="F698" s="36">
        <v>1</v>
      </c>
      <c r="G698" s="36">
        <v>1130198</v>
      </c>
      <c r="H698" s="48" t="str">
        <f>IFERROR(INDEX(Table14[],MATCH($G698,Table14[SAPNo],0),3),"")</f>
        <v>Round 1613 CT182  0.018" (S)</v>
      </c>
      <c r="I698" s="37">
        <v>152</v>
      </c>
      <c r="J698" s="37">
        <f>IF(Table412[[#This Row],[MAT]]&lt;&gt;"",COUNTIF(Table3[LEVEL 5 MAT NO.],Table412[[#This Row],[MAT]]),"")</f>
        <v>1</v>
      </c>
      <c r="K698" s="36">
        <f>IFERROR(INDEX(Table3[],MATCH($E698,Table3[LEVEL 5 MAT NO.],0),2),0)</f>
        <v>10</v>
      </c>
      <c r="L698" s="36">
        <f>Table412[[#This Row],[Quantity in BOM]]*Table412[[#This Row],[Freq]]</f>
        <v>1520</v>
      </c>
      <c r="M698" s="36">
        <f>IF(Table412[[#This Row],[Exist]]=1,Table412[[#This Row],[MAT]],"")</f>
        <v>1190973</v>
      </c>
      <c r="N698" s="36">
        <f>IF(Table412[[#This Row],[Exist]]=1,Table412[[#This Row],[Component]],"")</f>
        <v>1130198</v>
      </c>
      <c r="O698" s="36">
        <f>IFERROR(VALUE(Table412[[#This Row],[MAT]]&amp;Table412[[#This Row],[X'#]]),IF(COUNTIF(Table412[[#This Row],[MAT]],"*M"),Table412[[#This Row],[MAT]]&amp;Table412[[#This Row],[X'#]],""))</f>
        <v>11909731</v>
      </c>
    </row>
    <row r="699" spans="1:15" x14ac:dyDescent="0.25">
      <c r="A699" s="37">
        <f t="shared" si="11"/>
        <v>143</v>
      </c>
      <c r="C699" s="36">
        <v>16</v>
      </c>
      <c r="D699" s="36" t="s">
        <v>317</v>
      </c>
      <c r="E699" s="36">
        <v>1190973</v>
      </c>
      <c r="F699" s="36">
        <v>2</v>
      </c>
      <c r="G699" s="36">
        <v>625854</v>
      </c>
      <c r="H699" s="48" t="str">
        <f>IFERROR(INDEX(Table14[],MATCH($G699,Table14[SAPNo],0),3),"")</f>
        <v>Carbide IA 1318    (C)</v>
      </c>
      <c r="I699" s="37">
        <v>9</v>
      </c>
      <c r="J699" s="37">
        <f>IF(Table412[[#This Row],[MAT]]&lt;&gt;"",COUNTIF(Table3[LEVEL 5 MAT NO.],Table412[[#This Row],[MAT]]),"")</f>
        <v>1</v>
      </c>
      <c r="K699" s="36">
        <f>IFERROR(INDEX(Table3[],MATCH($E699,Table3[LEVEL 5 MAT NO.],0),2),0)</f>
        <v>10</v>
      </c>
      <c r="L699" s="36">
        <f>Table412[[#This Row],[Quantity in BOM]]*Table412[[#This Row],[Freq]]</f>
        <v>90</v>
      </c>
      <c r="M699" s="36">
        <f>IF(Table412[[#This Row],[Exist]]=1,Table412[[#This Row],[MAT]],"")</f>
        <v>1190973</v>
      </c>
      <c r="N699" s="36">
        <f>IF(Table412[[#This Row],[Exist]]=1,Table412[[#This Row],[Component]],"")</f>
        <v>625854</v>
      </c>
      <c r="O699" s="36">
        <f>IFERROR(VALUE(Table412[[#This Row],[MAT]]&amp;Table412[[#This Row],[X'#]]),IF(COUNTIF(Table412[[#This Row],[MAT]],"*M"),Table412[[#This Row],[MAT]]&amp;Table412[[#This Row],[X'#]],""))</f>
        <v>11909732</v>
      </c>
    </row>
    <row r="700" spans="1:15" x14ac:dyDescent="0.25">
      <c r="A700" s="37">
        <f t="shared" si="11"/>
        <v>153</v>
      </c>
      <c r="C700" s="36">
        <v>16</v>
      </c>
      <c r="D700" s="36" t="s">
        <v>317</v>
      </c>
      <c r="E700" s="36">
        <v>1190973</v>
      </c>
      <c r="F700" s="36">
        <v>3</v>
      </c>
      <c r="G700" s="36">
        <v>418525</v>
      </c>
      <c r="H700" s="48" t="str">
        <f>IFERROR(INDEX(Table14[],MATCH($G700,Table14[SAPNo],0),3),"")</f>
        <v>Drop In 1308 CT31   (B)</v>
      </c>
      <c r="I700" s="37">
        <v>7</v>
      </c>
      <c r="J700" s="37">
        <f>IF(Table412[[#This Row],[MAT]]&lt;&gt;"",COUNTIF(Table3[LEVEL 5 MAT NO.],Table412[[#This Row],[MAT]]),"")</f>
        <v>1</v>
      </c>
      <c r="K700" s="36">
        <f>IFERROR(INDEX(Table3[],MATCH($E700,Table3[LEVEL 5 MAT NO.],0),2),0)</f>
        <v>10</v>
      </c>
      <c r="L700" s="36">
        <f>Table412[[#This Row],[Quantity in BOM]]*Table412[[#This Row],[Freq]]</f>
        <v>70</v>
      </c>
      <c r="M700" s="36">
        <f>IF(Table412[[#This Row],[Exist]]=1,Table412[[#This Row],[MAT]],"")</f>
        <v>1190973</v>
      </c>
      <c r="N700" s="36">
        <f>IF(Table412[[#This Row],[Exist]]=1,Table412[[#This Row],[Component]],"")</f>
        <v>418525</v>
      </c>
      <c r="O700" s="36">
        <f>IFERROR(VALUE(Table412[[#This Row],[MAT]]&amp;Table412[[#This Row],[X'#]]),IF(COUNTIF(Table412[[#This Row],[MAT]],"*M"),Table412[[#This Row],[MAT]]&amp;Table412[[#This Row],[X'#]],""))</f>
        <v>11909733</v>
      </c>
    </row>
    <row r="701" spans="1:15" x14ac:dyDescent="0.25">
      <c r="A701" s="37">
        <f t="shared" si="11"/>
        <v>163</v>
      </c>
      <c r="C701" s="36">
        <v>12</v>
      </c>
      <c r="D701" s="36" t="s">
        <v>272</v>
      </c>
      <c r="E701" s="36" t="s">
        <v>3704</v>
      </c>
      <c r="F701" s="36">
        <v>1</v>
      </c>
      <c r="G701" s="36">
        <v>1130198</v>
      </c>
      <c r="H701" s="48" t="str">
        <f>IFERROR(INDEX(Table14[],MATCH($G701,Table14[SAPNo],0),3),"")</f>
        <v>Round 1613 CT182  0.018" (S)</v>
      </c>
      <c r="I701" s="37">
        <v>50</v>
      </c>
      <c r="J701" s="37">
        <f>IF(Table412[[#This Row],[MAT]]&lt;&gt;"",COUNTIF(Table3[LEVEL 5 MAT NO.],Table412[[#This Row],[MAT]]),"")</f>
        <v>0</v>
      </c>
      <c r="K701" s="36">
        <f>IFERROR(INDEX(Table3[],MATCH($E701,Table3[LEVEL 5 MAT NO.],0),2),0)</f>
        <v>0</v>
      </c>
      <c r="L701" s="36">
        <f>Table412[[#This Row],[Quantity in BOM]]*Table412[[#This Row],[Freq]]</f>
        <v>0</v>
      </c>
      <c r="M701" s="36" t="str">
        <f>IF(Table412[[#This Row],[Exist]]=1,Table412[[#This Row],[MAT]],"")</f>
        <v/>
      </c>
      <c r="N701" s="36" t="str">
        <f>IF(Table412[[#This Row],[Exist]]=1,Table412[[#This Row],[Component]],"")</f>
        <v/>
      </c>
      <c r="O701" s="36" t="str">
        <f>IFERROR(VALUE(Table412[[#This Row],[MAT]]&amp;Table412[[#This Row],[X'#]]),IF(COUNTIF(Table412[[#This Row],[MAT]],"*M"),Table412[[#This Row],[MAT]]&amp;Table412[[#This Row],[X'#]],""))</f>
        <v>1157663M1</v>
      </c>
    </row>
    <row r="702" spans="1:15" x14ac:dyDescent="0.25">
      <c r="A702" s="37">
        <f t="shared" si="11"/>
        <v>163</v>
      </c>
      <c r="C702" s="36">
        <v>12</v>
      </c>
      <c r="D702" s="36" t="s">
        <v>272</v>
      </c>
      <c r="E702" s="36" t="s">
        <v>3704</v>
      </c>
      <c r="F702" s="36">
        <v>2</v>
      </c>
      <c r="G702" s="36">
        <v>647436</v>
      </c>
      <c r="H702" s="48" t="str">
        <f>IFERROR(INDEX(Table14[],MATCH($G702,Table14[SAPNo],0),3),"")</f>
        <v>Round 1613 CT200  0.018" (B)</v>
      </c>
      <c r="I702" s="37">
        <v>31</v>
      </c>
      <c r="J702" s="37">
        <f>IF(Table412[[#This Row],[MAT]]&lt;&gt;"",COUNTIF(Table3[LEVEL 5 MAT NO.],Table412[[#This Row],[MAT]]),"")</f>
        <v>0</v>
      </c>
      <c r="K702" s="36">
        <f>IFERROR(INDEX(Table3[],MATCH($E702,Table3[LEVEL 5 MAT NO.],0),2),0)</f>
        <v>0</v>
      </c>
      <c r="L702" s="36">
        <f>Table412[[#This Row],[Quantity in BOM]]*Table412[[#This Row],[Freq]]</f>
        <v>0</v>
      </c>
      <c r="M702" s="36" t="str">
        <f>IF(Table412[[#This Row],[Exist]]=1,Table412[[#This Row],[MAT]],"")</f>
        <v/>
      </c>
      <c r="N702" s="36" t="str">
        <f>IF(Table412[[#This Row],[Exist]]=1,Table412[[#This Row],[Component]],"")</f>
        <v/>
      </c>
      <c r="O702" s="36" t="str">
        <f>IFERROR(VALUE(Table412[[#This Row],[MAT]]&amp;Table412[[#This Row],[X'#]]),IF(COUNTIF(Table412[[#This Row],[MAT]],"*M"),Table412[[#This Row],[MAT]]&amp;Table412[[#This Row],[X'#]],""))</f>
        <v>1157663M2</v>
      </c>
    </row>
    <row r="703" spans="1:15" x14ac:dyDescent="0.25">
      <c r="A703" s="37">
        <f t="shared" si="11"/>
        <v>163</v>
      </c>
      <c r="C703" s="36">
        <v>12</v>
      </c>
      <c r="D703" s="36" t="s">
        <v>272</v>
      </c>
      <c r="E703" s="36" t="s">
        <v>3704</v>
      </c>
      <c r="F703" s="36">
        <v>3</v>
      </c>
      <c r="G703" s="36">
        <v>418525</v>
      </c>
      <c r="H703" s="48" t="str">
        <f>IFERROR(INDEX(Table14[],MATCH($G703,Table14[SAPNo],0),3),"")</f>
        <v>Drop In 1308 CT31   (B)</v>
      </c>
      <c r="I703" s="37">
        <v>3</v>
      </c>
      <c r="J703" s="37">
        <f>IF(Table412[[#This Row],[MAT]]&lt;&gt;"",COUNTIF(Table3[LEVEL 5 MAT NO.],Table412[[#This Row],[MAT]]),"")</f>
        <v>0</v>
      </c>
      <c r="K703" s="36">
        <f>IFERROR(INDEX(Table3[],MATCH($E703,Table3[LEVEL 5 MAT NO.],0),2),0)</f>
        <v>0</v>
      </c>
      <c r="L703" s="36">
        <f>Table412[[#This Row],[Quantity in BOM]]*Table412[[#This Row],[Freq]]</f>
        <v>0</v>
      </c>
      <c r="M703" s="36" t="str">
        <f>IF(Table412[[#This Row],[Exist]]=1,Table412[[#This Row],[MAT]],"")</f>
        <v/>
      </c>
      <c r="N703" s="36" t="str">
        <f>IF(Table412[[#This Row],[Exist]]=1,Table412[[#This Row],[Component]],"")</f>
        <v/>
      </c>
      <c r="O703" s="36" t="str">
        <f>IFERROR(VALUE(Table412[[#This Row],[MAT]]&amp;Table412[[#This Row],[X'#]]),IF(COUNTIF(Table412[[#This Row],[MAT]],"*M"),Table412[[#This Row],[MAT]]&amp;Table412[[#This Row],[X'#]],""))</f>
        <v>1157663M3</v>
      </c>
    </row>
    <row r="704" spans="1:15" x14ac:dyDescent="0.25">
      <c r="A704" s="37">
        <f t="shared" si="11"/>
        <v>163</v>
      </c>
      <c r="C704" s="36">
        <v>12</v>
      </c>
      <c r="D704" s="36" t="s">
        <v>272</v>
      </c>
      <c r="E704" s="36" t="s">
        <v>3704</v>
      </c>
      <c r="F704" s="36">
        <v>4</v>
      </c>
      <c r="G704" s="36">
        <v>871781</v>
      </c>
      <c r="H704" s="48" t="str">
        <f>IFERROR(INDEX(Table14[],MATCH($G704,Table14[SAPNo],0),3),"")</f>
        <v>Round 1313 CT200  0.018" (B)</v>
      </c>
      <c r="I704" s="37">
        <v>3</v>
      </c>
      <c r="J704" s="37">
        <f>IF(Table412[[#This Row],[MAT]]&lt;&gt;"",COUNTIF(Table3[LEVEL 5 MAT NO.],Table412[[#This Row],[MAT]]),"")</f>
        <v>0</v>
      </c>
      <c r="K704" s="36">
        <f>IFERROR(INDEX(Table3[],MATCH($E704,Table3[LEVEL 5 MAT NO.],0),2),0)</f>
        <v>0</v>
      </c>
      <c r="L704" s="36">
        <f>Table412[[#This Row],[Quantity in BOM]]*Table412[[#This Row],[Freq]]</f>
        <v>0</v>
      </c>
      <c r="M704" s="36" t="str">
        <f>IF(Table412[[#This Row],[Exist]]=1,Table412[[#This Row],[MAT]],"")</f>
        <v/>
      </c>
      <c r="N704" s="36" t="str">
        <f>IF(Table412[[#This Row],[Exist]]=1,Table412[[#This Row],[Component]],"")</f>
        <v/>
      </c>
      <c r="O704" s="36" t="str">
        <f>IFERROR(VALUE(Table412[[#This Row],[MAT]]&amp;Table412[[#This Row],[X'#]]),IF(COUNTIF(Table412[[#This Row],[MAT]],"*M"),Table412[[#This Row],[MAT]]&amp;Table412[[#This Row],[X'#]],""))</f>
        <v>1157663M4</v>
      </c>
    </row>
    <row r="705" spans="1:15" x14ac:dyDescent="0.25">
      <c r="A705" s="37">
        <f t="shared" si="11"/>
        <v>163</v>
      </c>
      <c r="C705" s="36">
        <v>8.5</v>
      </c>
      <c r="D705" s="36" t="s">
        <v>275</v>
      </c>
      <c r="E705" s="36">
        <v>1201053</v>
      </c>
      <c r="F705" s="36">
        <v>1</v>
      </c>
      <c r="G705" s="36">
        <v>1130198</v>
      </c>
      <c r="H705" s="48" t="str">
        <f>IFERROR(INDEX(Table14[],MATCH($G705,Table14[SAPNo],0),3),"")</f>
        <v>Round 1613 CT182  0.018" (S)</v>
      </c>
      <c r="I705" s="37">
        <v>31</v>
      </c>
      <c r="J705" s="37">
        <f>IF(Table412[[#This Row],[MAT]]&lt;&gt;"",COUNTIF(Table3[LEVEL 5 MAT NO.],Table412[[#This Row],[MAT]]),"")</f>
        <v>0</v>
      </c>
      <c r="K705" s="36">
        <f>IFERROR(INDEX(Table3[],MATCH($E705,Table3[LEVEL 5 MAT NO.],0),2),0)</f>
        <v>0</v>
      </c>
      <c r="L705" s="36">
        <f>Table412[[#This Row],[Quantity in BOM]]*Table412[[#This Row],[Freq]]</f>
        <v>0</v>
      </c>
      <c r="M705" s="36" t="str">
        <f>IF(Table412[[#This Row],[Exist]]=1,Table412[[#This Row],[MAT]],"")</f>
        <v/>
      </c>
      <c r="N705" s="36" t="str">
        <f>IF(Table412[[#This Row],[Exist]]=1,Table412[[#This Row],[Component]],"")</f>
        <v/>
      </c>
      <c r="O705" s="36">
        <f>IFERROR(VALUE(Table412[[#This Row],[MAT]]&amp;Table412[[#This Row],[X'#]]),IF(COUNTIF(Table412[[#This Row],[MAT]],"*M"),Table412[[#This Row],[MAT]]&amp;Table412[[#This Row],[X'#]],""))</f>
        <v>12010531</v>
      </c>
    </row>
    <row r="706" spans="1:15" x14ac:dyDescent="0.25">
      <c r="A706" s="37">
        <f t="shared" si="11"/>
        <v>163</v>
      </c>
      <c r="C706" s="36">
        <v>8.5</v>
      </c>
      <c r="D706" s="36" t="s">
        <v>275</v>
      </c>
      <c r="E706" s="36">
        <v>1201053</v>
      </c>
      <c r="F706" s="36">
        <v>2</v>
      </c>
      <c r="G706" s="36">
        <v>1161587</v>
      </c>
      <c r="H706" s="48" t="str">
        <f>IFERROR(INDEX(Table14[],MATCH($G706,Table14[SAPNo],0),3),"")</f>
        <v>13MM CT228</v>
      </c>
      <c r="I706" s="37">
        <v>15</v>
      </c>
      <c r="J706" s="37">
        <f>IF(Table412[[#This Row],[MAT]]&lt;&gt;"",COUNTIF(Table3[LEVEL 5 MAT NO.],Table412[[#This Row],[MAT]]),"")</f>
        <v>0</v>
      </c>
      <c r="K706" s="36">
        <f>IFERROR(INDEX(Table3[],MATCH($E706,Table3[LEVEL 5 MAT NO.],0),2),0)</f>
        <v>0</v>
      </c>
      <c r="L706" s="36">
        <f>Table412[[#This Row],[Quantity in BOM]]*Table412[[#This Row],[Freq]]</f>
        <v>0</v>
      </c>
      <c r="M706" s="36" t="str">
        <f>IF(Table412[[#This Row],[Exist]]=1,Table412[[#This Row],[MAT]],"")</f>
        <v/>
      </c>
      <c r="N706" s="36" t="str">
        <f>IF(Table412[[#This Row],[Exist]]=1,Table412[[#This Row],[Component]],"")</f>
        <v/>
      </c>
      <c r="O706" s="36">
        <f>IFERROR(VALUE(Table412[[#This Row],[MAT]]&amp;Table412[[#This Row],[X'#]]),IF(COUNTIF(Table412[[#This Row],[MAT]],"*M"),Table412[[#This Row],[MAT]]&amp;Table412[[#This Row],[X'#]],""))</f>
        <v>12010532</v>
      </c>
    </row>
    <row r="707" spans="1:15" x14ac:dyDescent="0.25">
      <c r="A707" s="37">
        <f t="shared" si="11"/>
        <v>163</v>
      </c>
      <c r="C707" s="36">
        <v>8.5</v>
      </c>
      <c r="D707" s="36" t="s">
        <v>275</v>
      </c>
      <c r="E707" s="36">
        <v>1201053</v>
      </c>
      <c r="F707" s="36">
        <v>3</v>
      </c>
      <c r="G707" s="36">
        <v>418525</v>
      </c>
      <c r="H707" s="48" t="str">
        <f>IFERROR(INDEX(Table14[],MATCH($G707,Table14[SAPNo],0),3),"")</f>
        <v>Drop In 1308 CT31   (B)</v>
      </c>
      <c r="I707" s="37">
        <v>6</v>
      </c>
      <c r="J707" s="37">
        <f>IF(Table412[[#This Row],[MAT]]&lt;&gt;"",COUNTIF(Table3[LEVEL 5 MAT NO.],Table412[[#This Row],[MAT]]),"")</f>
        <v>0</v>
      </c>
      <c r="K707" s="36">
        <f>IFERROR(INDEX(Table3[],MATCH($E707,Table3[LEVEL 5 MAT NO.],0),2),0)</f>
        <v>0</v>
      </c>
      <c r="L707" s="36">
        <f>Table412[[#This Row],[Quantity in BOM]]*Table412[[#This Row],[Freq]]</f>
        <v>0</v>
      </c>
      <c r="M707" s="36" t="str">
        <f>IF(Table412[[#This Row],[Exist]]=1,Table412[[#This Row],[MAT]],"")</f>
        <v/>
      </c>
      <c r="N707" s="36" t="str">
        <f>IF(Table412[[#This Row],[Exist]]=1,Table412[[#This Row],[Component]],"")</f>
        <v/>
      </c>
      <c r="O707" s="36">
        <f>IFERROR(VALUE(Table412[[#This Row],[MAT]]&amp;Table412[[#This Row],[X'#]]),IF(COUNTIF(Table412[[#This Row],[MAT]],"*M"),Table412[[#This Row],[MAT]]&amp;Table412[[#This Row],[X'#]],""))</f>
        <v>12010533</v>
      </c>
    </row>
    <row r="708" spans="1:15" x14ac:dyDescent="0.25">
      <c r="A708" s="37">
        <f t="shared" ref="A708:A771" si="12">A707+K707</f>
        <v>163</v>
      </c>
      <c r="C708" s="36">
        <v>6.125</v>
      </c>
      <c r="D708" s="36" t="s">
        <v>3705</v>
      </c>
      <c r="E708" s="36">
        <v>1115680</v>
      </c>
      <c r="F708" s="36">
        <v>1</v>
      </c>
      <c r="G708" s="36">
        <v>907609</v>
      </c>
      <c r="H708" s="48" t="str">
        <f>IFERROR(INDEX(Table14[],MATCH($G708,Table14[SAPNo],0),3),"")</f>
        <v>Round 1313 CT125 GEDB 10C (S)</v>
      </c>
      <c r="I708" s="37">
        <v>20</v>
      </c>
      <c r="J708" s="37">
        <f>IF(Table412[[#This Row],[MAT]]&lt;&gt;"",COUNTIF(Table3[LEVEL 5 MAT NO.],Table412[[#This Row],[MAT]]),"")</f>
        <v>0</v>
      </c>
      <c r="K708" s="36">
        <f>IFERROR(INDEX(Table3[],MATCH($E708,Table3[LEVEL 5 MAT NO.],0),2),0)</f>
        <v>0</v>
      </c>
      <c r="L708" s="36">
        <f>Table412[[#This Row],[Quantity in BOM]]*Table412[[#This Row],[Freq]]</f>
        <v>0</v>
      </c>
      <c r="M708" s="36" t="str">
        <f>IF(Table412[[#This Row],[Exist]]=1,Table412[[#This Row],[MAT]],"")</f>
        <v/>
      </c>
      <c r="N708" s="36" t="str">
        <f>IF(Table412[[#This Row],[Exist]]=1,Table412[[#This Row],[Component]],"")</f>
        <v/>
      </c>
      <c r="O708" s="36">
        <f>IFERROR(VALUE(Table412[[#This Row],[MAT]]&amp;Table412[[#This Row],[X'#]]),IF(COUNTIF(Table412[[#This Row],[MAT]],"*M"),Table412[[#This Row],[MAT]]&amp;Table412[[#This Row],[X'#]],""))</f>
        <v>11156801</v>
      </c>
    </row>
    <row r="709" spans="1:15" x14ac:dyDescent="0.25">
      <c r="A709" s="37">
        <f t="shared" si="12"/>
        <v>163</v>
      </c>
      <c r="C709" s="36">
        <v>6.125</v>
      </c>
      <c r="D709" s="36" t="s">
        <v>3705</v>
      </c>
      <c r="E709" s="36">
        <v>1115680</v>
      </c>
      <c r="F709" s="36">
        <v>2</v>
      </c>
      <c r="G709" s="36">
        <v>418525</v>
      </c>
      <c r="H709" s="48" t="str">
        <f>IFERROR(INDEX(Table14[],MATCH($G709,Table14[SAPNo],0),3),"")</f>
        <v>Drop In 1308 CT31   (B)</v>
      </c>
      <c r="I709" s="37">
        <v>10</v>
      </c>
      <c r="J709" s="37">
        <f>IF(Table412[[#This Row],[MAT]]&lt;&gt;"",COUNTIF(Table3[LEVEL 5 MAT NO.],Table412[[#This Row],[MAT]]),"")</f>
        <v>0</v>
      </c>
      <c r="K709" s="36">
        <f>IFERROR(INDEX(Table3[],MATCH($E709,Table3[LEVEL 5 MAT NO.],0),2),0)</f>
        <v>0</v>
      </c>
      <c r="L709" s="36">
        <f>Table412[[#This Row],[Quantity in BOM]]*Table412[[#This Row],[Freq]]</f>
        <v>0</v>
      </c>
      <c r="M709" s="36" t="str">
        <f>IF(Table412[[#This Row],[Exist]]=1,Table412[[#This Row],[MAT]],"")</f>
        <v/>
      </c>
      <c r="N709" s="36" t="str">
        <f>IF(Table412[[#This Row],[Exist]]=1,Table412[[#This Row],[Component]],"")</f>
        <v/>
      </c>
      <c r="O709" s="36">
        <f>IFERROR(VALUE(Table412[[#This Row],[MAT]]&amp;Table412[[#This Row],[X'#]]),IF(COUNTIF(Table412[[#This Row],[MAT]],"*M"),Table412[[#This Row],[MAT]]&amp;Table412[[#This Row],[X'#]],""))</f>
        <v>11156802</v>
      </c>
    </row>
    <row r="710" spans="1:15" x14ac:dyDescent="0.25">
      <c r="A710" s="37">
        <f t="shared" si="12"/>
        <v>163</v>
      </c>
      <c r="C710" s="38">
        <v>6.125</v>
      </c>
      <c r="D710" s="36" t="s">
        <v>3705</v>
      </c>
      <c r="E710" s="36">
        <v>1115680</v>
      </c>
      <c r="F710" s="36">
        <v>3</v>
      </c>
      <c r="G710" s="36">
        <v>410851</v>
      </c>
      <c r="H710" s="48" t="str">
        <f>IFERROR(INDEX(Table14[],MATCH($G710,Table14[SAPNo],0),3),"")</f>
        <v>PDC Dome 1308 CT31   (B)</v>
      </c>
      <c r="I710" s="37">
        <v>5</v>
      </c>
      <c r="J710" s="37">
        <f>IF(Table412[[#This Row],[MAT]]&lt;&gt;"",COUNTIF(Table3[LEVEL 5 MAT NO.],Table412[[#This Row],[MAT]]),"")</f>
        <v>0</v>
      </c>
      <c r="K710" s="36">
        <f>IFERROR(INDEX(Table3[],MATCH($E710,Table3[LEVEL 5 MAT NO.],0),2),0)</f>
        <v>0</v>
      </c>
      <c r="L710" s="36">
        <f>Table412[[#This Row],[Quantity in BOM]]*Table412[[#This Row],[Freq]]</f>
        <v>0</v>
      </c>
      <c r="M710" s="36" t="str">
        <f>IF(Table412[[#This Row],[Exist]]=1,Table412[[#This Row],[MAT]],"")</f>
        <v/>
      </c>
      <c r="N710" s="36" t="str">
        <f>IF(Table412[[#This Row],[Exist]]=1,Table412[[#This Row],[Component]],"")</f>
        <v/>
      </c>
      <c r="O710" s="36">
        <f>IFERROR(VALUE(Table412[[#This Row],[MAT]]&amp;Table412[[#This Row],[X'#]]),IF(COUNTIF(Table412[[#This Row],[MAT]],"*M"),Table412[[#This Row],[MAT]]&amp;Table412[[#This Row],[X'#]],""))</f>
        <v>11156803</v>
      </c>
    </row>
    <row r="711" spans="1:15" x14ac:dyDescent="0.25">
      <c r="A711" s="37">
        <f t="shared" si="12"/>
        <v>163</v>
      </c>
      <c r="C711" s="36">
        <v>6.125</v>
      </c>
      <c r="D711" s="36" t="s">
        <v>3705</v>
      </c>
      <c r="E711" s="36">
        <v>1115680</v>
      </c>
      <c r="F711" s="36">
        <v>4</v>
      </c>
      <c r="G711" s="36">
        <v>703670</v>
      </c>
      <c r="H711" s="48" t="str">
        <f>IFERROR(INDEX(Table14[],MATCH($G711,Table14[SAPNo],0),3),"")</f>
        <v>Round 1313 CT200  10C (B)</v>
      </c>
      <c r="I711" s="37">
        <v>3</v>
      </c>
      <c r="J711" s="37">
        <f>IF(Table412[[#This Row],[MAT]]&lt;&gt;"",COUNTIF(Table3[LEVEL 5 MAT NO.],Table412[[#This Row],[MAT]]),"")</f>
        <v>0</v>
      </c>
      <c r="K711" s="36">
        <f>IFERROR(INDEX(Table3[],MATCH($E711,Table3[LEVEL 5 MAT NO.],0),2),0)</f>
        <v>0</v>
      </c>
      <c r="L711" s="36">
        <f>Table412[[#This Row],[Quantity in BOM]]*Table412[[#This Row],[Freq]]</f>
        <v>0</v>
      </c>
      <c r="M711" s="36" t="str">
        <f>IF(Table412[[#This Row],[Exist]]=1,Table412[[#This Row],[MAT]],"")</f>
        <v/>
      </c>
      <c r="N711" s="36" t="str">
        <f>IF(Table412[[#This Row],[Exist]]=1,Table412[[#This Row],[Component]],"")</f>
        <v/>
      </c>
      <c r="O711" s="36">
        <f>IFERROR(VALUE(Table412[[#This Row],[MAT]]&amp;Table412[[#This Row],[X'#]]),IF(COUNTIF(Table412[[#This Row],[MAT]],"*M"),Table412[[#This Row],[MAT]]&amp;Table412[[#This Row],[X'#]],""))</f>
        <v>11156804</v>
      </c>
    </row>
    <row r="712" spans="1:15" x14ac:dyDescent="0.25">
      <c r="A712" s="37">
        <f t="shared" si="12"/>
        <v>163</v>
      </c>
      <c r="C712" s="38">
        <v>6.125</v>
      </c>
      <c r="D712" s="36" t="s">
        <v>633</v>
      </c>
      <c r="E712" s="36">
        <v>1201087</v>
      </c>
      <c r="F712" s="36">
        <v>1</v>
      </c>
      <c r="G712" s="36">
        <v>1145493</v>
      </c>
      <c r="H712" s="48" t="str">
        <f>IFERROR(INDEX(Table14[],MATCH($G712,Table14[SAPNo],0),3),"")</f>
        <v>Round 1313 CT427  10C (S)</v>
      </c>
      <c r="I712" s="37">
        <v>16</v>
      </c>
      <c r="J712" s="37">
        <f>IF(Table412[[#This Row],[MAT]]&lt;&gt;"",COUNTIF(Table3[LEVEL 5 MAT NO.],Table412[[#This Row],[MAT]]),"")</f>
        <v>0</v>
      </c>
      <c r="K712" s="36">
        <f>IFERROR(INDEX(Table3[],MATCH($E712,Table3[LEVEL 5 MAT NO.],0),2),0)</f>
        <v>0</v>
      </c>
      <c r="L712" s="36">
        <f>Table412[[#This Row],[Quantity in BOM]]*Table412[[#This Row],[Freq]]</f>
        <v>0</v>
      </c>
      <c r="M712" s="36" t="str">
        <f>IF(Table412[[#This Row],[Exist]]=1,Table412[[#This Row],[MAT]],"")</f>
        <v/>
      </c>
      <c r="N712" s="36" t="str">
        <f>IF(Table412[[#This Row],[Exist]]=1,Table412[[#This Row],[Component]],"")</f>
        <v/>
      </c>
      <c r="O712" s="36">
        <f>IFERROR(VALUE(Table412[[#This Row],[MAT]]&amp;Table412[[#This Row],[X'#]]),IF(COUNTIF(Table412[[#This Row],[MAT]],"*M"),Table412[[#This Row],[MAT]]&amp;Table412[[#This Row],[X'#]],""))</f>
        <v>12010871</v>
      </c>
    </row>
    <row r="713" spans="1:15" x14ac:dyDescent="0.25">
      <c r="A713" s="37">
        <f t="shared" si="12"/>
        <v>163</v>
      </c>
      <c r="C713" s="36">
        <v>6.125</v>
      </c>
      <c r="D713" s="36" t="s">
        <v>633</v>
      </c>
      <c r="E713" s="36">
        <v>1201087</v>
      </c>
      <c r="F713" s="36">
        <v>2</v>
      </c>
      <c r="G713" s="36">
        <v>1165769</v>
      </c>
      <c r="H713" s="48" t="str">
        <f>IFERROR(INDEX(Table14[],MATCH($G713,Table14[SAPNo],0),3),"")</f>
        <v/>
      </c>
      <c r="I713" s="37">
        <v>8</v>
      </c>
      <c r="J713" s="37">
        <f>IF(Table412[[#This Row],[MAT]]&lt;&gt;"",COUNTIF(Table3[LEVEL 5 MAT NO.],Table412[[#This Row],[MAT]]),"")</f>
        <v>0</v>
      </c>
      <c r="K713" s="36">
        <f>IFERROR(INDEX(Table3[],MATCH($E713,Table3[LEVEL 5 MAT NO.],0),2),0)</f>
        <v>0</v>
      </c>
      <c r="L713" s="36">
        <f>Table412[[#This Row],[Quantity in BOM]]*Table412[[#This Row],[Freq]]</f>
        <v>0</v>
      </c>
      <c r="M713" s="36" t="str">
        <f>IF(Table412[[#This Row],[Exist]]=1,Table412[[#This Row],[MAT]],"")</f>
        <v/>
      </c>
      <c r="N713" s="36" t="str">
        <f>IF(Table412[[#This Row],[Exist]]=1,Table412[[#This Row],[Component]],"")</f>
        <v/>
      </c>
      <c r="O713" s="36">
        <f>IFERROR(VALUE(Table412[[#This Row],[MAT]]&amp;Table412[[#This Row],[X'#]]),IF(COUNTIF(Table412[[#This Row],[MAT]],"*M"),Table412[[#This Row],[MAT]]&amp;Table412[[#This Row],[X'#]],""))</f>
        <v>12010872</v>
      </c>
    </row>
    <row r="714" spans="1:15" x14ac:dyDescent="0.25">
      <c r="A714" s="37">
        <f t="shared" si="12"/>
        <v>163</v>
      </c>
      <c r="C714" s="36">
        <v>6.125</v>
      </c>
      <c r="D714" s="36" t="s">
        <v>633</v>
      </c>
      <c r="E714" s="36">
        <v>1201087</v>
      </c>
      <c r="F714" s="36">
        <v>3</v>
      </c>
      <c r="G714" s="36">
        <v>871781</v>
      </c>
      <c r="H714" s="48" t="str">
        <f>IFERROR(INDEX(Table14[],MATCH($G714,Table14[SAPNo],0),3),"")</f>
        <v>Round 1313 CT200  0.018" (B)</v>
      </c>
      <c r="I714" s="37">
        <v>5</v>
      </c>
      <c r="J714" s="37">
        <f>IF(Table412[[#This Row],[MAT]]&lt;&gt;"",COUNTIF(Table3[LEVEL 5 MAT NO.],Table412[[#This Row],[MAT]]),"")</f>
        <v>0</v>
      </c>
      <c r="K714" s="36">
        <f>IFERROR(INDEX(Table3[],MATCH($E714,Table3[LEVEL 5 MAT NO.],0),2),0)</f>
        <v>0</v>
      </c>
      <c r="L714" s="36">
        <f>Table412[[#This Row],[Quantity in BOM]]*Table412[[#This Row],[Freq]]</f>
        <v>0</v>
      </c>
      <c r="M714" s="36" t="str">
        <f>IF(Table412[[#This Row],[Exist]]=1,Table412[[#This Row],[MAT]],"")</f>
        <v/>
      </c>
      <c r="N714" s="36" t="str">
        <f>IF(Table412[[#This Row],[Exist]]=1,Table412[[#This Row],[Component]],"")</f>
        <v/>
      </c>
      <c r="O714" s="36">
        <f>IFERROR(VALUE(Table412[[#This Row],[MAT]]&amp;Table412[[#This Row],[X'#]]),IF(COUNTIF(Table412[[#This Row],[MAT]],"*M"),Table412[[#This Row],[MAT]]&amp;Table412[[#This Row],[X'#]],""))</f>
        <v>12010873</v>
      </c>
    </row>
    <row r="715" spans="1:15" x14ac:dyDescent="0.25">
      <c r="A715" s="37">
        <f t="shared" si="12"/>
        <v>163</v>
      </c>
      <c r="C715" s="36" t="s">
        <v>313</v>
      </c>
      <c r="D715" s="36" t="s">
        <v>639</v>
      </c>
      <c r="E715" s="36">
        <v>1083599</v>
      </c>
      <c r="F715" s="36">
        <v>1</v>
      </c>
      <c r="G715" s="36">
        <v>1039034</v>
      </c>
      <c r="H715" s="48" t="str">
        <f>IFERROR(INDEX(Table14[],MATCH($G715,Table14[SAPNo],0),3),"")</f>
        <v>Round 1308 CT138  0.018" (S)</v>
      </c>
      <c r="I715" s="37">
        <v>32</v>
      </c>
      <c r="J715" s="37">
        <f>IF(Table412[[#This Row],[MAT]]&lt;&gt;"",COUNTIF(Table3[LEVEL 5 MAT NO.],Table412[[#This Row],[MAT]]),"")</f>
        <v>1</v>
      </c>
      <c r="K715" s="36">
        <f>IFERROR(INDEX(Table3[],MATCH($E715,Table3[LEVEL 5 MAT NO.],0),2),0)</f>
        <v>0</v>
      </c>
      <c r="L715" s="36">
        <f>Table412[[#This Row],[Quantity in BOM]]*Table412[[#This Row],[Freq]]</f>
        <v>0</v>
      </c>
      <c r="M715" s="36">
        <f>IF(Table412[[#This Row],[Exist]]=1,Table412[[#This Row],[MAT]],"")</f>
        <v>1083599</v>
      </c>
      <c r="N715" s="36">
        <f>IF(Table412[[#This Row],[Exist]]=1,Table412[[#This Row],[Component]],"")</f>
        <v>1039034</v>
      </c>
      <c r="O715" s="36">
        <f>IFERROR(VALUE(Table412[[#This Row],[MAT]]&amp;Table412[[#This Row],[X'#]]),IF(COUNTIF(Table412[[#This Row],[MAT]],"*M"),Table412[[#This Row],[MAT]]&amp;Table412[[#This Row],[X'#]],""))</f>
        <v>10835991</v>
      </c>
    </row>
    <row r="716" spans="1:15" x14ac:dyDescent="0.25">
      <c r="A716" s="37">
        <f t="shared" si="12"/>
        <v>163</v>
      </c>
      <c r="C716" s="36" t="s">
        <v>313</v>
      </c>
      <c r="D716" s="36" t="s">
        <v>639</v>
      </c>
      <c r="E716" s="36">
        <v>1083599</v>
      </c>
      <c r="F716" s="36">
        <v>2</v>
      </c>
      <c r="G716" s="36">
        <v>1039033</v>
      </c>
      <c r="H716" s="48" t="str">
        <f>IFERROR(INDEX(Table14[],MATCH($G716,Table14[SAPNo],0),3),"")</f>
        <v>Round 1308 CT138  10C (S)</v>
      </c>
      <c r="I716" s="37">
        <v>28</v>
      </c>
      <c r="J716" s="37">
        <f>IF(Table412[[#This Row],[MAT]]&lt;&gt;"",COUNTIF(Table3[LEVEL 5 MAT NO.],Table412[[#This Row],[MAT]]),"")</f>
        <v>1</v>
      </c>
      <c r="K716" s="36">
        <f>IFERROR(INDEX(Table3[],MATCH($E716,Table3[LEVEL 5 MAT NO.],0),2),0)</f>
        <v>0</v>
      </c>
      <c r="L716" s="36">
        <f>Table412[[#This Row],[Quantity in BOM]]*Table412[[#This Row],[Freq]]</f>
        <v>0</v>
      </c>
      <c r="M716" s="36">
        <f>IF(Table412[[#This Row],[Exist]]=1,Table412[[#This Row],[MAT]],"")</f>
        <v>1083599</v>
      </c>
      <c r="N716" s="36">
        <f>IF(Table412[[#This Row],[Exist]]=1,Table412[[#This Row],[Component]],"")</f>
        <v>1039033</v>
      </c>
      <c r="O716" s="36">
        <f>IFERROR(VALUE(Table412[[#This Row],[MAT]]&amp;Table412[[#This Row],[X'#]]),IF(COUNTIF(Table412[[#This Row],[MAT]],"*M"),Table412[[#This Row],[MAT]]&amp;Table412[[#This Row],[X'#]],""))</f>
        <v>10835992</v>
      </c>
    </row>
    <row r="717" spans="1:15" x14ac:dyDescent="0.25">
      <c r="A717" s="37">
        <f t="shared" si="12"/>
        <v>163</v>
      </c>
      <c r="C717" s="36" t="s">
        <v>313</v>
      </c>
      <c r="D717" s="36" t="s">
        <v>639</v>
      </c>
      <c r="E717" s="36">
        <v>1083599</v>
      </c>
      <c r="F717" s="36">
        <v>3</v>
      </c>
      <c r="G717" s="36">
        <v>1039058</v>
      </c>
      <c r="H717" s="48" t="str">
        <f>IFERROR(INDEX(Table14[],MATCH($G717,Table14[SAPNo],0),3),"")</f>
        <v>Round 1608 CT138  0.018" (S)</v>
      </c>
      <c r="I717" s="37">
        <v>15</v>
      </c>
      <c r="J717" s="37">
        <f>IF(Table412[[#This Row],[MAT]]&lt;&gt;"",COUNTIF(Table3[LEVEL 5 MAT NO.],Table412[[#This Row],[MAT]]),"")</f>
        <v>1</v>
      </c>
      <c r="K717" s="36">
        <f>IFERROR(INDEX(Table3[],MATCH($E717,Table3[LEVEL 5 MAT NO.],0),2),0)</f>
        <v>0</v>
      </c>
      <c r="L717" s="36">
        <f>Table412[[#This Row],[Quantity in BOM]]*Table412[[#This Row],[Freq]]</f>
        <v>0</v>
      </c>
      <c r="M717" s="36">
        <f>IF(Table412[[#This Row],[Exist]]=1,Table412[[#This Row],[MAT]],"")</f>
        <v>1083599</v>
      </c>
      <c r="N717" s="36">
        <f>IF(Table412[[#This Row],[Exist]]=1,Table412[[#This Row],[Component]],"")</f>
        <v>1039058</v>
      </c>
      <c r="O717" s="36">
        <f>IFERROR(VALUE(Table412[[#This Row],[MAT]]&amp;Table412[[#This Row],[X'#]]),IF(COUNTIF(Table412[[#This Row],[MAT]],"*M"),Table412[[#This Row],[MAT]]&amp;Table412[[#This Row],[X'#]],""))</f>
        <v>10835993</v>
      </c>
    </row>
    <row r="718" spans="1:15" x14ac:dyDescent="0.25">
      <c r="A718" s="37">
        <f t="shared" si="12"/>
        <v>163</v>
      </c>
      <c r="C718" s="36" t="s">
        <v>313</v>
      </c>
      <c r="D718" s="36" t="s">
        <v>639</v>
      </c>
      <c r="E718" s="36">
        <v>1083599</v>
      </c>
      <c r="F718" s="36">
        <v>4</v>
      </c>
      <c r="G718" s="36">
        <v>418525</v>
      </c>
      <c r="H718" s="48" t="str">
        <f>IFERROR(INDEX(Table14[],MATCH($G718,Table14[SAPNo],0),3),"")</f>
        <v>Drop In 1308 CT31   (B)</v>
      </c>
      <c r="I718" s="37">
        <v>7</v>
      </c>
      <c r="J718" s="37">
        <f>IF(Table412[[#This Row],[MAT]]&lt;&gt;"",COUNTIF(Table3[LEVEL 5 MAT NO.],Table412[[#This Row],[MAT]]),"")</f>
        <v>1</v>
      </c>
      <c r="K718" s="36">
        <f>IFERROR(INDEX(Table3[],MATCH($E718,Table3[LEVEL 5 MAT NO.],0),2),0)</f>
        <v>0</v>
      </c>
      <c r="L718" s="36">
        <f>Table412[[#This Row],[Quantity in BOM]]*Table412[[#This Row],[Freq]]</f>
        <v>0</v>
      </c>
      <c r="M718" s="36">
        <f>IF(Table412[[#This Row],[Exist]]=1,Table412[[#This Row],[MAT]],"")</f>
        <v>1083599</v>
      </c>
      <c r="N718" s="36">
        <f>IF(Table412[[#This Row],[Exist]]=1,Table412[[#This Row],[Component]],"")</f>
        <v>418525</v>
      </c>
      <c r="O718" s="36">
        <f>IFERROR(VALUE(Table412[[#This Row],[MAT]]&amp;Table412[[#This Row],[X'#]]),IF(COUNTIF(Table412[[#This Row],[MAT]],"*M"),Table412[[#This Row],[MAT]]&amp;Table412[[#This Row],[X'#]],""))</f>
        <v>10835994</v>
      </c>
    </row>
    <row r="719" spans="1:15" x14ac:dyDescent="0.25">
      <c r="A719" s="37">
        <f t="shared" si="12"/>
        <v>163</v>
      </c>
      <c r="C719" s="38">
        <v>5.875</v>
      </c>
      <c r="D719" s="36" t="s">
        <v>667</v>
      </c>
      <c r="E719" s="36">
        <v>1212043</v>
      </c>
      <c r="F719" s="36">
        <v>1</v>
      </c>
      <c r="G719" s="36">
        <v>1181761</v>
      </c>
      <c r="H719" s="48" t="str">
        <f>IFERROR(INDEX(Table14[],MATCH($G719,Table14[SAPNo],0),3),"")</f>
        <v>Round 1608 CT 155  0.018 (T)</v>
      </c>
      <c r="I719" s="37">
        <v>21</v>
      </c>
      <c r="J719" s="37">
        <f>IF(Table412[[#This Row],[MAT]]&lt;&gt;"",COUNTIF(Table3[LEVEL 5 MAT NO.],Table412[[#This Row],[MAT]]),"")</f>
        <v>0</v>
      </c>
      <c r="K719" s="36">
        <f>IFERROR(INDEX(Table3[],MATCH($E719,Table3[LEVEL 5 MAT NO.],0),2),0)</f>
        <v>0</v>
      </c>
      <c r="L719" s="36">
        <f>Table412[[#This Row],[Quantity in BOM]]*Table412[[#This Row],[Freq]]</f>
        <v>0</v>
      </c>
      <c r="M719" s="36" t="str">
        <f>IF(Table412[[#This Row],[Exist]]=1,Table412[[#This Row],[MAT]],"")</f>
        <v/>
      </c>
      <c r="N719" s="36" t="str">
        <f>IF(Table412[[#This Row],[Exist]]=1,Table412[[#This Row],[Component]],"")</f>
        <v/>
      </c>
      <c r="O719" s="36">
        <f>IFERROR(VALUE(Table412[[#This Row],[MAT]]&amp;Table412[[#This Row],[X'#]]),IF(COUNTIF(Table412[[#This Row],[MAT]],"*M"),Table412[[#This Row],[MAT]]&amp;Table412[[#This Row],[X'#]],""))</f>
        <v>12120431</v>
      </c>
    </row>
    <row r="720" spans="1:15" x14ac:dyDescent="0.25">
      <c r="A720" s="37">
        <f t="shared" si="12"/>
        <v>163</v>
      </c>
      <c r="C720" s="38">
        <v>5.875</v>
      </c>
      <c r="D720" s="36" t="s">
        <v>667</v>
      </c>
      <c r="E720" s="36">
        <v>1212043</v>
      </c>
      <c r="F720" s="36">
        <v>2</v>
      </c>
      <c r="G720" s="36">
        <v>1039057</v>
      </c>
      <c r="H720" s="48" t="str">
        <f>IFERROR(INDEX(Table14[],MATCH($G720,Table14[SAPNo],0),3),"")</f>
        <v>Round 1608 CT 138  10C (S)</v>
      </c>
      <c r="I720" s="37">
        <v>12</v>
      </c>
      <c r="J720" s="37">
        <f>IF(Table412[[#This Row],[MAT]]&lt;&gt;"",COUNTIF(Table3[LEVEL 5 MAT NO.],Table412[[#This Row],[MAT]]),"")</f>
        <v>0</v>
      </c>
      <c r="K720" s="36">
        <f>IFERROR(INDEX(Table3[],MATCH($E720,Table3[LEVEL 5 MAT NO.],0),2),0)</f>
        <v>0</v>
      </c>
      <c r="L720" s="36">
        <f>Table412[[#This Row],[Quantity in BOM]]*Table412[[#This Row],[Freq]]</f>
        <v>0</v>
      </c>
      <c r="M720" s="36" t="str">
        <f>IF(Table412[[#This Row],[Exist]]=1,Table412[[#This Row],[MAT]],"")</f>
        <v/>
      </c>
      <c r="N720" s="36" t="str">
        <f>IF(Table412[[#This Row],[Exist]]=1,Table412[[#This Row],[Component]],"")</f>
        <v/>
      </c>
      <c r="O720" s="36">
        <f>IFERROR(VALUE(Table412[[#This Row],[MAT]]&amp;Table412[[#This Row],[X'#]]),IF(COUNTIF(Table412[[#This Row],[MAT]],"*M"),Table412[[#This Row],[MAT]]&amp;Table412[[#This Row],[X'#]],""))</f>
        <v>12120432</v>
      </c>
    </row>
    <row r="721" spans="1:15" x14ac:dyDescent="0.25">
      <c r="A721" s="37">
        <f t="shared" si="12"/>
        <v>163</v>
      </c>
      <c r="C721" s="38">
        <v>5.875</v>
      </c>
      <c r="D721" s="36" t="s">
        <v>667</v>
      </c>
      <c r="E721" s="36">
        <v>1212043</v>
      </c>
      <c r="F721" s="36">
        <v>3</v>
      </c>
      <c r="G721" s="36">
        <v>1039036</v>
      </c>
      <c r="H721" s="48" t="str">
        <f>IFERROR(INDEX(Table14[],MATCH($G721,Table14[SAPNo],0),3),"")</f>
        <v>Round 1313 CT138  0.018" (S)</v>
      </c>
      <c r="I721" s="37">
        <v>7</v>
      </c>
      <c r="J721" s="37">
        <f>IF(Table412[[#This Row],[MAT]]&lt;&gt;"",COUNTIF(Table3[LEVEL 5 MAT NO.],Table412[[#This Row],[MAT]]),"")</f>
        <v>0</v>
      </c>
      <c r="K721" s="36">
        <f>IFERROR(INDEX(Table3[],MATCH($E721,Table3[LEVEL 5 MAT NO.],0),2),0)</f>
        <v>0</v>
      </c>
      <c r="L721" s="36">
        <f>Table412[[#This Row],[Quantity in BOM]]*Table412[[#This Row],[Freq]]</f>
        <v>0</v>
      </c>
      <c r="M721" s="36" t="str">
        <f>IF(Table412[[#This Row],[Exist]]=1,Table412[[#This Row],[MAT]],"")</f>
        <v/>
      </c>
      <c r="N721" s="36" t="str">
        <f>IF(Table412[[#This Row],[Exist]]=1,Table412[[#This Row],[Component]],"")</f>
        <v/>
      </c>
      <c r="O721" s="36">
        <f>IFERROR(VALUE(Table412[[#This Row],[MAT]]&amp;Table412[[#This Row],[X'#]]),IF(COUNTIF(Table412[[#This Row],[MAT]],"*M"),Table412[[#This Row],[MAT]]&amp;Table412[[#This Row],[X'#]],""))</f>
        <v>12120433</v>
      </c>
    </row>
    <row r="722" spans="1:15" x14ac:dyDescent="0.25">
      <c r="A722" s="37">
        <f t="shared" si="12"/>
        <v>163</v>
      </c>
      <c r="C722" s="38">
        <v>5.875</v>
      </c>
      <c r="D722" s="36" t="s">
        <v>667</v>
      </c>
      <c r="E722" s="36">
        <v>1212043</v>
      </c>
      <c r="F722" s="36">
        <v>4</v>
      </c>
      <c r="G722" s="36">
        <v>1176639</v>
      </c>
      <c r="H722" s="48" t="str">
        <f>IFERROR(INDEX(Table14[],MATCH($G722,Table14[SAPNo],0),3),"")</f>
        <v>Round 1308 CT 155  0.018 (T)</v>
      </c>
      <c r="I722" s="37">
        <v>5</v>
      </c>
      <c r="J722" s="37">
        <f>IF(Table412[[#This Row],[MAT]]&lt;&gt;"",COUNTIF(Table3[LEVEL 5 MAT NO.],Table412[[#This Row],[MAT]]),"")</f>
        <v>0</v>
      </c>
      <c r="K722" s="36">
        <f>IFERROR(INDEX(Table3[],MATCH($E722,Table3[LEVEL 5 MAT NO.],0),2),0)</f>
        <v>0</v>
      </c>
      <c r="L722" s="36">
        <f>Table412[[#This Row],[Quantity in BOM]]*Table412[[#This Row],[Freq]]</f>
        <v>0</v>
      </c>
      <c r="M722" s="36" t="str">
        <f>IF(Table412[[#This Row],[Exist]]=1,Table412[[#This Row],[MAT]],"")</f>
        <v/>
      </c>
      <c r="N722" s="36" t="str">
        <f>IF(Table412[[#This Row],[Exist]]=1,Table412[[#This Row],[Component]],"")</f>
        <v/>
      </c>
      <c r="O722" s="36">
        <f>IFERROR(VALUE(Table412[[#This Row],[MAT]]&amp;Table412[[#This Row],[X'#]]),IF(COUNTIF(Table412[[#This Row],[MAT]],"*M"),Table412[[#This Row],[MAT]]&amp;Table412[[#This Row],[X'#]],""))</f>
        <v>12120434</v>
      </c>
    </row>
    <row r="723" spans="1:15" x14ac:dyDescent="0.25">
      <c r="A723" s="37">
        <f t="shared" si="12"/>
        <v>163</v>
      </c>
      <c r="C723" s="38">
        <v>5.875</v>
      </c>
      <c r="D723" s="36" t="s">
        <v>667</v>
      </c>
      <c r="E723" s="36">
        <v>1212043</v>
      </c>
      <c r="F723" s="36">
        <v>5</v>
      </c>
      <c r="G723" s="36">
        <v>1176641</v>
      </c>
      <c r="H723" s="48" t="str">
        <f>IFERROR(INDEX(Table14[],MATCH($G723,Table14[SAPNo],0),3),"")</f>
        <v>1613 CT155 0.018</v>
      </c>
      <c r="I723" s="37">
        <v>5</v>
      </c>
      <c r="J723" s="37">
        <f>IF(Table412[[#This Row],[MAT]]&lt;&gt;"",COUNTIF(Table3[LEVEL 5 MAT NO.],Table412[[#This Row],[MAT]]),"")</f>
        <v>0</v>
      </c>
      <c r="K723" s="36">
        <f>IFERROR(INDEX(Table3[],MATCH($E723,Table3[LEVEL 5 MAT NO.],0),2),0)</f>
        <v>0</v>
      </c>
      <c r="L723" s="36">
        <f>Table412[[#This Row],[Quantity in BOM]]*Table412[[#This Row],[Freq]]</f>
        <v>0</v>
      </c>
      <c r="M723" s="36" t="str">
        <f>IF(Table412[[#This Row],[Exist]]=1,Table412[[#This Row],[MAT]],"")</f>
        <v/>
      </c>
      <c r="N723" s="36" t="str">
        <f>IF(Table412[[#This Row],[Exist]]=1,Table412[[#This Row],[Component]],"")</f>
        <v/>
      </c>
      <c r="O723" s="36">
        <f>IFERROR(VALUE(Table412[[#This Row],[MAT]]&amp;Table412[[#This Row],[X'#]]),IF(COUNTIF(Table412[[#This Row],[MAT]],"*M"),Table412[[#This Row],[MAT]]&amp;Table412[[#This Row],[X'#]],""))</f>
        <v>12120435</v>
      </c>
    </row>
    <row r="724" spans="1:15" x14ac:dyDescent="0.25">
      <c r="A724" s="37">
        <f t="shared" si="12"/>
        <v>163</v>
      </c>
      <c r="C724" s="38">
        <v>5.875</v>
      </c>
      <c r="D724" s="36" t="s">
        <v>667</v>
      </c>
      <c r="E724" s="36">
        <v>1212043</v>
      </c>
      <c r="F724" s="36">
        <v>6</v>
      </c>
      <c r="G724" s="36">
        <v>418525</v>
      </c>
      <c r="H724" s="48" t="str">
        <f>IFERROR(INDEX(Table14[],MATCH($G724,Table14[SAPNo],0),3),"")</f>
        <v>Drop In 1308 CT31   (B)</v>
      </c>
      <c r="I724" s="37">
        <v>4</v>
      </c>
      <c r="J724" s="37">
        <f>IF(Table412[[#This Row],[MAT]]&lt;&gt;"",COUNTIF(Table3[LEVEL 5 MAT NO.],Table412[[#This Row],[MAT]]),"")</f>
        <v>0</v>
      </c>
      <c r="K724" s="36">
        <f>IFERROR(INDEX(Table3[],MATCH($E724,Table3[LEVEL 5 MAT NO.],0),2),0)</f>
        <v>0</v>
      </c>
      <c r="L724" s="36">
        <f>Table412[[#This Row],[Quantity in BOM]]*Table412[[#This Row],[Freq]]</f>
        <v>0</v>
      </c>
      <c r="M724" s="36" t="str">
        <f>IF(Table412[[#This Row],[Exist]]=1,Table412[[#This Row],[MAT]],"")</f>
        <v/>
      </c>
      <c r="N724" s="36" t="str">
        <f>IF(Table412[[#This Row],[Exist]]=1,Table412[[#This Row],[Component]],"")</f>
        <v/>
      </c>
      <c r="O724" s="36">
        <f>IFERROR(VALUE(Table412[[#This Row],[MAT]]&amp;Table412[[#This Row],[X'#]]),IF(COUNTIF(Table412[[#This Row],[MAT]],"*M"),Table412[[#This Row],[MAT]]&amp;Table412[[#This Row],[X'#]],""))</f>
        <v>12120436</v>
      </c>
    </row>
    <row r="725" spans="1:15" x14ac:dyDescent="0.25">
      <c r="A725" s="37">
        <f t="shared" si="12"/>
        <v>163</v>
      </c>
      <c r="C725" s="38">
        <v>5.875</v>
      </c>
      <c r="D725" s="36" t="s">
        <v>667</v>
      </c>
      <c r="E725" s="36">
        <v>1212043</v>
      </c>
      <c r="F725" s="36">
        <v>7</v>
      </c>
      <c r="G725" s="36">
        <v>871781</v>
      </c>
      <c r="H725" s="48" t="str">
        <f>IFERROR(INDEX(Table14[],MATCH($G725,Table14[SAPNo],0),3),"")</f>
        <v>Round 1313 CT200  0.018" (B)</v>
      </c>
      <c r="I725" s="37">
        <v>3</v>
      </c>
      <c r="J725" s="37">
        <f>IF(Table412[[#This Row],[MAT]]&lt;&gt;"",COUNTIF(Table3[LEVEL 5 MAT NO.],Table412[[#This Row],[MAT]]),"")</f>
        <v>0</v>
      </c>
      <c r="K725" s="36">
        <f>IFERROR(INDEX(Table3[],MATCH($E725,Table3[LEVEL 5 MAT NO.],0),2),0)</f>
        <v>0</v>
      </c>
      <c r="L725" s="36">
        <f>Table412[[#This Row],[Quantity in BOM]]*Table412[[#This Row],[Freq]]</f>
        <v>0</v>
      </c>
      <c r="M725" s="36" t="str">
        <f>IF(Table412[[#This Row],[Exist]]=1,Table412[[#This Row],[MAT]],"")</f>
        <v/>
      </c>
      <c r="N725" s="36" t="str">
        <f>IF(Table412[[#This Row],[Exist]]=1,Table412[[#This Row],[Component]],"")</f>
        <v/>
      </c>
      <c r="O725" s="36">
        <f>IFERROR(VALUE(Table412[[#This Row],[MAT]]&amp;Table412[[#This Row],[X'#]]),IF(COUNTIF(Table412[[#This Row],[MAT]],"*M"),Table412[[#This Row],[MAT]]&amp;Table412[[#This Row],[X'#]],""))</f>
        <v>12120437</v>
      </c>
    </row>
    <row r="726" spans="1:15" x14ac:dyDescent="0.25">
      <c r="A726" s="37">
        <f t="shared" si="12"/>
        <v>163</v>
      </c>
      <c r="C726" s="38">
        <v>5.875</v>
      </c>
      <c r="D726" s="36" t="s">
        <v>667</v>
      </c>
      <c r="E726" s="36">
        <v>1212043</v>
      </c>
      <c r="F726" s="36">
        <v>8</v>
      </c>
      <c r="G726" s="36">
        <v>1039060</v>
      </c>
      <c r="H726" s="48" t="str">
        <f>IFERROR(INDEX(Table14[],MATCH($G726,Table14[SAPNo],0),3),"")</f>
        <v>Round 1613 CT138  0.018" (S)</v>
      </c>
      <c r="I726" s="37">
        <v>1</v>
      </c>
      <c r="J726" s="37">
        <f>IF(Table412[[#This Row],[MAT]]&lt;&gt;"",COUNTIF(Table3[LEVEL 5 MAT NO.],Table412[[#This Row],[MAT]]),"")</f>
        <v>0</v>
      </c>
      <c r="K726" s="36">
        <f>IFERROR(INDEX(Table3[],MATCH($E726,Table3[LEVEL 5 MAT NO.],0),2),0)</f>
        <v>0</v>
      </c>
      <c r="L726" s="36">
        <f>Table412[[#This Row],[Quantity in BOM]]*Table412[[#This Row],[Freq]]</f>
        <v>0</v>
      </c>
      <c r="M726" s="36" t="str">
        <f>IF(Table412[[#This Row],[Exist]]=1,Table412[[#This Row],[MAT]],"")</f>
        <v/>
      </c>
      <c r="N726" s="36" t="str">
        <f>IF(Table412[[#This Row],[Exist]]=1,Table412[[#This Row],[Component]],"")</f>
        <v/>
      </c>
      <c r="O726" s="36">
        <f>IFERROR(VALUE(Table412[[#This Row],[MAT]]&amp;Table412[[#This Row],[X'#]]),IF(COUNTIF(Table412[[#This Row],[MAT]],"*M"),Table412[[#This Row],[MAT]]&amp;Table412[[#This Row],[X'#]],""))</f>
        <v>12120438</v>
      </c>
    </row>
    <row r="727" spans="1:15" x14ac:dyDescent="0.25">
      <c r="A727" s="37">
        <f t="shared" si="12"/>
        <v>163</v>
      </c>
      <c r="C727" s="38" t="s">
        <v>313</v>
      </c>
      <c r="D727" s="36" t="s">
        <v>3702</v>
      </c>
      <c r="E727" s="36">
        <v>1152687</v>
      </c>
      <c r="F727" s="36">
        <v>1</v>
      </c>
      <c r="G727" s="36">
        <v>1162508</v>
      </c>
      <c r="H727" s="48" t="str">
        <f>IFERROR(INDEX(Table14[],MATCH($G727,Table14[SAPNo],0),3),"")</f>
        <v>1308 CT154 0.018</v>
      </c>
      <c r="I727" s="37">
        <v>32</v>
      </c>
      <c r="J727" s="37">
        <f>IF(Table412[[#This Row],[MAT]]&lt;&gt;"",COUNTIF(Table3[LEVEL 5 MAT NO.],Table412[[#This Row],[MAT]]),"")</f>
        <v>0</v>
      </c>
      <c r="K727" s="36">
        <f>IFERROR(INDEX(Table3[],MATCH($E727,Table3[LEVEL 5 MAT NO.],0),2),0)</f>
        <v>0</v>
      </c>
      <c r="L727" s="36">
        <f>Table412[[#This Row],[Quantity in BOM]]*Table412[[#This Row],[Freq]]</f>
        <v>0</v>
      </c>
      <c r="M727" s="36" t="str">
        <f>IF(Table412[[#This Row],[Exist]]=1,Table412[[#This Row],[MAT]],"")</f>
        <v/>
      </c>
      <c r="N727" s="36" t="str">
        <f>IF(Table412[[#This Row],[Exist]]=1,Table412[[#This Row],[Component]],"")</f>
        <v/>
      </c>
      <c r="O727" s="36">
        <f>IFERROR(VALUE(Table412[[#This Row],[MAT]]&amp;Table412[[#This Row],[X'#]]),IF(COUNTIF(Table412[[#This Row],[MAT]],"*M"),Table412[[#This Row],[MAT]]&amp;Table412[[#This Row],[X'#]],""))</f>
        <v>11526871</v>
      </c>
    </row>
    <row r="728" spans="1:15" x14ac:dyDescent="0.25">
      <c r="A728" s="37">
        <f t="shared" si="12"/>
        <v>163</v>
      </c>
      <c r="C728" s="38" t="s">
        <v>313</v>
      </c>
      <c r="D728" s="36" t="s">
        <v>3702</v>
      </c>
      <c r="E728" s="36">
        <v>1152687</v>
      </c>
      <c r="F728" s="36">
        <v>2</v>
      </c>
      <c r="G728" s="36">
        <v>1039033</v>
      </c>
      <c r="H728" s="48" t="str">
        <f>IFERROR(INDEX(Table14[],MATCH($G728,Table14[SAPNo],0),3),"")</f>
        <v>Round 1308 CT138  10C (S)</v>
      </c>
      <c r="I728" s="37">
        <v>28</v>
      </c>
      <c r="J728" s="37">
        <f>IF(Table412[[#This Row],[MAT]]&lt;&gt;"",COUNTIF(Table3[LEVEL 5 MAT NO.],Table412[[#This Row],[MAT]]),"")</f>
        <v>0</v>
      </c>
      <c r="K728" s="36">
        <f>IFERROR(INDEX(Table3[],MATCH($E728,Table3[LEVEL 5 MAT NO.],0),2),0)</f>
        <v>0</v>
      </c>
      <c r="L728" s="36">
        <f>Table412[[#This Row],[Quantity in BOM]]*Table412[[#This Row],[Freq]]</f>
        <v>0</v>
      </c>
      <c r="M728" s="36" t="str">
        <f>IF(Table412[[#This Row],[Exist]]=1,Table412[[#This Row],[MAT]],"")</f>
        <v/>
      </c>
      <c r="N728" s="36" t="str">
        <f>IF(Table412[[#This Row],[Exist]]=1,Table412[[#This Row],[Component]],"")</f>
        <v/>
      </c>
      <c r="O728" s="36">
        <f>IFERROR(VALUE(Table412[[#This Row],[MAT]]&amp;Table412[[#This Row],[X'#]]),IF(COUNTIF(Table412[[#This Row],[MAT]],"*M"),Table412[[#This Row],[MAT]]&amp;Table412[[#This Row],[X'#]],""))</f>
        <v>11526872</v>
      </c>
    </row>
    <row r="729" spans="1:15" x14ac:dyDescent="0.25">
      <c r="A729" s="37">
        <f t="shared" si="12"/>
        <v>163</v>
      </c>
      <c r="C729" s="38" t="s">
        <v>313</v>
      </c>
      <c r="D729" s="36" t="s">
        <v>3702</v>
      </c>
      <c r="E729" s="36">
        <v>1152687</v>
      </c>
      <c r="F729" s="36">
        <v>3</v>
      </c>
      <c r="G729" s="36">
        <v>1162510</v>
      </c>
      <c r="H729" s="48" t="str">
        <f>IFERROR(INDEX(Table14[],MATCH($G729,Table14[SAPNo],0),3),"")</f>
        <v>1608 CT154 0.018</v>
      </c>
      <c r="I729" s="37">
        <v>15</v>
      </c>
      <c r="J729" s="37">
        <f>IF(Table412[[#This Row],[MAT]]&lt;&gt;"",COUNTIF(Table3[LEVEL 5 MAT NO.],Table412[[#This Row],[MAT]]),"")</f>
        <v>0</v>
      </c>
      <c r="K729" s="36">
        <f>IFERROR(INDEX(Table3[],MATCH($E729,Table3[LEVEL 5 MAT NO.],0),2),0)</f>
        <v>0</v>
      </c>
      <c r="L729" s="36">
        <f>Table412[[#This Row],[Quantity in BOM]]*Table412[[#This Row],[Freq]]</f>
        <v>0</v>
      </c>
      <c r="M729" s="36" t="str">
        <f>IF(Table412[[#This Row],[Exist]]=1,Table412[[#This Row],[MAT]],"")</f>
        <v/>
      </c>
      <c r="N729" s="36" t="str">
        <f>IF(Table412[[#This Row],[Exist]]=1,Table412[[#This Row],[Component]],"")</f>
        <v/>
      </c>
      <c r="O729" s="36">
        <f>IFERROR(VALUE(Table412[[#This Row],[MAT]]&amp;Table412[[#This Row],[X'#]]),IF(COUNTIF(Table412[[#This Row],[MAT]],"*M"),Table412[[#This Row],[MAT]]&amp;Table412[[#This Row],[X'#]],""))</f>
        <v>11526873</v>
      </c>
    </row>
    <row r="730" spans="1:15" x14ac:dyDescent="0.25">
      <c r="A730" s="37">
        <f t="shared" si="12"/>
        <v>163</v>
      </c>
      <c r="C730" s="38" t="s">
        <v>313</v>
      </c>
      <c r="D730" s="36" t="s">
        <v>3702</v>
      </c>
      <c r="E730" s="36">
        <v>1152687</v>
      </c>
      <c r="F730" s="36">
        <v>4</v>
      </c>
      <c r="G730" s="36">
        <v>418525</v>
      </c>
      <c r="H730" s="48" t="str">
        <f>IFERROR(INDEX(Table14[],MATCH($G730,Table14[SAPNo],0),3),"")</f>
        <v>Drop In 1308 CT31   (B)</v>
      </c>
      <c r="I730" s="37">
        <v>7</v>
      </c>
      <c r="J730" s="37">
        <f>IF(Table412[[#This Row],[MAT]]&lt;&gt;"",COUNTIF(Table3[LEVEL 5 MAT NO.],Table412[[#This Row],[MAT]]),"")</f>
        <v>0</v>
      </c>
      <c r="K730" s="36">
        <f>IFERROR(INDEX(Table3[],MATCH($E730,Table3[LEVEL 5 MAT NO.],0),2),0)</f>
        <v>0</v>
      </c>
      <c r="L730" s="36">
        <f>Table412[[#This Row],[Quantity in BOM]]*Table412[[#This Row],[Freq]]</f>
        <v>0</v>
      </c>
      <c r="M730" s="36" t="str">
        <f>IF(Table412[[#This Row],[Exist]]=1,Table412[[#This Row],[MAT]],"")</f>
        <v/>
      </c>
      <c r="N730" s="36" t="str">
        <f>IF(Table412[[#This Row],[Exist]]=1,Table412[[#This Row],[Component]],"")</f>
        <v/>
      </c>
      <c r="O730" s="36">
        <f>IFERROR(VALUE(Table412[[#This Row],[MAT]]&amp;Table412[[#This Row],[X'#]]),IF(COUNTIF(Table412[[#This Row],[MAT]],"*M"),Table412[[#This Row],[MAT]]&amp;Table412[[#This Row],[X'#]],""))</f>
        <v>11526874</v>
      </c>
    </row>
    <row r="731" spans="1:15" x14ac:dyDescent="0.25">
      <c r="A731" s="37">
        <f t="shared" si="12"/>
        <v>163</v>
      </c>
      <c r="C731" s="38" t="s">
        <v>309</v>
      </c>
      <c r="D731" s="36" t="s">
        <v>256</v>
      </c>
      <c r="E731" s="36">
        <v>1208059</v>
      </c>
      <c r="F731" s="36">
        <v>1</v>
      </c>
      <c r="G731" s="36">
        <v>1136984</v>
      </c>
      <c r="H731" s="48" t="str">
        <f>IFERROR(INDEX(Table14[],MATCH($G731,Table14[SAPNo],0),3),"")</f>
        <v>DBLMCHT 1313 CT182DM  10C (S)</v>
      </c>
      <c r="I731" s="37">
        <v>13</v>
      </c>
      <c r="J731" s="37">
        <f>IF(Table412[[#This Row],[MAT]]&lt;&gt;"",COUNTIF(Table3[LEVEL 5 MAT NO.],Table412[[#This Row],[MAT]]),"")</f>
        <v>0</v>
      </c>
      <c r="K731" s="36">
        <f>IFERROR(INDEX(Table3[],MATCH($E731,Table3[LEVEL 5 MAT NO.],0),2),0)</f>
        <v>0</v>
      </c>
      <c r="L731" s="36">
        <f>Table412[[#This Row],[Quantity in BOM]]*Table412[[#This Row],[Freq]]</f>
        <v>0</v>
      </c>
      <c r="M731" s="36" t="str">
        <f>IF(Table412[[#This Row],[Exist]]=1,Table412[[#This Row],[MAT]],"")</f>
        <v/>
      </c>
      <c r="N731" s="36" t="str">
        <f>IF(Table412[[#This Row],[Exist]]=1,Table412[[#This Row],[Component]],"")</f>
        <v/>
      </c>
      <c r="O731" s="36">
        <f>IFERROR(VALUE(Table412[[#This Row],[MAT]]&amp;Table412[[#This Row],[X'#]]),IF(COUNTIF(Table412[[#This Row],[MAT]],"*M"),Table412[[#This Row],[MAT]]&amp;Table412[[#This Row],[X'#]],""))</f>
        <v>12080591</v>
      </c>
    </row>
    <row r="732" spans="1:15" x14ac:dyDescent="0.25">
      <c r="A732" s="37">
        <f t="shared" si="12"/>
        <v>163</v>
      </c>
      <c r="C732" s="38" t="s">
        <v>309</v>
      </c>
      <c r="D732" s="36" t="s">
        <v>256</v>
      </c>
      <c r="E732" s="36">
        <v>1208059</v>
      </c>
      <c r="F732" s="36">
        <v>2</v>
      </c>
      <c r="G732" s="36">
        <v>1145493</v>
      </c>
      <c r="H732" s="48" t="str">
        <f>IFERROR(INDEX(Table14[],MATCH($G732,Table14[SAPNo],0),3),"")</f>
        <v>Round 1313 CT427  10C (S)</v>
      </c>
      <c r="I732" s="37">
        <v>12</v>
      </c>
      <c r="J732" s="37">
        <f>IF(Table412[[#This Row],[MAT]]&lt;&gt;"",COUNTIF(Table3[LEVEL 5 MAT NO.],Table412[[#This Row],[MAT]]),"")</f>
        <v>0</v>
      </c>
      <c r="K732" s="36">
        <f>IFERROR(INDEX(Table3[],MATCH($E732,Table3[LEVEL 5 MAT NO.],0),2),0)</f>
        <v>0</v>
      </c>
      <c r="L732" s="36">
        <f>Table412[[#This Row],[Quantity in BOM]]*Table412[[#This Row],[Freq]]</f>
        <v>0</v>
      </c>
      <c r="M732" s="36" t="str">
        <f>IF(Table412[[#This Row],[Exist]]=1,Table412[[#This Row],[MAT]],"")</f>
        <v/>
      </c>
      <c r="N732" s="36" t="str">
        <f>IF(Table412[[#This Row],[Exist]]=1,Table412[[#This Row],[Component]],"")</f>
        <v/>
      </c>
      <c r="O732" s="36">
        <f>IFERROR(VALUE(Table412[[#This Row],[MAT]]&amp;Table412[[#This Row],[X'#]]),IF(COUNTIF(Table412[[#This Row],[MAT]],"*M"),Table412[[#This Row],[MAT]]&amp;Table412[[#This Row],[X'#]],""))</f>
        <v>12080592</v>
      </c>
    </row>
    <row r="733" spans="1:15" x14ac:dyDescent="0.25">
      <c r="A733" s="37">
        <f t="shared" si="12"/>
        <v>163</v>
      </c>
      <c r="C733" s="38" t="s">
        <v>309</v>
      </c>
      <c r="D733" s="36" t="s">
        <v>256</v>
      </c>
      <c r="E733" s="36">
        <v>1208059</v>
      </c>
      <c r="F733" s="36">
        <v>3</v>
      </c>
      <c r="G733" s="36">
        <v>418525</v>
      </c>
      <c r="H733" s="48" t="str">
        <f>IFERROR(INDEX(Table14[],MATCH($G733,Table14[SAPNo],0),3),"")</f>
        <v>Drop In 1308 CT31   (B)</v>
      </c>
      <c r="I733" s="37">
        <v>6</v>
      </c>
      <c r="J733" s="37">
        <f>IF(Table412[[#This Row],[MAT]]&lt;&gt;"",COUNTIF(Table3[LEVEL 5 MAT NO.],Table412[[#This Row],[MAT]]),"")</f>
        <v>0</v>
      </c>
      <c r="K733" s="36">
        <f>IFERROR(INDEX(Table3[],MATCH($E733,Table3[LEVEL 5 MAT NO.],0),2),0)</f>
        <v>0</v>
      </c>
      <c r="L733" s="36">
        <f>Table412[[#This Row],[Quantity in BOM]]*Table412[[#This Row],[Freq]]</f>
        <v>0</v>
      </c>
      <c r="M733" s="36" t="str">
        <f>IF(Table412[[#This Row],[Exist]]=1,Table412[[#This Row],[MAT]],"")</f>
        <v/>
      </c>
      <c r="N733" s="36" t="str">
        <f>IF(Table412[[#This Row],[Exist]]=1,Table412[[#This Row],[Component]],"")</f>
        <v/>
      </c>
      <c r="O733" s="36">
        <f>IFERROR(VALUE(Table412[[#This Row],[MAT]]&amp;Table412[[#This Row],[X'#]]),IF(COUNTIF(Table412[[#This Row],[MAT]],"*M"),Table412[[#This Row],[MAT]]&amp;Table412[[#This Row],[X'#]],""))</f>
        <v>12080593</v>
      </c>
    </row>
    <row r="734" spans="1:15" x14ac:dyDescent="0.25">
      <c r="A734" s="37">
        <f t="shared" si="12"/>
        <v>163</v>
      </c>
      <c r="C734" s="38" t="s">
        <v>309</v>
      </c>
      <c r="D734" s="36" t="s">
        <v>256</v>
      </c>
      <c r="E734" s="36">
        <v>1208059</v>
      </c>
      <c r="F734" s="36">
        <v>4</v>
      </c>
      <c r="G734" s="36">
        <v>1101509</v>
      </c>
      <c r="H734" s="48" t="str">
        <f>IFERROR(INDEX(Table14[],MATCH($G734,Table14[SAPNo],0),3),"")</f>
        <v>Short IA 8    (C)</v>
      </c>
      <c r="I734" s="37">
        <v>5</v>
      </c>
      <c r="J734" s="37">
        <f>IF(Table412[[#This Row],[MAT]]&lt;&gt;"",COUNTIF(Table3[LEVEL 5 MAT NO.],Table412[[#This Row],[MAT]]),"")</f>
        <v>0</v>
      </c>
      <c r="K734" s="36">
        <f>IFERROR(INDEX(Table3[],MATCH($E734,Table3[LEVEL 5 MAT NO.],0),2),0)</f>
        <v>0</v>
      </c>
      <c r="L734" s="36">
        <f>Table412[[#This Row],[Quantity in BOM]]*Table412[[#This Row],[Freq]]</f>
        <v>0</v>
      </c>
      <c r="M734" s="36" t="str">
        <f>IF(Table412[[#This Row],[Exist]]=1,Table412[[#This Row],[MAT]],"")</f>
        <v/>
      </c>
      <c r="N734" s="36" t="str">
        <f>IF(Table412[[#This Row],[Exist]]=1,Table412[[#This Row],[Component]],"")</f>
        <v/>
      </c>
      <c r="O734" s="36">
        <f>IFERROR(VALUE(Table412[[#This Row],[MAT]]&amp;Table412[[#This Row],[X'#]]),IF(COUNTIF(Table412[[#This Row],[MAT]],"*M"),Table412[[#This Row],[MAT]]&amp;Table412[[#This Row],[X'#]],""))</f>
        <v>12080594</v>
      </c>
    </row>
    <row r="735" spans="1:15" x14ac:dyDescent="0.25">
      <c r="A735" s="37">
        <f t="shared" si="12"/>
        <v>163</v>
      </c>
      <c r="C735" s="38" t="s">
        <v>309</v>
      </c>
      <c r="D735" s="36" t="s">
        <v>256</v>
      </c>
      <c r="E735" s="36">
        <v>1208059</v>
      </c>
      <c r="F735" s="36">
        <v>5</v>
      </c>
      <c r="G735" s="36">
        <v>1104083</v>
      </c>
      <c r="H735" s="48" t="str">
        <f>IFERROR(INDEX(Table14[],MATCH($G735,Table14[SAPNo],0),3),"")</f>
        <v>1313 CT144H  10C (S)</v>
      </c>
      <c r="I735" s="37">
        <v>1</v>
      </c>
      <c r="J735" s="37">
        <f>IF(Table412[[#This Row],[MAT]]&lt;&gt;"",COUNTIF(Table3[LEVEL 5 MAT NO.],Table412[[#This Row],[MAT]]),"")</f>
        <v>0</v>
      </c>
      <c r="K735" s="36">
        <f>IFERROR(INDEX(Table3[],MATCH($E735,Table3[LEVEL 5 MAT NO.],0),2),0)</f>
        <v>0</v>
      </c>
      <c r="L735" s="36">
        <f>Table412[[#This Row],[Quantity in BOM]]*Table412[[#This Row],[Freq]]</f>
        <v>0</v>
      </c>
      <c r="M735" s="36" t="str">
        <f>IF(Table412[[#This Row],[Exist]]=1,Table412[[#This Row],[MAT]],"")</f>
        <v/>
      </c>
      <c r="N735" s="36" t="str">
        <f>IF(Table412[[#This Row],[Exist]]=1,Table412[[#This Row],[Component]],"")</f>
        <v/>
      </c>
      <c r="O735" s="36">
        <f>IFERROR(VALUE(Table412[[#This Row],[MAT]]&amp;Table412[[#This Row],[X'#]]),IF(COUNTIF(Table412[[#This Row],[MAT]],"*M"),Table412[[#This Row],[MAT]]&amp;Table412[[#This Row],[X'#]],""))</f>
        <v>12080595</v>
      </c>
    </row>
    <row r="736" spans="1:15" x14ac:dyDescent="0.25">
      <c r="A736" s="37">
        <f t="shared" si="12"/>
        <v>163</v>
      </c>
      <c r="C736" s="38" t="s">
        <v>631</v>
      </c>
      <c r="D736" s="36" t="s">
        <v>667</v>
      </c>
      <c r="E736" s="36">
        <v>1207508</v>
      </c>
      <c r="F736" s="36">
        <v>1</v>
      </c>
      <c r="G736" s="36">
        <v>1039033</v>
      </c>
      <c r="H736" s="48" t="str">
        <f>IFERROR(INDEX(Table14[],MATCH($G736,Table14[SAPNo],0),3),"")</f>
        <v>Round 1308 CT138  10C (S)</v>
      </c>
      <c r="I736" s="37">
        <v>21</v>
      </c>
      <c r="J736" s="37">
        <f>IF(Table412[[#This Row],[MAT]]&lt;&gt;"",COUNTIF(Table3[LEVEL 5 MAT NO.],Table412[[#This Row],[MAT]]),"")</f>
        <v>0</v>
      </c>
      <c r="K736" s="36">
        <f>IFERROR(INDEX(Table3[],MATCH($E736,Table3[LEVEL 5 MAT NO.],0),2),0)</f>
        <v>0</v>
      </c>
      <c r="L736" s="36">
        <f>Table412[[#This Row],[Quantity in BOM]]*Table412[[#This Row],[Freq]]</f>
        <v>0</v>
      </c>
      <c r="M736" s="36" t="str">
        <f>IF(Table412[[#This Row],[Exist]]=1,Table412[[#This Row],[MAT]],"")</f>
        <v/>
      </c>
      <c r="N736" s="36" t="str">
        <f>IF(Table412[[#This Row],[Exist]]=1,Table412[[#This Row],[Component]],"")</f>
        <v/>
      </c>
      <c r="O736" s="36">
        <f>IFERROR(VALUE(Table412[[#This Row],[MAT]]&amp;Table412[[#This Row],[X'#]]),IF(COUNTIF(Table412[[#This Row],[MAT]],"*M"),Table412[[#This Row],[MAT]]&amp;Table412[[#This Row],[X'#]],""))</f>
        <v>12075081</v>
      </c>
    </row>
    <row r="737" spans="1:15" x14ac:dyDescent="0.25">
      <c r="A737" s="37">
        <f t="shared" si="12"/>
        <v>163</v>
      </c>
      <c r="C737" s="38" t="s">
        <v>631</v>
      </c>
      <c r="D737" s="36" t="s">
        <v>667</v>
      </c>
      <c r="E737" s="36">
        <v>1207508</v>
      </c>
      <c r="F737" s="36">
        <v>2</v>
      </c>
      <c r="G737" s="36">
        <v>1039036</v>
      </c>
      <c r="H737" s="48" t="str">
        <f>IFERROR(INDEX(Table14[],MATCH($G737,Table14[SAPNo],0),3),"")</f>
        <v>Round 1313 CT138  0.018" (S)</v>
      </c>
      <c r="I737" s="37">
        <v>12</v>
      </c>
      <c r="J737" s="37">
        <f>IF(Table412[[#This Row],[MAT]]&lt;&gt;"",COUNTIF(Table3[LEVEL 5 MAT NO.],Table412[[#This Row],[MAT]]),"")</f>
        <v>0</v>
      </c>
      <c r="K737" s="36">
        <f>IFERROR(INDEX(Table3[],MATCH($E737,Table3[LEVEL 5 MAT NO.],0),2),0)</f>
        <v>0</v>
      </c>
      <c r="L737" s="36">
        <f>Table412[[#This Row],[Quantity in BOM]]*Table412[[#This Row],[Freq]]</f>
        <v>0</v>
      </c>
      <c r="M737" s="36" t="str">
        <f>IF(Table412[[#This Row],[Exist]]=1,Table412[[#This Row],[MAT]],"")</f>
        <v/>
      </c>
      <c r="N737" s="36" t="str">
        <f>IF(Table412[[#This Row],[Exist]]=1,Table412[[#This Row],[Component]],"")</f>
        <v/>
      </c>
      <c r="O737" s="36">
        <f>IFERROR(VALUE(Table412[[#This Row],[MAT]]&amp;Table412[[#This Row],[X'#]]),IF(COUNTIF(Table412[[#This Row],[MAT]],"*M"),Table412[[#This Row],[MAT]]&amp;Table412[[#This Row],[X'#]],""))</f>
        <v>12075082</v>
      </c>
    </row>
    <row r="738" spans="1:15" x14ac:dyDescent="0.25">
      <c r="A738" s="37">
        <f t="shared" si="12"/>
        <v>163</v>
      </c>
      <c r="C738" s="38" t="s">
        <v>631</v>
      </c>
      <c r="D738" s="36" t="s">
        <v>667</v>
      </c>
      <c r="E738" s="36">
        <v>1207508</v>
      </c>
      <c r="F738" s="36">
        <v>3</v>
      </c>
      <c r="G738" s="36">
        <v>1039034</v>
      </c>
      <c r="H738" s="48" t="str">
        <f>IFERROR(INDEX(Table14[],MATCH($G738,Table14[SAPNo],0),3),"")</f>
        <v>Round 1308 CT138  0.018" (S)</v>
      </c>
      <c r="I738" s="37">
        <v>10</v>
      </c>
      <c r="J738" s="37">
        <f>IF(Table412[[#This Row],[MAT]]&lt;&gt;"",COUNTIF(Table3[LEVEL 5 MAT NO.],Table412[[#This Row],[MAT]]),"")</f>
        <v>0</v>
      </c>
      <c r="K738" s="36">
        <f>IFERROR(INDEX(Table3[],MATCH($E738,Table3[LEVEL 5 MAT NO.],0),2),0)</f>
        <v>0</v>
      </c>
      <c r="L738" s="36">
        <f>Table412[[#This Row],[Quantity in BOM]]*Table412[[#This Row],[Freq]]</f>
        <v>0</v>
      </c>
      <c r="M738" s="36" t="str">
        <f>IF(Table412[[#This Row],[Exist]]=1,Table412[[#This Row],[MAT]],"")</f>
        <v/>
      </c>
      <c r="N738" s="36" t="str">
        <f>IF(Table412[[#This Row],[Exist]]=1,Table412[[#This Row],[Component]],"")</f>
        <v/>
      </c>
      <c r="O738" s="36">
        <f>IFERROR(VALUE(Table412[[#This Row],[MAT]]&amp;Table412[[#This Row],[X'#]]),IF(COUNTIF(Table412[[#This Row],[MAT]],"*M"),Table412[[#This Row],[MAT]]&amp;Table412[[#This Row],[X'#]],""))</f>
        <v>12075083</v>
      </c>
    </row>
    <row r="739" spans="1:15" x14ac:dyDescent="0.25">
      <c r="A739" s="37">
        <f t="shared" si="12"/>
        <v>163</v>
      </c>
      <c r="C739" s="38" t="s">
        <v>631</v>
      </c>
      <c r="D739" s="36" t="s">
        <v>667</v>
      </c>
      <c r="E739" s="36">
        <v>1207508</v>
      </c>
      <c r="F739" s="36">
        <v>4</v>
      </c>
      <c r="G739" s="36">
        <v>1039058</v>
      </c>
      <c r="H739" s="48" t="str">
        <f>IFERROR(INDEX(Table14[],MATCH($G739,Table14[SAPNo],0),3),"")</f>
        <v>Round 1608 CT138  0.018" (S)</v>
      </c>
      <c r="I739" s="37">
        <v>8</v>
      </c>
      <c r="J739" s="37">
        <f>IF(Table412[[#This Row],[MAT]]&lt;&gt;"",COUNTIF(Table3[LEVEL 5 MAT NO.],Table412[[#This Row],[MAT]]),"")</f>
        <v>0</v>
      </c>
      <c r="K739" s="36">
        <f>IFERROR(INDEX(Table3[],MATCH($E739,Table3[LEVEL 5 MAT NO.],0),2),0)</f>
        <v>0</v>
      </c>
      <c r="L739" s="36">
        <f>Table412[[#This Row],[Quantity in BOM]]*Table412[[#This Row],[Freq]]</f>
        <v>0</v>
      </c>
      <c r="M739" s="36" t="str">
        <f>IF(Table412[[#This Row],[Exist]]=1,Table412[[#This Row],[MAT]],"")</f>
        <v/>
      </c>
      <c r="N739" s="36" t="str">
        <f>IF(Table412[[#This Row],[Exist]]=1,Table412[[#This Row],[Component]],"")</f>
        <v/>
      </c>
      <c r="O739" s="36">
        <f>IFERROR(VALUE(Table412[[#This Row],[MAT]]&amp;Table412[[#This Row],[X'#]]),IF(COUNTIF(Table412[[#This Row],[MAT]],"*M"),Table412[[#This Row],[MAT]]&amp;Table412[[#This Row],[X'#]],""))</f>
        <v>12075084</v>
      </c>
    </row>
    <row r="740" spans="1:15" x14ac:dyDescent="0.25">
      <c r="A740" s="37">
        <f t="shared" si="12"/>
        <v>163</v>
      </c>
      <c r="C740" s="38" t="s">
        <v>631</v>
      </c>
      <c r="D740" s="36" t="s">
        <v>667</v>
      </c>
      <c r="E740" s="36">
        <v>1207508</v>
      </c>
      <c r="F740" s="36">
        <v>5</v>
      </c>
      <c r="G740" s="36">
        <v>418525</v>
      </c>
      <c r="H740" s="48" t="str">
        <f>IFERROR(INDEX(Table14[],MATCH($G740,Table14[SAPNo],0),3),"")</f>
        <v>Drop In 1308 CT31   (B)</v>
      </c>
      <c r="I740" s="37">
        <v>7</v>
      </c>
      <c r="J740" s="37">
        <f>IF(Table412[[#This Row],[MAT]]&lt;&gt;"",COUNTIF(Table3[LEVEL 5 MAT NO.],Table412[[#This Row],[MAT]]),"")</f>
        <v>0</v>
      </c>
      <c r="K740" s="36">
        <f>IFERROR(INDEX(Table3[],MATCH($E740,Table3[LEVEL 5 MAT NO.],0),2),0)</f>
        <v>0</v>
      </c>
      <c r="L740" s="36">
        <f>Table412[[#This Row],[Quantity in BOM]]*Table412[[#This Row],[Freq]]</f>
        <v>0</v>
      </c>
      <c r="M740" s="36" t="str">
        <f>IF(Table412[[#This Row],[Exist]]=1,Table412[[#This Row],[MAT]],"")</f>
        <v/>
      </c>
      <c r="N740" s="36" t="str">
        <f>IF(Table412[[#This Row],[Exist]]=1,Table412[[#This Row],[Component]],"")</f>
        <v/>
      </c>
      <c r="O740" s="36">
        <f>IFERROR(VALUE(Table412[[#This Row],[MAT]]&amp;Table412[[#This Row],[X'#]]),IF(COUNTIF(Table412[[#This Row],[MAT]],"*M"),Table412[[#This Row],[MAT]]&amp;Table412[[#This Row],[X'#]],""))</f>
        <v>12075085</v>
      </c>
    </row>
    <row r="741" spans="1:15" x14ac:dyDescent="0.25">
      <c r="A741" s="37">
        <f t="shared" si="12"/>
        <v>163</v>
      </c>
      <c r="C741" s="38" t="s">
        <v>631</v>
      </c>
      <c r="D741" s="36" t="s">
        <v>667</v>
      </c>
      <c r="E741" s="36">
        <v>1207508</v>
      </c>
      <c r="F741" s="36">
        <v>6</v>
      </c>
      <c r="G741" s="36">
        <v>1039060</v>
      </c>
      <c r="H741" s="48" t="str">
        <f>IFERROR(INDEX(Table14[],MATCH($G741,Table14[SAPNo],0),3),"")</f>
        <v>Round 1613 CT138  0.018" (S)</v>
      </c>
      <c r="I741" s="37">
        <v>6</v>
      </c>
      <c r="J741" s="37">
        <f>IF(Table412[[#This Row],[MAT]]&lt;&gt;"",COUNTIF(Table3[LEVEL 5 MAT NO.],Table412[[#This Row],[MAT]]),"")</f>
        <v>0</v>
      </c>
      <c r="K741" s="36">
        <f>IFERROR(INDEX(Table3[],MATCH($E741,Table3[LEVEL 5 MAT NO.],0),2),0)</f>
        <v>0</v>
      </c>
      <c r="L741" s="36">
        <f>Table412[[#This Row],[Quantity in BOM]]*Table412[[#This Row],[Freq]]</f>
        <v>0</v>
      </c>
      <c r="M741" s="36" t="str">
        <f>IF(Table412[[#This Row],[Exist]]=1,Table412[[#This Row],[MAT]],"")</f>
        <v/>
      </c>
      <c r="N741" s="36" t="str">
        <f>IF(Table412[[#This Row],[Exist]]=1,Table412[[#This Row],[Component]],"")</f>
        <v/>
      </c>
      <c r="O741" s="36">
        <f>IFERROR(VALUE(Table412[[#This Row],[MAT]]&amp;Table412[[#This Row],[X'#]]),IF(COUNTIF(Table412[[#This Row],[MAT]],"*M"),Table412[[#This Row],[MAT]]&amp;Table412[[#This Row],[X'#]],""))</f>
        <v>12075086</v>
      </c>
    </row>
    <row r="742" spans="1:15" x14ac:dyDescent="0.25">
      <c r="A742" s="37">
        <f t="shared" si="12"/>
        <v>163</v>
      </c>
      <c r="C742" s="38" t="s">
        <v>627</v>
      </c>
      <c r="D742" s="36" t="s">
        <v>308</v>
      </c>
      <c r="E742" s="111" t="s">
        <v>750</v>
      </c>
      <c r="F742" s="36">
        <v>1</v>
      </c>
      <c r="G742" s="36">
        <v>1177229</v>
      </c>
      <c r="H742" s="48" t="str">
        <f>IFERROR(INDEX(Table14[],MATCH($G742,Table14[SAPNo],0),3),"")</f>
        <v>1010 CT182 U</v>
      </c>
      <c r="I742" s="37">
        <v>19</v>
      </c>
      <c r="J742" s="37">
        <f>IF(Table412[[#This Row],[MAT]]&lt;&gt;"",COUNTIF(Table3[LEVEL 5 MAT NO.],Table412[[#This Row],[MAT]]),"")</f>
        <v>0</v>
      </c>
      <c r="K742" s="36">
        <f>IFERROR(INDEX(Table3[],MATCH($E742,Table3[LEVEL 5 MAT NO.],0),2),0)</f>
        <v>0</v>
      </c>
      <c r="L742" s="36">
        <f>Table412[[#This Row],[Quantity in BOM]]*Table412[[#This Row],[Freq]]</f>
        <v>0</v>
      </c>
      <c r="M742" s="36" t="str">
        <f>IF(Table412[[#This Row],[Exist]]=1,Table412[[#This Row],[MAT]],"")</f>
        <v/>
      </c>
      <c r="N742" s="36" t="str">
        <f>IF(Table412[[#This Row],[Exist]]=1,Table412[[#This Row],[Component]],"")</f>
        <v/>
      </c>
      <c r="O742" s="36" t="str">
        <f>IFERROR(VALUE(Table412[[#This Row],[MAT]]&amp;Table412[[#This Row],[X'#]]),IF(COUNTIF(Table412[[#This Row],[MAT]],"*M"),Table412[[#This Row],[MAT]]&amp;Table412[[#This Row],[X'#]],""))</f>
        <v>1223749M1</v>
      </c>
    </row>
    <row r="743" spans="1:15" x14ac:dyDescent="0.25">
      <c r="A743" s="37">
        <f t="shared" si="12"/>
        <v>163</v>
      </c>
      <c r="C743" s="38" t="s">
        <v>309</v>
      </c>
      <c r="D743" s="36" t="s">
        <v>744</v>
      </c>
      <c r="E743" s="111" t="s">
        <v>743</v>
      </c>
      <c r="F743" s="36">
        <v>1</v>
      </c>
      <c r="G743" s="36">
        <v>1145493</v>
      </c>
      <c r="H743" s="48" t="str">
        <f>IFERROR(INDEX(Table14[],MATCH($G743,Table14[SAPNo],0),3),"")</f>
        <v>Round 1313 CT427  10C (S)</v>
      </c>
      <c r="I743" s="37">
        <v>23</v>
      </c>
      <c r="J743" s="37">
        <f>IF(Table412[[#This Row],[MAT]]&lt;&gt;"",COUNTIF(Table3[LEVEL 5 MAT NO.],Table412[[#This Row],[MAT]]),"")</f>
        <v>0</v>
      </c>
      <c r="K743" s="36">
        <f>IFERROR(INDEX(Table3[],MATCH($E743,Table3[LEVEL 5 MAT NO.],0),2),0)</f>
        <v>0</v>
      </c>
      <c r="L743" s="36">
        <f>Table412[[#This Row],[Quantity in BOM]]*Table412[[#This Row],[Freq]]</f>
        <v>0</v>
      </c>
      <c r="M743" s="36" t="str">
        <f>IF(Table412[[#This Row],[Exist]]=1,Table412[[#This Row],[MAT]],"")</f>
        <v/>
      </c>
      <c r="N743" s="36" t="str">
        <f>IF(Table412[[#This Row],[Exist]]=1,Table412[[#This Row],[Component]],"")</f>
        <v/>
      </c>
      <c r="O743" s="36" t="str">
        <f>IFERROR(VALUE(Table412[[#This Row],[MAT]]&amp;Table412[[#This Row],[X'#]]),IF(COUNTIF(Table412[[#This Row],[MAT]],"*M"),Table412[[#This Row],[MAT]]&amp;Table412[[#This Row],[X'#]],""))</f>
        <v>1217589M1</v>
      </c>
    </row>
    <row r="744" spans="1:15" x14ac:dyDescent="0.25">
      <c r="A744" s="37">
        <f t="shared" si="12"/>
        <v>163</v>
      </c>
      <c r="C744" s="38" t="s">
        <v>309</v>
      </c>
      <c r="D744" s="36" t="s">
        <v>744</v>
      </c>
      <c r="E744" s="111" t="s">
        <v>743</v>
      </c>
      <c r="F744" s="36">
        <v>2</v>
      </c>
      <c r="G744" s="36">
        <v>418525</v>
      </c>
      <c r="H744" s="48" t="str">
        <f>IFERROR(INDEX(Table14[],MATCH($G744,Table14[SAPNo],0),3),"")</f>
        <v>Drop In 1308 CT31   (B)</v>
      </c>
      <c r="I744" s="37">
        <v>10</v>
      </c>
      <c r="J744" s="37">
        <f>IF(Table412[[#This Row],[MAT]]&lt;&gt;"",COUNTIF(Table3[LEVEL 5 MAT NO.],Table412[[#This Row],[MAT]]),"")</f>
        <v>0</v>
      </c>
      <c r="K744" s="36">
        <f>IFERROR(INDEX(Table3[],MATCH($E744,Table3[LEVEL 5 MAT NO.],0),2),0)</f>
        <v>0</v>
      </c>
      <c r="L744" s="36">
        <f>Table412[[#This Row],[Quantity in BOM]]*Table412[[#This Row],[Freq]]</f>
        <v>0</v>
      </c>
      <c r="M744" s="36" t="str">
        <f>IF(Table412[[#This Row],[Exist]]=1,Table412[[#This Row],[MAT]],"")</f>
        <v/>
      </c>
      <c r="N744" s="36" t="str">
        <f>IF(Table412[[#This Row],[Exist]]=1,Table412[[#This Row],[Component]],"")</f>
        <v/>
      </c>
      <c r="O744" s="36" t="str">
        <f>IFERROR(VALUE(Table412[[#This Row],[MAT]]&amp;Table412[[#This Row],[X'#]]),IF(COUNTIF(Table412[[#This Row],[MAT]],"*M"),Table412[[#This Row],[MAT]]&amp;Table412[[#This Row],[X'#]],""))</f>
        <v>1217589M2</v>
      </c>
    </row>
    <row r="745" spans="1:15" x14ac:dyDescent="0.25">
      <c r="A745" s="37">
        <f t="shared" si="12"/>
        <v>163</v>
      </c>
      <c r="B745" s="188" t="s">
        <v>3706</v>
      </c>
      <c r="C745" s="38" t="s">
        <v>307</v>
      </c>
      <c r="D745" s="36" t="s">
        <v>308</v>
      </c>
      <c r="E745" s="111" t="s">
        <v>751</v>
      </c>
      <c r="F745" s="36">
        <v>1</v>
      </c>
      <c r="G745" s="36">
        <v>717748</v>
      </c>
      <c r="H745" s="48" t="str">
        <f>IFERROR(INDEX(Table14[],MATCH($G745,Table14[SAPNo],0),3),"")</f>
        <v>Round 1010 CT200  0.018" (B)</v>
      </c>
      <c r="I745" s="37">
        <v>19</v>
      </c>
      <c r="J745" s="37">
        <f>IF(Table412[[#This Row],[MAT]]&lt;&gt;"",COUNTIF(Table3[LEVEL 5 MAT NO.],Table412[[#This Row],[MAT]]),"")</f>
        <v>0</v>
      </c>
      <c r="K745" s="36">
        <f>IFERROR(INDEX(Table3[],MATCH($E745,Table3[LEVEL 5 MAT NO.],0),2),0)</f>
        <v>0</v>
      </c>
      <c r="L745" s="36">
        <f>Table412[[#This Row],[Quantity in BOM]]*Table412[[#This Row],[Freq]]</f>
        <v>0</v>
      </c>
      <c r="M745" s="36" t="str">
        <f>IF(Table412[[#This Row],[Exist]]=1,Table412[[#This Row],[MAT]],"")</f>
        <v/>
      </c>
      <c r="N745" s="36" t="str">
        <f>IF(Table412[[#This Row],[Exist]]=1,Table412[[#This Row],[Component]],"")</f>
        <v/>
      </c>
      <c r="O745" s="36" t="str">
        <f>IFERROR(VALUE(Table412[[#This Row],[MAT]]&amp;Table412[[#This Row],[X'#]]),IF(COUNTIF(Table412[[#This Row],[MAT]],"*M"),Table412[[#This Row],[MAT]]&amp;Table412[[#This Row],[X'#]],""))</f>
        <v>1224225M1</v>
      </c>
    </row>
    <row r="746" spans="1:15" x14ac:dyDescent="0.25">
      <c r="A746" s="37">
        <f t="shared" si="12"/>
        <v>163</v>
      </c>
      <c r="B746" s="188" t="s">
        <v>3707</v>
      </c>
      <c r="C746" s="38" t="s">
        <v>309</v>
      </c>
      <c r="D746" s="36" t="s">
        <v>756</v>
      </c>
      <c r="E746" s="111" t="s">
        <v>755</v>
      </c>
      <c r="F746" s="36">
        <v>1</v>
      </c>
      <c r="G746" s="36">
        <v>1136984</v>
      </c>
      <c r="H746" s="48" t="str">
        <f>IFERROR(INDEX(Table14[],MATCH($G746,Table14[SAPNo],0),3),"")</f>
        <v>DBLMCHT 1313 CT182DM  10C (S)</v>
      </c>
      <c r="I746" s="37">
        <v>13</v>
      </c>
      <c r="J746" s="37">
        <f>IF(Table412[[#This Row],[MAT]]&lt;&gt;"",COUNTIF(Table3[LEVEL 5 MAT NO.],Table412[[#This Row],[MAT]]),"")</f>
        <v>0</v>
      </c>
      <c r="K746" s="36">
        <f>IFERROR(INDEX(Table3[],MATCH($E746,Table3[LEVEL 5 MAT NO.],0),2),0)</f>
        <v>0</v>
      </c>
      <c r="L746" s="36">
        <f>Table412[[#This Row],[Quantity in BOM]]*Table412[[#This Row],[Freq]]</f>
        <v>0</v>
      </c>
      <c r="M746" s="36" t="str">
        <f>IF(Table412[[#This Row],[Exist]]=1,Table412[[#This Row],[MAT]],"")</f>
        <v/>
      </c>
      <c r="N746" s="36" t="str">
        <f>IF(Table412[[#This Row],[Exist]]=1,Table412[[#This Row],[Component]],"")</f>
        <v/>
      </c>
      <c r="O746" s="36" t="str">
        <f>IFERROR(VALUE(Table412[[#This Row],[MAT]]&amp;Table412[[#This Row],[X'#]]),IF(COUNTIF(Table412[[#This Row],[MAT]],"*M"),Table412[[#This Row],[MAT]]&amp;Table412[[#This Row],[X'#]],""))</f>
        <v>1228739M1</v>
      </c>
    </row>
    <row r="747" spans="1:15" x14ac:dyDescent="0.25">
      <c r="A747" s="37">
        <f t="shared" si="12"/>
        <v>163</v>
      </c>
      <c r="C747" s="38" t="s">
        <v>309</v>
      </c>
      <c r="D747" s="36" t="s">
        <v>756</v>
      </c>
      <c r="E747" s="111" t="s">
        <v>755</v>
      </c>
      <c r="F747" s="36">
        <v>2</v>
      </c>
      <c r="G747" s="36">
        <v>1145493</v>
      </c>
      <c r="H747" s="48" t="str">
        <f>IFERROR(INDEX(Table14[],MATCH($G747,Table14[SAPNo],0),3),"")</f>
        <v>Round 1313 CT427  10C (S)</v>
      </c>
      <c r="I747" s="37">
        <v>12</v>
      </c>
      <c r="J747" s="37">
        <f>IF(Table412[[#This Row],[MAT]]&lt;&gt;"",COUNTIF(Table3[LEVEL 5 MAT NO.],Table412[[#This Row],[MAT]]),"")</f>
        <v>0</v>
      </c>
      <c r="K747" s="36">
        <f>IFERROR(INDEX(Table3[],MATCH($E747,Table3[LEVEL 5 MAT NO.],0),2),0)</f>
        <v>0</v>
      </c>
      <c r="L747" s="36">
        <f>Table412[[#This Row],[Quantity in BOM]]*Table412[[#This Row],[Freq]]</f>
        <v>0</v>
      </c>
      <c r="M747" s="36" t="str">
        <f>IF(Table412[[#This Row],[Exist]]=1,Table412[[#This Row],[MAT]],"")</f>
        <v/>
      </c>
      <c r="N747" s="36" t="str">
        <f>IF(Table412[[#This Row],[Exist]]=1,Table412[[#This Row],[Component]],"")</f>
        <v/>
      </c>
      <c r="O747" s="36" t="str">
        <f>IFERROR(VALUE(Table412[[#This Row],[MAT]]&amp;Table412[[#This Row],[X'#]]),IF(COUNTIF(Table412[[#This Row],[MAT]],"*M"),Table412[[#This Row],[MAT]]&amp;Table412[[#This Row],[X'#]],""))</f>
        <v>1228739M2</v>
      </c>
    </row>
    <row r="748" spans="1:15" x14ac:dyDescent="0.25">
      <c r="A748" s="37">
        <f t="shared" si="12"/>
        <v>163</v>
      </c>
      <c r="C748" s="38" t="s">
        <v>309</v>
      </c>
      <c r="D748" s="36" t="s">
        <v>756</v>
      </c>
      <c r="E748" s="111" t="s">
        <v>755</v>
      </c>
      <c r="F748" s="36">
        <v>3</v>
      </c>
      <c r="G748" s="36">
        <v>418525</v>
      </c>
      <c r="H748" s="48" t="str">
        <f>IFERROR(INDEX(Table14[],MATCH($G748,Table14[SAPNo],0),3),"")</f>
        <v>Drop In 1308 CT31   (B)</v>
      </c>
      <c r="I748" s="37">
        <v>6</v>
      </c>
      <c r="J748" s="37">
        <f>IF(Table412[[#This Row],[MAT]]&lt;&gt;"",COUNTIF(Table3[LEVEL 5 MAT NO.],Table412[[#This Row],[MAT]]),"")</f>
        <v>0</v>
      </c>
      <c r="K748" s="36">
        <f>IFERROR(INDEX(Table3[],MATCH($E748,Table3[LEVEL 5 MAT NO.],0),2),0)</f>
        <v>0</v>
      </c>
      <c r="L748" s="36">
        <f>Table412[[#This Row],[Quantity in BOM]]*Table412[[#This Row],[Freq]]</f>
        <v>0</v>
      </c>
      <c r="M748" s="36" t="str">
        <f>IF(Table412[[#This Row],[Exist]]=1,Table412[[#This Row],[MAT]],"")</f>
        <v/>
      </c>
      <c r="N748" s="36" t="str">
        <f>IF(Table412[[#This Row],[Exist]]=1,Table412[[#This Row],[Component]],"")</f>
        <v/>
      </c>
      <c r="O748" s="36" t="str">
        <f>IFERROR(VALUE(Table412[[#This Row],[MAT]]&amp;Table412[[#This Row],[X'#]]),IF(COUNTIF(Table412[[#This Row],[MAT]],"*M"),Table412[[#This Row],[MAT]]&amp;Table412[[#This Row],[X'#]],""))</f>
        <v>1228739M3</v>
      </c>
    </row>
    <row r="749" spans="1:15" x14ac:dyDescent="0.25">
      <c r="A749" s="37">
        <f t="shared" si="12"/>
        <v>163</v>
      </c>
      <c r="C749" s="38" t="s">
        <v>309</v>
      </c>
      <c r="D749" s="36" t="s">
        <v>756</v>
      </c>
      <c r="E749" s="111" t="s">
        <v>755</v>
      </c>
      <c r="F749" s="36">
        <v>4</v>
      </c>
      <c r="G749" s="36">
        <v>1101509</v>
      </c>
      <c r="H749" s="48" t="str">
        <f>IFERROR(INDEX(Table14[],MATCH($G749,Table14[SAPNo],0),3),"")</f>
        <v>Short IA 8    (C)</v>
      </c>
      <c r="I749" s="37">
        <v>5</v>
      </c>
      <c r="J749" s="37">
        <f>IF(Table412[[#This Row],[MAT]]&lt;&gt;"",COUNTIF(Table3[LEVEL 5 MAT NO.],Table412[[#This Row],[MAT]]),"")</f>
        <v>0</v>
      </c>
      <c r="K749" s="36">
        <f>IFERROR(INDEX(Table3[],MATCH($E749,Table3[LEVEL 5 MAT NO.],0),2),0)</f>
        <v>0</v>
      </c>
      <c r="L749" s="36">
        <f>Table412[[#This Row],[Quantity in BOM]]*Table412[[#This Row],[Freq]]</f>
        <v>0</v>
      </c>
      <c r="M749" s="36" t="str">
        <f>IF(Table412[[#This Row],[Exist]]=1,Table412[[#This Row],[MAT]],"")</f>
        <v/>
      </c>
      <c r="N749" s="36" t="str">
        <f>IF(Table412[[#This Row],[Exist]]=1,Table412[[#This Row],[Component]],"")</f>
        <v/>
      </c>
      <c r="O749" s="36" t="str">
        <f>IFERROR(VALUE(Table412[[#This Row],[MAT]]&amp;Table412[[#This Row],[X'#]]),IF(COUNTIF(Table412[[#This Row],[MAT]],"*M"),Table412[[#This Row],[MAT]]&amp;Table412[[#This Row],[X'#]],""))</f>
        <v>1228739M4</v>
      </c>
    </row>
    <row r="750" spans="1:15" x14ac:dyDescent="0.25">
      <c r="A750" s="37">
        <f t="shared" si="12"/>
        <v>163</v>
      </c>
      <c r="C750" s="38" t="s">
        <v>309</v>
      </c>
      <c r="D750" s="36" t="s">
        <v>756</v>
      </c>
      <c r="E750" s="111" t="s">
        <v>755</v>
      </c>
      <c r="F750" s="36">
        <v>5</v>
      </c>
      <c r="G750" s="36">
        <v>1104083</v>
      </c>
      <c r="H750" s="48" t="str">
        <f>IFERROR(INDEX(Table14[],MATCH($G750,Table14[SAPNo],0),3),"")</f>
        <v>1313 CT144H  10C (S)</v>
      </c>
      <c r="I750" s="37">
        <v>1</v>
      </c>
      <c r="J750" s="37">
        <f>IF(Table412[[#This Row],[MAT]]&lt;&gt;"",COUNTIF(Table3[LEVEL 5 MAT NO.],Table412[[#This Row],[MAT]]),"")</f>
        <v>0</v>
      </c>
      <c r="K750" s="36">
        <f>IFERROR(INDEX(Table3[],MATCH($E750,Table3[LEVEL 5 MAT NO.],0),2),0)</f>
        <v>0</v>
      </c>
      <c r="L750" s="36">
        <f>Table412[[#This Row],[Quantity in BOM]]*Table412[[#This Row],[Freq]]</f>
        <v>0</v>
      </c>
      <c r="M750" s="36" t="str">
        <f>IF(Table412[[#This Row],[Exist]]=1,Table412[[#This Row],[MAT]],"")</f>
        <v/>
      </c>
      <c r="N750" s="36" t="str">
        <f>IF(Table412[[#This Row],[Exist]]=1,Table412[[#This Row],[Component]],"")</f>
        <v/>
      </c>
      <c r="O750" s="36" t="str">
        <f>IFERROR(VALUE(Table412[[#This Row],[MAT]]&amp;Table412[[#This Row],[X'#]]),IF(COUNTIF(Table412[[#This Row],[MAT]],"*M"),Table412[[#This Row],[MAT]]&amp;Table412[[#This Row],[X'#]],""))</f>
        <v>1228739M5</v>
      </c>
    </row>
    <row r="751" spans="1:15" x14ac:dyDescent="0.25">
      <c r="A751" s="37">
        <f t="shared" si="12"/>
        <v>163</v>
      </c>
      <c r="B751" s="188" t="s">
        <v>3708</v>
      </c>
      <c r="C751" s="38" t="s">
        <v>309</v>
      </c>
      <c r="D751" s="36" t="s">
        <v>633</v>
      </c>
      <c r="E751" s="111" t="s">
        <v>739</v>
      </c>
      <c r="F751" s="36">
        <v>1</v>
      </c>
      <c r="G751" s="36">
        <v>1145493</v>
      </c>
      <c r="H751" s="48" t="str">
        <f>IFERROR(INDEX(Table14[],MATCH($G751,Table14[SAPNo],0),3),"")</f>
        <v>Round 1313 CT427  10C (S)</v>
      </c>
      <c r="I751" s="37">
        <v>16</v>
      </c>
      <c r="J751" s="37">
        <f>IF(Table412[[#This Row],[MAT]]&lt;&gt;"",COUNTIF(Table3[LEVEL 5 MAT NO.],Table412[[#This Row],[MAT]]),"")</f>
        <v>0</v>
      </c>
      <c r="K751" s="36">
        <f>IFERROR(INDEX(Table3[],MATCH($E751,Table3[LEVEL 5 MAT NO.],0),2),0)</f>
        <v>0</v>
      </c>
      <c r="L751" s="36">
        <f>Table412[[#This Row],[Quantity in BOM]]*Table412[[#This Row],[Freq]]</f>
        <v>0</v>
      </c>
      <c r="M751" s="36" t="str">
        <f>IF(Table412[[#This Row],[Exist]]=1,Table412[[#This Row],[MAT]],"")</f>
        <v/>
      </c>
      <c r="N751" s="36" t="str">
        <f>IF(Table412[[#This Row],[Exist]]=1,Table412[[#This Row],[Component]],"")</f>
        <v/>
      </c>
      <c r="O751" s="36" t="str">
        <f>IFERROR(VALUE(Table412[[#This Row],[MAT]]&amp;Table412[[#This Row],[X'#]]),IF(COUNTIF(Table412[[#This Row],[MAT]],"*M"),Table412[[#This Row],[MAT]]&amp;Table412[[#This Row],[X'#]],""))</f>
        <v>1212881M1</v>
      </c>
    </row>
    <row r="752" spans="1:15" x14ac:dyDescent="0.25">
      <c r="A752" s="37">
        <f t="shared" si="12"/>
        <v>163</v>
      </c>
      <c r="C752" s="38" t="s">
        <v>309</v>
      </c>
      <c r="D752" s="36" t="s">
        <v>633</v>
      </c>
      <c r="E752" s="111" t="s">
        <v>739</v>
      </c>
      <c r="F752" s="36">
        <v>2</v>
      </c>
      <c r="G752" s="36">
        <v>1100694</v>
      </c>
      <c r="H752" s="48" t="str">
        <f>IFERROR(INDEX(Table14[],MATCH($G752,Table14[SAPNo],0),3),"")</f>
        <v xml:space="preserve">1308 CT418 10C </v>
      </c>
      <c r="I752" s="37">
        <v>8</v>
      </c>
      <c r="J752" s="37">
        <f>IF(Table412[[#This Row],[MAT]]&lt;&gt;"",COUNTIF(Table3[LEVEL 5 MAT NO.],Table412[[#This Row],[MAT]]),"")</f>
        <v>0</v>
      </c>
      <c r="K752" s="36">
        <f>IFERROR(INDEX(Table3[],MATCH($E752,Table3[LEVEL 5 MAT NO.],0),2),0)</f>
        <v>0</v>
      </c>
      <c r="L752" s="36">
        <f>Table412[[#This Row],[Quantity in BOM]]*Table412[[#This Row],[Freq]]</f>
        <v>0</v>
      </c>
      <c r="M752" s="36" t="str">
        <f>IF(Table412[[#This Row],[Exist]]=1,Table412[[#This Row],[MAT]],"")</f>
        <v/>
      </c>
      <c r="N752" s="36" t="str">
        <f>IF(Table412[[#This Row],[Exist]]=1,Table412[[#This Row],[Component]],"")</f>
        <v/>
      </c>
      <c r="O752" s="36" t="str">
        <f>IFERROR(VALUE(Table412[[#This Row],[MAT]]&amp;Table412[[#This Row],[X'#]]),IF(COUNTIF(Table412[[#This Row],[MAT]],"*M"),Table412[[#This Row],[MAT]]&amp;Table412[[#This Row],[X'#]],""))</f>
        <v>1212881M2</v>
      </c>
    </row>
    <row r="753" spans="1:15" x14ac:dyDescent="0.25">
      <c r="A753" s="37">
        <f t="shared" si="12"/>
        <v>163</v>
      </c>
      <c r="C753" s="38" t="s">
        <v>309</v>
      </c>
      <c r="D753" s="36" t="s">
        <v>633</v>
      </c>
      <c r="E753" s="111" t="s">
        <v>739</v>
      </c>
      <c r="F753" s="36">
        <v>3</v>
      </c>
      <c r="G753" s="36">
        <v>871781</v>
      </c>
      <c r="H753" s="48" t="str">
        <f>IFERROR(INDEX(Table14[],MATCH($G753,Table14[SAPNo],0),3),"")</f>
        <v>Round 1313 CT200  0.018" (B)</v>
      </c>
      <c r="I753" s="37">
        <v>5</v>
      </c>
      <c r="J753" s="37">
        <f>IF(Table412[[#This Row],[MAT]]&lt;&gt;"",COUNTIF(Table3[LEVEL 5 MAT NO.],Table412[[#This Row],[MAT]]),"")</f>
        <v>0</v>
      </c>
      <c r="K753" s="36">
        <f>IFERROR(INDEX(Table3[],MATCH($E753,Table3[LEVEL 5 MAT NO.],0),2),0)</f>
        <v>0</v>
      </c>
      <c r="L753" s="36">
        <f>Table412[[#This Row],[Quantity in BOM]]*Table412[[#This Row],[Freq]]</f>
        <v>0</v>
      </c>
      <c r="M753" s="36" t="str">
        <f>IF(Table412[[#This Row],[Exist]]=1,Table412[[#This Row],[MAT]],"")</f>
        <v/>
      </c>
      <c r="N753" s="36" t="str">
        <f>IF(Table412[[#This Row],[Exist]]=1,Table412[[#This Row],[Component]],"")</f>
        <v/>
      </c>
      <c r="O753" s="36" t="str">
        <f>IFERROR(VALUE(Table412[[#This Row],[MAT]]&amp;Table412[[#This Row],[X'#]]),IF(COUNTIF(Table412[[#This Row],[MAT]],"*M"),Table412[[#This Row],[MAT]]&amp;Table412[[#This Row],[X'#]],""))</f>
        <v>1212881M3</v>
      </c>
    </row>
    <row r="754" spans="1:15" x14ac:dyDescent="0.25">
      <c r="A754" s="37">
        <f t="shared" si="12"/>
        <v>163</v>
      </c>
      <c r="B754" s="188" t="s">
        <v>3709</v>
      </c>
      <c r="C754" s="38" t="s">
        <v>316</v>
      </c>
      <c r="D754" s="36" t="s">
        <v>320</v>
      </c>
      <c r="E754" s="111" t="s">
        <v>747</v>
      </c>
      <c r="F754" s="36">
        <v>1</v>
      </c>
      <c r="G754" s="36">
        <v>1130198</v>
      </c>
      <c r="H754" s="48" t="str">
        <f>IFERROR(INDEX(Table14[],MATCH($G754,Table14[SAPNo],0),3),"")</f>
        <v>Round 1613 CT182  0.018" (S)</v>
      </c>
      <c r="I754" s="37">
        <v>56</v>
      </c>
      <c r="J754" s="37">
        <f>IF(Table412[[#This Row],[MAT]]&lt;&gt;"",COUNTIF(Table3[LEVEL 5 MAT NO.],Table412[[#This Row],[MAT]]),"")</f>
        <v>0</v>
      </c>
      <c r="K754" s="36">
        <f>IFERROR(INDEX(Table3[],MATCH($E754,Table3[LEVEL 5 MAT NO.],0),2),0)</f>
        <v>0</v>
      </c>
      <c r="L754" s="36">
        <f>Table412[[#This Row],[Quantity in BOM]]*Table412[[#This Row],[Freq]]</f>
        <v>0</v>
      </c>
      <c r="M754" s="36" t="str">
        <f>IF(Table412[[#This Row],[Exist]]=1,Table412[[#This Row],[MAT]],"")</f>
        <v/>
      </c>
      <c r="N754" s="36" t="str">
        <f>IF(Table412[[#This Row],[Exist]]=1,Table412[[#This Row],[Component]],"")</f>
        <v/>
      </c>
      <c r="O754" s="36" t="str">
        <f>IFERROR(VALUE(Table412[[#This Row],[MAT]]&amp;Table412[[#This Row],[X'#]]),IF(COUNTIF(Table412[[#This Row],[MAT]],"*M"),Table412[[#This Row],[MAT]]&amp;Table412[[#This Row],[X'#]],""))</f>
        <v>1221158M1</v>
      </c>
    </row>
    <row r="755" spans="1:15" x14ac:dyDescent="0.25">
      <c r="A755" s="37">
        <f t="shared" si="12"/>
        <v>163</v>
      </c>
      <c r="B755" s="188"/>
      <c r="C755" s="38" t="s">
        <v>316</v>
      </c>
      <c r="D755" s="36" t="s">
        <v>320</v>
      </c>
      <c r="E755" s="111" t="s">
        <v>747</v>
      </c>
      <c r="F755" s="36">
        <v>2</v>
      </c>
      <c r="G755" s="36">
        <v>717751</v>
      </c>
      <c r="H755" s="48" t="str">
        <f>IFERROR(INDEX(Table14[],MATCH($G755,Table14[SAPNo],0),3),"")</f>
        <v>Round 1308 CT200  0.018" (B)</v>
      </c>
      <c r="I755" s="37">
        <v>39</v>
      </c>
      <c r="J755" s="37">
        <f>IF(Table412[[#This Row],[MAT]]&lt;&gt;"",COUNTIF(Table3[LEVEL 5 MAT NO.],Table412[[#This Row],[MAT]]),"")</f>
        <v>0</v>
      </c>
      <c r="K755" s="36">
        <f>IFERROR(INDEX(Table3[],MATCH($E755,Table3[LEVEL 5 MAT NO.],0),2),0)</f>
        <v>0</v>
      </c>
      <c r="L755" s="36">
        <f>Table412[[#This Row],[Quantity in BOM]]*Table412[[#This Row],[Freq]]</f>
        <v>0</v>
      </c>
      <c r="M755" s="36" t="str">
        <f>IF(Table412[[#This Row],[Exist]]=1,Table412[[#This Row],[MAT]],"")</f>
        <v/>
      </c>
      <c r="N755" s="36" t="str">
        <f>IF(Table412[[#This Row],[Exist]]=1,Table412[[#This Row],[Component]],"")</f>
        <v/>
      </c>
      <c r="O755" s="36" t="str">
        <f>IFERROR(VALUE(Table412[[#This Row],[MAT]]&amp;Table412[[#This Row],[X'#]]),IF(COUNTIF(Table412[[#This Row],[MAT]],"*M"),Table412[[#This Row],[MAT]]&amp;Table412[[#This Row],[X'#]],""))</f>
        <v>1221158M2</v>
      </c>
    </row>
    <row r="756" spans="1:15" x14ac:dyDescent="0.25">
      <c r="A756" s="37">
        <f t="shared" si="12"/>
        <v>163</v>
      </c>
      <c r="C756" s="36" t="s">
        <v>316</v>
      </c>
      <c r="D756" s="36" t="s">
        <v>320</v>
      </c>
      <c r="E756" s="111" t="s">
        <v>747</v>
      </c>
      <c r="F756" s="36">
        <v>3</v>
      </c>
      <c r="G756" s="36">
        <v>410851</v>
      </c>
      <c r="H756" s="48" t="str">
        <f>IFERROR(INDEX(Table14[],MATCH($G756,Table14[SAPNo],0),3),"")</f>
        <v>PDC Dome 1308 CT31   (B)</v>
      </c>
      <c r="I756" s="37">
        <v>42</v>
      </c>
      <c r="J756" s="37">
        <f>IF(Table412[[#This Row],[MAT]]&lt;&gt;"",COUNTIF(Table3[LEVEL 5 MAT NO.],Table412[[#This Row],[MAT]]),"")</f>
        <v>0</v>
      </c>
      <c r="K756" s="36">
        <f>IFERROR(INDEX(Table3[],MATCH($E756,Table3[LEVEL 5 MAT NO.],0),2),0)</f>
        <v>0</v>
      </c>
      <c r="L756" s="36">
        <f>Table412[[#This Row],[Quantity in BOM]]*Table412[[#This Row],[Freq]]</f>
        <v>0</v>
      </c>
      <c r="M756" s="36" t="str">
        <f>IF(Table412[[#This Row],[Exist]]=1,Table412[[#This Row],[MAT]],"")</f>
        <v/>
      </c>
      <c r="N756" s="36" t="str">
        <f>IF(Table412[[#This Row],[Exist]]=1,Table412[[#This Row],[Component]],"")</f>
        <v/>
      </c>
      <c r="O756" s="36" t="str">
        <f>IFERROR(VALUE(Table412[[#This Row],[MAT]]&amp;Table412[[#This Row],[X'#]]),IF(COUNTIF(Table412[[#This Row],[MAT]],"*M"),Table412[[#This Row],[MAT]]&amp;Table412[[#This Row],[X'#]],""))</f>
        <v>1221158M3</v>
      </c>
    </row>
    <row r="757" spans="1:15" x14ac:dyDescent="0.25">
      <c r="A757" s="37">
        <f t="shared" si="12"/>
        <v>163</v>
      </c>
      <c r="C757" s="37" t="s">
        <v>316</v>
      </c>
      <c r="D757" s="37" t="s">
        <v>320</v>
      </c>
      <c r="E757" s="111" t="s">
        <v>747</v>
      </c>
      <c r="F757" s="37">
        <v>4</v>
      </c>
      <c r="G757" s="37">
        <v>179733</v>
      </c>
      <c r="H757" s="48" t="str">
        <f>IFERROR(INDEX(Table14[],MATCH($G757,Table14[SAPNo],0),3),"")</f>
        <v>Short IA 13    (C)</v>
      </c>
      <c r="I757" s="37">
        <v>23</v>
      </c>
      <c r="J757" s="37">
        <f>IF(Table412[[#This Row],[MAT]]&lt;&gt;"",COUNTIF(Table3[LEVEL 5 MAT NO.],Table412[[#This Row],[MAT]]),"")</f>
        <v>0</v>
      </c>
      <c r="K757" s="36">
        <f>IFERROR(INDEX(Table3[],MATCH($E757,Table3[LEVEL 5 MAT NO.],0),2),0)</f>
        <v>0</v>
      </c>
      <c r="L757" s="36">
        <f>Table412[[#This Row],[Quantity in BOM]]*Table412[[#This Row],[Freq]]</f>
        <v>0</v>
      </c>
      <c r="M757" s="36" t="str">
        <f>IF(Table412[[#This Row],[Exist]]=1,Table412[[#This Row],[MAT]],"")</f>
        <v/>
      </c>
      <c r="N757" s="36" t="str">
        <f>IF(Table412[[#This Row],[Exist]]=1,Table412[[#This Row],[Component]],"")</f>
        <v/>
      </c>
      <c r="O757" s="36" t="str">
        <f>IFERROR(VALUE(Table412[[#This Row],[MAT]]&amp;Table412[[#This Row],[X'#]]),IF(COUNTIF(Table412[[#This Row],[MAT]],"*M"),Table412[[#This Row],[MAT]]&amp;Table412[[#This Row],[X'#]],""))</f>
        <v>1221158M4</v>
      </c>
    </row>
    <row r="758" spans="1:15" x14ac:dyDescent="0.25">
      <c r="A758" s="37">
        <f t="shared" si="12"/>
        <v>163</v>
      </c>
      <c r="B758" s="37"/>
      <c r="C758" s="38" t="s">
        <v>316</v>
      </c>
      <c r="D758" s="36" t="s">
        <v>320</v>
      </c>
      <c r="E758" s="111" t="s">
        <v>747</v>
      </c>
      <c r="F758" s="36">
        <v>5</v>
      </c>
      <c r="G758" s="36">
        <v>418525</v>
      </c>
      <c r="H758" s="48" t="str">
        <f>IFERROR(INDEX(Table14[],MATCH($G758,Table14[SAPNo],0),3),"")</f>
        <v>Drop In 1308 CT31   (B)</v>
      </c>
      <c r="I758" s="37">
        <v>14</v>
      </c>
      <c r="J758" s="37">
        <f>IF(Table412[[#This Row],[MAT]]&lt;&gt;"",COUNTIF(Table3[LEVEL 5 MAT NO.],Table412[[#This Row],[MAT]]),"")</f>
        <v>0</v>
      </c>
      <c r="K758" s="36">
        <f>IFERROR(INDEX(Table3[],MATCH($E758,Table3[LEVEL 5 MAT NO.],0),2),0)</f>
        <v>0</v>
      </c>
      <c r="L758" s="36">
        <f>Table412[[#This Row],[Quantity in BOM]]*Table412[[#This Row],[Freq]]</f>
        <v>0</v>
      </c>
      <c r="M758" s="36" t="str">
        <f>IF(Table412[[#This Row],[Exist]]=1,Table412[[#This Row],[MAT]],"")</f>
        <v/>
      </c>
      <c r="N758" s="36" t="str">
        <f>IF(Table412[[#This Row],[Exist]]=1,Table412[[#This Row],[Component]],"")</f>
        <v/>
      </c>
      <c r="O758" s="36" t="str">
        <f>IFERROR(VALUE(Table412[[#This Row],[MAT]]&amp;Table412[[#This Row],[X'#]]),IF(COUNTIF(Table412[[#This Row],[MAT]],"*M"),Table412[[#This Row],[MAT]]&amp;Table412[[#This Row],[X'#]],""))</f>
        <v>1221158M5</v>
      </c>
    </row>
    <row r="759" spans="1:15" x14ac:dyDescent="0.25">
      <c r="A759" s="37">
        <f t="shared" si="12"/>
        <v>163</v>
      </c>
      <c r="C759" s="38" t="s">
        <v>316</v>
      </c>
      <c r="D759" s="36" t="s">
        <v>320</v>
      </c>
      <c r="E759" s="111" t="s">
        <v>747</v>
      </c>
      <c r="F759" s="36">
        <v>6</v>
      </c>
      <c r="G759" s="36">
        <v>1130197</v>
      </c>
      <c r="H759" s="48" t="str">
        <f>IFERROR(INDEX(Table14[],MATCH($G759,Table14[SAPNo],0),3),"")</f>
        <v>Round 1608 CT182  0.018" (S)</v>
      </c>
      <c r="I759" s="37">
        <v>13</v>
      </c>
      <c r="J759" s="37">
        <f>IF(Table412[[#This Row],[MAT]]&lt;&gt;"",COUNTIF(Table3[LEVEL 5 MAT NO.],Table412[[#This Row],[MAT]]),"")</f>
        <v>0</v>
      </c>
      <c r="K759" s="36">
        <f>IFERROR(INDEX(Table3[],MATCH($E759,Table3[LEVEL 5 MAT NO.],0),2),0)</f>
        <v>0</v>
      </c>
      <c r="L759" s="36">
        <f>Table412[[#This Row],[Quantity in BOM]]*Table412[[#This Row],[Freq]]</f>
        <v>0</v>
      </c>
      <c r="M759" s="36" t="str">
        <f>IF(Table412[[#This Row],[Exist]]=1,Table412[[#This Row],[MAT]],"")</f>
        <v/>
      </c>
      <c r="N759" s="36" t="str">
        <f>IF(Table412[[#This Row],[Exist]]=1,Table412[[#This Row],[Component]],"")</f>
        <v/>
      </c>
      <c r="O759" s="36" t="str">
        <f>IFERROR(VALUE(Table412[[#This Row],[MAT]]&amp;Table412[[#This Row],[X'#]]),IF(COUNTIF(Table412[[#This Row],[MAT]],"*M"),Table412[[#This Row],[MAT]]&amp;Table412[[#This Row],[X'#]],""))</f>
        <v>1221158M6</v>
      </c>
    </row>
    <row r="760" spans="1:15" x14ac:dyDescent="0.25">
      <c r="A760" s="37">
        <f t="shared" si="12"/>
        <v>163</v>
      </c>
      <c r="C760" s="36" t="s">
        <v>3710</v>
      </c>
      <c r="D760" s="36" t="s">
        <v>632</v>
      </c>
      <c r="E760" s="36">
        <v>1138943</v>
      </c>
      <c r="F760" s="36">
        <v>1</v>
      </c>
      <c r="G760" s="36">
        <v>1130217</v>
      </c>
      <c r="H760" s="48" t="str">
        <f>IFERROR(INDEX(Table14[],MATCH($G760,Table14[SAPNo],0),3),"")</f>
        <v>Round 1010 CT182   10C (S)</v>
      </c>
      <c r="I760" s="37">
        <v>37</v>
      </c>
      <c r="J760" s="37">
        <f>IF(Table412[[#This Row],[MAT]]&lt;&gt;"",COUNTIF(Table3[LEVEL 5 MAT NO.],Table412[[#This Row],[MAT]]),"")</f>
        <v>1</v>
      </c>
      <c r="K760" s="36">
        <f>IFERROR(INDEX(Table3[],MATCH($E760,Table3[LEVEL 5 MAT NO.],0),2),0)</f>
        <v>4</v>
      </c>
      <c r="L760" s="36">
        <f>Table412[[#This Row],[Quantity in BOM]]*Table412[[#This Row],[Freq]]</f>
        <v>148</v>
      </c>
      <c r="M760" s="36">
        <f>IF(Table412[[#This Row],[Exist]]=1,Table412[[#This Row],[MAT]],"")</f>
        <v>1138943</v>
      </c>
      <c r="N760" s="36">
        <f>IF(Table412[[#This Row],[Exist]]=1,Table412[[#This Row],[Component]],"")</f>
        <v>1130217</v>
      </c>
      <c r="O760" s="36">
        <f>IFERROR(VALUE(Table412[[#This Row],[MAT]]&amp;Table412[[#This Row],[X'#]]),IF(COUNTIF(Table412[[#This Row],[MAT]],"*M"),Table412[[#This Row],[MAT]]&amp;Table412[[#This Row],[X'#]],""))</f>
        <v>11389431</v>
      </c>
    </row>
    <row r="761" spans="1:15" x14ac:dyDescent="0.25">
      <c r="A761" s="37">
        <f t="shared" si="12"/>
        <v>167</v>
      </c>
      <c r="C761" s="36" t="s">
        <v>3710</v>
      </c>
      <c r="D761" s="36" t="s">
        <v>632</v>
      </c>
      <c r="E761" s="36">
        <v>1138943</v>
      </c>
      <c r="F761" s="36">
        <v>2</v>
      </c>
      <c r="G761" s="36">
        <v>773383</v>
      </c>
      <c r="H761" s="48" t="str">
        <f>IFERROR(INDEX(Table14[],MATCH($G761,Table14[SAPNo],0),3),"")</f>
        <v>Round 1005 CT200  10C (B)</v>
      </c>
      <c r="I761" s="37">
        <v>14</v>
      </c>
      <c r="J761" s="37">
        <f>IF(Table412[[#This Row],[MAT]]&lt;&gt;"",COUNTIF(Table3[LEVEL 5 MAT NO.],Table412[[#This Row],[MAT]]),"")</f>
        <v>1</v>
      </c>
      <c r="K761" s="36">
        <f>IFERROR(INDEX(Table3[],MATCH($E761,Table3[LEVEL 5 MAT NO.],0),2),0)</f>
        <v>4</v>
      </c>
      <c r="L761" s="36">
        <f>Table412[[#This Row],[Quantity in BOM]]*Table412[[#This Row],[Freq]]</f>
        <v>56</v>
      </c>
      <c r="M761" s="36">
        <f>IF(Table412[[#This Row],[Exist]]=1,Table412[[#This Row],[MAT]],"")</f>
        <v>1138943</v>
      </c>
      <c r="N761" s="36">
        <f>IF(Table412[[#This Row],[Exist]]=1,Table412[[#This Row],[Component]],"")</f>
        <v>773383</v>
      </c>
      <c r="O761" s="36">
        <f>IFERROR(VALUE(Table412[[#This Row],[MAT]]&amp;Table412[[#This Row],[X'#]]),IF(COUNTIF(Table412[[#This Row],[MAT]],"*M"),Table412[[#This Row],[MAT]]&amp;Table412[[#This Row],[X'#]],""))</f>
        <v>11389432</v>
      </c>
    </row>
    <row r="762" spans="1:15" x14ac:dyDescent="0.25">
      <c r="A762" s="37">
        <f t="shared" si="12"/>
        <v>171</v>
      </c>
      <c r="C762" s="36" t="s">
        <v>3710</v>
      </c>
      <c r="D762" s="36" t="s">
        <v>632</v>
      </c>
      <c r="E762" s="36">
        <v>1138943</v>
      </c>
      <c r="F762" s="36">
        <v>3</v>
      </c>
      <c r="G762" s="36">
        <v>418525</v>
      </c>
      <c r="H762" s="48" t="str">
        <f>IFERROR(INDEX(Table14[],MATCH($G762,Table14[SAPNo],0),3),"")</f>
        <v>Drop In 1308 CT31   (B)</v>
      </c>
      <c r="I762" s="37">
        <v>7</v>
      </c>
      <c r="J762" s="37">
        <f>IF(Table412[[#This Row],[MAT]]&lt;&gt;"",COUNTIF(Table3[LEVEL 5 MAT NO.],Table412[[#This Row],[MAT]]),"")</f>
        <v>1</v>
      </c>
      <c r="K762" s="36">
        <f>IFERROR(INDEX(Table3[],MATCH($E762,Table3[LEVEL 5 MAT NO.],0),2),0)</f>
        <v>4</v>
      </c>
      <c r="L762" s="36">
        <f>Table412[[#This Row],[Quantity in BOM]]*Table412[[#This Row],[Freq]]</f>
        <v>28</v>
      </c>
      <c r="M762" s="36">
        <f>IF(Table412[[#This Row],[Exist]]=1,Table412[[#This Row],[MAT]],"")</f>
        <v>1138943</v>
      </c>
      <c r="N762" s="36">
        <f>IF(Table412[[#This Row],[Exist]]=1,Table412[[#This Row],[Component]],"")</f>
        <v>418525</v>
      </c>
      <c r="O762" s="36">
        <f>IFERROR(VALUE(Table412[[#This Row],[MAT]]&amp;Table412[[#This Row],[X'#]]),IF(COUNTIF(Table412[[#This Row],[MAT]],"*M"),Table412[[#This Row],[MAT]]&amp;Table412[[#This Row],[X'#]],""))</f>
        <v>11389433</v>
      </c>
    </row>
    <row r="763" spans="1:15" x14ac:dyDescent="0.25">
      <c r="A763" s="37">
        <f t="shared" si="12"/>
        <v>175</v>
      </c>
      <c r="C763" s="36" t="s">
        <v>3710</v>
      </c>
      <c r="D763" s="36" t="s">
        <v>632</v>
      </c>
      <c r="E763" s="36">
        <v>1138943</v>
      </c>
      <c r="F763" s="36">
        <v>4</v>
      </c>
      <c r="G763" s="36">
        <v>1101509</v>
      </c>
      <c r="H763" s="48" t="str">
        <f>IFERROR(INDEX(Table14[],MATCH($G763,Table14[SAPNo],0),3),"")</f>
        <v>Short IA 8    (C)</v>
      </c>
      <c r="I763" s="37">
        <v>7</v>
      </c>
      <c r="J763" s="37">
        <f>IF(Table412[[#This Row],[MAT]]&lt;&gt;"",COUNTIF(Table3[LEVEL 5 MAT NO.],Table412[[#This Row],[MAT]]),"")</f>
        <v>1</v>
      </c>
      <c r="K763" s="36">
        <f>IFERROR(INDEX(Table3[],MATCH($E763,Table3[LEVEL 5 MAT NO.],0),2),0)</f>
        <v>4</v>
      </c>
      <c r="L763" s="36">
        <f>Table412[[#This Row],[Quantity in BOM]]*Table412[[#This Row],[Freq]]</f>
        <v>28</v>
      </c>
      <c r="M763" s="36">
        <f>IF(Table412[[#This Row],[Exist]]=1,Table412[[#This Row],[MAT]],"")</f>
        <v>1138943</v>
      </c>
      <c r="N763" s="36">
        <f>IF(Table412[[#This Row],[Exist]]=1,Table412[[#This Row],[Component]],"")</f>
        <v>1101509</v>
      </c>
      <c r="O763" s="36">
        <f>IFERROR(VALUE(Table412[[#This Row],[MAT]]&amp;Table412[[#This Row],[X'#]]),IF(COUNTIF(Table412[[#This Row],[MAT]],"*M"),Table412[[#This Row],[MAT]]&amp;Table412[[#This Row],[X'#]],""))</f>
        <v>11389434</v>
      </c>
    </row>
    <row r="764" spans="1:15" x14ac:dyDescent="0.25">
      <c r="A764" s="37">
        <f t="shared" si="12"/>
        <v>179</v>
      </c>
      <c r="C764" s="36" t="s">
        <v>309</v>
      </c>
      <c r="D764" s="36" t="s">
        <v>677</v>
      </c>
      <c r="E764" s="36">
        <v>1226841</v>
      </c>
      <c r="F764" s="36">
        <v>1</v>
      </c>
      <c r="G764" s="36">
        <v>1145493</v>
      </c>
      <c r="H764" s="48" t="str">
        <f>IFERROR(INDEX(Table14[],MATCH($G764,Table14[SAPNo],0),3),"")</f>
        <v>Round 1313 CT427  10C (S)</v>
      </c>
      <c r="I764" s="37">
        <v>16</v>
      </c>
      <c r="J764" s="37">
        <f>IF(Table412[[#This Row],[MAT]]&lt;&gt;"",COUNTIF(Table3[LEVEL 5 MAT NO.],Table412[[#This Row],[MAT]]),"")</f>
        <v>0</v>
      </c>
      <c r="K764" s="36">
        <f>IFERROR(INDEX(Table3[],MATCH($E764,Table3[LEVEL 5 MAT NO.],0),2),0)</f>
        <v>0</v>
      </c>
      <c r="L764" s="36">
        <f>Table412[[#This Row],[Quantity in BOM]]*Table412[[#This Row],[Freq]]</f>
        <v>0</v>
      </c>
      <c r="M764" s="36" t="str">
        <f>IF(Table412[[#This Row],[Exist]]=1,Table412[[#This Row],[MAT]],"")</f>
        <v/>
      </c>
      <c r="N764" s="36" t="str">
        <f>IF(Table412[[#This Row],[Exist]]=1,Table412[[#This Row],[Component]],"")</f>
        <v/>
      </c>
      <c r="O764" s="36">
        <f>IFERROR(VALUE(Table412[[#This Row],[MAT]]&amp;Table412[[#This Row],[X'#]]),IF(COUNTIF(Table412[[#This Row],[MAT]],"*M"),Table412[[#This Row],[MAT]]&amp;Table412[[#This Row],[X'#]],""))</f>
        <v>12268411</v>
      </c>
    </row>
    <row r="765" spans="1:15" x14ac:dyDescent="0.25">
      <c r="A765" s="37">
        <f t="shared" si="12"/>
        <v>179</v>
      </c>
      <c r="C765" s="36" t="s">
        <v>309</v>
      </c>
      <c r="D765" s="36" t="s">
        <v>677</v>
      </c>
      <c r="E765" s="36">
        <v>1226841</v>
      </c>
      <c r="F765" s="36">
        <v>2</v>
      </c>
      <c r="G765" s="36">
        <v>418525</v>
      </c>
      <c r="H765" s="48" t="str">
        <f>IFERROR(INDEX(Table14[],MATCH($G765,Table14[SAPNo],0),3),"")</f>
        <v>Drop In 1308 CT31   (B)</v>
      </c>
      <c r="I765" s="37">
        <v>10</v>
      </c>
      <c r="J765" s="37">
        <f>IF(Table412[[#This Row],[MAT]]&lt;&gt;"",COUNTIF(Table3[LEVEL 5 MAT NO.],Table412[[#This Row],[MAT]]),"")</f>
        <v>0</v>
      </c>
      <c r="K765" s="36">
        <f>IFERROR(INDEX(Table3[],MATCH($E765,Table3[LEVEL 5 MAT NO.],0),2),0)</f>
        <v>0</v>
      </c>
      <c r="L765" s="36">
        <f>Table412[[#This Row],[Quantity in BOM]]*Table412[[#This Row],[Freq]]</f>
        <v>0</v>
      </c>
      <c r="M765" s="36" t="str">
        <f>IF(Table412[[#This Row],[Exist]]=1,Table412[[#This Row],[MAT]],"")</f>
        <v/>
      </c>
      <c r="N765" s="36" t="str">
        <f>IF(Table412[[#This Row],[Exist]]=1,Table412[[#This Row],[Component]],"")</f>
        <v/>
      </c>
      <c r="O765" s="36">
        <f>IFERROR(VALUE(Table412[[#This Row],[MAT]]&amp;Table412[[#This Row],[X'#]]),IF(COUNTIF(Table412[[#This Row],[MAT]],"*M"),Table412[[#This Row],[MAT]]&amp;Table412[[#This Row],[X'#]],""))</f>
        <v>12268412</v>
      </c>
    </row>
    <row r="766" spans="1:15" x14ac:dyDescent="0.25">
      <c r="A766" s="37">
        <f t="shared" si="12"/>
        <v>179</v>
      </c>
      <c r="C766" s="36" t="s">
        <v>309</v>
      </c>
      <c r="D766" s="36" t="s">
        <v>677</v>
      </c>
      <c r="E766" s="36">
        <v>1226841</v>
      </c>
      <c r="F766" s="36">
        <v>3</v>
      </c>
      <c r="G766" s="36">
        <v>1209332</v>
      </c>
      <c r="H766" s="48" t="str">
        <f>IFERROR(INDEX(Table14[],MATCH($G766,Table14[SAPNo],0),3),"")</f>
        <v>1313 CT147G U</v>
      </c>
      <c r="I766" s="37">
        <v>7</v>
      </c>
      <c r="J766" s="37">
        <f>IF(Table412[[#This Row],[MAT]]&lt;&gt;"",COUNTIF(Table3[LEVEL 5 MAT NO.],Table412[[#This Row],[MAT]]),"")</f>
        <v>0</v>
      </c>
      <c r="K766" s="36">
        <f>IFERROR(INDEX(Table3[],MATCH($E766,Table3[LEVEL 5 MAT NO.],0),2),0)</f>
        <v>0</v>
      </c>
      <c r="L766" s="36">
        <f>Table412[[#This Row],[Quantity in BOM]]*Table412[[#This Row],[Freq]]</f>
        <v>0</v>
      </c>
      <c r="M766" s="36" t="str">
        <f>IF(Table412[[#This Row],[Exist]]=1,Table412[[#This Row],[MAT]],"")</f>
        <v/>
      </c>
      <c r="N766" s="36" t="str">
        <f>IF(Table412[[#This Row],[Exist]]=1,Table412[[#This Row],[Component]],"")</f>
        <v/>
      </c>
      <c r="O766" s="36">
        <f>IFERROR(VALUE(Table412[[#This Row],[MAT]]&amp;Table412[[#This Row],[X'#]]),IF(COUNTIF(Table412[[#This Row],[MAT]],"*M"),Table412[[#This Row],[MAT]]&amp;Table412[[#This Row],[X'#]],""))</f>
        <v>12268413</v>
      </c>
    </row>
    <row r="767" spans="1:15" x14ac:dyDescent="0.25">
      <c r="A767" s="37">
        <f t="shared" si="12"/>
        <v>179</v>
      </c>
      <c r="B767" s="188" t="s">
        <v>4239</v>
      </c>
      <c r="C767" s="36" t="s">
        <v>627</v>
      </c>
      <c r="D767" s="36" t="s">
        <v>670</v>
      </c>
      <c r="E767" s="111">
        <v>1224750</v>
      </c>
      <c r="F767" s="36">
        <v>1</v>
      </c>
      <c r="G767" s="36">
        <v>780654</v>
      </c>
      <c r="H767" s="48" t="str">
        <f>IFERROR(INDEX(Table14[],MATCH($G767,Table14[SAPNo],0),3),"")</f>
        <v>Round 1010 CT80  10C (B)</v>
      </c>
      <c r="I767" s="37">
        <v>19</v>
      </c>
      <c r="J767" s="37">
        <f>IF(Table412[[#This Row],[MAT]]&lt;&gt;"",COUNTIF(Table3[LEVEL 5 MAT NO.],Table412[[#This Row],[MAT]]),"")</f>
        <v>1</v>
      </c>
      <c r="K767" s="36">
        <f>IFERROR(INDEX(Table3[],MATCH($E767,Table3[LEVEL 5 MAT NO.],0),2),0)</f>
        <v>0</v>
      </c>
      <c r="L767" s="36">
        <f>Table412[[#This Row],[Quantity in BOM]]*Table412[[#This Row],[Freq]]</f>
        <v>0</v>
      </c>
      <c r="M767" s="36">
        <f>IF(Table412[[#This Row],[Exist]]=1,Table412[[#This Row],[MAT]],"")</f>
        <v>1224750</v>
      </c>
      <c r="N767" s="36">
        <f>IF(Table412[[#This Row],[Exist]]=1,Table412[[#This Row],[Component]],"")</f>
        <v>780654</v>
      </c>
      <c r="O767" s="36">
        <f>IFERROR(VALUE(Table412[[#This Row],[MAT]]&amp;Table412[[#This Row],[X'#]]),IF(COUNTIF(Table412[[#This Row],[MAT]],"*M"),Table412[[#This Row],[MAT]]&amp;Table412[[#This Row],[X'#]],""))</f>
        <v>12247501</v>
      </c>
    </row>
    <row r="768" spans="1:15" x14ac:dyDescent="0.25">
      <c r="A768" s="37">
        <f t="shared" si="12"/>
        <v>179</v>
      </c>
      <c r="B768" s="188" t="s">
        <v>3711</v>
      </c>
      <c r="C768" s="36" t="s">
        <v>627</v>
      </c>
      <c r="D768" s="36" t="s">
        <v>628</v>
      </c>
      <c r="E768" s="111" t="s">
        <v>738</v>
      </c>
      <c r="F768" s="36">
        <v>1</v>
      </c>
      <c r="G768" s="36">
        <v>1177229</v>
      </c>
      <c r="H768" s="48" t="str">
        <f>IFERROR(INDEX(Table14[],MATCH($G768,Table14[SAPNo],0),3),"")</f>
        <v>1010 CT182 U</v>
      </c>
      <c r="I768" s="37">
        <v>19</v>
      </c>
      <c r="J768" s="37">
        <f>IF(Table412[[#This Row],[MAT]]&lt;&gt;"",COUNTIF(Table3[LEVEL 5 MAT NO.],Table412[[#This Row],[MAT]]),"")</f>
        <v>0</v>
      </c>
      <c r="K768" s="36">
        <f>IFERROR(INDEX(Table3[],MATCH($E768,Table3[LEVEL 5 MAT NO.],0),2),0)</f>
        <v>0</v>
      </c>
      <c r="L768" s="36">
        <f>Table412[[#This Row],[Quantity in BOM]]*Table412[[#This Row],[Freq]]</f>
        <v>0</v>
      </c>
      <c r="M768" s="36" t="str">
        <f>IF(Table412[[#This Row],[Exist]]=1,Table412[[#This Row],[MAT]],"")</f>
        <v/>
      </c>
      <c r="N768" s="36" t="str">
        <f>IF(Table412[[#This Row],[Exist]]=1,Table412[[#This Row],[Component]],"")</f>
        <v/>
      </c>
      <c r="O768" s="36" t="str">
        <f>IFERROR(VALUE(Table412[[#This Row],[MAT]]&amp;Table412[[#This Row],[X'#]]),IF(COUNTIF(Table412[[#This Row],[MAT]],"*M"),Table412[[#This Row],[MAT]]&amp;Table412[[#This Row],[X'#]],""))</f>
        <v>1212207M1</v>
      </c>
    </row>
    <row r="769" spans="1:15" x14ac:dyDescent="0.25">
      <c r="A769" s="37">
        <f t="shared" si="12"/>
        <v>179</v>
      </c>
      <c r="C769" s="36" t="s">
        <v>627</v>
      </c>
      <c r="D769" s="36" t="s">
        <v>628</v>
      </c>
      <c r="E769" s="36" t="s">
        <v>738</v>
      </c>
      <c r="F769" s="36">
        <v>2</v>
      </c>
      <c r="G769" s="36">
        <v>882800</v>
      </c>
      <c r="H769" s="48" t="str">
        <f>IFERROR(INDEX(Table14[],MATCH($G769,Table14[SAPNo],0),3),"")</f>
        <v>Round 0808 CT80  0.018" (B)</v>
      </c>
      <c r="I769" s="37">
        <v>5</v>
      </c>
      <c r="J769" s="37">
        <f>IF(Table412[[#This Row],[MAT]]&lt;&gt;"",COUNTIF(Table3[LEVEL 5 MAT NO.],Table412[[#This Row],[MAT]]),"")</f>
        <v>0</v>
      </c>
      <c r="K769" s="36">
        <f>IFERROR(INDEX(Table3[],MATCH($E769,Table3[LEVEL 5 MAT NO.],0),2),0)</f>
        <v>0</v>
      </c>
      <c r="L769" s="36">
        <f>Table412[[#This Row],[Quantity in BOM]]*Table412[[#This Row],[Freq]]</f>
        <v>0</v>
      </c>
      <c r="M769" s="36" t="str">
        <f>IF(Table412[[#This Row],[Exist]]=1,Table412[[#This Row],[MAT]],"")</f>
        <v/>
      </c>
      <c r="N769" s="36" t="str">
        <f>IF(Table412[[#This Row],[Exist]]=1,Table412[[#This Row],[Component]],"")</f>
        <v/>
      </c>
      <c r="O769" s="36" t="str">
        <f>IFERROR(VALUE(Table412[[#This Row],[MAT]]&amp;Table412[[#This Row],[X'#]]),IF(COUNTIF(Table412[[#This Row],[MAT]],"*M"),Table412[[#This Row],[MAT]]&amp;Table412[[#This Row],[X'#]],""))</f>
        <v>1212207M2</v>
      </c>
    </row>
    <row r="770" spans="1:15" x14ac:dyDescent="0.25">
      <c r="A770" s="37">
        <f t="shared" si="12"/>
        <v>179</v>
      </c>
      <c r="B770" s="188" t="s">
        <v>3712</v>
      </c>
      <c r="C770" s="38">
        <v>3.875</v>
      </c>
      <c r="D770" s="36" t="s">
        <v>308</v>
      </c>
      <c r="E770" s="295">
        <v>1252149</v>
      </c>
      <c r="F770" s="36">
        <v>1</v>
      </c>
      <c r="G770" s="36">
        <v>717748</v>
      </c>
      <c r="H770" s="48" t="str">
        <f>IFERROR(INDEX(Table14[],MATCH($G770,Table14[SAPNo],0),3),"")</f>
        <v>Round 1010 CT200  0.018" (B)</v>
      </c>
      <c r="I770" s="37">
        <v>19</v>
      </c>
      <c r="J770" s="37">
        <f>IF(Table412[[#This Row],[MAT]]&lt;&gt;"",COUNTIF(Table3[LEVEL 5 MAT NO.],Table412[[#This Row],[MAT]]),"")</f>
        <v>1</v>
      </c>
      <c r="K770" s="36">
        <f>IFERROR(INDEX(Table3[],MATCH($E770,Table3[LEVEL 5 MAT NO.],0),2),0)</f>
        <v>8</v>
      </c>
      <c r="L770" s="36">
        <f>Table412[[#This Row],[Quantity in BOM]]*Table412[[#This Row],[Freq]]</f>
        <v>152</v>
      </c>
      <c r="M770" s="36">
        <f>IF(Table412[[#This Row],[Exist]]=1,Table412[[#This Row],[MAT]],"")</f>
        <v>1252149</v>
      </c>
      <c r="N770" s="36">
        <f>IF(Table412[[#This Row],[Exist]]=1,Table412[[#This Row],[Component]],"")</f>
        <v>717748</v>
      </c>
      <c r="O770" s="36">
        <f>IFERROR(VALUE(Table412[[#This Row],[MAT]]&amp;Table412[[#This Row],[X'#]]),IF(COUNTIF(Table412[[#This Row],[MAT]],"*M"),Table412[[#This Row],[MAT]]&amp;Table412[[#This Row],[X'#]],""))</f>
        <v>12521491</v>
      </c>
    </row>
    <row r="771" spans="1:15" x14ac:dyDescent="0.25">
      <c r="A771" s="37">
        <f t="shared" si="12"/>
        <v>187</v>
      </c>
      <c r="B771" s="188" t="s">
        <v>3713</v>
      </c>
      <c r="C771" s="36" t="s">
        <v>627</v>
      </c>
      <c r="D771" s="36" t="s">
        <v>670</v>
      </c>
      <c r="E771" s="111" t="s">
        <v>752</v>
      </c>
      <c r="F771" s="36">
        <v>1</v>
      </c>
      <c r="G771" s="36">
        <v>1177229</v>
      </c>
      <c r="H771" s="48" t="str">
        <f>IFERROR(INDEX(Table14[],MATCH($G771,Table14[SAPNo],0),3),"")</f>
        <v>1010 CT182 U</v>
      </c>
      <c r="I771" s="37">
        <v>19</v>
      </c>
      <c r="J771" s="37">
        <f>IF(Table412[[#This Row],[MAT]]&lt;&gt;"",COUNTIF(Table3[LEVEL 5 MAT NO.],Table412[[#This Row],[MAT]]),"")</f>
        <v>0</v>
      </c>
      <c r="K771" s="36">
        <f>IFERROR(INDEX(Table3[],MATCH($E771,Table3[LEVEL 5 MAT NO.],0),2),0)</f>
        <v>0</v>
      </c>
      <c r="L771" s="36">
        <f>Table412[[#This Row],[Quantity in BOM]]*Table412[[#This Row],[Freq]]</f>
        <v>0</v>
      </c>
      <c r="M771" s="36" t="str">
        <f>IF(Table412[[#This Row],[Exist]]=1,Table412[[#This Row],[MAT]],"")</f>
        <v/>
      </c>
      <c r="N771" s="36" t="str">
        <f>IF(Table412[[#This Row],[Exist]]=1,Table412[[#This Row],[Component]],"")</f>
        <v/>
      </c>
      <c r="O771" s="36" t="str">
        <f>IFERROR(VALUE(Table412[[#This Row],[MAT]]&amp;Table412[[#This Row],[X'#]]),IF(COUNTIF(Table412[[#This Row],[MAT]],"*M"),Table412[[#This Row],[MAT]]&amp;Table412[[#This Row],[X'#]],""))</f>
        <v>1224750M1</v>
      </c>
    </row>
    <row r="772" spans="1:15" x14ac:dyDescent="0.25">
      <c r="A772" s="37">
        <f t="shared" ref="A772:A835" si="13">A771+K771</f>
        <v>187</v>
      </c>
      <c r="B772" s="188" t="s">
        <v>3714</v>
      </c>
      <c r="C772" s="36">
        <v>6.125</v>
      </c>
      <c r="D772" s="36" t="s">
        <v>633</v>
      </c>
      <c r="E772" s="111" t="s">
        <v>634</v>
      </c>
      <c r="F772" s="36">
        <v>1</v>
      </c>
      <c r="G772" s="36">
        <v>1145493</v>
      </c>
      <c r="H772" s="48" t="str">
        <f>IFERROR(INDEX(Table14[],MATCH($G772,Table14[SAPNo],0),3),"")</f>
        <v>Round 1313 CT427  10C (S)</v>
      </c>
      <c r="I772" s="37">
        <v>19</v>
      </c>
      <c r="J772" s="37">
        <f>IF(Table412[[#This Row],[MAT]]&lt;&gt;"",COUNTIF(Table3[LEVEL 5 MAT NO.],Table412[[#This Row],[MAT]]),"")</f>
        <v>1</v>
      </c>
      <c r="K772" s="36">
        <f>IFERROR(INDEX(Table3[],MATCH($E772,Table3[LEVEL 5 MAT NO.],0),2),0)</f>
        <v>2</v>
      </c>
      <c r="L772" s="36">
        <f>Table412[[#This Row],[Quantity in BOM]]*Table412[[#This Row],[Freq]]</f>
        <v>38</v>
      </c>
      <c r="M772" s="36" t="str">
        <f>IF(Table412[[#This Row],[Exist]]=1,Table412[[#This Row],[MAT]],"")</f>
        <v>1201087M</v>
      </c>
      <c r="N772" s="36">
        <f>IF(Table412[[#This Row],[Exist]]=1,Table412[[#This Row],[Component]],"")</f>
        <v>1145493</v>
      </c>
      <c r="O772" s="36" t="str">
        <f>IFERROR(VALUE(Table412[[#This Row],[MAT]]&amp;Table412[[#This Row],[X'#]]),IF(COUNTIF(Table412[[#This Row],[MAT]],"*M"),Table412[[#This Row],[MAT]]&amp;Table412[[#This Row],[X'#]],""))</f>
        <v>1201087M1</v>
      </c>
    </row>
    <row r="773" spans="1:15" x14ac:dyDescent="0.25">
      <c r="A773" s="37">
        <f t="shared" si="13"/>
        <v>189</v>
      </c>
      <c r="B773" s="188"/>
      <c r="C773" s="38">
        <v>6.125</v>
      </c>
      <c r="D773" s="36" t="s">
        <v>633</v>
      </c>
      <c r="E773" s="111" t="s">
        <v>634</v>
      </c>
      <c r="F773" s="36">
        <v>2</v>
      </c>
      <c r="G773" s="36">
        <v>1145491</v>
      </c>
      <c r="H773" s="48" t="str">
        <f>IFERROR(INDEX(Table14[],MATCH($G773,Table14[SAPNo],0),3),"")</f>
        <v>1308 CT427 10C</v>
      </c>
      <c r="I773" s="37">
        <v>5</v>
      </c>
      <c r="J773" s="37">
        <f>IF(Table412[[#This Row],[MAT]]&lt;&gt;"",COUNTIF(Table3[LEVEL 5 MAT NO.],Table412[[#This Row],[MAT]]),"")</f>
        <v>1</v>
      </c>
      <c r="K773" s="36">
        <f>IFERROR(INDEX(Table3[],MATCH($E773,Table3[LEVEL 5 MAT NO.],0),2),0)</f>
        <v>2</v>
      </c>
      <c r="L773" s="36">
        <f>Table412[[#This Row],[Quantity in BOM]]*Table412[[#This Row],[Freq]]</f>
        <v>10</v>
      </c>
      <c r="M773" s="36" t="str">
        <f>IF(Table412[[#This Row],[Exist]]=1,Table412[[#This Row],[MAT]],"")</f>
        <v>1201087M</v>
      </c>
      <c r="N773" s="36">
        <f>IF(Table412[[#This Row],[Exist]]=1,Table412[[#This Row],[Component]],"")</f>
        <v>1145491</v>
      </c>
      <c r="O773" s="36" t="str">
        <f>IFERROR(VALUE(Table412[[#This Row],[MAT]]&amp;Table412[[#This Row],[X'#]]),IF(COUNTIF(Table412[[#This Row],[MAT]],"*M"),Table412[[#This Row],[MAT]]&amp;Table412[[#This Row],[X'#]],""))</f>
        <v>1201087M2</v>
      </c>
    </row>
    <row r="774" spans="1:15" x14ac:dyDescent="0.25">
      <c r="A774" s="37">
        <f t="shared" si="13"/>
        <v>191</v>
      </c>
      <c r="C774" s="36">
        <v>6.125</v>
      </c>
      <c r="D774" s="36" t="s">
        <v>633</v>
      </c>
      <c r="E774" s="111" t="s">
        <v>634</v>
      </c>
      <c r="F774" s="36">
        <v>3</v>
      </c>
      <c r="G774" s="36">
        <v>871781</v>
      </c>
      <c r="H774" s="48" t="str">
        <f>IFERROR(INDEX(Table14[],MATCH($G774,Table14[SAPNo],0),3),"")</f>
        <v>Round 1313 CT200  0.018" (B)</v>
      </c>
      <c r="I774" s="37">
        <v>5</v>
      </c>
      <c r="J774" s="37">
        <f>IF(Table412[[#This Row],[MAT]]&lt;&gt;"",COUNTIF(Table3[LEVEL 5 MAT NO.],Table412[[#This Row],[MAT]]),"")</f>
        <v>1</v>
      </c>
      <c r="K774" s="36">
        <f>IFERROR(INDEX(Table3[],MATCH($E774,Table3[LEVEL 5 MAT NO.],0),2),0)</f>
        <v>2</v>
      </c>
      <c r="L774" s="36">
        <f>Table412[[#This Row],[Quantity in BOM]]*Table412[[#This Row],[Freq]]</f>
        <v>10</v>
      </c>
      <c r="M774" s="36" t="str">
        <f>IF(Table412[[#This Row],[Exist]]=1,Table412[[#This Row],[MAT]],"")</f>
        <v>1201087M</v>
      </c>
      <c r="N774" s="36">
        <f>IF(Table412[[#This Row],[Exist]]=1,Table412[[#This Row],[Component]],"")</f>
        <v>871781</v>
      </c>
      <c r="O774" s="36" t="str">
        <f>IFERROR(VALUE(Table412[[#This Row],[MAT]]&amp;Table412[[#This Row],[X'#]]),IF(COUNTIF(Table412[[#This Row],[MAT]],"*M"),Table412[[#This Row],[MAT]]&amp;Table412[[#This Row],[X'#]],""))</f>
        <v>1201087M3</v>
      </c>
    </row>
    <row r="775" spans="1:15" x14ac:dyDescent="0.25">
      <c r="A775" s="37">
        <f t="shared" si="13"/>
        <v>193</v>
      </c>
      <c r="C775" s="36">
        <v>16</v>
      </c>
      <c r="D775" s="36" t="s">
        <v>290</v>
      </c>
      <c r="E775" s="36">
        <v>1092722</v>
      </c>
      <c r="F775" s="36">
        <v>1</v>
      </c>
      <c r="G775" s="36">
        <v>647435</v>
      </c>
      <c r="H775" s="48" t="str">
        <f>IFERROR(INDEX(Table14[],MATCH($G775,Table14[SAPNo],0),3),"")</f>
        <v>Round 1608 CT200  0.018" (B)</v>
      </c>
      <c r="I775" s="37">
        <v>16</v>
      </c>
      <c r="J775" s="37">
        <f>IF(Table412[[#This Row],[MAT]]&lt;&gt;"",COUNTIF(Table3[LEVEL 5 MAT NO.],Table412[[#This Row],[MAT]]),"")</f>
        <v>0</v>
      </c>
      <c r="K775" s="36">
        <f>IFERROR(INDEX(Table3[],MATCH($E775,Table3[LEVEL 5 MAT NO.],0),2),0)</f>
        <v>0</v>
      </c>
      <c r="L775" s="36">
        <f>Table412[[#This Row],[Quantity in BOM]]*Table412[[#This Row],[Freq]]</f>
        <v>0</v>
      </c>
      <c r="M775" s="36" t="str">
        <f>IF(Table412[[#This Row],[Exist]]=1,Table412[[#This Row],[MAT]],"")</f>
        <v/>
      </c>
      <c r="N775" s="36" t="str">
        <f>IF(Table412[[#This Row],[Exist]]=1,Table412[[#This Row],[Component]],"")</f>
        <v/>
      </c>
      <c r="O775" s="36">
        <f>IFERROR(VALUE(Table412[[#This Row],[MAT]]&amp;Table412[[#This Row],[X'#]]),IF(COUNTIF(Table412[[#This Row],[MAT]],"*M"),Table412[[#This Row],[MAT]]&amp;Table412[[#This Row],[X'#]],""))</f>
        <v>10927221</v>
      </c>
    </row>
    <row r="776" spans="1:15" x14ac:dyDescent="0.25">
      <c r="A776" s="37">
        <f t="shared" si="13"/>
        <v>193</v>
      </c>
      <c r="C776" s="36">
        <v>16</v>
      </c>
      <c r="D776" s="36" t="s">
        <v>290</v>
      </c>
      <c r="E776" s="36">
        <v>1092722</v>
      </c>
      <c r="F776" s="36">
        <v>2</v>
      </c>
      <c r="G776" s="36">
        <v>647436</v>
      </c>
      <c r="H776" s="48" t="str">
        <f>IFERROR(INDEX(Table14[],MATCH($G776,Table14[SAPNo],0),3),"")</f>
        <v>Round 1613 CT200  0.018" (B)</v>
      </c>
      <c r="I776" s="37">
        <v>64</v>
      </c>
      <c r="J776" s="37">
        <f>IF(Table412[[#This Row],[MAT]]&lt;&gt;"",COUNTIF(Table3[LEVEL 5 MAT NO.],Table412[[#This Row],[MAT]]),"")</f>
        <v>0</v>
      </c>
      <c r="K776" s="36">
        <f>IFERROR(INDEX(Table3[],MATCH($E776,Table3[LEVEL 5 MAT NO.],0),2),0)</f>
        <v>0</v>
      </c>
      <c r="L776" s="36">
        <f>Table412[[#This Row],[Quantity in BOM]]*Table412[[#This Row],[Freq]]</f>
        <v>0</v>
      </c>
      <c r="M776" s="36" t="str">
        <f>IF(Table412[[#This Row],[Exist]]=1,Table412[[#This Row],[MAT]],"")</f>
        <v/>
      </c>
      <c r="N776" s="36" t="str">
        <f>IF(Table412[[#This Row],[Exist]]=1,Table412[[#This Row],[Component]],"")</f>
        <v/>
      </c>
      <c r="O776" s="36">
        <f>IFERROR(VALUE(Table412[[#This Row],[MAT]]&amp;Table412[[#This Row],[X'#]]),IF(COUNTIF(Table412[[#This Row],[MAT]],"*M"),Table412[[#This Row],[MAT]]&amp;Table412[[#This Row],[X'#]],""))</f>
        <v>10927222</v>
      </c>
    </row>
    <row r="777" spans="1:15" x14ac:dyDescent="0.25">
      <c r="A777" s="37">
        <f t="shared" si="13"/>
        <v>193</v>
      </c>
      <c r="C777" s="37">
        <v>16</v>
      </c>
      <c r="D777" s="37" t="s">
        <v>290</v>
      </c>
      <c r="E777" s="37">
        <v>1092722</v>
      </c>
      <c r="F777" s="37">
        <v>3</v>
      </c>
      <c r="G777" s="37">
        <v>418525</v>
      </c>
      <c r="H777" s="48" t="str">
        <f>IFERROR(INDEX(Table14[],MATCH($G777,Table14[SAPNo],0),3),"")</f>
        <v>Drop In 1308 CT31   (B)</v>
      </c>
      <c r="I777" s="37">
        <v>8</v>
      </c>
      <c r="J777" s="37">
        <f>IF(Table412[[#This Row],[MAT]]&lt;&gt;"",COUNTIF(Table3[LEVEL 5 MAT NO.],Table412[[#This Row],[MAT]]),"")</f>
        <v>0</v>
      </c>
      <c r="K777" s="36">
        <f>IFERROR(INDEX(Table3[],MATCH($E777,Table3[LEVEL 5 MAT NO.],0),2),0)</f>
        <v>0</v>
      </c>
      <c r="L777" s="36">
        <f>Table412[[#This Row],[Quantity in BOM]]*Table412[[#This Row],[Freq]]</f>
        <v>0</v>
      </c>
      <c r="M777" s="36" t="str">
        <f>IF(Table412[[#This Row],[Exist]]=1,Table412[[#This Row],[MAT]],"")</f>
        <v/>
      </c>
      <c r="N777" s="36" t="str">
        <f>IF(Table412[[#This Row],[Exist]]=1,Table412[[#This Row],[Component]],"")</f>
        <v/>
      </c>
      <c r="O777" s="36">
        <f>IFERROR(VALUE(Table412[[#This Row],[MAT]]&amp;Table412[[#This Row],[X'#]]),IF(COUNTIF(Table412[[#This Row],[MAT]],"*M"),Table412[[#This Row],[MAT]]&amp;Table412[[#This Row],[X'#]],""))</f>
        <v>10927223</v>
      </c>
    </row>
    <row r="778" spans="1:15" x14ac:dyDescent="0.25">
      <c r="A778" s="37">
        <f t="shared" si="13"/>
        <v>193</v>
      </c>
      <c r="B778" s="37"/>
      <c r="C778" s="36">
        <v>16</v>
      </c>
      <c r="D778" s="36" t="s">
        <v>290</v>
      </c>
      <c r="E778" s="36">
        <v>1092722</v>
      </c>
      <c r="F778" s="36">
        <v>4</v>
      </c>
      <c r="G778" s="36">
        <v>1130198</v>
      </c>
      <c r="H778" s="48" t="str">
        <f>IFERROR(INDEX(Table14[],MATCH($G778,Table14[SAPNo],0),3),"")</f>
        <v>Round 1613 CT182  0.018" (S)</v>
      </c>
      <c r="I778" s="37">
        <v>92</v>
      </c>
      <c r="J778" s="37">
        <f>IF(Table412[[#This Row],[MAT]]&lt;&gt;"",COUNTIF(Table3[LEVEL 5 MAT NO.],Table412[[#This Row],[MAT]]),"")</f>
        <v>0</v>
      </c>
      <c r="K778" s="36">
        <f>IFERROR(INDEX(Table3[],MATCH($E778,Table3[LEVEL 5 MAT NO.],0),2),0)</f>
        <v>0</v>
      </c>
      <c r="L778" s="36">
        <f>Table412[[#This Row],[Quantity in BOM]]*Table412[[#This Row],[Freq]]</f>
        <v>0</v>
      </c>
      <c r="M778" s="36" t="str">
        <f>IF(Table412[[#This Row],[Exist]]=1,Table412[[#This Row],[MAT]],"")</f>
        <v/>
      </c>
      <c r="N778" s="36" t="str">
        <f>IF(Table412[[#This Row],[Exist]]=1,Table412[[#This Row],[Component]],"")</f>
        <v/>
      </c>
      <c r="O778" s="36">
        <f>IFERROR(VALUE(Table412[[#This Row],[MAT]]&amp;Table412[[#This Row],[X'#]]),IF(COUNTIF(Table412[[#This Row],[MAT]],"*M"),Table412[[#This Row],[MAT]]&amp;Table412[[#This Row],[X'#]],""))</f>
        <v>10927224</v>
      </c>
    </row>
    <row r="779" spans="1:15" x14ac:dyDescent="0.25">
      <c r="A779" s="37">
        <f t="shared" si="13"/>
        <v>193</v>
      </c>
      <c r="C779" s="36" t="s">
        <v>319</v>
      </c>
      <c r="D779" s="36" t="s">
        <v>665</v>
      </c>
      <c r="E779" s="36">
        <v>1207425</v>
      </c>
      <c r="F779" s="36">
        <v>1</v>
      </c>
      <c r="G779" s="36">
        <v>1209410</v>
      </c>
      <c r="H779" s="48" t="str">
        <f>IFERROR(INDEX(Table14[],MATCH($G779,Table14[SAPNo],0),3),"")</f>
        <v>1613 CT430MV3 U TBO</v>
      </c>
      <c r="I779" s="37">
        <v>46</v>
      </c>
      <c r="J779" s="37">
        <f>IF(Table412[[#This Row],[MAT]]&lt;&gt;"",COUNTIF(Table3[LEVEL 5 MAT NO.],Table412[[#This Row],[MAT]]),"")</f>
        <v>1</v>
      </c>
      <c r="K779" s="36">
        <f>IFERROR(INDEX(Table3[],MATCH($E779,Table3[LEVEL 5 MAT NO.],0),2),0)</f>
        <v>1</v>
      </c>
      <c r="L779" s="36">
        <f>Table412[[#This Row],[Quantity in BOM]]*Table412[[#This Row],[Freq]]</f>
        <v>46</v>
      </c>
      <c r="M779" s="36">
        <f>IF(Table412[[#This Row],[Exist]]=1,Table412[[#This Row],[MAT]],"")</f>
        <v>1207425</v>
      </c>
      <c r="N779" s="36">
        <f>IF(Table412[[#This Row],[Exist]]=1,Table412[[#This Row],[Component]],"")</f>
        <v>1209410</v>
      </c>
      <c r="O779" s="36">
        <f>IFERROR(VALUE(Table412[[#This Row],[MAT]]&amp;Table412[[#This Row],[X'#]]),IF(COUNTIF(Table412[[#This Row],[MAT]],"*M"),Table412[[#This Row],[MAT]]&amp;Table412[[#This Row],[X'#]],""))</f>
        <v>12074251</v>
      </c>
    </row>
    <row r="780" spans="1:15" x14ac:dyDescent="0.25">
      <c r="A780" s="37">
        <f t="shared" si="13"/>
        <v>194</v>
      </c>
      <c r="C780" s="36" t="s">
        <v>319</v>
      </c>
      <c r="D780" s="36" t="s">
        <v>665</v>
      </c>
      <c r="E780" s="36">
        <v>1207425</v>
      </c>
      <c r="F780" s="36">
        <v>2</v>
      </c>
      <c r="G780" s="36">
        <v>1100741</v>
      </c>
      <c r="H780" s="48" t="str">
        <f>IFERROR(INDEX(Table14[],MATCH($G780,Table14[SAPNo],0),3),"")</f>
        <v>Round 1613 CT418  0.018" (S)</v>
      </c>
      <c r="I780" s="37">
        <v>31</v>
      </c>
      <c r="J780" s="37">
        <f>IF(Table412[[#This Row],[MAT]]&lt;&gt;"",COUNTIF(Table3[LEVEL 5 MAT NO.],Table412[[#This Row],[MAT]]),"")</f>
        <v>1</v>
      </c>
      <c r="K780" s="36">
        <f>IFERROR(INDEX(Table3[],MATCH($E780,Table3[LEVEL 5 MAT NO.],0),2),0)</f>
        <v>1</v>
      </c>
      <c r="L780" s="36">
        <f>Table412[[#This Row],[Quantity in BOM]]*Table412[[#This Row],[Freq]]</f>
        <v>31</v>
      </c>
      <c r="M780" s="36">
        <f>IF(Table412[[#This Row],[Exist]]=1,Table412[[#This Row],[MAT]],"")</f>
        <v>1207425</v>
      </c>
      <c r="N780" s="36">
        <f>IF(Table412[[#This Row],[Exist]]=1,Table412[[#This Row],[Component]],"")</f>
        <v>1100741</v>
      </c>
      <c r="O780" s="36">
        <f>IFERROR(VALUE(Table412[[#This Row],[MAT]]&amp;Table412[[#This Row],[X'#]]),IF(COUNTIF(Table412[[#This Row],[MAT]],"*M"),Table412[[#This Row],[MAT]]&amp;Table412[[#This Row],[X'#]],""))</f>
        <v>12074252</v>
      </c>
    </row>
    <row r="781" spans="1:15" x14ac:dyDescent="0.25">
      <c r="A781" s="37">
        <f t="shared" si="13"/>
        <v>195</v>
      </c>
      <c r="C781" s="36" t="s">
        <v>319</v>
      </c>
      <c r="D781" s="36" t="s">
        <v>665</v>
      </c>
      <c r="E781" s="36">
        <v>1207425</v>
      </c>
      <c r="F781" s="36">
        <v>3</v>
      </c>
      <c r="G781" s="36">
        <v>1165840</v>
      </c>
      <c r="H781" s="48" t="str">
        <f>IFERROR(INDEX(Table14[],MATCH($G781,Table14[SAPNo],0),3),"")</f>
        <v>1613 MT U</v>
      </c>
      <c r="I781" s="37">
        <v>30</v>
      </c>
      <c r="J781" s="37">
        <f>IF(Table412[[#This Row],[MAT]]&lt;&gt;"",COUNTIF(Table3[LEVEL 5 MAT NO.],Table412[[#This Row],[MAT]]),"")</f>
        <v>1</v>
      </c>
      <c r="K781" s="36">
        <f>IFERROR(INDEX(Table3[],MATCH($E781,Table3[LEVEL 5 MAT NO.],0),2),0)</f>
        <v>1</v>
      </c>
      <c r="L781" s="36">
        <f>Table412[[#This Row],[Quantity in BOM]]*Table412[[#This Row],[Freq]]</f>
        <v>30</v>
      </c>
      <c r="M781" s="36">
        <f>IF(Table412[[#This Row],[Exist]]=1,Table412[[#This Row],[MAT]],"")</f>
        <v>1207425</v>
      </c>
      <c r="N781" s="36">
        <f>IF(Table412[[#This Row],[Exist]]=1,Table412[[#This Row],[Component]],"")</f>
        <v>1165840</v>
      </c>
      <c r="O781" s="36">
        <f>IFERROR(VALUE(Table412[[#This Row],[MAT]]&amp;Table412[[#This Row],[X'#]]),IF(COUNTIF(Table412[[#This Row],[MAT]],"*M"),Table412[[#This Row],[MAT]]&amp;Table412[[#This Row],[X'#]],""))</f>
        <v>12074253</v>
      </c>
    </row>
    <row r="782" spans="1:15" x14ac:dyDescent="0.25">
      <c r="A782" s="37">
        <f t="shared" si="13"/>
        <v>196</v>
      </c>
      <c r="C782" s="36" t="s">
        <v>319</v>
      </c>
      <c r="D782" s="36" t="s">
        <v>665</v>
      </c>
      <c r="E782" s="36">
        <v>1207425</v>
      </c>
      <c r="F782" s="36">
        <v>4</v>
      </c>
      <c r="G782" s="36">
        <v>625854</v>
      </c>
      <c r="H782" s="48" t="str">
        <f>IFERROR(INDEX(Table14[],MATCH($G782,Table14[SAPNo],0),3),"")</f>
        <v>Carbide IA 1318    (C)</v>
      </c>
      <c r="I782" s="37">
        <v>17</v>
      </c>
      <c r="J782" s="37">
        <f>IF(Table412[[#This Row],[MAT]]&lt;&gt;"",COUNTIF(Table3[LEVEL 5 MAT NO.],Table412[[#This Row],[MAT]]),"")</f>
        <v>1</v>
      </c>
      <c r="K782" s="36">
        <f>IFERROR(INDEX(Table3[],MATCH($E782,Table3[LEVEL 5 MAT NO.],0),2),0)</f>
        <v>1</v>
      </c>
      <c r="L782" s="36">
        <f>Table412[[#This Row],[Quantity in BOM]]*Table412[[#This Row],[Freq]]</f>
        <v>17</v>
      </c>
      <c r="M782" s="36">
        <f>IF(Table412[[#This Row],[Exist]]=1,Table412[[#This Row],[MAT]],"")</f>
        <v>1207425</v>
      </c>
      <c r="N782" s="36">
        <f>IF(Table412[[#This Row],[Exist]]=1,Table412[[#This Row],[Component]],"")</f>
        <v>625854</v>
      </c>
      <c r="O782" s="36">
        <f>IFERROR(VALUE(Table412[[#This Row],[MAT]]&amp;Table412[[#This Row],[X'#]]),IF(COUNTIF(Table412[[#This Row],[MAT]],"*M"),Table412[[#This Row],[MAT]]&amp;Table412[[#This Row],[X'#]],""))</f>
        <v>12074254</v>
      </c>
    </row>
    <row r="783" spans="1:15" x14ac:dyDescent="0.25">
      <c r="A783" s="37">
        <f t="shared" si="13"/>
        <v>197</v>
      </c>
      <c r="C783" s="36" t="s">
        <v>319</v>
      </c>
      <c r="D783" s="36" t="s">
        <v>665</v>
      </c>
      <c r="E783" s="36">
        <v>1207425</v>
      </c>
      <c r="F783" s="36">
        <v>5</v>
      </c>
      <c r="G783" s="36">
        <v>418525</v>
      </c>
      <c r="H783" s="48" t="str">
        <f>IFERROR(INDEX(Table14[],MATCH($G783,Table14[SAPNo],0),3),"")</f>
        <v>Drop In 1308 CT31   (B)</v>
      </c>
      <c r="I783" s="37">
        <v>6</v>
      </c>
      <c r="J783" s="37">
        <f>IF(Table412[[#This Row],[MAT]]&lt;&gt;"",COUNTIF(Table3[LEVEL 5 MAT NO.],Table412[[#This Row],[MAT]]),"")</f>
        <v>1</v>
      </c>
      <c r="K783" s="36">
        <f>IFERROR(INDEX(Table3[],MATCH($E783,Table3[LEVEL 5 MAT NO.],0),2),0)</f>
        <v>1</v>
      </c>
      <c r="L783" s="36">
        <f>Table412[[#This Row],[Quantity in BOM]]*Table412[[#This Row],[Freq]]</f>
        <v>6</v>
      </c>
      <c r="M783" s="36">
        <f>IF(Table412[[#This Row],[Exist]]=1,Table412[[#This Row],[MAT]],"")</f>
        <v>1207425</v>
      </c>
      <c r="N783" s="36">
        <f>IF(Table412[[#This Row],[Exist]]=1,Table412[[#This Row],[Component]],"")</f>
        <v>418525</v>
      </c>
      <c r="O783" s="36">
        <f>IFERROR(VALUE(Table412[[#This Row],[MAT]]&amp;Table412[[#This Row],[X'#]]),IF(COUNTIF(Table412[[#This Row],[MAT]],"*M"),Table412[[#This Row],[MAT]]&amp;Table412[[#This Row],[X'#]],""))</f>
        <v>12074255</v>
      </c>
    </row>
    <row r="784" spans="1:15" x14ac:dyDescent="0.25">
      <c r="A784" s="37">
        <f t="shared" si="13"/>
        <v>198</v>
      </c>
      <c r="C784" s="36" t="s">
        <v>315</v>
      </c>
      <c r="D784" s="36" t="s">
        <v>647</v>
      </c>
      <c r="E784" s="36">
        <v>1134806</v>
      </c>
      <c r="F784" s="36">
        <v>1</v>
      </c>
      <c r="G784" s="36">
        <v>1130198</v>
      </c>
      <c r="H784" s="48" t="str">
        <f>IFERROR(INDEX(Table14[],MATCH($G784,Table14[SAPNo],0),3),"")</f>
        <v>Round 1613 CT182  0.018" (S)</v>
      </c>
      <c r="I784" s="37">
        <v>50</v>
      </c>
      <c r="J784" s="37">
        <f>IF(Table412[[#This Row],[MAT]]&lt;&gt;"",COUNTIF(Table3[LEVEL 5 MAT NO.],Table412[[#This Row],[MAT]]),"")</f>
        <v>1</v>
      </c>
      <c r="K784" s="36">
        <f>IFERROR(INDEX(Table3[],MATCH($E784,Table3[LEVEL 5 MAT NO.],0),2),0)</f>
        <v>2</v>
      </c>
      <c r="L784" s="36">
        <f>Table412[[#This Row],[Quantity in BOM]]*Table412[[#This Row],[Freq]]</f>
        <v>100</v>
      </c>
      <c r="M784" s="36">
        <f>IF(Table412[[#This Row],[Exist]]=1,Table412[[#This Row],[MAT]],"")</f>
        <v>1134806</v>
      </c>
      <c r="N784" s="36">
        <f>IF(Table412[[#This Row],[Exist]]=1,Table412[[#This Row],[Component]],"")</f>
        <v>1130198</v>
      </c>
      <c r="O784" s="36">
        <f>IFERROR(VALUE(Table412[[#This Row],[MAT]]&amp;Table412[[#This Row],[X'#]]),IF(COUNTIF(Table412[[#This Row],[MAT]],"*M"),Table412[[#This Row],[MAT]]&amp;Table412[[#This Row],[X'#]],""))</f>
        <v>11348061</v>
      </c>
    </row>
    <row r="785" spans="1:15" x14ac:dyDescent="0.25">
      <c r="A785" s="37">
        <f t="shared" si="13"/>
        <v>200</v>
      </c>
      <c r="C785" s="36" t="s">
        <v>315</v>
      </c>
      <c r="D785" s="36" t="s">
        <v>647</v>
      </c>
      <c r="E785" s="36">
        <v>1134806</v>
      </c>
      <c r="F785" s="36">
        <v>2</v>
      </c>
      <c r="G785" s="36">
        <v>647436</v>
      </c>
      <c r="H785" s="48" t="str">
        <f>IFERROR(INDEX(Table14[],MATCH($G785,Table14[SAPNo],0),3),"")</f>
        <v>Round 1613 CT200  0.018" (B)</v>
      </c>
      <c r="I785" s="37">
        <v>31</v>
      </c>
      <c r="J785" s="37">
        <f>IF(Table412[[#This Row],[MAT]]&lt;&gt;"",COUNTIF(Table3[LEVEL 5 MAT NO.],Table412[[#This Row],[MAT]]),"")</f>
        <v>1</v>
      </c>
      <c r="K785" s="36">
        <f>IFERROR(INDEX(Table3[],MATCH($E785,Table3[LEVEL 5 MAT NO.],0),2),0)</f>
        <v>2</v>
      </c>
      <c r="L785" s="36">
        <f>Table412[[#This Row],[Quantity in BOM]]*Table412[[#This Row],[Freq]]</f>
        <v>62</v>
      </c>
      <c r="M785" s="36">
        <f>IF(Table412[[#This Row],[Exist]]=1,Table412[[#This Row],[MAT]],"")</f>
        <v>1134806</v>
      </c>
      <c r="N785" s="36">
        <f>IF(Table412[[#This Row],[Exist]]=1,Table412[[#This Row],[Component]],"")</f>
        <v>647436</v>
      </c>
      <c r="O785" s="36">
        <f>IFERROR(VALUE(Table412[[#This Row],[MAT]]&amp;Table412[[#This Row],[X'#]]),IF(COUNTIF(Table412[[#This Row],[MAT]],"*M"),Table412[[#This Row],[MAT]]&amp;Table412[[#This Row],[X'#]],""))</f>
        <v>11348062</v>
      </c>
    </row>
    <row r="786" spans="1:15" x14ac:dyDescent="0.25">
      <c r="A786" s="37">
        <f t="shared" si="13"/>
        <v>202</v>
      </c>
      <c r="C786" s="36" t="s">
        <v>315</v>
      </c>
      <c r="D786" s="36" t="s">
        <v>647</v>
      </c>
      <c r="E786" s="36">
        <v>1134806</v>
      </c>
      <c r="F786" s="36">
        <v>3</v>
      </c>
      <c r="G786" s="36">
        <v>418525</v>
      </c>
      <c r="H786" s="48" t="str">
        <f>IFERROR(INDEX(Table14[],MATCH($G786,Table14[SAPNo],0),3),"")</f>
        <v>Drop In 1308 CT31   (B)</v>
      </c>
      <c r="I786" s="37">
        <v>8</v>
      </c>
      <c r="J786" s="37">
        <f>IF(Table412[[#This Row],[MAT]]&lt;&gt;"",COUNTIF(Table3[LEVEL 5 MAT NO.],Table412[[#This Row],[MAT]]),"")</f>
        <v>1</v>
      </c>
      <c r="K786" s="36">
        <f>IFERROR(INDEX(Table3[],MATCH($E786,Table3[LEVEL 5 MAT NO.],0),2),0)</f>
        <v>2</v>
      </c>
      <c r="L786" s="36">
        <f>Table412[[#This Row],[Quantity in BOM]]*Table412[[#This Row],[Freq]]</f>
        <v>16</v>
      </c>
      <c r="M786" s="36">
        <f>IF(Table412[[#This Row],[Exist]]=1,Table412[[#This Row],[MAT]],"")</f>
        <v>1134806</v>
      </c>
      <c r="N786" s="36">
        <f>IF(Table412[[#This Row],[Exist]]=1,Table412[[#This Row],[Component]],"")</f>
        <v>418525</v>
      </c>
      <c r="O786" s="36">
        <f>IFERROR(VALUE(Table412[[#This Row],[MAT]]&amp;Table412[[#This Row],[X'#]]),IF(COUNTIF(Table412[[#This Row],[MAT]],"*M"),Table412[[#This Row],[MAT]]&amp;Table412[[#This Row],[X'#]],""))</f>
        <v>11348063</v>
      </c>
    </row>
    <row r="787" spans="1:15" x14ac:dyDescent="0.25">
      <c r="A787" s="37">
        <f t="shared" si="13"/>
        <v>204</v>
      </c>
      <c r="C787" s="36" t="s">
        <v>309</v>
      </c>
      <c r="D787" s="36" t="s">
        <v>669</v>
      </c>
      <c r="E787" s="36">
        <v>1219698</v>
      </c>
      <c r="F787" s="36">
        <v>1</v>
      </c>
      <c r="G787" s="36">
        <v>1145493</v>
      </c>
      <c r="H787" s="48" t="str">
        <f>IFERROR(INDEX(Table14[],MATCH($G787,Table14[SAPNo],0),3),"")</f>
        <v>Round 1313 CT427  10C (S)</v>
      </c>
      <c r="I787" s="37">
        <v>23</v>
      </c>
      <c r="J787" s="37">
        <f>IF(Table412[[#This Row],[MAT]]&lt;&gt;"",COUNTIF(Table3[LEVEL 5 MAT NO.],Table412[[#This Row],[MAT]]),"")</f>
        <v>0</v>
      </c>
      <c r="K787" s="36">
        <f>IFERROR(INDEX(Table3[],MATCH($E787,Table3[LEVEL 5 MAT NO.],0),2),0)</f>
        <v>0</v>
      </c>
      <c r="L787" s="36">
        <f>Table412[[#This Row],[Quantity in BOM]]*Table412[[#This Row],[Freq]]</f>
        <v>0</v>
      </c>
      <c r="M787" s="36" t="str">
        <f>IF(Table412[[#This Row],[Exist]]=1,Table412[[#This Row],[MAT]],"")</f>
        <v/>
      </c>
      <c r="N787" s="36" t="str">
        <f>IF(Table412[[#This Row],[Exist]]=1,Table412[[#This Row],[Component]],"")</f>
        <v/>
      </c>
      <c r="O787" s="36">
        <f>IFERROR(VALUE(Table412[[#This Row],[MAT]]&amp;Table412[[#This Row],[X'#]]),IF(COUNTIF(Table412[[#This Row],[MAT]],"*M"),Table412[[#This Row],[MAT]]&amp;Table412[[#This Row],[X'#]],""))</f>
        <v>12196981</v>
      </c>
    </row>
    <row r="788" spans="1:15" x14ac:dyDescent="0.25">
      <c r="A788" s="37">
        <f t="shared" si="13"/>
        <v>204</v>
      </c>
      <c r="C788" s="36" t="s">
        <v>309</v>
      </c>
      <c r="D788" s="36" t="s">
        <v>669</v>
      </c>
      <c r="E788" s="36">
        <v>1219698</v>
      </c>
      <c r="F788" s="36">
        <v>2</v>
      </c>
      <c r="G788" s="36">
        <v>418525</v>
      </c>
      <c r="H788" s="48" t="str">
        <f>IFERROR(INDEX(Table14[],MATCH($G788,Table14[SAPNo],0),3),"")</f>
        <v>Drop In 1308 CT31   (B)</v>
      </c>
      <c r="I788" s="37">
        <v>10</v>
      </c>
      <c r="J788" s="37">
        <f>IF(Table412[[#This Row],[MAT]]&lt;&gt;"",COUNTIF(Table3[LEVEL 5 MAT NO.],Table412[[#This Row],[MAT]]),"")</f>
        <v>0</v>
      </c>
      <c r="K788" s="36">
        <f>IFERROR(INDEX(Table3[],MATCH($E788,Table3[LEVEL 5 MAT NO.],0),2),0)</f>
        <v>0</v>
      </c>
      <c r="L788" s="36">
        <f>Table412[[#This Row],[Quantity in BOM]]*Table412[[#This Row],[Freq]]</f>
        <v>0</v>
      </c>
      <c r="M788" s="36" t="str">
        <f>IF(Table412[[#This Row],[Exist]]=1,Table412[[#This Row],[MAT]],"")</f>
        <v/>
      </c>
      <c r="N788" s="36" t="str">
        <f>IF(Table412[[#This Row],[Exist]]=1,Table412[[#This Row],[Component]],"")</f>
        <v/>
      </c>
      <c r="O788" s="36">
        <f>IFERROR(VALUE(Table412[[#This Row],[MAT]]&amp;Table412[[#This Row],[X'#]]),IF(COUNTIF(Table412[[#This Row],[MAT]],"*M"),Table412[[#This Row],[MAT]]&amp;Table412[[#This Row],[X'#]],""))</f>
        <v>12196982</v>
      </c>
    </row>
    <row r="789" spans="1:15" x14ac:dyDescent="0.25">
      <c r="A789" s="37">
        <f t="shared" si="13"/>
        <v>204</v>
      </c>
      <c r="B789" s="188" t="s">
        <v>3715</v>
      </c>
      <c r="C789" s="36" t="s">
        <v>309</v>
      </c>
      <c r="D789" s="36" t="s">
        <v>754</v>
      </c>
      <c r="E789" s="36" t="s">
        <v>753</v>
      </c>
      <c r="F789" s="36">
        <v>1</v>
      </c>
      <c r="G789" s="36">
        <v>1145493</v>
      </c>
      <c r="H789" s="48" t="str">
        <f>IFERROR(INDEX(Table14[],MATCH($G789,Table14[SAPNo],0),3),"")</f>
        <v>Round 1313 CT427  10C (S)</v>
      </c>
      <c r="I789" s="37">
        <v>16</v>
      </c>
      <c r="J789" s="37">
        <f>IF(Table412[[#This Row],[MAT]]&lt;&gt;"",COUNTIF(Table3[LEVEL 5 MAT NO.],Table412[[#This Row],[MAT]]),"")</f>
        <v>0</v>
      </c>
      <c r="K789" s="36">
        <f>IFERROR(INDEX(Table3[],MATCH($E789,Table3[LEVEL 5 MAT NO.],0),2),0)</f>
        <v>0</v>
      </c>
      <c r="L789" s="36">
        <f>Table412[[#This Row],[Quantity in BOM]]*Table412[[#This Row],[Freq]]</f>
        <v>0</v>
      </c>
      <c r="M789" s="36" t="str">
        <f>IF(Table412[[#This Row],[Exist]]=1,Table412[[#This Row],[MAT]],"")</f>
        <v/>
      </c>
      <c r="N789" s="36" t="str">
        <f>IF(Table412[[#This Row],[Exist]]=1,Table412[[#This Row],[Component]],"")</f>
        <v/>
      </c>
      <c r="O789" s="36" t="str">
        <f>IFERROR(VALUE(Table412[[#This Row],[MAT]]&amp;Table412[[#This Row],[X'#]]),IF(COUNTIF(Table412[[#This Row],[MAT]],"*M"),Table412[[#This Row],[MAT]]&amp;Table412[[#This Row],[X'#]],""))</f>
        <v>1226735M1</v>
      </c>
    </row>
    <row r="790" spans="1:15" x14ac:dyDescent="0.25">
      <c r="A790" s="37">
        <f t="shared" si="13"/>
        <v>204</v>
      </c>
      <c r="B790" s="188" t="s">
        <v>3715</v>
      </c>
      <c r="C790" s="36" t="s">
        <v>309</v>
      </c>
      <c r="D790" s="36" t="s">
        <v>754</v>
      </c>
      <c r="E790" s="36" t="s">
        <v>753</v>
      </c>
      <c r="F790" s="36">
        <v>2</v>
      </c>
      <c r="G790" s="36">
        <v>1209332</v>
      </c>
      <c r="H790" s="48" t="str">
        <f>IFERROR(INDEX(Table14[],MATCH($G790,Table14[SAPNo],0),3),"")</f>
        <v>1313 CT147G U</v>
      </c>
      <c r="I790" s="37">
        <v>9</v>
      </c>
      <c r="J790" s="37">
        <f>IF(Table412[[#This Row],[MAT]]&lt;&gt;"",COUNTIF(Table3[LEVEL 5 MAT NO.],Table412[[#This Row],[MAT]]),"")</f>
        <v>0</v>
      </c>
      <c r="K790" s="36">
        <f>IFERROR(INDEX(Table3[],MATCH($E790,Table3[LEVEL 5 MAT NO.],0),2),0)</f>
        <v>0</v>
      </c>
      <c r="L790" s="36">
        <f>Table412[[#This Row],[Quantity in BOM]]*Table412[[#This Row],[Freq]]</f>
        <v>0</v>
      </c>
      <c r="M790" s="36" t="str">
        <f>IF(Table412[[#This Row],[Exist]]=1,Table412[[#This Row],[MAT]],"")</f>
        <v/>
      </c>
      <c r="N790" s="36" t="str">
        <f>IF(Table412[[#This Row],[Exist]]=1,Table412[[#This Row],[Component]],"")</f>
        <v/>
      </c>
      <c r="O790" s="36" t="str">
        <f>IFERROR(VALUE(Table412[[#This Row],[MAT]]&amp;Table412[[#This Row],[X'#]]),IF(COUNTIF(Table412[[#This Row],[MAT]],"*M"),Table412[[#This Row],[MAT]]&amp;Table412[[#This Row],[X'#]],""))</f>
        <v>1226735M2</v>
      </c>
    </row>
    <row r="791" spans="1:15" x14ac:dyDescent="0.25">
      <c r="A791" s="37">
        <f t="shared" si="13"/>
        <v>204</v>
      </c>
      <c r="B791" s="188" t="s">
        <v>3715</v>
      </c>
      <c r="C791" s="36" t="s">
        <v>309</v>
      </c>
      <c r="D791" s="36" t="s">
        <v>754</v>
      </c>
      <c r="E791" s="36" t="s">
        <v>753</v>
      </c>
      <c r="F791" s="36">
        <v>3</v>
      </c>
      <c r="G791" s="36">
        <v>418525</v>
      </c>
      <c r="H791" s="48" t="str">
        <f>IFERROR(INDEX(Table14[],MATCH($G791,Table14[SAPNo],0),3),"")</f>
        <v>Drop In 1308 CT31   (B)</v>
      </c>
      <c r="I791" s="37">
        <v>6</v>
      </c>
      <c r="J791" s="37">
        <f>IF(Table412[[#This Row],[MAT]]&lt;&gt;"",COUNTIF(Table3[LEVEL 5 MAT NO.],Table412[[#This Row],[MAT]]),"")</f>
        <v>0</v>
      </c>
      <c r="K791" s="36">
        <f>IFERROR(INDEX(Table3[],MATCH($E791,Table3[LEVEL 5 MAT NO.],0),2),0)</f>
        <v>0</v>
      </c>
      <c r="L791" s="36">
        <f>Table412[[#This Row],[Quantity in BOM]]*Table412[[#This Row],[Freq]]</f>
        <v>0</v>
      </c>
      <c r="M791" s="36" t="str">
        <f>IF(Table412[[#This Row],[Exist]]=1,Table412[[#This Row],[MAT]],"")</f>
        <v/>
      </c>
      <c r="N791" s="36" t="str">
        <f>IF(Table412[[#This Row],[Exist]]=1,Table412[[#This Row],[Component]],"")</f>
        <v/>
      </c>
      <c r="O791" s="36" t="str">
        <f>IFERROR(VALUE(Table412[[#This Row],[MAT]]&amp;Table412[[#This Row],[X'#]]),IF(COUNTIF(Table412[[#This Row],[MAT]],"*M"),Table412[[#This Row],[MAT]]&amp;Table412[[#This Row],[X'#]],""))</f>
        <v>1226735M3</v>
      </c>
    </row>
    <row r="792" spans="1:15" x14ac:dyDescent="0.25">
      <c r="A792" s="37">
        <f t="shared" si="13"/>
        <v>204</v>
      </c>
      <c r="B792" s="188" t="s">
        <v>3715</v>
      </c>
      <c r="C792" s="36" t="s">
        <v>309</v>
      </c>
      <c r="D792" s="36" t="s">
        <v>754</v>
      </c>
      <c r="E792" s="36" t="s">
        <v>753</v>
      </c>
      <c r="F792" s="36">
        <v>4</v>
      </c>
      <c r="G792" s="36">
        <v>649901</v>
      </c>
      <c r="H792" s="48" t="str">
        <f>IFERROR(INDEX(Table14[],MATCH($G792,Table14[SAPNo],0),3),"")</f>
        <v>Carbide IA 8    (C)</v>
      </c>
      <c r="I792" s="37">
        <v>5</v>
      </c>
      <c r="J792" s="37">
        <f>IF(Table412[[#This Row],[MAT]]&lt;&gt;"",COUNTIF(Table3[LEVEL 5 MAT NO.],Table412[[#This Row],[MAT]]),"")</f>
        <v>0</v>
      </c>
      <c r="K792" s="36">
        <f>IFERROR(INDEX(Table3[],MATCH($E792,Table3[LEVEL 5 MAT NO.],0),2),0)</f>
        <v>0</v>
      </c>
      <c r="L792" s="36">
        <f>Table412[[#This Row],[Quantity in BOM]]*Table412[[#This Row],[Freq]]</f>
        <v>0</v>
      </c>
      <c r="M792" s="36" t="str">
        <f>IF(Table412[[#This Row],[Exist]]=1,Table412[[#This Row],[MAT]],"")</f>
        <v/>
      </c>
      <c r="N792" s="36" t="str">
        <f>IF(Table412[[#This Row],[Exist]]=1,Table412[[#This Row],[Component]],"")</f>
        <v/>
      </c>
      <c r="O792" s="36" t="str">
        <f>IFERROR(VALUE(Table412[[#This Row],[MAT]]&amp;Table412[[#This Row],[X'#]]),IF(COUNTIF(Table412[[#This Row],[MAT]],"*M"),Table412[[#This Row],[MAT]]&amp;Table412[[#This Row],[X'#]],""))</f>
        <v>1226735M4</v>
      </c>
    </row>
    <row r="793" spans="1:15" x14ac:dyDescent="0.25">
      <c r="A793" s="37">
        <f t="shared" si="13"/>
        <v>204</v>
      </c>
      <c r="B793" s="188" t="s">
        <v>3715</v>
      </c>
      <c r="C793" s="36" t="s">
        <v>309</v>
      </c>
      <c r="D793" s="36" t="s">
        <v>754</v>
      </c>
      <c r="E793" s="36" t="s">
        <v>753</v>
      </c>
      <c r="F793" s="36">
        <v>5</v>
      </c>
      <c r="G793" s="36">
        <v>1104083</v>
      </c>
      <c r="H793" s="48" t="str">
        <f>IFERROR(INDEX(Table14[],MATCH($G793,Table14[SAPNo],0),3),"")</f>
        <v>1313 CT144H  10C (S)</v>
      </c>
      <c r="I793" s="37">
        <v>1</v>
      </c>
      <c r="J793" s="37">
        <f>IF(Table412[[#This Row],[MAT]]&lt;&gt;"",COUNTIF(Table3[LEVEL 5 MAT NO.],Table412[[#This Row],[MAT]]),"")</f>
        <v>0</v>
      </c>
      <c r="K793" s="36">
        <f>IFERROR(INDEX(Table3[],MATCH($E793,Table3[LEVEL 5 MAT NO.],0),2),0)</f>
        <v>0</v>
      </c>
      <c r="L793" s="36">
        <f>Table412[[#This Row],[Quantity in BOM]]*Table412[[#This Row],[Freq]]</f>
        <v>0</v>
      </c>
      <c r="M793" s="36" t="str">
        <f>IF(Table412[[#This Row],[Exist]]=1,Table412[[#This Row],[MAT]],"")</f>
        <v/>
      </c>
      <c r="N793" s="36" t="str">
        <f>IF(Table412[[#This Row],[Exist]]=1,Table412[[#This Row],[Component]],"")</f>
        <v/>
      </c>
      <c r="O793" s="36" t="str">
        <f>IFERROR(VALUE(Table412[[#This Row],[MAT]]&amp;Table412[[#This Row],[X'#]]),IF(COUNTIF(Table412[[#This Row],[MAT]],"*M"),Table412[[#This Row],[MAT]]&amp;Table412[[#This Row],[X'#]],""))</f>
        <v>1226735M5</v>
      </c>
    </row>
    <row r="794" spans="1:15" x14ac:dyDescent="0.25">
      <c r="A794" s="37">
        <f t="shared" si="13"/>
        <v>204</v>
      </c>
      <c r="B794" s="245" t="s">
        <v>668</v>
      </c>
      <c r="C794" s="36" t="s">
        <v>309</v>
      </c>
      <c r="D794" s="36" t="s">
        <v>671</v>
      </c>
      <c r="E794" s="36">
        <v>1225753</v>
      </c>
      <c r="F794" s="36">
        <v>1</v>
      </c>
      <c r="G794" s="36">
        <v>1217988</v>
      </c>
      <c r="H794" s="48" t="str">
        <f>IFERROR(INDEX(Table14[],MATCH($G794,Table14[SAPNo],0),3),"")</f>
        <v>1313 CT158DM 10C</v>
      </c>
      <c r="I794" s="37">
        <v>13</v>
      </c>
      <c r="J794" s="37">
        <f>IF(Table412[[#This Row],[MAT]]&lt;&gt;"",COUNTIF(Table3[LEVEL 5 MAT NO.],Table412[[#This Row],[MAT]]),"")</f>
        <v>0</v>
      </c>
      <c r="K794" s="36">
        <f>IFERROR(INDEX(Table3[],MATCH($E794,Table3[LEVEL 5 MAT NO.],0),2),0)</f>
        <v>0</v>
      </c>
      <c r="L794" s="36">
        <f>Table412[[#This Row],[Quantity in BOM]]*Table412[[#This Row],[Freq]]</f>
        <v>0</v>
      </c>
      <c r="M794" s="36" t="str">
        <f>IF(Table412[[#This Row],[Exist]]=1,Table412[[#This Row],[MAT]],"")</f>
        <v/>
      </c>
      <c r="N794" s="36" t="str">
        <f>IF(Table412[[#This Row],[Exist]]=1,Table412[[#This Row],[Component]],"")</f>
        <v/>
      </c>
      <c r="O794" s="36">
        <f>IFERROR(VALUE(Table412[[#This Row],[MAT]]&amp;Table412[[#This Row],[X'#]]),IF(COUNTIF(Table412[[#This Row],[MAT]],"*M"),Table412[[#This Row],[MAT]]&amp;Table412[[#This Row],[X'#]],""))</f>
        <v>12257531</v>
      </c>
    </row>
    <row r="795" spans="1:15" x14ac:dyDescent="0.25">
      <c r="A795" s="37">
        <f t="shared" si="13"/>
        <v>204</v>
      </c>
      <c r="C795" s="38" t="s">
        <v>309</v>
      </c>
      <c r="D795" s="36" t="s">
        <v>671</v>
      </c>
      <c r="E795" s="36">
        <v>1225753</v>
      </c>
      <c r="F795" s="36">
        <v>2</v>
      </c>
      <c r="G795" s="36">
        <v>1145493</v>
      </c>
      <c r="H795" s="48" t="str">
        <f>IFERROR(INDEX(Table14[],MATCH($G795,Table14[SAPNo],0),3),"")</f>
        <v>Round 1313 CT427  10C (S)</v>
      </c>
      <c r="I795" s="37">
        <v>12</v>
      </c>
      <c r="J795" s="37">
        <f>IF(Table412[[#This Row],[MAT]]&lt;&gt;"",COUNTIF(Table3[LEVEL 5 MAT NO.],Table412[[#This Row],[MAT]]),"")</f>
        <v>0</v>
      </c>
      <c r="K795" s="36">
        <f>IFERROR(INDEX(Table3[],MATCH($E795,Table3[LEVEL 5 MAT NO.],0),2),0)</f>
        <v>0</v>
      </c>
      <c r="L795" s="36">
        <f>Table412[[#This Row],[Quantity in BOM]]*Table412[[#This Row],[Freq]]</f>
        <v>0</v>
      </c>
      <c r="M795" s="36" t="str">
        <f>IF(Table412[[#This Row],[Exist]]=1,Table412[[#This Row],[MAT]],"")</f>
        <v/>
      </c>
      <c r="N795" s="36" t="str">
        <f>IF(Table412[[#This Row],[Exist]]=1,Table412[[#This Row],[Component]],"")</f>
        <v/>
      </c>
      <c r="O795" s="36">
        <f>IFERROR(VALUE(Table412[[#This Row],[MAT]]&amp;Table412[[#This Row],[X'#]]),IF(COUNTIF(Table412[[#This Row],[MAT]],"*M"),Table412[[#This Row],[MAT]]&amp;Table412[[#This Row],[X'#]],""))</f>
        <v>12257532</v>
      </c>
    </row>
    <row r="796" spans="1:15" x14ac:dyDescent="0.25">
      <c r="A796" s="37">
        <f t="shared" si="13"/>
        <v>204</v>
      </c>
      <c r="C796" s="38" t="s">
        <v>309</v>
      </c>
      <c r="D796" s="36" t="s">
        <v>671</v>
      </c>
      <c r="E796" s="36">
        <v>1225753</v>
      </c>
      <c r="F796" s="36">
        <v>3</v>
      </c>
      <c r="G796" s="36">
        <v>418525</v>
      </c>
      <c r="H796" s="48" t="str">
        <f>IFERROR(INDEX(Table14[],MATCH($G796,Table14[SAPNo],0),3),"")</f>
        <v>Drop In 1308 CT31   (B)</v>
      </c>
      <c r="I796" s="37">
        <v>6</v>
      </c>
      <c r="J796" s="37">
        <f>IF(Table412[[#This Row],[MAT]]&lt;&gt;"",COUNTIF(Table3[LEVEL 5 MAT NO.],Table412[[#This Row],[MAT]]),"")</f>
        <v>0</v>
      </c>
      <c r="K796" s="36">
        <f>IFERROR(INDEX(Table3[],MATCH($E796,Table3[LEVEL 5 MAT NO.],0),2),0)</f>
        <v>0</v>
      </c>
      <c r="L796" s="36">
        <f>Table412[[#This Row],[Quantity in BOM]]*Table412[[#This Row],[Freq]]</f>
        <v>0</v>
      </c>
      <c r="M796" s="36" t="str">
        <f>IF(Table412[[#This Row],[Exist]]=1,Table412[[#This Row],[MAT]],"")</f>
        <v/>
      </c>
      <c r="N796" s="36" t="str">
        <f>IF(Table412[[#This Row],[Exist]]=1,Table412[[#This Row],[Component]],"")</f>
        <v/>
      </c>
      <c r="O796" s="36">
        <f>IFERROR(VALUE(Table412[[#This Row],[MAT]]&amp;Table412[[#This Row],[X'#]]),IF(COUNTIF(Table412[[#This Row],[MAT]],"*M"),Table412[[#This Row],[MAT]]&amp;Table412[[#This Row],[X'#]],""))</f>
        <v>12257533</v>
      </c>
    </row>
    <row r="797" spans="1:15" x14ac:dyDescent="0.25">
      <c r="A797" s="37">
        <f t="shared" si="13"/>
        <v>204</v>
      </c>
      <c r="C797" s="38" t="s">
        <v>309</v>
      </c>
      <c r="D797" s="36" t="s">
        <v>671</v>
      </c>
      <c r="E797" s="36">
        <v>1225753</v>
      </c>
      <c r="F797" s="36">
        <v>4</v>
      </c>
      <c r="G797" s="36">
        <v>1101509</v>
      </c>
      <c r="H797" s="48" t="str">
        <f>IFERROR(INDEX(Table14[],MATCH($G797,Table14[SAPNo],0),3),"")</f>
        <v>Short IA 8    (C)</v>
      </c>
      <c r="I797" s="37">
        <v>5</v>
      </c>
      <c r="J797" s="37">
        <f>IF(Table412[[#This Row],[MAT]]&lt;&gt;"",COUNTIF(Table3[LEVEL 5 MAT NO.],Table412[[#This Row],[MAT]]),"")</f>
        <v>0</v>
      </c>
      <c r="K797" s="36">
        <f>IFERROR(INDEX(Table3[],MATCH($E797,Table3[LEVEL 5 MAT NO.],0),2),0)</f>
        <v>0</v>
      </c>
      <c r="L797" s="36">
        <f>Table412[[#This Row],[Quantity in BOM]]*Table412[[#This Row],[Freq]]</f>
        <v>0</v>
      </c>
      <c r="M797" s="36" t="str">
        <f>IF(Table412[[#This Row],[Exist]]=1,Table412[[#This Row],[MAT]],"")</f>
        <v/>
      </c>
      <c r="N797" s="36" t="str">
        <f>IF(Table412[[#This Row],[Exist]]=1,Table412[[#This Row],[Component]],"")</f>
        <v/>
      </c>
      <c r="O797" s="36">
        <f>IFERROR(VALUE(Table412[[#This Row],[MAT]]&amp;Table412[[#This Row],[X'#]]),IF(COUNTIF(Table412[[#This Row],[MAT]],"*M"),Table412[[#This Row],[MAT]]&amp;Table412[[#This Row],[X'#]],""))</f>
        <v>12257534</v>
      </c>
    </row>
    <row r="798" spans="1:15" x14ac:dyDescent="0.25">
      <c r="A798" s="37">
        <f t="shared" si="13"/>
        <v>204</v>
      </c>
      <c r="C798" s="38" t="s">
        <v>309</v>
      </c>
      <c r="D798" s="36" t="s">
        <v>671</v>
      </c>
      <c r="E798" s="36">
        <v>1225753</v>
      </c>
      <c r="F798" s="36">
        <v>5</v>
      </c>
      <c r="G798" s="36">
        <v>1104083</v>
      </c>
      <c r="H798" s="48" t="str">
        <f>IFERROR(INDEX(Table14[],MATCH($G798,Table14[SAPNo],0),3),"")</f>
        <v>1313 CT144H  10C (S)</v>
      </c>
      <c r="I798" s="37">
        <v>1</v>
      </c>
      <c r="J798" s="37">
        <f>IF(Table412[[#This Row],[MAT]]&lt;&gt;"",COUNTIF(Table3[LEVEL 5 MAT NO.],Table412[[#This Row],[MAT]]),"")</f>
        <v>0</v>
      </c>
      <c r="K798" s="36">
        <f>IFERROR(INDEX(Table3[],MATCH($E798,Table3[LEVEL 5 MAT NO.],0),2),0)</f>
        <v>0</v>
      </c>
      <c r="L798" s="36">
        <f>Table412[[#This Row],[Quantity in BOM]]*Table412[[#This Row],[Freq]]</f>
        <v>0</v>
      </c>
      <c r="M798" s="36" t="str">
        <f>IF(Table412[[#This Row],[Exist]]=1,Table412[[#This Row],[MAT]],"")</f>
        <v/>
      </c>
      <c r="N798" s="36" t="str">
        <f>IF(Table412[[#This Row],[Exist]]=1,Table412[[#This Row],[Component]],"")</f>
        <v/>
      </c>
      <c r="O798" s="36">
        <f>IFERROR(VALUE(Table412[[#This Row],[MAT]]&amp;Table412[[#This Row],[X'#]]),IF(COUNTIF(Table412[[#This Row],[MAT]],"*M"),Table412[[#This Row],[MAT]]&amp;Table412[[#This Row],[X'#]],""))</f>
        <v>12257535</v>
      </c>
    </row>
    <row r="799" spans="1:15" x14ac:dyDescent="0.25">
      <c r="A799" s="37">
        <f t="shared" si="13"/>
        <v>204</v>
      </c>
      <c r="C799" s="38" t="s">
        <v>304</v>
      </c>
      <c r="D799" s="36" t="s">
        <v>630</v>
      </c>
      <c r="E799" s="36">
        <v>1016454</v>
      </c>
      <c r="F799" s="36">
        <v>1</v>
      </c>
      <c r="G799" s="36">
        <v>717748</v>
      </c>
      <c r="H799" s="48" t="str">
        <f>IFERROR(INDEX(Table14[],MATCH($G799,Table14[SAPNo],0),3),"")</f>
        <v>Round 1010 CT200  0.018" (B)</v>
      </c>
      <c r="I799" s="37">
        <v>23</v>
      </c>
      <c r="J799" s="37">
        <f>IF(Table412[[#This Row],[MAT]]&lt;&gt;"",COUNTIF(Table3[LEVEL 5 MAT NO.],Table412[[#This Row],[MAT]]),"")</f>
        <v>1</v>
      </c>
      <c r="K799" s="36">
        <f>IFERROR(INDEX(Table3[],MATCH($E799,Table3[LEVEL 5 MAT NO.],0),2),0)</f>
        <v>10</v>
      </c>
      <c r="L799" s="36">
        <f>Table412[[#This Row],[Quantity in BOM]]*Table412[[#This Row],[Freq]]</f>
        <v>230</v>
      </c>
      <c r="M799" s="36">
        <f>IF(Table412[[#This Row],[Exist]]=1,Table412[[#This Row],[MAT]],"")</f>
        <v>1016454</v>
      </c>
      <c r="N799" s="36">
        <f>IF(Table412[[#This Row],[Exist]]=1,Table412[[#This Row],[Component]],"")</f>
        <v>717748</v>
      </c>
      <c r="O799" s="36">
        <f>IFERROR(VALUE(Table412[[#This Row],[MAT]]&amp;Table412[[#This Row],[X'#]]),IF(COUNTIF(Table412[[#This Row],[MAT]],"*M"),Table412[[#This Row],[MAT]]&amp;Table412[[#This Row],[X'#]],""))</f>
        <v>10164541</v>
      </c>
    </row>
    <row r="800" spans="1:15" x14ac:dyDescent="0.25">
      <c r="A800" s="37">
        <f t="shared" si="13"/>
        <v>214</v>
      </c>
      <c r="C800" s="38" t="s">
        <v>304</v>
      </c>
      <c r="D800" s="36" t="s">
        <v>630</v>
      </c>
      <c r="E800" s="36">
        <v>1016454</v>
      </c>
      <c r="F800" s="36">
        <v>2</v>
      </c>
      <c r="G800" s="36">
        <v>773384</v>
      </c>
      <c r="H800" s="48" t="str">
        <f>IFERROR(INDEX(Table14[],MATCH($G800,Table14[SAPNo],0),3),"")</f>
        <v>Round 1005 CT200  0.018" (B)</v>
      </c>
      <c r="I800" s="37">
        <v>10</v>
      </c>
      <c r="J800" s="37">
        <f>IF(Table412[[#This Row],[MAT]]&lt;&gt;"",COUNTIF(Table3[LEVEL 5 MAT NO.],Table412[[#This Row],[MAT]]),"")</f>
        <v>1</v>
      </c>
      <c r="K800" s="36">
        <f>IFERROR(INDEX(Table3[],MATCH($E800,Table3[LEVEL 5 MAT NO.],0),2),0)</f>
        <v>10</v>
      </c>
      <c r="L800" s="36">
        <f>Table412[[#This Row],[Quantity in BOM]]*Table412[[#This Row],[Freq]]</f>
        <v>100</v>
      </c>
      <c r="M800" s="36">
        <f>IF(Table412[[#This Row],[Exist]]=1,Table412[[#This Row],[MAT]],"")</f>
        <v>1016454</v>
      </c>
      <c r="N800" s="36">
        <f>IF(Table412[[#This Row],[Exist]]=1,Table412[[#This Row],[Component]],"")</f>
        <v>773384</v>
      </c>
      <c r="O800" s="36">
        <f>IFERROR(VALUE(Table412[[#This Row],[MAT]]&amp;Table412[[#This Row],[X'#]]),IF(COUNTIF(Table412[[#This Row],[MAT]],"*M"),Table412[[#This Row],[MAT]]&amp;Table412[[#This Row],[X'#]],""))</f>
        <v>10164542</v>
      </c>
    </row>
    <row r="801" spans="1:15" x14ac:dyDescent="0.25">
      <c r="A801" s="37">
        <f t="shared" si="13"/>
        <v>224</v>
      </c>
      <c r="C801" s="38" t="s">
        <v>304</v>
      </c>
      <c r="D801" s="36" t="s">
        <v>630</v>
      </c>
      <c r="E801" s="36">
        <v>1016454</v>
      </c>
      <c r="F801" s="36">
        <v>3</v>
      </c>
      <c r="G801" s="36">
        <v>882800</v>
      </c>
      <c r="H801" s="48" t="str">
        <f>IFERROR(INDEX(Table14[],MATCH($G801,Table14[SAPNo],0),3),"")</f>
        <v>Round 0808 CT80  0.018" (B)</v>
      </c>
      <c r="I801" s="37">
        <v>10</v>
      </c>
      <c r="J801" s="37">
        <f>IF(Table412[[#This Row],[MAT]]&lt;&gt;"",COUNTIF(Table3[LEVEL 5 MAT NO.],Table412[[#This Row],[MAT]]),"")</f>
        <v>1</v>
      </c>
      <c r="K801" s="36">
        <f>IFERROR(INDEX(Table3[],MATCH($E801,Table3[LEVEL 5 MAT NO.],0),2),0)</f>
        <v>10</v>
      </c>
      <c r="L801" s="36">
        <f>Table412[[#This Row],[Quantity in BOM]]*Table412[[#This Row],[Freq]]</f>
        <v>100</v>
      </c>
      <c r="M801" s="36">
        <f>IF(Table412[[#This Row],[Exist]]=1,Table412[[#This Row],[MAT]],"")</f>
        <v>1016454</v>
      </c>
      <c r="N801" s="36">
        <f>IF(Table412[[#This Row],[Exist]]=1,Table412[[#This Row],[Component]],"")</f>
        <v>882800</v>
      </c>
      <c r="O801" s="36">
        <f>IFERROR(VALUE(Table412[[#This Row],[MAT]]&amp;Table412[[#This Row],[X'#]]),IF(COUNTIF(Table412[[#This Row],[MAT]],"*M"),Table412[[#This Row],[MAT]]&amp;Table412[[#This Row],[X'#]],""))</f>
        <v>10164543</v>
      </c>
    </row>
    <row r="802" spans="1:15" x14ac:dyDescent="0.25">
      <c r="A802" s="37">
        <f t="shared" si="13"/>
        <v>234</v>
      </c>
      <c r="C802" s="38" t="s">
        <v>631</v>
      </c>
      <c r="D802" s="36" t="s">
        <v>667</v>
      </c>
      <c r="E802" s="36" t="s">
        <v>734</v>
      </c>
      <c r="F802" s="36">
        <v>1</v>
      </c>
      <c r="G802" s="36">
        <v>1181761</v>
      </c>
      <c r="H802" s="48" t="str">
        <f>IFERROR(INDEX(Table14[],MATCH($G802,Table14[SAPNo],0),3),"")</f>
        <v>Round 1608 CT 155  0.018 (T)</v>
      </c>
      <c r="I802" s="37">
        <v>21</v>
      </c>
      <c r="J802" s="37">
        <f>IF(Table412[[#This Row],[MAT]]&lt;&gt;"",COUNTIF(Table3[LEVEL 5 MAT NO.],Table412[[#This Row],[MAT]]),"")</f>
        <v>0</v>
      </c>
      <c r="K802" s="36">
        <f>IFERROR(INDEX(Table3[],MATCH($E802,Table3[LEVEL 5 MAT NO.],0),2),0)</f>
        <v>0</v>
      </c>
      <c r="L802" s="36">
        <f>Table412[[#This Row],[Quantity in BOM]]*Table412[[#This Row],[Freq]]</f>
        <v>0</v>
      </c>
      <c r="M802" s="36" t="str">
        <f>IF(Table412[[#This Row],[Exist]]=1,Table412[[#This Row],[MAT]],"")</f>
        <v/>
      </c>
      <c r="N802" s="36" t="str">
        <f>IF(Table412[[#This Row],[Exist]]=1,Table412[[#This Row],[Component]],"")</f>
        <v/>
      </c>
      <c r="O802" s="36" t="str">
        <f>IFERROR(VALUE(Table412[[#This Row],[MAT]]&amp;Table412[[#This Row],[X'#]]),IF(COUNTIF(Table412[[#This Row],[MAT]],"*M"),Table412[[#This Row],[MAT]]&amp;Table412[[#This Row],[X'#]],""))</f>
        <v>1212043M1</v>
      </c>
    </row>
    <row r="803" spans="1:15" x14ac:dyDescent="0.25">
      <c r="A803" s="37">
        <f t="shared" si="13"/>
        <v>234</v>
      </c>
      <c r="C803" s="38" t="s">
        <v>631</v>
      </c>
      <c r="D803" s="36" t="s">
        <v>667</v>
      </c>
      <c r="E803" s="36" t="s">
        <v>734</v>
      </c>
      <c r="F803" s="36">
        <v>2</v>
      </c>
      <c r="G803" s="36">
        <v>1039057</v>
      </c>
      <c r="H803" s="48" t="str">
        <f>IFERROR(INDEX(Table14[],MATCH($G803,Table14[SAPNo],0),3),"")</f>
        <v>Round 1608 CT 138  10C (S)</v>
      </c>
      <c r="I803" s="37">
        <v>12</v>
      </c>
      <c r="J803" s="37">
        <f>IF(Table412[[#This Row],[MAT]]&lt;&gt;"",COUNTIF(Table3[LEVEL 5 MAT NO.],Table412[[#This Row],[MAT]]),"")</f>
        <v>0</v>
      </c>
      <c r="K803" s="36">
        <f>IFERROR(INDEX(Table3[],MATCH($E803,Table3[LEVEL 5 MAT NO.],0),2),0)</f>
        <v>0</v>
      </c>
      <c r="L803" s="36">
        <f>Table412[[#This Row],[Quantity in BOM]]*Table412[[#This Row],[Freq]]</f>
        <v>0</v>
      </c>
      <c r="M803" s="36" t="str">
        <f>IF(Table412[[#This Row],[Exist]]=1,Table412[[#This Row],[MAT]],"")</f>
        <v/>
      </c>
      <c r="N803" s="36" t="str">
        <f>IF(Table412[[#This Row],[Exist]]=1,Table412[[#This Row],[Component]],"")</f>
        <v/>
      </c>
      <c r="O803" s="36" t="str">
        <f>IFERROR(VALUE(Table412[[#This Row],[MAT]]&amp;Table412[[#This Row],[X'#]]),IF(COUNTIF(Table412[[#This Row],[MAT]],"*M"),Table412[[#This Row],[MAT]]&amp;Table412[[#This Row],[X'#]],""))</f>
        <v>1212043M2</v>
      </c>
    </row>
    <row r="804" spans="1:15" x14ac:dyDescent="0.25">
      <c r="A804" s="37">
        <f t="shared" si="13"/>
        <v>234</v>
      </c>
      <c r="C804" s="38" t="s">
        <v>631</v>
      </c>
      <c r="D804" s="36" t="s">
        <v>667</v>
      </c>
      <c r="E804" s="36" t="s">
        <v>734</v>
      </c>
      <c r="F804" s="36">
        <v>3</v>
      </c>
      <c r="G804" s="36">
        <v>1039036</v>
      </c>
      <c r="H804" s="48" t="str">
        <f>IFERROR(INDEX(Table14[],MATCH($G804,Table14[SAPNo],0),3),"")</f>
        <v>Round 1313 CT138  0.018" (S)</v>
      </c>
      <c r="I804" s="37">
        <v>7</v>
      </c>
      <c r="J804" s="37">
        <f>IF(Table412[[#This Row],[MAT]]&lt;&gt;"",COUNTIF(Table3[LEVEL 5 MAT NO.],Table412[[#This Row],[MAT]]),"")</f>
        <v>0</v>
      </c>
      <c r="K804" s="36">
        <f>IFERROR(INDEX(Table3[],MATCH($E804,Table3[LEVEL 5 MAT NO.],0),2),0)</f>
        <v>0</v>
      </c>
      <c r="L804" s="36">
        <f>Table412[[#This Row],[Quantity in BOM]]*Table412[[#This Row],[Freq]]</f>
        <v>0</v>
      </c>
      <c r="M804" s="36" t="str">
        <f>IF(Table412[[#This Row],[Exist]]=1,Table412[[#This Row],[MAT]],"")</f>
        <v/>
      </c>
      <c r="N804" s="36" t="str">
        <f>IF(Table412[[#This Row],[Exist]]=1,Table412[[#This Row],[Component]],"")</f>
        <v/>
      </c>
      <c r="O804" s="36" t="str">
        <f>IFERROR(VALUE(Table412[[#This Row],[MAT]]&amp;Table412[[#This Row],[X'#]]),IF(COUNTIF(Table412[[#This Row],[MAT]],"*M"),Table412[[#This Row],[MAT]]&amp;Table412[[#This Row],[X'#]],""))</f>
        <v>1212043M3</v>
      </c>
    </row>
    <row r="805" spans="1:15" x14ac:dyDescent="0.25">
      <c r="A805" s="37">
        <f t="shared" si="13"/>
        <v>234</v>
      </c>
      <c r="C805" s="38" t="s">
        <v>631</v>
      </c>
      <c r="D805" s="36" t="s">
        <v>667</v>
      </c>
      <c r="E805" s="36" t="s">
        <v>734</v>
      </c>
      <c r="F805" s="36">
        <v>4</v>
      </c>
      <c r="G805" s="36">
        <v>1176639</v>
      </c>
      <c r="H805" s="48" t="str">
        <f>IFERROR(INDEX(Table14[],MATCH($G805,Table14[SAPNo],0),3),"")</f>
        <v>Round 1308 CT 155  0.018 (T)</v>
      </c>
      <c r="I805" s="37">
        <v>5</v>
      </c>
      <c r="J805" s="37">
        <f>IF(Table412[[#This Row],[MAT]]&lt;&gt;"",COUNTIF(Table3[LEVEL 5 MAT NO.],Table412[[#This Row],[MAT]]),"")</f>
        <v>0</v>
      </c>
      <c r="K805" s="36">
        <f>IFERROR(INDEX(Table3[],MATCH($E805,Table3[LEVEL 5 MAT NO.],0),2),0)</f>
        <v>0</v>
      </c>
      <c r="L805" s="36">
        <f>Table412[[#This Row],[Quantity in BOM]]*Table412[[#This Row],[Freq]]</f>
        <v>0</v>
      </c>
      <c r="M805" s="36" t="str">
        <f>IF(Table412[[#This Row],[Exist]]=1,Table412[[#This Row],[MAT]],"")</f>
        <v/>
      </c>
      <c r="N805" s="36" t="str">
        <f>IF(Table412[[#This Row],[Exist]]=1,Table412[[#This Row],[Component]],"")</f>
        <v/>
      </c>
      <c r="O805" s="36" t="str">
        <f>IFERROR(VALUE(Table412[[#This Row],[MAT]]&amp;Table412[[#This Row],[X'#]]),IF(COUNTIF(Table412[[#This Row],[MAT]],"*M"),Table412[[#This Row],[MAT]]&amp;Table412[[#This Row],[X'#]],""))</f>
        <v>1212043M4</v>
      </c>
    </row>
    <row r="806" spans="1:15" x14ac:dyDescent="0.25">
      <c r="A806" s="37">
        <f t="shared" si="13"/>
        <v>234</v>
      </c>
      <c r="C806" s="38" t="s">
        <v>631</v>
      </c>
      <c r="D806" s="36" t="s">
        <v>667</v>
      </c>
      <c r="E806" s="36" t="s">
        <v>734</v>
      </c>
      <c r="F806" s="36">
        <v>5</v>
      </c>
      <c r="G806" s="36">
        <v>1176641</v>
      </c>
      <c r="H806" s="48" t="str">
        <f>IFERROR(INDEX(Table14[],MATCH($G806,Table14[SAPNo],0),3),"")</f>
        <v>1613 CT155 0.018</v>
      </c>
      <c r="I806" s="37">
        <v>2</v>
      </c>
      <c r="J806" s="37">
        <f>IF(Table412[[#This Row],[MAT]]&lt;&gt;"",COUNTIF(Table3[LEVEL 5 MAT NO.],Table412[[#This Row],[MAT]]),"")</f>
        <v>0</v>
      </c>
      <c r="K806" s="36">
        <f>IFERROR(INDEX(Table3[],MATCH($E806,Table3[LEVEL 5 MAT NO.],0),2),0)</f>
        <v>0</v>
      </c>
      <c r="L806" s="36">
        <f>Table412[[#This Row],[Quantity in BOM]]*Table412[[#This Row],[Freq]]</f>
        <v>0</v>
      </c>
      <c r="M806" s="36" t="str">
        <f>IF(Table412[[#This Row],[Exist]]=1,Table412[[#This Row],[MAT]],"")</f>
        <v/>
      </c>
      <c r="N806" s="36" t="str">
        <f>IF(Table412[[#This Row],[Exist]]=1,Table412[[#This Row],[Component]],"")</f>
        <v/>
      </c>
      <c r="O806" s="36" t="str">
        <f>IFERROR(VALUE(Table412[[#This Row],[MAT]]&amp;Table412[[#This Row],[X'#]]),IF(COUNTIF(Table412[[#This Row],[MAT]],"*M"),Table412[[#This Row],[MAT]]&amp;Table412[[#This Row],[X'#]],""))</f>
        <v>1212043M5</v>
      </c>
    </row>
    <row r="807" spans="1:15" x14ac:dyDescent="0.25">
      <c r="A807" s="37">
        <f t="shared" si="13"/>
        <v>234</v>
      </c>
      <c r="C807" s="38" t="s">
        <v>631</v>
      </c>
      <c r="D807" s="36" t="s">
        <v>667</v>
      </c>
      <c r="E807" s="36" t="s">
        <v>734</v>
      </c>
      <c r="F807" s="36">
        <v>6</v>
      </c>
      <c r="G807" s="36">
        <v>418525</v>
      </c>
      <c r="H807" s="48" t="str">
        <f>IFERROR(INDEX(Table14[],MATCH($G807,Table14[SAPNo],0),3),"")</f>
        <v>Drop In 1308 CT31   (B)</v>
      </c>
      <c r="I807" s="37">
        <v>4</v>
      </c>
      <c r="J807" s="37">
        <f>IF(Table412[[#This Row],[MAT]]&lt;&gt;"",COUNTIF(Table3[LEVEL 5 MAT NO.],Table412[[#This Row],[MAT]]),"")</f>
        <v>0</v>
      </c>
      <c r="K807" s="36">
        <f>IFERROR(INDEX(Table3[],MATCH($E807,Table3[LEVEL 5 MAT NO.],0),2),0)</f>
        <v>0</v>
      </c>
      <c r="L807" s="36">
        <f>Table412[[#This Row],[Quantity in BOM]]*Table412[[#This Row],[Freq]]</f>
        <v>0</v>
      </c>
      <c r="M807" s="36" t="str">
        <f>IF(Table412[[#This Row],[Exist]]=1,Table412[[#This Row],[MAT]],"")</f>
        <v/>
      </c>
      <c r="N807" s="36" t="str">
        <f>IF(Table412[[#This Row],[Exist]]=1,Table412[[#This Row],[Component]],"")</f>
        <v/>
      </c>
      <c r="O807" s="36" t="str">
        <f>IFERROR(VALUE(Table412[[#This Row],[MAT]]&amp;Table412[[#This Row],[X'#]]),IF(COUNTIF(Table412[[#This Row],[MAT]],"*M"),Table412[[#This Row],[MAT]]&amp;Table412[[#This Row],[X'#]],""))</f>
        <v>1212043M6</v>
      </c>
    </row>
    <row r="808" spans="1:15" x14ac:dyDescent="0.25">
      <c r="A808" s="37">
        <f t="shared" si="13"/>
        <v>234</v>
      </c>
      <c r="C808" s="36" t="s">
        <v>631</v>
      </c>
      <c r="D808" s="36" t="s">
        <v>667</v>
      </c>
      <c r="E808" s="36" t="s">
        <v>734</v>
      </c>
      <c r="F808" s="36">
        <v>7</v>
      </c>
      <c r="G808" s="36">
        <v>871781</v>
      </c>
      <c r="H808" s="48" t="str">
        <f>IFERROR(INDEX(Table14[],MATCH($G808,Table14[SAPNo],0),3),"")</f>
        <v>Round 1313 CT200  0.018" (B)</v>
      </c>
      <c r="I808" s="37">
        <v>3</v>
      </c>
      <c r="J808" s="37">
        <f>IF(Table412[[#This Row],[MAT]]&lt;&gt;"",COUNTIF(Table3[LEVEL 5 MAT NO.],Table412[[#This Row],[MAT]]),"")</f>
        <v>0</v>
      </c>
      <c r="K808" s="36">
        <f>IFERROR(INDEX(Table3[],MATCH($E808,Table3[LEVEL 5 MAT NO.],0),2),0)</f>
        <v>0</v>
      </c>
      <c r="L808" s="36">
        <f>Table412[[#This Row],[Quantity in BOM]]*Table412[[#This Row],[Freq]]</f>
        <v>0</v>
      </c>
      <c r="M808" s="36" t="str">
        <f>IF(Table412[[#This Row],[Exist]]=1,Table412[[#This Row],[MAT]],"")</f>
        <v/>
      </c>
      <c r="N808" s="36" t="str">
        <f>IF(Table412[[#This Row],[Exist]]=1,Table412[[#This Row],[Component]],"")</f>
        <v/>
      </c>
      <c r="O808" s="36" t="str">
        <f>IFERROR(VALUE(Table412[[#This Row],[MAT]]&amp;Table412[[#This Row],[X'#]]),IF(COUNTIF(Table412[[#This Row],[MAT]],"*M"),Table412[[#This Row],[MAT]]&amp;Table412[[#This Row],[X'#]],""))</f>
        <v>1212043M7</v>
      </c>
    </row>
    <row r="809" spans="1:15" x14ac:dyDescent="0.25">
      <c r="A809" s="37">
        <f t="shared" si="13"/>
        <v>234</v>
      </c>
      <c r="C809" s="36" t="s">
        <v>631</v>
      </c>
      <c r="D809" s="36" t="s">
        <v>667</v>
      </c>
      <c r="E809" s="36" t="s">
        <v>734</v>
      </c>
      <c r="F809" s="36">
        <v>8</v>
      </c>
      <c r="G809" s="36">
        <v>1039060</v>
      </c>
      <c r="H809" s="48" t="str">
        <f>IFERROR(INDEX(Table14[],MATCH($G809,Table14[SAPNo],0),3),"")</f>
        <v>Round 1613 CT138  0.018" (S)</v>
      </c>
      <c r="I809" s="37">
        <v>1</v>
      </c>
      <c r="J809" s="37">
        <f>IF(Table412[[#This Row],[MAT]]&lt;&gt;"",COUNTIF(Table3[LEVEL 5 MAT NO.],Table412[[#This Row],[MAT]]),"")</f>
        <v>0</v>
      </c>
      <c r="K809" s="36">
        <f>IFERROR(INDEX(Table3[],MATCH($E809,Table3[LEVEL 5 MAT NO.],0),2),0)</f>
        <v>0</v>
      </c>
      <c r="L809" s="36">
        <f>Table412[[#This Row],[Quantity in BOM]]*Table412[[#This Row],[Freq]]</f>
        <v>0</v>
      </c>
      <c r="M809" s="36" t="str">
        <f>IF(Table412[[#This Row],[Exist]]=1,Table412[[#This Row],[MAT]],"")</f>
        <v/>
      </c>
      <c r="N809" s="36" t="str">
        <f>IF(Table412[[#This Row],[Exist]]=1,Table412[[#This Row],[Component]],"")</f>
        <v/>
      </c>
      <c r="O809" s="36" t="str">
        <f>IFERROR(VALUE(Table412[[#This Row],[MAT]]&amp;Table412[[#This Row],[X'#]]),IF(COUNTIF(Table412[[#This Row],[MAT]],"*M"),Table412[[#This Row],[MAT]]&amp;Table412[[#This Row],[X'#]],""))</f>
        <v>1212043M8</v>
      </c>
    </row>
    <row r="810" spans="1:15" x14ac:dyDescent="0.25">
      <c r="A810" s="37">
        <f t="shared" si="13"/>
        <v>234</v>
      </c>
      <c r="C810" s="36" t="s">
        <v>631</v>
      </c>
      <c r="D810" s="36" t="s">
        <v>667</v>
      </c>
      <c r="E810" s="36" t="s">
        <v>734</v>
      </c>
      <c r="F810" s="36">
        <v>9</v>
      </c>
      <c r="G810" s="36">
        <v>1162511</v>
      </c>
      <c r="H810" s="48" t="str">
        <f>IFERROR(INDEX(Table14[],MATCH($G810,Table14[SAPNo],0),3),"")</f>
        <v>Round 1613 CR45  0.018" (T)</v>
      </c>
      <c r="I810" s="37">
        <v>3</v>
      </c>
      <c r="J810" s="37">
        <f>IF(Table412[[#This Row],[MAT]]&lt;&gt;"",COUNTIF(Table3[LEVEL 5 MAT NO.],Table412[[#This Row],[MAT]]),"")</f>
        <v>0</v>
      </c>
      <c r="K810" s="36">
        <f>IFERROR(INDEX(Table3[],MATCH($E810,Table3[LEVEL 5 MAT NO.],0),2),0)</f>
        <v>0</v>
      </c>
      <c r="L810" s="36">
        <f>Table412[[#This Row],[Quantity in BOM]]*Table412[[#This Row],[Freq]]</f>
        <v>0</v>
      </c>
      <c r="M810" s="36" t="str">
        <f>IF(Table412[[#This Row],[Exist]]=1,Table412[[#This Row],[MAT]],"")</f>
        <v/>
      </c>
      <c r="N810" s="36" t="str">
        <f>IF(Table412[[#This Row],[Exist]]=1,Table412[[#This Row],[Component]],"")</f>
        <v/>
      </c>
      <c r="O810" s="36" t="str">
        <f>IFERROR(VALUE(Table412[[#This Row],[MAT]]&amp;Table412[[#This Row],[X'#]]),IF(COUNTIF(Table412[[#This Row],[MAT]],"*M"),Table412[[#This Row],[MAT]]&amp;Table412[[#This Row],[X'#]],""))</f>
        <v>1212043M9</v>
      </c>
    </row>
    <row r="811" spans="1:15" x14ac:dyDescent="0.25">
      <c r="A811" s="37">
        <f t="shared" si="13"/>
        <v>234</v>
      </c>
      <c r="C811" s="36" t="s">
        <v>637</v>
      </c>
      <c r="D811" s="36" t="s">
        <v>746</v>
      </c>
      <c r="E811" s="36" t="s">
        <v>745</v>
      </c>
      <c r="F811" s="36">
        <v>1</v>
      </c>
      <c r="G811" s="36">
        <v>1130198</v>
      </c>
      <c r="H811" s="48" t="str">
        <f>IFERROR(INDEX(Table14[],MATCH($G811,Table14[SAPNo],0),3),"")</f>
        <v>Round 1613 CT182  0.018" (S)</v>
      </c>
      <c r="I811" s="37">
        <v>30</v>
      </c>
      <c r="J811" s="37">
        <f>IF(Table412[[#This Row],[MAT]]&lt;&gt;"",COUNTIF(Table3[LEVEL 5 MAT NO.],Table412[[#This Row],[MAT]]),"")</f>
        <v>0</v>
      </c>
      <c r="K811" s="36">
        <f>IFERROR(INDEX(Table3[],MATCH($E811,Table3[LEVEL 5 MAT NO.],0),2),0)</f>
        <v>0</v>
      </c>
      <c r="L811" s="36">
        <f>Table412[[#This Row],[Quantity in BOM]]*Table412[[#This Row],[Freq]]</f>
        <v>0</v>
      </c>
      <c r="M811" s="36" t="str">
        <f>IF(Table412[[#This Row],[Exist]]=1,Table412[[#This Row],[MAT]],"")</f>
        <v/>
      </c>
      <c r="N811" s="36" t="str">
        <f>IF(Table412[[#This Row],[Exist]]=1,Table412[[#This Row],[Component]],"")</f>
        <v/>
      </c>
      <c r="O811" s="36" t="str">
        <f>IFERROR(VALUE(Table412[[#This Row],[MAT]]&amp;Table412[[#This Row],[X'#]]),IF(COUNTIF(Table412[[#This Row],[MAT]],"*M"),Table412[[#This Row],[MAT]]&amp;Table412[[#This Row],[X'#]],""))</f>
        <v>1220553M1</v>
      </c>
    </row>
    <row r="812" spans="1:15" x14ac:dyDescent="0.25">
      <c r="A812" s="37">
        <f t="shared" si="13"/>
        <v>234</v>
      </c>
      <c r="C812" s="36" t="s">
        <v>637</v>
      </c>
      <c r="D812" s="36" t="s">
        <v>746</v>
      </c>
      <c r="E812" s="36" t="s">
        <v>745</v>
      </c>
      <c r="F812" s="36">
        <v>2</v>
      </c>
      <c r="G812" s="36">
        <v>647436</v>
      </c>
      <c r="H812" s="48" t="str">
        <f>IFERROR(INDEX(Table14[],MATCH($G812,Table14[SAPNo],0),3),"")</f>
        <v>Round 1613 CT200  0.018" (B)</v>
      </c>
      <c r="I812" s="37">
        <v>8</v>
      </c>
      <c r="J812" s="37">
        <f>IF(Table412[[#This Row],[MAT]]&lt;&gt;"",COUNTIF(Table3[LEVEL 5 MAT NO.],Table412[[#This Row],[MAT]]),"")</f>
        <v>0</v>
      </c>
      <c r="K812" s="36">
        <f>IFERROR(INDEX(Table3[],MATCH($E812,Table3[LEVEL 5 MAT NO.],0),2),0)</f>
        <v>0</v>
      </c>
      <c r="L812" s="36">
        <f>Table412[[#This Row],[Quantity in BOM]]*Table412[[#This Row],[Freq]]</f>
        <v>0</v>
      </c>
      <c r="M812" s="36" t="str">
        <f>IF(Table412[[#This Row],[Exist]]=1,Table412[[#This Row],[MAT]],"")</f>
        <v/>
      </c>
      <c r="N812" s="36" t="str">
        <f>IF(Table412[[#This Row],[Exist]]=1,Table412[[#This Row],[Component]],"")</f>
        <v/>
      </c>
      <c r="O812" s="36" t="str">
        <f>IFERROR(VALUE(Table412[[#This Row],[MAT]]&amp;Table412[[#This Row],[X'#]]),IF(COUNTIF(Table412[[#This Row],[MAT]],"*M"),Table412[[#This Row],[MAT]]&amp;Table412[[#This Row],[X'#]],""))</f>
        <v>1220553M2</v>
      </c>
    </row>
    <row r="813" spans="1:15" x14ac:dyDescent="0.25">
      <c r="A813" s="37">
        <f t="shared" si="13"/>
        <v>234</v>
      </c>
      <c r="C813" s="36" t="s">
        <v>637</v>
      </c>
      <c r="D813" s="36" t="s">
        <v>746</v>
      </c>
      <c r="E813" s="36" t="s">
        <v>745</v>
      </c>
      <c r="F813" s="36">
        <v>3</v>
      </c>
      <c r="G813" s="36">
        <v>649901</v>
      </c>
      <c r="H813" s="48" t="str">
        <f>IFERROR(INDEX(Table14[],MATCH($G813,Table14[SAPNo],0),3),"")</f>
        <v>Carbide IA 8    (C)</v>
      </c>
      <c r="I813" s="37">
        <v>5</v>
      </c>
      <c r="J813" s="37">
        <f>IF(Table412[[#This Row],[MAT]]&lt;&gt;"",COUNTIF(Table3[LEVEL 5 MAT NO.],Table412[[#This Row],[MAT]]),"")</f>
        <v>0</v>
      </c>
      <c r="K813" s="36">
        <f>IFERROR(INDEX(Table3[],MATCH($E813,Table3[LEVEL 5 MAT NO.],0),2),0)</f>
        <v>0</v>
      </c>
      <c r="L813" s="36">
        <f>Table412[[#This Row],[Quantity in BOM]]*Table412[[#This Row],[Freq]]</f>
        <v>0</v>
      </c>
      <c r="M813" s="36" t="str">
        <f>IF(Table412[[#This Row],[Exist]]=1,Table412[[#This Row],[MAT]],"")</f>
        <v/>
      </c>
      <c r="N813" s="36" t="str">
        <f>IF(Table412[[#This Row],[Exist]]=1,Table412[[#This Row],[Component]],"")</f>
        <v/>
      </c>
      <c r="O813" s="36" t="str">
        <f>IFERROR(VALUE(Table412[[#This Row],[MAT]]&amp;Table412[[#This Row],[X'#]]),IF(COUNTIF(Table412[[#This Row],[MAT]],"*M"),Table412[[#This Row],[MAT]]&amp;Table412[[#This Row],[X'#]],""))</f>
        <v>1220553M3</v>
      </c>
    </row>
    <row r="814" spans="1:15" x14ac:dyDescent="0.25">
      <c r="A814" s="37">
        <f t="shared" si="13"/>
        <v>234</v>
      </c>
      <c r="C814" s="36" t="s">
        <v>637</v>
      </c>
      <c r="D814" s="36" t="s">
        <v>746</v>
      </c>
      <c r="E814" s="36" t="s">
        <v>745</v>
      </c>
      <c r="F814" s="36">
        <v>4</v>
      </c>
      <c r="G814" s="36">
        <v>871781</v>
      </c>
      <c r="H814" s="48" t="str">
        <f>IFERROR(INDEX(Table14[],MATCH($G814,Table14[SAPNo],0),3),"")</f>
        <v>Round 1313 CT200  0.018" (B)</v>
      </c>
      <c r="I814" s="37">
        <v>5</v>
      </c>
      <c r="J814" s="37">
        <f>IF(Table412[[#This Row],[MAT]]&lt;&gt;"",COUNTIF(Table3[LEVEL 5 MAT NO.],Table412[[#This Row],[MAT]]),"")</f>
        <v>0</v>
      </c>
      <c r="K814" s="36">
        <f>IFERROR(INDEX(Table3[],MATCH($E814,Table3[LEVEL 5 MAT NO.],0),2),0)</f>
        <v>0</v>
      </c>
      <c r="L814" s="36">
        <f>Table412[[#This Row],[Quantity in BOM]]*Table412[[#This Row],[Freq]]</f>
        <v>0</v>
      </c>
      <c r="M814" s="36" t="str">
        <f>IF(Table412[[#This Row],[Exist]]=1,Table412[[#This Row],[MAT]],"")</f>
        <v/>
      </c>
      <c r="N814" s="36" t="str">
        <f>IF(Table412[[#This Row],[Exist]]=1,Table412[[#This Row],[Component]],"")</f>
        <v/>
      </c>
      <c r="O814" s="36" t="str">
        <f>IFERROR(VALUE(Table412[[#This Row],[MAT]]&amp;Table412[[#This Row],[X'#]]),IF(COUNTIF(Table412[[#This Row],[MAT]],"*M"),Table412[[#This Row],[MAT]]&amp;Table412[[#This Row],[X'#]],""))</f>
        <v>1220553M4</v>
      </c>
    </row>
    <row r="815" spans="1:15" x14ac:dyDescent="0.25">
      <c r="A815" s="37">
        <f t="shared" si="13"/>
        <v>234</v>
      </c>
      <c r="C815" s="36" t="s">
        <v>309</v>
      </c>
      <c r="D815" s="36" t="s">
        <v>679</v>
      </c>
      <c r="E815" s="36">
        <v>1233276</v>
      </c>
      <c r="F815" s="36">
        <v>1</v>
      </c>
      <c r="G815" s="36">
        <v>1145493</v>
      </c>
      <c r="H815" s="48" t="str">
        <f>IFERROR(INDEX(Table14[],MATCH($G815,Table14[SAPNo],0),3),"")</f>
        <v>Round 1313 CT427  10C (S)</v>
      </c>
      <c r="I815" s="37">
        <v>16</v>
      </c>
      <c r="J815" s="37">
        <f>IF(Table412[[#This Row],[MAT]]&lt;&gt;"",COUNTIF(Table3[LEVEL 5 MAT NO.],Table412[[#This Row],[MAT]]),"")</f>
        <v>0</v>
      </c>
      <c r="K815" s="36">
        <f>IFERROR(INDEX(Table3[],MATCH($E815,Table3[LEVEL 5 MAT NO.],0),2),0)</f>
        <v>0</v>
      </c>
      <c r="L815" s="36">
        <f>Table412[[#This Row],[Quantity in BOM]]*Table412[[#This Row],[Freq]]</f>
        <v>0</v>
      </c>
      <c r="M815" s="36" t="str">
        <f>IF(Table412[[#This Row],[Exist]]=1,Table412[[#This Row],[MAT]],"")</f>
        <v/>
      </c>
      <c r="N815" s="36" t="str">
        <f>IF(Table412[[#This Row],[Exist]]=1,Table412[[#This Row],[Component]],"")</f>
        <v/>
      </c>
      <c r="O815" s="36">
        <f>IFERROR(VALUE(Table412[[#This Row],[MAT]]&amp;Table412[[#This Row],[X'#]]),IF(COUNTIF(Table412[[#This Row],[MAT]],"*M"),Table412[[#This Row],[MAT]]&amp;Table412[[#This Row],[X'#]],""))</f>
        <v>12332761</v>
      </c>
    </row>
    <row r="816" spans="1:15" x14ac:dyDescent="0.25">
      <c r="A816" s="37">
        <f t="shared" si="13"/>
        <v>234</v>
      </c>
      <c r="C816" s="38" t="s">
        <v>309</v>
      </c>
      <c r="D816" s="36" t="s">
        <v>679</v>
      </c>
      <c r="E816" s="36">
        <v>1233276</v>
      </c>
      <c r="F816" s="36">
        <v>2</v>
      </c>
      <c r="G816" s="36">
        <v>418525</v>
      </c>
      <c r="H816" s="48" t="str">
        <f>IFERROR(INDEX(Table14[],MATCH($G816,Table14[SAPNo],0),3),"")</f>
        <v>Drop In 1308 CT31   (B)</v>
      </c>
      <c r="I816" s="37">
        <v>10</v>
      </c>
      <c r="J816" s="37">
        <f>IF(Table412[[#This Row],[MAT]]&lt;&gt;"",COUNTIF(Table3[LEVEL 5 MAT NO.],Table412[[#This Row],[MAT]]),"")</f>
        <v>0</v>
      </c>
      <c r="K816" s="36">
        <f>IFERROR(INDEX(Table3[],MATCH($E816,Table3[LEVEL 5 MAT NO.],0),2),0)</f>
        <v>0</v>
      </c>
      <c r="L816" s="36">
        <f>Table412[[#This Row],[Quantity in BOM]]*Table412[[#This Row],[Freq]]</f>
        <v>0</v>
      </c>
      <c r="M816" s="36" t="str">
        <f>IF(Table412[[#This Row],[Exist]]=1,Table412[[#This Row],[MAT]],"")</f>
        <v/>
      </c>
      <c r="N816" s="36" t="str">
        <f>IF(Table412[[#This Row],[Exist]]=1,Table412[[#This Row],[Component]],"")</f>
        <v/>
      </c>
      <c r="O816" s="36">
        <f>IFERROR(VALUE(Table412[[#This Row],[MAT]]&amp;Table412[[#This Row],[X'#]]),IF(COUNTIF(Table412[[#This Row],[MAT]],"*M"),Table412[[#This Row],[MAT]]&amp;Table412[[#This Row],[X'#]],""))</f>
        <v>12332762</v>
      </c>
    </row>
    <row r="817" spans="1:15" x14ac:dyDescent="0.25">
      <c r="A817" s="37">
        <f t="shared" si="13"/>
        <v>234</v>
      </c>
      <c r="C817" s="38" t="s">
        <v>309</v>
      </c>
      <c r="D817" s="36" t="s">
        <v>679</v>
      </c>
      <c r="E817" s="36">
        <v>1233276</v>
      </c>
      <c r="F817" s="36">
        <v>3</v>
      </c>
      <c r="G817" s="36">
        <v>1209332</v>
      </c>
      <c r="H817" s="48" t="str">
        <f>IFERROR(INDEX(Table14[],MATCH($G817,Table14[SAPNo],0),3),"")</f>
        <v>1313 CT147G U</v>
      </c>
      <c r="I817" s="37">
        <v>7</v>
      </c>
      <c r="J817" s="37">
        <f>IF(Table412[[#This Row],[MAT]]&lt;&gt;"",COUNTIF(Table3[LEVEL 5 MAT NO.],Table412[[#This Row],[MAT]]),"")</f>
        <v>0</v>
      </c>
      <c r="K817" s="36">
        <f>IFERROR(INDEX(Table3[],MATCH($E817,Table3[LEVEL 5 MAT NO.],0),2),0)</f>
        <v>0</v>
      </c>
      <c r="L817" s="36">
        <f>Table412[[#This Row],[Quantity in BOM]]*Table412[[#This Row],[Freq]]</f>
        <v>0</v>
      </c>
      <c r="M817" s="36" t="str">
        <f>IF(Table412[[#This Row],[Exist]]=1,Table412[[#This Row],[MAT]],"")</f>
        <v/>
      </c>
      <c r="N817" s="36" t="str">
        <f>IF(Table412[[#This Row],[Exist]]=1,Table412[[#This Row],[Component]],"")</f>
        <v/>
      </c>
      <c r="O817" s="36">
        <f>IFERROR(VALUE(Table412[[#This Row],[MAT]]&amp;Table412[[#This Row],[X'#]]),IF(COUNTIF(Table412[[#This Row],[MAT]],"*M"),Table412[[#This Row],[MAT]]&amp;Table412[[#This Row],[X'#]],""))</f>
        <v>12332763</v>
      </c>
    </row>
    <row r="818" spans="1:15" x14ac:dyDescent="0.25">
      <c r="A818" s="37">
        <f t="shared" si="13"/>
        <v>234</v>
      </c>
      <c r="C818" s="38" t="s">
        <v>624</v>
      </c>
      <c r="D818" s="36" t="s">
        <v>640</v>
      </c>
      <c r="E818" s="36" t="s">
        <v>3716</v>
      </c>
      <c r="F818" s="36">
        <v>1</v>
      </c>
      <c r="G818" s="36">
        <v>1100741</v>
      </c>
      <c r="H818" s="48" t="str">
        <f>IFERROR(INDEX(Table14[],MATCH($G818,Table14[SAPNo],0),3),"")</f>
        <v>Round 1613 CT418  0.018" (S)</v>
      </c>
      <c r="I818" s="37">
        <v>19</v>
      </c>
      <c r="J818" s="37">
        <f>IF(Table412[[#This Row],[MAT]]&lt;&gt;"",COUNTIF(Table3[LEVEL 5 MAT NO.],Table412[[#This Row],[MAT]]),"")</f>
        <v>0</v>
      </c>
      <c r="K818" s="36">
        <f>IFERROR(INDEX(Table3[],MATCH($E818,Table3[LEVEL 5 MAT NO.],0),2),0)</f>
        <v>0</v>
      </c>
      <c r="L818" s="36">
        <f>Table412[[#This Row],[Quantity in BOM]]*Table412[[#This Row],[Freq]]</f>
        <v>0</v>
      </c>
      <c r="M818" s="36" t="str">
        <f>IF(Table412[[#This Row],[Exist]]=1,Table412[[#This Row],[MAT]],"")</f>
        <v/>
      </c>
      <c r="N818" s="36" t="str">
        <f>IF(Table412[[#This Row],[Exist]]=1,Table412[[#This Row],[Component]],"")</f>
        <v/>
      </c>
      <c r="O818" s="36" t="str">
        <f>IFERROR(VALUE(Table412[[#This Row],[MAT]]&amp;Table412[[#This Row],[X'#]]),IF(COUNTIF(Table412[[#This Row],[MAT]],"*M"),Table412[[#This Row],[MAT]]&amp;Table412[[#This Row],[X'#]],""))</f>
        <v>1240803M1</v>
      </c>
    </row>
    <row r="819" spans="1:15" x14ac:dyDescent="0.25">
      <c r="A819" s="37">
        <f t="shared" si="13"/>
        <v>234</v>
      </c>
      <c r="C819" s="38" t="s">
        <v>624</v>
      </c>
      <c r="D819" s="36" t="s">
        <v>640</v>
      </c>
      <c r="E819" s="36" t="s">
        <v>3716</v>
      </c>
      <c r="F819" s="36">
        <v>2</v>
      </c>
      <c r="G819" s="36">
        <v>1209333</v>
      </c>
      <c r="H819" s="48" t="str">
        <f>IFERROR(INDEX(Table14[],MATCH($G819,Table14[SAPNo],0),3),"")</f>
        <v>1613 CT147G U</v>
      </c>
      <c r="I819" s="37">
        <v>12</v>
      </c>
      <c r="J819" s="37">
        <f>IF(Table412[[#This Row],[MAT]]&lt;&gt;"",COUNTIF(Table3[LEVEL 5 MAT NO.],Table412[[#This Row],[MAT]]),"")</f>
        <v>0</v>
      </c>
      <c r="K819" s="36">
        <f>IFERROR(INDEX(Table3[],MATCH($E819,Table3[LEVEL 5 MAT NO.],0),2),0)</f>
        <v>0</v>
      </c>
      <c r="L819" s="36">
        <f>Table412[[#This Row],[Quantity in BOM]]*Table412[[#This Row],[Freq]]</f>
        <v>0</v>
      </c>
      <c r="M819" s="36" t="str">
        <f>IF(Table412[[#This Row],[Exist]]=1,Table412[[#This Row],[MAT]],"")</f>
        <v/>
      </c>
      <c r="N819" s="36" t="str">
        <f>IF(Table412[[#This Row],[Exist]]=1,Table412[[#This Row],[Component]],"")</f>
        <v/>
      </c>
      <c r="O819" s="36" t="str">
        <f>IFERROR(VALUE(Table412[[#This Row],[MAT]]&amp;Table412[[#This Row],[X'#]]),IF(COUNTIF(Table412[[#This Row],[MAT]],"*M"),Table412[[#This Row],[MAT]]&amp;Table412[[#This Row],[X'#]],""))</f>
        <v>1240803M2</v>
      </c>
    </row>
    <row r="820" spans="1:15" x14ac:dyDescent="0.25">
      <c r="A820" s="37">
        <f t="shared" si="13"/>
        <v>234</v>
      </c>
      <c r="C820" s="38" t="s">
        <v>624</v>
      </c>
      <c r="D820" s="36" t="s">
        <v>640</v>
      </c>
      <c r="E820" s="36" t="s">
        <v>3716</v>
      </c>
      <c r="F820" s="36">
        <v>3</v>
      </c>
      <c r="G820" s="36">
        <v>418525</v>
      </c>
      <c r="H820" s="48" t="str">
        <f>IFERROR(INDEX(Table14[],MATCH($G820,Table14[SAPNo],0),3),"")</f>
        <v>Drop In 1308 CT31   (B)</v>
      </c>
      <c r="I820" s="37">
        <v>6</v>
      </c>
      <c r="J820" s="37">
        <f>IF(Table412[[#This Row],[MAT]]&lt;&gt;"",COUNTIF(Table3[LEVEL 5 MAT NO.],Table412[[#This Row],[MAT]]),"")</f>
        <v>0</v>
      </c>
      <c r="K820" s="36">
        <f>IFERROR(INDEX(Table3[],MATCH($E820,Table3[LEVEL 5 MAT NO.],0),2),0)</f>
        <v>0</v>
      </c>
      <c r="L820" s="36">
        <f>Table412[[#This Row],[Quantity in BOM]]*Table412[[#This Row],[Freq]]</f>
        <v>0</v>
      </c>
      <c r="M820" s="36" t="str">
        <f>IF(Table412[[#This Row],[Exist]]=1,Table412[[#This Row],[MAT]],"")</f>
        <v/>
      </c>
      <c r="N820" s="36" t="str">
        <f>IF(Table412[[#This Row],[Exist]]=1,Table412[[#This Row],[Component]],"")</f>
        <v/>
      </c>
      <c r="O820" s="36" t="str">
        <f>IFERROR(VALUE(Table412[[#This Row],[MAT]]&amp;Table412[[#This Row],[X'#]]),IF(COUNTIF(Table412[[#This Row],[MAT]],"*M"),Table412[[#This Row],[MAT]]&amp;Table412[[#This Row],[X'#]],""))</f>
        <v>1240803M3</v>
      </c>
    </row>
    <row r="821" spans="1:15" x14ac:dyDescent="0.25">
      <c r="A821" s="37">
        <f t="shared" si="13"/>
        <v>234</v>
      </c>
      <c r="C821" s="38" t="s">
        <v>624</v>
      </c>
      <c r="D821" s="36" t="s">
        <v>640</v>
      </c>
      <c r="E821" s="36" t="s">
        <v>3716</v>
      </c>
      <c r="F821" s="36">
        <v>4</v>
      </c>
      <c r="G821" s="36">
        <v>625854</v>
      </c>
      <c r="H821" s="48" t="str">
        <f>IFERROR(INDEX(Table14[],MATCH($G821,Table14[SAPNo],0),3),"")</f>
        <v>Carbide IA 1318    (C)</v>
      </c>
      <c r="I821" s="37">
        <v>6</v>
      </c>
      <c r="J821" s="37">
        <f>IF(Table412[[#This Row],[MAT]]&lt;&gt;"",COUNTIF(Table3[LEVEL 5 MAT NO.],Table412[[#This Row],[MAT]]),"")</f>
        <v>0</v>
      </c>
      <c r="K821" s="36">
        <f>IFERROR(INDEX(Table3[],MATCH($E821,Table3[LEVEL 5 MAT NO.],0),2),0)</f>
        <v>0</v>
      </c>
      <c r="L821" s="36">
        <f>Table412[[#This Row],[Quantity in BOM]]*Table412[[#This Row],[Freq]]</f>
        <v>0</v>
      </c>
      <c r="M821" s="36" t="str">
        <f>IF(Table412[[#This Row],[Exist]]=1,Table412[[#This Row],[MAT]],"")</f>
        <v/>
      </c>
      <c r="N821" s="36" t="str">
        <f>IF(Table412[[#This Row],[Exist]]=1,Table412[[#This Row],[Component]],"")</f>
        <v/>
      </c>
      <c r="O821" s="36" t="str">
        <f>IFERROR(VALUE(Table412[[#This Row],[MAT]]&amp;Table412[[#This Row],[X'#]]),IF(COUNTIF(Table412[[#This Row],[MAT]],"*M"),Table412[[#This Row],[MAT]]&amp;Table412[[#This Row],[X'#]],""))</f>
        <v>1240803M4</v>
      </c>
    </row>
    <row r="822" spans="1:15" x14ac:dyDescent="0.25">
      <c r="A822" s="37">
        <f t="shared" si="13"/>
        <v>234</v>
      </c>
      <c r="C822" s="19">
        <v>16</v>
      </c>
      <c r="D822" s="36" t="s">
        <v>766</v>
      </c>
      <c r="E822" s="36" t="s">
        <v>774</v>
      </c>
      <c r="F822" s="36">
        <v>1</v>
      </c>
      <c r="G822" s="36">
        <v>1130198</v>
      </c>
      <c r="H822" s="48" t="str">
        <f>IFERROR(INDEX(Table14[],MATCH($G822,Table14[SAPNo],0),3),"")</f>
        <v>Round 1613 CT182  0.018" (S)</v>
      </c>
      <c r="I822" s="37">
        <v>56</v>
      </c>
      <c r="J822" s="37">
        <f>IF(Table412[[#This Row],[MAT]]&lt;&gt;"",COUNTIF(Table3[LEVEL 5 MAT NO.],Table412[[#This Row],[MAT]]),"")</f>
        <v>0</v>
      </c>
      <c r="K822" s="36">
        <f>IFERROR(INDEX(Table3[],MATCH($E822,Table3[LEVEL 5 MAT NO.],0),2),0)</f>
        <v>0</v>
      </c>
      <c r="L822" s="36">
        <f>Table412[[#This Row],[Quantity in BOM]]*Table412[[#This Row],[Freq]]</f>
        <v>0</v>
      </c>
      <c r="M822" s="36" t="str">
        <f>IF(Table412[[#This Row],[Exist]]=1,Table412[[#This Row],[MAT]],"")</f>
        <v/>
      </c>
      <c r="N822" s="36" t="str">
        <f>IF(Table412[[#This Row],[Exist]]=1,Table412[[#This Row],[Component]],"")</f>
        <v/>
      </c>
      <c r="O822" s="36" t="str">
        <f>IFERROR(VALUE(Table412[[#This Row],[MAT]]&amp;Table412[[#This Row],[X'#]]),IF(COUNTIF(Table412[[#This Row],[MAT]],"*M"),Table412[[#This Row],[MAT]]&amp;Table412[[#This Row],[X'#]],""))</f>
        <v>903299M1</v>
      </c>
    </row>
    <row r="823" spans="1:15" x14ac:dyDescent="0.25">
      <c r="A823" s="37">
        <f t="shared" si="13"/>
        <v>234</v>
      </c>
      <c r="C823" s="19">
        <v>16</v>
      </c>
      <c r="D823" s="36" t="s">
        <v>766</v>
      </c>
      <c r="E823" s="36" t="s">
        <v>774</v>
      </c>
      <c r="F823" s="36">
        <v>2</v>
      </c>
      <c r="G823" s="36">
        <v>717751</v>
      </c>
      <c r="H823" s="48" t="str">
        <f>IFERROR(INDEX(Table14[],MATCH($G823,Table14[SAPNo],0),3),"")</f>
        <v>Round 1308 CT200  0.018" (B)</v>
      </c>
      <c r="I823" s="37">
        <v>39</v>
      </c>
      <c r="J823" s="37">
        <f>IF(Table412[[#This Row],[MAT]]&lt;&gt;"",COUNTIF(Table3[LEVEL 5 MAT NO.],Table412[[#This Row],[MAT]]),"")</f>
        <v>0</v>
      </c>
      <c r="K823" s="36">
        <f>IFERROR(INDEX(Table3[],MATCH($E823,Table3[LEVEL 5 MAT NO.],0),2),0)</f>
        <v>0</v>
      </c>
      <c r="L823" s="36">
        <f>Table412[[#This Row],[Quantity in BOM]]*Table412[[#This Row],[Freq]]</f>
        <v>0</v>
      </c>
      <c r="M823" s="36" t="str">
        <f>IF(Table412[[#This Row],[Exist]]=1,Table412[[#This Row],[MAT]],"")</f>
        <v/>
      </c>
      <c r="N823" s="36" t="str">
        <f>IF(Table412[[#This Row],[Exist]]=1,Table412[[#This Row],[Component]],"")</f>
        <v/>
      </c>
      <c r="O823" s="36" t="str">
        <f>IFERROR(VALUE(Table412[[#This Row],[MAT]]&amp;Table412[[#This Row],[X'#]]),IF(COUNTIF(Table412[[#This Row],[MAT]],"*M"),Table412[[#This Row],[MAT]]&amp;Table412[[#This Row],[X'#]],""))</f>
        <v>903299M2</v>
      </c>
    </row>
    <row r="824" spans="1:15" x14ac:dyDescent="0.25">
      <c r="A824" s="37">
        <f t="shared" si="13"/>
        <v>234</v>
      </c>
      <c r="C824" s="19">
        <v>16</v>
      </c>
      <c r="D824" s="36" t="s">
        <v>766</v>
      </c>
      <c r="E824" s="36" t="s">
        <v>774</v>
      </c>
      <c r="F824" s="36">
        <v>3</v>
      </c>
      <c r="G824" s="36">
        <v>410851</v>
      </c>
      <c r="H824" s="48" t="str">
        <f>IFERROR(INDEX(Table14[],MATCH($G824,Table14[SAPNo],0),3),"")</f>
        <v>PDC Dome 1308 CT31   (B)</v>
      </c>
      <c r="I824" s="37">
        <v>35</v>
      </c>
      <c r="J824" s="37">
        <f>IF(Table412[[#This Row],[MAT]]&lt;&gt;"",COUNTIF(Table3[LEVEL 5 MAT NO.],Table412[[#This Row],[MAT]]),"")</f>
        <v>0</v>
      </c>
      <c r="K824" s="36">
        <f>IFERROR(INDEX(Table3[],MATCH($E824,Table3[LEVEL 5 MAT NO.],0),2),0)</f>
        <v>0</v>
      </c>
      <c r="L824" s="36">
        <f>Table412[[#This Row],[Quantity in BOM]]*Table412[[#This Row],[Freq]]</f>
        <v>0</v>
      </c>
      <c r="M824" s="36" t="str">
        <f>IF(Table412[[#This Row],[Exist]]=1,Table412[[#This Row],[MAT]],"")</f>
        <v/>
      </c>
      <c r="N824" s="36" t="str">
        <f>IF(Table412[[#This Row],[Exist]]=1,Table412[[#This Row],[Component]],"")</f>
        <v/>
      </c>
      <c r="O824" s="36" t="str">
        <f>IFERROR(VALUE(Table412[[#This Row],[MAT]]&amp;Table412[[#This Row],[X'#]]),IF(COUNTIF(Table412[[#This Row],[MAT]],"*M"),Table412[[#This Row],[MAT]]&amp;Table412[[#This Row],[X'#]],""))</f>
        <v>903299M3</v>
      </c>
    </row>
    <row r="825" spans="1:15" x14ac:dyDescent="0.25">
      <c r="A825" s="37">
        <f t="shared" si="13"/>
        <v>234</v>
      </c>
      <c r="C825" s="19">
        <v>16</v>
      </c>
      <c r="D825" s="36" t="s">
        <v>766</v>
      </c>
      <c r="E825" s="36" t="s">
        <v>774</v>
      </c>
      <c r="F825" s="36">
        <v>4</v>
      </c>
      <c r="G825" s="36">
        <v>179733</v>
      </c>
      <c r="H825" s="48" t="str">
        <f>IFERROR(INDEX(Table14[],MATCH($G825,Table14[SAPNo],0),3),"")</f>
        <v>Short IA 13    (C)</v>
      </c>
      <c r="I825" s="37">
        <v>23</v>
      </c>
      <c r="J825" s="37">
        <f>IF(Table412[[#This Row],[MAT]]&lt;&gt;"",COUNTIF(Table3[LEVEL 5 MAT NO.],Table412[[#This Row],[MAT]]),"")</f>
        <v>0</v>
      </c>
      <c r="K825" s="36">
        <f>IFERROR(INDEX(Table3[],MATCH($E825,Table3[LEVEL 5 MAT NO.],0),2),0)</f>
        <v>0</v>
      </c>
      <c r="L825" s="36">
        <f>Table412[[#This Row],[Quantity in BOM]]*Table412[[#This Row],[Freq]]</f>
        <v>0</v>
      </c>
      <c r="M825" s="36" t="str">
        <f>IF(Table412[[#This Row],[Exist]]=1,Table412[[#This Row],[MAT]],"")</f>
        <v/>
      </c>
      <c r="N825" s="36" t="str">
        <f>IF(Table412[[#This Row],[Exist]]=1,Table412[[#This Row],[Component]],"")</f>
        <v/>
      </c>
      <c r="O825" s="36" t="str">
        <f>IFERROR(VALUE(Table412[[#This Row],[MAT]]&amp;Table412[[#This Row],[X'#]]),IF(COUNTIF(Table412[[#This Row],[MAT]],"*M"),Table412[[#This Row],[MAT]]&amp;Table412[[#This Row],[X'#]],""))</f>
        <v>903299M4</v>
      </c>
    </row>
    <row r="826" spans="1:15" x14ac:dyDescent="0.25">
      <c r="A826" s="37">
        <f t="shared" si="13"/>
        <v>234</v>
      </c>
      <c r="C826" s="19">
        <v>16</v>
      </c>
      <c r="D826" s="36" t="s">
        <v>766</v>
      </c>
      <c r="E826" s="36" t="s">
        <v>774</v>
      </c>
      <c r="F826" s="36">
        <v>5</v>
      </c>
      <c r="G826" s="36">
        <v>418525</v>
      </c>
      <c r="H826" s="48" t="str">
        <f>IFERROR(INDEX(Table14[],MATCH($G826,Table14[SAPNo],0),3),"")</f>
        <v>Drop In 1308 CT31   (B)</v>
      </c>
      <c r="I826" s="37">
        <v>14</v>
      </c>
      <c r="J826" s="37">
        <f>IF(Table412[[#This Row],[MAT]]&lt;&gt;"",COUNTIF(Table3[LEVEL 5 MAT NO.],Table412[[#This Row],[MAT]]),"")</f>
        <v>0</v>
      </c>
      <c r="K826" s="36">
        <f>IFERROR(INDEX(Table3[],MATCH($E826,Table3[LEVEL 5 MAT NO.],0),2),0)</f>
        <v>0</v>
      </c>
      <c r="L826" s="36">
        <f>Table412[[#This Row],[Quantity in BOM]]*Table412[[#This Row],[Freq]]</f>
        <v>0</v>
      </c>
      <c r="M826" s="36" t="str">
        <f>IF(Table412[[#This Row],[Exist]]=1,Table412[[#This Row],[MAT]],"")</f>
        <v/>
      </c>
      <c r="N826" s="36" t="str">
        <f>IF(Table412[[#This Row],[Exist]]=1,Table412[[#This Row],[Component]],"")</f>
        <v/>
      </c>
      <c r="O826" s="36" t="str">
        <f>IFERROR(VALUE(Table412[[#This Row],[MAT]]&amp;Table412[[#This Row],[X'#]]),IF(COUNTIF(Table412[[#This Row],[MAT]],"*M"),Table412[[#This Row],[MAT]]&amp;Table412[[#This Row],[X'#]],""))</f>
        <v>903299M5</v>
      </c>
    </row>
    <row r="827" spans="1:15" x14ac:dyDescent="0.25">
      <c r="A827" s="37">
        <f t="shared" si="13"/>
        <v>234</v>
      </c>
      <c r="C827" s="19">
        <v>16</v>
      </c>
      <c r="D827" s="36" t="s">
        <v>766</v>
      </c>
      <c r="E827" s="36" t="s">
        <v>774</v>
      </c>
      <c r="F827" s="36">
        <v>6</v>
      </c>
      <c r="G827" s="36">
        <v>1130197</v>
      </c>
      <c r="H827" s="48" t="str">
        <f>IFERROR(INDEX(Table14[],MATCH($G827,Table14[SAPNo],0),3),"")</f>
        <v>Round 1608 CT182  0.018" (S)</v>
      </c>
      <c r="I827" s="37">
        <v>13</v>
      </c>
      <c r="J827" s="37">
        <f>IF(Table412[[#This Row],[MAT]]&lt;&gt;"",COUNTIF(Table3[LEVEL 5 MAT NO.],Table412[[#This Row],[MAT]]),"")</f>
        <v>0</v>
      </c>
      <c r="K827" s="36">
        <f>IFERROR(INDEX(Table3[],MATCH($E827,Table3[LEVEL 5 MAT NO.],0),2),0)</f>
        <v>0</v>
      </c>
      <c r="L827" s="36">
        <f>Table412[[#This Row],[Quantity in BOM]]*Table412[[#This Row],[Freq]]</f>
        <v>0</v>
      </c>
      <c r="M827" s="36" t="str">
        <f>IF(Table412[[#This Row],[Exist]]=1,Table412[[#This Row],[MAT]],"")</f>
        <v/>
      </c>
      <c r="N827" s="36" t="str">
        <f>IF(Table412[[#This Row],[Exist]]=1,Table412[[#This Row],[Component]],"")</f>
        <v/>
      </c>
      <c r="O827" s="36" t="str">
        <f>IFERROR(VALUE(Table412[[#This Row],[MAT]]&amp;Table412[[#This Row],[X'#]]),IF(COUNTIF(Table412[[#This Row],[MAT]],"*M"),Table412[[#This Row],[MAT]]&amp;Table412[[#This Row],[X'#]],""))</f>
        <v>903299M6</v>
      </c>
    </row>
    <row r="828" spans="1:15" x14ac:dyDescent="0.25">
      <c r="A828" s="37">
        <f t="shared" si="13"/>
        <v>234</v>
      </c>
      <c r="B828" s="296"/>
      <c r="C828" s="19" t="s">
        <v>315</v>
      </c>
      <c r="D828" s="36" t="s">
        <v>684</v>
      </c>
      <c r="E828" s="36">
        <v>1251098</v>
      </c>
      <c r="F828" s="36">
        <v>1</v>
      </c>
      <c r="G828" s="36">
        <v>1165786</v>
      </c>
      <c r="H828" s="48" t="str">
        <f>IFERROR(INDEX(Table14[],MATCH($G828,Table14[SAPNo],0),3),"")</f>
        <v>1613 PMT 18C</v>
      </c>
      <c r="I828" s="37">
        <v>69</v>
      </c>
      <c r="J828" s="37">
        <f>IF(Table412[[#This Row],[MAT]]&lt;&gt;"",COUNTIF(Table3[LEVEL 5 MAT NO.],Table412[[#This Row],[MAT]]),"")</f>
        <v>1</v>
      </c>
      <c r="K828" s="36">
        <f>IFERROR(INDEX(Table3[],MATCH($E828,Table3[LEVEL 5 MAT NO.],0),2),0)</f>
        <v>4</v>
      </c>
      <c r="L828" s="36">
        <f>Table412[[#This Row],[Quantity in BOM]]*Table412[[#This Row],[Freq]]</f>
        <v>276</v>
      </c>
      <c r="M828" s="36">
        <f>IF(Table412[[#This Row],[Exist]]=1,Table412[[#This Row],[MAT]],"")</f>
        <v>1251098</v>
      </c>
      <c r="N828" s="36">
        <f>IF(Table412[[#This Row],[Exist]]=1,Table412[[#This Row],[Component]],"")</f>
        <v>1165786</v>
      </c>
      <c r="O828" s="36">
        <f>IFERROR(VALUE(Table412[[#This Row],[MAT]]&amp;Table412[[#This Row],[X'#]]),IF(COUNTIF(Table412[[#This Row],[MAT]],"*M"),Table412[[#This Row],[MAT]]&amp;Table412[[#This Row],[X'#]],""))</f>
        <v>12510981</v>
      </c>
    </row>
    <row r="829" spans="1:15" x14ac:dyDescent="0.25">
      <c r="A829" s="37">
        <f t="shared" si="13"/>
        <v>238</v>
      </c>
      <c r="B829" s="296"/>
      <c r="C829" s="19" t="s">
        <v>315</v>
      </c>
      <c r="D829" s="36" t="s">
        <v>684</v>
      </c>
      <c r="E829" s="36">
        <v>1251098</v>
      </c>
      <c r="F829" s="36">
        <v>2</v>
      </c>
      <c r="G829" s="36">
        <v>1165788</v>
      </c>
      <c r="H829" s="48" t="str">
        <f>IFERROR(INDEX(Table14[],MATCH($G829,Table14[SAPNo],0),3),"")</f>
        <v>1913 PMT 18C</v>
      </c>
      <c r="I829" s="37">
        <v>24</v>
      </c>
      <c r="J829" s="37">
        <f>IF(Table412[[#This Row],[MAT]]&lt;&gt;"",COUNTIF(Table3[LEVEL 5 MAT NO.],Table412[[#This Row],[MAT]]),"")</f>
        <v>1</v>
      </c>
      <c r="K829" s="36">
        <f>IFERROR(INDEX(Table3[],MATCH($E829,Table3[LEVEL 5 MAT NO.],0),2),0)</f>
        <v>4</v>
      </c>
      <c r="L829" s="36">
        <f>Table412[[#This Row],[Quantity in BOM]]*Table412[[#This Row],[Freq]]</f>
        <v>96</v>
      </c>
      <c r="M829" s="36">
        <f>IF(Table412[[#This Row],[Exist]]=1,Table412[[#This Row],[MAT]],"")</f>
        <v>1251098</v>
      </c>
      <c r="N829" s="36">
        <f>IF(Table412[[#This Row],[Exist]]=1,Table412[[#This Row],[Component]],"")</f>
        <v>1165788</v>
      </c>
      <c r="O829" s="36">
        <f>IFERROR(VALUE(Table412[[#This Row],[MAT]]&amp;Table412[[#This Row],[X'#]]),IF(COUNTIF(Table412[[#This Row],[MAT]],"*M"),Table412[[#This Row],[MAT]]&amp;Table412[[#This Row],[X'#]],""))</f>
        <v>12510982</v>
      </c>
    </row>
    <row r="830" spans="1:15" x14ac:dyDescent="0.25">
      <c r="A830" s="37">
        <f t="shared" si="13"/>
        <v>242</v>
      </c>
      <c r="B830" s="296"/>
      <c r="C830" s="36" t="s">
        <v>315</v>
      </c>
      <c r="D830" s="36" t="s">
        <v>684</v>
      </c>
      <c r="E830" s="36">
        <v>1251098</v>
      </c>
      <c r="F830" s="36">
        <v>3</v>
      </c>
      <c r="G830" s="36">
        <v>1100741</v>
      </c>
      <c r="H830" s="48" t="str">
        <f>IFERROR(INDEX(Table14[],MATCH($G830,Table14[SAPNo],0),3),"")</f>
        <v>Round 1613 CT418  0.018" (S)</v>
      </c>
      <c r="I830" s="37">
        <v>9</v>
      </c>
      <c r="J830" s="37">
        <f>IF(Table412[[#This Row],[MAT]]&lt;&gt;"",COUNTIF(Table3[LEVEL 5 MAT NO.],Table412[[#This Row],[MAT]]),"")</f>
        <v>1</v>
      </c>
      <c r="K830" s="36">
        <f>IFERROR(INDEX(Table3[],MATCH($E830,Table3[LEVEL 5 MAT NO.],0),2),0)</f>
        <v>4</v>
      </c>
      <c r="L830" s="36">
        <f>Table412[[#This Row],[Quantity in BOM]]*Table412[[#This Row],[Freq]]</f>
        <v>36</v>
      </c>
      <c r="M830" s="36">
        <f>IF(Table412[[#This Row],[Exist]]=1,Table412[[#This Row],[MAT]],"")</f>
        <v>1251098</v>
      </c>
      <c r="N830" s="36">
        <f>IF(Table412[[#This Row],[Exist]]=1,Table412[[#This Row],[Component]],"")</f>
        <v>1100741</v>
      </c>
      <c r="O830" s="36">
        <f>IFERROR(VALUE(Table412[[#This Row],[MAT]]&amp;Table412[[#This Row],[X'#]]),IF(COUNTIF(Table412[[#This Row],[MAT]],"*M"),Table412[[#This Row],[MAT]]&amp;Table412[[#This Row],[X'#]],""))</f>
        <v>12510983</v>
      </c>
    </row>
    <row r="831" spans="1:15" x14ac:dyDescent="0.25">
      <c r="A831" s="37">
        <f t="shared" si="13"/>
        <v>246</v>
      </c>
      <c r="B831" s="296"/>
      <c r="C831" s="36" t="s">
        <v>315</v>
      </c>
      <c r="D831" s="36" t="s">
        <v>684</v>
      </c>
      <c r="E831" s="36">
        <v>1251098</v>
      </c>
      <c r="F831" s="36">
        <v>4</v>
      </c>
      <c r="G831" s="36">
        <v>871781</v>
      </c>
      <c r="H831" s="48" t="str">
        <f>IFERROR(INDEX(Table14[],MATCH($G831,Table14[SAPNo],0),3),"")</f>
        <v>Round 1313 CT200  0.018" (B)</v>
      </c>
      <c r="I831" s="37">
        <v>8</v>
      </c>
      <c r="J831" s="37">
        <f>IF(Table412[[#This Row],[MAT]]&lt;&gt;"",COUNTIF(Table3[LEVEL 5 MAT NO.],Table412[[#This Row],[MAT]]),"")</f>
        <v>1</v>
      </c>
      <c r="K831" s="36">
        <f>IFERROR(INDEX(Table3[],MATCH($E831,Table3[LEVEL 5 MAT NO.],0),2),0)</f>
        <v>4</v>
      </c>
      <c r="L831" s="36">
        <f>Table412[[#This Row],[Quantity in BOM]]*Table412[[#This Row],[Freq]]</f>
        <v>32</v>
      </c>
      <c r="M831" s="36">
        <f>IF(Table412[[#This Row],[Exist]]=1,Table412[[#This Row],[MAT]],"")</f>
        <v>1251098</v>
      </c>
      <c r="N831" s="36">
        <f>IF(Table412[[#This Row],[Exist]]=1,Table412[[#This Row],[Component]],"")</f>
        <v>871781</v>
      </c>
      <c r="O831" s="36">
        <f>IFERROR(VALUE(Table412[[#This Row],[MAT]]&amp;Table412[[#This Row],[X'#]]),IF(COUNTIF(Table412[[#This Row],[MAT]],"*M"),Table412[[#This Row],[MAT]]&amp;Table412[[#This Row],[X'#]],""))</f>
        <v>12510984</v>
      </c>
    </row>
    <row r="832" spans="1:15" x14ac:dyDescent="0.25">
      <c r="A832" s="37">
        <f t="shared" si="13"/>
        <v>250</v>
      </c>
      <c r="B832" s="296"/>
      <c r="C832" s="36" t="s">
        <v>315</v>
      </c>
      <c r="D832" s="36" t="s">
        <v>684</v>
      </c>
      <c r="E832" s="36">
        <v>1251098</v>
      </c>
      <c r="F832" s="36">
        <v>5</v>
      </c>
      <c r="G832" s="36">
        <v>1165785</v>
      </c>
      <c r="H832" s="48" t="str">
        <f>IFERROR(INDEX(Table14[],MATCH($G832,Table14[SAPNo],0),3),"")</f>
        <v>1608 PMT 18C</v>
      </c>
      <c r="I832" s="37">
        <v>8</v>
      </c>
      <c r="J832" s="37">
        <f>IF(Table412[[#This Row],[MAT]]&lt;&gt;"",COUNTIF(Table3[LEVEL 5 MAT NO.],Table412[[#This Row],[MAT]]),"")</f>
        <v>1</v>
      </c>
      <c r="K832" s="36">
        <f>IFERROR(INDEX(Table3[],MATCH($E832,Table3[LEVEL 5 MAT NO.],0),2),0)</f>
        <v>4</v>
      </c>
      <c r="L832" s="36">
        <f>Table412[[#This Row],[Quantity in BOM]]*Table412[[#This Row],[Freq]]</f>
        <v>32</v>
      </c>
      <c r="M832" s="36">
        <f>IF(Table412[[#This Row],[Exist]]=1,Table412[[#This Row],[MAT]],"")</f>
        <v>1251098</v>
      </c>
      <c r="N832" s="36">
        <f>IF(Table412[[#This Row],[Exist]]=1,Table412[[#This Row],[Component]],"")</f>
        <v>1165785</v>
      </c>
      <c r="O832" s="36">
        <f>IFERROR(VALUE(Table412[[#This Row],[MAT]]&amp;Table412[[#This Row],[X'#]]),IF(COUNTIF(Table412[[#This Row],[MAT]],"*M"),Table412[[#This Row],[MAT]]&amp;Table412[[#This Row],[X'#]],""))</f>
        <v>12510985</v>
      </c>
    </row>
    <row r="833" spans="1:27" x14ac:dyDescent="0.25">
      <c r="A833" s="37">
        <f t="shared" si="13"/>
        <v>254</v>
      </c>
      <c r="B833" s="296" t="s">
        <v>3717</v>
      </c>
      <c r="C833" s="38" t="s">
        <v>315</v>
      </c>
      <c r="D833" s="36" t="s">
        <v>684</v>
      </c>
      <c r="E833" s="36" t="s">
        <v>655</v>
      </c>
      <c r="F833" s="36">
        <v>1</v>
      </c>
      <c r="G833" s="36">
        <v>1130198</v>
      </c>
      <c r="H833" s="48" t="str">
        <f>IFERROR(INDEX(Table14[],MATCH($G833,Table14[SAPNo],0),3),"")</f>
        <v>Round 1613 CT182  0.018" (S)</v>
      </c>
      <c r="I833" s="37">
        <v>69</v>
      </c>
      <c r="J833" s="37">
        <f>IF(Table412[[#This Row],[MAT]]&lt;&gt;"",COUNTIF(Table3[LEVEL 5 MAT NO.],Table412[[#This Row],[MAT]]),"")</f>
        <v>1</v>
      </c>
      <c r="K833" s="36">
        <f>IFERROR(INDEX(Table3[],MATCH($E833,Table3[LEVEL 5 MAT NO.],0),2),0)</f>
        <v>0</v>
      </c>
      <c r="L833" s="36">
        <f>Table412[[#This Row],[Quantity in BOM]]*Table412[[#This Row],[Freq]]</f>
        <v>0</v>
      </c>
      <c r="M833" s="36" t="str">
        <f>IF(Table412[[#This Row],[Exist]]=1,Table412[[#This Row],[MAT]],"")</f>
        <v>1251098M</v>
      </c>
      <c r="N833" s="36">
        <f>IF(Table412[[#This Row],[Exist]]=1,Table412[[#This Row],[Component]],"")</f>
        <v>1130198</v>
      </c>
      <c r="O833" s="36" t="str">
        <f>IFERROR(VALUE(Table412[[#This Row],[MAT]]&amp;Table412[[#This Row],[X'#]]),IF(COUNTIF(Table412[[#This Row],[MAT]],"*M"),Table412[[#This Row],[MAT]]&amp;Table412[[#This Row],[X'#]],""))</f>
        <v>1251098M1</v>
      </c>
    </row>
    <row r="834" spans="1:27" x14ac:dyDescent="0.25">
      <c r="A834" s="37">
        <f t="shared" si="13"/>
        <v>254</v>
      </c>
      <c r="B834" s="296" t="s">
        <v>3717</v>
      </c>
      <c r="C834" s="38" t="s">
        <v>315</v>
      </c>
      <c r="D834" s="36" t="s">
        <v>684</v>
      </c>
      <c r="E834" s="36" t="s">
        <v>655</v>
      </c>
      <c r="F834" s="36">
        <v>2</v>
      </c>
      <c r="G834" s="36">
        <v>1130200</v>
      </c>
      <c r="H834" s="48" t="str">
        <f>IFERROR(INDEX(Table14[],MATCH($G834,Table14[SAPNo],0),3),"")</f>
        <v>Round 1913 CT182  0.018" (S)</v>
      </c>
      <c r="I834" s="37">
        <v>24</v>
      </c>
      <c r="J834" s="37">
        <f>IF(Table412[[#This Row],[MAT]]&lt;&gt;"",COUNTIF(Table3[LEVEL 5 MAT NO.],Table412[[#This Row],[MAT]]),"")</f>
        <v>1</v>
      </c>
      <c r="K834" s="36">
        <f>IFERROR(INDEX(Table3[],MATCH($E834,Table3[LEVEL 5 MAT NO.],0),2),0)</f>
        <v>0</v>
      </c>
      <c r="L834" s="36">
        <f>Table412[[#This Row],[Quantity in BOM]]*Table412[[#This Row],[Freq]]</f>
        <v>0</v>
      </c>
      <c r="M834" s="36" t="str">
        <f>IF(Table412[[#This Row],[Exist]]=1,Table412[[#This Row],[MAT]],"")</f>
        <v>1251098M</v>
      </c>
      <c r="N834" s="36">
        <f>IF(Table412[[#This Row],[Exist]]=1,Table412[[#This Row],[Component]],"")</f>
        <v>1130200</v>
      </c>
      <c r="O834" s="36" t="str">
        <f>IFERROR(VALUE(Table412[[#This Row],[MAT]]&amp;Table412[[#This Row],[X'#]]),IF(COUNTIF(Table412[[#This Row],[MAT]],"*M"),Table412[[#This Row],[MAT]]&amp;Table412[[#This Row],[X'#]],""))</f>
        <v>1251098M2</v>
      </c>
    </row>
    <row r="835" spans="1:27" x14ac:dyDescent="0.25">
      <c r="A835" s="37">
        <f t="shared" si="13"/>
        <v>254</v>
      </c>
      <c r="B835" s="296" t="s">
        <v>3717</v>
      </c>
      <c r="C835" s="38" t="s">
        <v>315</v>
      </c>
      <c r="D835" s="36" t="s">
        <v>684</v>
      </c>
      <c r="E835" s="36" t="s">
        <v>655</v>
      </c>
      <c r="F835" s="36">
        <v>3</v>
      </c>
      <c r="G835" s="36">
        <v>1100741</v>
      </c>
      <c r="H835" s="48" t="str">
        <f>IFERROR(INDEX(Table14[],MATCH($G835,Table14[SAPNo],0),3),"")</f>
        <v>Round 1613 CT418  0.018" (S)</v>
      </c>
      <c r="I835" s="37">
        <v>9</v>
      </c>
      <c r="J835" s="37">
        <f>IF(Table412[[#This Row],[MAT]]&lt;&gt;"",COUNTIF(Table3[LEVEL 5 MAT NO.],Table412[[#This Row],[MAT]]),"")</f>
        <v>1</v>
      </c>
      <c r="K835" s="36">
        <f>IFERROR(INDEX(Table3[],MATCH($E835,Table3[LEVEL 5 MAT NO.],0),2),0)</f>
        <v>0</v>
      </c>
      <c r="L835" s="36">
        <f>Table412[[#This Row],[Quantity in BOM]]*Table412[[#This Row],[Freq]]</f>
        <v>0</v>
      </c>
      <c r="M835" s="36" t="str">
        <f>IF(Table412[[#This Row],[Exist]]=1,Table412[[#This Row],[MAT]],"")</f>
        <v>1251098M</v>
      </c>
      <c r="N835" s="36">
        <f>IF(Table412[[#This Row],[Exist]]=1,Table412[[#This Row],[Component]],"")</f>
        <v>1100741</v>
      </c>
      <c r="O835" s="36" t="str">
        <f>IFERROR(VALUE(Table412[[#This Row],[MAT]]&amp;Table412[[#This Row],[X'#]]),IF(COUNTIF(Table412[[#This Row],[MAT]],"*M"),Table412[[#This Row],[MAT]]&amp;Table412[[#This Row],[X'#]],""))</f>
        <v>1251098M3</v>
      </c>
    </row>
    <row r="836" spans="1:27" x14ac:dyDescent="0.25">
      <c r="A836" s="37">
        <f t="shared" ref="A836:A899" si="14">A835+K835</f>
        <v>254</v>
      </c>
      <c r="B836" s="296" t="s">
        <v>3717</v>
      </c>
      <c r="C836" s="38" t="s">
        <v>315</v>
      </c>
      <c r="D836" s="36" t="s">
        <v>684</v>
      </c>
      <c r="E836" s="36" t="s">
        <v>655</v>
      </c>
      <c r="F836" s="36">
        <v>4</v>
      </c>
      <c r="G836" s="36">
        <v>871781</v>
      </c>
      <c r="H836" s="48" t="str">
        <f>IFERROR(INDEX(Table14[],MATCH($G836,Table14[SAPNo],0),3),"")</f>
        <v>Round 1313 CT200  0.018" (B)</v>
      </c>
      <c r="I836" s="37">
        <v>8</v>
      </c>
      <c r="J836" s="37">
        <f>IF(Table412[[#This Row],[MAT]]&lt;&gt;"",COUNTIF(Table3[LEVEL 5 MAT NO.],Table412[[#This Row],[MAT]]),"")</f>
        <v>1</v>
      </c>
      <c r="K836" s="36">
        <f>IFERROR(INDEX(Table3[],MATCH($E836,Table3[LEVEL 5 MAT NO.],0),2),0)</f>
        <v>0</v>
      </c>
      <c r="L836" s="36">
        <f>Table412[[#This Row],[Quantity in BOM]]*Table412[[#This Row],[Freq]]</f>
        <v>0</v>
      </c>
      <c r="M836" s="36" t="str">
        <f>IF(Table412[[#This Row],[Exist]]=1,Table412[[#This Row],[MAT]],"")</f>
        <v>1251098M</v>
      </c>
      <c r="N836" s="36">
        <f>IF(Table412[[#This Row],[Exist]]=1,Table412[[#This Row],[Component]],"")</f>
        <v>871781</v>
      </c>
      <c r="O836" s="36" t="str">
        <f>IFERROR(VALUE(Table412[[#This Row],[MAT]]&amp;Table412[[#This Row],[X'#]]),IF(COUNTIF(Table412[[#This Row],[MAT]],"*M"),Table412[[#This Row],[MAT]]&amp;Table412[[#This Row],[X'#]],""))</f>
        <v>1251098M4</v>
      </c>
    </row>
    <row r="837" spans="1:27" x14ac:dyDescent="0.25">
      <c r="A837" s="37">
        <f t="shared" si="14"/>
        <v>254</v>
      </c>
      <c r="B837" s="296" t="s">
        <v>3717</v>
      </c>
      <c r="C837" s="36" t="s">
        <v>315</v>
      </c>
      <c r="D837" s="36" t="s">
        <v>684</v>
      </c>
      <c r="E837" s="36" t="s">
        <v>655</v>
      </c>
      <c r="F837" s="36">
        <v>5</v>
      </c>
      <c r="G837" s="36">
        <v>1130197</v>
      </c>
      <c r="H837" s="48" t="str">
        <f>IFERROR(INDEX(Table14[],MATCH($G837,Table14[SAPNo],0),3),"")</f>
        <v>Round 1608 CT182  0.018" (S)</v>
      </c>
      <c r="I837" s="37">
        <v>8</v>
      </c>
      <c r="J837" s="37">
        <f>IF(Table412[[#This Row],[MAT]]&lt;&gt;"",COUNTIF(Table3[LEVEL 5 MAT NO.],Table412[[#This Row],[MAT]]),"")</f>
        <v>1</v>
      </c>
      <c r="K837" s="36">
        <f>IFERROR(INDEX(Table3[],MATCH($E837,Table3[LEVEL 5 MAT NO.],0),2),0)</f>
        <v>0</v>
      </c>
      <c r="L837" s="36">
        <f>Table412[[#This Row],[Quantity in BOM]]*Table412[[#This Row],[Freq]]</f>
        <v>0</v>
      </c>
      <c r="M837" s="36" t="str">
        <f>IF(Table412[[#This Row],[Exist]]=1,Table412[[#This Row],[MAT]],"")</f>
        <v>1251098M</v>
      </c>
      <c r="N837" s="36">
        <f>IF(Table412[[#This Row],[Exist]]=1,Table412[[#This Row],[Component]],"")</f>
        <v>1130197</v>
      </c>
      <c r="O837" s="36" t="str">
        <f>IFERROR(VALUE(Table412[[#This Row],[MAT]]&amp;Table412[[#This Row],[X'#]]),IF(COUNTIF(Table412[[#This Row],[MAT]],"*M"),Table412[[#This Row],[MAT]]&amp;Table412[[#This Row],[X'#]],""))</f>
        <v>1251098M5</v>
      </c>
    </row>
    <row r="838" spans="1:27" x14ac:dyDescent="0.25">
      <c r="A838" s="37">
        <f t="shared" si="14"/>
        <v>254</v>
      </c>
      <c r="C838" s="38" t="s">
        <v>316</v>
      </c>
      <c r="D838" s="36" t="s">
        <v>642</v>
      </c>
      <c r="E838" s="36">
        <v>1241180</v>
      </c>
      <c r="F838" s="36">
        <v>1</v>
      </c>
      <c r="G838" s="36">
        <v>1133896</v>
      </c>
      <c r="H838" s="48" t="str">
        <f>IFERROR(INDEX(Table14[],MATCH($G838,Table14[SAPNo],0),3),"")</f>
        <v>1613 CT418 U</v>
      </c>
      <c r="I838" s="37">
        <v>41</v>
      </c>
      <c r="J838" s="37">
        <f>IF(Table412[[#This Row],[MAT]]&lt;&gt;"",COUNTIF(Table3[LEVEL 5 MAT NO.],Table412[[#This Row],[MAT]]),"")</f>
        <v>1</v>
      </c>
      <c r="K838" s="36">
        <f>IFERROR(INDEX(Table3[],MATCH($E838,Table3[LEVEL 5 MAT NO.],0),2),0)</f>
        <v>1</v>
      </c>
      <c r="L838" s="36">
        <f>Table412[[#This Row],[Quantity in BOM]]*Table412[[#This Row],[Freq]]</f>
        <v>41</v>
      </c>
      <c r="M838" s="36">
        <f>IF(Table412[[#This Row],[Exist]]=1,Table412[[#This Row],[MAT]],"")</f>
        <v>1241180</v>
      </c>
      <c r="N838" s="36">
        <f>IF(Table412[[#This Row],[Exist]]=1,Table412[[#This Row],[Component]],"")</f>
        <v>1133896</v>
      </c>
      <c r="O838" s="36">
        <f>IFERROR(VALUE(Table412[[#This Row],[MAT]]&amp;Table412[[#This Row],[X'#]]),IF(COUNTIF(Table412[[#This Row],[MAT]],"*M"),Table412[[#This Row],[MAT]]&amp;Table412[[#This Row],[X'#]],""))</f>
        <v>12411801</v>
      </c>
    </row>
    <row r="839" spans="1:27" x14ac:dyDescent="0.25">
      <c r="A839" s="37">
        <f t="shared" si="14"/>
        <v>255</v>
      </c>
      <c r="B839" s="37"/>
      <c r="C839" s="37" t="s">
        <v>316</v>
      </c>
      <c r="D839" s="37" t="s">
        <v>642</v>
      </c>
      <c r="E839" s="37">
        <v>1241180</v>
      </c>
      <c r="F839" s="37">
        <v>2</v>
      </c>
      <c r="G839" s="37">
        <v>1219562</v>
      </c>
      <c r="H839" s="48" t="str">
        <f>IFERROR(INDEX(Table14[],MATCH($G839,Table14[SAPNo],0),3),"")</f>
        <v>1613 CT147R U</v>
      </c>
      <c r="I839" s="37">
        <v>41</v>
      </c>
      <c r="J839" s="37">
        <f>IF(Table412[[#This Row],[MAT]]&lt;&gt;"",COUNTIF(Table3[LEVEL 5 MAT NO.],Table412[[#This Row],[MAT]]),"")</f>
        <v>1</v>
      </c>
      <c r="K839" s="36">
        <f>IFERROR(INDEX(Table3[],MATCH($E839,Table3[LEVEL 5 MAT NO.],0),2),0)</f>
        <v>1</v>
      </c>
      <c r="L839" s="36">
        <f>Table412[[#This Row],[Quantity in BOM]]*Table412[[#This Row],[Freq]]</f>
        <v>41</v>
      </c>
      <c r="M839" s="36">
        <f>IF(Table412[[#This Row],[Exist]]=1,Table412[[#This Row],[MAT]],"")</f>
        <v>1241180</v>
      </c>
      <c r="N839" s="36">
        <f>IF(Table412[[#This Row],[Exist]]=1,Table412[[#This Row],[Component]],"")</f>
        <v>1219562</v>
      </c>
      <c r="O839" s="36">
        <f>IFERROR(VALUE(Table412[[#This Row],[MAT]]&amp;Table412[[#This Row],[X'#]]),IF(COUNTIF(Table412[[#This Row],[MAT]],"*M"),Table412[[#This Row],[MAT]]&amp;Table412[[#This Row],[X'#]],""))</f>
        <v>12411802</v>
      </c>
    </row>
    <row r="840" spans="1:27" x14ac:dyDescent="0.25">
      <c r="A840" s="37">
        <f t="shared" si="14"/>
        <v>256</v>
      </c>
      <c r="B840" s="37"/>
      <c r="C840" s="37" t="s">
        <v>316</v>
      </c>
      <c r="D840" s="37" t="s">
        <v>642</v>
      </c>
      <c r="E840" s="37">
        <v>1241180</v>
      </c>
      <c r="F840" s="37">
        <v>3</v>
      </c>
      <c r="G840" s="37">
        <v>179733</v>
      </c>
      <c r="H840" s="48" t="str">
        <f>IFERROR(INDEX(Table14[],MATCH($G840,Table14[SAPNo],0),3),"")</f>
        <v>Short IA 13    (C)</v>
      </c>
      <c r="I840" s="37">
        <v>20</v>
      </c>
      <c r="J840" s="37">
        <f>IF(Table412[[#This Row],[MAT]]&lt;&gt;"",COUNTIF(Table3[LEVEL 5 MAT NO.],Table412[[#This Row],[MAT]]),"")</f>
        <v>1</v>
      </c>
      <c r="K840" s="36">
        <f>IFERROR(INDEX(Table3[],MATCH($E840,Table3[LEVEL 5 MAT NO.],0),2),0)</f>
        <v>1</v>
      </c>
      <c r="L840" s="36">
        <f>Table412[[#This Row],[Quantity in BOM]]*Table412[[#This Row],[Freq]]</f>
        <v>20</v>
      </c>
      <c r="M840" s="36">
        <f>IF(Table412[[#This Row],[Exist]]=1,Table412[[#This Row],[MAT]],"")</f>
        <v>1241180</v>
      </c>
      <c r="N840" s="36">
        <f>IF(Table412[[#This Row],[Exist]]=1,Table412[[#This Row],[Component]],"")</f>
        <v>179733</v>
      </c>
      <c r="O840" s="36">
        <f>IFERROR(VALUE(Table412[[#This Row],[MAT]]&amp;Table412[[#This Row],[X'#]]),IF(COUNTIF(Table412[[#This Row],[MAT]],"*M"),Table412[[#This Row],[MAT]]&amp;Table412[[#This Row],[X'#]],""))</f>
        <v>12411803</v>
      </c>
      <c r="V840" s="36">
        <v>1</v>
      </c>
    </row>
    <row r="841" spans="1:27" x14ac:dyDescent="0.25">
      <c r="A841" s="37">
        <f t="shared" si="14"/>
        <v>257</v>
      </c>
      <c r="B841" s="37"/>
      <c r="C841" s="37" t="s">
        <v>316</v>
      </c>
      <c r="D841" s="37" t="s">
        <v>642</v>
      </c>
      <c r="E841" s="37">
        <v>1241180</v>
      </c>
      <c r="F841" s="37">
        <v>4</v>
      </c>
      <c r="G841" s="37">
        <v>1100745</v>
      </c>
      <c r="H841" s="48" t="str">
        <f>IFERROR(INDEX(Table14[],MATCH($G841,Table14[SAPNo],0),3),"")</f>
        <v>Round 1913 CT418  0.018" (S)</v>
      </c>
      <c r="I841" s="37">
        <v>20</v>
      </c>
      <c r="J841" s="37">
        <f>IF(Table412[[#This Row],[MAT]]&lt;&gt;"",COUNTIF(Table3[LEVEL 5 MAT NO.],Table412[[#This Row],[MAT]]),"")</f>
        <v>1</v>
      </c>
      <c r="K841" s="36">
        <f>IFERROR(INDEX(Table3[],MATCH($E841,Table3[LEVEL 5 MAT NO.],0),2),0)</f>
        <v>1</v>
      </c>
      <c r="L841" s="36">
        <f>Table412[[#This Row],[Quantity in BOM]]*Table412[[#This Row],[Freq]]</f>
        <v>20</v>
      </c>
      <c r="M841" s="36">
        <f>IF(Table412[[#This Row],[Exist]]=1,Table412[[#This Row],[MAT]],"")</f>
        <v>1241180</v>
      </c>
      <c r="N841" s="36">
        <f>IF(Table412[[#This Row],[Exist]]=1,Table412[[#This Row],[Component]],"")</f>
        <v>1100745</v>
      </c>
      <c r="O841" s="36">
        <f>IFERROR(VALUE(Table412[[#This Row],[MAT]]&amp;Table412[[#This Row],[X'#]]),IF(COUNTIF(Table412[[#This Row],[MAT]],"*M"),Table412[[#This Row],[MAT]]&amp;Table412[[#This Row],[X'#]],""))</f>
        <v>12411804</v>
      </c>
      <c r="V841" s="36" t="s">
        <v>111</v>
      </c>
      <c r="W841" s="470">
        <v>1313</v>
      </c>
      <c r="X841" s="36" t="s">
        <v>3718</v>
      </c>
      <c r="AA841" s="36">
        <v>1146346</v>
      </c>
    </row>
    <row r="842" spans="1:27" x14ac:dyDescent="0.25">
      <c r="A842" s="37">
        <f t="shared" si="14"/>
        <v>258</v>
      </c>
      <c r="C842" s="36" t="s">
        <v>316</v>
      </c>
      <c r="D842" s="36" t="s">
        <v>642</v>
      </c>
      <c r="E842" s="36">
        <v>1241180</v>
      </c>
      <c r="F842" s="36">
        <v>5</v>
      </c>
      <c r="G842" s="36">
        <v>418525</v>
      </c>
      <c r="H842" s="48" t="str">
        <f>IFERROR(INDEX(Table14[],MATCH($G842,Table14[SAPNo],0),3),"")</f>
        <v>Drop In 1308 CT31   (B)</v>
      </c>
      <c r="I842" s="37">
        <v>7</v>
      </c>
      <c r="J842" s="37">
        <f>IF(Table412[[#This Row],[MAT]]&lt;&gt;"",COUNTIF(Table3[LEVEL 5 MAT NO.],Table412[[#This Row],[MAT]]),"")</f>
        <v>1</v>
      </c>
      <c r="K842" s="36">
        <f>IFERROR(INDEX(Table3[],MATCH($E842,Table3[LEVEL 5 MAT NO.],0),2),0)</f>
        <v>1</v>
      </c>
      <c r="L842" s="36">
        <f>Table412[[#This Row],[Quantity in BOM]]*Table412[[#This Row],[Freq]]</f>
        <v>7</v>
      </c>
      <c r="M842" s="36">
        <f>IF(Table412[[#This Row],[Exist]]=1,Table412[[#This Row],[MAT]],"")</f>
        <v>1241180</v>
      </c>
      <c r="N842" s="36">
        <f>IF(Table412[[#This Row],[Exist]]=1,Table412[[#This Row],[Component]],"")</f>
        <v>418525</v>
      </c>
      <c r="O842" s="36">
        <f>IFERROR(VALUE(Table412[[#This Row],[MAT]]&amp;Table412[[#This Row],[X'#]]),IF(COUNTIF(Table412[[#This Row],[MAT]],"*M"),Table412[[#This Row],[MAT]]&amp;Table412[[#This Row],[X'#]],""))</f>
        <v>12411805</v>
      </c>
      <c r="V842" s="36">
        <v>2</v>
      </c>
      <c r="W842" s="470">
        <v>17</v>
      </c>
      <c r="AA842" s="470">
        <v>649901</v>
      </c>
    </row>
    <row r="843" spans="1:27" x14ac:dyDescent="0.25">
      <c r="A843" s="37">
        <f t="shared" si="14"/>
        <v>259</v>
      </c>
      <c r="C843" s="36" t="s">
        <v>316</v>
      </c>
      <c r="D843" s="36" t="s">
        <v>642</v>
      </c>
      <c r="E843" s="36">
        <v>1241180</v>
      </c>
      <c r="F843" s="36">
        <v>6</v>
      </c>
      <c r="G843" s="36">
        <v>1100741</v>
      </c>
      <c r="H843" s="48" t="str">
        <f>IFERROR(INDEX(Table14[],MATCH($G843,Table14[SAPNo],0),3),"")</f>
        <v>Round 1613 CT418  0.018" (S)</v>
      </c>
      <c r="I843" s="37">
        <v>7</v>
      </c>
      <c r="J843" s="37">
        <f>IF(Table412[[#This Row],[MAT]]&lt;&gt;"",COUNTIF(Table3[LEVEL 5 MAT NO.],Table412[[#This Row],[MAT]]),"")</f>
        <v>1</v>
      </c>
      <c r="K843" s="36">
        <f>IFERROR(INDEX(Table3[],MATCH($E843,Table3[LEVEL 5 MAT NO.],0),2),0)</f>
        <v>1</v>
      </c>
      <c r="L843" s="36">
        <f>Table412[[#This Row],[Quantity in BOM]]*Table412[[#This Row],[Freq]]</f>
        <v>7</v>
      </c>
      <c r="M843" s="36">
        <f>IF(Table412[[#This Row],[Exist]]=1,Table412[[#This Row],[MAT]],"")</f>
        <v>1241180</v>
      </c>
      <c r="N843" s="36">
        <f>IF(Table412[[#This Row],[Exist]]=1,Table412[[#This Row],[Component]],"")</f>
        <v>1100741</v>
      </c>
      <c r="O843" s="36">
        <f>IFERROR(VALUE(Table412[[#This Row],[MAT]]&amp;Table412[[#This Row],[X'#]]),IF(COUNTIF(Table412[[#This Row],[MAT]],"*M"),Table412[[#This Row],[MAT]]&amp;Table412[[#This Row],[X'#]],""))</f>
        <v>12411806</v>
      </c>
      <c r="V843" s="36">
        <v>10</v>
      </c>
      <c r="W843" s="470" t="s">
        <v>266</v>
      </c>
      <c r="X843" s="36" t="s">
        <v>243</v>
      </c>
      <c r="Y843" s="36" t="s">
        <v>3719</v>
      </c>
      <c r="AA843" s="36">
        <v>2001155</v>
      </c>
    </row>
    <row r="844" spans="1:27" x14ac:dyDescent="0.25">
      <c r="A844" s="37">
        <f t="shared" si="14"/>
        <v>260</v>
      </c>
      <c r="C844" s="36" t="s">
        <v>315</v>
      </c>
      <c r="D844" s="36" t="s">
        <v>284</v>
      </c>
      <c r="E844" s="36">
        <v>1249569</v>
      </c>
      <c r="F844" s="36">
        <v>1</v>
      </c>
      <c r="G844" s="36">
        <v>1165788</v>
      </c>
      <c r="H844" s="48" t="str">
        <f>IFERROR(INDEX(Table14[],MATCH($G844,Table14[SAPNo],0),3),"")</f>
        <v>1913 PMT 18C</v>
      </c>
      <c r="I844" s="37">
        <v>48</v>
      </c>
      <c r="J844" s="37">
        <f>IF(Table412[[#This Row],[MAT]]&lt;&gt;"",COUNTIF(Table3[LEVEL 5 MAT NO.],Table412[[#This Row],[MAT]]),"")</f>
        <v>1</v>
      </c>
      <c r="K844" s="36">
        <f>IFERROR(INDEX(Table3[],MATCH($E844,Table3[LEVEL 5 MAT NO.],0),2),0)</f>
        <v>5</v>
      </c>
      <c r="L844" s="36">
        <f>Table412[[#This Row],[Quantity in BOM]]*Table412[[#This Row],[Freq]]</f>
        <v>240</v>
      </c>
      <c r="M844" s="36">
        <f>IF(Table412[[#This Row],[Exist]]=1,Table412[[#This Row],[MAT]],"")</f>
        <v>1249569</v>
      </c>
      <c r="N844" s="36">
        <f>IF(Table412[[#This Row],[Exist]]=1,Table412[[#This Row],[Component]],"")</f>
        <v>1165788</v>
      </c>
      <c r="O844" s="36">
        <f>IFERROR(VALUE(Table412[[#This Row],[MAT]]&amp;Table412[[#This Row],[X'#]]),IF(COUNTIF(Table412[[#This Row],[MAT]],"*M"),Table412[[#This Row],[MAT]]&amp;Table412[[#This Row],[X'#]],""))</f>
        <v>12495691</v>
      </c>
      <c r="V844" s="36">
        <v>3</v>
      </c>
      <c r="AA844" s="36">
        <v>871781</v>
      </c>
    </row>
    <row r="845" spans="1:27" x14ac:dyDescent="0.25">
      <c r="A845" s="37">
        <f t="shared" si="14"/>
        <v>265</v>
      </c>
      <c r="C845" s="36" t="s">
        <v>315</v>
      </c>
      <c r="D845" s="36" t="s">
        <v>284</v>
      </c>
      <c r="E845" s="36">
        <v>1249569</v>
      </c>
      <c r="F845" s="36">
        <v>2</v>
      </c>
      <c r="G845" s="36">
        <v>708306</v>
      </c>
      <c r="H845" s="48" t="str">
        <f>IFERROR(INDEX(Table14[],MATCH($G845,Table14[SAPNo],0),3),"")</f>
        <v>Round 1913 CT200  0.018" (B)</v>
      </c>
      <c r="I845" s="37">
        <v>34</v>
      </c>
      <c r="J845" s="37">
        <f>IF(Table412[[#This Row],[MAT]]&lt;&gt;"",COUNTIF(Table3[LEVEL 5 MAT NO.],Table412[[#This Row],[MAT]]),"")</f>
        <v>1</v>
      </c>
      <c r="K845" s="36">
        <f>IFERROR(INDEX(Table3[],MATCH($E845,Table3[LEVEL 5 MAT NO.],0),2),0)</f>
        <v>5</v>
      </c>
      <c r="L845" s="36">
        <f>Table412[[#This Row],[Quantity in BOM]]*Table412[[#This Row],[Freq]]</f>
        <v>170</v>
      </c>
      <c r="M845" s="36">
        <f>IF(Table412[[#This Row],[Exist]]=1,Table412[[#This Row],[MAT]],"")</f>
        <v>1249569</v>
      </c>
      <c r="N845" s="36">
        <f>IF(Table412[[#This Row],[Exist]]=1,Table412[[#This Row],[Component]],"")</f>
        <v>708306</v>
      </c>
      <c r="O845" s="36">
        <f>IFERROR(VALUE(Table412[[#This Row],[MAT]]&amp;Table412[[#This Row],[X'#]]),IF(COUNTIF(Table412[[#This Row],[MAT]],"*M"),Table412[[#This Row],[MAT]]&amp;Table412[[#This Row],[X'#]],""))</f>
        <v>12495692</v>
      </c>
      <c r="V845" s="36">
        <v>4</v>
      </c>
      <c r="W845" s="470">
        <v>1313</v>
      </c>
      <c r="X845" s="36" t="s">
        <v>170</v>
      </c>
      <c r="Y845" s="36" t="s">
        <v>227</v>
      </c>
      <c r="Z845" s="36">
        <v>7</v>
      </c>
    </row>
    <row r="846" spans="1:27" x14ac:dyDescent="0.25">
      <c r="A846" s="37">
        <f t="shared" si="14"/>
        <v>270</v>
      </c>
      <c r="C846" s="38" t="s">
        <v>315</v>
      </c>
      <c r="D846" s="36" t="s">
        <v>284</v>
      </c>
      <c r="E846" s="36">
        <v>1249569</v>
      </c>
      <c r="F846" s="36">
        <v>3</v>
      </c>
      <c r="G846" s="36">
        <v>1130198</v>
      </c>
      <c r="H846" s="48" t="str">
        <f>IFERROR(INDEX(Table14[],MATCH($G846,Table14[SAPNo],0),3),"")</f>
        <v>Round 1613 CT182  0.018" (S)</v>
      </c>
      <c r="I846" s="37">
        <v>9</v>
      </c>
      <c r="J846" s="37">
        <f>IF(Table412[[#This Row],[MAT]]&lt;&gt;"",COUNTIF(Table3[LEVEL 5 MAT NO.],Table412[[#This Row],[MAT]]),"")</f>
        <v>1</v>
      </c>
      <c r="K846" s="36">
        <f>IFERROR(INDEX(Table3[],MATCH($E846,Table3[LEVEL 5 MAT NO.],0),2),0)</f>
        <v>5</v>
      </c>
      <c r="L846" s="36">
        <f>Table412[[#This Row],[Quantity in BOM]]*Table412[[#This Row],[Freq]]</f>
        <v>45</v>
      </c>
      <c r="M846" s="36">
        <f>IF(Table412[[#This Row],[Exist]]=1,Table412[[#This Row],[MAT]],"")</f>
        <v>1249569</v>
      </c>
      <c r="N846" s="36">
        <f>IF(Table412[[#This Row],[Exist]]=1,Table412[[#This Row],[Component]],"")</f>
        <v>1130198</v>
      </c>
      <c r="O846" s="36">
        <f>IFERROR(VALUE(Table412[[#This Row],[MAT]]&amp;Table412[[#This Row],[X'#]]),IF(COUNTIF(Table412[[#This Row],[MAT]],"*M"),Table412[[#This Row],[MAT]]&amp;Table412[[#This Row],[X'#]],""))</f>
        <v>12495693</v>
      </c>
      <c r="V846" s="36" t="s">
        <v>242</v>
      </c>
      <c r="W846" s="470">
        <v>1313</v>
      </c>
      <c r="X846" s="36" t="s">
        <v>3718</v>
      </c>
    </row>
    <row r="847" spans="1:27" x14ac:dyDescent="0.25">
      <c r="A847" s="37">
        <f t="shared" si="14"/>
        <v>275</v>
      </c>
      <c r="C847" s="38" t="s">
        <v>315</v>
      </c>
      <c r="D847" s="36" t="s">
        <v>284</v>
      </c>
      <c r="E847" s="36">
        <v>1249569</v>
      </c>
      <c r="F847" s="36">
        <v>4</v>
      </c>
      <c r="G847" s="36">
        <v>871781</v>
      </c>
      <c r="H847" s="48" t="str">
        <f>IFERROR(INDEX(Table14[],MATCH($G847,Table14[SAPNo],0),3),"")</f>
        <v>Round 1313 CT200  0.018" (B)</v>
      </c>
      <c r="I847" s="37">
        <v>8</v>
      </c>
      <c r="J847" s="37">
        <f>IF(Table412[[#This Row],[MAT]]&lt;&gt;"",COUNTIF(Table3[LEVEL 5 MAT NO.],Table412[[#This Row],[MAT]]),"")</f>
        <v>1</v>
      </c>
      <c r="K847" s="36">
        <f>IFERROR(INDEX(Table3[],MATCH($E847,Table3[LEVEL 5 MAT NO.],0),2),0)</f>
        <v>5</v>
      </c>
      <c r="L847" s="36">
        <f>Table412[[#This Row],[Quantity in BOM]]*Table412[[#This Row],[Freq]]</f>
        <v>40</v>
      </c>
      <c r="M847" s="36">
        <f>IF(Table412[[#This Row],[Exist]]=1,Table412[[#This Row],[MAT]],"")</f>
        <v>1249569</v>
      </c>
      <c r="N847" s="36">
        <f>IF(Table412[[#This Row],[Exist]]=1,Table412[[#This Row],[Component]],"")</f>
        <v>871781</v>
      </c>
      <c r="O847" s="36">
        <f>IFERROR(VALUE(Table412[[#This Row],[MAT]]&amp;Table412[[#This Row],[X'#]]),IF(COUNTIF(Table412[[#This Row],[MAT]],"*M"),Table412[[#This Row],[MAT]]&amp;Table412[[#This Row],[X'#]],""))</f>
        <v>12495694</v>
      </c>
      <c r="W847" s="470">
        <v>5</v>
      </c>
    </row>
    <row r="848" spans="1:27" x14ac:dyDescent="0.25">
      <c r="A848" s="37">
        <f t="shared" si="14"/>
        <v>280</v>
      </c>
      <c r="C848" s="38">
        <v>8.5</v>
      </c>
      <c r="D848" s="36" t="s">
        <v>640</v>
      </c>
      <c r="E848" s="36" t="s">
        <v>3716</v>
      </c>
      <c r="F848" s="36">
        <v>1</v>
      </c>
      <c r="G848" s="36">
        <v>1100741</v>
      </c>
      <c r="H848" s="48" t="str">
        <f>IFERROR(INDEX(Table14[],MATCH($G848,Table14[SAPNo],0),3),"")</f>
        <v>Round 1613 CT418  0.018" (S)</v>
      </c>
      <c r="I848" s="37">
        <v>19</v>
      </c>
      <c r="J848" s="37">
        <f>IF(Table412[[#This Row],[MAT]]&lt;&gt;"",COUNTIF(Table3[LEVEL 5 MAT NO.],Table412[[#This Row],[MAT]]),"")</f>
        <v>0</v>
      </c>
      <c r="K848" s="36">
        <f>IFERROR(INDEX(Table3[],MATCH($E848,Table3[LEVEL 5 MAT NO.],0),2),0)</f>
        <v>0</v>
      </c>
      <c r="L848" s="36">
        <f>Table412[[#This Row],[Quantity in BOM]]*Table412[[#This Row],[Freq]]</f>
        <v>0</v>
      </c>
      <c r="M848" s="36" t="str">
        <f>IF(Table412[[#This Row],[Exist]]=1,Table412[[#This Row],[MAT]],"")</f>
        <v/>
      </c>
      <c r="N848" s="36" t="str">
        <f>IF(Table412[[#This Row],[Exist]]=1,Table412[[#This Row],[Component]],"")</f>
        <v/>
      </c>
      <c r="O848" s="36" t="str">
        <f>IFERROR(VALUE(Table412[[#This Row],[MAT]]&amp;Table412[[#This Row],[X'#]]),IF(COUNTIF(Table412[[#This Row],[MAT]],"*M"),Table412[[#This Row],[MAT]]&amp;Table412[[#This Row],[X'#]],""))</f>
        <v>1240803M1</v>
      </c>
    </row>
    <row r="849" spans="1:15" x14ac:dyDescent="0.25">
      <c r="A849" s="37">
        <f t="shared" si="14"/>
        <v>280</v>
      </c>
      <c r="C849" s="38">
        <v>8.5</v>
      </c>
      <c r="D849" s="36" t="s">
        <v>640</v>
      </c>
      <c r="E849" s="36" t="s">
        <v>3716</v>
      </c>
      <c r="F849" s="36">
        <v>2</v>
      </c>
      <c r="G849" s="36">
        <v>1209333</v>
      </c>
      <c r="H849" s="48" t="str">
        <f>IFERROR(INDEX(Table14[],MATCH($G849,Table14[SAPNo],0),3),"")</f>
        <v>1613 CT147G U</v>
      </c>
      <c r="I849" s="37">
        <v>12</v>
      </c>
      <c r="J849" s="37">
        <f>IF(Table412[[#This Row],[MAT]]&lt;&gt;"",COUNTIF(Table3[LEVEL 5 MAT NO.],Table412[[#This Row],[MAT]]),"")</f>
        <v>0</v>
      </c>
      <c r="K849" s="36">
        <f>IFERROR(INDEX(Table3[],MATCH($E849,Table3[LEVEL 5 MAT NO.],0),2),0)</f>
        <v>0</v>
      </c>
      <c r="L849" s="36">
        <f>Table412[[#This Row],[Quantity in BOM]]*Table412[[#This Row],[Freq]]</f>
        <v>0</v>
      </c>
      <c r="M849" s="36" t="str">
        <f>IF(Table412[[#This Row],[Exist]]=1,Table412[[#This Row],[MAT]],"")</f>
        <v/>
      </c>
      <c r="N849" s="36" t="str">
        <f>IF(Table412[[#This Row],[Exist]]=1,Table412[[#This Row],[Component]],"")</f>
        <v/>
      </c>
      <c r="O849" s="36" t="str">
        <f>IFERROR(VALUE(Table412[[#This Row],[MAT]]&amp;Table412[[#This Row],[X'#]]),IF(COUNTIF(Table412[[#This Row],[MAT]],"*M"),Table412[[#This Row],[MAT]]&amp;Table412[[#This Row],[X'#]],""))</f>
        <v>1240803M2</v>
      </c>
    </row>
    <row r="850" spans="1:15" x14ac:dyDescent="0.25">
      <c r="A850" s="37">
        <f t="shared" si="14"/>
        <v>280</v>
      </c>
      <c r="C850" s="38">
        <v>8.5</v>
      </c>
      <c r="D850" s="36" t="s">
        <v>640</v>
      </c>
      <c r="E850" s="36" t="s">
        <v>3716</v>
      </c>
      <c r="F850" s="36">
        <v>3</v>
      </c>
      <c r="G850" s="36">
        <v>418525</v>
      </c>
      <c r="H850" s="48" t="str">
        <f>IFERROR(INDEX(Table14[],MATCH($G850,Table14[SAPNo],0),3),"")</f>
        <v>Drop In 1308 CT31   (B)</v>
      </c>
      <c r="I850" s="37">
        <v>6</v>
      </c>
      <c r="J850" s="37">
        <f>IF(Table412[[#This Row],[MAT]]&lt;&gt;"",COUNTIF(Table3[LEVEL 5 MAT NO.],Table412[[#This Row],[MAT]]),"")</f>
        <v>0</v>
      </c>
      <c r="K850" s="36">
        <f>IFERROR(INDEX(Table3[],MATCH($E850,Table3[LEVEL 5 MAT NO.],0),2),0)</f>
        <v>0</v>
      </c>
      <c r="L850" s="36">
        <f>Table412[[#This Row],[Quantity in BOM]]*Table412[[#This Row],[Freq]]</f>
        <v>0</v>
      </c>
      <c r="M850" s="36" t="str">
        <f>IF(Table412[[#This Row],[Exist]]=1,Table412[[#This Row],[MAT]],"")</f>
        <v/>
      </c>
      <c r="N850" s="36" t="str">
        <f>IF(Table412[[#This Row],[Exist]]=1,Table412[[#This Row],[Component]],"")</f>
        <v/>
      </c>
      <c r="O850" s="36" t="str">
        <f>IFERROR(VALUE(Table412[[#This Row],[MAT]]&amp;Table412[[#This Row],[X'#]]),IF(COUNTIF(Table412[[#This Row],[MAT]],"*M"),Table412[[#This Row],[MAT]]&amp;Table412[[#This Row],[X'#]],""))</f>
        <v>1240803M3</v>
      </c>
    </row>
    <row r="851" spans="1:15" x14ac:dyDescent="0.25">
      <c r="A851" s="37">
        <f t="shared" si="14"/>
        <v>280</v>
      </c>
      <c r="C851" s="38">
        <v>8.5</v>
      </c>
      <c r="D851" s="36" t="s">
        <v>640</v>
      </c>
      <c r="E851" s="36" t="s">
        <v>3716</v>
      </c>
      <c r="F851" s="36">
        <v>4</v>
      </c>
      <c r="G851" s="36">
        <v>625854</v>
      </c>
      <c r="H851" s="48" t="str">
        <f>IFERROR(INDEX(Table14[],MATCH($G851,Table14[SAPNo],0),3),"")</f>
        <v>Carbide IA 1318    (C)</v>
      </c>
      <c r="I851" s="37">
        <v>6</v>
      </c>
      <c r="J851" s="37">
        <f>IF(Table412[[#This Row],[MAT]]&lt;&gt;"",COUNTIF(Table3[LEVEL 5 MAT NO.],Table412[[#This Row],[MAT]]),"")</f>
        <v>0</v>
      </c>
      <c r="K851" s="36">
        <f>IFERROR(INDEX(Table3[],MATCH($E851,Table3[LEVEL 5 MAT NO.],0),2),0)</f>
        <v>0</v>
      </c>
      <c r="L851" s="36">
        <f>Table412[[#This Row],[Quantity in BOM]]*Table412[[#This Row],[Freq]]</f>
        <v>0</v>
      </c>
      <c r="M851" s="36" t="str">
        <f>IF(Table412[[#This Row],[Exist]]=1,Table412[[#This Row],[MAT]],"")</f>
        <v/>
      </c>
      <c r="N851" s="36" t="str">
        <f>IF(Table412[[#This Row],[Exist]]=1,Table412[[#This Row],[Component]],"")</f>
        <v/>
      </c>
      <c r="O851" s="36" t="str">
        <f>IFERROR(VALUE(Table412[[#This Row],[MAT]]&amp;Table412[[#This Row],[X'#]]),IF(COUNTIF(Table412[[#This Row],[MAT]],"*M"),Table412[[#This Row],[MAT]]&amp;Table412[[#This Row],[X'#]],""))</f>
        <v>1240803M4</v>
      </c>
    </row>
    <row r="852" spans="1:15" x14ac:dyDescent="0.25">
      <c r="A852" s="37">
        <f t="shared" si="14"/>
        <v>280</v>
      </c>
      <c r="C852" s="38" t="s">
        <v>309</v>
      </c>
      <c r="D852" s="36" t="s">
        <v>679</v>
      </c>
      <c r="E852" s="36" t="s">
        <v>770</v>
      </c>
      <c r="F852" s="36">
        <v>1</v>
      </c>
      <c r="G852" s="36">
        <v>1152018</v>
      </c>
      <c r="H852" s="48" t="str">
        <f>IFERROR(INDEX(Table14[],MATCH($G852,Table14[SAPNo],0),3),"")</f>
        <v>1313 CT418 U</v>
      </c>
      <c r="I852" s="37">
        <v>17</v>
      </c>
      <c r="J852" s="37">
        <f>IF(Table412[[#This Row],[MAT]]&lt;&gt;"",COUNTIF(Table3[LEVEL 5 MAT NO.],Table412[[#This Row],[MAT]]),"")</f>
        <v>0</v>
      </c>
      <c r="K852" s="36">
        <f>IFERROR(INDEX(Table3[],MATCH($E852,Table3[LEVEL 5 MAT NO.],0),2),0)</f>
        <v>0</v>
      </c>
      <c r="L852" s="36">
        <f>Table412[[#This Row],[Quantity in BOM]]*Table412[[#This Row],[Freq]]</f>
        <v>0</v>
      </c>
      <c r="M852" s="36" t="str">
        <f>IF(Table412[[#This Row],[Exist]]=1,Table412[[#This Row],[MAT]],"")</f>
        <v/>
      </c>
      <c r="N852" s="36" t="str">
        <f>IF(Table412[[#This Row],[Exist]]=1,Table412[[#This Row],[Component]],"")</f>
        <v/>
      </c>
      <c r="O852" s="36" t="str">
        <f>IFERROR(VALUE(Table412[[#This Row],[MAT]]&amp;Table412[[#This Row],[X'#]]),IF(COUNTIF(Table412[[#This Row],[MAT]],"*M"),Table412[[#This Row],[MAT]]&amp;Table412[[#This Row],[X'#]],""))</f>
        <v>1259957M1</v>
      </c>
    </row>
    <row r="853" spans="1:15" x14ac:dyDescent="0.25">
      <c r="A853" s="37">
        <f t="shared" si="14"/>
        <v>280</v>
      </c>
      <c r="C853" s="38" t="s">
        <v>309</v>
      </c>
      <c r="D853" s="36" t="s">
        <v>679</v>
      </c>
      <c r="E853" s="36" t="s">
        <v>770</v>
      </c>
      <c r="F853" s="36">
        <v>2</v>
      </c>
      <c r="G853" s="36">
        <v>1244299</v>
      </c>
      <c r="H853" s="48" t="str">
        <f>IFERROR(INDEX(Table14[],MATCH($G853,Table14[SAPNo],0),3),"")</f>
        <v>1313 CT147CV4 U</v>
      </c>
      <c r="I853" s="37">
        <v>10</v>
      </c>
      <c r="J853" s="37">
        <f>IF(Table412[[#This Row],[MAT]]&lt;&gt;"",COUNTIF(Table3[LEVEL 5 MAT NO.],Table412[[#This Row],[MAT]]),"")</f>
        <v>0</v>
      </c>
      <c r="K853" s="36">
        <f>IFERROR(INDEX(Table3[],MATCH($E853,Table3[LEVEL 5 MAT NO.],0),2),0)</f>
        <v>0</v>
      </c>
      <c r="L853" s="36">
        <f>Table412[[#This Row],[Quantity in BOM]]*Table412[[#This Row],[Freq]]</f>
        <v>0</v>
      </c>
      <c r="M853" s="36" t="str">
        <f>IF(Table412[[#This Row],[Exist]]=1,Table412[[#This Row],[MAT]],"")</f>
        <v/>
      </c>
      <c r="N853" s="36" t="str">
        <f>IF(Table412[[#This Row],[Exist]]=1,Table412[[#This Row],[Component]],"")</f>
        <v/>
      </c>
      <c r="O853" s="36" t="str">
        <f>IFERROR(VALUE(Table412[[#This Row],[MAT]]&amp;Table412[[#This Row],[X'#]]),IF(COUNTIF(Table412[[#This Row],[MAT]],"*M"),Table412[[#This Row],[MAT]]&amp;Table412[[#This Row],[X'#]],""))</f>
        <v>1259957M2</v>
      </c>
    </row>
    <row r="854" spans="1:15" x14ac:dyDescent="0.25">
      <c r="A854" s="37">
        <f t="shared" si="14"/>
        <v>280</v>
      </c>
      <c r="C854" s="38" t="s">
        <v>309</v>
      </c>
      <c r="D854" s="36" t="s">
        <v>679</v>
      </c>
      <c r="E854" s="36" t="s">
        <v>770</v>
      </c>
      <c r="F854" s="36">
        <v>3</v>
      </c>
      <c r="G854" s="36">
        <v>625854</v>
      </c>
      <c r="H854" s="48" t="str">
        <f>IFERROR(INDEX(Table14[],MATCH($G854,Table14[SAPNo],0),3),"")</f>
        <v>Carbide IA 1318    (C)</v>
      </c>
      <c r="I854" s="37">
        <v>6</v>
      </c>
      <c r="J854" s="37">
        <f>IF(Table412[[#This Row],[MAT]]&lt;&gt;"",COUNTIF(Table3[LEVEL 5 MAT NO.],Table412[[#This Row],[MAT]]),"")</f>
        <v>0</v>
      </c>
      <c r="K854" s="36">
        <f>IFERROR(INDEX(Table3[],MATCH($E854,Table3[LEVEL 5 MAT NO.],0),2),0)</f>
        <v>0</v>
      </c>
      <c r="L854" s="36">
        <f>Table412[[#This Row],[Quantity in BOM]]*Table412[[#This Row],[Freq]]</f>
        <v>0</v>
      </c>
      <c r="M854" s="36" t="str">
        <f>IF(Table412[[#This Row],[Exist]]=1,Table412[[#This Row],[MAT]],"")</f>
        <v/>
      </c>
      <c r="N854" s="36" t="str">
        <f>IF(Table412[[#This Row],[Exist]]=1,Table412[[#This Row],[Component]],"")</f>
        <v/>
      </c>
      <c r="O854" s="36" t="str">
        <f>IFERROR(VALUE(Table412[[#This Row],[MAT]]&amp;Table412[[#This Row],[X'#]]),IF(COUNTIF(Table412[[#This Row],[MAT]],"*M"),Table412[[#This Row],[MAT]]&amp;Table412[[#This Row],[X'#]],""))</f>
        <v>1259957M3</v>
      </c>
    </row>
    <row r="855" spans="1:15" x14ac:dyDescent="0.25">
      <c r="A855" s="37">
        <f t="shared" si="14"/>
        <v>280</v>
      </c>
      <c r="C855" s="38" t="s">
        <v>309</v>
      </c>
      <c r="D855" s="36" t="s">
        <v>679</v>
      </c>
      <c r="E855" s="36" t="s">
        <v>770</v>
      </c>
      <c r="F855" s="36">
        <v>4</v>
      </c>
      <c r="G855" s="36">
        <v>418525</v>
      </c>
      <c r="H855" s="48" t="str">
        <f>IFERROR(INDEX(Table14[],MATCH($G855,Table14[SAPNo],0),3),"")</f>
        <v>Drop In 1308 CT31   (B)</v>
      </c>
      <c r="I855" s="37">
        <v>5</v>
      </c>
      <c r="J855" s="37">
        <f>IF(Table412[[#This Row],[MAT]]&lt;&gt;"",COUNTIF(Table3[LEVEL 5 MAT NO.],Table412[[#This Row],[MAT]]),"")</f>
        <v>0</v>
      </c>
      <c r="K855" s="36">
        <f>IFERROR(INDEX(Table3[],MATCH($E855,Table3[LEVEL 5 MAT NO.],0),2),0)</f>
        <v>0</v>
      </c>
      <c r="L855" s="36">
        <f>Table412[[#This Row],[Quantity in BOM]]*Table412[[#This Row],[Freq]]</f>
        <v>0</v>
      </c>
      <c r="M855" s="36" t="str">
        <f>IF(Table412[[#This Row],[Exist]]=1,Table412[[#This Row],[MAT]],"")</f>
        <v/>
      </c>
      <c r="N855" s="36" t="str">
        <f>IF(Table412[[#This Row],[Exist]]=1,Table412[[#This Row],[Component]],"")</f>
        <v/>
      </c>
      <c r="O855" s="36" t="str">
        <f>IFERROR(VALUE(Table412[[#This Row],[MAT]]&amp;Table412[[#This Row],[X'#]]),IF(COUNTIF(Table412[[#This Row],[MAT]],"*M"),Table412[[#This Row],[MAT]]&amp;Table412[[#This Row],[X'#]],""))</f>
        <v>1259957M4</v>
      </c>
    </row>
    <row r="856" spans="1:15" x14ac:dyDescent="0.25">
      <c r="A856" s="37">
        <f t="shared" si="14"/>
        <v>280</v>
      </c>
      <c r="C856" s="38" t="s">
        <v>624</v>
      </c>
      <c r="D856" s="36" t="s">
        <v>275</v>
      </c>
      <c r="E856" s="36" t="s">
        <v>3720</v>
      </c>
      <c r="F856" s="36">
        <v>1</v>
      </c>
      <c r="G856" s="36">
        <v>1208601</v>
      </c>
      <c r="H856" s="48" t="str">
        <f>IFERROR(INDEX(Table14[],MATCH($G856,Table14[SAPNo],0),3),"")</f>
        <v>1613 CT418 U-60</v>
      </c>
      <c r="I856" s="37">
        <v>14</v>
      </c>
      <c r="J856" s="37">
        <f>IF(Table412[[#This Row],[MAT]]&lt;&gt;"",COUNTIF(Table3[LEVEL 5 MAT NO.],Table412[[#This Row],[MAT]]),"")</f>
        <v>0</v>
      </c>
      <c r="K856" s="36">
        <f>IFERROR(INDEX(Table3[],MATCH($E856,Table3[LEVEL 5 MAT NO.],0),2),0)</f>
        <v>0</v>
      </c>
      <c r="L856" s="36">
        <f>Table412[[#This Row],[Quantity in BOM]]*Table412[[#This Row],[Freq]]</f>
        <v>0</v>
      </c>
      <c r="M856" s="36" t="str">
        <f>IF(Table412[[#This Row],[Exist]]=1,Table412[[#This Row],[MAT]],"")</f>
        <v/>
      </c>
      <c r="N856" s="36" t="str">
        <f>IF(Table412[[#This Row],[Exist]]=1,Table412[[#This Row],[Component]],"")</f>
        <v/>
      </c>
      <c r="O856" s="36" t="str">
        <f>IFERROR(VALUE(Table412[[#This Row],[MAT]]&amp;Table412[[#This Row],[X'#]]),IF(COUNTIF(Table412[[#This Row],[MAT]],"*M"),Table412[[#This Row],[MAT]]&amp;Table412[[#This Row],[X'#]],""))</f>
        <v>1158011M1</v>
      </c>
    </row>
    <row r="857" spans="1:15" x14ac:dyDescent="0.25">
      <c r="A857" s="37">
        <f t="shared" si="14"/>
        <v>280</v>
      </c>
      <c r="C857" s="38" t="s">
        <v>624</v>
      </c>
      <c r="D857" s="36" t="s">
        <v>275</v>
      </c>
      <c r="E857" s="36" t="s">
        <v>3720</v>
      </c>
      <c r="F857" s="36">
        <v>2</v>
      </c>
      <c r="G857" s="36">
        <v>1112229</v>
      </c>
      <c r="H857" s="48" t="str">
        <f>IFERROR(INDEX(Table14[],MATCH($G857,Table14[SAPNo],0),3),"")</f>
        <v>1613 CT147 18C</v>
      </c>
      <c r="I857" s="37">
        <v>17</v>
      </c>
      <c r="J857" s="37">
        <f>IF(Table412[[#This Row],[MAT]]&lt;&gt;"",COUNTIF(Table3[LEVEL 5 MAT NO.],Table412[[#This Row],[MAT]]),"")</f>
        <v>0</v>
      </c>
      <c r="K857" s="36">
        <f>IFERROR(INDEX(Table3[],MATCH($E857,Table3[LEVEL 5 MAT NO.],0),2),0)</f>
        <v>0</v>
      </c>
      <c r="L857" s="36">
        <f>Table412[[#This Row],[Quantity in BOM]]*Table412[[#This Row],[Freq]]</f>
        <v>0</v>
      </c>
      <c r="M857" s="36" t="str">
        <f>IF(Table412[[#This Row],[Exist]]=1,Table412[[#This Row],[MAT]],"")</f>
        <v/>
      </c>
      <c r="N857" s="36" t="str">
        <f>IF(Table412[[#This Row],[Exist]]=1,Table412[[#This Row],[Component]],"")</f>
        <v/>
      </c>
      <c r="O857" s="36" t="str">
        <f>IFERROR(VALUE(Table412[[#This Row],[MAT]]&amp;Table412[[#This Row],[X'#]]),IF(COUNTIF(Table412[[#This Row],[MAT]],"*M"),Table412[[#This Row],[MAT]]&amp;Table412[[#This Row],[X'#]],""))</f>
        <v>1158011M2</v>
      </c>
    </row>
    <row r="858" spans="1:15" x14ac:dyDescent="0.25">
      <c r="A858" s="37">
        <f t="shared" si="14"/>
        <v>280</v>
      </c>
      <c r="C858" s="36" t="s">
        <v>624</v>
      </c>
      <c r="D858" s="36" t="s">
        <v>275</v>
      </c>
      <c r="E858" s="36" t="s">
        <v>3720</v>
      </c>
      <c r="F858" s="36">
        <v>3</v>
      </c>
      <c r="G858" s="36">
        <v>1078377</v>
      </c>
      <c r="H858" s="48" t="str">
        <f>IFERROR(INDEX(Table14[],MATCH($G858,Table14[SAPNo],0),3),"")</f>
        <v>13MM CT221 R1</v>
      </c>
      <c r="I858" s="37">
        <v>15</v>
      </c>
      <c r="J858" s="37">
        <f>IF(Table412[[#This Row],[MAT]]&lt;&gt;"",COUNTIF(Table3[LEVEL 5 MAT NO.],Table412[[#This Row],[MAT]]),"")</f>
        <v>0</v>
      </c>
      <c r="K858" s="36">
        <f>IFERROR(INDEX(Table3[],MATCH($E858,Table3[LEVEL 5 MAT NO.],0),2),0)</f>
        <v>0</v>
      </c>
      <c r="L858" s="36">
        <f>Table412[[#This Row],[Quantity in BOM]]*Table412[[#This Row],[Freq]]</f>
        <v>0</v>
      </c>
      <c r="M858" s="36" t="str">
        <f>IF(Table412[[#This Row],[Exist]]=1,Table412[[#This Row],[MAT]],"")</f>
        <v/>
      </c>
      <c r="N858" s="36" t="str">
        <f>IF(Table412[[#This Row],[Exist]]=1,Table412[[#This Row],[Component]],"")</f>
        <v/>
      </c>
      <c r="O858" s="36" t="str">
        <f>IFERROR(VALUE(Table412[[#This Row],[MAT]]&amp;Table412[[#This Row],[X'#]]),IF(COUNTIF(Table412[[#This Row],[MAT]],"*M"),Table412[[#This Row],[MAT]]&amp;Table412[[#This Row],[X'#]],""))</f>
        <v>1158011M3</v>
      </c>
    </row>
    <row r="859" spans="1:15" x14ac:dyDescent="0.25">
      <c r="A859" s="37">
        <f t="shared" si="14"/>
        <v>280</v>
      </c>
      <c r="C859" s="36" t="s">
        <v>624</v>
      </c>
      <c r="D859" s="36" t="s">
        <v>275</v>
      </c>
      <c r="E859" s="36" t="s">
        <v>3720</v>
      </c>
      <c r="F859" s="36">
        <v>4</v>
      </c>
      <c r="G859" s="36">
        <v>418525</v>
      </c>
      <c r="H859" s="48" t="str">
        <f>IFERROR(INDEX(Table14[],MATCH($G859,Table14[SAPNo],0),3),"")</f>
        <v>Drop In 1308 CT31   (B)</v>
      </c>
      <c r="I859" s="37">
        <v>6</v>
      </c>
      <c r="J859" s="37">
        <f>IF(Table412[[#This Row],[MAT]]&lt;&gt;"",COUNTIF(Table3[LEVEL 5 MAT NO.],Table412[[#This Row],[MAT]]),"")</f>
        <v>0</v>
      </c>
      <c r="K859" s="36">
        <f>IFERROR(INDEX(Table3[],MATCH($E859,Table3[LEVEL 5 MAT NO.],0),2),0)</f>
        <v>0</v>
      </c>
      <c r="L859" s="36">
        <f>Table412[[#This Row],[Quantity in BOM]]*Table412[[#This Row],[Freq]]</f>
        <v>0</v>
      </c>
      <c r="M859" s="36" t="str">
        <f>IF(Table412[[#This Row],[Exist]]=1,Table412[[#This Row],[MAT]],"")</f>
        <v/>
      </c>
      <c r="N859" s="36" t="str">
        <f>IF(Table412[[#This Row],[Exist]]=1,Table412[[#This Row],[Component]],"")</f>
        <v/>
      </c>
      <c r="O859" s="36" t="str">
        <f>IFERROR(VALUE(Table412[[#This Row],[MAT]]&amp;Table412[[#This Row],[X'#]]),IF(COUNTIF(Table412[[#This Row],[MAT]],"*M"),Table412[[#This Row],[MAT]]&amp;Table412[[#This Row],[X'#]],""))</f>
        <v>1158011M4</v>
      </c>
    </row>
    <row r="860" spans="1:15" x14ac:dyDescent="0.25">
      <c r="A860" s="37">
        <f t="shared" si="14"/>
        <v>280</v>
      </c>
      <c r="C860" s="36" t="s">
        <v>316</v>
      </c>
      <c r="D860" s="36" t="s">
        <v>3627</v>
      </c>
      <c r="E860" s="36" t="s">
        <v>3721</v>
      </c>
      <c r="F860" s="36">
        <v>1</v>
      </c>
      <c r="G860" s="36">
        <v>1130198</v>
      </c>
      <c r="H860" s="48" t="str">
        <f>IFERROR(INDEX(Table14[],MATCH($G860,Table14[SAPNo],0),3),"")</f>
        <v>Round 1613 CT182  0.018" (S)</v>
      </c>
      <c r="I860" s="37">
        <v>92</v>
      </c>
      <c r="J860" s="37">
        <f>IF(Table412[[#This Row],[MAT]]&lt;&gt;"",COUNTIF(Table3[LEVEL 5 MAT NO.],Table412[[#This Row],[MAT]]),"")</f>
        <v>0</v>
      </c>
      <c r="K860" s="36">
        <f>IFERROR(INDEX(Table3[],MATCH($E860,Table3[LEVEL 5 MAT NO.],0),2),0)</f>
        <v>0</v>
      </c>
      <c r="L860" s="36">
        <f>Table412[[#This Row],[Quantity in BOM]]*Table412[[#This Row],[Freq]]</f>
        <v>0</v>
      </c>
      <c r="M860" s="36" t="str">
        <f>IF(Table412[[#This Row],[Exist]]=1,Table412[[#This Row],[MAT]],"")</f>
        <v/>
      </c>
      <c r="N860" s="36" t="str">
        <f>IF(Table412[[#This Row],[Exist]]=1,Table412[[#This Row],[Component]],"")</f>
        <v/>
      </c>
      <c r="O860" s="36" t="str">
        <f>IFERROR(VALUE(Table412[[#This Row],[MAT]]&amp;Table412[[#This Row],[X'#]]),IF(COUNTIF(Table412[[#This Row],[MAT]],"*M"),Table412[[#This Row],[MAT]]&amp;Table412[[#This Row],[X'#]],""))</f>
        <v>1228782M1</v>
      </c>
    </row>
    <row r="861" spans="1:15" x14ac:dyDescent="0.25">
      <c r="A861" s="37">
        <f t="shared" si="14"/>
        <v>280</v>
      </c>
      <c r="C861" s="36" t="s">
        <v>316</v>
      </c>
      <c r="D861" s="36" t="s">
        <v>3627</v>
      </c>
      <c r="E861" s="36" t="s">
        <v>3721</v>
      </c>
      <c r="F861" s="36">
        <v>2</v>
      </c>
      <c r="G861" s="36">
        <v>1100755</v>
      </c>
      <c r="H861" s="48" t="str">
        <f>IFERROR(INDEX(Table14[],MATCH($G861,Table14[SAPNo],0),3),"")</f>
        <v>Round 1613 CT421  0.018" (S)</v>
      </c>
      <c r="I861" s="37">
        <v>55</v>
      </c>
      <c r="J861" s="37">
        <f>IF(Table412[[#This Row],[MAT]]&lt;&gt;"",COUNTIF(Table3[LEVEL 5 MAT NO.],Table412[[#This Row],[MAT]]),"")</f>
        <v>0</v>
      </c>
      <c r="K861" s="36">
        <f>IFERROR(INDEX(Table3[],MATCH($E861,Table3[LEVEL 5 MAT NO.],0),2),0)</f>
        <v>0</v>
      </c>
      <c r="L861" s="36">
        <f>Table412[[#This Row],[Quantity in BOM]]*Table412[[#This Row],[Freq]]</f>
        <v>0</v>
      </c>
      <c r="M861" s="36" t="str">
        <f>IF(Table412[[#This Row],[Exist]]=1,Table412[[#This Row],[MAT]],"")</f>
        <v/>
      </c>
      <c r="N861" s="36" t="str">
        <f>IF(Table412[[#This Row],[Exist]]=1,Table412[[#This Row],[Component]],"")</f>
        <v/>
      </c>
      <c r="O861" s="36" t="str">
        <f>IFERROR(VALUE(Table412[[#This Row],[MAT]]&amp;Table412[[#This Row],[X'#]]),IF(COUNTIF(Table412[[#This Row],[MAT]],"*M"),Table412[[#This Row],[MAT]]&amp;Table412[[#This Row],[X'#]],""))</f>
        <v>1228782M2</v>
      </c>
    </row>
    <row r="862" spans="1:15" x14ac:dyDescent="0.25">
      <c r="A862" s="37">
        <f t="shared" si="14"/>
        <v>280</v>
      </c>
      <c r="C862" s="36" t="s">
        <v>316</v>
      </c>
      <c r="D862" s="36" t="s">
        <v>3627</v>
      </c>
      <c r="E862" s="36" t="s">
        <v>3721</v>
      </c>
      <c r="F862" s="36">
        <v>3</v>
      </c>
      <c r="G862" s="36">
        <v>418525</v>
      </c>
      <c r="H862" s="48" t="str">
        <f>IFERROR(INDEX(Table14[],MATCH($G862,Table14[SAPNo],0),3),"")</f>
        <v>Drop In 1308 CT31   (B)</v>
      </c>
      <c r="I862" s="37">
        <v>8</v>
      </c>
      <c r="J862" s="37">
        <f>IF(Table412[[#This Row],[MAT]]&lt;&gt;"",COUNTIF(Table3[LEVEL 5 MAT NO.],Table412[[#This Row],[MAT]]),"")</f>
        <v>0</v>
      </c>
      <c r="K862" s="36">
        <f>IFERROR(INDEX(Table3[],MATCH($E862,Table3[LEVEL 5 MAT NO.],0),2),0)</f>
        <v>0</v>
      </c>
      <c r="L862" s="36">
        <f>Table412[[#This Row],[Quantity in BOM]]*Table412[[#This Row],[Freq]]</f>
        <v>0</v>
      </c>
      <c r="M862" s="36" t="str">
        <f>IF(Table412[[#This Row],[Exist]]=1,Table412[[#This Row],[MAT]],"")</f>
        <v/>
      </c>
      <c r="N862" s="36" t="str">
        <f>IF(Table412[[#This Row],[Exist]]=1,Table412[[#This Row],[Component]],"")</f>
        <v/>
      </c>
      <c r="O862" s="36" t="str">
        <f>IFERROR(VALUE(Table412[[#This Row],[MAT]]&amp;Table412[[#This Row],[X'#]]),IF(COUNTIF(Table412[[#This Row],[MAT]],"*M"),Table412[[#This Row],[MAT]]&amp;Table412[[#This Row],[X'#]],""))</f>
        <v>1228782M3</v>
      </c>
    </row>
    <row r="863" spans="1:15" x14ac:dyDescent="0.25">
      <c r="A863" s="37">
        <f t="shared" si="14"/>
        <v>280</v>
      </c>
      <c r="C863" s="36" t="s">
        <v>624</v>
      </c>
      <c r="D863" s="36" t="s">
        <v>275</v>
      </c>
      <c r="E863" s="36" t="s">
        <v>3722</v>
      </c>
      <c r="F863" s="36">
        <v>1</v>
      </c>
      <c r="G863" s="36">
        <v>1208601</v>
      </c>
      <c r="H863" s="48" t="str">
        <f>IFERROR(INDEX(Table14[],MATCH($G863,Table14[SAPNo],0),3),"")</f>
        <v>1613 CT418 U-60</v>
      </c>
      <c r="I863" s="37">
        <v>11</v>
      </c>
      <c r="J863" s="37">
        <f>IF(Table412[[#This Row],[MAT]]&lt;&gt;"",COUNTIF(Table3[LEVEL 5 MAT NO.],Table412[[#This Row],[MAT]]),"")</f>
        <v>0</v>
      </c>
      <c r="K863" s="36">
        <f>IFERROR(INDEX(Table3[],MATCH($E863,Table3[LEVEL 5 MAT NO.],0),2),0)</f>
        <v>0</v>
      </c>
      <c r="L863" s="36">
        <f>Table412[[#This Row],[Quantity in BOM]]*Table412[[#This Row],[Freq]]</f>
        <v>0</v>
      </c>
      <c r="M863" s="36" t="str">
        <f>IF(Table412[[#This Row],[Exist]]=1,Table412[[#This Row],[MAT]],"")</f>
        <v/>
      </c>
      <c r="N863" s="36" t="str">
        <f>IF(Table412[[#This Row],[Exist]]=1,Table412[[#This Row],[Component]],"")</f>
        <v/>
      </c>
      <c r="O863" s="36" t="str">
        <f>IFERROR(VALUE(Table412[[#This Row],[MAT]]&amp;Table412[[#This Row],[X'#]]),IF(COUNTIF(Table412[[#This Row],[MAT]],"*M"),Table412[[#This Row],[MAT]]&amp;Table412[[#This Row],[X'#]],""))</f>
        <v/>
      </c>
    </row>
    <row r="864" spans="1:15" x14ac:dyDescent="0.25">
      <c r="A864" s="37">
        <f t="shared" si="14"/>
        <v>280</v>
      </c>
      <c r="C864" s="36" t="s">
        <v>624</v>
      </c>
      <c r="D864" s="36" t="s">
        <v>275</v>
      </c>
      <c r="E864" s="36" t="s">
        <v>3722</v>
      </c>
      <c r="F864" s="36">
        <v>2</v>
      </c>
      <c r="G864" s="36">
        <v>418525</v>
      </c>
      <c r="H864" s="48" t="str">
        <f>IFERROR(INDEX(Table14[],MATCH($G864,Table14[SAPNo],0),3),"")</f>
        <v>Drop In 1308 CT31   (B)</v>
      </c>
      <c r="I864" s="37">
        <v>6</v>
      </c>
      <c r="J864" s="37">
        <f>IF(Table412[[#This Row],[MAT]]&lt;&gt;"",COUNTIF(Table3[LEVEL 5 MAT NO.],Table412[[#This Row],[MAT]]),"")</f>
        <v>0</v>
      </c>
      <c r="K864" s="36">
        <f>IFERROR(INDEX(Table3[],MATCH($E864,Table3[LEVEL 5 MAT NO.],0),2),0)</f>
        <v>0</v>
      </c>
      <c r="L864" s="36">
        <f>Table412[[#This Row],[Quantity in BOM]]*Table412[[#This Row],[Freq]]</f>
        <v>0</v>
      </c>
      <c r="M864" s="36" t="str">
        <f>IF(Table412[[#This Row],[Exist]]=1,Table412[[#This Row],[MAT]],"")</f>
        <v/>
      </c>
      <c r="N864" s="36" t="str">
        <f>IF(Table412[[#This Row],[Exist]]=1,Table412[[#This Row],[Component]],"")</f>
        <v/>
      </c>
      <c r="O864" s="36" t="str">
        <f>IFERROR(VALUE(Table412[[#This Row],[MAT]]&amp;Table412[[#This Row],[X'#]]),IF(COUNTIF(Table412[[#This Row],[MAT]],"*M"),Table412[[#This Row],[MAT]]&amp;Table412[[#This Row],[X'#]],""))</f>
        <v/>
      </c>
    </row>
    <row r="865" spans="1:15" x14ac:dyDescent="0.25">
      <c r="A865" s="37">
        <f t="shared" si="14"/>
        <v>280</v>
      </c>
      <c r="C865" s="38" t="s">
        <v>624</v>
      </c>
      <c r="D865" s="36" t="s">
        <v>275</v>
      </c>
      <c r="E865" s="36" t="s">
        <v>3722</v>
      </c>
      <c r="F865" s="36">
        <v>3</v>
      </c>
      <c r="G865" s="36">
        <v>1112229</v>
      </c>
      <c r="H865" s="48" t="str">
        <f>IFERROR(INDEX(Table14[],MATCH($G865,Table14[SAPNo],0),3),"")</f>
        <v>1613 CT147 18C</v>
      </c>
      <c r="I865" s="37">
        <v>17</v>
      </c>
      <c r="J865" s="37">
        <f>IF(Table412[[#This Row],[MAT]]&lt;&gt;"",COUNTIF(Table3[LEVEL 5 MAT NO.],Table412[[#This Row],[MAT]]),"")</f>
        <v>0</v>
      </c>
      <c r="K865" s="36">
        <f>IFERROR(INDEX(Table3[],MATCH($E865,Table3[LEVEL 5 MAT NO.],0),2),0)</f>
        <v>0</v>
      </c>
      <c r="L865" s="36">
        <f>Table412[[#This Row],[Quantity in BOM]]*Table412[[#This Row],[Freq]]</f>
        <v>0</v>
      </c>
      <c r="M865" s="36" t="str">
        <f>IF(Table412[[#This Row],[Exist]]=1,Table412[[#This Row],[MAT]],"")</f>
        <v/>
      </c>
      <c r="N865" s="36" t="str">
        <f>IF(Table412[[#This Row],[Exist]]=1,Table412[[#This Row],[Component]],"")</f>
        <v/>
      </c>
      <c r="O865" s="36" t="str">
        <f>IFERROR(VALUE(Table412[[#This Row],[MAT]]&amp;Table412[[#This Row],[X'#]]),IF(COUNTIF(Table412[[#This Row],[MAT]],"*M"),Table412[[#This Row],[MAT]]&amp;Table412[[#This Row],[X'#]],""))</f>
        <v/>
      </c>
    </row>
    <row r="866" spans="1:15" x14ac:dyDescent="0.25">
      <c r="A866" s="37">
        <f t="shared" si="14"/>
        <v>280</v>
      </c>
      <c r="C866" s="38" t="s">
        <v>624</v>
      </c>
      <c r="D866" s="36" t="s">
        <v>275</v>
      </c>
      <c r="E866" s="36" t="s">
        <v>3722</v>
      </c>
      <c r="F866" s="36">
        <v>4</v>
      </c>
      <c r="G866" s="36">
        <v>1238832</v>
      </c>
      <c r="H866" s="48" t="str">
        <f>IFERROR(INDEX(Table14[],MATCH($G866,Table14[SAPNo],0),3),"")</f>
        <v>1613 CT418 25-75</v>
      </c>
      <c r="I866" s="37">
        <v>3</v>
      </c>
      <c r="J866" s="37">
        <f>IF(Table412[[#This Row],[MAT]]&lt;&gt;"",COUNTIF(Table3[LEVEL 5 MAT NO.],Table412[[#This Row],[MAT]]),"")</f>
        <v>0</v>
      </c>
      <c r="K866" s="36">
        <f>IFERROR(INDEX(Table3[],MATCH($E866,Table3[LEVEL 5 MAT NO.],0),2),0)</f>
        <v>0</v>
      </c>
      <c r="L866" s="36">
        <f>Table412[[#This Row],[Quantity in BOM]]*Table412[[#This Row],[Freq]]</f>
        <v>0</v>
      </c>
      <c r="M866" s="36" t="str">
        <f>IF(Table412[[#This Row],[Exist]]=1,Table412[[#This Row],[MAT]],"")</f>
        <v/>
      </c>
      <c r="N866" s="36" t="str">
        <f>IF(Table412[[#This Row],[Exist]]=1,Table412[[#This Row],[Component]],"")</f>
        <v/>
      </c>
      <c r="O866" s="36" t="str">
        <f>IFERROR(VALUE(Table412[[#This Row],[MAT]]&amp;Table412[[#This Row],[X'#]]),IF(COUNTIF(Table412[[#This Row],[MAT]],"*M"),Table412[[#This Row],[MAT]]&amp;Table412[[#This Row],[X'#]],""))</f>
        <v/>
      </c>
    </row>
    <row r="867" spans="1:15" x14ac:dyDescent="0.25">
      <c r="A867" s="37">
        <f t="shared" si="14"/>
        <v>280</v>
      </c>
      <c r="C867" s="38" t="s">
        <v>624</v>
      </c>
      <c r="D867" s="36" t="s">
        <v>275</v>
      </c>
      <c r="E867" s="36" t="s">
        <v>3722</v>
      </c>
      <c r="F867" s="36">
        <v>5</v>
      </c>
      <c r="G867" s="36">
        <v>1078377</v>
      </c>
      <c r="H867" s="48" t="str">
        <f>IFERROR(INDEX(Table14[],MATCH($G867,Table14[SAPNo],0),3),"")</f>
        <v>13MM CT221 R1</v>
      </c>
      <c r="I867" s="37">
        <v>15</v>
      </c>
      <c r="J867" s="37">
        <f>IF(Table412[[#This Row],[MAT]]&lt;&gt;"",COUNTIF(Table3[LEVEL 5 MAT NO.],Table412[[#This Row],[MAT]]),"")</f>
        <v>0</v>
      </c>
      <c r="K867" s="36">
        <f>IFERROR(INDEX(Table3[],MATCH($E867,Table3[LEVEL 5 MAT NO.],0),2),0)</f>
        <v>0</v>
      </c>
      <c r="L867" s="36">
        <f>Table412[[#This Row],[Quantity in BOM]]*Table412[[#This Row],[Freq]]</f>
        <v>0</v>
      </c>
      <c r="M867" s="36" t="str">
        <f>IF(Table412[[#This Row],[Exist]]=1,Table412[[#This Row],[MAT]],"")</f>
        <v/>
      </c>
      <c r="N867" s="36" t="str">
        <f>IF(Table412[[#This Row],[Exist]]=1,Table412[[#This Row],[Component]],"")</f>
        <v/>
      </c>
      <c r="O867" s="36" t="str">
        <f>IFERROR(VALUE(Table412[[#This Row],[MAT]]&amp;Table412[[#This Row],[X'#]]),IF(COUNTIF(Table412[[#This Row],[MAT]],"*M"),Table412[[#This Row],[MAT]]&amp;Table412[[#This Row],[X'#]],""))</f>
        <v/>
      </c>
    </row>
    <row r="868" spans="1:15" x14ac:dyDescent="0.25">
      <c r="A868" s="37">
        <f t="shared" si="14"/>
        <v>280</v>
      </c>
      <c r="C868" s="38" t="s">
        <v>315</v>
      </c>
      <c r="D868" s="36" t="s">
        <v>286</v>
      </c>
      <c r="E868" s="36" t="s">
        <v>762</v>
      </c>
      <c r="F868" s="36">
        <v>1</v>
      </c>
      <c r="G868" s="36">
        <v>1175118</v>
      </c>
      <c r="H868" s="48" t="str">
        <f>IFERROR(INDEX(Table14[],MATCH($G868,Table14[SAPNo],0),3),"")</f>
        <v>1613 CT147 18-60</v>
      </c>
      <c r="I868" s="37">
        <v>30</v>
      </c>
      <c r="J868" s="37">
        <f>IF(Table412[[#This Row],[MAT]]&lt;&gt;"",COUNTIF(Table3[LEVEL 5 MAT NO.],Table412[[#This Row],[MAT]]),"")</f>
        <v>0</v>
      </c>
      <c r="K868" s="36">
        <f>IFERROR(INDEX(Table3[],MATCH($E868,Table3[LEVEL 5 MAT NO.],0),2),0)</f>
        <v>0</v>
      </c>
      <c r="L868" s="36">
        <f>Table412[[#This Row],[Quantity in BOM]]*Table412[[#This Row],[Freq]]</f>
        <v>0</v>
      </c>
      <c r="M868" s="36" t="str">
        <f>IF(Table412[[#This Row],[Exist]]=1,Table412[[#This Row],[MAT]],"")</f>
        <v/>
      </c>
      <c r="N868" s="36" t="str">
        <f>IF(Table412[[#This Row],[Exist]]=1,Table412[[#This Row],[Component]],"")</f>
        <v/>
      </c>
      <c r="O868" s="36" t="str">
        <f>IFERROR(VALUE(Table412[[#This Row],[MAT]]&amp;Table412[[#This Row],[X'#]]),IF(COUNTIF(Table412[[#This Row],[MAT]],"*M"),Table412[[#This Row],[MAT]]&amp;Table412[[#This Row],[X'#]],""))</f>
        <v/>
      </c>
    </row>
    <row r="869" spans="1:15" x14ac:dyDescent="0.25">
      <c r="A869" s="37">
        <f t="shared" si="14"/>
        <v>280</v>
      </c>
      <c r="C869" s="36" t="s">
        <v>315</v>
      </c>
      <c r="D869" s="36" t="s">
        <v>286</v>
      </c>
      <c r="E869" s="36" t="s">
        <v>762</v>
      </c>
      <c r="F869" s="36">
        <v>2</v>
      </c>
      <c r="G869" s="36">
        <v>1146737</v>
      </c>
      <c r="H869" s="48" t="str">
        <f>IFERROR(INDEX(Table14[],MATCH($G869,Table14[SAPNo],0),3),"")</f>
        <v>1613 CT418 18-60</v>
      </c>
      <c r="I869" s="37">
        <v>10</v>
      </c>
      <c r="J869" s="37">
        <f>IF(Table412[[#This Row],[MAT]]&lt;&gt;"",COUNTIF(Table3[LEVEL 5 MAT NO.],Table412[[#This Row],[MAT]]),"")</f>
        <v>0</v>
      </c>
      <c r="K869" s="36">
        <f>IFERROR(INDEX(Table3[],MATCH($E869,Table3[LEVEL 5 MAT NO.],0),2),0)</f>
        <v>0</v>
      </c>
      <c r="L869" s="36">
        <f>Table412[[#This Row],[Quantity in BOM]]*Table412[[#This Row],[Freq]]</f>
        <v>0</v>
      </c>
      <c r="M869" s="36" t="str">
        <f>IF(Table412[[#This Row],[Exist]]=1,Table412[[#This Row],[MAT]],"")</f>
        <v/>
      </c>
      <c r="N869" s="36" t="str">
        <f>IF(Table412[[#This Row],[Exist]]=1,Table412[[#This Row],[Component]],"")</f>
        <v/>
      </c>
      <c r="O869" s="36" t="str">
        <f>IFERROR(VALUE(Table412[[#This Row],[MAT]]&amp;Table412[[#This Row],[X'#]]),IF(COUNTIF(Table412[[#This Row],[MAT]],"*M"),Table412[[#This Row],[MAT]]&amp;Table412[[#This Row],[X'#]],""))</f>
        <v/>
      </c>
    </row>
    <row r="870" spans="1:15" x14ac:dyDescent="0.25">
      <c r="A870" s="37">
        <f t="shared" si="14"/>
        <v>280</v>
      </c>
      <c r="C870" s="38" t="s">
        <v>315</v>
      </c>
      <c r="D870" s="36" t="s">
        <v>286</v>
      </c>
      <c r="E870" s="36" t="s">
        <v>762</v>
      </c>
      <c r="F870" s="36">
        <v>3</v>
      </c>
      <c r="G870" s="36">
        <v>1130196</v>
      </c>
      <c r="H870" s="48" t="str">
        <f>IFERROR(INDEX(Table14[],MATCH($G870,Table14[SAPNo],0),3),"")</f>
        <v>Round 1313 CT182  0.018" (S)</v>
      </c>
      <c r="I870" s="37">
        <v>18</v>
      </c>
      <c r="J870" s="37">
        <f>IF(Table412[[#This Row],[MAT]]&lt;&gt;"",COUNTIF(Table3[LEVEL 5 MAT NO.],Table412[[#This Row],[MAT]]),"")</f>
        <v>0</v>
      </c>
      <c r="K870" s="36">
        <f>IFERROR(INDEX(Table3[],MATCH($E870,Table3[LEVEL 5 MAT NO.],0),2),0)</f>
        <v>0</v>
      </c>
      <c r="L870" s="36">
        <f>Table412[[#This Row],[Quantity in BOM]]*Table412[[#This Row],[Freq]]</f>
        <v>0</v>
      </c>
      <c r="M870" s="36" t="str">
        <f>IF(Table412[[#This Row],[Exist]]=1,Table412[[#This Row],[MAT]],"")</f>
        <v/>
      </c>
      <c r="N870" s="36" t="str">
        <f>IF(Table412[[#This Row],[Exist]]=1,Table412[[#This Row],[Component]],"")</f>
        <v/>
      </c>
      <c r="O870" s="36" t="str">
        <f>IFERROR(VALUE(Table412[[#This Row],[MAT]]&amp;Table412[[#This Row],[X'#]]),IF(COUNTIF(Table412[[#This Row],[MAT]],"*M"),Table412[[#This Row],[MAT]]&amp;Table412[[#This Row],[X'#]],""))</f>
        <v/>
      </c>
    </row>
    <row r="871" spans="1:15" x14ac:dyDescent="0.25">
      <c r="A871" s="37">
        <f t="shared" si="14"/>
        <v>280</v>
      </c>
      <c r="C871" s="38" t="s">
        <v>315</v>
      </c>
      <c r="D871" s="36" t="s">
        <v>286</v>
      </c>
      <c r="E871" s="36" t="s">
        <v>762</v>
      </c>
      <c r="F871" s="36">
        <v>4</v>
      </c>
      <c r="G871" s="36">
        <v>1209410</v>
      </c>
      <c r="H871" s="48" t="str">
        <f>IFERROR(INDEX(Table14[],MATCH($G871,Table14[SAPNo],0),3),"")</f>
        <v>1613 CT430MV3 U TBO</v>
      </c>
      <c r="I871" s="37">
        <v>10</v>
      </c>
      <c r="J871" s="37">
        <f>IF(Table412[[#This Row],[MAT]]&lt;&gt;"",COUNTIF(Table3[LEVEL 5 MAT NO.],Table412[[#This Row],[MAT]]),"")</f>
        <v>0</v>
      </c>
      <c r="K871" s="36">
        <f>IFERROR(INDEX(Table3[],MATCH($E871,Table3[LEVEL 5 MAT NO.],0),2),0)</f>
        <v>0</v>
      </c>
      <c r="L871" s="36">
        <f>Table412[[#This Row],[Quantity in BOM]]*Table412[[#This Row],[Freq]]</f>
        <v>0</v>
      </c>
      <c r="M871" s="36" t="str">
        <f>IF(Table412[[#This Row],[Exist]]=1,Table412[[#This Row],[MAT]],"")</f>
        <v/>
      </c>
      <c r="N871" s="36" t="str">
        <f>IF(Table412[[#This Row],[Exist]]=1,Table412[[#This Row],[Component]],"")</f>
        <v/>
      </c>
      <c r="O871" s="36" t="str">
        <f>IFERROR(VALUE(Table412[[#This Row],[MAT]]&amp;Table412[[#This Row],[X'#]]),IF(COUNTIF(Table412[[#This Row],[MAT]],"*M"),Table412[[#This Row],[MAT]]&amp;Table412[[#This Row],[X'#]],""))</f>
        <v/>
      </c>
    </row>
    <row r="872" spans="1:15" x14ac:dyDescent="0.25">
      <c r="A872" s="37">
        <f t="shared" si="14"/>
        <v>280</v>
      </c>
      <c r="C872" s="38" t="s">
        <v>315</v>
      </c>
      <c r="D872" s="36" t="s">
        <v>286</v>
      </c>
      <c r="E872" s="36" t="s">
        <v>762</v>
      </c>
      <c r="F872" s="36">
        <v>5</v>
      </c>
      <c r="G872" s="36">
        <v>871781</v>
      </c>
      <c r="H872" s="48" t="str">
        <f>IFERROR(INDEX(Table14[],MATCH($G872,Table14[SAPNo],0),3),"")</f>
        <v>Round 1313 CT200  0.018" (B)</v>
      </c>
      <c r="I872" s="37">
        <v>3</v>
      </c>
      <c r="J872" s="37">
        <f>IF(Table412[[#This Row],[MAT]]&lt;&gt;"",COUNTIF(Table3[LEVEL 5 MAT NO.],Table412[[#This Row],[MAT]]),"")</f>
        <v>0</v>
      </c>
      <c r="K872" s="36">
        <f>IFERROR(INDEX(Table3[],MATCH($E872,Table3[LEVEL 5 MAT NO.],0),2),0)</f>
        <v>0</v>
      </c>
      <c r="L872" s="36">
        <f>Table412[[#This Row],[Quantity in BOM]]*Table412[[#This Row],[Freq]]</f>
        <v>0</v>
      </c>
      <c r="M872" s="36" t="str">
        <f>IF(Table412[[#This Row],[Exist]]=1,Table412[[#This Row],[MAT]],"")</f>
        <v/>
      </c>
      <c r="N872" s="36" t="str">
        <f>IF(Table412[[#This Row],[Exist]]=1,Table412[[#This Row],[Component]],"")</f>
        <v/>
      </c>
      <c r="O872" s="36" t="str">
        <f>IFERROR(VALUE(Table412[[#This Row],[MAT]]&amp;Table412[[#This Row],[X'#]]),IF(COUNTIF(Table412[[#This Row],[MAT]],"*M"),Table412[[#This Row],[MAT]]&amp;Table412[[#This Row],[X'#]],""))</f>
        <v/>
      </c>
    </row>
    <row r="873" spans="1:15" x14ac:dyDescent="0.25">
      <c r="A873" s="37">
        <f t="shared" si="14"/>
        <v>280</v>
      </c>
      <c r="C873" s="38" t="s">
        <v>315</v>
      </c>
      <c r="D873" s="36" t="s">
        <v>286</v>
      </c>
      <c r="E873" s="36" t="s">
        <v>762</v>
      </c>
      <c r="F873" s="36">
        <v>6</v>
      </c>
      <c r="G873" s="36">
        <v>418525</v>
      </c>
      <c r="H873" s="48" t="str">
        <f>IFERROR(INDEX(Table14[],MATCH($G873,Table14[SAPNo],0),3),"")</f>
        <v>Drop In 1308 CT31   (B)</v>
      </c>
      <c r="I873" s="37">
        <v>2</v>
      </c>
      <c r="J873" s="37">
        <f>IF(Table412[[#This Row],[MAT]]&lt;&gt;"",COUNTIF(Table3[LEVEL 5 MAT NO.],Table412[[#This Row],[MAT]]),"")</f>
        <v>0</v>
      </c>
      <c r="K873" s="36">
        <f>IFERROR(INDEX(Table3[],MATCH($E873,Table3[LEVEL 5 MAT NO.],0),2),0)</f>
        <v>0</v>
      </c>
      <c r="L873" s="36">
        <f>Table412[[#This Row],[Quantity in BOM]]*Table412[[#This Row],[Freq]]</f>
        <v>0</v>
      </c>
      <c r="M873" s="36" t="str">
        <f>IF(Table412[[#This Row],[Exist]]=1,Table412[[#This Row],[MAT]],"")</f>
        <v/>
      </c>
      <c r="N873" s="36" t="str">
        <f>IF(Table412[[#This Row],[Exist]]=1,Table412[[#This Row],[Component]],"")</f>
        <v/>
      </c>
      <c r="O873" s="36" t="str">
        <f>IFERROR(VALUE(Table412[[#This Row],[MAT]]&amp;Table412[[#This Row],[X'#]]),IF(COUNTIF(Table412[[#This Row],[MAT]],"*M"),Table412[[#This Row],[MAT]]&amp;Table412[[#This Row],[X'#]],""))</f>
        <v/>
      </c>
    </row>
    <row r="874" spans="1:15" x14ac:dyDescent="0.25">
      <c r="A874" s="37">
        <f t="shared" si="14"/>
        <v>280</v>
      </c>
      <c r="C874" s="38" t="s">
        <v>315</v>
      </c>
      <c r="D874" s="36" t="s">
        <v>284</v>
      </c>
      <c r="E874" s="36" t="s">
        <v>758</v>
      </c>
      <c r="F874" s="36">
        <v>1</v>
      </c>
      <c r="G874" s="36">
        <v>1130200</v>
      </c>
      <c r="H874" s="48" t="str">
        <f>IFERROR(INDEX(Table14[],MATCH($G874,Table14[SAPNo],0),3),"")</f>
        <v>Round 1913 CT182  0.018" (S)</v>
      </c>
      <c r="I874" s="37">
        <v>48</v>
      </c>
      <c r="J874" s="37">
        <f>IF(Table412[[#This Row],[MAT]]&lt;&gt;"",COUNTIF(Table3[LEVEL 5 MAT NO.],Table412[[#This Row],[MAT]]),"")</f>
        <v>0</v>
      </c>
      <c r="K874" s="36">
        <f>IFERROR(INDEX(Table3[],MATCH($E874,Table3[LEVEL 5 MAT NO.],0),2),0)</f>
        <v>0</v>
      </c>
      <c r="L874" s="36">
        <f>Table412[[#This Row],[Quantity in BOM]]*Table412[[#This Row],[Freq]]</f>
        <v>0</v>
      </c>
      <c r="M874" s="36" t="str">
        <f>IF(Table412[[#This Row],[Exist]]=1,Table412[[#This Row],[MAT]],"")</f>
        <v/>
      </c>
      <c r="N874" s="36" t="str">
        <f>IF(Table412[[#This Row],[Exist]]=1,Table412[[#This Row],[Component]],"")</f>
        <v/>
      </c>
      <c r="O874" s="36" t="str">
        <f>IFERROR(VALUE(Table412[[#This Row],[MAT]]&amp;Table412[[#This Row],[X'#]]),IF(COUNTIF(Table412[[#This Row],[MAT]],"*M"),Table412[[#This Row],[MAT]]&amp;Table412[[#This Row],[X'#]],""))</f>
        <v>1234376M1</v>
      </c>
    </row>
    <row r="875" spans="1:15" x14ac:dyDescent="0.25">
      <c r="A875" s="37">
        <f t="shared" si="14"/>
        <v>280</v>
      </c>
      <c r="C875" s="36" t="s">
        <v>315</v>
      </c>
      <c r="D875" s="36" t="s">
        <v>284</v>
      </c>
      <c r="E875" s="36" t="s">
        <v>758</v>
      </c>
      <c r="F875" s="36">
        <v>2</v>
      </c>
      <c r="G875" s="36">
        <v>708306</v>
      </c>
      <c r="H875" s="48" t="str">
        <f>IFERROR(INDEX(Table14[],MATCH($G875,Table14[SAPNo],0),3),"")</f>
        <v>Round 1913 CT200  0.018" (B)</v>
      </c>
      <c r="I875" s="37">
        <v>34</v>
      </c>
      <c r="J875" s="37">
        <f>IF(Table412[[#This Row],[MAT]]&lt;&gt;"",COUNTIF(Table3[LEVEL 5 MAT NO.],Table412[[#This Row],[MAT]]),"")</f>
        <v>0</v>
      </c>
      <c r="K875" s="36">
        <f>IFERROR(INDEX(Table3[],MATCH($E875,Table3[LEVEL 5 MAT NO.],0),2),0)</f>
        <v>0</v>
      </c>
      <c r="L875" s="36">
        <f>Table412[[#This Row],[Quantity in BOM]]*Table412[[#This Row],[Freq]]</f>
        <v>0</v>
      </c>
      <c r="M875" s="36" t="str">
        <f>IF(Table412[[#This Row],[Exist]]=1,Table412[[#This Row],[MAT]],"")</f>
        <v/>
      </c>
      <c r="N875" s="36" t="str">
        <f>IF(Table412[[#This Row],[Exist]]=1,Table412[[#This Row],[Component]],"")</f>
        <v/>
      </c>
      <c r="O875" s="36" t="str">
        <f>IFERROR(VALUE(Table412[[#This Row],[MAT]]&amp;Table412[[#This Row],[X'#]]),IF(COUNTIF(Table412[[#This Row],[MAT]],"*M"),Table412[[#This Row],[MAT]]&amp;Table412[[#This Row],[X'#]],""))</f>
        <v>1234376M2</v>
      </c>
    </row>
    <row r="876" spans="1:15" x14ac:dyDescent="0.25">
      <c r="A876" s="37">
        <f t="shared" si="14"/>
        <v>280</v>
      </c>
      <c r="C876" s="38" t="s">
        <v>315</v>
      </c>
      <c r="D876" s="36" t="s">
        <v>284</v>
      </c>
      <c r="E876" s="36" t="s">
        <v>758</v>
      </c>
      <c r="F876" s="36">
        <v>3</v>
      </c>
      <c r="G876" s="36">
        <v>1100755</v>
      </c>
      <c r="H876" s="48" t="str">
        <f>IFERROR(INDEX(Table14[],MATCH($G876,Table14[SAPNo],0),3),"")</f>
        <v>Round 1613 CT421  0.018" (S)</v>
      </c>
      <c r="I876" s="37">
        <v>9</v>
      </c>
      <c r="J876" s="37">
        <f>IF(Table412[[#This Row],[MAT]]&lt;&gt;"",COUNTIF(Table3[LEVEL 5 MAT NO.],Table412[[#This Row],[MAT]]),"")</f>
        <v>0</v>
      </c>
      <c r="K876" s="36">
        <f>IFERROR(INDEX(Table3[],MATCH($E876,Table3[LEVEL 5 MAT NO.],0),2),0)</f>
        <v>0</v>
      </c>
      <c r="L876" s="36">
        <f>Table412[[#This Row],[Quantity in BOM]]*Table412[[#This Row],[Freq]]</f>
        <v>0</v>
      </c>
      <c r="M876" s="36" t="str">
        <f>IF(Table412[[#This Row],[Exist]]=1,Table412[[#This Row],[MAT]],"")</f>
        <v/>
      </c>
      <c r="N876" s="36" t="str">
        <f>IF(Table412[[#This Row],[Exist]]=1,Table412[[#This Row],[Component]],"")</f>
        <v/>
      </c>
      <c r="O876" s="36" t="str">
        <f>IFERROR(VALUE(Table412[[#This Row],[MAT]]&amp;Table412[[#This Row],[X'#]]),IF(COUNTIF(Table412[[#This Row],[MAT]],"*M"),Table412[[#This Row],[MAT]]&amp;Table412[[#This Row],[X'#]],""))</f>
        <v>1234376M3</v>
      </c>
    </row>
    <row r="877" spans="1:15" x14ac:dyDescent="0.25">
      <c r="A877" s="37">
        <f t="shared" si="14"/>
        <v>280</v>
      </c>
      <c r="C877" s="36" t="s">
        <v>315</v>
      </c>
      <c r="D877" s="36" t="s">
        <v>284</v>
      </c>
      <c r="E877" s="36" t="s">
        <v>758</v>
      </c>
      <c r="F877" s="36">
        <v>4</v>
      </c>
      <c r="G877" s="36">
        <v>418525</v>
      </c>
      <c r="H877" s="48" t="str">
        <f>IFERROR(INDEX(Table14[],MATCH($G877,Table14[SAPNo],0),3),"")</f>
        <v>Drop In 1308 CT31   (B)</v>
      </c>
      <c r="I877" s="37">
        <v>4</v>
      </c>
      <c r="J877" s="37">
        <f>IF(Table412[[#This Row],[MAT]]&lt;&gt;"",COUNTIF(Table3[LEVEL 5 MAT NO.],Table412[[#This Row],[MAT]]),"")</f>
        <v>0</v>
      </c>
      <c r="K877" s="36">
        <f>IFERROR(INDEX(Table3[],MATCH($E877,Table3[LEVEL 5 MAT NO.],0),2),0)</f>
        <v>0</v>
      </c>
      <c r="L877" s="36">
        <f>Table412[[#This Row],[Quantity in BOM]]*Table412[[#This Row],[Freq]]</f>
        <v>0</v>
      </c>
      <c r="M877" s="36" t="str">
        <f>IF(Table412[[#This Row],[Exist]]=1,Table412[[#This Row],[MAT]],"")</f>
        <v/>
      </c>
      <c r="N877" s="36" t="str">
        <f>IF(Table412[[#This Row],[Exist]]=1,Table412[[#This Row],[Component]],"")</f>
        <v/>
      </c>
      <c r="O877" s="36" t="str">
        <f>IFERROR(VALUE(Table412[[#This Row],[MAT]]&amp;Table412[[#This Row],[X'#]]),IF(COUNTIF(Table412[[#This Row],[MAT]],"*M"),Table412[[#This Row],[MAT]]&amp;Table412[[#This Row],[X'#]],""))</f>
        <v>1234376M4</v>
      </c>
    </row>
    <row r="878" spans="1:15" x14ac:dyDescent="0.25">
      <c r="A878" s="37">
        <f t="shared" si="14"/>
        <v>280</v>
      </c>
      <c r="C878" s="36" t="s">
        <v>315</v>
      </c>
      <c r="D878" s="36" t="s">
        <v>284</v>
      </c>
      <c r="E878" s="36" t="s">
        <v>758</v>
      </c>
      <c r="F878" s="36">
        <v>5</v>
      </c>
      <c r="G878" s="36">
        <v>871781</v>
      </c>
      <c r="H878" s="48" t="str">
        <f>IFERROR(INDEX(Table14[],MATCH($G878,Table14[SAPNo],0),3),"")</f>
        <v>Round 1313 CT200  0.018" (B)</v>
      </c>
      <c r="I878" s="37">
        <v>4</v>
      </c>
      <c r="J878" s="37">
        <f>IF(Table412[[#This Row],[MAT]]&lt;&gt;"",COUNTIF(Table3[LEVEL 5 MAT NO.],Table412[[#This Row],[MAT]]),"")</f>
        <v>0</v>
      </c>
      <c r="K878" s="36">
        <f>IFERROR(INDEX(Table3[],MATCH($E878,Table3[LEVEL 5 MAT NO.],0),2),0)</f>
        <v>0</v>
      </c>
      <c r="L878" s="36">
        <f>Table412[[#This Row],[Quantity in BOM]]*Table412[[#This Row],[Freq]]</f>
        <v>0</v>
      </c>
      <c r="M878" s="36" t="str">
        <f>IF(Table412[[#This Row],[Exist]]=1,Table412[[#This Row],[MAT]],"")</f>
        <v/>
      </c>
      <c r="N878" s="36" t="str">
        <f>IF(Table412[[#This Row],[Exist]]=1,Table412[[#This Row],[Component]],"")</f>
        <v/>
      </c>
      <c r="O878" s="36" t="str">
        <f>IFERROR(VALUE(Table412[[#This Row],[MAT]]&amp;Table412[[#This Row],[X'#]]),IF(COUNTIF(Table412[[#This Row],[MAT]],"*M"),Table412[[#This Row],[MAT]]&amp;Table412[[#This Row],[X'#]],""))</f>
        <v>1234376M5</v>
      </c>
    </row>
    <row r="879" spans="1:15" x14ac:dyDescent="0.25">
      <c r="A879" s="37">
        <f t="shared" si="14"/>
        <v>280</v>
      </c>
      <c r="C879" s="36" t="s">
        <v>316</v>
      </c>
      <c r="D879" s="36" t="s">
        <v>290</v>
      </c>
      <c r="E879" s="36" t="s">
        <v>757</v>
      </c>
      <c r="F879" s="36">
        <v>1</v>
      </c>
      <c r="G879" s="36">
        <v>1130198</v>
      </c>
      <c r="H879" s="48" t="str">
        <f>IFERROR(INDEX(Table14[],MATCH($G879,Table14[SAPNo],0),3),"")</f>
        <v>Round 1613 CT182  0.018" (S)</v>
      </c>
      <c r="I879" s="37">
        <v>30</v>
      </c>
      <c r="J879" s="37">
        <f>IF(Table412[[#This Row],[MAT]]&lt;&gt;"",COUNTIF(Table3[LEVEL 5 MAT NO.],Table412[[#This Row],[MAT]]),"")</f>
        <v>0</v>
      </c>
      <c r="K879" s="36">
        <f>IFERROR(INDEX(Table3[],MATCH($E879,Table3[LEVEL 5 MAT NO.],0),2),0)</f>
        <v>0</v>
      </c>
      <c r="L879" s="36">
        <f>Table412[[#This Row],[Quantity in BOM]]*Table412[[#This Row],[Freq]]</f>
        <v>0</v>
      </c>
      <c r="M879" s="36" t="str">
        <f>IF(Table412[[#This Row],[Exist]]=1,Table412[[#This Row],[MAT]],"")</f>
        <v/>
      </c>
      <c r="N879" s="36" t="str">
        <f>IF(Table412[[#This Row],[Exist]]=1,Table412[[#This Row],[Component]],"")</f>
        <v/>
      </c>
      <c r="O879" s="36" t="str">
        <f>IFERROR(VALUE(Table412[[#This Row],[MAT]]&amp;Table412[[#This Row],[X'#]]),IF(COUNTIF(Table412[[#This Row],[MAT]],"*M"),Table412[[#This Row],[MAT]]&amp;Table412[[#This Row],[X'#]],""))</f>
        <v>1229187M1</v>
      </c>
    </row>
    <row r="880" spans="1:15" x14ac:dyDescent="0.25">
      <c r="A880" s="37">
        <f t="shared" si="14"/>
        <v>280</v>
      </c>
      <c r="C880" s="36" t="s">
        <v>316</v>
      </c>
      <c r="D880" s="36" t="s">
        <v>290</v>
      </c>
      <c r="E880" s="36" t="s">
        <v>757</v>
      </c>
      <c r="F880" s="36">
        <v>2</v>
      </c>
      <c r="G880" s="36">
        <v>1100755</v>
      </c>
      <c r="H880" s="48" t="str">
        <f>IFERROR(INDEX(Table14[],MATCH($G880,Table14[SAPNo],0),3),"")</f>
        <v>Round 1613 CT421  0.018" (S)</v>
      </c>
      <c r="I880" s="37">
        <v>62</v>
      </c>
      <c r="J880" s="37">
        <f>IF(Table412[[#This Row],[MAT]]&lt;&gt;"",COUNTIF(Table3[LEVEL 5 MAT NO.],Table412[[#This Row],[MAT]]),"")</f>
        <v>0</v>
      </c>
      <c r="K880" s="36">
        <f>IFERROR(INDEX(Table3[],MATCH($E880,Table3[LEVEL 5 MAT NO.],0),2),0)</f>
        <v>0</v>
      </c>
      <c r="L880" s="36">
        <f>Table412[[#This Row],[Quantity in BOM]]*Table412[[#This Row],[Freq]]</f>
        <v>0</v>
      </c>
      <c r="M880" s="36" t="str">
        <f>IF(Table412[[#This Row],[Exist]]=1,Table412[[#This Row],[MAT]],"")</f>
        <v/>
      </c>
      <c r="N880" s="36" t="str">
        <f>IF(Table412[[#This Row],[Exist]]=1,Table412[[#This Row],[Component]],"")</f>
        <v/>
      </c>
      <c r="O880" s="36" t="str">
        <f>IFERROR(VALUE(Table412[[#This Row],[MAT]]&amp;Table412[[#This Row],[X'#]]),IF(COUNTIF(Table412[[#This Row],[MAT]],"*M"),Table412[[#This Row],[MAT]]&amp;Table412[[#This Row],[X'#]],""))</f>
        <v>1229187M2</v>
      </c>
    </row>
    <row r="881" spans="1:15" x14ac:dyDescent="0.25">
      <c r="A881" s="37">
        <f t="shared" si="14"/>
        <v>280</v>
      </c>
      <c r="C881" s="36" t="s">
        <v>316</v>
      </c>
      <c r="D881" s="36" t="s">
        <v>290</v>
      </c>
      <c r="E881" s="36" t="s">
        <v>757</v>
      </c>
      <c r="F881" s="36">
        <v>3</v>
      </c>
      <c r="G881" s="36">
        <v>647436</v>
      </c>
      <c r="H881" s="48" t="str">
        <f>IFERROR(INDEX(Table14[],MATCH($G881,Table14[SAPNo],0),3),"")</f>
        <v>Round 1613 CT200  0.018" (B)</v>
      </c>
      <c r="I881" s="37">
        <v>64</v>
      </c>
      <c r="J881" s="37">
        <f>IF(Table412[[#This Row],[MAT]]&lt;&gt;"",COUNTIF(Table3[LEVEL 5 MAT NO.],Table412[[#This Row],[MAT]]),"")</f>
        <v>0</v>
      </c>
      <c r="K881" s="36">
        <f>IFERROR(INDEX(Table3[],MATCH($E881,Table3[LEVEL 5 MAT NO.],0),2),0)</f>
        <v>0</v>
      </c>
      <c r="L881" s="36">
        <f>Table412[[#This Row],[Quantity in BOM]]*Table412[[#This Row],[Freq]]</f>
        <v>0</v>
      </c>
      <c r="M881" s="36" t="str">
        <f>IF(Table412[[#This Row],[Exist]]=1,Table412[[#This Row],[MAT]],"")</f>
        <v/>
      </c>
      <c r="N881" s="36" t="str">
        <f>IF(Table412[[#This Row],[Exist]]=1,Table412[[#This Row],[Component]],"")</f>
        <v/>
      </c>
      <c r="O881" s="36" t="str">
        <f>IFERROR(VALUE(Table412[[#This Row],[MAT]]&amp;Table412[[#This Row],[X'#]]),IF(COUNTIF(Table412[[#This Row],[MAT]],"*M"),Table412[[#This Row],[MAT]]&amp;Table412[[#This Row],[X'#]],""))</f>
        <v>1229187M3</v>
      </c>
    </row>
    <row r="882" spans="1:15" x14ac:dyDescent="0.25">
      <c r="A882" s="37">
        <f t="shared" si="14"/>
        <v>280</v>
      </c>
      <c r="C882" s="36" t="s">
        <v>316</v>
      </c>
      <c r="D882" s="36" t="s">
        <v>290</v>
      </c>
      <c r="E882" s="36" t="s">
        <v>757</v>
      </c>
      <c r="F882" s="36">
        <v>4</v>
      </c>
      <c r="G882" s="36">
        <v>647435</v>
      </c>
      <c r="H882" s="48" t="str">
        <f>IFERROR(INDEX(Table14[],MATCH($G882,Table14[SAPNo],0),3),"")</f>
        <v>Round 1608 CT200  0.018" (B)</v>
      </c>
      <c r="I882" s="37">
        <v>16</v>
      </c>
      <c r="J882" s="37">
        <f>IF(Table412[[#This Row],[MAT]]&lt;&gt;"",COUNTIF(Table3[LEVEL 5 MAT NO.],Table412[[#This Row],[MAT]]),"")</f>
        <v>0</v>
      </c>
      <c r="K882" s="36">
        <f>IFERROR(INDEX(Table3[],MATCH($E882,Table3[LEVEL 5 MAT NO.],0),2),0)</f>
        <v>0</v>
      </c>
      <c r="L882" s="36">
        <f>Table412[[#This Row],[Quantity in BOM]]*Table412[[#This Row],[Freq]]</f>
        <v>0</v>
      </c>
      <c r="M882" s="36" t="str">
        <f>IF(Table412[[#This Row],[Exist]]=1,Table412[[#This Row],[MAT]],"")</f>
        <v/>
      </c>
      <c r="N882" s="36" t="str">
        <f>IF(Table412[[#This Row],[Exist]]=1,Table412[[#This Row],[Component]],"")</f>
        <v/>
      </c>
      <c r="O882" s="36" t="str">
        <f>IFERROR(VALUE(Table412[[#This Row],[MAT]]&amp;Table412[[#This Row],[X'#]]),IF(COUNTIF(Table412[[#This Row],[MAT]],"*M"),Table412[[#This Row],[MAT]]&amp;Table412[[#This Row],[X'#]],""))</f>
        <v>1229187M4</v>
      </c>
    </row>
    <row r="883" spans="1:15" x14ac:dyDescent="0.25">
      <c r="A883" s="37">
        <f t="shared" si="14"/>
        <v>280</v>
      </c>
      <c r="C883" s="36" t="s">
        <v>316</v>
      </c>
      <c r="D883" s="36" t="s">
        <v>290</v>
      </c>
      <c r="E883" s="36" t="s">
        <v>757</v>
      </c>
      <c r="F883" s="36">
        <v>5</v>
      </c>
      <c r="G883" s="36">
        <v>418525</v>
      </c>
      <c r="H883" s="48" t="str">
        <f>IFERROR(INDEX(Table14[],MATCH($G883,Table14[SAPNo],0),3),"")</f>
        <v>Drop In 1308 CT31   (B)</v>
      </c>
      <c r="I883" s="37">
        <v>8</v>
      </c>
      <c r="J883" s="37">
        <f>IF(Table412[[#This Row],[MAT]]&lt;&gt;"",COUNTIF(Table3[LEVEL 5 MAT NO.],Table412[[#This Row],[MAT]]),"")</f>
        <v>0</v>
      </c>
      <c r="K883" s="36">
        <f>IFERROR(INDEX(Table3[],MATCH($E883,Table3[LEVEL 5 MAT NO.],0),2),0)</f>
        <v>0</v>
      </c>
      <c r="L883" s="36">
        <f>Table412[[#This Row],[Quantity in BOM]]*Table412[[#This Row],[Freq]]</f>
        <v>0</v>
      </c>
      <c r="M883" s="36" t="str">
        <f>IF(Table412[[#This Row],[Exist]]=1,Table412[[#This Row],[MAT]],"")</f>
        <v/>
      </c>
      <c r="N883" s="36" t="str">
        <f>IF(Table412[[#This Row],[Exist]]=1,Table412[[#This Row],[Component]],"")</f>
        <v/>
      </c>
      <c r="O883" s="36" t="str">
        <f>IFERROR(VALUE(Table412[[#This Row],[MAT]]&amp;Table412[[#This Row],[X'#]]),IF(COUNTIF(Table412[[#This Row],[MAT]],"*M"),Table412[[#This Row],[MAT]]&amp;Table412[[#This Row],[X'#]],""))</f>
        <v>1229187M5</v>
      </c>
    </row>
    <row r="884" spans="1:15" x14ac:dyDescent="0.25">
      <c r="A884" s="37">
        <f t="shared" si="14"/>
        <v>280</v>
      </c>
      <c r="C884" s="36" t="s">
        <v>309</v>
      </c>
      <c r="D884" s="36" t="s">
        <v>256</v>
      </c>
      <c r="E884" s="36" t="s">
        <v>730</v>
      </c>
      <c r="F884" s="36">
        <v>1</v>
      </c>
      <c r="G884" s="36">
        <v>1136984</v>
      </c>
      <c r="H884" s="48" t="str">
        <f>IFERROR(INDEX(Table14[],MATCH($G884,Table14[SAPNo],0),3),"")</f>
        <v>DBLMCHT 1313 CT182DM  10C (S)</v>
      </c>
      <c r="I884" s="37">
        <v>13</v>
      </c>
      <c r="J884" s="37">
        <f>IF(Table412[[#This Row],[MAT]]&lt;&gt;"",COUNTIF(Table3[LEVEL 5 MAT NO.],Table412[[#This Row],[MAT]]),"")</f>
        <v>0</v>
      </c>
      <c r="K884" s="36">
        <f>IFERROR(INDEX(Table3[],MATCH($E884,Table3[LEVEL 5 MAT NO.],0),2),0)</f>
        <v>0</v>
      </c>
      <c r="L884" s="36">
        <f>Table412[[#This Row],[Quantity in BOM]]*Table412[[#This Row],[Freq]]</f>
        <v>0</v>
      </c>
      <c r="M884" s="36" t="str">
        <f>IF(Table412[[#This Row],[Exist]]=1,Table412[[#This Row],[MAT]],"")</f>
        <v/>
      </c>
      <c r="N884" s="36" t="str">
        <f>IF(Table412[[#This Row],[Exist]]=1,Table412[[#This Row],[Component]],"")</f>
        <v/>
      </c>
      <c r="O884" s="36" t="str">
        <f>IFERROR(VALUE(Table412[[#This Row],[MAT]]&amp;Table412[[#This Row],[X'#]]),IF(COUNTIF(Table412[[#This Row],[MAT]],"*M"),Table412[[#This Row],[MAT]]&amp;Table412[[#This Row],[X'#]],""))</f>
        <v>1198387M1</v>
      </c>
    </row>
    <row r="885" spans="1:15" x14ac:dyDescent="0.25">
      <c r="A885" s="37">
        <f t="shared" si="14"/>
        <v>280</v>
      </c>
      <c r="C885" s="38" t="s">
        <v>309</v>
      </c>
      <c r="D885" s="36" t="s">
        <v>256</v>
      </c>
      <c r="E885" s="36" t="s">
        <v>730</v>
      </c>
      <c r="F885" s="36">
        <v>2</v>
      </c>
      <c r="G885" s="36">
        <v>1100696</v>
      </c>
      <c r="H885" s="48" t="str">
        <f>IFERROR(INDEX(Table14[],MATCH($G885,Table14[SAPNo],0),3),"")</f>
        <v>Round 1313 CT418  10C (S)</v>
      </c>
      <c r="I885" s="37">
        <v>5</v>
      </c>
      <c r="J885" s="37">
        <f>IF(Table412[[#This Row],[MAT]]&lt;&gt;"",COUNTIF(Table3[LEVEL 5 MAT NO.],Table412[[#This Row],[MAT]]),"")</f>
        <v>0</v>
      </c>
      <c r="K885" s="36">
        <f>IFERROR(INDEX(Table3[],MATCH($E885,Table3[LEVEL 5 MAT NO.],0),2),0)</f>
        <v>0</v>
      </c>
      <c r="L885" s="36">
        <f>Table412[[#This Row],[Quantity in BOM]]*Table412[[#This Row],[Freq]]</f>
        <v>0</v>
      </c>
      <c r="M885" s="36" t="str">
        <f>IF(Table412[[#This Row],[Exist]]=1,Table412[[#This Row],[MAT]],"")</f>
        <v/>
      </c>
      <c r="N885" s="36" t="str">
        <f>IF(Table412[[#This Row],[Exist]]=1,Table412[[#This Row],[Component]],"")</f>
        <v/>
      </c>
      <c r="O885" s="36" t="str">
        <f>IFERROR(VALUE(Table412[[#This Row],[MAT]]&amp;Table412[[#This Row],[X'#]]),IF(COUNTIF(Table412[[#This Row],[MAT]],"*M"),Table412[[#This Row],[MAT]]&amp;Table412[[#This Row],[X'#]],""))</f>
        <v>1198387M2</v>
      </c>
    </row>
    <row r="886" spans="1:15" x14ac:dyDescent="0.25">
      <c r="A886" s="37">
        <f t="shared" si="14"/>
        <v>280</v>
      </c>
      <c r="C886" s="38" t="s">
        <v>309</v>
      </c>
      <c r="D886" s="36" t="s">
        <v>256</v>
      </c>
      <c r="E886" s="36" t="s">
        <v>730</v>
      </c>
      <c r="F886" s="36">
        <v>3</v>
      </c>
      <c r="G886" s="36">
        <v>418525</v>
      </c>
      <c r="H886" s="48" t="str">
        <f>IFERROR(INDEX(Table14[],MATCH($G886,Table14[SAPNo],0),3),"")</f>
        <v>Drop In 1308 CT31   (B)</v>
      </c>
      <c r="I886" s="37">
        <v>6</v>
      </c>
      <c r="J886" s="37">
        <f>IF(Table412[[#This Row],[MAT]]&lt;&gt;"",COUNTIF(Table3[LEVEL 5 MAT NO.],Table412[[#This Row],[MAT]]),"")</f>
        <v>0</v>
      </c>
      <c r="K886" s="36">
        <f>IFERROR(INDEX(Table3[],MATCH($E886,Table3[LEVEL 5 MAT NO.],0),2),0)</f>
        <v>0</v>
      </c>
      <c r="L886" s="36">
        <f>Table412[[#This Row],[Quantity in BOM]]*Table412[[#This Row],[Freq]]</f>
        <v>0</v>
      </c>
      <c r="M886" s="36" t="str">
        <f>IF(Table412[[#This Row],[Exist]]=1,Table412[[#This Row],[MAT]],"")</f>
        <v/>
      </c>
      <c r="N886" s="36" t="str">
        <f>IF(Table412[[#This Row],[Exist]]=1,Table412[[#This Row],[Component]],"")</f>
        <v/>
      </c>
      <c r="O886" s="36" t="str">
        <f>IFERROR(VALUE(Table412[[#This Row],[MAT]]&amp;Table412[[#This Row],[X'#]]),IF(COUNTIF(Table412[[#This Row],[MAT]],"*M"),Table412[[#This Row],[MAT]]&amp;Table412[[#This Row],[X'#]],""))</f>
        <v>1198387M3</v>
      </c>
    </row>
    <row r="887" spans="1:15" x14ac:dyDescent="0.25">
      <c r="A887" s="37">
        <f t="shared" si="14"/>
        <v>280</v>
      </c>
      <c r="C887" s="38" t="s">
        <v>309</v>
      </c>
      <c r="D887" s="36" t="s">
        <v>256</v>
      </c>
      <c r="E887" s="36" t="s">
        <v>730</v>
      </c>
      <c r="F887" s="36">
        <v>4</v>
      </c>
      <c r="G887" s="36">
        <v>1101509</v>
      </c>
      <c r="H887" s="48" t="str">
        <f>IFERROR(INDEX(Table14[],MATCH($G887,Table14[SAPNo],0),3),"")</f>
        <v>Short IA 8    (C)</v>
      </c>
      <c r="I887" s="37">
        <v>5</v>
      </c>
      <c r="J887" s="37">
        <f>IF(Table412[[#This Row],[MAT]]&lt;&gt;"",COUNTIF(Table3[LEVEL 5 MAT NO.],Table412[[#This Row],[MAT]]),"")</f>
        <v>0</v>
      </c>
      <c r="K887" s="36">
        <f>IFERROR(INDEX(Table3[],MATCH($E887,Table3[LEVEL 5 MAT NO.],0),2),0)</f>
        <v>0</v>
      </c>
      <c r="L887" s="36">
        <f>Table412[[#This Row],[Quantity in BOM]]*Table412[[#This Row],[Freq]]</f>
        <v>0</v>
      </c>
      <c r="M887" s="36" t="str">
        <f>IF(Table412[[#This Row],[Exist]]=1,Table412[[#This Row],[MAT]],"")</f>
        <v/>
      </c>
      <c r="N887" s="36" t="str">
        <f>IF(Table412[[#This Row],[Exist]]=1,Table412[[#This Row],[Component]],"")</f>
        <v/>
      </c>
      <c r="O887" s="36" t="str">
        <f>IFERROR(VALUE(Table412[[#This Row],[MAT]]&amp;Table412[[#This Row],[X'#]]),IF(COUNTIF(Table412[[#This Row],[MAT]],"*M"),Table412[[#This Row],[MAT]]&amp;Table412[[#This Row],[X'#]],""))</f>
        <v>1198387M4</v>
      </c>
    </row>
    <row r="888" spans="1:15" x14ac:dyDescent="0.25">
      <c r="A888" s="37">
        <f t="shared" si="14"/>
        <v>280</v>
      </c>
      <c r="C888" s="38" t="s">
        <v>309</v>
      </c>
      <c r="D888" s="36" t="s">
        <v>256</v>
      </c>
      <c r="E888" s="36" t="s">
        <v>730</v>
      </c>
      <c r="F888" s="36">
        <v>5</v>
      </c>
      <c r="G888" s="36">
        <v>1104083</v>
      </c>
      <c r="H888" s="48" t="str">
        <f>IFERROR(INDEX(Table14[],MATCH($G888,Table14[SAPNo],0),3),"")</f>
        <v>1313 CT144H  10C (S)</v>
      </c>
      <c r="I888" s="37">
        <v>1</v>
      </c>
      <c r="J888" s="37">
        <f>IF(Table412[[#This Row],[MAT]]&lt;&gt;"",COUNTIF(Table3[LEVEL 5 MAT NO.],Table412[[#This Row],[MAT]]),"")</f>
        <v>0</v>
      </c>
      <c r="K888" s="36">
        <f>IFERROR(INDEX(Table3[],MATCH($E888,Table3[LEVEL 5 MAT NO.],0),2),0)</f>
        <v>0</v>
      </c>
      <c r="L888" s="36">
        <f>Table412[[#This Row],[Quantity in BOM]]*Table412[[#This Row],[Freq]]</f>
        <v>0</v>
      </c>
      <c r="M888" s="36" t="str">
        <f>IF(Table412[[#This Row],[Exist]]=1,Table412[[#This Row],[MAT]],"")</f>
        <v/>
      </c>
      <c r="N888" s="36" t="str">
        <f>IF(Table412[[#This Row],[Exist]]=1,Table412[[#This Row],[Component]],"")</f>
        <v/>
      </c>
      <c r="O888" s="36" t="str">
        <f>IFERROR(VALUE(Table412[[#This Row],[MAT]]&amp;Table412[[#This Row],[X'#]]),IF(COUNTIF(Table412[[#This Row],[MAT]],"*M"),Table412[[#This Row],[MAT]]&amp;Table412[[#This Row],[X'#]],""))</f>
        <v>1198387M5</v>
      </c>
    </row>
    <row r="889" spans="1:15" x14ac:dyDescent="0.25">
      <c r="A889" s="37">
        <f t="shared" si="14"/>
        <v>280</v>
      </c>
      <c r="C889" s="38" t="s">
        <v>309</v>
      </c>
      <c r="D889" s="36" t="s">
        <v>256</v>
      </c>
      <c r="E889" s="36" t="s">
        <v>730</v>
      </c>
      <c r="F889" s="36">
        <v>6</v>
      </c>
      <c r="G889" s="36">
        <v>1238831</v>
      </c>
      <c r="H889" s="48" t="str">
        <f>IFERROR(INDEX(Table14[],MATCH($G889,Table14[SAPNo],0),3),"")</f>
        <v>1313 CT418 25-75</v>
      </c>
      <c r="I889" s="37">
        <v>7</v>
      </c>
      <c r="J889" s="37">
        <f>IF(Table412[[#This Row],[MAT]]&lt;&gt;"",COUNTIF(Table3[LEVEL 5 MAT NO.],Table412[[#This Row],[MAT]]),"")</f>
        <v>0</v>
      </c>
      <c r="K889" s="36">
        <f>IFERROR(INDEX(Table3[],MATCH($E889,Table3[LEVEL 5 MAT NO.],0),2),0)</f>
        <v>0</v>
      </c>
      <c r="L889" s="36">
        <f>Table412[[#This Row],[Quantity in BOM]]*Table412[[#This Row],[Freq]]</f>
        <v>0</v>
      </c>
      <c r="M889" s="36" t="str">
        <f>IF(Table412[[#This Row],[Exist]]=1,Table412[[#This Row],[MAT]],"")</f>
        <v/>
      </c>
      <c r="N889" s="36" t="str">
        <f>IF(Table412[[#This Row],[Exist]]=1,Table412[[#This Row],[Component]],"")</f>
        <v/>
      </c>
      <c r="O889" s="36" t="str">
        <f>IFERROR(VALUE(Table412[[#This Row],[MAT]]&amp;Table412[[#This Row],[X'#]]),IF(COUNTIF(Table412[[#This Row],[MAT]],"*M"),Table412[[#This Row],[MAT]]&amp;Table412[[#This Row],[X'#]],""))</f>
        <v>1198387M6</v>
      </c>
    </row>
    <row r="890" spans="1:15" x14ac:dyDescent="0.25">
      <c r="A890" s="37">
        <f t="shared" si="14"/>
        <v>280</v>
      </c>
      <c r="C890" s="38" t="s">
        <v>631</v>
      </c>
      <c r="D890" s="36" t="s">
        <v>645</v>
      </c>
      <c r="E890" s="36">
        <v>1235768</v>
      </c>
      <c r="F890" s="36">
        <v>1</v>
      </c>
      <c r="G890" s="36">
        <v>1261319</v>
      </c>
      <c r="H890" s="48" t="str">
        <f>IFERROR(INDEX(Table14[],MATCH($G890,Table14[SAPNo],0),3),"")</f>
        <v>1308 CT155 U-60</v>
      </c>
      <c r="I890" s="37">
        <v>24</v>
      </c>
      <c r="J890" s="37">
        <f>IF(Table412[[#This Row],[MAT]]&lt;&gt;"",COUNTIF(Table3[LEVEL 5 MAT NO.],Table412[[#This Row],[MAT]]),"")</f>
        <v>1</v>
      </c>
      <c r="K890" s="36">
        <f>IFERROR(INDEX(Table3[],MATCH($E890,Table3[LEVEL 5 MAT NO.],0),2),0)</f>
        <v>0</v>
      </c>
      <c r="L890" s="36">
        <f>Table412[[#This Row],[Quantity in BOM]]*Table412[[#This Row],[Freq]]</f>
        <v>0</v>
      </c>
      <c r="M890" s="36">
        <f>IF(Table412[[#This Row],[Exist]]=1,Table412[[#This Row],[MAT]],"")</f>
        <v>1235768</v>
      </c>
      <c r="N890" s="36">
        <f>IF(Table412[[#This Row],[Exist]]=1,Table412[[#This Row],[Component]],"")</f>
        <v>1261319</v>
      </c>
      <c r="O890" s="36">
        <f>IFERROR(VALUE(Table412[[#This Row],[MAT]]&amp;Table412[[#This Row],[X'#]]),IF(COUNTIF(Table412[[#This Row],[MAT]],"*M"),Table412[[#This Row],[MAT]]&amp;Table412[[#This Row],[X'#]],""))</f>
        <v>12357681</v>
      </c>
    </row>
    <row r="891" spans="1:15" x14ac:dyDescent="0.25">
      <c r="A891" s="37">
        <f t="shared" si="14"/>
        <v>280</v>
      </c>
      <c r="C891" s="38" t="s">
        <v>631</v>
      </c>
      <c r="D891" s="36" t="s">
        <v>645</v>
      </c>
      <c r="E891" s="36">
        <v>1235768</v>
      </c>
      <c r="F891" s="36">
        <v>2</v>
      </c>
      <c r="G891" s="36">
        <v>1228502</v>
      </c>
      <c r="H891" s="48" t="str">
        <f>IFERROR(INDEX(Table14[],MATCH($G891,Table14[SAPNo],0),3),"")</f>
        <v>1618 CT182 U-60 Rotor</v>
      </c>
      <c r="I891" s="37">
        <v>10</v>
      </c>
      <c r="J891" s="37">
        <f>IF(Table412[[#This Row],[MAT]]&lt;&gt;"",COUNTIF(Table3[LEVEL 5 MAT NO.],Table412[[#This Row],[MAT]]),"")</f>
        <v>1</v>
      </c>
      <c r="K891" s="36">
        <f>IFERROR(INDEX(Table3[],MATCH($E891,Table3[LEVEL 5 MAT NO.],0),2),0)</f>
        <v>0</v>
      </c>
      <c r="L891" s="36">
        <f>Table412[[#This Row],[Quantity in BOM]]*Table412[[#This Row],[Freq]]</f>
        <v>0</v>
      </c>
      <c r="M891" s="36">
        <f>IF(Table412[[#This Row],[Exist]]=1,Table412[[#This Row],[MAT]],"")</f>
        <v>1235768</v>
      </c>
      <c r="N891" s="36">
        <f>IF(Table412[[#This Row],[Exist]]=1,Table412[[#This Row],[Component]],"")</f>
        <v>1228502</v>
      </c>
      <c r="O891" s="36">
        <f>IFERROR(VALUE(Table412[[#This Row],[MAT]]&amp;Table412[[#This Row],[X'#]]),IF(COUNTIF(Table412[[#This Row],[MAT]],"*M"),Table412[[#This Row],[MAT]]&amp;Table412[[#This Row],[X'#]],""))</f>
        <v>12357682</v>
      </c>
    </row>
    <row r="892" spans="1:15" x14ac:dyDescent="0.25">
      <c r="A892" s="37">
        <f t="shared" si="14"/>
        <v>280</v>
      </c>
      <c r="C892" s="38" t="s">
        <v>631</v>
      </c>
      <c r="D892" s="36" t="s">
        <v>645</v>
      </c>
      <c r="E892" s="36">
        <v>1235768</v>
      </c>
      <c r="F892" s="36">
        <v>3</v>
      </c>
      <c r="G892" s="36">
        <v>871781</v>
      </c>
      <c r="H892" s="48" t="str">
        <f>IFERROR(INDEX(Table14[],MATCH($G892,Table14[SAPNo],0),3),"")</f>
        <v>Round 1313 CT200  0.018" (B)</v>
      </c>
      <c r="I892" s="37">
        <v>6</v>
      </c>
      <c r="J892" s="37">
        <f>IF(Table412[[#This Row],[MAT]]&lt;&gt;"",COUNTIF(Table3[LEVEL 5 MAT NO.],Table412[[#This Row],[MAT]]),"")</f>
        <v>1</v>
      </c>
      <c r="K892" s="36">
        <f>IFERROR(INDEX(Table3[],MATCH($E892,Table3[LEVEL 5 MAT NO.],0),2),0)</f>
        <v>0</v>
      </c>
      <c r="L892" s="36">
        <f>Table412[[#This Row],[Quantity in BOM]]*Table412[[#This Row],[Freq]]</f>
        <v>0</v>
      </c>
      <c r="M892" s="36">
        <f>IF(Table412[[#This Row],[Exist]]=1,Table412[[#This Row],[MAT]],"")</f>
        <v>1235768</v>
      </c>
      <c r="N892" s="36">
        <f>IF(Table412[[#This Row],[Exist]]=1,Table412[[#This Row],[Component]],"")</f>
        <v>871781</v>
      </c>
      <c r="O892" s="36">
        <f>IFERROR(VALUE(Table412[[#This Row],[MAT]]&amp;Table412[[#This Row],[X'#]]),IF(COUNTIF(Table412[[#This Row],[MAT]],"*M"),Table412[[#This Row],[MAT]]&amp;Table412[[#This Row],[X'#]],""))</f>
        <v>12357683</v>
      </c>
    </row>
    <row r="893" spans="1:15" x14ac:dyDescent="0.25">
      <c r="A893" s="37">
        <f t="shared" si="14"/>
        <v>280</v>
      </c>
      <c r="C893" s="38" t="s">
        <v>631</v>
      </c>
      <c r="D893" s="36" t="s">
        <v>645</v>
      </c>
      <c r="E893" s="36">
        <v>1235768</v>
      </c>
      <c r="F893" s="36">
        <v>4</v>
      </c>
      <c r="G893" s="36">
        <v>1261320</v>
      </c>
      <c r="H893" s="48" t="str">
        <f>IFERROR(INDEX(Table14[],MATCH($G893,Table14[SAPNo],0),3),"")</f>
        <v>1313 CT155 U-60</v>
      </c>
      <c r="I893" s="37">
        <v>6</v>
      </c>
      <c r="J893" s="37">
        <f>IF(Table412[[#This Row],[MAT]]&lt;&gt;"",COUNTIF(Table3[LEVEL 5 MAT NO.],Table412[[#This Row],[MAT]]),"")</f>
        <v>1</v>
      </c>
      <c r="K893" s="36">
        <f>IFERROR(INDEX(Table3[],MATCH($E893,Table3[LEVEL 5 MAT NO.],0),2),0)</f>
        <v>0</v>
      </c>
      <c r="L893" s="36">
        <f>Table412[[#This Row],[Quantity in BOM]]*Table412[[#This Row],[Freq]]</f>
        <v>0</v>
      </c>
      <c r="M893" s="36">
        <f>IF(Table412[[#This Row],[Exist]]=1,Table412[[#This Row],[MAT]],"")</f>
        <v>1235768</v>
      </c>
      <c r="N893" s="36">
        <f>IF(Table412[[#This Row],[Exist]]=1,Table412[[#This Row],[Component]],"")</f>
        <v>1261320</v>
      </c>
      <c r="O893" s="36">
        <f>IFERROR(VALUE(Table412[[#This Row],[MAT]]&amp;Table412[[#This Row],[X'#]]),IF(COUNTIF(Table412[[#This Row],[MAT]],"*M"),Table412[[#This Row],[MAT]]&amp;Table412[[#This Row],[X'#]],""))</f>
        <v>12357684</v>
      </c>
    </row>
    <row r="894" spans="1:15" x14ac:dyDescent="0.25">
      <c r="A894" s="37">
        <f t="shared" si="14"/>
        <v>280</v>
      </c>
      <c r="C894" s="38" t="s">
        <v>631</v>
      </c>
      <c r="D894" s="36" t="s">
        <v>645</v>
      </c>
      <c r="E894" s="36">
        <v>1235768</v>
      </c>
      <c r="F894" s="36">
        <v>5</v>
      </c>
      <c r="G894" s="36">
        <v>1261321</v>
      </c>
      <c r="H894" s="48" t="str">
        <f>IFERROR(INDEX(Table14[],MATCH($G894,Table14[SAPNo],0),3),"")</f>
        <v>1613 CT155 U-60</v>
      </c>
      <c r="I894" s="37">
        <v>4</v>
      </c>
      <c r="J894" s="37">
        <f>IF(Table412[[#This Row],[MAT]]&lt;&gt;"",COUNTIF(Table3[LEVEL 5 MAT NO.],Table412[[#This Row],[MAT]]),"")</f>
        <v>1</v>
      </c>
      <c r="K894" s="36">
        <f>IFERROR(INDEX(Table3[],MATCH($E894,Table3[LEVEL 5 MAT NO.],0),2),0)</f>
        <v>0</v>
      </c>
      <c r="L894" s="36">
        <f>Table412[[#This Row],[Quantity in BOM]]*Table412[[#This Row],[Freq]]</f>
        <v>0</v>
      </c>
      <c r="M894" s="36">
        <f>IF(Table412[[#This Row],[Exist]]=1,Table412[[#This Row],[MAT]],"")</f>
        <v>1235768</v>
      </c>
      <c r="N894" s="36">
        <f>IF(Table412[[#This Row],[Exist]]=1,Table412[[#This Row],[Component]],"")</f>
        <v>1261321</v>
      </c>
      <c r="O894" s="36">
        <f>IFERROR(VALUE(Table412[[#This Row],[MAT]]&amp;Table412[[#This Row],[X'#]]),IF(COUNTIF(Table412[[#This Row],[MAT]],"*M"),Table412[[#This Row],[MAT]]&amp;Table412[[#This Row],[X'#]],""))</f>
        <v>12357685</v>
      </c>
    </row>
    <row r="895" spans="1:15" x14ac:dyDescent="0.25">
      <c r="A895" s="37">
        <f t="shared" si="14"/>
        <v>280</v>
      </c>
      <c r="C895" s="38">
        <v>8.375</v>
      </c>
      <c r="D895" s="36" t="s">
        <v>314</v>
      </c>
      <c r="E895" s="36" t="s">
        <v>3723</v>
      </c>
      <c r="F895" s="36">
        <v>1</v>
      </c>
      <c r="G895" s="36">
        <v>1100755</v>
      </c>
      <c r="H895" s="48" t="str">
        <f>IFERROR(INDEX(Table14[],MATCH($G895,Table14[SAPNo],0),3),"")</f>
        <v>Round 1613 CT421  0.018" (S)</v>
      </c>
      <c r="I895" s="37">
        <v>33</v>
      </c>
      <c r="J895" s="37">
        <f>IF(Table412[[#This Row],[MAT]]&lt;&gt;"",COUNTIF(Table3[LEVEL 5 MAT NO.],Table412[[#This Row],[MAT]]),"")</f>
        <v>0</v>
      </c>
      <c r="K895" s="36">
        <f>IFERROR(INDEX(Table3[],MATCH($E895,Table3[LEVEL 5 MAT NO.],0),2),0)</f>
        <v>0</v>
      </c>
      <c r="L895" s="36">
        <f>Table412[[#This Row],[Quantity in BOM]]*Table412[[#This Row],[Freq]]</f>
        <v>0</v>
      </c>
      <c r="M895" s="36" t="str">
        <f>IF(Table412[[#This Row],[Exist]]=1,Table412[[#This Row],[MAT]],"")</f>
        <v/>
      </c>
      <c r="N895" s="36" t="str">
        <f>IF(Table412[[#This Row],[Exist]]=1,Table412[[#This Row],[Component]],"")</f>
        <v/>
      </c>
      <c r="O895" s="36" t="str">
        <f>IFERROR(VALUE(Table412[[#This Row],[MAT]]&amp;Table412[[#This Row],[X'#]]),IF(COUNTIF(Table412[[#This Row],[MAT]],"*M"),Table412[[#This Row],[MAT]]&amp;Table412[[#This Row],[X'#]],""))</f>
        <v>1176919M1</v>
      </c>
    </row>
    <row r="896" spans="1:15" x14ac:dyDescent="0.25">
      <c r="A896" s="37">
        <f t="shared" si="14"/>
        <v>280</v>
      </c>
      <c r="C896" s="38">
        <v>8.375</v>
      </c>
      <c r="D896" s="36" t="s">
        <v>314</v>
      </c>
      <c r="E896" s="36" t="s">
        <v>3723</v>
      </c>
      <c r="F896" s="36">
        <v>2</v>
      </c>
      <c r="G896" s="36">
        <v>1130197</v>
      </c>
      <c r="H896" s="48" t="str">
        <f>IFERROR(INDEX(Table14[],MATCH($G896,Table14[SAPNo],0),3),"")</f>
        <v>Round 1608 CT182  0.018" (S)</v>
      </c>
      <c r="I896" s="37">
        <v>23</v>
      </c>
      <c r="J896" s="37">
        <f>IF(Table412[[#This Row],[MAT]]&lt;&gt;"",COUNTIF(Table3[LEVEL 5 MAT NO.],Table412[[#This Row],[MAT]]),"")</f>
        <v>0</v>
      </c>
      <c r="K896" s="36">
        <f>IFERROR(INDEX(Table3[],MATCH($E896,Table3[LEVEL 5 MAT NO.],0),2),0)</f>
        <v>0</v>
      </c>
      <c r="L896" s="36">
        <f>Table412[[#This Row],[Quantity in BOM]]*Table412[[#This Row],[Freq]]</f>
        <v>0</v>
      </c>
      <c r="M896" s="36" t="str">
        <f>IF(Table412[[#This Row],[Exist]]=1,Table412[[#This Row],[MAT]],"")</f>
        <v/>
      </c>
      <c r="N896" s="36" t="str">
        <f>IF(Table412[[#This Row],[Exist]]=1,Table412[[#This Row],[Component]],"")</f>
        <v/>
      </c>
      <c r="O896" s="36" t="str">
        <f>IFERROR(VALUE(Table412[[#This Row],[MAT]]&amp;Table412[[#This Row],[X'#]]),IF(COUNTIF(Table412[[#This Row],[MAT]],"*M"),Table412[[#This Row],[MAT]]&amp;Table412[[#This Row],[X'#]],""))</f>
        <v>1176919M2</v>
      </c>
    </row>
    <row r="897" spans="1:15" x14ac:dyDescent="0.25">
      <c r="A897" s="37">
        <f t="shared" si="14"/>
        <v>280</v>
      </c>
      <c r="C897" s="36">
        <v>8.375</v>
      </c>
      <c r="D897" s="36" t="s">
        <v>314</v>
      </c>
      <c r="E897" s="36" t="s">
        <v>3723</v>
      </c>
      <c r="F897" s="36">
        <v>3</v>
      </c>
      <c r="G897" s="36">
        <v>418525</v>
      </c>
      <c r="H897" s="48" t="str">
        <f>IFERROR(INDEX(Table14[],MATCH($G897,Table14[SAPNo],0),3),"")</f>
        <v>Drop In 1308 CT31   (B)</v>
      </c>
      <c r="I897" s="37">
        <v>6</v>
      </c>
      <c r="J897" s="37">
        <f>IF(Table412[[#This Row],[MAT]]&lt;&gt;"",COUNTIF(Table3[LEVEL 5 MAT NO.],Table412[[#This Row],[MAT]]),"")</f>
        <v>0</v>
      </c>
      <c r="K897" s="36">
        <f>IFERROR(INDEX(Table3[],MATCH($E897,Table3[LEVEL 5 MAT NO.],0),2),0)</f>
        <v>0</v>
      </c>
      <c r="L897" s="36">
        <f>Table412[[#This Row],[Quantity in BOM]]*Table412[[#This Row],[Freq]]</f>
        <v>0</v>
      </c>
      <c r="M897" s="36" t="str">
        <f>IF(Table412[[#This Row],[Exist]]=1,Table412[[#This Row],[MAT]],"")</f>
        <v/>
      </c>
      <c r="N897" s="36" t="str">
        <f>IF(Table412[[#This Row],[Exist]]=1,Table412[[#This Row],[Component]],"")</f>
        <v/>
      </c>
      <c r="O897" s="36" t="str">
        <f>IFERROR(VALUE(Table412[[#This Row],[MAT]]&amp;Table412[[#This Row],[X'#]]),IF(COUNTIF(Table412[[#This Row],[MAT]],"*M"),Table412[[#This Row],[MAT]]&amp;Table412[[#This Row],[X'#]],""))</f>
        <v>1176919M3</v>
      </c>
    </row>
    <row r="898" spans="1:15" x14ac:dyDescent="0.25">
      <c r="A898" s="37">
        <f t="shared" si="14"/>
        <v>280</v>
      </c>
      <c r="C898" s="36" t="s">
        <v>315</v>
      </c>
      <c r="D898" s="36" t="s">
        <v>284</v>
      </c>
      <c r="E898" s="36" t="s">
        <v>3724</v>
      </c>
      <c r="F898" s="36">
        <v>1</v>
      </c>
      <c r="G898" s="36">
        <v>1130200</v>
      </c>
      <c r="H898" s="48" t="str">
        <f>IFERROR(INDEX(Table14[],MATCH($G898,Table14[SAPNo],0),3),"")</f>
        <v>Round 1913 CT182  0.018" (S)</v>
      </c>
      <c r="I898" s="37">
        <v>24</v>
      </c>
      <c r="J898" s="37">
        <f>IF(Table412[[#This Row],[MAT]]&lt;&gt;"",COUNTIF(Table3[LEVEL 5 MAT NO.],Table412[[#This Row],[MAT]]),"")</f>
        <v>0</v>
      </c>
      <c r="K898" s="36">
        <f>IFERROR(INDEX(Table3[],MATCH($E898,Table3[LEVEL 5 MAT NO.],0),2),0)</f>
        <v>0</v>
      </c>
      <c r="L898" s="36">
        <f>Table412[[#This Row],[Quantity in BOM]]*Table412[[#This Row],[Freq]]</f>
        <v>0</v>
      </c>
      <c r="M898" s="36" t="str">
        <f>IF(Table412[[#This Row],[Exist]]=1,Table412[[#This Row],[MAT]],"")</f>
        <v/>
      </c>
      <c r="N898" s="36" t="str">
        <f>IF(Table412[[#This Row],[Exist]]=1,Table412[[#This Row],[Component]],"")</f>
        <v/>
      </c>
      <c r="O898" s="36" t="str">
        <f>IFERROR(VALUE(Table412[[#This Row],[MAT]]&amp;Table412[[#This Row],[X'#]]),IF(COUNTIF(Table412[[#This Row],[MAT]],"*M"),Table412[[#This Row],[MAT]]&amp;Table412[[#This Row],[X'#]],""))</f>
        <v>1249569M1</v>
      </c>
    </row>
    <row r="899" spans="1:15" x14ac:dyDescent="0.25">
      <c r="A899" s="37">
        <f t="shared" si="14"/>
        <v>280</v>
      </c>
      <c r="C899" s="36" t="s">
        <v>315</v>
      </c>
      <c r="D899" s="36" t="s">
        <v>284</v>
      </c>
      <c r="E899" s="36" t="s">
        <v>3724</v>
      </c>
      <c r="F899" s="36">
        <v>2</v>
      </c>
      <c r="G899" s="36">
        <v>708306</v>
      </c>
      <c r="H899" s="48" t="str">
        <f>IFERROR(INDEX(Table14[],MATCH($G899,Table14[SAPNo],0),3),"")</f>
        <v>Round 1913 CT200  0.018" (B)</v>
      </c>
      <c r="I899" s="37">
        <v>34</v>
      </c>
      <c r="J899" s="37">
        <f>IF(Table412[[#This Row],[MAT]]&lt;&gt;"",COUNTIF(Table3[LEVEL 5 MAT NO.],Table412[[#This Row],[MAT]]),"")</f>
        <v>0</v>
      </c>
      <c r="K899" s="36">
        <f>IFERROR(INDEX(Table3[],MATCH($E899,Table3[LEVEL 5 MAT NO.],0),2),0)</f>
        <v>0</v>
      </c>
      <c r="L899" s="36">
        <f>Table412[[#This Row],[Quantity in BOM]]*Table412[[#This Row],[Freq]]</f>
        <v>0</v>
      </c>
      <c r="M899" s="36" t="str">
        <f>IF(Table412[[#This Row],[Exist]]=1,Table412[[#This Row],[MAT]],"")</f>
        <v/>
      </c>
      <c r="N899" s="36" t="str">
        <f>IF(Table412[[#This Row],[Exist]]=1,Table412[[#This Row],[Component]],"")</f>
        <v/>
      </c>
      <c r="O899" s="36" t="str">
        <f>IFERROR(VALUE(Table412[[#This Row],[MAT]]&amp;Table412[[#This Row],[X'#]]),IF(COUNTIF(Table412[[#This Row],[MAT]],"*M"),Table412[[#This Row],[MAT]]&amp;Table412[[#This Row],[X'#]],""))</f>
        <v>1249569M2</v>
      </c>
    </row>
    <row r="900" spans="1:15" x14ac:dyDescent="0.25">
      <c r="A900" s="37">
        <f t="shared" ref="A900:A963" si="15">A899+K899</f>
        <v>280</v>
      </c>
      <c r="C900" s="36" t="s">
        <v>315</v>
      </c>
      <c r="D900" s="36" t="s">
        <v>284</v>
      </c>
      <c r="E900" s="36" t="s">
        <v>3724</v>
      </c>
      <c r="F900" s="36">
        <v>3</v>
      </c>
      <c r="G900" s="36">
        <v>1130198</v>
      </c>
      <c r="H900" s="48" t="str">
        <f>IFERROR(INDEX(Table14[],MATCH($G900,Table14[SAPNo],0),3),"")</f>
        <v>Round 1613 CT182  0.018" (S)</v>
      </c>
      <c r="I900" s="37">
        <v>3</v>
      </c>
      <c r="J900" s="37">
        <f>IF(Table412[[#This Row],[MAT]]&lt;&gt;"",COUNTIF(Table3[LEVEL 5 MAT NO.],Table412[[#This Row],[MAT]]),"")</f>
        <v>0</v>
      </c>
      <c r="K900" s="36">
        <f>IFERROR(INDEX(Table3[],MATCH($E900,Table3[LEVEL 5 MAT NO.],0),2),0)</f>
        <v>0</v>
      </c>
      <c r="L900" s="36">
        <f>Table412[[#This Row],[Quantity in BOM]]*Table412[[#This Row],[Freq]]</f>
        <v>0</v>
      </c>
      <c r="M900" s="36" t="str">
        <f>IF(Table412[[#This Row],[Exist]]=1,Table412[[#This Row],[MAT]],"")</f>
        <v/>
      </c>
      <c r="N900" s="36" t="str">
        <f>IF(Table412[[#This Row],[Exist]]=1,Table412[[#This Row],[Component]],"")</f>
        <v/>
      </c>
      <c r="O900" s="36" t="str">
        <f>IFERROR(VALUE(Table412[[#This Row],[MAT]]&amp;Table412[[#This Row],[X'#]]),IF(COUNTIF(Table412[[#This Row],[MAT]],"*M"),Table412[[#This Row],[MAT]]&amp;Table412[[#This Row],[X'#]],""))</f>
        <v>1249569M3</v>
      </c>
    </row>
    <row r="901" spans="1:15" x14ac:dyDescent="0.25">
      <c r="A901" s="37">
        <f t="shared" si="15"/>
        <v>280</v>
      </c>
      <c r="C901" s="36" t="s">
        <v>315</v>
      </c>
      <c r="D901" s="36" t="s">
        <v>284</v>
      </c>
      <c r="E901" s="36" t="s">
        <v>3724</v>
      </c>
      <c r="F901" s="36">
        <v>4</v>
      </c>
      <c r="G901" s="36">
        <v>871781</v>
      </c>
      <c r="H901" s="48" t="str">
        <f>IFERROR(INDEX(Table14[],MATCH($G901,Table14[SAPNo],0),3),"")</f>
        <v>Round 1313 CT200  0.018" (B)</v>
      </c>
      <c r="I901" s="37">
        <v>8</v>
      </c>
      <c r="J901" s="37">
        <f>IF(Table412[[#This Row],[MAT]]&lt;&gt;"",COUNTIF(Table3[LEVEL 5 MAT NO.],Table412[[#This Row],[MAT]]),"")</f>
        <v>0</v>
      </c>
      <c r="K901" s="36">
        <f>IFERROR(INDEX(Table3[],MATCH($E901,Table3[LEVEL 5 MAT NO.],0),2),0)</f>
        <v>0</v>
      </c>
      <c r="L901" s="36">
        <f>Table412[[#This Row],[Quantity in BOM]]*Table412[[#This Row],[Freq]]</f>
        <v>0</v>
      </c>
      <c r="M901" s="36" t="str">
        <f>IF(Table412[[#This Row],[Exist]]=1,Table412[[#This Row],[MAT]],"")</f>
        <v/>
      </c>
      <c r="N901" s="36" t="str">
        <f>IF(Table412[[#This Row],[Exist]]=1,Table412[[#This Row],[Component]],"")</f>
        <v/>
      </c>
      <c r="O901" s="36" t="str">
        <f>IFERROR(VALUE(Table412[[#This Row],[MAT]]&amp;Table412[[#This Row],[X'#]]),IF(COUNTIF(Table412[[#This Row],[MAT]],"*M"),Table412[[#This Row],[MAT]]&amp;Table412[[#This Row],[X'#]],""))</f>
        <v>1249569M4</v>
      </c>
    </row>
    <row r="902" spans="1:15" x14ac:dyDescent="0.25">
      <c r="A902" s="37">
        <f t="shared" si="15"/>
        <v>280</v>
      </c>
      <c r="C902" s="36" t="s">
        <v>315</v>
      </c>
      <c r="D902" s="36" t="s">
        <v>284</v>
      </c>
      <c r="E902" s="36" t="s">
        <v>3724</v>
      </c>
      <c r="F902" s="36">
        <v>5</v>
      </c>
      <c r="G902" s="36">
        <v>1100755</v>
      </c>
      <c r="H902" s="48" t="str">
        <f>IFERROR(INDEX(Table14[],MATCH($G902,Table14[SAPNo],0),3),"")</f>
        <v>Round 1613 CT421  0.018" (S)</v>
      </c>
      <c r="I902" s="37">
        <v>6</v>
      </c>
      <c r="J902" s="37">
        <f>IF(Table412[[#This Row],[MAT]]&lt;&gt;"",COUNTIF(Table3[LEVEL 5 MAT NO.],Table412[[#This Row],[MAT]]),"")</f>
        <v>0</v>
      </c>
      <c r="K902" s="36">
        <f>IFERROR(INDEX(Table3[],MATCH($E902,Table3[LEVEL 5 MAT NO.],0),2),0)</f>
        <v>0</v>
      </c>
      <c r="L902" s="36">
        <f>Table412[[#This Row],[Quantity in BOM]]*Table412[[#This Row],[Freq]]</f>
        <v>0</v>
      </c>
      <c r="M902" s="36" t="str">
        <f>IF(Table412[[#This Row],[Exist]]=1,Table412[[#This Row],[MAT]],"")</f>
        <v/>
      </c>
      <c r="N902" s="36" t="str">
        <f>IF(Table412[[#This Row],[Exist]]=1,Table412[[#This Row],[Component]],"")</f>
        <v/>
      </c>
      <c r="O902" s="36" t="str">
        <f>IFERROR(VALUE(Table412[[#This Row],[MAT]]&amp;Table412[[#This Row],[X'#]]),IF(COUNTIF(Table412[[#This Row],[MAT]],"*M"),Table412[[#This Row],[MAT]]&amp;Table412[[#This Row],[X'#]],""))</f>
        <v>1249569M5</v>
      </c>
    </row>
    <row r="903" spans="1:15" x14ac:dyDescent="0.25">
      <c r="A903" s="37">
        <f t="shared" si="15"/>
        <v>280</v>
      </c>
      <c r="C903" s="36" t="s">
        <v>315</v>
      </c>
      <c r="D903" s="36" t="s">
        <v>284</v>
      </c>
      <c r="E903" s="36" t="s">
        <v>3724</v>
      </c>
      <c r="F903" s="36">
        <v>6</v>
      </c>
      <c r="G903" s="36">
        <v>1100759</v>
      </c>
      <c r="H903" s="48" t="str">
        <f>IFERROR(INDEX(Table14[],MATCH($G903,Table14[SAPNo],0),3),"")</f>
        <v>1913 CT421 0.018"</v>
      </c>
      <c r="I903" s="37">
        <v>24</v>
      </c>
      <c r="J903" s="37">
        <f>IF(Table412[[#This Row],[MAT]]&lt;&gt;"",COUNTIF(Table3[LEVEL 5 MAT NO.],Table412[[#This Row],[MAT]]),"")</f>
        <v>0</v>
      </c>
      <c r="K903" s="36">
        <f>IFERROR(INDEX(Table3[],MATCH($E903,Table3[LEVEL 5 MAT NO.],0),2),0)</f>
        <v>0</v>
      </c>
      <c r="L903" s="36">
        <f>Table412[[#This Row],[Quantity in BOM]]*Table412[[#This Row],[Freq]]</f>
        <v>0</v>
      </c>
      <c r="M903" s="36" t="str">
        <f>IF(Table412[[#This Row],[Exist]]=1,Table412[[#This Row],[MAT]],"")</f>
        <v/>
      </c>
      <c r="N903" s="36" t="str">
        <f>IF(Table412[[#This Row],[Exist]]=1,Table412[[#This Row],[Component]],"")</f>
        <v/>
      </c>
      <c r="O903" s="36" t="str">
        <f>IFERROR(VALUE(Table412[[#This Row],[MAT]]&amp;Table412[[#This Row],[X'#]]),IF(COUNTIF(Table412[[#This Row],[MAT]],"*M"),Table412[[#This Row],[MAT]]&amp;Table412[[#This Row],[X'#]],""))</f>
        <v>1249569M6</v>
      </c>
    </row>
    <row r="904" spans="1:15" x14ac:dyDescent="0.25">
      <c r="A904" s="37">
        <f t="shared" si="15"/>
        <v>280</v>
      </c>
      <c r="C904" s="36" t="s">
        <v>624</v>
      </c>
      <c r="D904" s="36" t="s">
        <v>275</v>
      </c>
      <c r="E904" s="36" t="s">
        <v>727</v>
      </c>
      <c r="F904" s="36">
        <v>1</v>
      </c>
      <c r="G904" s="36">
        <v>1208601</v>
      </c>
      <c r="H904" s="48" t="str">
        <f>IFERROR(INDEX(Table14[],MATCH($G904,Table14[SAPNo],0),3),"")</f>
        <v>1613 CT418 U-60</v>
      </c>
      <c r="I904" s="37">
        <v>8</v>
      </c>
      <c r="J904" s="37">
        <f>IF(Table412[[#This Row],[MAT]]&lt;&gt;"",COUNTIF(Table3[LEVEL 5 MAT NO.],Table412[[#This Row],[MAT]]),"")</f>
        <v>0</v>
      </c>
      <c r="K904" s="36">
        <f>IFERROR(INDEX(Table3[],MATCH($E904,Table3[LEVEL 5 MAT NO.],0),2),0)</f>
        <v>0</v>
      </c>
      <c r="L904" s="36">
        <f>Table412[[#This Row],[Quantity in BOM]]*Table412[[#This Row],[Freq]]</f>
        <v>0</v>
      </c>
      <c r="M904" s="36" t="str">
        <f>IF(Table412[[#This Row],[Exist]]=1,Table412[[#This Row],[MAT]],"")</f>
        <v/>
      </c>
      <c r="N904" s="36" t="str">
        <f>IF(Table412[[#This Row],[Exist]]=1,Table412[[#This Row],[Component]],"")</f>
        <v/>
      </c>
      <c r="O904" s="36" t="str">
        <f>IFERROR(VALUE(Table412[[#This Row],[MAT]]&amp;Table412[[#This Row],[X'#]]),IF(COUNTIF(Table412[[#This Row],[MAT]],"*M"),Table412[[#This Row],[MAT]]&amp;Table412[[#This Row],[X'#]],""))</f>
        <v/>
      </c>
    </row>
    <row r="905" spans="1:15" x14ac:dyDescent="0.25">
      <c r="A905" s="37">
        <f t="shared" si="15"/>
        <v>280</v>
      </c>
      <c r="C905" s="38" t="s">
        <v>624</v>
      </c>
      <c r="D905" s="36" t="s">
        <v>275</v>
      </c>
      <c r="E905" s="36" t="s">
        <v>727</v>
      </c>
      <c r="F905" s="36">
        <v>2</v>
      </c>
      <c r="G905" s="36">
        <v>1161587</v>
      </c>
      <c r="H905" s="48" t="str">
        <f>IFERROR(INDEX(Table14[],MATCH($G905,Table14[SAPNo],0),3),"")</f>
        <v>13MM CT228</v>
      </c>
      <c r="I905" s="37">
        <v>15</v>
      </c>
      <c r="J905" s="37">
        <f>IF(Table412[[#This Row],[MAT]]&lt;&gt;"",COUNTIF(Table3[LEVEL 5 MAT NO.],Table412[[#This Row],[MAT]]),"")</f>
        <v>0</v>
      </c>
      <c r="K905" s="36">
        <f>IFERROR(INDEX(Table3[],MATCH($E905,Table3[LEVEL 5 MAT NO.],0),2),0)</f>
        <v>0</v>
      </c>
      <c r="L905" s="36">
        <f>Table412[[#This Row],[Quantity in BOM]]*Table412[[#This Row],[Freq]]</f>
        <v>0</v>
      </c>
      <c r="M905" s="36" t="str">
        <f>IF(Table412[[#This Row],[Exist]]=1,Table412[[#This Row],[MAT]],"")</f>
        <v/>
      </c>
      <c r="N905" s="36" t="str">
        <f>IF(Table412[[#This Row],[Exist]]=1,Table412[[#This Row],[Component]],"")</f>
        <v/>
      </c>
      <c r="O905" s="36" t="str">
        <f>IFERROR(VALUE(Table412[[#This Row],[MAT]]&amp;Table412[[#This Row],[X'#]]),IF(COUNTIF(Table412[[#This Row],[MAT]],"*M"),Table412[[#This Row],[MAT]]&amp;Table412[[#This Row],[X'#]],""))</f>
        <v/>
      </c>
    </row>
    <row r="906" spans="1:15" x14ac:dyDescent="0.25">
      <c r="A906" s="37">
        <f t="shared" si="15"/>
        <v>280</v>
      </c>
      <c r="C906" s="38" t="s">
        <v>624</v>
      </c>
      <c r="D906" s="36" t="s">
        <v>275</v>
      </c>
      <c r="E906" s="36" t="s">
        <v>727</v>
      </c>
      <c r="F906" s="36">
        <v>3</v>
      </c>
      <c r="G906" s="36">
        <v>418525</v>
      </c>
      <c r="H906" s="48" t="str">
        <f>IFERROR(INDEX(Table14[],MATCH($G906,Table14[SAPNo],0),3),"")</f>
        <v>Drop In 1308 CT31   (B)</v>
      </c>
      <c r="I906" s="37">
        <v>6</v>
      </c>
      <c r="J906" s="37">
        <f>IF(Table412[[#This Row],[MAT]]&lt;&gt;"",COUNTIF(Table3[LEVEL 5 MAT NO.],Table412[[#This Row],[MAT]]),"")</f>
        <v>0</v>
      </c>
      <c r="K906" s="36">
        <f>IFERROR(INDEX(Table3[],MATCH($E906,Table3[LEVEL 5 MAT NO.],0),2),0)</f>
        <v>0</v>
      </c>
      <c r="L906" s="36">
        <f>Table412[[#This Row],[Quantity in BOM]]*Table412[[#This Row],[Freq]]</f>
        <v>0</v>
      </c>
      <c r="M906" s="36" t="str">
        <f>IF(Table412[[#This Row],[Exist]]=1,Table412[[#This Row],[MAT]],"")</f>
        <v/>
      </c>
      <c r="N906" s="36" t="str">
        <f>IF(Table412[[#This Row],[Exist]]=1,Table412[[#This Row],[Component]],"")</f>
        <v/>
      </c>
      <c r="O906" s="36" t="str">
        <f>IFERROR(VALUE(Table412[[#This Row],[MAT]]&amp;Table412[[#This Row],[X'#]]),IF(COUNTIF(Table412[[#This Row],[MAT]],"*M"),Table412[[#This Row],[MAT]]&amp;Table412[[#This Row],[X'#]],""))</f>
        <v/>
      </c>
    </row>
    <row r="907" spans="1:15" x14ac:dyDescent="0.25">
      <c r="A907" s="37">
        <f t="shared" si="15"/>
        <v>280</v>
      </c>
      <c r="C907" s="38" t="s">
        <v>624</v>
      </c>
      <c r="D907" s="36" t="s">
        <v>275</v>
      </c>
      <c r="E907" s="36" t="s">
        <v>727</v>
      </c>
      <c r="F907" s="36">
        <v>4</v>
      </c>
      <c r="G907" s="36">
        <v>1175118</v>
      </c>
      <c r="H907" s="48" t="str">
        <f>IFERROR(INDEX(Table14[],MATCH($G907,Table14[SAPNo],0),3),"")</f>
        <v>1613 CT147 18-60</v>
      </c>
      <c r="I907" s="37">
        <v>17</v>
      </c>
      <c r="J907" s="37">
        <f>IF(Table412[[#This Row],[MAT]]&lt;&gt;"",COUNTIF(Table3[LEVEL 5 MAT NO.],Table412[[#This Row],[MAT]]),"")</f>
        <v>0</v>
      </c>
      <c r="K907" s="36">
        <f>IFERROR(INDEX(Table3[],MATCH($E907,Table3[LEVEL 5 MAT NO.],0),2),0)</f>
        <v>0</v>
      </c>
      <c r="L907" s="36">
        <f>Table412[[#This Row],[Quantity in BOM]]*Table412[[#This Row],[Freq]]</f>
        <v>0</v>
      </c>
      <c r="M907" s="36" t="str">
        <f>IF(Table412[[#This Row],[Exist]]=1,Table412[[#This Row],[MAT]],"")</f>
        <v/>
      </c>
      <c r="N907" s="36" t="str">
        <f>IF(Table412[[#This Row],[Exist]]=1,Table412[[#This Row],[Component]],"")</f>
        <v/>
      </c>
      <c r="O907" s="36" t="str">
        <f>IFERROR(VALUE(Table412[[#This Row],[MAT]]&amp;Table412[[#This Row],[X'#]]),IF(COUNTIF(Table412[[#This Row],[MAT]],"*M"),Table412[[#This Row],[MAT]]&amp;Table412[[#This Row],[X'#]],""))</f>
        <v/>
      </c>
    </row>
    <row r="908" spans="1:15" x14ac:dyDescent="0.25">
      <c r="A908" s="37">
        <f t="shared" si="15"/>
        <v>280</v>
      </c>
      <c r="C908" s="38" t="s">
        <v>624</v>
      </c>
      <c r="D908" s="36" t="s">
        <v>275</v>
      </c>
      <c r="E908" s="36" t="s">
        <v>727</v>
      </c>
      <c r="F908" s="36">
        <v>5</v>
      </c>
      <c r="G908" s="36">
        <v>1146737</v>
      </c>
      <c r="H908" s="48" t="str">
        <f>IFERROR(INDEX(Table14[],MATCH($G908,Table14[SAPNo],0),3),"")</f>
        <v>1613 CT418 18-60</v>
      </c>
      <c r="I908" s="37">
        <v>6</v>
      </c>
      <c r="J908" s="37">
        <f>IF(Table412[[#This Row],[MAT]]&lt;&gt;"",COUNTIF(Table3[LEVEL 5 MAT NO.],Table412[[#This Row],[MAT]]),"")</f>
        <v>0</v>
      </c>
      <c r="K908" s="36">
        <f>IFERROR(INDEX(Table3[],MATCH($E908,Table3[LEVEL 5 MAT NO.],0),2),0)</f>
        <v>0</v>
      </c>
      <c r="L908" s="36">
        <f>Table412[[#This Row],[Quantity in BOM]]*Table412[[#This Row],[Freq]]</f>
        <v>0</v>
      </c>
      <c r="M908" s="36" t="str">
        <f>IF(Table412[[#This Row],[Exist]]=1,Table412[[#This Row],[MAT]],"")</f>
        <v/>
      </c>
      <c r="N908" s="36" t="str">
        <f>IF(Table412[[#This Row],[Exist]]=1,Table412[[#This Row],[Component]],"")</f>
        <v/>
      </c>
      <c r="O908" s="36" t="str">
        <f>IFERROR(VALUE(Table412[[#This Row],[MAT]]&amp;Table412[[#This Row],[X'#]]),IF(COUNTIF(Table412[[#This Row],[MAT]],"*M"),Table412[[#This Row],[MAT]]&amp;Table412[[#This Row],[X'#]],""))</f>
        <v/>
      </c>
    </row>
    <row r="909" spans="1:15" x14ac:dyDescent="0.25">
      <c r="A909" s="37">
        <f t="shared" si="15"/>
        <v>280</v>
      </c>
      <c r="C909" s="38">
        <v>16</v>
      </c>
      <c r="D909" s="36" t="s">
        <v>3725</v>
      </c>
      <c r="E909" s="36" t="s">
        <v>3726</v>
      </c>
      <c r="F909" s="36">
        <v>1</v>
      </c>
      <c r="G909" s="36">
        <v>871781</v>
      </c>
      <c r="H909" s="48" t="str">
        <f>IFERROR(INDEX(Table14[],MATCH($G909,Table14[SAPNo],0),3),"")</f>
        <v>Round 1313 CT200  0.018" (B)</v>
      </c>
      <c r="I909" s="37">
        <v>42</v>
      </c>
      <c r="J909" s="37">
        <f>IF(Table412[[#This Row],[MAT]]&lt;&gt;"",COUNTIF(Table3[LEVEL 5 MAT NO.],Table412[[#This Row],[MAT]]),"")</f>
        <v>0</v>
      </c>
      <c r="K909" s="36">
        <f>IFERROR(INDEX(Table3[],MATCH($E909,Table3[LEVEL 5 MAT NO.],0),2),0)</f>
        <v>0</v>
      </c>
      <c r="L909" s="36">
        <f>Table412[[#This Row],[Quantity in BOM]]*Table412[[#This Row],[Freq]]</f>
        <v>0</v>
      </c>
      <c r="M909" s="36" t="str">
        <f>IF(Table412[[#This Row],[Exist]]=1,Table412[[#This Row],[MAT]],"")</f>
        <v/>
      </c>
      <c r="N909" s="36" t="str">
        <f>IF(Table412[[#This Row],[Exist]]=1,Table412[[#This Row],[Component]],"")</f>
        <v/>
      </c>
      <c r="O909" s="36" t="str">
        <f>IFERROR(VALUE(Table412[[#This Row],[MAT]]&amp;Table412[[#This Row],[X'#]]),IF(COUNTIF(Table412[[#This Row],[MAT]],"*M"),Table412[[#This Row],[MAT]]&amp;Table412[[#This Row],[X'#]],""))</f>
        <v/>
      </c>
    </row>
    <row r="910" spans="1:15" x14ac:dyDescent="0.25">
      <c r="A910" s="37">
        <f t="shared" si="15"/>
        <v>280</v>
      </c>
      <c r="C910" s="38">
        <v>16</v>
      </c>
      <c r="D910" s="36" t="s">
        <v>3725</v>
      </c>
      <c r="E910" s="36" t="s">
        <v>3726</v>
      </c>
      <c r="F910" s="36">
        <v>2</v>
      </c>
      <c r="G910" s="36">
        <v>1219562</v>
      </c>
      <c r="H910" s="48" t="str">
        <f>IFERROR(INDEX(Table14[],MATCH($G910,Table14[SAPNo],0),3),"")</f>
        <v>1613 CT147R U</v>
      </c>
      <c r="I910" s="37">
        <v>42</v>
      </c>
      <c r="J910" s="37">
        <f>IF(Table412[[#This Row],[MAT]]&lt;&gt;"",COUNTIF(Table3[LEVEL 5 MAT NO.],Table412[[#This Row],[MAT]]),"")</f>
        <v>0</v>
      </c>
      <c r="K910" s="36">
        <f>IFERROR(INDEX(Table3[],MATCH($E910,Table3[LEVEL 5 MAT NO.],0),2),0)</f>
        <v>0</v>
      </c>
      <c r="L910" s="36">
        <f>Table412[[#This Row],[Quantity in BOM]]*Table412[[#This Row],[Freq]]</f>
        <v>0</v>
      </c>
      <c r="M910" s="36" t="str">
        <f>IF(Table412[[#This Row],[Exist]]=1,Table412[[#This Row],[MAT]],"")</f>
        <v/>
      </c>
      <c r="N910" s="36" t="str">
        <f>IF(Table412[[#This Row],[Exist]]=1,Table412[[#This Row],[Component]],"")</f>
        <v/>
      </c>
      <c r="O910" s="36" t="str">
        <f>IFERROR(VALUE(Table412[[#This Row],[MAT]]&amp;Table412[[#This Row],[X'#]]),IF(COUNTIF(Table412[[#This Row],[MAT]],"*M"),Table412[[#This Row],[MAT]]&amp;Table412[[#This Row],[X'#]],""))</f>
        <v/>
      </c>
    </row>
    <row r="911" spans="1:15" x14ac:dyDescent="0.25">
      <c r="A911" s="37">
        <f t="shared" si="15"/>
        <v>280</v>
      </c>
      <c r="C911" s="38">
        <v>16</v>
      </c>
      <c r="D911" s="36" t="s">
        <v>3725</v>
      </c>
      <c r="E911" s="36" t="s">
        <v>3726</v>
      </c>
      <c r="F911" s="36">
        <v>3</v>
      </c>
      <c r="G911" s="36">
        <v>410851</v>
      </c>
      <c r="H911" s="48" t="str">
        <f>IFERROR(INDEX(Table14[],MATCH($G911,Table14[SAPNo],0),3),"")</f>
        <v>PDC Dome 1308 CT31   (B)</v>
      </c>
      <c r="I911" s="37">
        <v>28</v>
      </c>
      <c r="J911" s="37">
        <f>IF(Table412[[#This Row],[MAT]]&lt;&gt;"",COUNTIF(Table3[LEVEL 5 MAT NO.],Table412[[#This Row],[MAT]]),"")</f>
        <v>0</v>
      </c>
      <c r="K911" s="36">
        <f>IFERROR(INDEX(Table3[],MATCH($E911,Table3[LEVEL 5 MAT NO.],0),2),0)</f>
        <v>0</v>
      </c>
      <c r="L911" s="36">
        <f>Table412[[#This Row],[Quantity in BOM]]*Table412[[#This Row],[Freq]]</f>
        <v>0</v>
      </c>
      <c r="M911" s="36" t="str">
        <f>IF(Table412[[#This Row],[Exist]]=1,Table412[[#This Row],[MAT]],"")</f>
        <v/>
      </c>
      <c r="N911" s="36" t="str">
        <f>IF(Table412[[#This Row],[Exist]]=1,Table412[[#This Row],[Component]],"")</f>
        <v/>
      </c>
      <c r="O911" s="36" t="str">
        <f>IFERROR(VALUE(Table412[[#This Row],[MAT]]&amp;Table412[[#This Row],[X'#]]),IF(COUNTIF(Table412[[#This Row],[MAT]],"*M"),Table412[[#This Row],[MAT]]&amp;Table412[[#This Row],[X'#]],""))</f>
        <v/>
      </c>
    </row>
    <row r="912" spans="1:15" x14ac:dyDescent="0.25">
      <c r="A912" s="37">
        <f t="shared" si="15"/>
        <v>280</v>
      </c>
      <c r="C912" s="38">
        <v>16</v>
      </c>
      <c r="D912" s="36" t="s">
        <v>3725</v>
      </c>
      <c r="E912" s="36" t="s">
        <v>3726</v>
      </c>
      <c r="F912" s="36">
        <v>4</v>
      </c>
      <c r="G912" s="36">
        <v>179734</v>
      </c>
      <c r="H912" s="48" t="str">
        <f>IFERROR(INDEX(Table14[],MATCH($G912,Table14[SAPNo],0),3),"")</f>
        <v>Long IPA 13    (C)</v>
      </c>
      <c r="I912" s="37">
        <v>22</v>
      </c>
      <c r="J912" s="37">
        <f>IF(Table412[[#This Row],[MAT]]&lt;&gt;"",COUNTIF(Table3[LEVEL 5 MAT NO.],Table412[[#This Row],[MAT]]),"")</f>
        <v>0</v>
      </c>
      <c r="K912" s="36">
        <f>IFERROR(INDEX(Table3[],MATCH($E912,Table3[LEVEL 5 MAT NO.],0),2),0)</f>
        <v>0</v>
      </c>
      <c r="L912" s="36">
        <f>Table412[[#This Row],[Quantity in BOM]]*Table412[[#This Row],[Freq]]</f>
        <v>0</v>
      </c>
      <c r="M912" s="36" t="str">
        <f>IF(Table412[[#This Row],[Exist]]=1,Table412[[#This Row],[MAT]],"")</f>
        <v/>
      </c>
      <c r="N912" s="36" t="str">
        <f>IF(Table412[[#This Row],[Exist]]=1,Table412[[#This Row],[Component]],"")</f>
        <v/>
      </c>
      <c r="O912" s="36" t="str">
        <f>IFERROR(VALUE(Table412[[#This Row],[MAT]]&amp;Table412[[#This Row],[X'#]]),IF(COUNTIF(Table412[[#This Row],[MAT]],"*M"),Table412[[#This Row],[MAT]]&amp;Table412[[#This Row],[X'#]],""))</f>
        <v/>
      </c>
    </row>
    <row r="913" spans="1:15" x14ac:dyDescent="0.25">
      <c r="A913" s="37">
        <f t="shared" si="15"/>
        <v>280</v>
      </c>
      <c r="C913" s="38">
        <v>16</v>
      </c>
      <c r="D913" s="36" t="s">
        <v>3725</v>
      </c>
      <c r="E913" s="36" t="s">
        <v>3726</v>
      </c>
      <c r="F913" s="36">
        <v>5</v>
      </c>
      <c r="G913" s="36">
        <v>1100755</v>
      </c>
      <c r="H913" s="48" t="str">
        <f>IFERROR(INDEX(Table14[],MATCH($G913,Table14[SAPNo],0),3),"")</f>
        <v>Round 1613 CT421  0.018" (S)</v>
      </c>
      <c r="I913" s="37">
        <v>22</v>
      </c>
      <c r="J913" s="37">
        <f>IF(Table412[[#This Row],[MAT]]&lt;&gt;"",COUNTIF(Table3[LEVEL 5 MAT NO.],Table412[[#This Row],[MAT]]),"")</f>
        <v>0</v>
      </c>
      <c r="K913" s="36">
        <f>IFERROR(INDEX(Table3[],MATCH($E913,Table3[LEVEL 5 MAT NO.],0),2),0)</f>
        <v>0</v>
      </c>
      <c r="L913" s="36">
        <f>Table412[[#This Row],[Quantity in BOM]]*Table412[[#This Row],[Freq]]</f>
        <v>0</v>
      </c>
      <c r="M913" s="36" t="str">
        <f>IF(Table412[[#This Row],[Exist]]=1,Table412[[#This Row],[MAT]],"")</f>
        <v/>
      </c>
      <c r="N913" s="36" t="str">
        <f>IF(Table412[[#This Row],[Exist]]=1,Table412[[#This Row],[Component]],"")</f>
        <v/>
      </c>
      <c r="O913" s="36" t="str">
        <f>IFERROR(VALUE(Table412[[#This Row],[MAT]]&amp;Table412[[#This Row],[X'#]]),IF(COUNTIF(Table412[[#This Row],[MAT]],"*M"),Table412[[#This Row],[MAT]]&amp;Table412[[#This Row],[X'#]],""))</f>
        <v/>
      </c>
    </row>
    <row r="914" spans="1:15" x14ac:dyDescent="0.25">
      <c r="A914" s="37">
        <f t="shared" si="15"/>
        <v>280</v>
      </c>
      <c r="C914" s="38">
        <v>16</v>
      </c>
      <c r="D914" s="36" t="s">
        <v>3725</v>
      </c>
      <c r="E914" s="36" t="s">
        <v>3726</v>
      </c>
      <c r="F914" s="36">
        <v>6</v>
      </c>
      <c r="G914" s="36">
        <v>1208601</v>
      </c>
      <c r="H914" s="48" t="str">
        <f>IFERROR(INDEX(Table14[],MATCH($G914,Table14[SAPNo],0),3),"")</f>
        <v>1613 CT418 U-60</v>
      </c>
      <c r="I914" s="37">
        <v>15</v>
      </c>
      <c r="J914" s="37">
        <f>IF(Table412[[#This Row],[MAT]]&lt;&gt;"",COUNTIF(Table3[LEVEL 5 MAT NO.],Table412[[#This Row],[MAT]]),"")</f>
        <v>0</v>
      </c>
      <c r="K914" s="36">
        <f>IFERROR(INDEX(Table3[],MATCH($E914,Table3[LEVEL 5 MAT NO.],0),2),0)</f>
        <v>0</v>
      </c>
      <c r="L914" s="36">
        <f>Table412[[#This Row],[Quantity in BOM]]*Table412[[#This Row],[Freq]]</f>
        <v>0</v>
      </c>
      <c r="M914" s="36" t="str">
        <f>IF(Table412[[#This Row],[Exist]]=1,Table412[[#This Row],[MAT]],"")</f>
        <v/>
      </c>
      <c r="N914" s="36" t="str">
        <f>IF(Table412[[#This Row],[Exist]]=1,Table412[[#This Row],[Component]],"")</f>
        <v/>
      </c>
      <c r="O914" s="36" t="str">
        <f>IFERROR(VALUE(Table412[[#This Row],[MAT]]&amp;Table412[[#This Row],[X'#]]),IF(COUNTIF(Table412[[#This Row],[MAT]],"*M"),Table412[[#This Row],[MAT]]&amp;Table412[[#This Row],[X'#]],""))</f>
        <v/>
      </c>
    </row>
    <row r="915" spans="1:15" x14ac:dyDescent="0.25">
      <c r="A915" s="37">
        <f t="shared" si="15"/>
        <v>280</v>
      </c>
      <c r="C915" s="38">
        <v>16</v>
      </c>
      <c r="D915" s="36" t="s">
        <v>3725</v>
      </c>
      <c r="E915" s="36" t="s">
        <v>3726</v>
      </c>
      <c r="F915" s="36">
        <v>7</v>
      </c>
      <c r="G915" s="36">
        <v>418525</v>
      </c>
      <c r="H915" s="48" t="str">
        <f>IFERROR(INDEX(Table14[],MATCH($G915,Table14[SAPNo],0),3),"")</f>
        <v>Drop In 1308 CT31   (B)</v>
      </c>
      <c r="I915" s="37">
        <v>7</v>
      </c>
      <c r="J915" s="37">
        <f>IF(Table412[[#This Row],[MAT]]&lt;&gt;"",COUNTIF(Table3[LEVEL 5 MAT NO.],Table412[[#This Row],[MAT]]),"")</f>
        <v>0</v>
      </c>
      <c r="K915" s="36">
        <f>IFERROR(INDEX(Table3[],MATCH($E915,Table3[LEVEL 5 MAT NO.],0),2),0)</f>
        <v>0</v>
      </c>
      <c r="L915" s="36">
        <f>Table412[[#This Row],[Quantity in BOM]]*Table412[[#This Row],[Freq]]</f>
        <v>0</v>
      </c>
      <c r="M915" s="36" t="str">
        <f>IF(Table412[[#This Row],[Exist]]=1,Table412[[#This Row],[MAT]],"")</f>
        <v/>
      </c>
      <c r="N915" s="36" t="str">
        <f>IF(Table412[[#This Row],[Exist]]=1,Table412[[#This Row],[Component]],"")</f>
        <v/>
      </c>
      <c r="O915" s="36" t="str">
        <f>IFERROR(VALUE(Table412[[#This Row],[MAT]]&amp;Table412[[#This Row],[X'#]]),IF(COUNTIF(Table412[[#This Row],[MAT]],"*M"),Table412[[#This Row],[MAT]]&amp;Table412[[#This Row],[X'#]],""))</f>
        <v/>
      </c>
    </row>
    <row r="916" spans="1:15" x14ac:dyDescent="0.25">
      <c r="A916" s="37">
        <f t="shared" si="15"/>
        <v>280</v>
      </c>
      <c r="C916" s="38" t="s">
        <v>624</v>
      </c>
      <c r="D916" s="36" t="s">
        <v>281</v>
      </c>
      <c r="E916" s="36">
        <v>263805</v>
      </c>
      <c r="F916" s="36">
        <v>2</v>
      </c>
      <c r="G916" s="36">
        <v>1263281</v>
      </c>
      <c r="H916" s="48" t="str">
        <f>IFERROR(INDEX(Table14[],MATCH($G916,Table14[SAPNo],0),3),"")</f>
        <v>1613 CT147 U-60</v>
      </c>
      <c r="I916" s="37">
        <v>16</v>
      </c>
      <c r="J916" s="37">
        <f>IF(Table412[[#This Row],[MAT]]&lt;&gt;"",COUNTIF(Table3[LEVEL 5 MAT NO.],Table412[[#This Row],[MAT]]),"")</f>
        <v>0</v>
      </c>
      <c r="K916" s="36">
        <f>IFERROR(INDEX(Table3[],MATCH($E916,Table3[LEVEL 5 MAT NO.],0),2),0)</f>
        <v>0</v>
      </c>
      <c r="L916" s="36">
        <f>Table412[[#This Row],[Quantity in BOM]]*Table412[[#This Row],[Freq]]</f>
        <v>0</v>
      </c>
      <c r="M916" s="36" t="str">
        <f>IF(Table412[[#This Row],[Exist]]=1,Table412[[#This Row],[MAT]],"")</f>
        <v/>
      </c>
      <c r="N916" s="36" t="str">
        <f>IF(Table412[[#This Row],[Exist]]=1,Table412[[#This Row],[Component]],"")</f>
        <v/>
      </c>
      <c r="O916" s="36">
        <f>IFERROR(VALUE(Table412[[#This Row],[MAT]]&amp;Table412[[#This Row],[X'#]]),IF(COUNTIF(Table412[[#This Row],[MAT]],"*M"),Table412[[#This Row],[MAT]]&amp;Table412[[#This Row],[X'#]],""))</f>
        <v>2638052</v>
      </c>
    </row>
    <row r="917" spans="1:15" x14ac:dyDescent="0.25">
      <c r="A917" s="37">
        <f t="shared" si="15"/>
        <v>280</v>
      </c>
      <c r="C917" s="38" t="s">
        <v>624</v>
      </c>
      <c r="D917" s="36" t="s">
        <v>281</v>
      </c>
      <c r="E917" s="36">
        <v>263805</v>
      </c>
      <c r="F917" s="36">
        <v>3</v>
      </c>
      <c r="G917" s="36">
        <v>1165840</v>
      </c>
      <c r="H917" s="48" t="str">
        <f>IFERROR(INDEX(Table14[],MATCH($G917,Table14[SAPNo],0),3),"")</f>
        <v>1613 MT U</v>
      </c>
      <c r="I917" s="37">
        <v>10</v>
      </c>
      <c r="J917" s="37">
        <f>IF(Table412[[#This Row],[MAT]]&lt;&gt;"",COUNTIF(Table3[LEVEL 5 MAT NO.],Table412[[#This Row],[MAT]]),"")</f>
        <v>0</v>
      </c>
      <c r="K917" s="36">
        <f>IFERROR(INDEX(Table3[],MATCH($E917,Table3[LEVEL 5 MAT NO.],0),2),0)</f>
        <v>0</v>
      </c>
      <c r="L917" s="36">
        <f>Table412[[#This Row],[Quantity in BOM]]*Table412[[#This Row],[Freq]]</f>
        <v>0</v>
      </c>
      <c r="M917" s="36" t="str">
        <f>IF(Table412[[#This Row],[Exist]]=1,Table412[[#This Row],[MAT]],"")</f>
        <v/>
      </c>
      <c r="N917" s="36" t="str">
        <f>IF(Table412[[#This Row],[Exist]]=1,Table412[[#This Row],[Component]],"")</f>
        <v/>
      </c>
      <c r="O917" s="36">
        <f>IFERROR(VALUE(Table412[[#This Row],[MAT]]&amp;Table412[[#This Row],[X'#]]),IF(COUNTIF(Table412[[#This Row],[MAT]],"*M"),Table412[[#This Row],[MAT]]&amp;Table412[[#This Row],[X'#]],""))</f>
        <v>2638053</v>
      </c>
    </row>
    <row r="918" spans="1:15" x14ac:dyDescent="0.25">
      <c r="A918" s="37">
        <f t="shared" si="15"/>
        <v>280</v>
      </c>
      <c r="C918" s="38" t="s">
        <v>624</v>
      </c>
      <c r="D918" s="36" t="s">
        <v>281</v>
      </c>
      <c r="E918" s="36">
        <v>263805</v>
      </c>
      <c r="F918" s="36">
        <v>4</v>
      </c>
      <c r="G918" s="36">
        <v>1208601</v>
      </c>
      <c r="H918" s="48" t="str">
        <f>IFERROR(INDEX(Table14[],MATCH($G918,Table14[SAPNo],0),3),"")</f>
        <v>1613 CT418 U-60</v>
      </c>
      <c r="I918" s="37">
        <v>7</v>
      </c>
      <c r="J918" s="37">
        <f>IF(Table412[[#This Row],[MAT]]&lt;&gt;"",COUNTIF(Table3[LEVEL 5 MAT NO.],Table412[[#This Row],[MAT]]),"")</f>
        <v>0</v>
      </c>
      <c r="K918" s="36">
        <f>IFERROR(INDEX(Table3[],MATCH($E918,Table3[LEVEL 5 MAT NO.],0),2),0)</f>
        <v>0</v>
      </c>
      <c r="L918" s="36">
        <f>Table412[[#This Row],[Quantity in BOM]]*Table412[[#This Row],[Freq]]</f>
        <v>0</v>
      </c>
      <c r="M918" s="36" t="str">
        <f>IF(Table412[[#This Row],[Exist]]=1,Table412[[#This Row],[MAT]],"")</f>
        <v/>
      </c>
      <c r="N918" s="36" t="str">
        <f>IF(Table412[[#This Row],[Exist]]=1,Table412[[#This Row],[Component]],"")</f>
        <v/>
      </c>
      <c r="O918" s="36">
        <f>IFERROR(VALUE(Table412[[#This Row],[MAT]]&amp;Table412[[#This Row],[X'#]]),IF(COUNTIF(Table412[[#This Row],[MAT]],"*M"),Table412[[#This Row],[MAT]]&amp;Table412[[#This Row],[X'#]],""))</f>
        <v>2638054</v>
      </c>
    </row>
    <row r="919" spans="1:15" x14ac:dyDescent="0.25">
      <c r="A919" s="37">
        <f t="shared" si="15"/>
        <v>280</v>
      </c>
      <c r="C919" s="38" t="s">
        <v>624</v>
      </c>
      <c r="D919" s="36" t="s">
        <v>281</v>
      </c>
      <c r="E919" s="36">
        <v>263805</v>
      </c>
      <c r="F919" s="36">
        <v>5</v>
      </c>
      <c r="G919" s="36">
        <v>871781</v>
      </c>
      <c r="H919" s="48" t="str">
        <f>IFERROR(INDEX(Table14[],MATCH($G919,Table14[SAPNo],0),3),"")</f>
        <v>Round 1313 CT200  0.018" (B)</v>
      </c>
      <c r="I919" s="37">
        <v>5</v>
      </c>
      <c r="J919" s="37">
        <f>IF(Table412[[#This Row],[MAT]]&lt;&gt;"",COUNTIF(Table3[LEVEL 5 MAT NO.],Table412[[#This Row],[MAT]]),"")</f>
        <v>0</v>
      </c>
      <c r="K919" s="36">
        <f>IFERROR(INDEX(Table3[],MATCH($E919,Table3[LEVEL 5 MAT NO.],0),2),0)</f>
        <v>0</v>
      </c>
      <c r="L919" s="36">
        <f>Table412[[#This Row],[Quantity in BOM]]*Table412[[#This Row],[Freq]]</f>
        <v>0</v>
      </c>
      <c r="M919" s="36" t="str">
        <f>IF(Table412[[#This Row],[Exist]]=1,Table412[[#This Row],[MAT]],"")</f>
        <v/>
      </c>
      <c r="N919" s="36" t="str">
        <f>IF(Table412[[#This Row],[Exist]]=1,Table412[[#This Row],[Component]],"")</f>
        <v/>
      </c>
      <c r="O919" s="36">
        <f>IFERROR(VALUE(Table412[[#This Row],[MAT]]&amp;Table412[[#This Row],[X'#]]),IF(COUNTIF(Table412[[#This Row],[MAT]],"*M"),Table412[[#This Row],[MAT]]&amp;Table412[[#This Row],[X'#]],""))</f>
        <v>2638055</v>
      </c>
    </row>
    <row r="920" spans="1:15" x14ac:dyDescent="0.25">
      <c r="A920" s="37">
        <f t="shared" si="15"/>
        <v>280</v>
      </c>
      <c r="C920" s="38" t="s">
        <v>624</v>
      </c>
      <c r="D920" s="36" t="s">
        <v>281</v>
      </c>
      <c r="E920" s="36">
        <v>263805</v>
      </c>
      <c r="F920" s="36">
        <v>6</v>
      </c>
      <c r="G920" s="36">
        <v>1200972</v>
      </c>
      <c r="H920" s="48" t="str">
        <f>IFERROR(INDEX(Table14[],MATCH($G920,Table14[SAPNo],0),3),"")</f>
        <v xml:space="preserve">8MM WC-MAT400 </v>
      </c>
      <c r="I920" s="37">
        <v>5</v>
      </c>
      <c r="J920" s="37">
        <f>IF(Table412[[#This Row],[MAT]]&lt;&gt;"",COUNTIF(Table3[LEVEL 5 MAT NO.],Table412[[#This Row],[MAT]]),"")</f>
        <v>0</v>
      </c>
      <c r="K920" s="36">
        <f>IFERROR(INDEX(Table3[],MATCH($E920,Table3[LEVEL 5 MAT NO.],0),2),0)</f>
        <v>0</v>
      </c>
      <c r="L920" s="36">
        <f>Table412[[#This Row],[Quantity in BOM]]*Table412[[#This Row],[Freq]]</f>
        <v>0</v>
      </c>
      <c r="M920" s="36" t="str">
        <f>IF(Table412[[#This Row],[Exist]]=1,Table412[[#This Row],[MAT]],"")</f>
        <v/>
      </c>
      <c r="N920" s="36" t="str">
        <f>IF(Table412[[#This Row],[Exist]]=1,Table412[[#This Row],[Component]],"")</f>
        <v/>
      </c>
      <c r="O920" s="36">
        <f>IFERROR(VALUE(Table412[[#This Row],[MAT]]&amp;Table412[[#This Row],[X'#]]),IF(COUNTIF(Table412[[#This Row],[MAT]],"*M"),Table412[[#This Row],[MAT]]&amp;Table412[[#This Row],[X'#]],""))</f>
        <v>2638056</v>
      </c>
    </row>
    <row r="921" spans="1:15" x14ac:dyDescent="0.25">
      <c r="A921" s="37">
        <f t="shared" si="15"/>
        <v>280</v>
      </c>
      <c r="C921" s="38" t="s">
        <v>624</v>
      </c>
      <c r="D921" s="36" t="s">
        <v>281</v>
      </c>
      <c r="E921" s="36">
        <v>263805</v>
      </c>
      <c r="F921" s="36">
        <v>7</v>
      </c>
      <c r="G921" s="36">
        <v>1234189</v>
      </c>
      <c r="H921" s="48" t="str">
        <f>IFERROR(INDEX(Table14[],MATCH($G921,Table14[SAPNo],0),3),"")</f>
        <v xml:space="preserve">13MM WC-MAT400 </v>
      </c>
      <c r="I921" s="37">
        <v>3</v>
      </c>
      <c r="J921" s="37">
        <f>IF(Table412[[#This Row],[MAT]]&lt;&gt;"",COUNTIF(Table3[LEVEL 5 MAT NO.],Table412[[#This Row],[MAT]]),"")</f>
        <v>0</v>
      </c>
      <c r="K921" s="36">
        <f>IFERROR(INDEX(Table3[],MATCH($E921,Table3[LEVEL 5 MAT NO.],0),2),0)</f>
        <v>0</v>
      </c>
      <c r="L921" s="36">
        <f>Table412[[#This Row],[Quantity in BOM]]*Table412[[#This Row],[Freq]]</f>
        <v>0</v>
      </c>
      <c r="M921" s="36" t="str">
        <f>IF(Table412[[#This Row],[Exist]]=1,Table412[[#This Row],[MAT]],"")</f>
        <v/>
      </c>
      <c r="N921" s="36" t="str">
        <f>IF(Table412[[#This Row],[Exist]]=1,Table412[[#This Row],[Component]],"")</f>
        <v/>
      </c>
      <c r="O921" s="36">
        <f>IFERROR(VALUE(Table412[[#This Row],[MAT]]&amp;Table412[[#This Row],[X'#]]),IF(COUNTIF(Table412[[#This Row],[MAT]],"*M"),Table412[[#This Row],[MAT]]&amp;Table412[[#This Row],[X'#]],""))</f>
        <v>2638057</v>
      </c>
    </row>
    <row r="922" spans="1:15" x14ac:dyDescent="0.25">
      <c r="A922" s="37">
        <f t="shared" si="15"/>
        <v>280</v>
      </c>
      <c r="C922" s="38" t="s">
        <v>637</v>
      </c>
      <c r="D922" s="36" t="s">
        <v>287</v>
      </c>
      <c r="E922" s="36" t="s">
        <v>3727</v>
      </c>
      <c r="F922" s="36">
        <v>1</v>
      </c>
      <c r="G922" s="36">
        <v>1234679</v>
      </c>
      <c r="H922" s="48" t="str">
        <f>IFERROR(INDEX(Table14[],MATCH($G922,Table14[SAPNo],0),3),"")</f>
        <v>1613 CT164R U</v>
      </c>
      <c r="I922" s="37">
        <v>30</v>
      </c>
      <c r="J922" s="37">
        <f>IF(Table412[[#This Row],[MAT]]&lt;&gt;"",COUNTIF(Table3[LEVEL 5 MAT NO.],Table412[[#This Row],[MAT]]),"")</f>
        <v>0</v>
      </c>
      <c r="K922" s="36">
        <f>IFERROR(INDEX(Table3[],MATCH($E922,Table3[LEVEL 5 MAT NO.],0),2),0)</f>
        <v>0</v>
      </c>
      <c r="L922" s="36">
        <f>Table412[[#This Row],[Quantity in BOM]]*Table412[[#This Row],[Freq]]</f>
        <v>0</v>
      </c>
      <c r="M922" s="36" t="str">
        <f>IF(Table412[[#This Row],[Exist]]=1,Table412[[#This Row],[MAT]],"")</f>
        <v/>
      </c>
      <c r="N922" s="36" t="str">
        <f>IF(Table412[[#This Row],[Exist]]=1,Table412[[#This Row],[Component]],"")</f>
        <v/>
      </c>
      <c r="O922" s="36" t="str">
        <f>IFERROR(VALUE(Table412[[#This Row],[MAT]]&amp;Table412[[#This Row],[X'#]]),IF(COUNTIF(Table412[[#This Row],[MAT]],"*M"),Table412[[#This Row],[MAT]]&amp;Table412[[#This Row],[X'#]],""))</f>
        <v/>
      </c>
    </row>
    <row r="923" spans="1:15" x14ac:dyDescent="0.25">
      <c r="A923" s="37">
        <f t="shared" si="15"/>
        <v>280</v>
      </c>
      <c r="C923" s="38" t="s">
        <v>637</v>
      </c>
      <c r="D923" s="36" t="s">
        <v>287</v>
      </c>
      <c r="E923" s="36" t="s">
        <v>3727</v>
      </c>
      <c r="F923" s="36">
        <v>2</v>
      </c>
      <c r="G923" s="36">
        <v>1165800</v>
      </c>
      <c r="H923" s="48" t="str">
        <f>IFERROR(INDEX(Table14[],MATCH($G923,Table14[SAPNo],0),3),"")</f>
        <v>1613 PMT U</v>
      </c>
      <c r="I923" s="37">
        <v>21</v>
      </c>
      <c r="J923" s="37">
        <f>IF(Table412[[#This Row],[MAT]]&lt;&gt;"",COUNTIF(Table3[LEVEL 5 MAT NO.],Table412[[#This Row],[MAT]]),"")</f>
        <v>0</v>
      </c>
      <c r="K923" s="36">
        <f>IFERROR(INDEX(Table3[],MATCH($E923,Table3[LEVEL 5 MAT NO.],0),2),0)</f>
        <v>0</v>
      </c>
      <c r="L923" s="36">
        <f>Table412[[#This Row],[Quantity in BOM]]*Table412[[#This Row],[Freq]]</f>
        <v>0</v>
      </c>
      <c r="M923" s="36" t="str">
        <f>IF(Table412[[#This Row],[Exist]]=1,Table412[[#This Row],[MAT]],"")</f>
        <v/>
      </c>
      <c r="N923" s="36" t="str">
        <f>IF(Table412[[#This Row],[Exist]]=1,Table412[[#This Row],[Component]],"")</f>
        <v/>
      </c>
      <c r="O923" s="36" t="str">
        <f>IFERROR(VALUE(Table412[[#This Row],[MAT]]&amp;Table412[[#This Row],[X'#]]),IF(COUNTIF(Table412[[#This Row],[MAT]],"*M"),Table412[[#This Row],[MAT]]&amp;Table412[[#This Row],[X'#]],""))</f>
        <v/>
      </c>
    </row>
    <row r="924" spans="1:15" x14ac:dyDescent="0.25">
      <c r="A924" s="37">
        <f t="shared" si="15"/>
        <v>280</v>
      </c>
      <c r="C924" s="38" t="s">
        <v>637</v>
      </c>
      <c r="D924" s="36" t="s">
        <v>287</v>
      </c>
      <c r="E924" s="36" t="s">
        <v>3727</v>
      </c>
      <c r="F924" s="36">
        <v>3</v>
      </c>
      <c r="G924" s="36">
        <v>1208601</v>
      </c>
      <c r="H924" s="48" t="str">
        <f>IFERROR(INDEX(Table14[],MATCH($G924,Table14[SAPNo],0),3),"")</f>
        <v>1613 CT418 U-60</v>
      </c>
      <c r="I924" s="37">
        <v>11</v>
      </c>
      <c r="J924" s="37">
        <f>IF(Table412[[#This Row],[MAT]]&lt;&gt;"",COUNTIF(Table3[LEVEL 5 MAT NO.],Table412[[#This Row],[MAT]]),"")</f>
        <v>0</v>
      </c>
      <c r="K924" s="36">
        <f>IFERROR(INDEX(Table3[],MATCH($E924,Table3[LEVEL 5 MAT NO.],0),2),0)</f>
        <v>0</v>
      </c>
      <c r="L924" s="36">
        <f>Table412[[#This Row],[Quantity in BOM]]*Table412[[#This Row],[Freq]]</f>
        <v>0</v>
      </c>
      <c r="M924" s="36" t="str">
        <f>IF(Table412[[#This Row],[Exist]]=1,Table412[[#This Row],[MAT]],"")</f>
        <v/>
      </c>
      <c r="N924" s="36" t="str">
        <f>IF(Table412[[#This Row],[Exist]]=1,Table412[[#This Row],[Component]],"")</f>
        <v/>
      </c>
      <c r="O924" s="36" t="str">
        <f>IFERROR(VALUE(Table412[[#This Row],[MAT]]&amp;Table412[[#This Row],[X'#]]),IF(COUNTIF(Table412[[#This Row],[MAT]],"*M"),Table412[[#This Row],[MAT]]&amp;Table412[[#This Row],[X'#]],""))</f>
        <v/>
      </c>
    </row>
    <row r="925" spans="1:15" x14ac:dyDescent="0.25">
      <c r="A925" s="37">
        <f t="shared" si="15"/>
        <v>280</v>
      </c>
      <c r="C925" s="38" t="s">
        <v>637</v>
      </c>
      <c r="D925" s="36" t="s">
        <v>287</v>
      </c>
      <c r="E925" s="36" t="s">
        <v>3727</v>
      </c>
      <c r="F925" s="36">
        <v>4</v>
      </c>
      <c r="G925" s="36">
        <v>1238832</v>
      </c>
      <c r="H925" s="48" t="str">
        <f>IFERROR(INDEX(Table14[],MATCH($G925,Table14[SAPNo],0),3),"")</f>
        <v>1613 CT418 25-75</v>
      </c>
      <c r="I925" s="37">
        <v>8</v>
      </c>
      <c r="J925" s="37">
        <f>IF(Table412[[#This Row],[MAT]]&lt;&gt;"",COUNTIF(Table3[LEVEL 5 MAT NO.],Table412[[#This Row],[MAT]]),"")</f>
        <v>0</v>
      </c>
      <c r="K925" s="36">
        <f>IFERROR(INDEX(Table3[],MATCH($E925,Table3[LEVEL 5 MAT NO.],0),2),0)</f>
        <v>0</v>
      </c>
      <c r="L925" s="36">
        <f>Table412[[#This Row],[Quantity in BOM]]*Table412[[#This Row],[Freq]]</f>
        <v>0</v>
      </c>
      <c r="M925" s="36" t="str">
        <f>IF(Table412[[#This Row],[Exist]]=1,Table412[[#This Row],[MAT]],"")</f>
        <v/>
      </c>
      <c r="N925" s="36" t="str">
        <f>IF(Table412[[#This Row],[Exist]]=1,Table412[[#This Row],[Component]],"")</f>
        <v/>
      </c>
      <c r="O925" s="36" t="str">
        <f>IFERROR(VALUE(Table412[[#This Row],[MAT]]&amp;Table412[[#This Row],[X'#]]),IF(COUNTIF(Table412[[#This Row],[MAT]],"*M"),Table412[[#This Row],[MAT]]&amp;Table412[[#This Row],[X'#]],""))</f>
        <v/>
      </c>
    </row>
    <row r="926" spans="1:15" x14ac:dyDescent="0.25">
      <c r="A926" s="37">
        <f t="shared" si="15"/>
        <v>280</v>
      </c>
      <c r="C926" s="38" t="s">
        <v>637</v>
      </c>
      <c r="D926" s="36" t="s">
        <v>287</v>
      </c>
      <c r="E926" s="36" t="s">
        <v>3727</v>
      </c>
      <c r="F926" s="36">
        <v>5</v>
      </c>
      <c r="G926" s="36">
        <v>871781</v>
      </c>
      <c r="H926" s="48" t="str">
        <f>IFERROR(INDEX(Table14[],MATCH($G926,Table14[SAPNo],0),3),"")</f>
        <v>Round 1313 CT200  0.018" (B)</v>
      </c>
      <c r="I926" s="37">
        <v>7</v>
      </c>
      <c r="J926" s="37">
        <f>IF(Table412[[#This Row],[MAT]]&lt;&gt;"",COUNTIF(Table3[LEVEL 5 MAT NO.],Table412[[#This Row],[MAT]]),"")</f>
        <v>0</v>
      </c>
      <c r="K926" s="36">
        <f>IFERROR(INDEX(Table3[],MATCH($E926,Table3[LEVEL 5 MAT NO.],0),2),0)</f>
        <v>0</v>
      </c>
      <c r="L926" s="36">
        <f>Table412[[#This Row],[Quantity in BOM]]*Table412[[#This Row],[Freq]]</f>
        <v>0</v>
      </c>
      <c r="M926" s="36" t="str">
        <f>IF(Table412[[#This Row],[Exist]]=1,Table412[[#This Row],[MAT]],"")</f>
        <v/>
      </c>
      <c r="N926" s="36" t="str">
        <f>IF(Table412[[#This Row],[Exist]]=1,Table412[[#This Row],[Component]],"")</f>
        <v/>
      </c>
      <c r="O926" s="36" t="str">
        <f>IFERROR(VALUE(Table412[[#This Row],[MAT]]&amp;Table412[[#This Row],[X'#]]),IF(COUNTIF(Table412[[#This Row],[MAT]],"*M"),Table412[[#This Row],[MAT]]&amp;Table412[[#This Row],[X'#]],""))</f>
        <v/>
      </c>
    </row>
    <row r="927" spans="1:15" x14ac:dyDescent="0.25">
      <c r="A927" s="37">
        <f t="shared" si="15"/>
        <v>280</v>
      </c>
      <c r="C927" s="38" t="s">
        <v>637</v>
      </c>
      <c r="D927" s="36" t="s">
        <v>287</v>
      </c>
      <c r="E927" s="36" t="s">
        <v>3727</v>
      </c>
      <c r="F927" s="36">
        <v>6</v>
      </c>
      <c r="G927" s="36">
        <v>625854</v>
      </c>
      <c r="H927" s="48" t="str">
        <f>IFERROR(INDEX(Table14[],MATCH($G927,Table14[SAPNo],0),3),"")</f>
        <v>Carbide IA 1318    (C)</v>
      </c>
      <c r="I927" s="37">
        <v>6</v>
      </c>
      <c r="J927" s="37">
        <f>IF(Table412[[#This Row],[MAT]]&lt;&gt;"",COUNTIF(Table3[LEVEL 5 MAT NO.],Table412[[#This Row],[MAT]]),"")</f>
        <v>0</v>
      </c>
      <c r="K927" s="36">
        <f>IFERROR(INDEX(Table3[],MATCH($E927,Table3[LEVEL 5 MAT NO.],0),2),0)</f>
        <v>0</v>
      </c>
      <c r="L927" s="36">
        <f>Table412[[#This Row],[Quantity in BOM]]*Table412[[#This Row],[Freq]]</f>
        <v>0</v>
      </c>
      <c r="M927" s="36" t="str">
        <f>IF(Table412[[#This Row],[Exist]]=1,Table412[[#This Row],[MAT]],"")</f>
        <v/>
      </c>
      <c r="N927" s="36" t="str">
        <f>IF(Table412[[#This Row],[Exist]]=1,Table412[[#This Row],[Component]],"")</f>
        <v/>
      </c>
      <c r="O927" s="36" t="str">
        <f>IFERROR(VALUE(Table412[[#This Row],[MAT]]&amp;Table412[[#This Row],[X'#]]),IF(COUNTIF(Table412[[#This Row],[MAT]],"*M"),Table412[[#This Row],[MAT]]&amp;Table412[[#This Row],[X'#]],""))</f>
        <v/>
      </c>
    </row>
    <row r="928" spans="1:15" x14ac:dyDescent="0.25">
      <c r="A928" s="37">
        <f t="shared" si="15"/>
        <v>280</v>
      </c>
      <c r="C928" s="38" t="s">
        <v>637</v>
      </c>
      <c r="D928" s="36" t="s">
        <v>287</v>
      </c>
      <c r="E928" s="36" t="s">
        <v>3727</v>
      </c>
      <c r="F928" s="36">
        <v>7</v>
      </c>
      <c r="G928" s="36">
        <v>1231982</v>
      </c>
      <c r="H928" s="48" t="str">
        <f>IFERROR(INDEX(Table14[],MATCH($G928,Table14[SAPNo],0),3),"")</f>
        <v>1613 CT164 U</v>
      </c>
      <c r="I928" s="37">
        <v>6</v>
      </c>
      <c r="J928" s="37">
        <f>IF(Table412[[#This Row],[MAT]]&lt;&gt;"",COUNTIF(Table3[LEVEL 5 MAT NO.],Table412[[#This Row],[MAT]]),"")</f>
        <v>0</v>
      </c>
      <c r="K928" s="36">
        <f>IFERROR(INDEX(Table3[],MATCH($E928,Table3[LEVEL 5 MAT NO.],0),2),0)</f>
        <v>0</v>
      </c>
      <c r="L928" s="36">
        <f>Table412[[#This Row],[Quantity in BOM]]*Table412[[#This Row],[Freq]]</f>
        <v>0</v>
      </c>
      <c r="M928" s="36" t="str">
        <f>IF(Table412[[#This Row],[Exist]]=1,Table412[[#This Row],[MAT]],"")</f>
        <v/>
      </c>
      <c r="N928" s="36" t="str">
        <f>IF(Table412[[#This Row],[Exist]]=1,Table412[[#This Row],[Component]],"")</f>
        <v/>
      </c>
      <c r="O928" s="36" t="str">
        <f>IFERROR(VALUE(Table412[[#This Row],[MAT]]&amp;Table412[[#This Row],[X'#]]),IF(COUNTIF(Table412[[#This Row],[MAT]],"*M"),Table412[[#This Row],[MAT]]&amp;Table412[[#This Row],[X'#]],""))</f>
        <v/>
      </c>
    </row>
    <row r="929" spans="1:15" x14ac:dyDescent="0.25">
      <c r="A929" s="37">
        <f t="shared" si="15"/>
        <v>280</v>
      </c>
      <c r="C929" s="36" t="s">
        <v>624</v>
      </c>
      <c r="D929" s="36" t="s">
        <v>281</v>
      </c>
      <c r="E929" s="36" t="s">
        <v>3728</v>
      </c>
      <c r="F929" s="36">
        <v>1</v>
      </c>
      <c r="G929" s="36">
        <v>1219562</v>
      </c>
      <c r="H929" s="48" t="str">
        <f>IFERROR(INDEX(Table14[],MATCH($G929,Table14[SAPNo],0),3),"")</f>
        <v>1613 CT147R U</v>
      </c>
      <c r="I929" s="37">
        <v>16</v>
      </c>
      <c r="J929" s="37">
        <f>IF(Table412[[#This Row],[MAT]]&lt;&gt;"",COUNTIF(Table3[LEVEL 5 MAT NO.],Table412[[#This Row],[MAT]]),"")</f>
        <v>0</v>
      </c>
      <c r="K929" s="36">
        <f>IFERROR(INDEX(Table3[],MATCH($E929,Table3[LEVEL 5 MAT NO.],0),2),0)</f>
        <v>0</v>
      </c>
      <c r="L929" s="36">
        <f>Table412[[#This Row],[Quantity in BOM]]*Table412[[#This Row],[Freq]]</f>
        <v>0</v>
      </c>
      <c r="M929" s="36" t="str">
        <f>IF(Table412[[#This Row],[Exist]]=1,Table412[[#This Row],[MAT]],"")</f>
        <v/>
      </c>
      <c r="N929" s="36" t="str">
        <f>IF(Table412[[#This Row],[Exist]]=1,Table412[[#This Row],[Component]],"")</f>
        <v/>
      </c>
      <c r="O929" s="36" t="str">
        <f>IFERROR(VALUE(Table412[[#This Row],[MAT]]&amp;Table412[[#This Row],[X'#]]),IF(COUNTIF(Table412[[#This Row],[MAT]],"*M"),Table412[[#This Row],[MAT]]&amp;Table412[[#This Row],[X'#]],""))</f>
        <v/>
      </c>
    </row>
    <row r="930" spans="1:15" x14ac:dyDescent="0.25">
      <c r="A930" s="37">
        <f t="shared" si="15"/>
        <v>280</v>
      </c>
      <c r="C930" s="36" t="s">
        <v>624</v>
      </c>
      <c r="D930" s="36" t="s">
        <v>281</v>
      </c>
      <c r="E930" s="36" t="s">
        <v>3728</v>
      </c>
      <c r="F930" s="36">
        <v>2</v>
      </c>
      <c r="G930" s="36">
        <v>1263281</v>
      </c>
      <c r="H930" s="48" t="str">
        <f>IFERROR(INDEX(Table14[],MATCH($G930,Table14[SAPNo],0),3),"")</f>
        <v>1613 CT147 U-60</v>
      </c>
      <c r="I930" s="37">
        <v>16</v>
      </c>
      <c r="J930" s="37">
        <f>IF(Table412[[#This Row],[MAT]]&lt;&gt;"",COUNTIF(Table3[LEVEL 5 MAT NO.],Table412[[#This Row],[MAT]]),"")</f>
        <v>0</v>
      </c>
      <c r="K930" s="36">
        <f>IFERROR(INDEX(Table3[],MATCH($E930,Table3[LEVEL 5 MAT NO.],0),2),0)</f>
        <v>0</v>
      </c>
      <c r="L930" s="36">
        <f>Table412[[#This Row],[Quantity in BOM]]*Table412[[#This Row],[Freq]]</f>
        <v>0</v>
      </c>
      <c r="M930" s="36" t="str">
        <f>IF(Table412[[#This Row],[Exist]]=1,Table412[[#This Row],[MAT]],"")</f>
        <v/>
      </c>
      <c r="N930" s="36" t="str">
        <f>IF(Table412[[#This Row],[Exist]]=1,Table412[[#This Row],[Component]],"")</f>
        <v/>
      </c>
      <c r="O930" s="36" t="str">
        <f>IFERROR(VALUE(Table412[[#This Row],[MAT]]&amp;Table412[[#This Row],[X'#]]),IF(COUNTIF(Table412[[#This Row],[MAT]],"*M"),Table412[[#This Row],[MAT]]&amp;Table412[[#This Row],[X'#]],""))</f>
        <v/>
      </c>
    </row>
    <row r="931" spans="1:15" x14ac:dyDescent="0.25">
      <c r="A931" s="37">
        <f t="shared" si="15"/>
        <v>280</v>
      </c>
      <c r="C931" s="36" t="s">
        <v>624</v>
      </c>
      <c r="D931" s="36" t="s">
        <v>281</v>
      </c>
      <c r="E931" s="36" t="s">
        <v>3728</v>
      </c>
      <c r="F931" s="36">
        <v>3</v>
      </c>
      <c r="G931" s="36">
        <v>1165840</v>
      </c>
      <c r="H931" s="48" t="str">
        <f>IFERROR(INDEX(Table14[],MATCH($G931,Table14[SAPNo],0),3),"")</f>
        <v>1613 MT U</v>
      </c>
      <c r="I931" s="37">
        <v>10</v>
      </c>
      <c r="J931" s="37">
        <f>IF(Table412[[#This Row],[MAT]]&lt;&gt;"",COUNTIF(Table3[LEVEL 5 MAT NO.],Table412[[#This Row],[MAT]]),"")</f>
        <v>0</v>
      </c>
      <c r="K931" s="36">
        <f>IFERROR(INDEX(Table3[],MATCH($E931,Table3[LEVEL 5 MAT NO.],0),2),0)</f>
        <v>0</v>
      </c>
      <c r="L931" s="36">
        <f>Table412[[#This Row],[Quantity in BOM]]*Table412[[#This Row],[Freq]]</f>
        <v>0</v>
      </c>
      <c r="M931" s="36" t="str">
        <f>IF(Table412[[#This Row],[Exist]]=1,Table412[[#This Row],[MAT]],"")</f>
        <v/>
      </c>
      <c r="N931" s="36" t="str">
        <f>IF(Table412[[#This Row],[Exist]]=1,Table412[[#This Row],[Component]],"")</f>
        <v/>
      </c>
      <c r="O931" s="36" t="str">
        <f>IFERROR(VALUE(Table412[[#This Row],[MAT]]&amp;Table412[[#This Row],[X'#]]),IF(COUNTIF(Table412[[#This Row],[MAT]],"*M"),Table412[[#This Row],[MAT]]&amp;Table412[[#This Row],[X'#]],""))</f>
        <v/>
      </c>
    </row>
    <row r="932" spans="1:15" x14ac:dyDescent="0.25">
      <c r="A932" s="37">
        <f t="shared" si="15"/>
        <v>280</v>
      </c>
      <c r="C932" s="36" t="s">
        <v>624</v>
      </c>
      <c r="D932" s="36" t="s">
        <v>281</v>
      </c>
      <c r="E932" s="36" t="s">
        <v>3728</v>
      </c>
      <c r="F932" s="36">
        <v>4</v>
      </c>
      <c r="G932" s="36">
        <v>1208601</v>
      </c>
      <c r="H932" s="48" t="str">
        <f>IFERROR(INDEX(Table14[],MATCH($G932,Table14[SAPNo],0),3),"")</f>
        <v>1613 CT418 U-60</v>
      </c>
      <c r="I932" s="37">
        <v>7</v>
      </c>
      <c r="J932" s="37">
        <f>IF(Table412[[#This Row],[MAT]]&lt;&gt;"",COUNTIF(Table3[LEVEL 5 MAT NO.],Table412[[#This Row],[MAT]]),"")</f>
        <v>0</v>
      </c>
      <c r="K932" s="36">
        <f>IFERROR(INDEX(Table3[],MATCH($E932,Table3[LEVEL 5 MAT NO.],0),2),0)</f>
        <v>0</v>
      </c>
      <c r="L932" s="36">
        <f>Table412[[#This Row],[Quantity in BOM]]*Table412[[#This Row],[Freq]]</f>
        <v>0</v>
      </c>
      <c r="M932" s="36" t="str">
        <f>IF(Table412[[#This Row],[Exist]]=1,Table412[[#This Row],[MAT]],"")</f>
        <v/>
      </c>
      <c r="N932" s="36" t="str">
        <f>IF(Table412[[#This Row],[Exist]]=1,Table412[[#This Row],[Component]],"")</f>
        <v/>
      </c>
      <c r="O932" s="36" t="str">
        <f>IFERROR(VALUE(Table412[[#This Row],[MAT]]&amp;Table412[[#This Row],[X'#]]),IF(COUNTIF(Table412[[#This Row],[MAT]],"*M"),Table412[[#This Row],[MAT]]&amp;Table412[[#This Row],[X'#]],""))</f>
        <v/>
      </c>
    </row>
    <row r="933" spans="1:15" x14ac:dyDescent="0.25">
      <c r="A933" s="37">
        <f t="shared" si="15"/>
        <v>280</v>
      </c>
      <c r="C933" s="36" t="s">
        <v>624</v>
      </c>
      <c r="D933" s="36" t="s">
        <v>281</v>
      </c>
      <c r="E933" s="36" t="s">
        <v>3728</v>
      </c>
      <c r="F933" s="36">
        <v>5</v>
      </c>
      <c r="G933" s="36">
        <v>871781</v>
      </c>
      <c r="H933" s="48" t="str">
        <f>IFERROR(INDEX(Table14[],MATCH($G933,Table14[SAPNo],0),3),"")</f>
        <v>Round 1313 CT200  0.018" (B)</v>
      </c>
      <c r="I933" s="37">
        <v>5</v>
      </c>
      <c r="J933" s="37">
        <f>IF(Table412[[#This Row],[MAT]]&lt;&gt;"",COUNTIF(Table3[LEVEL 5 MAT NO.],Table412[[#This Row],[MAT]]),"")</f>
        <v>0</v>
      </c>
      <c r="K933" s="36">
        <f>IFERROR(INDEX(Table3[],MATCH($E933,Table3[LEVEL 5 MAT NO.],0),2),0)</f>
        <v>0</v>
      </c>
      <c r="L933" s="36">
        <f>Table412[[#This Row],[Quantity in BOM]]*Table412[[#This Row],[Freq]]</f>
        <v>0</v>
      </c>
      <c r="M933" s="36" t="str">
        <f>IF(Table412[[#This Row],[Exist]]=1,Table412[[#This Row],[MAT]],"")</f>
        <v/>
      </c>
      <c r="N933" s="36" t="str">
        <f>IF(Table412[[#This Row],[Exist]]=1,Table412[[#This Row],[Component]],"")</f>
        <v/>
      </c>
      <c r="O933" s="36" t="str">
        <f>IFERROR(VALUE(Table412[[#This Row],[MAT]]&amp;Table412[[#This Row],[X'#]]),IF(COUNTIF(Table412[[#This Row],[MAT]],"*M"),Table412[[#This Row],[MAT]]&amp;Table412[[#This Row],[X'#]],""))</f>
        <v/>
      </c>
    </row>
    <row r="934" spans="1:15" x14ac:dyDescent="0.25">
      <c r="A934" s="37">
        <f t="shared" si="15"/>
        <v>280</v>
      </c>
      <c r="C934" s="38" t="s">
        <v>624</v>
      </c>
      <c r="D934" s="36" t="s">
        <v>281</v>
      </c>
      <c r="E934" s="36" t="s">
        <v>3728</v>
      </c>
      <c r="F934" s="36">
        <v>6</v>
      </c>
      <c r="G934" s="36">
        <v>1200972</v>
      </c>
      <c r="H934" s="48" t="str">
        <f>IFERROR(INDEX(Table14[],MATCH($G934,Table14[SAPNo],0),3),"")</f>
        <v xml:space="preserve">8MM WC-MAT400 </v>
      </c>
      <c r="I934" s="37">
        <v>5</v>
      </c>
      <c r="J934" s="37">
        <f>IF(Table412[[#This Row],[MAT]]&lt;&gt;"",COUNTIF(Table3[LEVEL 5 MAT NO.],Table412[[#This Row],[MAT]]),"")</f>
        <v>0</v>
      </c>
      <c r="K934" s="36">
        <f>IFERROR(INDEX(Table3[],MATCH($E934,Table3[LEVEL 5 MAT NO.],0),2),0)</f>
        <v>0</v>
      </c>
      <c r="L934" s="36">
        <f>Table412[[#This Row],[Quantity in BOM]]*Table412[[#This Row],[Freq]]</f>
        <v>0</v>
      </c>
      <c r="M934" s="36" t="str">
        <f>IF(Table412[[#This Row],[Exist]]=1,Table412[[#This Row],[MAT]],"")</f>
        <v/>
      </c>
      <c r="N934" s="36" t="str">
        <f>IF(Table412[[#This Row],[Exist]]=1,Table412[[#This Row],[Component]],"")</f>
        <v/>
      </c>
      <c r="O934" s="36" t="str">
        <f>IFERROR(VALUE(Table412[[#This Row],[MAT]]&amp;Table412[[#This Row],[X'#]]),IF(COUNTIF(Table412[[#This Row],[MAT]],"*M"),Table412[[#This Row],[MAT]]&amp;Table412[[#This Row],[X'#]],""))</f>
        <v/>
      </c>
    </row>
    <row r="935" spans="1:15" x14ac:dyDescent="0.25">
      <c r="A935" s="37">
        <f t="shared" si="15"/>
        <v>280</v>
      </c>
      <c r="C935" s="38" t="s">
        <v>624</v>
      </c>
      <c r="D935" s="36" t="s">
        <v>281</v>
      </c>
      <c r="E935" s="36" t="s">
        <v>3728</v>
      </c>
      <c r="F935" s="36">
        <v>7</v>
      </c>
      <c r="G935" s="36">
        <v>1234189</v>
      </c>
      <c r="H935" s="48" t="str">
        <f>IFERROR(INDEX(Table14[],MATCH($G935,Table14[SAPNo],0),3),"")</f>
        <v xml:space="preserve">13MM WC-MAT400 </v>
      </c>
      <c r="I935" s="37">
        <v>3</v>
      </c>
      <c r="J935" s="37">
        <f>IF(Table412[[#This Row],[MAT]]&lt;&gt;"",COUNTIF(Table3[LEVEL 5 MAT NO.],Table412[[#This Row],[MAT]]),"")</f>
        <v>0</v>
      </c>
      <c r="K935" s="36">
        <f>IFERROR(INDEX(Table3[],MATCH($E935,Table3[LEVEL 5 MAT NO.],0),2),0)</f>
        <v>0</v>
      </c>
      <c r="L935" s="36">
        <f>Table412[[#This Row],[Quantity in BOM]]*Table412[[#This Row],[Freq]]</f>
        <v>0</v>
      </c>
      <c r="M935" s="36" t="str">
        <f>IF(Table412[[#This Row],[Exist]]=1,Table412[[#This Row],[MAT]],"")</f>
        <v/>
      </c>
      <c r="N935" s="36" t="str">
        <f>IF(Table412[[#This Row],[Exist]]=1,Table412[[#This Row],[Component]],"")</f>
        <v/>
      </c>
      <c r="O935" s="36" t="str">
        <f>IFERROR(VALUE(Table412[[#This Row],[MAT]]&amp;Table412[[#This Row],[X'#]]),IF(COUNTIF(Table412[[#This Row],[MAT]],"*M"),Table412[[#This Row],[MAT]]&amp;Table412[[#This Row],[X'#]],""))</f>
        <v/>
      </c>
    </row>
    <row r="936" spans="1:15" x14ac:dyDescent="0.25">
      <c r="A936" s="37">
        <f t="shared" si="15"/>
        <v>280</v>
      </c>
      <c r="C936" s="38" t="s">
        <v>624</v>
      </c>
      <c r="D936" s="36" t="s">
        <v>275</v>
      </c>
      <c r="E936" s="36" t="s">
        <v>3729</v>
      </c>
      <c r="F936" s="36">
        <v>1</v>
      </c>
      <c r="G936" s="36">
        <v>1175118</v>
      </c>
      <c r="H936" s="48" t="str">
        <f>IFERROR(INDEX(Table14[],MATCH($G936,Table14[SAPNo],0),3),"")</f>
        <v>1613 CT147 18-60</v>
      </c>
      <c r="I936" s="37">
        <v>17</v>
      </c>
      <c r="J936" s="37">
        <f>IF(Table412[[#This Row],[MAT]]&lt;&gt;"",COUNTIF(Table3[LEVEL 5 MAT NO.],Table412[[#This Row],[MAT]]),"")</f>
        <v>0</v>
      </c>
      <c r="K936" s="36">
        <f>IFERROR(INDEX(Table3[],MATCH($E936,Table3[LEVEL 5 MAT NO.],0),2),0)</f>
        <v>0</v>
      </c>
      <c r="L936" s="36">
        <f>Table412[[#This Row],[Quantity in BOM]]*Table412[[#This Row],[Freq]]</f>
        <v>0</v>
      </c>
      <c r="M936" s="36" t="str">
        <f>IF(Table412[[#This Row],[Exist]]=1,Table412[[#This Row],[MAT]],"")</f>
        <v/>
      </c>
      <c r="N936" s="36" t="str">
        <f>IF(Table412[[#This Row],[Exist]]=1,Table412[[#This Row],[Component]],"")</f>
        <v/>
      </c>
      <c r="O936" s="36" t="str">
        <f>IFERROR(VALUE(Table412[[#This Row],[MAT]]&amp;Table412[[#This Row],[X'#]]),IF(COUNTIF(Table412[[#This Row],[MAT]],"*M"),Table412[[#This Row],[MAT]]&amp;Table412[[#This Row],[X'#]],""))</f>
        <v/>
      </c>
    </row>
    <row r="937" spans="1:15" x14ac:dyDescent="0.25">
      <c r="A937" s="37">
        <f t="shared" si="15"/>
        <v>280</v>
      </c>
      <c r="C937" s="38" t="s">
        <v>624</v>
      </c>
      <c r="D937" s="36" t="s">
        <v>275</v>
      </c>
      <c r="E937" s="36" t="s">
        <v>3729</v>
      </c>
      <c r="F937" s="36">
        <v>2</v>
      </c>
      <c r="G937" s="36">
        <v>1078377</v>
      </c>
      <c r="H937" s="48" t="str">
        <f>IFERROR(INDEX(Table14[],MATCH($G937,Table14[SAPNo],0),3),"")</f>
        <v>13MM CT221 R1</v>
      </c>
      <c r="I937" s="37">
        <v>15</v>
      </c>
      <c r="J937" s="37">
        <f>IF(Table412[[#This Row],[MAT]]&lt;&gt;"",COUNTIF(Table3[LEVEL 5 MAT NO.],Table412[[#This Row],[MAT]]),"")</f>
        <v>0</v>
      </c>
      <c r="K937" s="36">
        <f>IFERROR(INDEX(Table3[],MATCH($E937,Table3[LEVEL 5 MAT NO.],0),2),0)</f>
        <v>0</v>
      </c>
      <c r="L937" s="36">
        <f>Table412[[#This Row],[Quantity in BOM]]*Table412[[#This Row],[Freq]]</f>
        <v>0</v>
      </c>
      <c r="M937" s="36" t="str">
        <f>IF(Table412[[#This Row],[Exist]]=1,Table412[[#This Row],[MAT]],"")</f>
        <v/>
      </c>
      <c r="N937" s="36" t="str">
        <f>IF(Table412[[#This Row],[Exist]]=1,Table412[[#This Row],[Component]],"")</f>
        <v/>
      </c>
      <c r="O937" s="36" t="str">
        <f>IFERROR(VALUE(Table412[[#This Row],[MAT]]&amp;Table412[[#This Row],[X'#]]),IF(COUNTIF(Table412[[#This Row],[MAT]],"*M"),Table412[[#This Row],[MAT]]&amp;Table412[[#This Row],[X'#]],""))</f>
        <v/>
      </c>
    </row>
    <row r="938" spans="1:15" x14ac:dyDescent="0.25">
      <c r="A938" s="37">
        <f t="shared" si="15"/>
        <v>280</v>
      </c>
      <c r="C938" s="38" t="s">
        <v>624</v>
      </c>
      <c r="D938" s="36" t="s">
        <v>275</v>
      </c>
      <c r="E938" s="36" t="s">
        <v>3729</v>
      </c>
      <c r="F938" s="36">
        <v>3</v>
      </c>
      <c r="G938" s="36">
        <v>1208601</v>
      </c>
      <c r="H938" s="48" t="str">
        <f>IFERROR(INDEX(Table14[],MATCH($G938,Table14[SAPNo],0),3),"")</f>
        <v>1613 CT418 U-60</v>
      </c>
      <c r="I938" s="37">
        <v>8</v>
      </c>
      <c r="J938" s="37">
        <f>IF(Table412[[#This Row],[MAT]]&lt;&gt;"",COUNTIF(Table3[LEVEL 5 MAT NO.],Table412[[#This Row],[MAT]]),"")</f>
        <v>0</v>
      </c>
      <c r="K938" s="36">
        <f>IFERROR(INDEX(Table3[],MATCH($E938,Table3[LEVEL 5 MAT NO.],0),2),0)</f>
        <v>0</v>
      </c>
      <c r="L938" s="36">
        <f>Table412[[#This Row],[Quantity in BOM]]*Table412[[#This Row],[Freq]]</f>
        <v>0</v>
      </c>
      <c r="M938" s="36" t="str">
        <f>IF(Table412[[#This Row],[Exist]]=1,Table412[[#This Row],[MAT]],"")</f>
        <v/>
      </c>
      <c r="N938" s="36" t="str">
        <f>IF(Table412[[#This Row],[Exist]]=1,Table412[[#This Row],[Component]],"")</f>
        <v/>
      </c>
      <c r="O938" s="36" t="str">
        <f>IFERROR(VALUE(Table412[[#This Row],[MAT]]&amp;Table412[[#This Row],[X'#]]),IF(COUNTIF(Table412[[#This Row],[MAT]],"*M"),Table412[[#This Row],[MAT]]&amp;Table412[[#This Row],[X'#]],""))</f>
        <v/>
      </c>
    </row>
    <row r="939" spans="1:15" x14ac:dyDescent="0.25">
      <c r="A939" s="37">
        <f t="shared" si="15"/>
        <v>280</v>
      </c>
      <c r="C939" s="38" t="s">
        <v>624</v>
      </c>
      <c r="D939" s="36" t="s">
        <v>275</v>
      </c>
      <c r="E939" s="36" t="s">
        <v>3729</v>
      </c>
      <c r="F939" s="36">
        <v>4</v>
      </c>
      <c r="G939" s="36">
        <v>418525</v>
      </c>
      <c r="H939" s="48" t="str">
        <f>IFERROR(INDEX(Table14[],MATCH($G939,Table14[SAPNo],0),3),"")</f>
        <v>Drop In 1308 CT31   (B)</v>
      </c>
      <c r="I939" s="37">
        <v>6</v>
      </c>
      <c r="J939" s="37">
        <f>IF(Table412[[#This Row],[MAT]]&lt;&gt;"",COUNTIF(Table3[LEVEL 5 MAT NO.],Table412[[#This Row],[MAT]]),"")</f>
        <v>0</v>
      </c>
      <c r="K939" s="36">
        <f>IFERROR(INDEX(Table3[],MATCH($E939,Table3[LEVEL 5 MAT NO.],0),2),0)</f>
        <v>0</v>
      </c>
      <c r="L939" s="36">
        <f>Table412[[#This Row],[Quantity in BOM]]*Table412[[#This Row],[Freq]]</f>
        <v>0</v>
      </c>
      <c r="M939" s="36" t="str">
        <f>IF(Table412[[#This Row],[Exist]]=1,Table412[[#This Row],[MAT]],"")</f>
        <v/>
      </c>
      <c r="N939" s="36" t="str">
        <f>IF(Table412[[#This Row],[Exist]]=1,Table412[[#This Row],[Component]],"")</f>
        <v/>
      </c>
      <c r="O939" s="36" t="str">
        <f>IFERROR(VALUE(Table412[[#This Row],[MAT]]&amp;Table412[[#This Row],[X'#]]),IF(COUNTIF(Table412[[#This Row],[MAT]],"*M"),Table412[[#This Row],[MAT]]&amp;Table412[[#This Row],[X'#]],""))</f>
        <v/>
      </c>
    </row>
    <row r="940" spans="1:15" x14ac:dyDescent="0.25">
      <c r="A940" s="37">
        <f t="shared" si="15"/>
        <v>280</v>
      </c>
      <c r="C940" s="38" t="s">
        <v>624</v>
      </c>
      <c r="D940" s="36" t="s">
        <v>275</v>
      </c>
      <c r="E940" s="36" t="s">
        <v>3729</v>
      </c>
      <c r="F940" s="36">
        <v>5</v>
      </c>
      <c r="G940" s="36">
        <v>1146737</v>
      </c>
      <c r="H940" s="48" t="str">
        <f>IFERROR(INDEX(Table14[],MATCH($G940,Table14[SAPNo],0),3),"")</f>
        <v>1613 CT418 18-60</v>
      </c>
      <c r="I940" s="37">
        <v>6</v>
      </c>
      <c r="J940" s="37">
        <f>IF(Table412[[#This Row],[MAT]]&lt;&gt;"",COUNTIF(Table3[LEVEL 5 MAT NO.],Table412[[#This Row],[MAT]]),"")</f>
        <v>0</v>
      </c>
      <c r="K940" s="36">
        <f>IFERROR(INDEX(Table3[],MATCH($E940,Table3[LEVEL 5 MAT NO.],0),2),0)</f>
        <v>0</v>
      </c>
      <c r="L940" s="36">
        <f>Table412[[#This Row],[Quantity in BOM]]*Table412[[#This Row],[Freq]]</f>
        <v>0</v>
      </c>
      <c r="M940" s="36" t="str">
        <f>IF(Table412[[#This Row],[Exist]]=1,Table412[[#This Row],[MAT]],"")</f>
        <v/>
      </c>
      <c r="N940" s="36" t="str">
        <f>IF(Table412[[#This Row],[Exist]]=1,Table412[[#This Row],[Component]],"")</f>
        <v/>
      </c>
      <c r="O940" s="36" t="str">
        <f>IFERROR(VALUE(Table412[[#This Row],[MAT]]&amp;Table412[[#This Row],[X'#]]),IF(COUNTIF(Table412[[#This Row],[MAT]],"*M"),Table412[[#This Row],[MAT]]&amp;Table412[[#This Row],[X'#]],""))</f>
        <v/>
      </c>
    </row>
    <row r="941" spans="1:15" x14ac:dyDescent="0.25">
      <c r="A941" s="37">
        <f t="shared" si="15"/>
        <v>280</v>
      </c>
      <c r="C941" s="38" t="s">
        <v>315</v>
      </c>
      <c r="D941" s="36" t="s">
        <v>286</v>
      </c>
      <c r="E941" s="36" t="s">
        <v>3730</v>
      </c>
      <c r="F941" s="36">
        <v>1</v>
      </c>
      <c r="G941" s="36">
        <v>1175118</v>
      </c>
      <c r="H941" s="48" t="str">
        <f>IFERROR(INDEX(Table14[],MATCH($G941,Table14[SAPNo],0),3),"")</f>
        <v>1613 CT147 18-60</v>
      </c>
      <c r="I941" s="37">
        <v>30</v>
      </c>
      <c r="J941" s="37">
        <f>IF(Table412[[#This Row],[MAT]]&lt;&gt;"",COUNTIF(Table3[LEVEL 5 MAT NO.],Table412[[#This Row],[MAT]]),"")</f>
        <v>0</v>
      </c>
      <c r="K941" s="36">
        <f>IFERROR(INDEX(Table3[],MATCH($E941,Table3[LEVEL 5 MAT NO.],0),2),0)</f>
        <v>0</v>
      </c>
      <c r="L941" s="36">
        <f>Table412[[#This Row],[Quantity in BOM]]*Table412[[#This Row],[Freq]]</f>
        <v>0</v>
      </c>
      <c r="M941" s="36" t="str">
        <f>IF(Table412[[#This Row],[Exist]]=1,Table412[[#This Row],[MAT]],"")</f>
        <v/>
      </c>
      <c r="N941" s="36" t="str">
        <f>IF(Table412[[#This Row],[Exist]]=1,Table412[[#This Row],[Component]],"")</f>
        <v/>
      </c>
      <c r="O941" s="36" t="str">
        <f>IFERROR(VALUE(Table412[[#This Row],[MAT]]&amp;Table412[[#This Row],[X'#]]),IF(COUNTIF(Table412[[#This Row],[MAT]],"*M"),Table412[[#This Row],[MAT]]&amp;Table412[[#This Row],[X'#]],""))</f>
        <v/>
      </c>
    </row>
    <row r="942" spans="1:15" x14ac:dyDescent="0.25">
      <c r="A942" s="37">
        <f t="shared" si="15"/>
        <v>280</v>
      </c>
      <c r="C942" s="38" t="s">
        <v>315</v>
      </c>
      <c r="D942" s="36" t="s">
        <v>286</v>
      </c>
      <c r="E942" s="36" t="s">
        <v>3730</v>
      </c>
      <c r="F942" s="36">
        <v>2</v>
      </c>
      <c r="G942" s="36">
        <v>1130196</v>
      </c>
      <c r="H942" s="48" t="str">
        <f>IFERROR(INDEX(Table14[],MATCH($G942,Table14[SAPNo],0),3),"")</f>
        <v>Round 1313 CT182  0.018" (S)</v>
      </c>
      <c r="I942" s="37">
        <v>27</v>
      </c>
      <c r="J942" s="37">
        <f>IF(Table412[[#This Row],[MAT]]&lt;&gt;"",COUNTIF(Table3[LEVEL 5 MAT NO.],Table412[[#This Row],[MAT]]),"")</f>
        <v>0</v>
      </c>
      <c r="K942" s="36">
        <f>IFERROR(INDEX(Table3[],MATCH($E942,Table3[LEVEL 5 MAT NO.],0),2),0)</f>
        <v>0</v>
      </c>
      <c r="L942" s="36">
        <f>Table412[[#This Row],[Quantity in BOM]]*Table412[[#This Row],[Freq]]</f>
        <v>0</v>
      </c>
      <c r="M942" s="36" t="str">
        <f>IF(Table412[[#This Row],[Exist]]=1,Table412[[#This Row],[MAT]],"")</f>
        <v/>
      </c>
      <c r="N942" s="36" t="str">
        <f>IF(Table412[[#This Row],[Exist]]=1,Table412[[#This Row],[Component]],"")</f>
        <v/>
      </c>
      <c r="O942" s="36" t="str">
        <f>IFERROR(VALUE(Table412[[#This Row],[MAT]]&amp;Table412[[#This Row],[X'#]]),IF(COUNTIF(Table412[[#This Row],[MAT]],"*M"),Table412[[#This Row],[MAT]]&amp;Table412[[#This Row],[X'#]],""))</f>
        <v/>
      </c>
    </row>
    <row r="943" spans="1:15" x14ac:dyDescent="0.25">
      <c r="A943" s="37">
        <f t="shared" si="15"/>
        <v>280</v>
      </c>
      <c r="C943" s="38" t="s">
        <v>315</v>
      </c>
      <c r="D943" s="36" t="s">
        <v>286</v>
      </c>
      <c r="E943" s="36" t="s">
        <v>3730</v>
      </c>
      <c r="F943" s="36">
        <v>3</v>
      </c>
      <c r="G943" s="36">
        <v>1209410</v>
      </c>
      <c r="H943" s="48" t="str">
        <f>IFERROR(INDEX(Table14[],MATCH($G943,Table14[SAPNo],0),3),"")</f>
        <v>1613 CT430MV3 U TBO</v>
      </c>
      <c r="I943" s="37">
        <v>10</v>
      </c>
      <c r="J943" s="37">
        <f>IF(Table412[[#This Row],[MAT]]&lt;&gt;"",COUNTIF(Table3[LEVEL 5 MAT NO.],Table412[[#This Row],[MAT]]),"")</f>
        <v>0</v>
      </c>
      <c r="K943" s="36">
        <f>IFERROR(INDEX(Table3[],MATCH($E943,Table3[LEVEL 5 MAT NO.],0),2),0)</f>
        <v>0</v>
      </c>
      <c r="L943" s="36">
        <f>Table412[[#This Row],[Quantity in BOM]]*Table412[[#This Row],[Freq]]</f>
        <v>0</v>
      </c>
      <c r="M943" s="36" t="str">
        <f>IF(Table412[[#This Row],[Exist]]=1,Table412[[#This Row],[MAT]],"")</f>
        <v/>
      </c>
      <c r="N943" s="36" t="str">
        <f>IF(Table412[[#This Row],[Exist]]=1,Table412[[#This Row],[Component]],"")</f>
        <v/>
      </c>
      <c r="O943" s="36" t="str">
        <f>IFERROR(VALUE(Table412[[#This Row],[MAT]]&amp;Table412[[#This Row],[X'#]]),IF(COUNTIF(Table412[[#This Row],[MAT]],"*M"),Table412[[#This Row],[MAT]]&amp;Table412[[#This Row],[X'#]],""))</f>
        <v/>
      </c>
    </row>
    <row r="944" spans="1:15" x14ac:dyDescent="0.25">
      <c r="A944" s="37">
        <f t="shared" si="15"/>
        <v>280</v>
      </c>
      <c r="C944" s="38" t="s">
        <v>315</v>
      </c>
      <c r="D944" s="36" t="s">
        <v>286</v>
      </c>
      <c r="E944" s="36" t="s">
        <v>3730</v>
      </c>
      <c r="F944" s="36">
        <v>5</v>
      </c>
      <c r="G944" s="36">
        <v>1146737</v>
      </c>
      <c r="H944" s="48" t="str">
        <f>IFERROR(INDEX(Table14[],MATCH($G944,Table14[SAPNo],0),3),"")</f>
        <v>1613 CT418 18-60</v>
      </c>
      <c r="I944" s="37">
        <v>10</v>
      </c>
      <c r="J944" s="37">
        <f>IF(Table412[[#This Row],[MAT]]&lt;&gt;"",COUNTIF(Table3[LEVEL 5 MAT NO.],Table412[[#This Row],[MAT]]),"")</f>
        <v>0</v>
      </c>
      <c r="K944" s="36">
        <f>IFERROR(INDEX(Table3[],MATCH($E944,Table3[LEVEL 5 MAT NO.],0),2),0)</f>
        <v>0</v>
      </c>
      <c r="L944" s="36">
        <f>Table412[[#This Row],[Quantity in BOM]]*Table412[[#This Row],[Freq]]</f>
        <v>0</v>
      </c>
      <c r="M944" s="36" t="str">
        <f>IF(Table412[[#This Row],[Exist]]=1,Table412[[#This Row],[MAT]],"")</f>
        <v/>
      </c>
      <c r="N944" s="36" t="str">
        <f>IF(Table412[[#This Row],[Exist]]=1,Table412[[#This Row],[Component]],"")</f>
        <v/>
      </c>
      <c r="O944" s="36" t="str">
        <f>IFERROR(VALUE(Table412[[#This Row],[MAT]]&amp;Table412[[#This Row],[X'#]]),IF(COUNTIF(Table412[[#This Row],[MAT]],"*M"),Table412[[#This Row],[MAT]]&amp;Table412[[#This Row],[X'#]],""))</f>
        <v/>
      </c>
    </row>
    <row r="945" spans="1:15" x14ac:dyDescent="0.25">
      <c r="A945" s="37">
        <f t="shared" si="15"/>
        <v>280</v>
      </c>
      <c r="C945" s="38" t="s">
        <v>624</v>
      </c>
      <c r="D945" s="36" t="s">
        <v>275</v>
      </c>
      <c r="E945" s="36" t="s">
        <v>3731</v>
      </c>
      <c r="F945" s="36">
        <v>1</v>
      </c>
      <c r="G945" s="36">
        <v>1208601</v>
      </c>
      <c r="H945" s="48" t="str">
        <f>IFERROR(INDEX(Table14[],MATCH($G945,Table14[SAPNo],0),3),"")</f>
        <v>1613 CT418 U-60</v>
      </c>
      <c r="I945" s="37">
        <v>8</v>
      </c>
      <c r="J945" s="37">
        <f>IF(Table412[[#This Row],[MAT]]&lt;&gt;"",COUNTIF(Table3[LEVEL 5 MAT NO.],Table412[[#This Row],[MAT]]),"")</f>
        <v>0</v>
      </c>
      <c r="K945" s="36">
        <f>IFERROR(INDEX(Table3[],MATCH($E945,Table3[LEVEL 5 MAT NO.],0),2),0)</f>
        <v>0</v>
      </c>
      <c r="L945" s="36">
        <f>Table412[[#This Row],[Quantity in BOM]]*Table412[[#This Row],[Freq]]</f>
        <v>0</v>
      </c>
      <c r="M945" s="36" t="str">
        <f>IF(Table412[[#This Row],[Exist]]=1,Table412[[#This Row],[MAT]],"")</f>
        <v/>
      </c>
      <c r="N945" s="36" t="str">
        <f>IF(Table412[[#This Row],[Exist]]=1,Table412[[#This Row],[Component]],"")</f>
        <v/>
      </c>
      <c r="O945" s="36" t="str">
        <f>IFERROR(VALUE(Table412[[#This Row],[MAT]]&amp;Table412[[#This Row],[X'#]]),IF(COUNTIF(Table412[[#This Row],[MAT]],"*M"),Table412[[#This Row],[MAT]]&amp;Table412[[#This Row],[X'#]],""))</f>
        <v/>
      </c>
    </row>
    <row r="946" spans="1:15" x14ac:dyDescent="0.25">
      <c r="A946" s="37">
        <f t="shared" si="15"/>
        <v>280</v>
      </c>
      <c r="C946" s="38" t="s">
        <v>624</v>
      </c>
      <c r="D946" s="36" t="s">
        <v>275</v>
      </c>
      <c r="E946" s="36" t="s">
        <v>3731</v>
      </c>
      <c r="F946" s="36">
        <v>2</v>
      </c>
      <c r="G946" s="36">
        <v>1078377</v>
      </c>
      <c r="H946" s="48" t="str">
        <f>IFERROR(INDEX(Table14[],MATCH($G946,Table14[SAPNo],0),3),"")</f>
        <v>13MM CT221 R1</v>
      </c>
      <c r="I946" s="37">
        <v>15</v>
      </c>
      <c r="J946" s="37">
        <f>IF(Table412[[#This Row],[MAT]]&lt;&gt;"",COUNTIF(Table3[LEVEL 5 MAT NO.],Table412[[#This Row],[MAT]]),"")</f>
        <v>0</v>
      </c>
      <c r="K946" s="36">
        <f>IFERROR(INDEX(Table3[],MATCH($E946,Table3[LEVEL 5 MAT NO.],0),2),0)</f>
        <v>0</v>
      </c>
      <c r="L946" s="36">
        <f>Table412[[#This Row],[Quantity in BOM]]*Table412[[#This Row],[Freq]]</f>
        <v>0</v>
      </c>
      <c r="M946" s="36" t="str">
        <f>IF(Table412[[#This Row],[Exist]]=1,Table412[[#This Row],[MAT]],"")</f>
        <v/>
      </c>
      <c r="N946" s="36" t="str">
        <f>IF(Table412[[#This Row],[Exist]]=1,Table412[[#This Row],[Component]],"")</f>
        <v/>
      </c>
      <c r="O946" s="36" t="str">
        <f>IFERROR(VALUE(Table412[[#This Row],[MAT]]&amp;Table412[[#This Row],[X'#]]),IF(COUNTIF(Table412[[#This Row],[MAT]],"*M"),Table412[[#This Row],[MAT]]&amp;Table412[[#This Row],[X'#]],""))</f>
        <v/>
      </c>
    </row>
    <row r="947" spans="1:15" x14ac:dyDescent="0.25">
      <c r="A947" s="37">
        <f t="shared" si="15"/>
        <v>280</v>
      </c>
      <c r="C947" s="36" t="s">
        <v>624</v>
      </c>
      <c r="D947" s="36" t="s">
        <v>275</v>
      </c>
      <c r="E947" s="36" t="s">
        <v>3731</v>
      </c>
      <c r="F947" s="36">
        <v>3</v>
      </c>
      <c r="G947" s="36">
        <v>418525</v>
      </c>
      <c r="H947" s="48" t="str">
        <f>IFERROR(INDEX(Table14[],MATCH($G947,Table14[SAPNo],0),3),"")</f>
        <v>Drop In 1308 CT31   (B)</v>
      </c>
      <c r="I947" s="37">
        <v>6</v>
      </c>
      <c r="J947" s="37">
        <f>IF(Table412[[#This Row],[MAT]]&lt;&gt;"",COUNTIF(Table3[LEVEL 5 MAT NO.],Table412[[#This Row],[MAT]]),"")</f>
        <v>0</v>
      </c>
      <c r="K947" s="36">
        <f>IFERROR(INDEX(Table3[],MATCH($E947,Table3[LEVEL 5 MAT NO.],0),2),0)</f>
        <v>0</v>
      </c>
      <c r="L947" s="36">
        <f>Table412[[#This Row],[Quantity in BOM]]*Table412[[#This Row],[Freq]]</f>
        <v>0</v>
      </c>
      <c r="M947" s="36" t="str">
        <f>IF(Table412[[#This Row],[Exist]]=1,Table412[[#This Row],[MAT]],"")</f>
        <v/>
      </c>
      <c r="N947" s="36" t="str">
        <f>IF(Table412[[#This Row],[Exist]]=1,Table412[[#This Row],[Component]],"")</f>
        <v/>
      </c>
      <c r="O947" s="36" t="str">
        <f>IFERROR(VALUE(Table412[[#This Row],[MAT]]&amp;Table412[[#This Row],[X'#]]),IF(COUNTIF(Table412[[#This Row],[MAT]],"*M"),Table412[[#This Row],[MAT]]&amp;Table412[[#This Row],[X'#]],""))</f>
        <v/>
      </c>
    </row>
    <row r="948" spans="1:15" x14ac:dyDescent="0.25">
      <c r="A948" s="37">
        <f t="shared" si="15"/>
        <v>280</v>
      </c>
      <c r="C948" s="36" t="s">
        <v>624</v>
      </c>
      <c r="D948" s="36" t="s">
        <v>275</v>
      </c>
      <c r="E948" s="36" t="s">
        <v>3731</v>
      </c>
      <c r="F948" s="36">
        <v>4</v>
      </c>
      <c r="G948" s="36">
        <v>1175118</v>
      </c>
      <c r="H948" s="48" t="str">
        <f>IFERROR(INDEX(Table14[],MATCH($G948,Table14[SAPNo],0),3),"")</f>
        <v>1613 CT147 18-60</v>
      </c>
      <c r="I948" s="37">
        <v>17</v>
      </c>
      <c r="J948" s="37">
        <f>IF(Table412[[#This Row],[MAT]]&lt;&gt;"",COUNTIF(Table3[LEVEL 5 MAT NO.],Table412[[#This Row],[MAT]]),"")</f>
        <v>0</v>
      </c>
      <c r="K948" s="36">
        <f>IFERROR(INDEX(Table3[],MATCH($E948,Table3[LEVEL 5 MAT NO.],0),2),0)</f>
        <v>0</v>
      </c>
      <c r="L948" s="36">
        <f>Table412[[#This Row],[Quantity in BOM]]*Table412[[#This Row],[Freq]]</f>
        <v>0</v>
      </c>
      <c r="M948" s="36" t="str">
        <f>IF(Table412[[#This Row],[Exist]]=1,Table412[[#This Row],[MAT]],"")</f>
        <v/>
      </c>
      <c r="N948" s="36" t="str">
        <f>IF(Table412[[#This Row],[Exist]]=1,Table412[[#This Row],[Component]],"")</f>
        <v/>
      </c>
      <c r="O948" s="36" t="str">
        <f>IFERROR(VALUE(Table412[[#This Row],[MAT]]&amp;Table412[[#This Row],[X'#]]),IF(COUNTIF(Table412[[#This Row],[MAT]],"*M"),Table412[[#This Row],[MAT]]&amp;Table412[[#This Row],[X'#]],""))</f>
        <v/>
      </c>
    </row>
    <row r="949" spans="1:15" x14ac:dyDescent="0.25">
      <c r="A949" s="37">
        <f t="shared" si="15"/>
        <v>280</v>
      </c>
      <c r="C949" s="36" t="s">
        <v>624</v>
      </c>
      <c r="D949" s="36" t="s">
        <v>275</v>
      </c>
      <c r="E949" s="36" t="s">
        <v>3731</v>
      </c>
      <c r="F949" s="36">
        <v>5</v>
      </c>
      <c r="G949" s="36">
        <v>1146737</v>
      </c>
      <c r="H949" s="48" t="str">
        <f>IFERROR(INDEX(Table14[],MATCH($G949,Table14[SAPNo],0),3),"")</f>
        <v>1613 CT418 18-60</v>
      </c>
      <c r="I949" s="37">
        <v>6</v>
      </c>
      <c r="J949" s="37">
        <f>IF(Table412[[#This Row],[MAT]]&lt;&gt;"",COUNTIF(Table3[LEVEL 5 MAT NO.],Table412[[#This Row],[MAT]]),"")</f>
        <v>0</v>
      </c>
      <c r="K949" s="36">
        <f>IFERROR(INDEX(Table3[],MATCH($E949,Table3[LEVEL 5 MAT NO.],0),2),0)</f>
        <v>0</v>
      </c>
      <c r="L949" s="36">
        <f>Table412[[#This Row],[Quantity in BOM]]*Table412[[#This Row],[Freq]]</f>
        <v>0</v>
      </c>
      <c r="M949" s="36" t="str">
        <f>IF(Table412[[#This Row],[Exist]]=1,Table412[[#This Row],[MAT]],"")</f>
        <v/>
      </c>
      <c r="N949" s="36" t="str">
        <f>IF(Table412[[#This Row],[Exist]]=1,Table412[[#This Row],[Component]],"")</f>
        <v/>
      </c>
      <c r="O949" s="36" t="str">
        <f>IFERROR(VALUE(Table412[[#This Row],[MAT]]&amp;Table412[[#This Row],[X'#]]),IF(COUNTIF(Table412[[#This Row],[MAT]],"*M"),Table412[[#This Row],[MAT]]&amp;Table412[[#This Row],[X'#]],""))</f>
        <v/>
      </c>
    </row>
    <row r="950" spans="1:15" x14ac:dyDescent="0.25">
      <c r="A950" s="37">
        <f t="shared" si="15"/>
        <v>280</v>
      </c>
      <c r="C950" s="36" t="s">
        <v>316</v>
      </c>
      <c r="D950" s="36" t="s">
        <v>290</v>
      </c>
      <c r="E950" s="36" t="s">
        <v>3732</v>
      </c>
      <c r="F950" s="36">
        <v>1</v>
      </c>
      <c r="G950" s="36">
        <v>647436</v>
      </c>
      <c r="H950" s="48" t="str">
        <f>IFERROR(INDEX(Table14[],MATCH($G950,Table14[SAPNo],0),3),"")</f>
        <v>Round 1613 CT200  0.018" (B)</v>
      </c>
      <c r="I950" s="37">
        <v>64</v>
      </c>
      <c r="J950" s="37">
        <f>IF(Table412[[#This Row],[MAT]]&lt;&gt;"",COUNTIF(Table3[LEVEL 5 MAT NO.],Table412[[#This Row],[MAT]]),"")</f>
        <v>0</v>
      </c>
      <c r="K950" s="36">
        <f>IFERROR(INDEX(Table3[],MATCH($E950,Table3[LEVEL 5 MAT NO.],0),2),0)</f>
        <v>0</v>
      </c>
      <c r="L950" s="36">
        <f>Table412[[#This Row],[Quantity in BOM]]*Table412[[#This Row],[Freq]]</f>
        <v>0</v>
      </c>
      <c r="M950" s="36" t="str">
        <f>IF(Table412[[#This Row],[Exist]]=1,Table412[[#This Row],[MAT]],"")</f>
        <v/>
      </c>
      <c r="N950" s="36" t="str">
        <f>IF(Table412[[#This Row],[Exist]]=1,Table412[[#This Row],[Component]],"")</f>
        <v/>
      </c>
      <c r="O950" s="36" t="str">
        <f>IFERROR(VALUE(Table412[[#This Row],[MAT]]&amp;Table412[[#This Row],[X'#]]),IF(COUNTIF(Table412[[#This Row],[MAT]],"*M"),Table412[[#This Row],[MAT]]&amp;Table412[[#This Row],[X'#]],""))</f>
        <v/>
      </c>
    </row>
    <row r="951" spans="1:15" x14ac:dyDescent="0.25">
      <c r="A951" s="37">
        <f t="shared" si="15"/>
        <v>280</v>
      </c>
      <c r="C951" s="36" t="s">
        <v>316</v>
      </c>
      <c r="D951" s="36" t="s">
        <v>290</v>
      </c>
      <c r="E951" s="36" t="s">
        <v>3732</v>
      </c>
      <c r="F951" s="36">
        <v>2</v>
      </c>
      <c r="G951" s="36">
        <v>1175118</v>
      </c>
      <c r="H951" s="48" t="str">
        <f>IFERROR(INDEX(Table14[],MATCH($G951,Table14[SAPNo],0),3),"")</f>
        <v>1613 CT147 18-60</v>
      </c>
      <c r="I951" s="37">
        <v>53</v>
      </c>
      <c r="J951" s="37">
        <f>IF(Table412[[#This Row],[MAT]]&lt;&gt;"",COUNTIF(Table3[LEVEL 5 MAT NO.],Table412[[#This Row],[MAT]]),"")</f>
        <v>0</v>
      </c>
      <c r="K951" s="36">
        <f>IFERROR(INDEX(Table3[],MATCH($E951,Table3[LEVEL 5 MAT NO.],0),2),0)</f>
        <v>0</v>
      </c>
      <c r="L951" s="36">
        <f>Table412[[#This Row],[Quantity in BOM]]*Table412[[#This Row],[Freq]]</f>
        <v>0</v>
      </c>
      <c r="M951" s="36" t="str">
        <f>IF(Table412[[#This Row],[Exist]]=1,Table412[[#This Row],[MAT]],"")</f>
        <v/>
      </c>
      <c r="N951" s="36" t="str">
        <f>IF(Table412[[#This Row],[Exist]]=1,Table412[[#This Row],[Component]],"")</f>
        <v/>
      </c>
      <c r="O951" s="36" t="str">
        <f>IFERROR(VALUE(Table412[[#This Row],[MAT]]&amp;Table412[[#This Row],[X'#]]),IF(COUNTIF(Table412[[#This Row],[MAT]],"*M"),Table412[[#This Row],[MAT]]&amp;Table412[[#This Row],[X'#]],""))</f>
        <v/>
      </c>
    </row>
    <row r="952" spans="1:15" x14ac:dyDescent="0.25">
      <c r="A952" s="37">
        <f t="shared" si="15"/>
        <v>280</v>
      </c>
      <c r="C952" s="36" t="s">
        <v>316</v>
      </c>
      <c r="D952" s="36" t="s">
        <v>290</v>
      </c>
      <c r="E952" s="36" t="s">
        <v>3732</v>
      </c>
      <c r="F952" s="36">
        <v>3</v>
      </c>
      <c r="G952" s="36">
        <v>1146737</v>
      </c>
      <c r="H952" s="48" t="str">
        <f>IFERROR(INDEX(Table14[],MATCH($G952,Table14[SAPNo],0),3),"")</f>
        <v>1613 CT418 18-60</v>
      </c>
      <c r="I952" s="37">
        <v>39</v>
      </c>
      <c r="J952" s="37">
        <f>IF(Table412[[#This Row],[MAT]]&lt;&gt;"",COUNTIF(Table3[LEVEL 5 MAT NO.],Table412[[#This Row],[MAT]]),"")</f>
        <v>0</v>
      </c>
      <c r="K952" s="36">
        <f>IFERROR(INDEX(Table3[],MATCH($E952,Table3[LEVEL 5 MAT NO.],0),2),0)</f>
        <v>0</v>
      </c>
      <c r="L952" s="36">
        <f>Table412[[#This Row],[Quantity in BOM]]*Table412[[#This Row],[Freq]]</f>
        <v>0</v>
      </c>
      <c r="M952" s="36" t="str">
        <f>IF(Table412[[#This Row],[Exist]]=1,Table412[[#This Row],[MAT]],"")</f>
        <v/>
      </c>
      <c r="N952" s="36" t="str">
        <f>IF(Table412[[#This Row],[Exist]]=1,Table412[[#This Row],[Component]],"")</f>
        <v/>
      </c>
      <c r="O952" s="36" t="str">
        <f>IFERROR(VALUE(Table412[[#This Row],[MAT]]&amp;Table412[[#This Row],[X'#]]),IF(COUNTIF(Table412[[#This Row],[MAT]],"*M"),Table412[[#This Row],[MAT]]&amp;Table412[[#This Row],[X'#]],""))</f>
        <v/>
      </c>
    </row>
    <row r="953" spans="1:15" x14ac:dyDescent="0.25">
      <c r="A953" s="37">
        <f t="shared" si="15"/>
        <v>280</v>
      </c>
      <c r="C953" s="36" t="s">
        <v>316</v>
      </c>
      <c r="D953" s="36" t="s">
        <v>290</v>
      </c>
      <c r="E953" s="36" t="s">
        <v>3732</v>
      </c>
      <c r="F953" s="36">
        <v>4</v>
      </c>
      <c r="G953" s="36">
        <v>647435</v>
      </c>
      <c r="H953" s="48" t="str">
        <f>IFERROR(INDEX(Table14[],MATCH($G953,Table14[SAPNo],0),3),"")</f>
        <v>Round 1608 CT200  0.018" (B)</v>
      </c>
      <c r="I953" s="37">
        <v>16</v>
      </c>
      <c r="J953" s="37">
        <f>IF(Table412[[#This Row],[MAT]]&lt;&gt;"",COUNTIF(Table3[LEVEL 5 MAT NO.],Table412[[#This Row],[MAT]]),"")</f>
        <v>0</v>
      </c>
      <c r="K953" s="36">
        <f>IFERROR(INDEX(Table3[],MATCH($E953,Table3[LEVEL 5 MAT NO.],0),2),0)</f>
        <v>0</v>
      </c>
      <c r="L953" s="36">
        <f>Table412[[#This Row],[Quantity in BOM]]*Table412[[#This Row],[Freq]]</f>
        <v>0</v>
      </c>
      <c r="M953" s="36" t="str">
        <f>IF(Table412[[#This Row],[Exist]]=1,Table412[[#This Row],[MAT]],"")</f>
        <v/>
      </c>
      <c r="N953" s="36" t="str">
        <f>IF(Table412[[#This Row],[Exist]]=1,Table412[[#This Row],[Component]],"")</f>
        <v/>
      </c>
      <c r="O953" s="36" t="str">
        <f>IFERROR(VALUE(Table412[[#This Row],[MAT]]&amp;Table412[[#This Row],[X'#]]),IF(COUNTIF(Table412[[#This Row],[MAT]],"*M"),Table412[[#This Row],[MAT]]&amp;Table412[[#This Row],[X'#]],""))</f>
        <v/>
      </c>
    </row>
    <row r="954" spans="1:15" x14ac:dyDescent="0.25">
      <c r="A954" s="37">
        <f t="shared" si="15"/>
        <v>280</v>
      </c>
      <c r="C954" s="36" t="s">
        <v>316</v>
      </c>
      <c r="D954" s="36" t="s">
        <v>290</v>
      </c>
      <c r="E954" s="36" t="s">
        <v>3732</v>
      </c>
      <c r="F954" s="36">
        <v>5</v>
      </c>
      <c r="G954" s="36">
        <v>418525</v>
      </c>
      <c r="H954" s="48" t="str">
        <f>IFERROR(INDEX(Table14[],MATCH($G954,Table14[SAPNo],0),3),"")</f>
        <v>Drop In 1308 CT31   (B)</v>
      </c>
      <c r="I954" s="37">
        <v>8</v>
      </c>
      <c r="J954" s="37">
        <f>IF(Table412[[#This Row],[MAT]]&lt;&gt;"",COUNTIF(Table3[LEVEL 5 MAT NO.],Table412[[#This Row],[MAT]]),"")</f>
        <v>0</v>
      </c>
      <c r="K954" s="36">
        <f>IFERROR(INDEX(Table3[],MATCH($E954,Table3[LEVEL 5 MAT NO.],0),2),0)</f>
        <v>0</v>
      </c>
      <c r="L954" s="36">
        <f>Table412[[#This Row],[Quantity in BOM]]*Table412[[#This Row],[Freq]]</f>
        <v>0</v>
      </c>
      <c r="M954" s="36" t="str">
        <f>IF(Table412[[#This Row],[Exist]]=1,Table412[[#This Row],[MAT]],"")</f>
        <v/>
      </c>
      <c r="N954" s="36" t="str">
        <f>IF(Table412[[#This Row],[Exist]]=1,Table412[[#This Row],[Component]],"")</f>
        <v/>
      </c>
      <c r="O954" s="36" t="str">
        <f>IFERROR(VALUE(Table412[[#This Row],[MAT]]&amp;Table412[[#This Row],[X'#]]),IF(COUNTIF(Table412[[#This Row],[MAT]],"*M"),Table412[[#This Row],[MAT]]&amp;Table412[[#This Row],[X'#]],""))</f>
        <v/>
      </c>
    </row>
    <row r="955" spans="1:15" x14ac:dyDescent="0.25">
      <c r="A955" s="37">
        <f t="shared" si="15"/>
        <v>280</v>
      </c>
      <c r="C955" s="296" t="s">
        <v>316</v>
      </c>
      <c r="D955" s="296" t="s">
        <v>320</v>
      </c>
      <c r="E955" s="296">
        <v>1272498</v>
      </c>
      <c r="F955" s="36">
        <v>1</v>
      </c>
      <c r="G955" s="36">
        <v>410851</v>
      </c>
      <c r="H955" s="48" t="str">
        <f>IFERROR(INDEX(Table14[],MATCH($G955,Table14[SAPNo],0),3),"")</f>
        <v>PDC Dome 1308 CT31   (B)</v>
      </c>
      <c r="I955" s="37">
        <v>56</v>
      </c>
      <c r="J955" s="37">
        <f>IF(Table412[[#This Row],[MAT]]&lt;&gt;"",COUNTIF(Table3[LEVEL 5 MAT NO.],Table412[[#This Row],[MAT]]),"")</f>
        <v>1</v>
      </c>
      <c r="K955" s="36">
        <f>IFERROR(INDEX(Table3[],MATCH($E955,Table3[LEVEL 5 MAT NO.],0),2),0)</f>
        <v>3</v>
      </c>
      <c r="L955" s="36">
        <f>Table412[[#This Row],[Quantity in BOM]]*Table412[[#This Row],[Freq]]</f>
        <v>168</v>
      </c>
      <c r="M955" s="36">
        <f>IF(Table412[[#This Row],[Exist]]=1,Table412[[#This Row],[MAT]],"")</f>
        <v>1272498</v>
      </c>
      <c r="N955" s="36">
        <f>IF(Table412[[#This Row],[Exist]]=1,Table412[[#This Row],[Component]],"")</f>
        <v>410851</v>
      </c>
      <c r="O955" s="36">
        <f>IFERROR(VALUE(Table412[[#This Row],[MAT]]&amp;Table412[[#This Row],[X'#]]),IF(COUNTIF(Table412[[#This Row],[MAT]],"*M"),Table412[[#This Row],[MAT]]&amp;Table412[[#This Row],[X'#]],""))</f>
        <v>12724981</v>
      </c>
    </row>
    <row r="956" spans="1:15" x14ac:dyDescent="0.25">
      <c r="A956" s="37">
        <f t="shared" si="15"/>
        <v>283</v>
      </c>
      <c r="C956" s="296" t="s">
        <v>316</v>
      </c>
      <c r="D956" s="296" t="s">
        <v>320</v>
      </c>
      <c r="E956" s="296">
        <v>1272498</v>
      </c>
      <c r="F956" s="36">
        <v>2</v>
      </c>
      <c r="G956" s="36">
        <v>1271790</v>
      </c>
      <c r="H956" s="48" t="str">
        <f>IFERROR(INDEX(Table14[],MATCH($G956,Table14[SAPNo],0),3),"")</f>
        <v xml:space="preserve">1613 CT170 18-60 </v>
      </c>
      <c r="I956" s="37">
        <v>42</v>
      </c>
      <c r="J956" s="37">
        <f>IF(Table412[[#This Row],[MAT]]&lt;&gt;"",COUNTIF(Table3[LEVEL 5 MAT NO.],Table412[[#This Row],[MAT]]),"")</f>
        <v>1</v>
      </c>
      <c r="K956" s="36">
        <f>IFERROR(INDEX(Table3[],MATCH($E956,Table3[LEVEL 5 MAT NO.],0),2),0)</f>
        <v>3</v>
      </c>
      <c r="L956" s="36">
        <f>Table412[[#This Row],[Quantity in BOM]]*Table412[[#This Row],[Freq]]</f>
        <v>126</v>
      </c>
      <c r="M956" s="36">
        <f>IF(Table412[[#This Row],[Exist]]=1,Table412[[#This Row],[MAT]],"")</f>
        <v>1272498</v>
      </c>
      <c r="N956" s="36">
        <f>IF(Table412[[#This Row],[Exist]]=1,Table412[[#This Row],[Component]],"")</f>
        <v>1271790</v>
      </c>
      <c r="O956" s="36">
        <f>IFERROR(VALUE(Table412[[#This Row],[MAT]]&amp;Table412[[#This Row],[X'#]]),IF(COUNTIF(Table412[[#This Row],[MAT]],"*M"),Table412[[#This Row],[MAT]]&amp;Table412[[#This Row],[X'#]],""))</f>
        <v>12724982</v>
      </c>
    </row>
    <row r="957" spans="1:15" x14ac:dyDescent="0.25">
      <c r="A957" s="37">
        <f t="shared" si="15"/>
        <v>286</v>
      </c>
      <c r="C957" s="296" t="s">
        <v>316</v>
      </c>
      <c r="D957" s="296" t="s">
        <v>320</v>
      </c>
      <c r="E957" s="296">
        <v>1272498</v>
      </c>
      <c r="F957" s="36">
        <v>3</v>
      </c>
      <c r="G957" s="36">
        <v>717751</v>
      </c>
      <c r="H957" s="48" t="str">
        <f>IFERROR(INDEX(Table14[],MATCH($G957,Table14[SAPNo],0),3),"")</f>
        <v>Round 1308 CT200  0.018" (B)</v>
      </c>
      <c r="I957" s="36">
        <v>39</v>
      </c>
      <c r="J957" s="37">
        <f>IF(Table412[[#This Row],[MAT]]&lt;&gt;"",COUNTIF(Table3[LEVEL 5 MAT NO.],Table412[[#This Row],[MAT]]),"")</f>
        <v>1</v>
      </c>
      <c r="K957" s="36">
        <f>IFERROR(INDEX(Table3[],MATCH($E957,Table3[LEVEL 5 MAT NO.],0),2),0)</f>
        <v>3</v>
      </c>
      <c r="L957" s="36">
        <f>Table412[[#This Row],[Quantity in BOM]]*Table412[[#This Row],[Freq]]</f>
        <v>117</v>
      </c>
      <c r="M957" s="36">
        <f>IF(Table412[[#This Row],[Exist]]=1,Table412[[#This Row],[MAT]],"")</f>
        <v>1272498</v>
      </c>
      <c r="N957" s="36">
        <f>IF(Table412[[#This Row],[Exist]]=1,Table412[[#This Row],[Component]],"")</f>
        <v>717751</v>
      </c>
      <c r="O957" s="36">
        <f>IFERROR(VALUE(Table412[[#This Row],[MAT]]&amp;Table412[[#This Row],[X'#]]),IF(COUNTIF(Table412[[#This Row],[MAT]],"*M"),Table412[[#This Row],[MAT]]&amp;Table412[[#This Row],[X'#]],""))</f>
        <v>12724983</v>
      </c>
    </row>
    <row r="958" spans="1:15" x14ac:dyDescent="0.25">
      <c r="A958" s="37">
        <f t="shared" si="15"/>
        <v>289</v>
      </c>
      <c r="C958" s="296" t="s">
        <v>316</v>
      </c>
      <c r="D958" s="296" t="s">
        <v>320</v>
      </c>
      <c r="E958" s="296">
        <v>1272498</v>
      </c>
      <c r="F958" s="36">
        <v>4</v>
      </c>
      <c r="G958" s="36">
        <v>179733</v>
      </c>
      <c r="H958" s="48" t="str">
        <f>IFERROR(INDEX(Table14[],MATCH($G958,Table14[SAPNo],0),3),"")</f>
        <v>Short IA 13    (C)</v>
      </c>
      <c r="I958" s="36">
        <v>23</v>
      </c>
      <c r="J958" s="37">
        <f>IF(Table412[[#This Row],[MAT]]&lt;&gt;"",COUNTIF(Table3[LEVEL 5 MAT NO.],Table412[[#This Row],[MAT]]),"")</f>
        <v>1</v>
      </c>
      <c r="K958" s="36">
        <f>IFERROR(INDEX(Table3[],MATCH($E958,Table3[LEVEL 5 MAT NO.],0),2),0)</f>
        <v>3</v>
      </c>
      <c r="L958" s="36">
        <f>Table412[[#This Row],[Quantity in BOM]]*Table412[[#This Row],[Freq]]</f>
        <v>69</v>
      </c>
      <c r="M958" s="36">
        <f>IF(Table412[[#This Row],[Exist]]=1,Table412[[#This Row],[MAT]],"")</f>
        <v>1272498</v>
      </c>
      <c r="N958" s="36">
        <f>IF(Table412[[#This Row],[Exist]]=1,Table412[[#This Row],[Component]],"")</f>
        <v>179733</v>
      </c>
      <c r="O958" s="36">
        <f>IFERROR(VALUE(Table412[[#This Row],[MAT]]&amp;Table412[[#This Row],[X'#]]),IF(COUNTIF(Table412[[#This Row],[MAT]],"*M"),Table412[[#This Row],[MAT]]&amp;Table412[[#This Row],[X'#]],""))</f>
        <v>12724984</v>
      </c>
    </row>
    <row r="959" spans="1:15" x14ac:dyDescent="0.25">
      <c r="A959" s="37">
        <f t="shared" si="15"/>
        <v>292</v>
      </c>
      <c r="C959" s="481" t="s">
        <v>316</v>
      </c>
      <c r="D959" s="296" t="s">
        <v>320</v>
      </c>
      <c r="E959" s="296">
        <v>1272498</v>
      </c>
      <c r="F959" s="36">
        <v>5</v>
      </c>
      <c r="G959" s="36">
        <v>418525</v>
      </c>
      <c r="H959" s="48" t="str">
        <f>IFERROR(INDEX(Table14[],MATCH($G959,Table14[SAPNo],0),3),"")</f>
        <v>Drop In 1308 CT31   (B)</v>
      </c>
      <c r="I959" s="36">
        <v>14</v>
      </c>
      <c r="J959" s="37">
        <f>IF(Table412[[#This Row],[MAT]]&lt;&gt;"",COUNTIF(Table3[LEVEL 5 MAT NO.],Table412[[#This Row],[MAT]]),"")</f>
        <v>1</v>
      </c>
      <c r="K959" s="36">
        <f>IFERROR(INDEX(Table3[],MATCH($E959,Table3[LEVEL 5 MAT NO.],0),2),0)</f>
        <v>3</v>
      </c>
      <c r="L959" s="36">
        <f>Table412[[#This Row],[Quantity in BOM]]*Table412[[#This Row],[Freq]]</f>
        <v>42</v>
      </c>
      <c r="M959" s="36">
        <f>IF(Table412[[#This Row],[Exist]]=1,Table412[[#This Row],[MAT]],"")</f>
        <v>1272498</v>
      </c>
      <c r="N959" s="36">
        <f>IF(Table412[[#This Row],[Exist]]=1,Table412[[#This Row],[Component]],"")</f>
        <v>418525</v>
      </c>
      <c r="O959" s="36">
        <f>IFERROR(VALUE(Table412[[#This Row],[MAT]]&amp;Table412[[#This Row],[X'#]]),IF(COUNTIF(Table412[[#This Row],[MAT]],"*M"),Table412[[#This Row],[MAT]]&amp;Table412[[#This Row],[X'#]],""))</f>
        <v>12724985</v>
      </c>
    </row>
    <row r="960" spans="1:15" x14ac:dyDescent="0.25">
      <c r="A960" s="37">
        <f t="shared" si="15"/>
        <v>295</v>
      </c>
      <c r="C960" s="481" t="s">
        <v>316</v>
      </c>
      <c r="D960" s="296" t="s">
        <v>320</v>
      </c>
      <c r="E960" s="296">
        <v>1272498</v>
      </c>
      <c r="F960" s="36">
        <v>6</v>
      </c>
      <c r="G960" s="36">
        <v>1146737</v>
      </c>
      <c r="H960" s="48" t="str">
        <f>IFERROR(INDEX(Table14[],MATCH($G960,Table14[SAPNo],0),3),"")</f>
        <v>1613 CT418 18-60</v>
      </c>
      <c r="I960" s="36">
        <v>13</v>
      </c>
      <c r="J960" s="37">
        <f>IF(Table412[[#This Row],[MAT]]&lt;&gt;"",COUNTIF(Table3[LEVEL 5 MAT NO.],Table412[[#This Row],[MAT]]),"")</f>
        <v>1</v>
      </c>
      <c r="K960" s="36">
        <f>IFERROR(INDEX(Table3[],MATCH($E960,Table3[LEVEL 5 MAT NO.],0),2),0)</f>
        <v>3</v>
      </c>
      <c r="L960" s="36">
        <f>Table412[[#This Row],[Quantity in BOM]]*Table412[[#This Row],[Freq]]</f>
        <v>39</v>
      </c>
      <c r="M960" s="36">
        <f>IF(Table412[[#This Row],[Exist]]=1,Table412[[#This Row],[MAT]],"")</f>
        <v>1272498</v>
      </c>
      <c r="N960" s="36">
        <f>IF(Table412[[#This Row],[Exist]]=1,Table412[[#This Row],[Component]],"")</f>
        <v>1146737</v>
      </c>
      <c r="O960" s="36">
        <f>IFERROR(VALUE(Table412[[#This Row],[MAT]]&amp;Table412[[#This Row],[X'#]]),IF(COUNTIF(Table412[[#This Row],[MAT]],"*M"),Table412[[#This Row],[MAT]]&amp;Table412[[#This Row],[X'#]],""))</f>
        <v>12724986</v>
      </c>
    </row>
    <row r="961" spans="1:15" x14ac:dyDescent="0.25">
      <c r="A961" s="37">
        <f t="shared" si="15"/>
        <v>298</v>
      </c>
      <c r="C961" s="481" t="s">
        <v>316</v>
      </c>
      <c r="D961" s="296" t="s">
        <v>320</v>
      </c>
      <c r="E961" s="296">
        <v>1272498</v>
      </c>
      <c r="F961" s="36">
        <v>7</v>
      </c>
      <c r="G961" s="36">
        <v>1100739</v>
      </c>
      <c r="H961" s="48" t="str">
        <f>IFERROR(INDEX(Table14[],MATCH($G961,Table14[SAPNo],0),3),"")</f>
        <v>1608 CT418 0.018"</v>
      </c>
      <c r="I961" s="36">
        <v>38</v>
      </c>
      <c r="J961" s="37">
        <f>IF(Table412[[#This Row],[MAT]]&lt;&gt;"",COUNTIF(Table3[LEVEL 5 MAT NO.],Table412[[#This Row],[MAT]]),"")</f>
        <v>1</v>
      </c>
      <c r="K961" s="36">
        <f>IFERROR(INDEX(Table3[],MATCH($E961,Table3[LEVEL 5 MAT NO.],0),2),0)</f>
        <v>3</v>
      </c>
      <c r="L961" s="36">
        <f>Table412[[#This Row],[Quantity in BOM]]*Table412[[#This Row],[Freq]]</f>
        <v>114</v>
      </c>
      <c r="M961" s="36">
        <f>IF(Table412[[#This Row],[Exist]]=1,Table412[[#This Row],[MAT]],"")</f>
        <v>1272498</v>
      </c>
      <c r="N961" s="36">
        <f>IF(Table412[[#This Row],[Exist]]=1,Table412[[#This Row],[Component]],"")</f>
        <v>1100739</v>
      </c>
      <c r="O961" s="36">
        <f>IFERROR(VALUE(Table412[[#This Row],[MAT]]&amp;Table412[[#This Row],[X'#]]),IF(COUNTIF(Table412[[#This Row],[MAT]],"*M"),Table412[[#This Row],[MAT]]&amp;Table412[[#This Row],[X'#]],""))</f>
        <v>12724987</v>
      </c>
    </row>
    <row r="962" spans="1:15" x14ac:dyDescent="0.25">
      <c r="A962" s="37">
        <f t="shared" si="15"/>
        <v>301</v>
      </c>
      <c r="C962" s="481" t="s">
        <v>316</v>
      </c>
      <c r="D962" s="296" t="s">
        <v>320</v>
      </c>
      <c r="E962" s="296">
        <v>1272498</v>
      </c>
      <c r="F962" s="36">
        <v>8</v>
      </c>
      <c r="G962" s="36">
        <v>1100741</v>
      </c>
      <c r="H962" s="48" t="str">
        <f>IFERROR(INDEX(Table14[],MATCH($G962,Table14[SAPNo],0),3),"")</f>
        <v>Round 1613 CT418  0.018" (S)</v>
      </c>
      <c r="I962" s="37">
        <v>15</v>
      </c>
      <c r="J962" s="37">
        <f>IF(Table412[[#This Row],[MAT]]&lt;&gt;"",COUNTIF(Table3[LEVEL 5 MAT NO.],Table412[[#This Row],[MAT]]),"")</f>
        <v>1</v>
      </c>
      <c r="K962" s="36">
        <f>IFERROR(INDEX(Table3[],MATCH($E962,Table3[LEVEL 5 MAT NO.],0),2),0)</f>
        <v>3</v>
      </c>
      <c r="L962" s="36">
        <f>Table412[[#This Row],[Quantity in BOM]]*Table412[[#This Row],[Freq]]</f>
        <v>45</v>
      </c>
      <c r="M962" s="36">
        <f>IF(Table412[[#This Row],[Exist]]=1,Table412[[#This Row],[MAT]],"")</f>
        <v>1272498</v>
      </c>
      <c r="N962" s="36">
        <f>IF(Table412[[#This Row],[Exist]]=1,Table412[[#This Row],[Component]],"")</f>
        <v>1100741</v>
      </c>
      <c r="O962" s="36">
        <f>IFERROR(VALUE(Table412[[#This Row],[MAT]]&amp;Table412[[#This Row],[X'#]]),IF(COUNTIF(Table412[[#This Row],[MAT]],"*M"),Table412[[#This Row],[MAT]]&amp;Table412[[#This Row],[X'#]],""))</f>
        <v>12724988</v>
      </c>
    </row>
    <row r="963" spans="1:15" x14ac:dyDescent="0.25">
      <c r="A963" s="37">
        <f t="shared" si="15"/>
        <v>304</v>
      </c>
      <c r="C963" s="38" t="s">
        <v>304</v>
      </c>
      <c r="D963" s="36" t="s">
        <v>666</v>
      </c>
      <c r="E963" s="36">
        <v>1216970</v>
      </c>
      <c r="F963" s="36">
        <v>1</v>
      </c>
      <c r="G963" s="36">
        <v>1220688</v>
      </c>
      <c r="H963" s="48" t="str">
        <f>IFERROR(INDEX(Table14[],MATCH($G963,Table14[SAPNo],0),3),"")</f>
        <v>1005 CT155 U-60</v>
      </c>
      <c r="I963" s="37">
        <v>38</v>
      </c>
      <c r="J963" s="37">
        <f>IF(Table412[[#This Row],[MAT]]&lt;&gt;"",COUNTIF(Table3[LEVEL 5 MAT NO.],Table412[[#This Row],[MAT]]),"")</f>
        <v>1</v>
      </c>
      <c r="K963" s="36">
        <f>IFERROR(INDEX(Table3[],MATCH($E963,Table3[LEVEL 5 MAT NO.],0),2),0)</f>
        <v>13</v>
      </c>
      <c r="L963" s="36">
        <f>Table412[[#This Row],[Quantity in BOM]]*Table412[[#This Row],[Freq]]</f>
        <v>494</v>
      </c>
      <c r="M963" s="36">
        <f>IF(Table412[[#This Row],[Exist]]=1,Table412[[#This Row],[MAT]],"")</f>
        <v>1216970</v>
      </c>
      <c r="N963" s="36">
        <f>IF(Table412[[#This Row],[Exist]]=1,Table412[[#This Row],[Component]],"")</f>
        <v>1220688</v>
      </c>
      <c r="O963" s="36">
        <f>IFERROR(VALUE(Table412[[#This Row],[MAT]]&amp;Table412[[#This Row],[X'#]]),IF(COUNTIF(Table412[[#This Row],[MAT]],"*M"),Table412[[#This Row],[MAT]]&amp;Table412[[#This Row],[X'#]],""))</f>
        <v>12169701</v>
      </c>
    </row>
    <row r="964" spans="1:15" x14ac:dyDescent="0.25">
      <c r="A964" s="37">
        <f t="shared" ref="A964:A1027" si="16">A963+K963</f>
        <v>317</v>
      </c>
      <c r="C964" s="38">
        <v>12.25</v>
      </c>
      <c r="D964" s="36" t="s">
        <v>673</v>
      </c>
      <c r="E964" s="36" t="s">
        <v>674</v>
      </c>
      <c r="F964" s="36">
        <v>1</v>
      </c>
      <c r="G964" s="36">
        <v>1146737</v>
      </c>
      <c r="H964" s="48" t="str">
        <f>IFERROR(INDEX(Table14[],MATCH($G964,Table14[SAPNo],0),3),"")</f>
        <v>1613 CT418 18-60</v>
      </c>
      <c r="I964" s="37">
        <v>15</v>
      </c>
      <c r="J964" s="37">
        <f>IF(Table412[[#This Row],[MAT]]&lt;&gt;"",COUNTIF(Table3[LEVEL 5 MAT NO.],Table412[[#This Row],[MAT]]),"")</f>
        <v>1</v>
      </c>
      <c r="K964" s="36">
        <f>IFERROR(INDEX(Table3[],MATCH($E964,Table3[LEVEL 5 MAT NO.],0),2),0)</f>
        <v>1</v>
      </c>
      <c r="L964" s="36">
        <f>Table412[[#This Row],[Quantity in BOM]]*Table412[[#This Row],[Freq]]</f>
        <v>15</v>
      </c>
      <c r="M964" s="36" t="str">
        <f>IF(Table412[[#This Row],[Exist]]=1,Table412[[#This Row],[MAT]],"")</f>
        <v>1270865M</v>
      </c>
      <c r="N964" s="36">
        <f>IF(Table412[[#This Row],[Exist]]=1,Table412[[#This Row],[Component]],"")</f>
        <v>1146737</v>
      </c>
      <c r="O964" s="36" t="str">
        <f>IFERROR(VALUE(Table412[[#This Row],[MAT]]&amp;Table412[[#This Row],[X'#]]),IF(COUNTIF(Table412[[#This Row],[MAT]],"*M"),Table412[[#This Row],[MAT]]&amp;Table412[[#This Row],[X'#]],""))</f>
        <v>1270865M1</v>
      </c>
    </row>
    <row r="965" spans="1:15" x14ac:dyDescent="0.25">
      <c r="A965" s="37">
        <f t="shared" si="16"/>
        <v>318</v>
      </c>
      <c r="C965" s="38">
        <v>12.25</v>
      </c>
      <c r="D965" s="36" t="s">
        <v>673</v>
      </c>
      <c r="E965" s="36" t="s">
        <v>674</v>
      </c>
      <c r="F965" s="36">
        <v>2</v>
      </c>
      <c r="G965" s="36">
        <v>1219562</v>
      </c>
      <c r="H965" s="48" t="str">
        <f>IFERROR(INDEX(Table14[],MATCH($G965,Table14[SAPNo],0),3),"")</f>
        <v>1613 CT147R U</v>
      </c>
      <c r="I965" s="37">
        <v>30</v>
      </c>
      <c r="J965" s="37">
        <f>IF(Table412[[#This Row],[MAT]]&lt;&gt;"",COUNTIF(Table3[LEVEL 5 MAT NO.],Table412[[#This Row],[MAT]]),"")</f>
        <v>1</v>
      </c>
      <c r="K965" s="36">
        <f>IFERROR(INDEX(Table3[],MATCH($E965,Table3[LEVEL 5 MAT NO.],0),2),0)</f>
        <v>1</v>
      </c>
      <c r="L965" s="36">
        <f>Table412[[#This Row],[Quantity in BOM]]*Table412[[#This Row],[Freq]]</f>
        <v>30</v>
      </c>
      <c r="M965" s="36" t="str">
        <f>IF(Table412[[#This Row],[Exist]]=1,Table412[[#This Row],[MAT]],"")</f>
        <v>1270865M</v>
      </c>
      <c r="N965" s="36">
        <f>IF(Table412[[#This Row],[Exist]]=1,Table412[[#This Row],[Component]],"")</f>
        <v>1219562</v>
      </c>
      <c r="O965" s="36" t="str">
        <f>IFERROR(VALUE(Table412[[#This Row],[MAT]]&amp;Table412[[#This Row],[X'#]]),IF(COUNTIF(Table412[[#This Row],[MAT]],"*M"),Table412[[#This Row],[MAT]]&amp;Table412[[#This Row],[X'#]],""))</f>
        <v>1270865M2</v>
      </c>
    </row>
    <row r="966" spans="1:15" x14ac:dyDescent="0.25">
      <c r="A966" s="37">
        <f t="shared" si="16"/>
        <v>319</v>
      </c>
      <c r="C966" s="38">
        <v>12.25</v>
      </c>
      <c r="D966" s="36" t="s">
        <v>673</v>
      </c>
      <c r="E966" s="36" t="s">
        <v>674</v>
      </c>
      <c r="F966" s="36">
        <v>3</v>
      </c>
      <c r="G966" s="36">
        <v>1244957</v>
      </c>
      <c r="H966" s="48" t="str">
        <f>IFERROR(INDEX(Table14[],MATCH($G966,Table14[SAPNo],0),3),"")</f>
        <v>1613 CT418 DER</v>
      </c>
      <c r="I966" s="37">
        <v>6</v>
      </c>
      <c r="J966" s="37">
        <f>IF(Table412[[#This Row],[MAT]]&lt;&gt;"",COUNTIF(Table3[LEVEL 5 MAT NO.],Table412[[#This Row],[MAT]]),"")</f>
        <v>1</v>
      </c>
      <c r="K966" s="36">
        <f>IFERROR(INDEX(Table3[],MATCH($E966,Table3[LEVEL 5 MAT NO.],0),2),0)</f>
        <v>1</v>
      </c>
      <c r="L966" s="36">
        <f>Table412[[#This Row],[Quantity in BOM]]*Table412[[#This Row],[Freq]]</f>
        <v>6</v>
      </c>
      <c r="M966" s="36" t="str">
        <f>IF(Table412[[#This Row],[Exist]]=1,Table412[[#This Row],[MAT]],"")</f>
        <v>1270865M</v>
      </c>
      <c r="N966" s="36">
        <f>IF(Table412[[#This Row],[Exist]]=1,Table412[[#This Row],[Component]],"")</f>
        <v>1244957</v>
      </c>
      <c r="O966" s="36" t="str">
        <f>IFERROR(VALUE(Table412[[#This Row],[MAT]]&amp;Table412[[#This Row],[X'#]]),IF(COUNTIF(Table412[[#This Row],[MAT]],"*M"),Table412[[#This Row],[MAT]]&amp;Table412[[#This Row],[X'#]],""))</f>
        <v>1270865M3</v>
      </c>
    </row>
    <row r="967" spans="1:15" x14ac:dyDescent="0.25">
      <c r="A967" s="37">
        <f t="shared" si="16"/>
        <v>320</v>
      </c>
      <c r="C967" s="38">
        <v>12.25</v>
      </c>
      <c r="D967" s="36" t="s">
        <v>673</v>
      </c>
      <c r="E967" s="36" t="s">
        <v>674</v>
      </c>
      <c r="F967" s="36">
        <v>4</v>
      </c>
      <c r="G967" s="36">
        <v>410851</v>
      </c>
      <c r="H967" s="48" t="str">
        <f>IFERROR(INDEX(Table14[],MATCH($G967,Table14[SAPNo],0),3),"")</f>
        <v>PDC Dome 1308 CT31   (B)</v>
      </c>
      <c r="I967" s="37">
        <v>12</v>
      </c>
      <c r="J967" s="37">
        <f>IF(Table412[[#This Row],[MAT]]&lt;&gt;"",COUNTIF(Table3[LEVEL 5 MAT NO.],Table412[[#This Row],[MAT]]),"")</f>
        <v>1</v>
      </c>
      <c r="K967" s="36">
        <f>IFERROR(INDEX(Table3[],MATCH($E967,Table3[LEVEL 5 MAT NO.],0),2),0)</f>
        <v>1</v>
      </c>
      <c r="L967" s="36">
        <f>Table412[[#This Row],[Quantity in BOM]]*Table412[[#This Row],[Freq]]</f>
        <v>12</v>
      </c>
      <c r="M967" s="36" t="str">
        <f>IF(Table412[[#This Row],[Exist]]=1,Table412[[#This Row],[MAT]],"")</f>
        <v>1270865M</v>
      </c>
      <c r="N967" s="36">
        <f>IF(Table412[[#This Row],[Exist]]=1,Table412[[#This Row],[Component]],"")</f>
        <v>410851</v>
      </c>
      <c r="O967" s="36" t="str">
        <f>IFERROR(VALUE(Table412[[#This Row],[MAT]]&amp;Table412[[#This Row],[X'#]]),IF(COUNTIF(Table412[[#This Row],[MAT]],"*M"),Table412[[#This Row],[MAT]]&amp;Table412[[#This Row],[X'#]],""))</f>
        <v>1270865M4</v>
      </c>
    </row>
    <row r="968" spans="1:15" x14ac:dyDescent="0.25">
      <c r="A968" s="37">
        <f t="shared" si="16"/>
        <v>321</v>
      </c>
      <c r="C968" s="38">
        <v>12.25</v>
      </c>
      <c r="D968" s="36" t="s">
        <v>673</v>
      </c>
      <c r="E968" s="36" t="s">
        <v>674</v>
      </c>
      <c r="F968" s="36">
        <v>5</v>
      </c>
      <c r="G968" s="36">
        <v>871781</v>
      </c>
      <c r="H968" s="48" t="str">
        <f>IFERROR(INDEX(Table14[],MATCH($G968,Table14[SAPNo],0),3),"")</f>
        <v>Round 1313 CT200  0.018" (B)</v>
      </c>
      <c r="I968" s="37">
        <v>6</v>
      </c>
      <c r="J968" s="37">
        <f>IF(Table412[[#This Row],[MAT]]&lt;&gt;"",COUNTIF(Table3[LEVEL 5 MAT NO.],Table412[[#This Row],[MAT]]),"")</f>
        <v>1</v>
      </c>
      <c r="K968" s="36">
        <f>IFERROR(INDEX(Table3[],MATCH($E968,Table3[LEVEL 5 MAT NO.],0),2),0)</f>
        <v>1</v>
      </c>
      <c r="L968" s="36">
        <f>Table412[[#This Row],[Quantity in BOM]]*Table412[[#This Row],[Freq]]</f>
        <v>6</v>
      </c>
      <c r="M968" s="36" t="str">
        <f>IF(Table412[[#This Row],[Exist]]=1,Table412[[#This Row],[MAT]],"")</f>
        <v>1270865M</v>
      </c>
      <c r="N968" s="36">
        <f>IF(Table412[[#This Row],[Exist]]=1,Table412[[#This Row],[Component]],"")</f>
        <v>871781</v>
      </c>
      <c r="O968" s="36" t="str">
        <f>IFERROR(VALUE(Table412[[#This Row],[MAT]]&amp;Table412[[#This Row],[X'#]]),IF(COUNTIF(Table412[[#This Row],[MAT]],"*M"),Table412[[#This Row],[MAT]]&amp;Table412[[#This Row],[X'#]],""))</f>
        <v>1270865M5</v>
      </c>
    </row>
    <row r="969" spans="1:15" x14ac:dyDescent="0.25">
      <c r="A969" s="37">
        <f t="shared" si="16"/>
        <v>322</v>
      </c>
      <c r="C969" s="38">
        <v>6.125</v>
      </c>
      <c r="D969" s="36" t="s">
        <v>256</v>
      </c>
      <c r="E969" s="36">
        <v>1160951</v>
      </c>
      <c r="F969" s="36">
        <v>1</v>
      </c>
      <c r="G969" s="36">
        <v>1136984</v>
      </c>
      <c r="H969" s="48" t="str">
        <f>IFERROR(INDEX(Table14[],MATCH($G969,Table14[SAPNo],0),3),"")</f>
        <v>DBLMCHT 1313 CT182DM  10C (S)</v>
      </c>
      <c r="I969" s="37">
        <v>13</v>
      </c>
      <c r="J969" s="37">
        <f>IF(Table412[[#This Row],[MAT]]&lt;&gt;"",COUNTIF(Table3[LEVEL 5 MAT NO.],Table412[[#This Row],[MAT]]),"")</f>
        <v>1</v>
      </c>
      <c r="K969" s="36">
        <f>IFERROR(INDEX(Table3[],MATCH($E969,Table3[LEVEL 5 MAT NO.],0),2),0)</f>
        <v>6</v>
      </c>
      <c r="L969" s="36">
        <f>Table412[[#This Row],[Quantity in BOM]]*Table412[[#This Row],[Freq]]</f>
        <v>78</v>
      </c>
      <c r="M969" s="36">
        <f>IF(Table412[[#This Row],[Exist]]=1,Table412[[#This Row],[MAT]],"")</f>
        <v>1160951</v>
      </c>
      <c r="N969" s="36">
        <f>IF(Table412[[#This Row],[Exist]]=1,Table412[[#This Row],[Component]],"")</f>
        <v>1136984</v>
      </c>
      <c r="O969" s="36">
        <f>IFERROR(VALUE(Table412[[#This Row],[MAT]]&amp;Table412[[#This Row],[X'#]]),IF(COUNTIF(Table412[[#This Row],[MAT]],"*M"),Table412[[#This Row],[MAT]]&amp;Table412[[#This Row],[X'#]],""))</f>
        <v>11609511</v>
      </c>
    </row>
    <row r="970" spans="1:15" x14ac:dyDescent="0.25">
      <c r="A970" s="37">
        <f t="shared" si="16"/>
        <v>328</v>
      </c>
      <c r="C970" s="38">
        <v>6.125</v>
      </c>
      <c r="D970" s="36" t="s">
        <v>256</v>
      </c>
      <c r="E970" s="36">
        <v>1160951</v>
      </c>
      <c r="F970" s="36">
        <v>2</v>
      </c>
      <c r="G970" s="36">
        <v>1100696</v>
      </c>
      <c r="H970" s="48" t="str">
        <f>IFERROR(INDEX(Table14[],MATCH($G970,Table14[SAPNo],0),3),"")</f>
        <v>Round 1313 CT418  10C (S)</v>
      </c>
      <c r="I970" s="37">
        <v>5</v>
      </c>
      <c r="J970" s="37">
        <f>IF(Table412[[#This Row],[MAT]]&lt;&gt;"",COUNTIF(Table3[LEVEL 5 MAT NO.],Table412[[#This Row],[MAT]]),"")</f>
        <v>1</v>
      </c>
      <c r="K970" s="36">
        <f>IFERROR(INDEX(Table3[],MATCH($E970,Table3[LEVEL 5 MAT NO.],0),2),0)</f>
        <v>6</v>
      </c>
      <c r="L970" s="36">
        <f>Table412[[#This Row],[Quantity in BOM]]*Table412[[#This Row],[Freq]]</f>
        <v>30</v>
      </c>
      <c r="M970" s="36">
        <f>IF(Table412[[#This Row],[Exist]]=1,Table412[[#This Row],[MAT]],"")</f>
        <v>1160951</v>
      </c>
      <c r="N970" s="36">
        <f>IF(Table412[[#This Row],[Exist]]=1,Table412[[#This Row],[Component]],"")</f>
        <v>1100696</v>
      </c>
      <c r="O970" s="36">
        <f>IFERROR(VALUE(Table412[[#This Row],[MAT]]&amp;Table412[[#This Row],[X'#]]),IF(COUNTIF(Table412[[#This Row],[MAT]],"*M"),Table412[[#This Row],[MAT]]&amp;Table412[[#This Row],[X'#]],""))</f>
        <v>11609512</v>
      </c>
    </row>
    <row r="971" spans="1:15" x14ac:dyDescent="0.25">
      <c r="A971" s="37">
        <f t="shared" si="16"/>
        <v>334</v>
      </c>
      <c r="C971" s="38">
        <v>6.125</v>
      </c>
      <c r="D971" s="36" t="s">
        <v>256</v>
      </c>
      <c r="E971" s="36">
        <v>1160951</v>
      </c>
      <c r="F971" s="36">
        <v>3</v>
      </c>
      <c r="G971" s="36">
        <v>418525</v>
      </c>
      <c r="H971" s="48" t="str">
        <f>IFERROR(INDEX(Table14[],MATCH($G971,Table14[SAPNo],0),3),"")</f>
        <v>Drop In 1308 CT31   (B)</v>
      </c>
      <c r="I971" s="37">
        <v>6</v>
      </c>
      <c r="J971" s="37">
        <f>IF(Table412[[#This Row],[MAT]]&lt;&gt;"",COUNTIF(Table3[LEVEL 5 MAT NO.],Table412[[#This Row],[MAT]]),"")</f>
        <v>1</v>
      </c>
      <c r="K971" s="36">
        <f>IFERROR(INDEX(Table3[],MATCH($E971,Table3[LEVEL 5 MAT NO.],0),2),0)</f>
        <v>6</v>
      </c>
      <c r="L971" s="36">
        <f>Table412[[#This Row],[Quantity in BOM]]*Table412[[#This Row],[Freq]]</f>
        <v>36</v>
      </c>
      <c r="M971" s="36">
        <f>IF(Table412[[#This Row],[Exist]]=1,Table412[[#This Row],[MAT]],"")</f>
        <v>1160951</v>
      </c>
      <c r="N971" s="36">
        <f>IF(Table412[[#This Row],[Exist]]=1,Table412[[#This Row],[Component]],"")</f>
        <v>418525</v>
      </c>
      <c r="O971" s="36">
        <f>IFERROR(VALUE(Table412[[#This Row],[MAT]]&amp;Table412[[#This Row],[X'#]]),IF(COUNTIF(Table412[[#This Row],[MAT]],"*M"),Table412[[#This Row],[MAT]]&amp;Table412[[#This Row],[X'#]],""))</f>
        <v>11609513</v>
      </c>
    </row>
    <row r="972" spans="1:15" x14ac:dyDescent="0.25">
      <c r="A972" s="37">
        <f t="shared" si="16"/>
        <v>340</v>
      </c>
      <c r="C972" s="38">
        <v>6.125</v>
      </c>
      <c r="D972" s="36" t="s">
        <v>256</v>
      </c>
      <c r="E972" s="36">
        <v>1160951</v>
      </c>
      <c r="F972" s="36">
        <v>4</v>
      </c>
      <c r="G972" s="36">
        <v>1101509</v>
      </c>
      <c r="H972" s="48" t="str">
        <f>IFERROR(INDEX(Table14[],MATCH($G972,Table14[SAPNo],0),3),"")</f>
        <v>Short IA 8    (C)</v>
      </c>
      <c r="I972" s="37">
        <v>5</v>
      </c>
      <c r="J972" s="37">
        <f>IF(Table412[[#This Row],[MAT]]&lt;&gt;"",COUNTIF(Table3[LEVEL 5 MAT NO.],Table412[[#This Row],[MAT]]),"")</f>
        <v>1</v>
      </c>
      <c r="K972" s="36">
        <f>IFERROR(INDEX(Table3[],MATCH($E972,Table3[LEVEL 5 MAT NO.],0),2),0)</f>
        <v>6</v>
      </c>
      <c r="L972" s="36">
        <f>Table412[[#This Row],[Quantity in BOM]]*Table412[[#This Row],[Freq]]</f>
        <v>30</v>
      </c>
      <c r="M972" s="36">
        <f>IF(Table412[[#This Row],[Exist]]=1,Table412[[#This Row],[MAT]],"")</f>
        <v>1160951</v>
      </c>
      <c r="N972" s="36">
        <f>IF(Table412[[#This Row],[Exist]]=1,Table412[[#This Row],[Component]],"")</f>
        <v>1101509</v>
      </c>
      <c r="O972" s="36">
        <f>IFERROR(VALUE(Table412[[#This Row],[MAT]]&amp;Table412[[#This Row],[X'#]]),IF(COUNTIF(Table412[[#This Row],[MAT]],"*M"),Table412[[#This Row],[MAT]]&amp;Table412[[#This Row],[X'#]],""))</f>
        <v>11609514</v>
      </c>
    </row>
    <row r="973" spans="1:15" x14ac:dyDescent="0.25">
      <c r="A973" s="37">
        <f t="shared" si="16"/>
        <v>346</v>
      </c>
      <c r="C973" s="38">
        <v>6.125</v>
      </c>
      <c r="D973" s="36" t="s">
        <v>256</v>
      </c>
      <c r="E973" s="36">
        <v>1160951</v>
      </c>
      <c r="F973" s="36">
        <v>5</v>
      </c>
      <c r="G973" s="36">
        <v>1104083</v>
      </c>
      <c r="H973" s="48" t="str">
        <f>IFERROR(INDEX(Table14[],MATCH($G973,Table14[SAPNo],0),3),"")</f>
        <v>1313 CT144H  10C (S)</v>
      </c>
      <c r="I973" s="37">
        <v>1</v>
      </c>
      <c r="J973" s="37">
        <f>IF(Table412[[#This Row],[MAT]]&lt;&gt;"",COUNTIF(Table3[LEVEL 5 MAT NO.],Table412[[#This Row],[MAT]]),"")</f>
        <v>1</v>
      </c>
      <c r="K973" s="36">
        <f>IFERROR(INDEX(Table3[],MATCH($E973,Table3[LEVEL 5 MAT NO.],0),2),0)</f>
        <v>6</v>
      </c>
      <c r="L973" s="36">
        <f>Table412[[#This Row],[Quantity in BOM]]*Table412[[#This Row],[Freq]]</f>
        <v>6</v>
      </c>
      <c r="M973" s="36">
        <f>IF(Table412[[#This Row],[Exist]]=1,Table412[[#This Row],[MAT]],"")</f>
        <v>1160951</v>
      </c>
      <c r="N973" s="36">
        <f>IF(Table412[[#This Row],[Exist]]=1,Table412[[#This Row],[Component]],"")</f>
        <v>1104083</v>
      </c>
      <c r="O973" s="36">
        <f>IFERROR(VALUE(Table412[[#This Row],[MAT]]&amp;Table412[[#This Row],[X'#]]),IF(COUNTIF(Table412[[#This Row],[MAT]],"*M"),Table412[[#This Row],[MAT]]&amp;Table412[[#This Row],[X'#]],""))</f>
        <v>11609515</v>
      </c>
    </row>
    <row r="974" spans="1:15" x14ac:dyDescent="0.25">
      <c r="A974" s="37">
        <f t="shared" si="16"/>
        <v>352</v>
      </c>
      <c r="C974" s="38">
        <v>6.125</v>
      </c>
      <c r="D974" s="36" t="s">
        <v>256</v>
      </c>
      <c r="E974" s="36">
        <v>1160951</v>
      </c>
      <c r="F974" s="36">
        <v>6</v>
      </c>
      <c r="G974" s="36">
        <v>1146346</v>
      </c>
      <c r="H974" s="48" t="str">
        <f>IFERROR(INDEX(Table14[],MATCH($G974,Table14[SAPNo],0),3),"")</f>
        <v>1313 CT418 18-60</v>
      </c>
      <c r="I974" s="37">
        <v>7</v>
      </c>
      <c r="J974" s="37">
        <f>IF(Table412[[#This Row],[MAT]]&lt;&gt;"",COUNTIF(Table3[LEVEL 5 MAT NO.],Table412[[#This Row],[MAT]]),"")</f>
        <v>1</v>
      </c>
      <c r="K974" s="36">
        <f>IFERROR(INDEX(Table3[],MATCH($E974,Table3[LEVEL 5 MAT NO.],0),2),0)</f>
        <v>6</v>
      </c>
      <c r="L974" s="36">
        <f>Table412[[#This Row],[Quantity in BOM]]*Table412[[#This Row],[Freq]]</f>
        <v>42</v>
      </c>
      <c r="M974" s="36">
        <f>IF(Table412[[#This Row],[Exist]]=1,Table412[[#This Row],[MAT]],"")</f>
        <v>1160951</v>
      </c>
      <c r="N974" s="36">
        <f>IF(Table412[[#This Row],[Exist]]=1,Table412[[#This Row],[Component]],"")</f>
        <v>1146346</v>
      </c>
      <c r="O974" s="36">
        <f>IFERROR(VALUE(Table412[[#This Row],[MAT]]&amp;Table412[[#This Row],[X'#]]),IF(COUNTIF(Table412[[#This Row],[MAT]],"*M"),Table412[[#This Row],[MAT]]&amp;Table412[[#This Row],[X'#]],""))</f>
        <v>11609516</v>
      </c>
    </row>
    <row r="975" spans="1:15" x14ac:dyDescent="0.25">
      <c r="A975" s="37">
        <f t="shared" si="16"/>
        <v>358</v>
      </c>
      <c r="C975" s="38">
        <v>8.375</v>
      </c>
      <c r="D975" s="36" t="s">
        <v>271</v>
      </c>
      <c r="E975" s="36">
        <v>1239176</v>
      </c>
      <c r="F975" s="36">
        <v>1</v>
      </c>
      <c r="G975" s="36">
        <v>1130198</v>
      </c>
      <c r="H975" s="48" t="str">
        <f>IFERROR(INDEX(Table14[],MATCH($G975,Table14[SAPNo],0),3),"")</f>
        <v>Round 1613 CT182  0.018" (S)</v>
      </c>
      <c r="I975" s="37">
        <v>33</v>
      </c>
      <c r="J975" s="37">
        <f>IF(Table412[[#This Row],[MAT]]&lt;&gt;"",COUNTIF(Table3[LEVEL 5 MAT NO.],Table412[[#This Row],[MAT]]),"")</f>
        <v>0</v>
      </c>
      <c r="K975" s="36">
        <f>IFERROR(INDEX(Table3[],MATCH($E975,Table3[LEVEL 5 MAT NO.],0),2),0)</f>
        <v>0</v>
      </c>
      <c r="L975" s="36">
        <f>Table412[[#This Row],[Quantity in BOM]]*Table412[[#This Row],[Freq]]</f>
        <v>0</v>
      </c>
      <c r="M975" s="36" t="str">
        <f>IF(Table412[[#This Row],[Exist]]=1,Table412[[#This Row],[MAT]],"")</f>
        <v/>
      </c>
      <c r="N975" s="36" t="str">
        <f>IF(Table412[[#This Row],[Exist]]=1,Table412[[#This Row],[Component]],"")</f>
        <v/>
      </c>
      <c r="O975" s="36">
        <f>IFERROR(VALUE(Table412[[#This Row],[MAT]]&amp;Table412[[#This Row],[X'#]]),IF(COUNTIF(Table412[[#This Row],[MAT]],"*M"),Table412[[#This Row],[MAT]]&amp;Table412[[#This Row],[X'#]],""))</f>
        <v>12391761</v>
      </c>
    </row>
    <row r="976" spans="1:15" x14ac:dyDescent="0.25">
      <c r="A976" s="37">
        <f t="shared" si="16"/>
        <v>358</v>
      </c>
      <c r="C976" s="38">
        <v>8.375</v>
      </c>
      <c r="D976" s="36" t="s">
        <v>271</v>
      </c>
      <c r="E976" s="36">
        <v>1239176</v>
      </c>
      <c r="F976" s="36">
        <v>2</v>
      </c>
      <c r="G976" s="36">
        <v>647435</v>
      </c>
      <c r="H976" s="48" t="str">
        <f>IFERROR(INDEX(Table14[],MATCH($G976,Table14[SAPNo],0),3),"")</f>
        <v>Round 1608 CT200  0.018" (B)</v>
      </c>
      <c r="I976" s="37">
        <v>23</v>
      </c>
      <c r="J976" s="37">
        <f>IF(Table412[[#This Row],[MAT]]&lt;&gt;"",COUNTIF(Table3[LEVEL 5 MAT NO.],Table412[[#This Row],[MAT]]),"")</f>
        <v>0</v>
      </c>
      <c r="K976" s="36">
        <f>IFERROR(INDEX(Table3[],MATCH($E976,Table3[LEVEL 5 MAT NO.],0),2),0)</f>
        <v>0</v>
      </c>
      <c r="L976" s="36">
        <f>Table412[[#This Row],[Quantity in BOM]]*Table412[[#This Row],[Freq]]</f>
        <v>0</v>
      </c>
      <c r="M976" s="36" t="str">
        <f>IF(Table412[[#This Row],[Exist]]=1,Table412[[#This Row],[MAT]],"")</f>
        <v/>
      </c>
      <c r="N976" s="36" t="str">
        <f>IF(Table412[[#This Row],[Exist]]=1,Table412[[#This Row],[Component]],"")</f>
        <v/>
      </c>
      <c r="O976" s="36">
        <f>IFERROR(VALUE(Table412[[#This Row],[MAT]]&amp;Table412[[#This Row],[X'#]]),IF(COUNTIF(Table412[[#This Row],[MAT]],"*M"),Table412[[#This Row],[MAT]]&amp;Table412[[#This Row],[X'#]],""))</f>
        <v>12391762</v>
      </c>
    </row>
    <row r="977" spans="1:15" x14ac:dyDescent="0.25">
      <c r="A977" s="37">
        <f t="shared" si="16"/>
        <v>358</v>
      </c>
      <c r="C977" s="38">
        <v>8.375</v>
      </c>
      <c r="D977" s="36" t="s">
        <v>271</v>
      </c>
      <c r="E977" s="36">
        <v>1239176</v>
      </c>
      <c r="F977" s="36">
        <v>3</v>
      </c>
      <c r="G977" s="36">
        <v>871781</v>
      </c>
      <c r="H977" s="48" t="str">
        <f>IFERROR(INDEX(Table14[],MATCH($G977,Table14[SAPNo],0),3),"")</f>
        <v>Round 1313 CT200  0.018" (B)</v>
      </c>
      <c r="I977" s="37">
        <v>6</v>
      </c>
      <c r="J977" s="37">
        <f>IF(Table412[[#This Row],[MAT]]&lt;&gt;"",COUNTIF(Table3[LEVEL 5 MAT NO.],Table412[[#This Row],[MAT]]),"")</f>
        <v>0</v>
      </c>
      <c r="K977" s="36">
        <f>IFERROR(INDEX(Table3[],MATCH($E977,Table3[LEVEL 5 MAT NO.],0),2),0)</f>
        <v>0</v>
      </c>
      <c r="L977" s="36">
        <f>Table412[[#This Row],[Quantity in BOM]]*Table412[[#This Row],[Freq]]</f>
        <v>0</v>
      </c>
      <c r="M977" s="36" t="str">
        <f>IF(Table412[[#This Row],[Exist]]=1,Table412[[#This Row],[MAT]],"")</f>
        <v/>
      </c>
      <c r="N977" s="36" t="str">
        <f>IF(Table412[[#This Row],[Exist]]=1,Table412[[#This Row],[Component]],"")</f>
        <v/>
      </c>
      <c r="O977" s="36">
        <f>IFERROR(VALUE(Table412[[#This Row],[MAT]]&amp;Table412[[#This Row],[X'#]]),IF(COUNTIF(Table412[[#This Row],[MAT]],"*M"),Table412[[#This Row],[MAT]]&amp;Table412[[#This Row],[X'#]],""))</f>
        <v>12391763</v>
      </c>
    </row>
    <row r="978" spans="1:15" x14ac:dyDescent="0.25">
      <c r="A978" s="37">
        <f t="shared" si="16"/>
        <v>358</v>
      </c>
      <c r="C978" s="38">
        <v>8.5</v>
      </c>
      <c r="D978" s="36" t="s">
        <v>274</v>
      </c>
      <c r="E978" s="36">
        <v>1267829</v>
      </c>
      <c r="F978" s="36">
        <v>1</v>
      </c>
      <c r="G978" s="36">
        <v>1271790</v>
      </c>
      <c r="H978" s="48" t="str">
        <f>IFERROR(INDEX(Table14[],MATCH($G978,Table14[SAPNo],0),3),"")</f>
        <v xml:space="preserve">1613 CT170 18-60 </v>
      </c>
      <c r="I978" s="37">
        <v>17</v>
      </c>
      <c r="J978" s="37">
        <f>IF(Table412[[#This Row],[MAT]]&lt;&gt;"",COUNTIF(Table3[LEVEL 5 MAT NO.],Table412[[#This Row],[MAT]]),"")</f>
        <v>1</v>
      </c>
      <c r="K978" s="36">
        <f>IFERROR(INDEX(Table3[],MATCH($E978,Table3[LEVEL 5 MAT NO.],0),2),0)</f>
        <v>5</v>
      </c>
      <c r="L978" s="36">
        <f>Table412[[#This Row],[Quantity in BOM]]*Table412[[#This Row],[Freq]]</f>
        <v>85</v>
      </c>
      <c r="M978" s="36">
        <f>IF(Table412[[#This Row],[Exist]]=1,Table412[[#This Row],[MAT]],"")</f>
        <v>1267829</v>
      </c>
      <c r="N978" s="36">
        <f>IF(Table412[[#This Row],[Exist]]=1,Table412[[#This Row],[Component]],"")</f>
        <v>1271790</v>
      </c>
      <c r="O978" s="36">
        <f>IFERROR(VALUE(Table412[[#This Row],[MAT]]&amp;Table412[[#This Row],[X'#]]),IF(COUNTIF(Table412[[#This Row],[MAT]],"*M"),Table412[[#This Row],[MAT]]&amp;Table412[[#This Row],[X'#]],""))</f>
        <v>12678291</v>
      </c>
    </row>
    <row r="979" spans="1:15" x14ac:dyDescent="0.25">
      <c r="A979" s="37">
        <f t="shared" si="16"/>
        <v>363</v>
      </c>
      <c r="C979" s="38">
        <v>8.5</v>
      </c>
      <c r="D979" s="36" t="s">
        <v>274</v>
      </c>
      <c r="E979" s="36">
        <v>1267829</v>
      </c>
      <c r="F979" s="36">
        <v>2</v>
      </c>
      <c r="G979" s="36">
        <v>1078377</v>
      </c>
      <c r="H979" s="48" t="str">
        <f>IFERROR(INDEX(Table14[],MATCH($G979,Table14[SAPNo],0),3),"")</f>
        <v>13MM CT221 R1</v>
      </c>
      <c r="I979" s="37">
        <v>15</v>
      </c>
      <c r="J979" s="37">
        <f>IF(Table412[[#This Row],[MAT]]&lt;&gt;"",COUNTIF(Table3[LEVEL 5 MAT NO.],Table412[[#This Row],[MAT]]),"")</f>
        <v>1</v>
      </c>
      <c r="K979" s="36">
        <f>IFERROR(INDEX(Table3[],MATCH($E979,Table3[LEVEL 5 MAT NO.],0),2),0)</f>
        <v>5</v>
      </c>
      <c r="L979" s="36">
        <f>Table412[[#This Row],[Quantity in BOM]]*Table412[[#This Row],[Freq]]</f>
        <v>75</v>
      </c>
      <c r="M979" s="36">
        <f>IF(Table412[[#This Row],[Exist]]=1,Table412[[#This Row],[MAT]],"")</f>
        <v>1267829</v>
      </c>
      <c r="N979" s="36">
        <f>IF(Table412[[#This Row],[Exist]]=1,Table412[[#This Row],[Component]],"")</f>
        <v>1078377</v>
      </c>
      <c r="O979" s="36">
        <f>IFERROR(VALUE(Table412[[#This Row],[MAT]]&amp;Table412[[#This Row],[X'#]]),IF(COUNTIF(Table412[[#This Row],[MAT]],"*M"),Table412[[#This Row],[MAT]]&amp;Table412[[#This Row],[X'#]],""))</f>
        <v>12678292</v>
      </c>
    </row>
    <row r="980" spans="1:15" x14ac:dyDescent="0.25">
      <c r="A980" s="37">
        <f t="shared" si="16"/>
        <v>368</v>
      </c>
      <c r="C980" s="38">
        <v>8.5</v>
      </c>
      <c r="D980" s="36" t="s">
        <v>274</v>
      </c>
      <c r="E980" s="36">
        <v>1267829</v>
      </c>
      <c r="F980" s="36">
        <v>3</v>
      </c>
      <c r="G980" s="36">
        <v>1208601</v>
      </c>
      <c r="H980" s="48" t="str">
        <f>IFERROR(INDEX(Table14[],MATCH($G980,Table14[SAPNo],0),3),"")</f>
        <v>1613 CT418 U-60</v>
      </c>
      <c r="I980" s="37">
        <v>8</v>
      </c>
      <c r="J980" s="37">
        <f>IF(Table412[[#This Row],[MAT]]&lt;&gt;"",COUNTIF(Table3[LEVEL 5 MAT NO.],Table412[[#This Row],[MAT]]),"")</f>
        <v>1</v>
      </c>
      <c r="K980" s="36">
        <f>IFERROR(INDEX(Table3[],MATCH($E980,Table3[LEVEL 5 MAT NO.],0),2),0)</f>
        <v>5</v>
      </c>
      <c r="L980" s="36">
        <f>Table412[[#This Row],[Quantity in BOM]]*Table412[[#This Row],[Freq]]</f>
        <v>40</v>
      </c>
      <c r="M980" s="36">
        <f>IF(Table412[[#This Row],[Exist]]=1,Table412[[#This Row],[MAT]],"")</f>
        <v>1267829</v>
      </c>
      <c r="N980" s="36">
        <f>IF(Table412[[#This Row],[Exist]]=1,Table412[[#This Row],[Component]],"")</f>
        <v>1208601</v>
      </c>
      <c r="O980" s="36">
        <f>IFERROR(VALUE(Table412[[#This Row],[MAT]]&amp;Table412[[#This Row],[X'#]]),IF(COUNTIF(Table412[[#This Row],[MAT]],"*M"),Table412[[#This Row],[MAT]]&amp;Table412[[#This Row],[X'#]],""))</f>
        <v>12678293</v>
      </c>
    </row>
    <row r="981" spans="1:15" x14ac:dyDescent="0.25">
      <c r="A981" s="37">
        <f t="shared" si="16"/>
        <v>373</v>
      </c>
      <c r="C981" s="38">
        <v>8.5</v>
      </c>
      <c r="D981" s="36" t="s">
        <v>274</v>
      </c>
      <c r="E981" s="36">
        <v>1267829</v>
      </c>
      <c r="F981" s="36">
        <v>4</v>
      </c>
      <c r="G981" s="36">
        <v>418525</v>
      </c>
      <c r="H981" s="48" t="str">
        <f>IFERROR(INDEX(Table14[],MATCH($G981,Table14[SAPNo],0),3),"")</f>
        <v>Drop In 1308 CT31   (B)</v>
      </c>
      <c r="I981" s="37">
        <v>6</v>
      </c>
      <c r="J981" s="37">
        <f>IF(Table412[[#This Row],[MAT]]&lt;&gt;"",COUNTIF(Table3[LEVEL 5 MAT NO.],Table412[[#This Row],[MAT]]),"")</f>
        <v>1</v>
      </c>
      <c r="K981" s="36">
        <f>IFERROR(INDEX(Table3[],MATCH($E981,Table3[LEVEL 5 MAT NO.],0),2),0)</f>
        <v>5</v>
      </c>
      <c r="L981" s="36">
        <f>Table412[[#This Row],[Quantity in BOM]]*Table412[[#This Row],[Freq]]</f>
        <v>30</v>
      </c>
      <c r="M981" s="36">
        <f>IF(Table412[[#This Row],[Exist]]=1,Table412[[#This Row],[MAT]],"")</f>
        <v>1267829</v>
      </c>
      <c r="N981" s="36">
        <f>IF(Table412[[#This Row],[Exist]]=1,Table412[[#This Row],[Component]],"")</f>
        <v>418525</v>
      </c>
      <c r="O981" s="36">
        <f>IFERROR(VALUE(Table412[[#This Row],[MAT]]&amp;Table412[[#This Row],[X'#]]),IF(COUNTIF(Table412[[#This Row],[MAT]],"*M"),Table412[[#This Row],[MAT]]&amp;Table412[[#This Row],[X'#]],""))</f>
        <v>12678294</v>
      </c>
    </row>
    <row r="982" spans="1:15" x14ac:dyDescent="0.25">
      <c r="A982" s="37">
        <f t="shared" si="16"/>
        <v>378</v>
      </c>
      <c r="C982" s="38">
        <v>8.5</v>
      </c>
      <c r="D982" s="36" t="s">
        <v>274</v>
      </c>
      <c r="E982" s="36">
        <v>1267829</v>
      </c>
      <c r="F982" s="36">
        <v>5</v>
      </c>
      <c r="G982" s="36">
        <v>1146737</v>
      </c>
      <c r="H982" s="48" t="str">
        <f>IFERROR(INDEX(Table14[],MATCH($G982,Table14[SAPNo],0),3),"")</f>
        <v>1613 CT418 18-60</v>
      </c>
      <c r="I982" s="37">
        <v>6</v>
      </c>
      <c r="J982" s="37">
        <f>IF(Table412[[#This Row],[MAT]]&lt;&gt;"",COUNTIF(Table3[LEVEL 5 MAT NO.],Table412[[#This Row],[MAT]]),"")</f>
        <v>1</v>
      </c>
      <c r="K982" s="36">
        <f>IFERROR(INDEX(Table3[],MATCH($E982,Table3[LEVEL 5 MAT NO.],0),2),0)</f>
        <v>5</v>
      </c>
      <c r="L982" s="36">
        <f>Table412[[#This Row],[Quantity in BOM]]*Table412[[#This Row],[Freq]]</f>
        <v>30</v>
      </c>
      <c r="M982" s="36">
        <f>IF(Table412[[#This Row],[Exist]]=1,Table412[[#This Row],[MAT]],"")</f>
        <v>1267829</v>
      </c>
      <c r="N982" s="36">
        <f>IF(Table412[[#This Row],[Exist]]=1,Table412[[#This Row],[Component]],"")</f>
        <v>1146737</v>
      </c>
      <c r="O982" s="36">
        <f>IFERROR(VALUE(Table412[[#This Row],[MAT]]&amp;Table412[[#This Row],[X'#]]),IF(COUNTIF(Table412[[#This Row],[MAT]],"*M"),Table412[[#This Row],[MAT]]&amp;Table412[[#This Row],[X'#]],""))</f>
        <v>12678295</v>
      </c>
    </row>
    <row r="983" spans="1:15" x14ac:dyDescent="0.25">
      <c r="A983" s="37">
        <f t="shared" si="16"/>
        <v>383</v>
      </c>
      <c r="C983" s="38">
        <v>8.5</v>
      </c>
      <c r="D983" s="36" t="s">
        <v>281</v>
      </c>
      <c r="E983" s="36">
        <v>1263805</v>
      </c>
      <c r="F983" s="36">
        <v>1</v>
      </c>
      <c r="G983" s="36">
        <v>1219562</v>
      </c>
      <c r="H983" s="48" t="str">
        <f>IFERROR(INDEX(Table14[],MATCH($G983,Table14[SAPNo],0),3),"")</f>
        <v>1613 CT147R U</v>
      </c>
      <c r="I983" s="37">
        <v>16</v>
      </c>
      <c r="J983" s="37">
        <f>IF(Table412[[#This Row],[MAT]]&lt;&gt;"",COUNTIF(Table3[LEVEL 5 MAT NO.],Table412[[#This Row],[MAT]]),"")</f>
        <v>1</v>
      </c>
      <c r="K983" s="36">
        <f>IFERROR(INDEX(Table3[],MATCH($E983,Table3[LEVEL 5 MAT NO.],0),2),0)</f>
        <v>2</v>
      </c>
      <c r="L983" s="36">
        <f>Table412[[#This Row],[Quantity in BOM]]*Table412[[#This Row],[Freq]]</f>
        <v>32</v>
      </c>
      <c r="M983" s="36">
        <f>IF(Table412[[#This Row],[Exist]]=1,Table412[[#This Row],[MAT]],"")</f>
        <v>1263805</v>
      </c>
      <c r="N983" s="36">
        <f>IF(Table412[[#This Row],[Exist]]=1,Table412[[#This Row],[Component]],"")</f>
        <v>1219562</v>
      </c>
      <c r="O983" s="36">
        <f>IFERROR(VALUE(Table412[[#This Row],[MAT]]&amp;Table412[[#This Row],[X'#]]),IF(COUNTIF(Table412[[#This Row],[MAT]],"*M"),Table412[[#This Row],[MAT]]&amp;Table412[[#This Row],[X'#]],""))</f>
        <v>12638051</v>
      </c>
    </row>
    <row r="984" spans="1:15" x14ac:dyDescent="0.25">
      <c r="A984" s="37">
        <f t="shared" si="16"/>
        <v>385</v>
      </c>
      <c r="C984" s="38">
        <v>8.5</v>
      </c>
      <c r="D984" s="36" t="s">
        <v>281</v>
      </c>
      <c r="E984" s="36">
        <v>1263805</v>
      </c>
      <c r="F984" s="36">
        <v>2</v>
      </c>
      <c r="G984" s="36">
        <v>1271790</v>
      </c>
      <c r="H984" s="48" t="str">
        <f>IFERROR(INDEX(Table14[],MATCH($G984,Table14[SAPNo],0),3),"")</f>
        <v xml:space="preserve">1613 CT170 18-60 </v>
      </c>
      <c r="I984" s="37">
        <v>6</v>
      </c>
      <c r="J984" s="37">
        <f>IF(Table412[[#This Row],[MAT]]&lt;&gt;"",COUNTIF(Table3[LEVEL 5 MAT NO.],Table412[[#This Row],[MAT]]),"")</f>
        <v>1</v>
      </c>
      <c r="K984" s="36">
        <f>IFERROR(INDEX(Table3[],MATCH($E984,Table3[LEVEL 5 MAT NO.],0),2),0)</f>
        <v>2</v>
      </c>
      <c r="L984" s="36">
        <f>Table412[[#This Row],[Quantity in BOM]]*Table412[[#This Row],[Freq]]</f>
        <v>12</v>
      </c>
      <c r="M984" s="36">
        <f>IF(Table412[[#This Row],[Exist]]=1,Table412[[#This Row],[MAT]],"")</f>
        <v>1263805</v>
      </c>
      <c r="N984" s="36">
        <f>IF(Table412[[#This Row],[Exist]]=1,Table412[[#This Row],[Component]],"")</f>
        <v>1271790</v>
      </c>
      <c r="O984" s="36">
        <f>IFERROR(VALUE(Table412[[#This Row],[MAT]]&amp;Table412[[#This Row],[X'#]]),IF(COUNTIF(Table412[[#This Row],[MAT]],"*M"),Table412[[#This Row],[MAT]]&amp;Table412[[#This Row],[X'#]],""))</f>
        <v>12638052</v>
      </c>
    </row>
    <row r="985" spans="1:15" x14ac:dyDescent="0.25">
      <c r="A985" s="37">
        <f t="shared" si="16"/>
        <v>387</v>
      </c>
      <c r="C985" s="38">
        <v>8.5</v>
      </c>
      <c r="D985" s="36" t="s">
        <v>281</v>
      </c>
      <c r="E985" s="36">
        <v>1263805</v>
      </c>
      <c r="F985" s="36">
        <v>3</v>
      </c>
      <c r="G985" s="36">
        <v>1142711</v>
      </c>
      <c r="H985" s="48" t="str">
        <f>IFERROR(INDEX(Table14[],MATCH($G985,Table14[SAPNo],0),3),"")</f>
        <v>1613 CT421 U</v>
      </c>
      <c r="I985" s="37">
        <v>10</v>
      </c>
      <c r="J985" s="37">
        <f>IF(Table412[[#This Row],[MAT]]&lt;&gt;"",COUNTIF(Table3[LEVEL 5 MAT NO.],Table412[[#This Row],[MAT]]),"")</f>
        <v>1</v>
      </c>
      <c r="K985" s="36">
        <f>IFERROR(INDEX(Table3[],MATCH($E985,Table3[LEVEL 5 MAT NO.],0),2),0)</f>
        <v>2</v>
      </c>
      <c r="L985" s="36">
        <f>Table412[[#This Row],[Quantity in BOM]]*Table412[[#This Row],[Freq]]</f>
        <v>20</v>
      </c>
      <c r="M985" s="36">
        <f>IF(Table412[[#This Row],[Exist]]=1,Table412[[#This Row],[MAT]],"")</f>
        <v>1263805</v>
      </c>
      <c r="N985" s="36">
        <f>IF(Table412[[#This Row],[Exist]]=1,Table412[[#This Row],[Component]],"")</f>
        <v>1142711</v>
      </c>
      <c r="O985" s="36">
        <f>IFERROR(VALUE(Table412[[#This Row],[MAT]]&amp;Table412[[#This Row],[X'#]]),IF(COUNTIF(Table412[[#This Row],[MAT]],"*M"),Table412[[#This Row],[MAT]]&amp;Table412[[#This Row],[X'#]],""))</f>
        <v>12638053</v>
      </c>
    </row>
    <row r="986" spans="1:15" x14ac:dyDescent="0.25">
      <c r="A986" s="37">
        <f t="shared" si="16"/>
        <v>389</v>
      </c>
      <c r="C986" s="38">
        <v>8.5</v>
      </c>
      <c r="D986" s="36" t="s">
        <v>281</v>
      </c>
      <c r="E986" s="36">
        <v>1263805</v>
      </c>
      <c r="F986" s="36">
        <v>4</v>
      </c>
      <c r="G986" s="36">
        <v>1208601</v>
      </c>
      <c r="H986" s="48" t="str">
        <f>IFERROR(INDEX(Table14[],MATCH($G986,Table14[SAPNo],0),3),"")</f>
        <v>1613 CT418 U-60</v>
      </c>
      <c r="I986" s="37">
        <v>7</v>
      </c>
      <c r="J986" s="37">
        <f>IF(Table412[[#This Row],[MAT]]&lt;&gt;"",COUNTIF(Table3[LEVEL 5 MAT NO.],Table412[[#This Row],[MAT]]),"")</f>
        <v>1</v>
      </c>
      <c r="K986" s="36">
        <f>IFERROR(INDEX(Table3[],MATCH($E986,Table3[LEVEL 5 MAT NO.],0),2),0)</f>
        <v>2</v>
      </c>
      <c r="L986" s="36">
        <f>Table412[[#This Row],[Quantity in BOM]]*Table412[[#This Row],[Freq]]</f>
        <v>14</v>
      </c>
      <c r="M986" s="36">
        <f>IF(Table412[[#This Row],[Exist]]=1,Table412[[#This Row],[MAT]],"")</f>
        <v>1263805</v>
      </c>
      <c r="N986" s="36">
        <f>IF(Table412[[#This Row],[Exist]]=1,Table412[[#This Row],[Component]],"")</f>
        <v>1208601</v>
      </c>
      <c r="O986" s="36">
        <f>IFERROR(VALUE(Table412[[#This Row],[MAT]]&amp;Table412[[#This Row],[X'#]]),IF(COUNTIF(Table412[[#This Row],[MAT]],"*M"),Table412[[#This Row],[MAT]]&amp;Table412[[#This Row],[X'#]],""))</f>
        <v>12638054</v>
      </c>
    </row>
    <row r="987" spans="1:15" x14ac:dyDescent="0.25">
      <c r="A987" s="37">
        <f t="shared" si="16"/>
        <v>391</v>
      </c>
      <c r="C987" s="38">
        <v>8.5</v>
      </c>
      <c r="D987" s="36" t="s">
        <v>281</v>
      </c>
      <c r="E987" s="36">
        <v>1263805</v>
      </c>
      <c r="F987" s="36">
        <v>5</v>
      </c>
      <c r="G987" s="36">
        <v>871781</v>
      </c>
      <c r="H987" s="48" t="str">
        <f>IFERROR(INDEX(Table14[],MATCH($G987,Table14[SAPNo],0),3),"")</f>
        <v>Round 1313 CT200  0.018" (B)</v>
      </c>
      <c r="I987" s="37">
        <v>5</v>
      </c>
      <c r="J987" s="37">
        <f>IF(Table412[[#This Row],[MAT]]&lt;&gt;"",COUNTIF(Table3[LEVEL 5 MAT NO.],Table412[[#This Row],[MAT]]),"")</f>
        <v>1</v>
      </c>
      <c r="K987" s="36">
        <f>IFERROR(INDEX(Table3[],MATCH($E987,Table3[LEVEL 5 MAT NO.],0),2),0)</f>
        <v>2</v>
      </c>
      <c r="L987" s="36">
        <f>Table412[[#This Row],[Quantity in BOM]]*Table412[[#This Row],[Freq]]</f>
        <v>10</v>
      </c>
      <c r="M987" s="36">
        <f>IF(Table412[[#This Row],[Exist]]=1,Table412[[#This Row],[MAT]],"")</f>
        <v>1263805</v>
      </c>
      <c r="N987" s="36">
        <f>IF(Table412[[#This Row],[Exist]]=1,Table412[[#This Row],[Component]],"")</f>
        <v>871781</v>
      </c>
      <c r="O987" s="36">
        <f>IFERROR(VALUE(Table412[[#This Row],[MAT]]&amp;Table412[[#This Row],[X'#]]),IF(COUNTIF(Table412[[#This Row],[MAT]],"*M"),Table412[[#This Row],[MAT]]&amp;Table412[[#This Row],[X'#]],""))</f>
        <v>12638055</v>
      </c>
    </row>
    <row r="988" spans="1:15" x14ac:dyDescent="0.25">
      <c r="A988" s="37">
        <f t="shared" si="16"/>
        <v>393</v>
      </c>
      <c r="C988" s="38">
        <v>8.5</v>
      </c>
      <c r="D988" s="36" t="s">
        <v>281</v>
      </c>
      <c r="E988" s="36">
        <v>1263805</v>
      </c>
      <c r="F988" s="36">
        <v>6</v>
      </c>
      <c r="G988" s="36">
        <v>1200972</v>
      </c>
      <c r="H988" s="48" t="str">
        <f>IFERROR(INDEX(Table14[],MATCH($G988,Table14[SAPNo],0),3),"")</f>
        <v xml:space="preserve">8MM WC-MAT400 </v>
      </c>
      <c r="I988" s="37">
        <v>5</v>
      </c>
      <c r="J988" s="37">
        <f>IF(Table412[[#This Row],[MAT]]&lt;&gt;"",COUNTIF(Table3[LEVEL 5 MAT NO.],Table412[[#This Row],[MAT]]),"")</f>
        <v>1</v>
      </c>
      <c r="K988" s="36">
        <f>IFERROR(INDEX(Table3[],MATCH($E988,Table3[LEVEL 5 MAT NO.],0),2),0)</f>
        <v>2</v>
      </c>
      <c r="L988" s="36">
        <f>Table412[[#This Row],[Quantity in BOM]]*Table412[[#This Row],[Freq]]</f>
        <v>10</v>
      </c>
      <c r="M988" s="36">
        <f>IF(Table412[[#This Row],[Exist]]=1,Table412[[#This Row],[MAT]],"")</f>
        <v>1263805</v>
      </c>
      <c r="N988" s="36">
        <f>IF(Table412[[#This Row],[Exist]]=1,Table412[[#This Row],[Component]],"")</f>
        <v>1200972</v>
      </c>
      <c r="O988" s="36">
        <f>IFERROR(VALUE(Table412[[#This Row],[MAT]]&amp;Table412[[#This Row],[X'#]]),IF(COUNTIF(Table412[[#This Row],[MAT]],"*M"),Table412[[#This Row],[MAT]]&amp;Table412[[#This Row],[X'#]],""))</f>
        <v>12638056</v>
      </c>
    </row>
    <row r="989" spans="1:15" x14ac:dyDescent="0.25">
      <c r="A989" s="37">
        <f t="shared" si="16"/>
        <v>395</v>
      </c>
      <c r="C989" s="38">
        <v>8.5</v>
      </c>
      <c r="D989" s="36" t="s">
        <v>281</v>
      </c>
      <c r="E989" s="36">
        <v>1263805</v>
      </c>
      <c r="F989" s="36">
        <v>7</v>
      </c>
      <c r="G989" s="36">
        <v>1234189</v>
      </c>
      <c r="H989" s="48" t="str">
        <f>IFERROR(INDEX(Table14[],MATCH($G989,Table14[SAPNo],0),3),"")</f>
        <v xml:space="preserve">13MM WC-MAT400 </v>
      </c>
      <c r="I989" s="37">
        <v>3</v>
      </c>
      <c r="J989" s="37">
        <f>IF(Table412[[#This Row],[MAT]]&lt;&gt;"",COUNTIF(Table3[LEVEL 5 MAT NO.],Table412[[#This Row],[MAT]]),"")</f>
        <v>1</v>
      </c>
      <c r="K989" s="36">
        <f>IFERROR(INDEX(Table3[],MATCH($E989,Table3[LEVEL 5 MAT NO.],0),2),0)</f>
        <v>2</v>
      </c>
      <c r="L989" s="36">
        <f>Table412[[#This Row],[Quantity in BOM]]*Table412[[#This Row],[Freq]]</f>
        <v>6</v>
      </c>
      <c r="M989" s="36">
        <f>IF(Table412[[#This Row],[Exist]]=1,Table412[[#This Row],[MAT]],"")</f>
        <v>1263805</v>
      </c>
      <c r="N989" s="36">
        <f>IF(Table412[[#This Row],[Exist]]=1,Table412[[#This Row],[Component]],"")</f>
        <v>1234189</v>
      </c>
      <c r="O989" s="36">
        <f>IFERROR(VALUE(Table412[[#This Row],[MAT]]&amp;Table412[[#This Row],[X'#]]),IF(COUNTIF(Table412[[#This Row],[MAT]],"*M"),Table412[[#This Row],[MAT]]&amp;Table412[[#This Row],[X'#]],""))</f>
        <v>12638057</v>
      </c>
    </row>
    <row r="990" spans="1:15" x14ac:dyDescent="0.25">
      <c r="A990" s="37">
        <f t="shared" si="16"/>
        <v>397</v>
      </c>
      <c r="C990" s="38">
        <v>8.5</v>
      </c>
      <c r="D990" s="36" t="s">
        <v>281</v>
      </c>
      <c r="E990" s="36">
        <v>1263805</v>
      </c>
      <c r="F990" s="36">
        <v>8</v>
      </c>
      <c r="G990" s="36">
        <v>1146737</v>
      </c>
      <c r="H990" s="48" t="str">
        <f>IFERROR(INDEX(Table14[],MATCH($G990,Table14[SAPNo],0),3),"")</f>
        <v>1613 CT418 18-60</v>
      </c>
      <c r="I990" s="37">
        <v>10</v>
      </c>
      <c r="J990" s="37">
        <f>IF(Table412[[#This Row],[MAT]]&lt;&gt;"",COUNTIF(Table3[LEVEL 5 MAT NO.],Table412[[#This Row],[MAT]]),"")</f>
        <v>1</v>
      </c>
      <c r="K990" s="36">
        <f>IFERROR(INDEX(Table3[],MATCH($E990,Table3[LEVEL 5 MAT NO.],0),2),0)</f>
        <v>2</v>
      </c>
      <c r="L990" s="36">
        <f>Table412[[#This Row],[Quantity in BOM]]*Table412[[#This Row],[Freq]]</f>
        <v>20</v>
      </c>
      <c r="M990" s="36">
        <f>IF(Table412[[#This Row],[Exist]]=1,Table412[[#This Row],[MAT]],"")</f>
        <v>1263805</v>
      </c>
      <c r="N990" s="36">
        <f>IF(Table412[[#This Row],[Exist]]=1,Table412[[#This Row],[Component]],"")</f>
        <v>1146737</v>
      </c>
      <c r="O990" s="36">
        <f>IFERROR(VALUE(Table412[[#This Row],[MAT]]&amp;Table412[[#This Row],[X'#]]),IF(COUNTIF(Table412[[#This Row],[MAT]],"*M"),Table412[[#This Row],[MAT]]&amp;Table412[[#This Row],[X'#]],""))</f>
        <v>12638058</v>
      </c>
    </row>
    <row r="991" spans="1:15" x14ac:dyDescent="0.25">
      <c r="A991" s="37">
        <f t="shared" si="16"/>
        <v>399</v>
      </c>
      <c r="C991" s="38">
        <v>16</v>
      </c>
      <c r="D991" s="36" t="s">
        <v>290</v>
      </c>
      <c r="E991" s="36">
        <v>1268728</v>
      </c>
      <c r="F991" s="36">
        <v>1</v>
      </c>
      <c r="G991" s="36">
        <v>647436</v>
      </c>
      <c r="H991" s="48" t="str">
        <f>IFERROR(INDEX(Table14[],MATCH($G991,Table14[SAPNo],0),3),"")</f>
        <v>Round 1613 CT200  0.018" (B)</v>
      </c>
      <c r="I991" s="37">
        <v>64</v>
      </c>
      <c r="J991" s="37">
        <f>IF(Table412[[#This Row],[MAT]]&lt;&gt;"",COUNTIF(Table3[LEVEL 5 MAT NO.],Table412[[#This Row],[MAT]]),"")</f>
        <v>1</v>
      </c>
      <c r="K991" s="36">
        <f>IFERROR(INDEX(Table3[],MATCH($E991,Table3[LEVEL 5 MAT NO.],0),2),0)</f>
        <v>5</v>
      </c>
      <c r="L991" s="36">
        <f>Table412[[#This Row],[Quantity in BOM]]*Table412[[#This Row],[Freq]]</f>
        <v>320</v>
      </c>
      <c r="M991" s="36">
        <f>IF(Table412[[#This Row],[Exist]]=1,Table412[[#This Row],[MAT]],"")</f>
        <v>1268728</v>
      </c>
      <c r="N991" s="36">
        <f>IF(Table412[[#This Row],[Exist]]=1,Table412[[#This Row],[Component]],"")</f>
        <v>647436</v>
      </c>
      <c r="O991" s="36">
        <f>IFERROR(VALUE(Table412[[#This Row],[MAT]]&amp;Table412[[#This Row],[X'#]]),IF(COUNTIF(Table412[[#This Row],[MAT]],"*M"),Table412[[#This Row],[MAT]]&amp;Table412[[#This Row],[X'#]],""))</f>
        <v>12687281</v>
      </c>
    </row>
    <row r="992" spans="1:15" x14ac:dyDescent="0.25">
      <c r="A992" s="37">
        <f t="shared" si="16"/>
        <v>404</v>
      </c>
      <c r="C992" s="38">
        <v>16</v>
      </c>
      <c r="D992" s="36" t="s">
        <v>290</v>
      </c>
      <c r="E992" s="36">
        <v>1268728</v>
      </c>
      <c r="F992" s="36">
        <v>2</v>
      </c>
      <c r="G992" s="36">
        <v>1271790</v>
      </c>
      <c r="H992" s="48" t="str">
        <f>IFERROR(INDEX(Table14[],MATCH($G992,Table14[SAPNo],0),3),"")</f>
        <v xml:space="preserve">1613 CT170 18-60 </v>
      </c>
      <c r="I992" s="37">
        <v>53</v>
      </c>
      <c r="J992" s="37">
        <f>IF(Table412[[#This Row],[MAT]]&lt;&gt;"",COUNTIF(Table3[LEVEL 5 MAT NO.],Table412[[#This Row],[MAT]]),"")</f>
        <v>1</v>
      </c>
      <c r="K992" s="36">
        <f>IFERROR(INDEX(Table3[],MATCH($E992,Table3[LEVEL 5 MAT NO.],0),2),0)</f>
        <v>5</v>
      </c>
      <c r="L992" s="36">
        <f>Table412[[#This Row],[Quantity in BOM]]*Table412[[#This Row],[Freq]]</f>
        <v>265</v>
      </c>
      <c r="M992" s="36">
        <f>IF(Table412[[#This Row],[Exist]]=1,Table412[[#This Row],[MAT]],"")</f>
        <v>1268728</v>
      </c>
      <c r="N992" s="36">
        <f>IF(Table412[[#This Row],[Exist]]=1,Table412[[#This Row],[Component]],"")</f>
        <v>1271790</v>
      </c>
      <c r="O992" s="36">
        <f>IFERROR(VALUE(Table412[[#This Row],[MAT]]&amp;Table412[[#This Row],[X'#]]),IF(COUNTIF(Table412[[#This Row],[MAT]],"*M"),Table412[[#This Row],[MAT]]&amp;Table412[[#This Row],[X'#]],""))</f>
        <v>12687282</v>
      </c>
    </row>
    <row r="993" spans="1:15" x14ac:dyDescent="0.25">
      <c r="A993" s="37">
        <f t="shared" si="16"/>
        <v>409</v>
      </c>
      <c r="C993" s="38">
        <v>16</v>
      </c>
      <c r="D993" s="36" t="s">
        <v>290</v>
      </c>
      <c r="E993" s="36">
        <v>1268728</v>
      </c>
      <c r="F993" s="36">
        <v>3</v>
      </c>
      <c r="G993" s="36">
        <v>1146737</v>
      </c>
      <c r="H993" s="48" t="str">
        <f>IFERROR(INDEX(Table14[],MATCH($G993,Table14[SAPNo],0),3),"")</f>
        <v>1613 CT418 18-60</v>
      </c>
      <c r="I993" s="37">
        <v>39</v>
      </c>
      <c r="J993" s="37">
        <f>IF(Table412[[#This Row],[MAT]]&lt;&gt;"",COUNTIF(Table3[LEVEL 5 MAT NO.],Table412[[#This Row],[MAT]]),"")</f>
        <v>1</v>
      </c>
      <c r="K993" s="36">
        <f>IFERROR(INDEX(Table3[],MATCH($E993,Table3[LEVEL 5 MAT NO.],0),2),0)</f>
        <v>5</v>
      </c>
      <c r="L993" s="36">
        <f>Table412[[#This Row],[Quantity in BOM]]*Table412[[#This Row],[Freq]]</f>
        <v>195</v>
      </c>
      <c r="M993" s="36">
        <f>IF(Table412[[#This Row],[Exist]]=1,Table412[[#This Row],[MAT]],"")</f>
        <v>1268728</v>
      </c>
      <c r="N993" s="36">
        <f>IF(Table412[[#This Row],[Exist]]=1,Table412[[#This Row],[Component]],"")</f>
        <v>1146737</v>
      </c>
      <c r="O993" s="36">
        <f>IFERROR(VALUE(Table412[[#This Row],[MAT]]&amp;Table412[[#This Row],[X'#]]),IF(COUNTIF(Table412[[#This Row],[MAT]],"*M"),Table412[[#This Row],[MAT]]&amp;Table412[[#This Row],[X'#]],""))</f>
        <v>12687283</v>
      </c>
    </row>
    <row r="994" spans="1:15" x14ac:dyDescent="0.25">
      <c r="A994" s="37">
        <f t="shared" si="16"/>
        <v>414</v>
      </c>
      <c r="C994" s="38">
        <v>16</v>
      </c>
      <c r="D994" s="36" t="s">
        <v>290</v>
      </c>
      <c r="E994" s="36">
        <v>1268728</v>
      </c>
      <c r="F994" s="36">
        <v>4</v>
      </c>
      <c r="G994" s="36">
        <v>647435</v>
      </c>
      <c r="H994" s="48" t="str">
        <f>IFERROR(INDEX(Table14[],MATCH($G994,Table14[SAPNo],0),3),"")</f>
        <v>Round 1608 CT200  0.018" (B)</v>
      </c>
      <c r="I994" s="37">
        <v>16</v>
      </c>
      <c r="J994" s="37">
        <f>IF(Table412[[#This Row],[MAT]]&lt;&gt;"",COUNTIF(Table3[LEVEL 5 MAT NO.],Table412[[#This Row],[MAT]]),"")</f>
        <v>1</v>
      </c>
      <c r="K994" s="36">
        <f>IFERROR(INDEX(Table3[],MATCH($E994,Table3[LEVEL 5 MAT NO.],0),2),0)</f>
        <v>5</v>
      </c>
      <c r="L994" s="36">
        <f>Table412[[#This Row],[Quantity in BOM]]*Table412[[#This Row],[Freq]]</f>
        <v>80</v>
      </c>
      <c r="M994" s="36">
        <f>IF(Table412[[#This Row],[Exist]]=1,Table412[[#This Row],[MAT]],"")</f>
        <v>1268728</v>
      </c>
      <c r="N994" s="36">
        <f>IF(Table412[[#This Row],[Exist]]=1,Table412[[#This Row],[Component]],"")</f>
        <v>647435</v>
      </c>
      <c r="O994" s="36">
        <f>IFERROR(VALUE(Table412[[#This Row],[MAT]]&amp;Table412[[#This Row],[X'#]]),IF(COUNTIF(Table412[[#This Row],[MAT]],"*M"),Table412[[#This Row],[MAT]]&amp;Table412[[#This Row],[X'#]],""))</f>
        <v>12687284</v>
      </c>
    </row>
    <row r="995" spans="1:15" x14ac:dyDescent="0.25">
      <c r="A995" s="37">
        <f t="shared" si="16"/>
        <v>419</v>
      </c>
      <c r="C995" s="38">
        <v>16</v>
      </c>
      <c r="D995" s="36" t="s">
        <v>290</v>
      </c>
      <c r="E995" s="36">
        <v>1268728</v>
      </c>
      <c r="F995" s="36">
        <v>5</v>
      </c>
      <c r="G995" s="36">
        <v>418525</v>
      </c>
      <c r="H995" s="48" t="str">
        <f>IFERROR(INDEX(Table14[],MATCH($G995,Table14[SAPNo],0),3),"")</f>
        <v>Drop In 1308 CT31   (B)</v>
      </c>
      <c r="I995" s="37">
        <v>8</v>
      </c>
      <c r="J995" s="37">
        <f>IF(Table412[[#This Row],[MAT]]&lt;&gt;"",COUNTIF(Table3[LEVEL 5 MAT NO.],Table412[[#This Row],[MAT]]),"")</f>
        <v>1</v>
      </c>
      <c r="K995" s="36">
        <f>IFERROR(INDEX(Table3[],MATCH($E995,Table3[LEVEL 5 MAT NO.],0),2),0)</f>
        <v>5</v>
      </c>
      <c r="L995" s="36">
        <f>Table412[[#This Row],[Quantity in BOM]]*Table412[[#This Row],[Freq]]</f>
        <v>40</v>
      </c>
      <c r="M995" s="36">
        <f>IF(Table412[[#This Row],[Exist]]=1,Table412[[#This Row],[MAT]],"")</f>
        <v>1268728</v>
      </c>
      <c r="N995" s="36">
        <f>IF(Table412[[#This Row],[Exist]]=1,Table412[[#This Row],[Component]],"")</f>
        <v>418525</v>
      </c>
      <c r="O995" s="36">
        <f>IFERROR(VALUE(Table412[[#This Row],[MAT]]&amp;Table412[[#This Row],[X'#]]),IF(COUNTIF(Table412[[#This Row],[MAT]],"*M"),Table412[[#This Row],[MAT]]&amp;Table412[[#This Row],[X'#]],""))</f>
        <v>12687285</v>
      </c>
    </row>
    <row r="996" spans="1:15" x14ac:dyDescent="0.25">
      <c r="A996" s="37">
        <f t="shared" si="16"/>
        <v>424</v>
      </c>
      <c r="C996" s="38">
        <v>16</v>
      </c>
      <c r="D996" s="36" t="s">
        <v>292</v>
      </c>
      <c r="E996" s="36">
        <v>1254482</v>
      </c>
      <c r="F996" s="36">
        <v>1</v>
      </c>
      <c r="G996" s="36">
        <v>871781</v>
      </c>
      <c r="H996" s="48" t="str">
        <f>IFERROR(INDEX(Table14[],MATCH($G996,Table14[SAPNo],0),3),"")</f>
        <v>Round 1313 CT200  0.018" (B)</v>
      </c>
      <c r="I996" s="37">
        <v>42</v>
      </c>
      <c r="J996" s="37">
        <f>IF(Table412[[#This Row],[MAT]]&lt;&gt;"",COUNTIF(Table3[LEVEL 5 MAT NO.],Table412[[#This Row],[MAT]]),"")</f>
        <v>1</v>
      </c>
      <c r="K996" s="36">
        <f>IFERROR(INDEX(Table3[],MATCH($E996,Table3[LEVEL 5 MAT NO.],0),2),0)</f>
        <v>6</v>
      </c>
      <c r="L996" s="36">
        <f>Table412[[#This Row],[Quantity in BOM]]*Table412[[#This Row],[Freq]]</f>
        <v>252</v>
      </c>
      <c r="M996" s="36">
        <f>IF(Table412[[#This Row],[Exist]]=1,Table412[[#This Row],[MAT]],"")</f>
        <v>1254482</v>
      </c>
      <c r="N996" s="36">
        <f>IF(Table412[[#This Row],[Exist]]=1,Table412[[#This Row],[Component]],"")</f>
        <v>871781</v>
      </c>
      <c r="O996" s="36">
        <f>IFERROR(VALUE(Table412[[#This Row],[MAT]]&amp;Table412[[#This Row],[X'#]]),IF(COUNTIF(Table412[[#This Row],[MAT]],"*M"),Table412[[#This Row],[MAT]]&amp;Table412[[#This Row],[X'#]],""))</f>
        <v>12544821</v>
      </c>
    </row>
    <row r="997" spans="1:15" x14ac:dyDescent="0.25">
      <c r="A997" s="37">
        <f t="shared" si="16"/>
        <v>430</v>
      </c>
      <c r="C997" s="38">
        <v>16</v>
      </c>
      <c r="D997" s="36" t="s">
        <v>292</v>
      </c>
      <c r="E997" s="36">
        <v>1254482</v>
      </c>
      <c r="F997" s="36">
        <v>2</v>
      </c>
      <c r="G997" s="36">
        <v>1219562</v>
      </c>
      <c r="H997" s="48" t="str">
        <f>IFERROR(INDEX(Table14[],MATCH($G997,Table14[SAPNo],0),3),"")</f>
        <v>1613 CT147R U</v>
      </c>
      <c r="I997" s="37">
        <v>42</v>
      </c>
      <c r="J997" s="37">
        <f>IF(Table412[[#This Row],[MAT]]&lt;&gt;"",COUNTIF(Table3[LEVEL 5 MAT NO.],Table412[[#This Row],[MAT]]),"")</f>
        <v>1</v>
      </c>
      <c r="K997" s="36">
        <f>IFERROR(INDEX(Table3[],MATCH($E997,Table3[LEVEL 5 MAT NO.],0),2),0)</f>
        <v>6</v>
      </c>
      <c r="L997" s="36">
        <f>Table412[[#This Row],[Quantity in BOM]]*Table412[[#This Row],[Freq]]</f>
        <v>252</v>
      </c>
      <c r="M997" s="36">
        <f>IF(Table412[[#This Row],[Exist]]=1,Table412[[#This Row],[MAT]],"")</f>
        <v>1254482</v>
      </c>
      <c r="N997" s="36">
        <f>IF(Table412[[#This Row],[Exist]]=1,Table412[[#This Row],[Component]],"")</f>
        <v>1219562</v>
      </c>
      <c r="O997" s="36">
        <f>IFERROR(VALUE(Table412[[#This Row],[MAT]]&amp;Table412[[#This Row],[X'#]]),IF(COUNTIF(Table412[[#This Row],[MAT]],"*M"),Table412[[#This Row],[MAT]]&amp;Table412[[#This Row],[X'#]],""))</f>
        <v>12544822</v>
      </c>
    </row>
    <row r="998" spans="1:15" x14ac:dyDescent="0.25">
      <c r="A998" s="37">
        <f t="shared" si="16"/>
        <v>436</v>
      </c>
      <c r="C998" s="38">
        <v>16</v>
      </c>
      <c r="D998" s="36" t="s">
        <v>292</v>
      </c>
      <c r="E998" s="36">
        <v>1254482</v>
      </c>
      <c r="F998" s="36">
        <v>3</v>
      </c>
      <c r="G998" s="36">
        <v>410851</v>
      </c>
      <c r="H998" s="48" t="str">
        <f>IFERROR(INDEX(Table14[],MATCH($G998,Table14[SAPNo],0),3),"")</f>
        <v>PDC Dome 1308 CT31   (B)</v>
      </c>
      <c r="I998" s="37">
        <v>28</v>
      </c>
      <c r="J998" s="37">
        <f>IF(Table412[[#This Row],[MAT]]&lt;&gt;"",COUNTIF(Table3[LEVEL 5 MAT NO.],Table412[[#This Row],[MAT]]),"")</f>
        <v>1</v>
      </c>
      <c r="K998" s="36">
        <f>IFERROR(INDEX(Table3[],MATCH($E998,Table3[LEVEL 5 MAT NO.],0),2),0)</f>
        <v>6</v>
      </c>
      <c r="L998" s="36">
        <f>Table412[[#This Row],[Quantity in BOM]]*Table412[[#This Row],[Freq]]</f>
        <v>168</v>
      </c>
      <c r="M998" s="36">
        <f>IF(Table412[[#This Row],[Exist]]=1,Table412[[#This Row],[MAT]],"")</f>
        <v>1254482</v>
      </c>
      <c r="N998" s="36">
        <f>IF(Table412[[#This Row],[Exist]]=1,Table412[[#This Row],[Component]],"")</f>
        <v>410851</v>
      </c>
      <c r="O998" s="36">
        <f>IFERROR(VALUE(Table412[[#This Row],[MAT]]&amp;Table412[[#This Row],[X'#]]),IF(COUNTIF(Table412[[#This Row],[MAT]],"*M"),Table412[[#This Row],[MAT]]&amp;Table412[[#This Row],[X'#]],""))</f>
        <v>12544823</v>
      </c>
    </row>
    <row r="999" spans="1:15" x14ac:dyDescent="0.25">
      <c r="A999" s="37">
        <f t="shared" si="16"/>
        <v>442</v>
      </c>
      <c r="C999" s="38">
        <v>16</v>
      </c>
      <c r="D999" s="36" t="s">
        <v>292</v>
      </c>
      <c r="E999" s="36">
        <v>1254482</v>
      </c>
      <c r="F999" s="36">
        <v>4</v>
      </c>
      <c r="G999" s="36">
        <v>179734</v>
      </c>
      <c r="H999" s="48" t="str">
        <f>IFERROR(INDEX(Table14[],MATCH($G999,Table14[SAPNo],0),3),"")</f>
        <v>Long IPA 13    (C)</v>
      </c>
      <c r="I999" s="37">
        <v>22</v>
      </c>
      <c r="J999" s="37">
        <f>IF(Table412[[#This Row],[MAT]]&lt;&gt;"",COUNTIF(Table3[LEVEL 5 MAT NO.],Table412[[#This Row],[MAT]]),"")</f>
        <v>1</v>
      </c>
      <c r="K999" s="36">
        <f>IFERROR(INDEX(Table3[],MATCH($E999,Table3[LEVEL 5 MAT NO.],0),2),0)</f>
        <v>6</v>
      </c>
      <c r="L999" s="36">
        <f>Table412[[#This Row],[Quantity in BOM]]*Table412[[#This Row],[Freq]]</f>
        <v>132</v>
      </c>
      <c r="M999" s="36">
        <f>IF(Table412[[#This Row],[Exist]]=1,Table412[[#This Row],[MAT]],"")</f>
        <v>1254482</v>
      </c>
      <c r="N999" s="36">
        <f>IF(Table412[[#This Row],[Exist]]=1,Table412[[#This Row],[Component]],"")</f>
        <v>179734</v>
      </c>
      <c r="O999" s="36">
        <f>IFERROR(VALUE(Table412[[#This Row],[MAT]]&amp;Table412[[#This Row],[X'#]]),IF(COUNTIF(Table412[[#This Row],[MAT]],"*M"),Table412[[#This Row],[MAT]]&amp;Table412[[#This Row],[X'#]],""))</f>
        <v>12544824</v>
      </c>
    </row>
    <row r="1000" spans="1:15" x14ac:dyDescent="0.25">
      <c r="A1000" s="37">
        <f t="shared" si="16"/>
        <v>448</v>
      </c>
      <c r="C1000" s="38">
        <v>16</v>
      </c>
      <c r="D1000" s="36" t="s">
        <v>292</v>
      </c>
      <c r="E1000" s="36">
        <v>1254482</v>
      </c>
      <c r="F1000" s="36">
        <v>5</v>
      </c>
      <c r="G1000" s="36">
        <v>1130198</v>
      </c>
      <c r="H1000" s="48" t="str">
        <f>IFERROR(INDEX(Table14[],MATCH($G1000,Table14[SAPNo],0),3),"")</f>
        <v>Round 1613 CT182  0.018" (S)</v>
      </c>
      <c r="I1000" s="37">
        <v>22</v>
      </c>
      <c r="J1000" s="37">
        <f>IF(Table412[[#This Row],[MAT]]&lt;&gt;"",COUNTIF(Table3[LEVEL 5 MAT NO.],Table412[[#This Row],[MAT]]),"")</f>
        <v>1</v>
      </c>
      <c r="K1000" s="36">
        <f>IFERROR(INDEX(Table3[],MATCH($E1000,Table3[LEVEL 5 MAT NO.],0),2),0)</f>
        <v>6</v>
      </c>
      <c r="L1000" s="36">
        <f>Table412[[#This Row],[Quantity in BOM]]*Table412[[#This Row],[Freq]]</f>
        <v>132</v>
      </c>
      <c r="M1000" s="36">
        <f>IF(Table412[[#This Row],[Exist]]=1,Table412[[#This Row],[MAT]],"")</f>
        <v>1254482</v>
      </c>
      <c r="N1000" s="36">
        <f>IF(Table412[[#This Row],[Exist]]=1,Table412[[#This Row],[Component]],"")</f>
        <v>1130198</v>
      </c>
      <c r="O1000" s="36">
        <f>IFERROR(VALUE(Table412[[#This Row],[MAT]]&amp;Table412[[#This Row],[X'#]]),IF(COUNTIF(Table412[[#This Row],[MAT]],"*M"),Table412[[#This Row],[MAT]]&amp;Table412[[#This Row],[X'#]],""))</f>
        <v>12544825</v>
      </c>
    </row>
    <row r="1001" spans="1:15" x14ac:dyDescent="0.25">
      <c r="A1001" s="37">
        <f t="shared" si="16"/>
        <v>454</v>
      </c>
      <c r="C1001" s="38">
        <v>16</v>
      </c>
      <c r="D1001" s="36" t="s">
        <v>292</v>
      </c>
      <c r="E1001" s="36">
        <v>1254482</v>
      </c>
      <c r="F1001" s="36">
        <v>6</v>
      </c>
      <c r="G1001" s="36">
        <v>1208601</v>
      </c>
      <c r="H1001" s="48" t="str">
        <f>IFERROR(INDEX(Table14[],MATCH($G1001,Table14[SAPNo],0),3),"")</f>
        <v>1613 CT418 U-60</v>
      </c>
      <c r="I1001" s="37">
        <v>15</v>
      </c>
      <c r="J1001" s="37">
        <f>IF(Table412[[#This Row],[MAT]]&lt;&gt;"",COUNTIF(Table3[LEVEL 5 MAT NO.],Table412[[#This Row],[MAT]]),"")</f>
        <v>1</v>
      </c>
      <c r="K1001" s="36">
        <f>IFERROR(INDEX(Table3[],MATCH($E1001,Table3[LEVEL 5 MAT NO.],0),2),0)</f>
        <v>6</v>
      </c>
      <c r="L1001" s="36">
        <f>Table412[[#This Row],[Quantity in BOM]]*Table412[[#This Row],[Freq]]</f>
        <v>90</v>
      </c>
      <c r="M1001" s="36">
        <f>IF(Table412[[#This Row],[Exist]]=1,Table412[[#This Row],[MAT]],"")</f>
        <v>1254482</v>
      </c>
      <c r="N1001" s="36">
        <f>IF(Table412[[#This Row],[Exist]]=1,Table412[[#This Row],[Component]],"")</f>
        <v>1208601</v>
      </c>
      <c r="O1001" s="36">
        <f>IFERROR(VALUE(Table412[[#This Row],[MAT]]&amp;Table412[[#This Row],[X'#]]),IF(COUNTIF(Table412[[#This Row],[MAT]],"*M"),Table412[[#This Row],[MAT]]&amp;Table412[[#This Row],[X'#]],""))</f>
        <v>12544826</v>
      </c>
    </row>
    <row r="1002" spans="1:15" x14ac:dyDescent="0.25">
      <c r="A1002" s="37">
        <f t="shared" si="16"/>
        <v>460</v>
      </c>
      <c r="C1002" s="38">
        <v>16</v>
      </c>
      <c r="D1002" s="36" t="s">
        <v>292</v>
      </c>
      <c r="E1002" s="36">
        <v>1254482</v>
      </c>
      <c r="F1002" s="36">
        <v>7</v>
      </c>
      <c r="G1002" s="36">
        <v>418525</v>
      </c>
      <c r="H1002" s="48" t="str">
        <f>IFERROR(INDEX(Table14[],MATCH($G1002,Table14[SAPNo],0),3),"")</f>
        <v>Drop In 1308 CT31   (B)</v>
      </c>
      <c r="I1002" s="37">
        <v>7</v>
      </c>
      <c r="J1002" s="37">
        <f>IF(Table412[[#This Row],[MAT]]&lt;&gt;"",COUNTIF(Table3[LEVEL 5 MAT NO.],Table412[[#This Row],[MAT]]),"")</f>
        <v>1</v>
      </c>
      <c r="K1002" s="36">
        <f>IFERROR(INDEX(Table3[],MATCH($E1002,Table3[LEVEL 5 MAT NO.],0),2),0)</f>
        <v>6</v>
      </c>
      <c r="L1002" s="36">
        <f>Table412[[#This Row],[Quantity in BOM]]*Table412[[#This Row],[Freq]]</f>
        <v>42</v>
      </c>
      <c r="M1002" s="36">
        <f>IF(Table412[[#This Row],[Exist]]=1,Table412[[#This Row],[MAT]],"")</f>
        <v>1254482</v>
      </c>
      <c r="N1002" s="36">
        <f>IF(Table412[[#This Row],[Exist]]=1,Table412[[#This Row],[Component]],"")</f>
        <v>418525</v>
      </c>
      <c r="O1002" s="36">
        <f>IFERROR(VALUE(Table412[[#This Row],[MAT]]&amp;Table412[[#This Row],[X'#]]),IF(COUNTIF(Table412[[#This Row],[MAT]],"*M"),Table412[[#This Row],[MAT]]&amp;Table412[[#This Row],[X'#]],""))</f>
        <v>12544827</v>
      </c>
    </row>
    <row r="1003" spans="1:15" x14ac:dyDescent="0.25">
      <c r="A1003" s="37">
        <f t="shared" si="16"/>
        <v>466</v>
      </c>
      <c r="C1003" s="38">
        <v>12.25</v>
      </c>
      <c r="D1003" s="36" t="s">
        <v>287</v>
      </c>
      <c r="E1003" s="36">
        <v>1257458</v>
      </c>
      <c r="F1003" s="36">
        <v>1</v>
      </c>
      <c r="G1003" s="36">
        <v>1234679</v>
      </c>
      <c r="H1003" s="48" t="str">
        <f>IFERROR(INDEX(Table14[],MATCH($G1003,Table14[SAPNo],0),3),"")</f>
        <v>1613 CT164R U</v>
      </c>
      <c r="I1003" s="37">
        <v>30</v>
      </c>
      <c r="J1003" s="37">
        <f>IF(Table412[[#This Row],[MAT]]&lt;&gt;"",COUNTIF(Table3[LEVEL 5 MAT NO.],Table412[[#This Row],[MAT]]),"")</f>
        <v>1</v>
      </c>
      <c r="K1003" s="36">
        <f>IFERROR(INDEX(Table3[],MATCH($E1003,Table3[LEVEL 5 MAT NO.],0),2),0)</f>
        <v>4</v>
      </c>
      <c r="L1003" s="36">
        <f>Table412[[#This Row],[Quantity in BOM]]*Table412[[#This Row],[Freq]]</f>
        <v>120</v>
      </c>
      <c r="M1003" s="36">
        <f>IF(Table412[[#This Row],[Exist]]=1,Table412[[#This Row],[MAT]],"")</f>
        <v>1257458</v>
      </c>
      <c r="N1003" s="36">
        <f>IF(Table412[[#This Row],[Exist]]=1,Table412[[#This Row],[Component]],"")</f>
        <v>1234679</v>
      </c>
      <c r="O1003" s="36">
        <f>IFERROR(VALUE(Table412[[#This Row],[MAT]]&amp;Table412[[#This Row],[X'#]]),IF(COUNTIF(Table412[[#This Row],[MAT]],"*M"),Table412[[#This Row],[MAT]]&amp;Table412[[#This Row],[X'#]],""))</f>
        <v>12574581</v>
      </c>
    </row>
    <row r="1004" spans="1:15" x14ac:dyDescent="0.25">
      <c r="A1004" s="37">
        <f t="shared" si="16"/>
        <v>470</v>
      </c>
      <c r="C1004" s="38">
        <v>12.25</v>
      </c>
      <c r="D1004" s="36" t="s">
        <v>287</v>
      </c>
      <c r="E1004" s="36">
        <v>1257458</v>
      </c>
      <c r="F1004" s="36">
        <v>2</v>
      </c>
      <c r="G1004" s="36">
        <v>1130198</v>
      </c>
      <c r="H1004" s="48" t="str">
        <f>IFERROR(INDEX(Table14[],MATCH($G1004,Table14[SAPNo],0),3),"")</f>
        <v>Round 1613 CT182  0.018" (S)</v>
      </c>
      <c r="I1004" s="37">
        <v>21</v>
      </c>
      <c r="J1004" s="37">
        <f>IF(Table412[[#This Row],[MAT]]&lt;&gt;"",COUNTIF(Table3[LEVEL 5 MAT NO.],Table412[[#This Row],[MAT]]),"")</f>
        <v>1</v>
      </c>
      <c r="K1004" s="36">
        <f>IFERROR(INDEX(Table3[],MATCH($E1004,Table3[LEVEL 5 MAT NO.],0),2),0)</f>
        <v>4</v>
      </c>
      <c r="L1004" s="36">
        <f>Table412[[#This Row],[Quantity in BOM]]*Table412[[#This Row],[Freq]]</f>
        <v>84</v>
      </c>
      <c r="M1004" s="36">
        <f>IF(Table412[[#This Row],[Exist]]=1,Table412[[#This Row],[MAT]],"")</f>
        <v>1257458</v>
      </c>
      <c r="N1004" s="36">
        <f>IF(Table412[[#This Row],[Exist]]=1,Table412[[#This Row],[Component]],"")</f>
        <v>1130198</v>
      </c>
      <c r="O1004" s="36">
        <f>IFERROR(VALUE(Table412[[#This Row],[MAT]]&amp;Table412[[#This Row],[X'#]]),IF(COUNTIF(Table412[[#This Row],[MAT]],"*M"),Table412[[#This Row],[MAT]]&amp;Table412[[#This Row],[X'#]],""))</f>
        <v>12574582</v>
      </c>
    </row>
    <row r="1005" spans="1:15" x14ac:dyDescent="0.25">
      <c r="A1005" s="37">
        <f t="shared" si="16"/>
        <v>474</v>
      </c>
      <c r="C1005" s="38">
        <v>12.25</v>
      </c>
      <c r="D1005" s="36" t="s">
        <v>287</v>
      </c>
      <c r="E1005" s="36">
        <v>1257458</v>
      </c>
      <c r="F1005" s="36">
        <v>3</v>
      </c>
      <c r="G1005" s="36">
        <v>1208601</v>
      </c>
      <c r="H1005" s="48" t="str">
        <f>IFERROR(INDEX(Table14[],MATCH($G1005,Table14[SAPNo],0),3),"")</f>
        <v>1613 CT418 U-60</v>
      </c>
      <c r="I1005" s="37">
        <v>11</v>
      </c>
      <c r="J1005" s="37">
        <f>IF(Table412[[#This Row],[MAT]]&lt;&gt;"",COUNTIF(Table3[LEVEL 5 MAT NO.],Table412[[#This Row],[MAT]]),"")</f>
        <v>1</v>
      </c>
      <c r="K1005" s="36">
        <f>IFERROR(INDEX(Table3[],MATCH($E1005,Table3[LEVEL 5 MAT NO.],0),2),0)</f>
        <v>4</v>
      </c>
      <c r="L1005" s="36">
        <f>Table412[[#This Row],[Quantity in BOM]]*Table412[[#This Row],[Freq]]</f>
        <v>44</v>
      </c>
      <c r="M1005" s="36">
        <f>IF(Table412[[#This Row],[Exist]]=1,Table412[[#This Row],[MAT]],"")</f>
        <v>1257458</v>
      </c>
      <c r="N1005" s="36">
        <f>IF(Table412[[#This Row],[Exist]]=1,Table412[[#This Row],[Component]],"")</f>
        <v>1208601</v>
      </c>
      <c r="O1005" s="36">
        <f>IFERROR(VALUE(Table412[[#This Row],[MAT]]&amp;Table412[[#This Row],[X'#]]),IF(COUNTIF(Table412[[#This Row],[MAT]],"*M"),Table412[[#This Row],[MAT]]&amp;Table412[[#This Row],[X'#]],""))</f>
        <v>12574583</v>
      </c>
    </row>
    <row r="1006" spans="1:15" x14ac:dyDescent="0.25">
      <c r="A1006" s="37">
        <f t="shared" si="16"/>
        <v>478</v>
      </c>
      <c r="C1006" s="38">
        <v>12.25</v>
      </c>
      <c r="D1006" s="36" t="s">
        <v>287</v>
      </c>
      <c r="E1006" s="36">
        <v>1257458</v>
      </c>
      <c r="F1006" s="36">
        <v>4</v>
      </c>
      <c r="G1006" s="36">
        <v>1244957</v>
      </c>
      <c r="H1006" s="48" t="str">
        <f>IFERROR(INDEX(Table14[],MATCH($G1006,Table14[SAPNo],0),3),"")</f>
        <v>1613 CT418 DER</v>
      </c>
      <c r="I1006" s="37">
        <v>8</v>
      </c>
      <c r="J1006" s="37">
        <f>IF(Table412[[#This Row],[MAT]]&lt;&gt;"",COUNTIF(Table3[LEVEL 5 MAT NO.],Table412[[#This Row],[MAT]]),"")</f>
        <v>1</v>
      </c>
      <c r="K1006" s="36">
        <f>IFERROR(INDEX(Table3[],MATCH($E1006,Table3[LEVEL 5 MAT NO.],0),2),0)</f>
        <v>4</v>
      </c>
      <c r="L1006" s="36">
        <f>Table412[[#This Row],[Quantity in BOM]]*Table412[[#This Row],[Freq]]</f>
        <v>32</v>
      </c>
      <c r="M1006" s="36">
        <f>IF(Table412[[#This Row],[Exist]]=1,Table412[[#This Row],[MAT]],"")</f>
        <v>1257458</v>
      </c>
      <c r="N1006" s="36">
        <f>IF(Table412[[#This Row],[Exist]]=1,Table412[[#This Row],[Component]],"")</f>
        <v>1244957</v>
      </c>
      <c r="O1006" s="36">
        <f>IFERROR(VALUE(Table412[[#This Row],[MAT]]&amp;Table412[[#This Row],[X'#]]),IF(COUNTIF(Table412[[#This Row],[MAT]],"*M"),Table412[[#This Row],[MAT]]&amp;Table412[[#This Row],[X'#]],""))</f>
        <v>12574584</v>
      </c>
    </row>
    <row r="1007" spans="1:15" x14ac:dyDescent="0.25">
      <c r="A1007" s="37">
        <f t="shared" si="16"/>
        <v>482</v>
      </c>
      <c r="C1007" s="38">
        <v>12.25</v>
      </c>
      <c r="D1007" s="36" t="s">
        <v>287</v>
      </c>
      <c r="E1007" s="36">
        <v>1257458</v>
      </c>
      <c r="F1007" s="36">
        <v>5</v>
      </c>
      <c r="G1007" s="36">
        <v>871781</v>
      </c>
      <c r="H1007" s="48" t="str">
        <f>IFERROR(INDEX(Table14[],MATCH($G1007,Table14[SAPNo],0),3),"")</f>
        <v>Round 1313 CT200  0.018" (B)</v>
      </c>
      <c r="I1007" s="37">
        <v>7</v>
      </c>
      <c r="J1007" s="37">
        <f>IF(Table412[[#This Row],[MAT]]&lt;&gt;"",COUNTIF(Table3[LEVEL 5 MAT NO.],Table412[[#This Row],[MAT]]),"")</f>
        <v>1</v>
      </c>
      <c r="K1007" s="36">
        <f>IFERROR(INDEX(Table3[],MATCH($E1007,Table3[LEVEL 5 MAT NO.],0),2),0)</f>
        <v>4</v>
      </c>
      <c r="L1007" s="36">
        <f>Table412[[#This Row],[Quantity in BOM]]*Table412[[#This Row],[Freq]]</f>
        <v>28</v>
      </c>
      <c r="M1007" s="36">
        <f>IF(Table412[[#This Row],[Exist]]=1,Table412[[#This Row],[MAT]],"")</f>
        <v>1257458</v>
      </c>
      <c r="N1007" s="36">
        <f>IF(Table412[[#This Row],[Exist]]=1,Table412[[#This Row],[Component]],"")</f>
        <v>871781</v>
      </c>
      <c r="O1007" s="36">
        <f>IFERROR(VALUE(Table412[[#This Row],[MAT]]&amp;Table412[[#This Row],[X'#]]),IF(COUNTIF(Table412[[#This Row],[MAT]],"*M"),Table412[[#This Row],[MAT]]&amp;Table412[[#This Row],[X'#]],""))</f>
        <v>12574585</v>
      </c>
    </row>
    <row r="1008" spans="1:15" x14ac:dyDescent="0.25">
      <c r="A1008" s="37">
        <f t="shared" si="16"/>
        <v>486</v>
      </c>
      <c r="C1008" s="38">
        <v>12.25</v>
      </c>
      <c r="D1008" s="36" t="s">
        <v>287</v>
      </c>
      <c r="E1008" s="36">
        <v>1257458</v>
      </c>
      <c r="F1008" s="36">
        <v>6</v>
      </c>
      <c r="G1008" s="36">
        <v>625854</v>
      </c>
      <c r="H1008" s="48" t="str">
        <f>IFERROR(INDEX(Table14[],MATCH($G1008,Table14[SAPNo],0),3),"")</f>
        <v>Carbide IA 1318    (C)</v>
      </c>
      <c r="I1008" s="37">
        <v>6</v>
      </c>
      <c r="J1008" s="37">
        <f>IF(Table412[[#This Row],[MAT]]&lt;&gt;"",COUNTIF(Table3[LEVEL 5 MAT NO.],Table412[[#This Row],[MAT]]),"")</f>
        <v>1</v>
      </c>
      <c r="K1008" s="36">
        <f>IFERROR(INDEX(Table3[],MATCH($E1008,Table3[LEVEL 5 MAT NO.],0),2),0)</f>
        <v>4</v>
      </c>
      <c r="L1008" s="36">
        <f>Table412[[#This Row],[Quantity in BOM]]*Table412[[#This Row],[Freq]]</f>
        <v>24</v>
      </c>
      <c r="M1008" s="36">
        <f>IF(Table412[[#This Row],[Exist]]=1,Table412[[#This Row],[MAT]],"")</f>
        <v>1257458</v>
      </c>
      <c r="N1008" s="36">
        <f>IF(Table412[[#This Row],[Exist]]=1,Table412[[#This Row],[Component]],"")</f>
        <v>625854</v>
      </c>
      <c r="O1008" s="36">
        <f>IFERROR(VALUE(Table412[[#This Row],[MAT]]&amp;Table412[[#This Row],[X'#]]),IF(COUNTIF(Table412[[#This Row],[MAT]],"*M"),Table412[[#This Row],[MAT]]&amp;Table412[[#This Row],[X'#]],""))</f>
        <v>12574586</v>
      </c>
    </row>
    <row r="1009" spans="1:15" x14ac:dyDescent="0.25">
      <c r="A1009" s="37">
        <f t="shared" si="16"/>
        <v>490</v>
      </c>
      <c r="C1009" s="38">
        <v>12.25</v>
      </c>
      <c r="D1009" s="36" t="s">
        <v>287</v>
      </c>
      <c r="E1009" s="36">
        <v>1257458</v>
      </c>
      <c r="F1009" s="36">
        <v>7</v>
      </c>
      <c r="G1009" s="36">
        <v>1231982</v>
      </c>
      <c r="H1009" s="48" t="str">
        <f>IFERROR(INDEX(Table14[],MATCH($G1009,Table14[SAPNo],0),3),"")</f>
        <v>1613 CT164 U</v>
      </c>
      <c r="I1009" s="37">
        <v>6</v>
      </c>
      <c r="J1009" s="37">
        <f>IF(Table412[[#This Row],[MAT]]&lt;&gt;"",COUNTIF(Table3[LEVEL 5 MAT NO.],Table412[[#This Row],[MAT]]),"")</f>
        <v>1</v>
      </c>
      <c r="K1009" s="36">
        <f>IFERROR(INDEX(Table3[],MATCH($E1009,Table3[LEVEL 5 MAT NO.],0),2),0)</f>
        <v>4</v>
      </c>
      <c r="L1009" s="36">
        <f>Table412[[#This Row],[Quantity in BOM]]*Table412[[#This Row],[Freq]]</f>
        <v>24</v>
      </c>
      <c r="M1009" s="36">
        <f>IF(Table412[[#This Row],[Exist]]=1,Table412[[#This Row],[MAT]],"")</f>
        <v>1257458</v>
      </c>
      <c r="N1009" s="36">
        <f>IF(Table412[[#This Row],[Exist]]=1,Table412[[#This Row],[Component]],"")</f>
        <v>1231982</v>
      </c>
      <c r="O1009" s="36">
        <f>IFERROR(VALUE(Table412[[#This Row],[MAT]]&amp;Table412[[#This Row],[X'#]]),IF(COUNTIF(Table412[[#This Row],[MAT]],"*M"),Table412[[#This Row],[MAT]]&amp;Table412[[#This Row],[X'#]],""))</f>
        <v>12574587</v>
      </c>
    </row>
    <row r="1010" spans="1:15" x14ac:dyDescent="0.25">
      <c r="A1010" s="37">
        <f t="shared" si="16"/>
        <v>494</v>
      </c>
      <c r="C1010" s="38">
        <v>12</v>
      </c>
      <c r="D1010" s="36" t="s">
        <v>286</v>
      </c>
      <c r="E1010" s="36">
        <v>1269308</v>
      </c>
      <c r="F1010" s="36">
        <v>1</v>
      </c>
      <c r="G1010" s="36">
        <v>1271790</v>
      </c>
      <c r="H1010" s="48" t="str">
        <f>IFERROR(INDEX(Table14[],MATCH($G1010,Table14[SAPNo],0),3),"")</f>
        <v xml:space="preserve">1613 CT170 18-60 </v>
      </c>
      <c r="I1010" s="37">
        <v>30</v>
      </c>
      <c r="J1010" s="37">
        <f>IF(Table412[[#This Row],[MAT]]&lt;&gt;"",COUNTIF(Table3[LEVEL 5 MAT NO.],Table412[[#This Row],[MAT]]),"")</f>
        <v>1</v>
      </c>
      <c r="K1010" s="36">
        <f>IFERROR(INDEX(Table3[],MATCH($E1010,Table3[LEVEL 5 MAT NO.],0),2),0)</f>
        <v>1</v>
      </c>
      <c r="L1010" s="36">
        <f>Table412[[#This Row],[Quantity in BOM]]*Table412[[#This Row],[Freq]]</f>
        <v>30</v>
      </c>
      <c r="M1010" s="36">
        <f>IF(Table412[[#This Row],[Exist]]=1,Table412[[#This Row],[MAT]],"")</f>
        <v>1269308</v>
      </c>
      <c r="N1010" s="36">
        <f>IF(Table412[[#This Row],[Exist]]=1,Table412[[#This Row],[Component]],"")</f>
        <v>1271790</v>
      </c>
      <c r="O1010" s="36">
        <f>IFERROR(VALUE(Table412[[#This Row],[MAT]]&amp;Table412[[#This Row],[X'#]]),IF(COUNTIF(Table412[[#This Row],[MAT]],"*M"),Table412[[#This Row],[MAT]]&amp;Table412[[#This Row],[X'#]],""))</f>
        <v>12693081</v>
      </c>
    </row>
    <row r="1011" spans="1:15" x14ac:dyDescent="0.25">
      <c r="A1011" s="37">
        <f t="shared" si="16"/>
        <v>495</v>
      </c>
      <c r="C1011" s="38">
        <v>12</v>
      </c>
      <c r="D1011" s="36" t="s">
        <v>286</v>
      </c>
      <c r="E1011" s="36">
        <v>1269308</v>
      </c>
      <c r="F1011" s="36">
        <v>2</v>
      </c>
      <c r="G1011" s="36">
        <v>1130196</v>
      </c>
      <c r="H1011" s="48" t="str">
        <f>IFERROR(INDEX(Table14[],MATCH($G1011,Table14[SAPNo],0),3),"")</f>
        <v>Round 1313 CT182  0.018" (S)</v>
      </c>
      <c r="I1011" s="37">
        <v>22</v>
      </c>
      <c r="J1011" s="37">
        <f>IF(Table412[[#This Row],[MAT]]&lt;&gt;"",COUNTIF(Table3[LEVEL 5 MAT NO.],Table412[[#This Row],[MAT]]),"")</f>
        <v>1</v>
      </c>
      <c r="K1011" s="36">
        <f>IFERROR(INDEX(Table3[],MATCH($E1011,Table3[LEVEL 5 MAT NO.],0),2),0)</f>
        <v>1</v>
      </c>
      <c r="L1011" s="36">
        <f>Table412[[#This Row],[Quantity in BOM]]*Table412[[#This Row],[Freq]]</f>
        <v>22</v>
      </c>
      <c r="M1011" s="36">
        <f>IF(Table412[[#This Row],[Exist]]=1,Table412[[#This Row],[MAT]],"")</f>
        <v>1269308</v>
      </c>
      <c r="N1011" s="36">
        <f>IF(Table412[[#This Row],[Exist]]=1,Table412[[#This Row],[Component]],"")</f>
        <v>1130196</v>
      </c>
      <c r="O1011" s="36">
        <f>IFERROR(VALUE(Table412[[#This Row],[MAT]]&amp;Table412[[#This Row],[X'#]]),IF(COUNTIF(Table412[[#This Row],[MAT]],"*M"),Table412[[#This Row],[MAT]]&amp;Table412[[#This Row],[X'#]],""))</f>
        <v>12693082</v>
      </c>
    </row>
    <row r="1012" spans="1:15" x14ac:dyDescent="0.25">
      <c r="A1012" s="37">
        <f t="shared" si="16"/>
        <v>496</v>
      </c>
      <c r="C1012" s="38">
        <v>12</v>
      </c>
      <c r="D1012" s="36" t="s">
        <v>286</v>
      </c>
      <c r="E1012" s="36">
        <v>1269308</v>
      </c>
      <c r="F1012" s="36">
        <v>3</v>
      </c>
      <c r="G1012" s="36">
        <v>1146737</v>
      </c>
      <c r="H1012" s="48" t="str">
        <f>IFERROR(INDEX(Table14[],MATCH($G1012,Table14[SAPNo],0),3),"")</f>
        <v>1613 CT418 18-60</v>
      </c>
      <c r="I1012" s="37">
        <v>10</v>
      </c>
      <c r="J1012" s="37">
        <f>IF(Table412[[#This Row],[MAT]]&lt;&gt;"",COUNTIF(Table3[LEVEL 5 MAT NO.],Table412[[#This Row],[MAT]]),"")</f>
        <v>1</v>
      </c>
      <c r="K1012" s="36">
        <f>IFERROR(INDEX(Table3[],MATCH($E1012,Table3[LEVEL 5 MAT NO.],0),2),0)</f>
        <v>1</v>
      </c>
      <c r="L1012" s="36">
        <f>Table412[[#This Row],[Quantity in BOM]]*Table412[[#This Row],[Freq]]</f>
        <v>10</v>
      </c>
      <c r="M1012" s="36">
        <f>IF(Table412[[#This Row],[Exist]]=1,Table412[[#This Row],[MAT]],"")</f>
        <v>1269308</v>
      </c>
      <c r="N1012" s="36">
        <f>IF(Table412[[#This Row],[Exist]]=1,Table412[[#This Row],[Component]],"")</f>
        <v>1146737</v>
      </c>
      <c r="O1012" s="36">
        <f>IFERROR(VALUE(Table412[[#This Row],[MAT]]&amp;Table412[[#This Row],[X'#]]),IF(COUNTIF(Table412[[#This Row],[MAT]],"*M"),Table412[[#This Row],[MAT]]&amp;Table412[[#This Row],[X'#]],""))</f>
        <v>12693083</v>
      </c>
    </row>
    <row r="1013" spans="1:15" x14ac:dyDescent="0.25">
      <c r="A1013" s="37">
        <f t="shared" si="16"/>
        <v>497</v>
      </c>
      <c r="C1013" s="38">
        <v>12</v>
      </c>
      <c r="D1013" s="36" t="s">
        <v>286</v>
      </c>
      <c r="E1013" s="36">
        <v>1269308</v>
      </c>
      <c r="F1013" s="36">
        <v>4</v>
      </c>
      <c r="G1013" s="36">
        <v>1209410</v>
      </c>
      <c r="H1013" s="48" t="str">
        <f>IFERROR(INDEX(Table14[],MATCH($G1013,Table14[SAPNo],0),3),"")</f>
        <v>1613 CT430MV3 U TBO</v>
      </c>
      <c r="I1013" s="37">
        <v>10</v>
      </c>
      <c r="J1013" s="37">
        <f>IF(Table412[[#This Row],[MAT]]&lt;&gt;"",COUNTIF(Table3[LEVEL 5 MAT NO.],Table412[[#This Row],[MAT]]),"")</f>
        <v>1</v>
      </c>
      <c r="K1013" s="36">
        <f>IFERROR(INDEX(Table3[],MATCH($E1013,Table3[LEVEL 5 MAT NO.],0),2),0)</f>
        <v>1</v>
      </c>
      <c r="L1013" s="36">
        <f>Table412[[#This Row],[Quantity in BOM]]*Table412[[#This Row],[Freq]]</f>
        <v>10</v>
      </c>
      <c r="M1013" s="36">
        <f>IF(Table412[[#This Row],[Exist]]=1,Table412[[#This Row],[MAT]],"")</f>
        <v>1269308</v>
      </c>
      <c r="N1013" s="36">
        <f>IF(Table412[[#This Row],[Exist]]=1,Table412[[#This Row],[Component]],"")</f>
        <v>1209410</v>
      </c>
      <c r="O1013" s="36">
        <f>IFERROR(VALUE(Table412[[#This Row],[MAT]]&amp;Table412[[#This Row],[X'#]]),IF(COUNTIF(Table412[[#This Row],[MAT]],"*M"),Table412[[#This Row],[MAT]]&amp;Table412[[#This Row],[X'#]],""))</f>
        <v>12693084</v>
      </c>
    </row>
    <row r="1014" spans="1:15" x14ac:dyDescent="0.25">
      <c r="A1014" s="37">
        <f t="shared" si="16"/>
        <v>498</v>
      </c>
      <c r="C1014" s="38">
        <v>12</v>
      </c>
      <c r="D1014" s="36" t="s">
        <v>286</v>
      </c>
      <c r="E1014" s="36">
        <v>1269308</v>
      </c>
      <c r="F1014" s="36">
        <v>5</v>
      </c>
      <c r="G1014" s="36">
        <v>871781</v>
      </c>
      <c r="H1014" s="48" t="str">
        <f>IFERROR(INDEX(Table14[],MATCH($G1014,Table14[SAPNo],0),3),"")</f>
        <v>Round 1313 CT200  0.018" (B)</v>
      </c>
      <c r="I1014" s="37">
        <v>5</v>
      </c>
      <c r="J1014" s="37">
        <f>IF(Table412[[#This Row],[MAT]]&lt;&gt;"",COUNTIF(Table3[LEVEL 5 MAT NO.],Table412[[#This Row],[MAT]]),"")</f>
        <v>1</v>
      </c>
      <c r="K1014" s="36">
        <f>IFERROR(INDEX(Table3[],MATCH($E1014,Table3[LEVEL 5 MAT NO.],0),2),0)</f>
        <v>1</v>
      </c>
      <c r="L1014" s="36">
        <f>Table412[[#This Row],[Quantity in BOM]]*Table412[[#This Row],[Freq]]</f>
        <v>5</v>
      </c>
      <c r="M1014" s="36">
        <f>IF(Table412[[#This Row],[Exist]]=1,Table412[[#This Row],[MAT]],"")</f>
        <v>1269308</v>
      </c>
      <c r="N1014" s="36">
        <f>IF(Table412[[#This Row],[Exist]]=1,Table412[[#This Row],[Component]],"")</f>
        <v>871781</v>
      </c>
      <c r="O1014" s="36">
        <f>IFERROR(VALUE(Table412[[#This Row],[MAT]]&amp;Table412[[#This Row],[X'#]]),IF(COUNTIF(Table412[[#This Row],[MAT]],"*M"),Table412[[#This Row],[MAT]]&amp;Table412[[#This Row],[X'#]],""))</f>
        <v>12693085</v>
      </c>
    </row>
    <row r="1015" spans="1:15" x14ac:dyDescent="0.25">
      <c r="A1015" s="37">
        <f t="shared" si="16"/>
        <v>499</v>
      </c>
      <c r="C1015" s="38">
        <v>16</v>
      </c>
      <c r="D1015" s="36" t="s">
        <v>288</v>
      </c>
      <c r="E1015" s="36" t="s">
        <v>652</v>
      </c>
      <c r="F1015" s="36">
        <v>1</v>
      </c>
      <c r="G1015" s="36">
        <v>1130198</v>
      </c>
      <c r="H1015" s="48" t="str">
        <f>IFERROR(INDEX(Table14[],MATCH($G1015,Table14[SAPNo],0),3),"")</f>
        <v>Round 1613 CT182  0.018" (S)</v>
      </c>
      <c r="I1015" s="37">
        <v>147</v>
      </c>
      <c r="J1015" s="37">
        <f>IF(Table412[[#This Row],[MAT]]&lt;&gt;"",COUNTIF(Table3[LEVEL 5 MAT NO.],Table412[[#This Row],[MAT]]),"")</f>
        <v>1</v>
      </c>
      <c r="K1015" s="36">
        <f>IFERROR(INDEX(Table3[],MATCH($E1015,Table3[LEVEL 5 MAT NO.],0),2),0)</f>
        <v>0</v>
      </c>
      <c r="L1015" s="36">
        <f>Table412[[#This Row],[Quantity in BOM]]*Table412[[#This Row],[Freq]]</f>
        <v>0</v>
      </c>
      <c r="M1015" s="36" t="str">
        <f>IF(Table412[[#This Row],[Exist]]=1,Table412[[#This Row],[MAT]],"")</f>
        <v>1239258M</v>
      </c>
      <c r="N1015" s="36">
        <f>IF(Table412[[#This Row],[Exist]]=1,Table412[[#This Row],[Component]],"")</f>
        <v>1130198</v>
      </c>
      <c r="O1015" s="36" t="str">
        <f>IFERROR(VALUE(Table412[[#This Row],[MAT]]&amp;Table412[[#This Row],[X'#]]),IF(COUNTIF(Table412[[#This Row],[MAT]],"*M"),Table412[[#This Row],[MAT]]&amp;Table412[[#This Row],[X'#]],""))</f>
        <v>1239258M1</v>
      </c>
    </row>
    <row r="1016" spans="1:15" x14ac:dyDescent="0.25">
      <c r="A1016" s="37">
        <f t="shared" si="16"/>
        <v>499</v>
      </c>
      <c r="C1016" s="38">
        <v>16</v>
      </c>
      <c r="D1016" s="36" t="s">
        <v>288</v>
      </c>
      <c r="E1016" s="36" t="s">
        <v>652</v>
      </c>
      <c r="F1016" s="36">
        <v>2</v>
      </c>
      <c r="G1016" s="36">
        <v>418525</v>
      </c>
      <c r="H1016" s="48" t="str">
        <f>IFERROR(INDEX(Table14[],MATCH($G1016,Table14[SAPNo],0),3),"")</f>
        <v>Drop In 1308 CT31   (B)</v>
      </c>
      <c r="I1016" s="37">
        <v>8</v>
      </c>
      <c r="J1016" s="37">
        <f>IF(Table412[[#This Row],[MAT]]&lt;&gt;"",COUNTIF(Table3[LEVEL 5 MAT NO.],Table412[[#This Row],[MAT]]),"")</f>
        <v>1</v>
      </c>
      <c r="K1016" s="36">
        <f>IFERROR(INDEX(Table3[],MATCH($E1016,Table3[LEVEL 5 MAT NO.],0),2),0)</f>
        <v>0</v>
      </c>
      <c r="L1016" s="36">
        <f>Table412[[#This Row],[Quantity in BOM]]*Table412[[#This Row],[Freq]]</f>
        <v>0</v>
      </c>
      <c r="M1016" s="36" t="str">
        <f>IF(Table412[[#This Row],[Exist]]=1,Table412[[#This Row],[MAT]],"")</f>
        <v>1239258M</v>
      </c>
      <c r="N1016" s="36">
        <f>IF(Table412[[#This Row],[Exist]]=1,Table412[[#This Row],[Component]],"")</f>
        <v>418525</v>
      </c>
      <c r="O1016" s="36" t="str">
        <f>IFERROR(VALUE(Table412[[#This Row],[MAT]]&amp;Table412[[#This Row],[X'#]]),IF(COUNTIF(Table412[[#This Row],[MAT]],"*M"),Table412[[#This Row],[MAT]]&amp;Table412[[#This Row],[X'#]],""))</f>
        <v>1239258M2</v>
      </c>
    </row>
    <row r="1017" spans="1:15" x14ac:dyDescent="0.25">
      <c r="A1017" s="37">
        <f t="shared" si="16"/>
        <v>499</v>
      </c>
      <c r="C1017" s="38">
        <v>12</v>
      </c>
      <c r="D1017" s="36" t="s">
        <v>682</v>
      </c>
      <c r="E1017" s="36">
        <v>1251627</v>
      </c>
      <c r="F1017" s="36">
        <v>1</v>
      </c>
      <c r="G1017" s="36">
        <v>708306</v>
      </c>
      <c r="H1017" s="48" t="str">
        <f>IFERROR(INDEX(Table14[],MATCH($G1017,Table14[SAPNo],0),3),"")</f>
        <v>Round 1913 CT200  0.018" (B)</v>
      </c>
      <c r="I1017" s="37">
        <v>34</v>
      </c>
      <c r="J1017" s="37">
        <f>IF(Table412[[#This Row],[MAT]]&lt;&gt;"",COUNTIF(Table3[LEVEL 5 MAT NO.],Table412[[#This Row],[MAT]]),"")</f>
        <v>1</v>
      </c>
      <c r="K1017" s="36">
        <f>IFERROR(INDEX(Table3[],MATCH($E1017,Table3[LEVEL 5 MAT NO.],0),2),0)</f>
        <v>3</v>
      </c>
      <c r="L1017" s="36">
        <f>Table412[[#This Row],[Quantity in BOM]]*Table412[[#This Row],[Freq]]</f>
        <v>102</v>
      </c>
      <c r="M1017" s="36">
        <f>IF(Table412[[#This Row],[Exist]]=1,Table412[[#This Row],[MAT]],"")</f>
        <v>1251627</v>
      </c>
      <c r="N1017" s="36">
        <f>IF(Table412[[#This Row],[Exist]]=1,Table412[[#This Row],[Component]],"")</f>
        <v>708306</v>
      </c>
      <c r="O1017" s="36">
        <f>IFERROR(VALUE(Table412[[#This Row],[MAT]]&amp;Table412[[#This Row],[X'#]]),IF(COUNTIF(Table412[[#This Row],[MAT]],"*M"),Table412[[#This Row],[MAT]]&amp;Table412[[#This Row],[X'#]],""))</f>
        <v>12516271</v>
      </c>
    </row>
    <row r="1018" spans="1:15" x14ac:dyDescent="0.25">
      <c r="A1018" s="37">
        <f t="shared" si="16"/>
        <v>502</v>
      </c>
      <c r="C1018" s="38">
        <v>12</v>
      </c>
      <c r="D1018" s="36" t="s">
        <v>682</v>
      </c>
      <c r="E1018" s="36">
        <v>1251627</v>
      </c>
      <c r="F1018" s="36">
        <v>2</v>
      </c>
      <c r="G1018" s="36">
        <v>1250971</v>
      </c>
      <c r="H1018" s="48" t="str">
        <f>IFERROR(INDEX(Table14[],MATCH($G1018,Table14[SAPNo],0),3),"")</f>
        <v>1913 CT164R U</v>
      </c>
      <c r="I1018" s="37">
        <v>30</v>
      </c>
      <c r="J1018" s="37">
        <f>IF(Table412[[#This Row],[MAT]]&lt;&gt;"",COUNTIF(Table3[LEVEL 5 MAT NO.],Table412[[#This Row],[MAT]]),"")</f>
        <v>1</v>
      </c>
      <c r="K1018" s="36">
        <f>IFERROR(INDEX(Table3[],MATCH($E1018,Table3[LEVEL 5 MAT NO.],0),2),0)</f>
        <v>3</v>
      </c>
      <c r="L1018" s="36">
        <f>Table412[[#This Row],[Quantity in BOM]]*Table412[[#This Row],[Freq]]</f>
        <v>90</v>
      </c>
      <c r="M1018" s="36">
        <f>IF(Table412[[#This Row],[Exist]]=1,Table412[[#This Row],[MAT]],"")</f>
        <v>1251627</v>
      </c>
      <c r="N1018" s="36">
        <f>IF(Table412[[#This Row],[Exist]]=1,Table412[[#This Row],[Component]],"")</f>
        <v>1250971</v>
      </c>
      <c r="O1018" s="36">
        <f>IFERROR(VALUE(Table412[[#This Row],[MAT]]&amp;Table412[[#This Row],[X'#]]),IF(COUNTIF(Table412[[#This Row],[MAT]],"*M"),Table412[[#This Row],[MAT]]&amp;Table412[[#This Row],[X'#]],""))</f>
        <v>12516272</v>
      </c>
    </row>
    <row r="1019" spans="1:15" x14ac:dyDescent="0.25">
      <c r="A1019" s="37">
        <f t="shared" si="16"/>
        <v>505</v>
      </c>
      <c r="C1019" s="38">
        <v>12</v>
      </c>
      <c r="D1019" s="36" t="s">
        <v>682</v>
      </c>
      <c r="E1019" s="36">
        <v>1251627</v>
      </c>
      <c r="F1019" s="36">
        <v>3</v>
      </c>
      <c r="G1019" s="36">
        <v>1130200</v>
      </c>
      <c r="H1019" s="48" t="str">
        <f>IFERROR(INDEX(Table14[],MATCH($G1019,Table14[SAPNo],0),3),"")</f>
        <v>Round 1913 CT182  0.018" (S)</v>
      </c>
      <c r="I1019" s="37">
        <v>18</v>
      </c>
      <c r="J1019" s="37">
        <f>IF(Table412[[#This Row],[MAT]]&lt;&gt;"",COUNTIF(Table3[LEVEL 5 MAT NO.],Table412[[#This Row],[MAT]]),"")</f>
        <v>1</v>
      </c>
      <c r="K1019" s="36">
        <f>IFERROR(INDEX(Table3[],MATCH($E1019,Table3[LEVEL 5 MAT NO.],0),2),0)</f>
        <v>3</v>
      </c>
      <c r="L1019" s="36">
        <f>Table412[[#This Row],[Quantity in BOM]]*Table412[[#This Row],[Freq]]</f>
        <v>54</v>
      </c>
      <c r="M1019" s="36">
        <f>IF(Table412[[#This Row],[Exist]]=1,Table412[[#This Row],[MAT]],"")</f>
        <v>1251627</v>
      </c>
      <c r="N1019" s="36">
        <f>IF(Table412[[#This Row],[Exist]]=1,Table412[[#This Row],[Component]],"")</f>
        <v>1130200</v>
      </c>
      <c r="O1019" s="36">
        <f>IFERROR(VALUE(Table412[[#This Row],[MAT]]&amp;Table412[[#This Row],[X'#]]),IF(COUNTIF(Table412[[#This Row],[MAT]],"*M"),Table412[[#This Row],[MAT]]&amp;Table412[[#This Row],[X'#]],""))</f>
        <v>12516273</v>
      </c>
    </row>
    <row r="1020" spans="1:15" x14ac:dyDescent="0.25">
      <c r="A1020" s="37">
        <f t="shared" si="16"/>
        <v>508</v>
      </c>
      <c r="C1020" s="38">
        <v>12</v>
      </c>
      <c r="D1020" s="36" t="s">
        <v>682</v>
      </c>
      <c r="E1020" s="36">
        <v>1251627</v>
      </c>
      <c r="F1020" s="36">
        <v>4</v>
      </c>
      <c r="G1020" s="36">
        <v>1146737</v>
      </c>
      <c r="H1020" s="48" t="str">
        <f>IFERROR(INDEX(Table14[],MATCH($G1020,Table14[SAPNo],0),3),"")</f>
        <v>1613 CT418 18-60</v>
      </c>
      <c r="I1020" s="37">
        <v>9</v>
      </c>
      <c r="J1020" s="37">
        <f>IF(Table412[[#This Row],[MAT]]&lt;&gt;"",COUNTIF(Table3[LEVEL 5 MAT NO.],Table412[[#This Row],[MAT]]),"")</f>
        <v>1</v>
      </c>
      <c r="K1020" s="36">
        <f>IFERROR(INDEX(Table3[],MATCH($E1020,Table3[LEVEL 5 MAT NO.],0),2),0)</f>
        <v>3</v>
      </c>
      <c r="L1020" s="36">
        <f>Table412[[#This Row],[Quantity in BOM]]*Table412[[#This Row],[Freq]]</f>
        <v>27</v>
      </c>
      <c r="M1020" s="36">
        <f>IF(Table412[[#This Row],[Exist]]=1,Table412[[#This Row],[MAT]],"")</f>
        <v>1251627</v>
      </c>
      <c r="N1020" s="36">
        <f>IF(Table412[[#This Row],[Exist]]=1,Table412[[#This Row],[Component]],"")</f>
        <v>1146737</v>
      </c>
      <c r="O1020" s="36">
        <f>IFERROR(VALUE(Table412[[#This Row],[MAT]]&amp;Table412[[#This Row],[X'#]]),IF(COUNTIF(Table412[[#This Row],[MAT]],"*M"),Table412[[#This Row],[MAT]]&amp;Table412[[#This Row],[X'#]],""))</f>
        <v>12516274</v>
      </c>
    </row>
    <row r="1021" spans="1:15" x14ac:dyDescent="0.35">
      <c r="A1021" s="37">
        <f t="shared" si="16"/>
        <v>511</v>
      </c>
      <c r="C1021" s="38">
        <v>12</v>
      </c>
      <c r="D1021" s="458" t="s">
        <v>682</v>
      </c>
      <c r="E1021" s="36">
        <v>1251627</v>
      </c>
      <c r="F1021" s="36">
        <v>5</v>
      </c>
      <c r="G1021" s="36">
        <v>871781</v>
      </c>
      <c r="H1021" s="48" t="str">
        <f>IFERROR(INDEX(Table14[],MATCH($G1021,Table14[SAPNo],0),3),"")</f>
        <v>Round 1313 CT200  0.018" (B)</v>
      </c>
      <c r="I1021" s="37">
        <v>8</v>
      </c>
      <c r="J1021" s="37">
        <f>IF(Table412[[#This Row],[MAT]]&lt;&gt;"",COUNTIF(Table3[LEVEL 5 MAT NO.],Table412[[#This Row],[MAT]]),"")</f>
        <v>1</v>
      </c>
      <c r="K1021" s="36">
        <f>IFERROR(INDEX(Table3[],MATCH($E1021,Table3[LEVEL 5 MAT NO.],0),2),0)</f>
        <v>3</v>
      </c>
      <c r="L1021" s="36">
        <f>Table412[[#This Row],[Quantity in BOM]]*Table412[[#This Row],[Freq]]</f>
        <v>24</v>
      </c>
      <c r="M1021" s="36">
        <f>IF(Table412[[#This Row],[Exist]]=1,Table412[[#This Row],[MAT]],"")</f>
        <v>1251627</v>
      </c>
      <c r="N1021" s="36">
        <f>IF(Table412[[#This Row],[Exist]]=1,Table412[[#This Row],[Component]],"")</f>
        <v>871781</v>
      </c>
      <c r="O1021" s="36">
        <f>IFERROR(VALUE(Table412[[#This Row],[MAT]]&amp;Table412[[#This Row],[X'#]]),IF(COUNTIF(Table412[[#This Row],[MAT]],"*M"),Table412[[#This Row],[MAT]]&amp;Table412[[#This Row],[X'#]],""))</f>
        <v>12516275</v>
      </c>
    </row>
    <row r="1022" spans="1:15" x14ac:dyDescent="0.25">
      <c r="A1022" s="37">
        <f t="shared" si="16"/>
        <v>514</v>
      </c>
      <c r="C1022" s="38">
        <v>6</v>
      </c>
      <c r="D1022" s="36" t="s">
        <v>623</v>
      </c>
      <c r="E1022" s="36">
        <v>771779</v>
      </c>
      <c r="F1022" s="36">
        <v>1</v>
      </c>
      <c r="G1022" s="36">
        <v>1130219</v>
      </c>
      <c r="H1022" s="48" t="str">
        <f>IFERROR(INDEX(Table14[],MATCH($G1022,Table14[SAPNo],0),3),"")</f>
        <v>Round 1313 CT182  10C (S)</v>
      </c>
      <c r="I1022" s="37">
        <v>27</v>
      </c>
      <c r="J1022" s="37">
        <f>IF(Table412[[#This Row],[MAT]]&lt;&gt;"",COUNTIF(Table3[LEVEL 5 MAT NO.],Table412[[#This Row],[MAT]]),"")</f>
        <v>1</v>
      </c>
      <c r="K1022" s="36">
        <f>IFERROR(INDEX(Table3[],MATCH($E1022,Table3[LEVEL 5 MAT NO.],0),2),0)</f>
        <v>0</v>
      </c>
      <c r="L1022" s="36">
        <f>Table412[[#This Row],[Quantity in BOM]]*Table412[[#This Row],[Freq]]</f>
        <v>0</v>
      </c>
      <c r="M1022" s="36">
        <f>IF(Table412[[#This Row],[Exist]]=1,Table412[[#This Row],[MAT]],"")</f>
        <v>771779</v>
      </c>
      <c r="N1022" s="36">
        <f>IF(Table412[[#This Row],[Exist]]=1,Table412[[#This Row],[Component]],"")</f>
        <v>1130219</v>
      </c>
      <c r="O1022" s="36">
        <f>IFERROR(VALUE(Table412[[#This Row],[MAT]]&amp;Table412[[#This Row],[X'#]]),IF(COUNTIF(Table412[[#This Row],[MAT]],"*M"),Table412[[#This Row],[MAT]]&amp;Table412[[#This Row],[X'#]],""))</f>
        <v>7717791</v>
      </c>
    </row>
    <row r="1023" spans="1:15" x14ac:dyDescent="0.25">
      <c r="A1023" s="37">
        <f t="shared" si="16"/>
        <v>514</v>
      </c>
      <c r="C1023" s="38" t="s">
        <v>313</v>
      </c>
      <c r="D1023" s="36" t="s">
        <v>703</v>
      </c>
      <c r="E1023" s="36" t="s">
        <v>3733</v>
      </c>
      <c r="F1023" s="36">
        <v>1</v>
      </c>
      <c r="G1023" s="36">
        <v>1261319</v>
      </c>
      <c r="H1023" s="48" t="str">
        <f>IFERROR(INDEX(Table14[],MATCH($G1023,Table14[SAPNo],0),3),"")</f>
        <v>1308 CT155 U-60</v>
      </c>
      <c r="I1023" s="37">
        <v>21</v>
      </c>
      <c r="J1023" s="37">
        <f>IF(Table412[[#This Row],[MAT]]&lt;&gt;"",COUNTIF(Table3[LEVEL 5 MAT NO.],Table412[[#This Row],[MAT]]),"")</f>
        <v>0</v>
      </c>
      <c r="K1023" s="36">
        <f>IFERROR(INDEX(Table3[],MATCH($E1023,Table3[LEVEL 5 MAT NO.],0),2),0)</f>
        <v>0</v>
      </c>
      <c r="L1023" s="36">
        <f>Table412[[#This Row],[Quantity in BOM]]*Table412[[#This Row],[Freq]]</f>
        <v>0</v>
      </c>
      <c r="M1023" s="36" t="str">
        <f>IF(Table412[[#This Row],[Exist]]=1,Table412[[#This Row],[MAT]],"")</f>
        <v/>
      </c>
      <c r="N1023" s="36" t="str">
        <f>IF(Table412[[#This Row],[Exist]]=1,Table412[[#This Row],[Component]],"")</f>
        <v/>
      </c>
      <c r="O1023" s="36" t="str">
        <f>IFERROR(VALUE(Table412[[#This Row],[MAT]]&amp;Table412[[#This Row],[X'#]]),IF(COUNTIF(Table412[[#This Row],[MAT]],"*M"),Table412[[#This Row],[MAT]]&amp;Table412[[#This Row],[X'#]],""))</f>
        <v/>
      </c>
    </row>
    <row r="1024" spans="1:15" x14ac:dyDescent="0.25">
      <c r="A1024" s="37">
        <f t="shared" si="16"/>
        <v>514</v>
      </c>
      <c r="C1024" s="38" t="s">
        <v>313</v>
      </c>
      <c r="D1024" s="36" t="s">
        <v>703</v>
      </c>
      <c r="E1024" s="36" t="s">
        <v>3733</v>
      </c>
      <c r="F1024" s="36">
        <v>2</v>
      </c>
      <c r="G1024" s="36">
        <v>1255773</v>
      </c>
      <c r="H1024" s="48" t="str">
        <f>IFERROR(INDEX(Table14[],MATCH($G1024,Table14[SAPNo],0),3),"")</f>
        <v>1613 CT154 U­60</v>
      </c>
      <c r="I1024" s="37">
        <v>18</v>
      </c>
      <c r="J1024" s="37">
        <f>IF(Table412[[#This Row],[MAT]]&lt;&gt;"",COUNTIF(Table3[LEVEL 5 MAT NO.],Table412[[#This Row],[MAT]]),"")</f>
        <v>0</v>
      </c>
      <c r="K1024" s="36">
        <f>IFERROR(INDEX(Table3[],MATCH($E1024,Table3[LEVEL 5 MAT NO.],0),2),0)</f>
        <v>0</v>
      </c>
      <c r="L1024" s="36">
        <f>Table412[[#This Row],[Quantity in BOM]]*Table412[[#This Row],[Freq]]</f>
        <v>0</v>
      </c>
      <c r="M1024" s="36" t="str">
        <f>IF(Table412[[#This Row],[Exist]]=1,Table412[[#This Row],[MAT]],"")</f>
        <v/>
      </c>
      <c r="N1024" s="36" t="str">
        <f>IF(Table412[[#This Row],[Exist]]=1,Table412[[#This Row],[Component]],"")</f>
        <v/>
      </c>
      <c r="O1024" s="36" t="str">
        <f>IFERROR(VALUE(Table412[[#This Row],[MAT]]&amp;Table412[[#This Row],[X'#]]),IF(COUNTIF(Table412[[#This Row],[MAT]],"*M"),Table412[[#This Row],[MAT]]&amp;Table412[[#This Row],[X'#]],""))</f>
        <v/>
      </c>
    </row>
    <row r="1025" spans="1:15" x14ac:dyDescent="0.25">
      <c r="A1025" s="37">
        <f t="shared" si="16"/>
        <v>514</v>
      </c>
      <c r="C1025" s="38" t="s">
        <v>313</v>
      </c>
      <c r="D1025" s="36" t="s">
        <v>703</v>
      </c>
      <c r="E1025" s="36" t="s">
        <v>3733</v>
      </c>
      <c r="F1025" s="36">
        <v>3</v>
      </c>
      <c r="G1025" s="36">
        <v>1228502</v>
      </c>
      <c r="H1025" s="48" t="str">
        <f>IFERROR(INDEX(Table14[],MATCH($G1025,Table14[SAPNo],0),3),"")</f>
        <v>1618 CT182 U-60 Rotor</v>
      </c>
      <c r="I1025" s="37">
        <v>17</v>
      </c>
      <c r="J1025" s="37">
        <f>IF(Table412[[#This Row],[MAT]]&lt;&gt;"",COUNTIF(Table3[LEVEL 5 MAT NO.],Table412[[#This Row],[MAT]]),"")</f>
        <v>0</v>
      </c>
      <c r="K1025" s="36">
        <f>IFERROR(INDEX(Table3[],MATCH($E1025,Table3[LEVEL 5 MAT NO.],0),2),0)</f>
        <v>0</v>
      </c>
      <c r="L1025" s="36">
        <f>Table412[[#This Row],[Quantity in BOM]]*Table412[[#This Row],[Freq]]</f>
        <v>0</v>
      </c>
      <c r="M1025" s="36" t="str">
        <f>IF(Table412[[#This Row],[Exist]]=1,Table412[[#This Row],[MAT]],"")</f>
        <v/>
      </c>
      <c r="N1025" s="36" t="str">
        <f>IF(Table412[[#This Row],[Exist]]=1,Table412[[#This Row],[Component]],"")</f>
        <v/>
      </c>
      <c r="O1025" s="36" t="str">
        <f>IFERROR(VALUE(Table412[[#This Row],[MAT]]&amp;Table412[[#This Row],[X'#]]),IF(COUNTIF(Table412[[#This Row],[MAT]],"*M"),Table412[[#This Row],[MAT]]&amp;Table412[[#This Row],[X'#]],""))</f>
        <v/>
      </c>
    </row>
    <row r="1026" spans="1:15" x14ac:dyDescent="0.25">
      <c r="A1026" s="37">
        <f t="shared" si="16"/>
        <v>514</v>
      </c>
      <c r="C1026" s="38" t="s">
        <v>313</v>
      </c>
      <c r="D1026" s="36" t="s">
        <v>703</v>
      </c>
      <c r="E1026" s="36" t="s">
        <v>3733</v>
      </c>
      <c r="F1026" s="36">
        <v>4</v>
      </c>
      <c r="G1026" s="36">
        <v>871781</v>
      </c>
      <c r="H1026" s="48" t="str">
        <f>IFERROR(INDEX(Table14[],MATCH($G1026,Table14[SAPNo],0),3),"")</f>
        <v>Round 1313 CT200  0.018" (B)</v>
      </c>
      <c r="I1026" s="37">
        <v>7</v>
      </c>
      <c r="J1026" s="37">
        <f>IF(Table412[[#This Row],[MAT]]&lt;&gt;"",COUNTIF(Table3[LEVEL 5 MAT NO.],Table412[[#This Row],[MAT]]),"")</f>
        <v>0</v>
      </c>
      <c r="K1026" s="36">
        <f>IFERROR(INDEX(Table3[],MATCH($E1026,Table3[LEVEL 5 MAT NO.],0),2),0)</f>
        <v>0</v>
      </c>
      <c r="L1026" s="36">
        <f>Table412[[#This Row],[Quantity in BOM]]*Table412[[#This Row],[Freq]]</f>
        <v>0</v>
      </c>
      <c r="M1026" s="36" t="str">
        <f>IF(Table412[[#This Row],[Exist]]=1,Table412[[#This Row],[MAT]],"")</f>
        <v/>
      </c>
      <c r="N1026" s="36" t="str">
        <f>IF(Table412[[#This Row],[Exist]]=1,Table412[[#This Row],[Component]],"")</f>
        <v/>
      </c>
      <c r="O1026" s="36" t="str">
        <f>IFERROR(VALUE(Table412[[#This Row],[MAT]]&amp;Table412[[#This Row],[X'#]]),IF(COUNTIF(Table412[[#This Row],[MAT]],"*M"),Table412[[#This Row],[MAT]]&amp;Table412[[#This Row],[X'#]],""))</f>
        <v/>
      </c>
    </row>
    <row r="1027" spans="1:15" x14ac:dyDescent="0.25">
      <c r="A1027" s="37">
        <f t="shared" si="16"/>
        <v>514</v>
      </c>
      <c r="C1027" s="38" t="s">
        <v>313</v>
      </c>
      <c r="D1027" s="36" t="s">
        <v>703</v>
      </c>
      <c r="E1027" s="36" t="s">
        <v>3733</v>
      </c>
      <c r="F1027" s="36">
        <v>5</v>
      </c>
      <c r="G1027" s="36">
        <v>653400</v>
      </c>
      <c r="H1027" s="48" t="str">
        <f>IFERROR(INDEX(Table14[],MATCH($G1027,Table14[SAPNo],0),3),"")</f>
        <v>13MM WC­MAT404 NA</v>
      </c>
      <c r="I1027" s="37">
        <v>6</v>
      </c>
      <c r="J1027" s="37">
        <f>IF(Table412[[#This Row],[MAT]]&lt;&gt;"",COUNTIF(Table3[LEVEL 5 MAT NO.],Table412[[#This Row],[MAT]]),"")</f>
        <v>0</v>
      </c>
      <c r="K1027" s="36">
        <f>IFERROR(INDEX(Table3[],MATCH($E1027,Table3[LEVEL 5 MAT NO.],0),2),0)</f>
        <v>0</v>
      </c>
      <c r="L1027" s="36">
        <f>Table412[[#This Row],[Quantity in BOM]]*Table412[[#This Row],[Freq]]</f>
        <v>0</v>
      </c>
      <c r="M1027" s="36" t="str">
        <f>IF(Table412[[#This Row],[Exist]]=1,Table412[[#This Row],[MAT]],"")</f>
        <v/>
      </c>
      <c r="N1027" s="36" t="str">
        <f>IF(Table412[[#This Row],[Exist]]=1,Table412[[#This Row],[Component]],"")</f>
        <v/>
      </c>
      <c r="O1027" s="36" t="str">
        <f>IFERROR(VALUE(Table412[[#This Row],[MAT]]&amp;Table412[[#This Row],[X'#]]),IF(COUNTIF(Table412[[#This Row],[MAT]],"*M"),Table412[[#This Row],[MAT]]&amp;Table412[[#This Row],[X'#]],""))</f>
        <v/>
      </c>
    </row>
    <row r="1028" spans="1:15" x14ac:dyDescent="0.25">
      <c r="A1028" s="37">
        <f t="shared" ref="A1028:A1091" si="17">A1027+K1027</f>
        <v>514</v>
      </c>
      <c r="C1028" s="38" t="s">
        <v>313</v>
      </c>
      <c r="D1028" s="36" t="s">
        <v>703</v>
      </c>
      <c r="E1028" s="36" t="s">
        <v>3733</v>
      </c>
      <c r="F1028" s="36">
        <v>6</v>
      </c>
      <c r="G1028" s="36">
        <v>1168064</v>
      </c>
      <c r="H1028" s="48" t="str">
        <f>IFERROR(INDEX(Table14[],MATCH($G1028,Table14[SAPNo],0),3),"")</f>
        <v>1613 PMT 18C­60</v>
      </c>
      <c r="I1028" s="37">
        <v>6</v>
      </c>
      <c r="J1028" s="37">
        <f>IF(Table412[[#This Row],[MAT]]&lt;&gt;"",COUNTIF(Table3[LEVEL 5 MAT NO.],Table412[[#This Row],[MAT]]),"")</f>
        <v>0</v>
      </c>
      <c r="K1028" s="36">
        <f>IFERROR(INDEX(Table3[],MATCH($E1028,Table3[LEVEL 5 MAT NO.],0),2),0)</f>
        <v>0</v>
      </c>
      <c r="L1028" s="36">
        <f>Table412[[#This Row],[Quantity in BOM]]*Table412[[#This Row],[Freq]]</f>
        <v>0</v>
      </c>
      <c r="M1028" s="36" t="str">
        <f>IF(Table412[[#This Row],[Exist]]=1,Table412[[#This Row],[MAT]],"")</f>
        <v/>
      </c>
      <c r="N1028" s="36" t="str">
        <f>IF(Table412[[#This Row],[Exist]]=1,Table412[[#This Row],[Component]],"")</f>
        <v/>
      </c>
      <c r="O1028" s="36" t="str">
        <f>IFERROR(VALUE(Table412[[#This Row],[MAT]]&amp;Table412[[#This Row],[X'#]]),IF(COUNTIF(Table412[[#This Row],[MAT]],"*M"),Table412[[#This Row],[MAT]]&amp;Table412[[#This Row],[X'#]],""))</f>
        <v/>
      </c>
    </row>
    <row r="1029" spans="1:15" x14ac:dyDescent="0.25">
      <c r="A1029" s="37">
        <f t="shared" si="17"/>
        <v>514</v>
      </c>
      <c r="C1029" s="38" t="s">
        <v>313</v>
      </c>
      <c r="D1029" s="36" t="s">
        <v>645</v>
      </c>
      <c r="E1029" s="36">
        <v>1283630</v>
      </c>
      <c r="F1029" s="36">
        <v>1</v>
      </c>
      <c r="G1029" s="36">
        <v>1261319</v>
      </c>
      <c r="H1029" s="48" t="str">
        <f>IFERROR(INDEX(Table14[],MATCH($G1029,Table14[SAPNo],0),3),"")</f>
        <v>1308 CT155 U-60</v>
      </c>
      <c r="I1029" s="37">
        <v>22</v>
      </c>
      <c r="J1029" s="37">
        <f>IF(Table412[[#This Row],[MAT]]&lt;&gt;"",COUNTIF(Table3[LEVEL 5 MAT NO.],Table412[[#This Row],[MAT]]),"")</f>
        <v>1</v>
      </c>
      <c r="K1029" s="36">
        <f>IFERROR(INDEX(Table3[],MATCH($E1029,Table3[LEVEL 5 MAT NO.],0),2),0)</f>
        <v>7</v>
      </c>
      <c r="L1029" s="36">
        <f>Table412[[#This Row],[Quantity in BOM]]*Table412[[#This Row],[Freq]]</f>
        <v>154</v>
      </c>
      <c r="M1029" s="36">
        <f>IF(Table412[[#This Row],[Exist]]=1,Table412[[#This Row],[MAT]],"")</f>
        <v>1283630</v>
      </c>
      <c r="N1029" s="36">
        <f>IF(Table412[[#This Row],[Exist]]=1,Table412[[#This Row],[Component]],"")</f>
        <v>1261319</v>
      </c>
      <c r="O1029" s="36">
        <f>IFERROR(VALUE(Table412[[#This Row],[MAT]]&amp;Table412[[#This Row],[X'#]]),IF(COUNTIF(Table412[[#This Row],[MAT]],"*M"),Table412[[#This Row],[MAT]]&amp;Table412[[#This Row],[X'#]],""))</f>
        <v>12836301</v>
      </c>
    </row>
    <row r="1030" spans="1:15" x14ac:dyDescent="0.25">
      <c r="A1030" s="37">
        <f t="shared" si="17"/>
        <v>521</v>
      </c>
      <c r="C1030" s="38" t="s">
        <v>313</v>
      </c>
      <c r="D1030" s="36" t="s">
        <v>645</v>
      </c>
      <c r="E1030" s="36">
        <v>1283630</v>
      </c>
      <c r="F1030" s="36">
        <v>2</v>
      </c>
      <c r="G1030" s="36">
        <v>1255773</v>
      </c>
      <c r="H1030" s="48" t="str">
        <f>IFERROR(INDEX(Table14[],MATCH($G1030,Table14[SAPNo],0),3),"")</f>
        <v>1613 CT154 U­60</v>
      </c>
      <c r="I1030" s="37">
        <v>20</v>
      </c>
      <c r="J1030" s="37">
        <f>IF(Table412[[#This Row],[MAT]]&lt;&gt;"",COUNTIF(Table3[LEVEL 5 MAT NO.],Table412[[#This Row],[MAT]]),"")</f>
        <v>1</v>
      </c>
      <c r="K1030" s="36">
        <f>IFERROR(INDEX(Table3[],MATCH($E1030,Table3[LEVEL 5 MAT NO.],0),2),0)</f>
        <v>7</v>
      </c>
      <c r="L1030" s="36">
        <f>Table412[[#This Row],[Quantity in BOM]]*Table412[[#This Row],[Freq]]</f>
        <v>140</v>
      </c>
      <c r="M1030" s="36">
        <f>IF(Table412[[#This Row],[Exist]]=1,Table412[[#This Row],[MAT]],"")</f>
        <v>1283630</v>
      </c>
      <c r="N1030" s="36">
        <f>IF(Table412[[#This Row],[Exist]]=1,Table412[[#This Row],[Component]],"")</f>
        <v>1255773</v>
      </c>
      <c r="O1030" s="36">
        <f>IFERROR(VALUE(Table412[[#This Row],[MAT]]&amp;Table412[[#This Row],[X'#]]),IF(COUNTIF(Table412[[#This Row],[MAT]],"*M"),Table412[[#This Row],[MAT]]&amp;Table412[[#This Row],[X'#]],""))</f>
        <v>12836302</v>
      </c>
    </row>
    <row r="1031" spans="1:15" x14ac:dyDescent="0.25">
      <c r="A1031" s="37">
        <f t="shared" si="17"/>
        <v>528</v>
      </c>
      <c r="C1031" s="38" t="s">
        <v>313</v>
      </c>
      <c r="D1031" s="36" t="s">
        <v>645</v>
      </c>
      <c r="E1031" s="36">
        <v>1283630</v>
      </c>
      <c r="F1031" s="36">
        <v>3</v>
      </c>
      <c r="G1031" s="36">
        <v>1228502</v>
      </c>
      <c r="H1031" s="48" t="str">
        <f>IFERROR(INDEX(Table14[],MATCH($G1031,Table14[SAPNo],0),3),"")</f>
        <v>1618 CT182 U-60 Rotor</v>
      </c>
      <c r="I1031" s="37">
        <v>14</v>
      </c>
      <c r="J1031" s="37">
        <f>IF(Table412[[#This Row],[MAT]]&lt;&gt;"",COUNTIF(Table3[LEVEL 5 MAT NO.],Table412[[#This Row],[MAT]]),"")</f>
        <v>1</v>
      </c>
      <c r="K1031" s="36">
        <f>IFERROR(INDEX(Table3[],MATCH($E1031,Table3[LEVEL 5 MAT NO.],0),2),0)</f>
        <v>7</v>
      </c>
      <c r="L1031" s="36">
        <f>Table412[[#This Row],[Quantity in BOM]]*Table412[[#This Row],[Freq]]</f>
        <v>98</v>
      </c>
      <c r="M1031" s="36">
        <f>IF(Table412[[#This Row],[Exist]]=1,Table412[[#This Row],[MAT]],"")</f>
        <v>1283630</v>
      </c>
      <c r="N1031" s="36">
        <f>IF(Table412[[#This Row],[Exist]]=1,Table412[[#This Row],[Component]],"")</f>
        <v>1228502</v>
      </c>
      <c r="O1031" s="36">
        <f>IFERROR(VALUE(Table412[[#This Row],[MAT]]&amp;Table412[[#This Row],[X'#]]),IF(COUNTIF(Table412[[#This Row],[MAT]],"*M"),Table412[[#This Row],[MAT]]&amp;Table412[[#This Row],[X'#]],""))</f>
        <v>12836303</v>
      </c>
    </row>
    <row r="1032" spans="1:15" x14ac:dyDescent="0.25">
      <c r="A1032" s="37">
        <f t="shared" si="17"/>
        <v>535</v>
      </c>
      <c r="C1032" s="38" t="s">
        <v>313</v>
      </c>
      <c r="D1032" s="36" t="s">
        <v>645</v>
      </c>
      <c r="E1032" s="36">
        <v>1283630</v>
      </c>
      <c r="F1032" s="36">
        <v>4</v>
      </c>
      <c r="G1032" s="36">
        <v>871781</v>
      </c>
      <c r="H1032" s="48" t="str">
        <f>IFERROR(INDEX(Table14[],MATCH($G1032,Table14[SAPNo],0),3),"")</f>
        <v>Round 1313 CT200  0.018" (B)</v>
      </c>
      <c r="I1032" s="37">
        <v>6</v>
      </c>
      <c r="J1032" s="37">
        <f>IF(Table412[[#This Row],[MAT]]&lt;&gt;"",COUNTIF(Table3[LEVEL 5 MAT NO.],Table412[[#This Row],[MAT]]),"")</f>
        <v>1</v>
      </c>
      <c r="K1032" s="36">
        <f>IFERROR(INDEX(Table3[],MATCH($E1032,Table3[LEVEL 5 MAT NO.],0),2),0)</f>
        <v>7</v>
      </c>
      <c r="L1032" s="36">
        <f>Table412[[#This Row],[Quantity in BOM]]*Table412[[#This Row],[Freq]]</f>
        <v>42</v>
      </c>
      <c r="M1032" s="36">
        <f>IF(Table412[[#This Row],[Exist]]=1,Table412[[#This Row],[MAT]],"")</f>
        <v>1283630</v>
      </c>
      <c r="N1032" s="36">
        <f>IF(Table412[[#This Row],[Exist]]=1,Table412[[#This Row],[Component]],"")</f>
        <v>871781</v>
      </c>
      <c r="O1032" s="36">
        <f>IFERROR(VALUE(Table412[[#This Row],[MAT]]&amp;Table412[[#This Row],[X'#]]),IF(COUNTIF(Table412[[#This Row],[MAT]],"*M"),Table412[[#This Row],[MAT]]&amp;Table412[[#This Row],[X'#]],""))</f>
        <v>12836304</v>
      </c>
    </row>
    <row r="1033" spans="1:15" x14ac:dyDescent="0.25">
      <c r="A1033" s="37">
        <f t="shared" si="17"/>
        <v>542</v>
      </c>
      <c r="C1033" s="38" t="s">
        <v>313</v>
      </c>
      <c r="D1033" s="36" t="s">
        <v>645</v>
      </c>
      <c r="E1033" s="36">
        <v>1283630</v>
      </c>
      <c r="F1033" s="36">
        <v>5</v>
      </c>
      <c r="G1033" s="36">
        <v>1168064</v>
      </c>
      <c r="H1033" s="48" t="str">
        <f>IFERROR(INDEX(Table14[],MATCH($G1033,Table14[SAPNo],0),3),"")</f>
        <v>1613 PMT 18C­60</v>
      </c>
      <c r="I1033" s="37">
        <v>5</v>
      </c>
      <c r="J1033" s="37">
        <f>IF(Table412[[#This Row],[MAT]]&lt;&gt;"",COUNTIF(Table3[LEVEL 5 MAT NO.],Table412[[#This Row],[MAT]]),"")</f>
        <v>1</v>
      </c>
      <c r="K1033" s="36">
        <f>IFERROR(INDEX(Table3[],MATCH($E1033,Table3[LEVEL 5 MAT NO.],0),2),0)</f>
        <v>7</v>
      </c>
      <c r="L1033" s="36">
        <f>Table412[[#This Row],[Quantity in BOM]]*Table412[[#This Row],[Freq]]</f>
        <v>35</v>
      </c>
      <c r="M1033" s="36">
        <f>IF(Table412[[#This Row],[Exist]]=1,Table412[[#This Row],[MAT]],"")</f>
        <v>1283630</v>
      </c>
      <c r="N1033" s="36">
        <f>IF(Table412[[#This Row],[Exist]]=1,Table412[[#This Row],[Component]],"")</f>
        <v>1168064</v>
      </c>
      <c r="O1033" s="36">
        <f>IFERROR(VALUE(Table412[[#This Row],[MAT]]&amp;Table412[[#This Row],[X'#]]),IF(COUNTIF(Table412[[#This Row],[MAT]],"*M"),Table412[[#This Row],[MAT]]&amp;Table412[[#This Row],[X'#]],""))</f>
        <v>12836305</v>
      </c>
    </row>
    <row r="1034" spans="1:15" x14ac:dyDescent="0.25">
      <c r="A1034" s="37">
        <f t="shared" si="17"/>
        <v>549</v>
      </c>
      <c r="C1034" s="38" t="s">
        <v>313</v>
      </c>
      <c r="D1034" s="36" t="s">
        <v>645</v>
      </c>
      <c r="E1034" s="36">
        <v>1283630</v>
      </c>
      <c r="F1034" s="36">
        <v>6</v>
      </c>
      <c r="G1034" s="36">
        <v>1201518</v>
      </c>
      <c r="H1034" s="48" t="str">
        <f>IFERROR(INDEX(Table14[],MATCH($G1034,Table14[SAPNo],0),3),"")</f>
        <v>12MM WC­MAT404 NA</v>
      </c>
      <c r="I1034" s="37">
        <v>3</v>
      </c>
      <c r="J1034" s="37">
        <f>IF(Table412[[#This Row],[MAT]]&lt;&gt;"",COUNTIF(Table3[LEVEL 5 MAT NO.],Table412[[#This Row],[MAT]]),"")</f>
        <v>1</v>
      </c>
      <c r="K1034" s="36">
        <f>IFERROR(INDEX(Table3[],MATCH($E1034,Table3[LEVEL 5 MAT NO.],0),2),0)</f>
        <v>7</v>
      </c>
      <c r="L1034" s="36">
        <f>Table412[[#This Row],[Quantity in BOM]]*Table412[[#This Row],[Freq]]</f>
        <v>21</v>
      </c>
      <c r="M1034" s="36">
        <f>IF(Table412[[#This Row],[Exist]]=1,Table412[[#This Row],[MAT]],"")</f>
        <v>1283630</v>
      </c>
      <c r="N1034" s="36">
        <f>IF(Table412[[#This Row],[Exist]]=1,Table412[[#This Row],[Component]],"")</f>
        <v>1201518</v>
      </c>
      <c r="O1034" s="36">
        <f>IFERROR(VALUE(Table412[[#This Row],[MAT]]&amp;Table412[[#This Row],[X'#]]),IF(COUNTIF(Table412[[#This Row],[MAT]],"*M"),Table412[[#This Row],[MAT]]&amp;Table412[[#This Row],[X'#]],""))</f>
        <v>12836306</v>
      </c>
    </row>
    <row r="1035" spans="1:15" x14ac:dyDescent="0.25">
      <c r="A1035" s="37">
        <f t="shared" si="17"/>
        <v>556</v>
      </c>
      <c r="C1035" s="38" t="s">
        <v>313</v>
      </c>
      <c r="D1035" s="36" t="s">
        <v>645</v>
      </c>
      <c r="E1035" s="36">
        <v>1283630</v>
      </c>
      <c r="F1035" s="36">
        <v>7</v>
      </c>
      <c r="G1035" s="36">
        <v>1126402</v>
      </c>
      <c r="H1035" s="48" t="str">
        <f>IFERROR(INDEX(Table14[],MATCH($G1035,Table14[SAPNo],0),3),"")</f>
        <v>1613 CT421 16-60</v>
      </c>
      <c r="I1035" s="37">
        <v>1</v>
      </c>
      <c r="J1035" s="37">
        <f>IF(Table412[[#This Row],[MAT]]&lt;&gt;"",COUNTIF(Table3[LEVEL 5 MAT NO.],Table412[[#This Row],[MAT]]),"")</f>
        <v>1</v>
      </c>
      <c r="K1035" s="36">
        <f>IFERROR(INDEX(Table3[],MATCH($E1035,Table3[LEVEL 5 MAT NO.],0),2),0)</f>
        <v>7</v>
      </c>
      <c r="L1035" s="36">
        <f>Table412[[#This Row],[Quantity in BOM]]*Table412[[#This Row],[Freq]]</f>
        <v>7</v>
      </c>
      <c r="M1035" s="36">
        <f>IF(Table412[[#This Row],[Exist]]=1,Table412[[#This Row],[MAT]],"")</f>
        <v>1283630</v>
      </c>
      <c r="N1035" s="36">
        <f>IF(Table412[[#This Row],[Exist]]=1,Table412[[#This Row],[Component]],"")</f>
        <v>1126402</v>
      </c>
      <c r="O1035" s="36">
        <f>IFERROR(VALUE(Table412[[#This Row],[MAT]]&amp;Table412[[#This Row],[X'#]]),IF(COUNTIF(Table412[[#This Row],[MAT]],"*M"),Table412[[#This Row],[MAT]]&amp;Table412[[#This Row],[X'#]],""))</f>
        <v>12836307</v>
      </c>
    </row>
    <row r="1036" spans="1:15" x14ac:dyDescent="0.25">
      <c r="A1036" s="37">
        <f t="shared" si="17"/>
        <v>563</v>
      </c>
      <c r="C1036" s="38" t="s">
        <v>313</v>
      </c>
      <c r="D1036" s="36" t="s">
        <v>645</v>
      </c>
      <c r="E1036" s="36">
        <v>1283630</v>
      </c>
      <c r="F1036" s="36">
        <v>8</v>
      </c>
      <c r="G1036" s="36">
        <v>1165786</v>
      </c>
      <c r="H1036" s="48" t="str">
        <f>IFERROR(INDEX(Table14[],MATCH($G1036,Table14[SAPNo],0),3),"")</f>
        <v>1613 PMT 18C</v>
      </c>
      <c r="I1036" s="37">
        <v>1</v>
      </c>
      <c r="J1036" s="37">
        <f>IF(Table412[[#This Row],[MAT]]&lt;&gt;"",COUNTIF(Table3[LEVEL 5 MAT NO.],Table412[[#This Row],[MAT]]),"")</f>
        <v>1</v>
      </c>
      <c r="K1036" s="36">
        <f>IFERROR(INDEX(Table3[],MATCH($E1036,Table3[LEVEL 5 MAT NO.],0),2),0)</f>
        <v>7</v>
      </c>
      <c r="L1036" s="36">
        <f>Table412[[#This Row],[Quantity in BOM]]*Table412[[#This Row],[Freq]]</f>
        <v>7</v>
      </c>
      <c r="M1036" s="36">
        <f>IF(Table412[[#This Row],[Exist]]=1,Table412[[#This Row],[MAT]],"")</f>
        <v>1283630</v>
      </c>
      <c r="N1036" s="36">
        <f>IF(Table412[[#This Row],[Exist]]=1,Table412[[#This Row],[Component]],"")</f>
        <v>1165786</v>
      </c>
      <c r="O1036" s="36">
        <f>IFERROR(VALUE(Table412[[#This Row],[MAT]]&amp;Table412[[#This Row],[X'#]]),IF(COUNTIF(Table412[[#This Row],[MAT]],"*M"),Table412[[#This Row],[MAT]]&amp;Table412[[#This Row],[X'#]],""))</f>
        <v>12836308</v>
      </c>
    </row>
    <row r="1037" spans="1:15" x14ac:dyDescent="0.25">
      <c r="A1037" s="37">
        <f t="shared" si="17"/>
        <v>570</v>
      </c>
      <c r="C1037" s="38" t="s">
        <v>313</v>
      </c>
      <c r="D1037" s="36" t="s">
        <v>647</v>
      </c>
      <c r="E1037" s="36" t="s">
        <v>716</v>
      </c>
      <c r="F1037" s="36">
        <v>1</v>
      </c>
      <c r="G1037" s="36">
        <v>1100755</v>
      </c>
      <c r="H1037" s="48" t="str">
        <f>IFERROR(INDEX(Table14[],MATCH($G1037,Table14[SAPNo],0),3),"")</f>
        <v>Round 1613 CT421  0.018" (S)</v>
      </c>
      <c r="I1037" s="37">
        <v>33</v>
      </c>
      <c r="J1037" s="37">
        <f>IF(Table412[[#This Row],[MAT]]&lt;&gt;"",COUNTIF(Table3[LEVEL 5 MAT NO.],Table412[[#This Row],[MAT]]),"")</f>
        <v>1</v>
      </c>
      <c r="K1037" s="36">
        <f>IFERROR(INDEX(Table3[],MATCH($E1037,Table3[LEVEL 5 MAT NO.],0),2),0)</f>
        <v>0</v>
      </c>
      <c r="L1037" s="36">
        <f>Table412[[#This Row],[Quantity in BOM]]*Table412[[#This Row],[Freq]]</f>
        <v>0</v>
      </c>
      <c r="M1037" s="36" t="str">
        <f>IF(Table412[[#This Row],[Exist]]=1,Table412[[#This Row],[MAT]],"")</f>
        <v>1245357M</v>
      </c>
      <c r="N1037" s="36">
        <f>IF(Table412[[#This Row],[Exist]]=1,Table412[[#This Row],[Component]],"")</f>
        <v>1100755</v>
      </c>
      <c r="O1037" s="36" t="str">
        <f>IFERROR(VALUE(Table412[[#This Row],[MAT]]&amp;Table412[[#This Row],[X'#]]),IF(COUNTIF(Table412[[#This Row],[MAT]],"*M"),Table412[[#This Row],[MAT]]&amp;Table412[[#This Row],[X'#]],""))</f>
        <v>1245357M1</v>
      </c>
    </row>
    <row r="1038" spans="1:15" x14ac:dyDescent="0.25">
      <c r="A1038" s="37">
        <f t="shared" si="17"/>
        <v>570</v>
      </c>
      <c r="C1038" s="38" t="s">
        <v>313</v>
      </c>
      <c r="D1038" s="36" t="s">
        <v>647</v>
      </c>
      <c r="E1038" s="36" t="s">
        <v>716</v>
      </c>
      <c r="F1038" s="36">
        <v>2</v>
      </c>
      <c r="G1038" s="36">
        <v>647435</v>
      </c>
      <c r="H1038" s="48" t="str">
        <f>IFERROR(INDEX(Table14[],MATCH($G1038,Table14[SAPNo],0),3),"")</f>
        <v>Round 1608 CT200  0.018" (B)</v>
      </c>
      <c r="I1038" s="37">
        <v>23</v>
      </c>
      <c r="J1038" s="37">
        <f>IF(Table412[[#This Row],[MAT]]&lt;&gt;"",COUNTIF(Table3[LEVEL 5 MAT NO.],Table412[[#This Row],[MAT]]),"")</f>
        <v>1</v>
      </c>
      <c r="K1038" s="36">
        <f>IFERROR(INDEX(Table3[],MATCH($E1038,Table3[LEVEL 5 MAT NO.],0),2),0)</f>
        <v>0</v>
      </c>
      <c r="L1038" s="36">
        <f>Table412[[#This Row],[Quantity in BOM]]*Table412[[#This Row],[Freq]]</f>
        <v>0</v>
      </c>
      <c r="M1038" s="36" t="str">
        <f>IF(Table412[[#This Row],[Exist]]=1,Table412[[#This Row],[MAT]],"")</f>
        <v>1245357M</v>
      </c>
      <c r="N1038" s="36">
        <f>IF(Table412[[#This Row],[Exist]]=1,Table412[[#This Row],[Component]],"")</f>
        <v>647435</v>
      </c>
      <c r="O1038" s="36" t="str">
        <f>IFERROR(VALUE(Table412[[#This Row],[MAT]]&amp;Table412[[#This Row],[X'#]]),IF(COUNTIF(Table412[[#This Row],[MAT]],"*M"),Table412[[#This Row],[MAT]]&amp;Table412[[#This Row],[X'#]],""))</f>
        <v>1245357M2</v>
      </c>
    </row>
    <row r="1039" spans="1:15" x14ac:dyDescent="0.25">
      <c r="A1039" s="37">
        <f t="shared" si="17"/>
        <v>570</v>
      </c>
      <c r="C1039" s="38" t="s">
        <v>313</v>
      </c>
      <c r="D1039" s="36" t="s">
        <v>647</v>
      </c>
      <c r="E1039" s="36" t="s">
        <v>716</v>
      </c>
      <c r="F1039" s="36">
        <v>3</v>
      </c>
      <c r="G1039" s="36">
        <v>871781</v>
      </c>
      <c r="H1039" s="48" t="str">
        <f>IFERROR(INDEX(Table14[],MATCH($G1039,Table14[SAPNo],0),3),"")</f>
        <v>Round 1313 CT200  0.018" (B)</v>
      </c>
      <c r="I1039" s="37">
        <v>6</v>
      </c>
      <c r="J1039" s="37">
        <f>IF(Table412[[#This Row],[MAT]]&lt;&gt;"",COUNTIF(Table3[LEVEL 5 MAT NO.],Table412[[#This Row],[MAT]]),"")</f>
        <v>1</v>
      </c>
      <c r="K1039" s="36">
        <f>IFERROR(INDEX(Table3[],MATCH($E1039,Table3[LEVEL 5 MAT NO.],0),2),0)</f>
        <v>0</v>
      </c>
      <c r="L1039" s="36">
        <f>Table412[[#This Row],[Quantity in BOM]]*Table412[[#This Row],[Freq]]</f>
        <v>0</v>
      </c>
      <c r="M1039" s="36" t="str">
        <f>IF(Table412[[#This Row],[Exist]]=1,Table412[[#This Row],[MAT]],"")</f>
        <v>1245357M</v>
      </c>
      <c r="N1039" s="36">
        <f>IF(Table412[[#This Row],[Exist]]=1,Table412[[#This Row],[Component]],"")</f>
        <v>871781</v>
      </c>
      <c r="O1039" s="36" t="str">
        <f>IFERROR(VALUE(Table412[[#This Row],[MAT]]&amp;Table412[[#This Row],[X'#]]),IF(COUNTIF(Table412[[#This Row],[MAT]],"*M"),Table412[[#This Row],[MAT]]&amp;Table412[[#This Row],[X'#]],""))</f>
        <v>1245357M3</v>
      </c>
    </row>
    <row r="1040" spans="1:15" x14ac:dyDescent="0.25">
      <c r="A1040" s="37">
        <f t="shared" si="17"/>
        <v>570</v>
      </c>
      <c r="C1040" s="38" t="s">
        <v>313</v>
      </c>
      <c r="D1040" s="36" t="s">
        <v>649</v>
      </c>
      <c r="E1040" s="36">
        <v>1134878</v>
      </c>
      <c r="F1040" s="36">
        <v>1</v>
      </c>
      <c r="G1040" s="36">
        <v>1130198</v>
      </c>
      <c r="H1040" s="48" t="str">
        <f>IFERROR(INDEX(Table14[],MATCH($G1040,Table14[SAPNo],0),3),"")</f>
        <v>Round 1613 CT182  0.018" (S)</v>
      </c>
      <c r="I1040" s="37">
        <v>27</v>
      </c>
      <c r="J1040" s="37">
        <f>IF(Table412[[#This Row],[MAT]]&lt;&gt;"",COUNTIF(Table3[LEVEL 5 MAT NO.],Table412[[#This Row],[MAT]]),"")</f>
        <v>1</v>
      </c>
      <c r="K1040" s="36">
        <f>IFERROR(INDEX(Table3[],MATCH($E1040,Table3[LEVEL 5 MAT NO.],0),2),0)</f>
        <v>3</v>
      </c>
      <c r="L1040" s="36">
        <f>Table412[[#This Row],[Quantity in BOM]]*Table412[[#This Row],[Freq]]</f>
        <v>81</v>
      </c>
      <c r="M1040" s="36">
        <f>IF(Table412[[#This Row],[Exist]]=1,Table412[[#This Row],[MAT]],"")</f>
        <v>1134878</v>
      </c>
      <c r="N1040" s="36">
        <f>IF(Table412[[#This Row],[Exist]]=1,Table412[[#This Row],[Component]],"")</f>
        <v>1130198</v>
      </c>
      <c r="O1040" s="36">
        <f>IFERROR(VALUE(Table412[[#This Row],[MAT]]&amp;Table412[[#This Row],[X'#]]),IF(COUNTIF(Table412[[#This Row],[MAT]],"*M"),Table412[[#This Row],[MAT]]&amp;Table412[[#This Row],[X'#]],""))</f>
        <v>11348781</v>
      </c>
    </row>
    <row r="1041" spans="1:15" x14ac:dyDescent="0.25">
      <c r="A1041" s="37">
        <f t="shared" si="17"/>
        <v>573</v>
      </c>
      <c r="C1041" s="38" t="s">
        <v>313</v>
      </c>
      <c r="D1041" s="36" t="s">
        <v>649</v>
      </c>
      <c r="E1041" s="36">
        <v>1134878</v>
      </c>
      <c r="F1041" s="36">
        <v>2</v>
      </c>
      <c r="G1041" s="36">
        <v>717751</v>
      </c>
      <c r="H1041" s="48" t="str">
        <f>IFERROR(INDEX(Table14[],MATCH($G1041,Table14[SAPNo],0),3),"")</f>
        <v>Round 1308 CT200  0.018" (B)</v>
      </c>
      <c r="I1041" s="37">
        <v>13</v>
      </c>
      <c r="J1041" s="37">
        <f>IF(Table412[[#This Row],[MAT]]&lt;&gt;"",COUNTIF(Table3[LEVEL 5 MAT NO.],Table412[[#This Row],[MAT]]),"")</f>
        <v>1</v>
      </c>
      <c r="K1041" s="36">
        <f>IFERROR(INDEX(Table3[],MATCH($E1041,Table3[LEVEL 5 MAT NO.],0),2),0)</f>
        <v>3</v>
      </c>
      <c r="L1041" s="36">
        <f>Table412[[#This Row],[Quantity in BOM]]*Table412[[#This Row],[Freq]]</f>
        <v>39</v>
      </c>
      <c r="M1041" s="36">
        <f>IF(Table412[[#This Row],[Exist]]=1,Table412[[#This Row],[MAT]],"")</f>
        <v>1134878</v>
      </c>
      <c r="N1041" s="36">
        <f>IF(Table412[[#This Row],[Exist]]=1,Table412[[#This Row],[Component]],"")</f>
        <v>717751</v>
      </c>
      <c r="O1041" s="36">
        <f>IFERROR(VALUE(Table412[[#This Row],[MAT]]&amp;Table412[[#This Row],[X'#]]),IF(COUNTIF(Table412[[#This Row],[MAT]],"*M"),Table412[[#This Row],[MAT]]&amp;Table412[[#This Row],[X'#]],""))</f>
        <v>11348782</v>
      </c>
    </row>
    <row r="1042" spans="1:15" x14ac:dyDescent="0.25">
      <c r="A1042" s="37">
        <f t="shared" si="17"/>
        <v>576</v>
      </c>
      <c r="C1042" s="38" t="s">
        <v>313</v>
      </c>
      <c r="D1042" s="36" t="s">
        <v>649</v>
      </c>
      <c r="E1042" s="36">
        <v>1134878</v>
      </c>
      <c r="F1042" s="36">
        <v>3</v>
      </c>
      <c r="G1042" s="36">
        <v>418525</v>
      </c>
      <c r="H1042" s="48" t="str">
        <f>IFERROR(INDEX(Table14[],MATCH($G1042,Table14[SAPNo],0),3),"")</f>
        <v>Drop In 1308 CT31   (B)</v>
      </c>
      <c r="I1042" s="37">
        <v>5</v>
      </c>
      <c r="J1042" s="37">
        <f>IF(Table412[[#This Row],[MAT]]&lt;&gt;"",COUNTIF(Table3[LEVEL 5 MAT NO.],Table412[[#This Row],[MAT]]),"")</f>
        <v>1</v>
      </c>
      <c r="K1042" s="36">
        <f>IFERROR(INDEX(Table3[],MATCH($E1042,Table3[LEVEL 5 MAT NO.],0),2),0)</f>
        <v>3</v>
      </c>
      <c r="L1042" s="36">
        <f>Table412[[#This Row],[Quantity in BOM]]*Table412[[#This Row],[Freq]]</f>
        <v>15</v>
      </c>
      <c r="M1042" s="36">
        <f>IF(Table412[[#This Row],[Exist]]=1,Table412[[#This Row],[MAT]],"")</f>
        <v>1134878</v>
      </c>
      <c r="N1042" s="36">
        <f>IF(Table412[[#This Row],[Exist]]=1,Table412[[#This Row],[Component]],"")</f>
        <v>418525</v>
      </c>
      <c r="O1042" s="36">
        <f>IFERROR(VALUE(Table412[[#This Row],[MAT]]&amp;Table412[[#This Row],[X'#]]),IF(COUNTIF(Table412[[#This Row],[MAT]],"*M"),Table412[[#This Row],[MAT]]&amp;Table412[[#This Row],[X'#]],""))</f>
        <v>11348783</v>
      </c>
    </row>
    <row r="1043" spans="1:15" x14ac:dyDescent="0.25">
      <c r="A1043" s="37">
        <f t="shared" si="17"/>
        <v>579</v>
      </c>
      <c r="C1043" s="38" t="s">
        <v>313</v>
      </c>
      <c r="D1043" s="36" t="s">
        <v>649</v>
      </c>
      <c r="E1043" s="36">
        <v>1134878</v>
      </c>
      <c r="F1043" s="36">
        <v>4</v>
      </c>
      <c r="G1043" s="36">
        <v>1180935</v>
      </c>
      <c r="H1043" s="48" t="str">
        <f>IFERROR(INDEX(Table14[],MATCH($G1043,Table14[SAPNo],0),3),"")</f>
        <v>1313 RDOC NA</v>
      </c>
      <c r="I1043" s="37">
        <v>3</v>
      </c>
      <c r="J1043" s="37">
        <f>IF(Table412[[#This Row],[MAT]]&lt;&gt;"",COUNTIF(Table3[LEVEL 5 MAT NO.],Table412[[#This Row],[MAT]]),"")</f>
        <v>1</v>
      </c>
      <c r="K1043" s="36">
        <f>IFERROR(INDEX(Table3[],MATCH($E1043,Table3[LEVEL 5 MAT NO.],0),2),0)</f>
        <v>3</v>
      </c>
      <c r="L1043" s="36">
        <f>Table412[[#This Row],[Quantity in BOM]]*Table412[[#This Row],[Freq]]</f>
        <v>9</v>
      </c>
      <c r="M1043" s="36">
        <f>IF(Table412[[#This Row],[Exist]]=1,Table412[[#This Row],[MAT]],"")</f>
        <v>1134878</v>
      </c>
      <c r="N1043" s="36">
        <f>IF(Table412[[#This Row],[Exist]]=1,Table412[[#This Row],[Component]],"")</f>
        <v>1180935</v>
      </c>
      <c r="O1043" s="36">
        <f>IFERROR(VALUE(Table412[[#This Row],[MAT]]&amp;Table412[[#This Row],[X'#]]),IF(COUNTIF(Table412[[#This Row],[MAT]],"*M"),Table412[[#This Row],[MAT]]&amp;Table412[[#This Row],[X'#]],""))</f>
        <v>11348784</v>
      </c>
    </row>
    <row r="1044" spans="1:15" x14ac:dyDescent="0.25">
      <c r="A1044" s="37">
        <f t="shared" si="17"/>
        <v>582</v>
      </c>
      <c r="C1044" s="38" t="s">
        <v>313</v>
      </c>
      <c r="D1044" s="36" t="s">
        <v>649</v>
      </c>
      <c r="E1044" s="36">
        <v>1134878</v>
      </c>
      <c r="F1044" s="36">
        <v>5</v>
      </c>
      <c r="G1044" s="36">
        <v>871781</v>
      </c>
      <c r="H1044" s="48" t="str">
        <f>IFERROR(INDEX(Table14[],MATCH($G1044,Table14[SAPNo],0),3),"")</f>
        <v>Round 1313 CT200  0.018" (B)</v>
      </c>
      <c r="I1044" s="37">
        <v>2</v>
      </c>
      <c r="J1044" s="37">
        <f>IF(Table412[[#This Row],[MAT]]&lt;&gt;"",COUNTIF(Table3[LEVEL 5 MAT NO.],Table412[[#This Row],[MAT]]),"")</f>
        <v>1</v>
      </c>
      <c r="K1044" s="36">
        <f>IFERROR(INDEX(Table3[],MATCH($E1044,Table3[LEVEL 5 MAT NO.],0),2),0)</f>
        <v>3</v>
      </c>
      <c r="L1044" s="36">
        <f>Table412[[#This Row],[Quantity in BOM]]*Table412[[#This Row],[Freq]]</f>
        <v>6</v>
      </c>
      <c r="M1044" s="36">
        <f>IF(Table412[[#This Row],[Exist]]=1,Table412[[#This Row],[MAT]],"")</f>
        <v>1134878</v>
      </c>
      <c r="N1044" s="36">
        <f>IF(Table412[[#This Row],[Exist]]=1,Table412[[#This Row],[Component]],"")</f>
        <v>871781</v>
      </c>
      <c r="O1044" s="36">
        <f>IFERROR(VALUE(Table412[[#This Row],[MAT]]&amp;Table412[[#This Row],[X'#]]),IF(COUNTIF(Table412[[#This Row],[MAT]],"*M"),Table412[[#This Row],[MAT]]&amp;Table412[[#This Row],[X'#]],""))</f>
        <v>11348785</v>
      </c>
    </row>
    <row r="1045" spans="1:15" x14ac:dyDescent="0.25">
      <c r="A1045" s="37">
        <f t="shared" si="17"/>
        <v>585</v>
      </c>
      <c r="C1045" s="38" t="s">
        <v>313</v>
      </c>
      <c r="D1045" s="36" t="s">
        <v>649</v>
      </c>
      <c r="E1045" s="36">
        <v>1134878</v>
      </c>
      <c r="F1045" s="36">
        <v>6</v>
      </c>
      <c r="G1045" s="36">
        <v>1187118</v>
      </c>
      <c r="H1045" s="48" t="str">
        <f>IFERROR(INDEX(Table14[],MATCH($G1045,Table14[SAPNo],0),3),"")</f>
        <v>1613 18C CT182H</v>
      </c>
      <c r="I1045" s="37">
        <v>1</v>
      </c>
      <c r="J1045" s="37">
        <f>IF(Table412[[#This Row],[MAT]]&lt;&gt;"",COUNTIF(Table3[LEVEL 5 MAT NO.],Table412[[#This Row],[MAT]]),"")</f>
        <v>1</v>
      </c>
      <c r="K1045" s="36">
        <f>IFERROR(INDEX(Table3[],MATCH($E1045,Table3[LEVEL 5 MAT NO.],0),2),0)</f>
        <v>3</v>
      </c>
      <c r="L1045" s="36">
        <f>Table412[[#This Row],[Quantity in BOM]]*Table412[[#This Row],[Freq]]</f>
        <v>3</v>
      </c>
      <c r="M1045" s="36">
        <f>IF(Table412[[#This Row],[Exist]]=1,Table412[[#This Row],[MAT]],"")</f>
        <v>1134878</v>
      </c>
      <c r="N1045" s="36">
        <f>IF(Table412[[#This Row],[Exist]]=1,Table412[[#This Row],[Component]],"")</f>
        <v>1187118</v>
      </c>
      <c r="O1045" s="36">
        <f>IFERROR(VALUE(Table412[[#This Row],[MAT]]&amp;Table412[[#This Row],[X'#]]),IF(COUNTIF(Table412[[#This Row],[MAT]],"*M"),Table412[[#This Row],[MAT]]&amp;Table412[[#This Row],[X'#]],""))</f>
        <v>11348786</v>
      </c>
    </row>
    <row r="1046" spans="1:15" x14ac:dyDescent="0.25">
      <c r="A1046" s="37">
        <f t="shared" si="17"/>
        <v>588</v>
      </c>
      <c r="C1046" s="38" t="s">
        <v>624</v>
      </c>
      <c r="D1046" s="36" t="s">
        <v>663</v>
      </c>
      <c r="E1046" s="36">
        <v>1276939</v>
      </c>
      <c r="F1046" s="36">
        <v>1</v>
      </c>
      <c r="G1046" s="36">
        <v>1271790</v>
      </c>
      <c r="H1046" s="48" t="str">
        <f>IFERROR(INDEX(Table14[],MATCH($G1046,Table14[SAPNo],0),3),"")</f>
        <v xml:space="preserve">1613 CT170 18-60 </v>
      </c>
      <c r="I1046" s="37">
        <v>17</v>
      </c>
      <c r="J1046" s="37">
        <f>IF(Table412[[#This Row],[MAT]]&lt;&gt;"",COUNTIF(Table3[LEVEL 5 MAT NO.],Table412[[#This Row],[MAT]]),"")</f>
        <v>1</v>
      </c>
      <c r="K1046" s="36">
        <f>IFERROR(INDEX(Table3[],MATCH($E1046,Table3[LEVEL 5 MAT NO.],0),2),0)</f>
        <v>9</v>
      </c>
      <c r="L1046" s="36">
        <f>Table412[[#This Row],[Quantity in BOM]]*Table412[[#This Row],[Freq]]</f>
        <v>153</v>
      </c>
      <c r="M1046" s="36">
        <f>IF(Table412[[#This Row],[Exist]]=1,Table412[[#This Row],[MAT]],"")</f>
        <v>1276939</v>
      </c>
      <c r="N1046" s="36">
        <f>IF(Table412[[#This Row],[Exist]]=1,Table412[[#This Row],[Component]],"")</f>
        <v>1271790</v>
      </c>
      <c r="O1046" s="36">
        <f>IFERROR(VALUE(Table412[[#This Row],[MAT]]&amp;Table412[[#This Row],[X'#]]),IF(COUNTIF(Table412[[#This Row],[MAT]],"*M"),Table412[[#This Row],[MAT]]&amp;Table412[[#This Row],[X'#]],""))</f>
        <v>12769391</v>
      </c>
    </row>
    <row r="1047" spans="1:15" x14ac:dyDescent="0.25">
      <c r="A1047" s="37">
        <f t="shared" si="17"/>
        <v>597</v>
      </c>
      <c r="C1047" s="38" t="s">
        <v>624</v>
      </c>
      <c r="D1047" s="36" t="s">
        <v>663</v>
      </c>
      <c r="E1047" s="36">
        <v>1276939</v>
      </c>
      <c r="F1047" s="36">
        <v>2</v>
      </c>
      <c r="G1047" s="36">
        <v>1078377</v>
      </c>
      <c r="H1047" s="48" t="str">
        <f>IFERROR(INDEX(Table14[],MATCH($G1047,Table14[SAPNo],0),3),"")</f>
        <v>13MM CT221 R1</v>
      </c>
      <c r="I1047" s="37">
        <v>15</v>
      </c>
      <c r="J1047" s="37">
        <f>IF(Table412[[#This Row],[MAT]]&lt;&gt;"",COUNTIF(Table3[LEVEL 5 MAT NO.],Table412[[#This Row],[MAT]]),"")</f>
        <v>1</v>
      </c>
      <c r="K1047" s="36">
        <f>IFERROR(INDEX(Table3[],MATCH($E1047,Table3[LEVEL 5 MAT NO.],0),2),0)</f>
        <v>9</v>
      </c>
      <c r="L1047" s="36">
        <f>Table412[[#This Row],[Quantity in BOM]]*Table412[[#This Row],[Freq]]</f>
        <v>135</v>
      </c>
      <c r="M1047" s="36">
        <f>IF(Table412[[#This Row],[Exist]]=1,Table412[[#This Row],[MAT]],"")</f>
        <v>1276939</v>
      </c>
      <c r="N1047" s="36">
        <f>IF(Table412[[#This Row],[Exist]]=1,Table412[[#This Row],[Component]],"")</f>
        <v>1078377</v>
      </c>
      <c r="O1047" s="36">
        <f>IFERROR(VALUE(Table412[[#This Row],[MAT]]&amp;Table412[[#This Row],[X'#]]),IF(COUNTIF(Table412[[#This Row],[MAT]],"*M"),Table412[[#This Row],[MAT]]&amp;Table412[[#This Row],[X'#]],""))</f>
        <v>12769392</v>
      </c>
    </row>
    <row r="1048" spans="1:15" x14ac:dyDescent="0.25">
      <c r="A1048" s="37">
        <f t="shared" si="17"/>
        <v>606</v>
      </c>
      <c r="C1048" s="38" t="s">
        <v>624</v>
      </c>
      <c r="D1048" s="36" t="s">
        <v>663</v>
      </c>
      <c r="E1048" s="36">
        <v>1276939</v>
      </c>
      <c r="F1048" s="36">
        <v>3</v>
      </c>
      <c r="G1048" s="36">
        <v>1208601</v>
      </c>
      <c r="H1048" s="48" t="str">
        <f>IFERROR(INDEX(Table14[],MATCH($G1048,Table14[SAPNo],0),3),"")</f>
        <v>1613 CT418 U-60</v>
      </c>
      <c r="I1048" s="37">
        <v>8</v>
      </c>
      <c r="J1048" s="37">
        <f>IF(Table412[[#This Row],[MAT]]&lt;&gt;"",COUNTIF(Table3[LEVEL 5 MAT NO.],Table412[[#This Row],[MAT]]),"")</f>
        <v>1</v>
      </c>
      <c r="K1048" s="36">
        <f>IFERROR(INDEX(Table3[],MATCH($E1048,Table3[LEVEL 5 MAT NO.],0),2),0)</f>
        <v>9</v>
      </c>
      <c r="L1048" s="36">
        <f>Table412[[#This Row],[Quantity in BOM]]*Table412[[#This Row],[Freq]]</f>
        <v>72</v>
      </c>
      <c r="M1048" s="36">
        <f>IF(Table412[[#This Row],[Exist]]=1,Table412[[#This Row],[MAT]],"")</f>
        <v>1276939</v>
      </c>
      <c r="N1048" s="36">
        <f>IF(Table412[[#This Row],[Exist]]=1,Table412[[#This Row],[Component]],"")</f>
        <v>1208601</v>
      </c>
      <c r="O1048" s="36">
        <f>IFERROR(VALUE(Table412[[#This Row],[MAT]]&amp;Table412[[#This Row],[X'#]]),IF(COUNTIF(Table412[[#This Row],[MAT]],"*M"),Table412[[#This Row],[MAT]]&amp;Table412[[#This Row],[X'#]],""))</f>
        <v>12769393</v>
      </c>
    </row>
    <row r="1049" spans="1:15" x14ac:dyDescent="0.25">
      <c r="A1049" s="37">
        <f t="shared" si="17"/>
        <v>615</v>
      </c>
      <c r="C1049" s="38" t="s">
        <v>624</v>
      </c>
      <c r="D1049" s="36" t="s">
        <v>663</v>
      </c>
      <c r="E1049" s="36">
        <v>1276939</v>
      </c>
      <c r="F1049" s="36">
        <v>4</v>
      </c>
      <c r="G1049" s="36">
        <v>418525</v>
      </c>
      <c r="H1049" s="48" t="str">
        <f>IFERROR(INDEX(Table14[],MATCH($G1049,Table14[SAPNo],0),3),"")</f>
        <v>Drop In 1308 CT31   (B)</v>
      </c>
      <c r="I1049" s="37">
        <v>6</v>
      </c>
      <c r="J1049" s="37">
        <f>IF(Table412[[#This Row],[MAT]]&lt;&gt;"",COUNTIF(Table3[LEVEL 5 MAT NO.],Table412[[#This Row],[MAT]]),"")</f>
        <v>1</v>
      </c>
      <c r="K1049" s="36">
        <f>IFERROR(INDEX(Table3[],MATCH($E1049,Table3[LEVEL 5 MAT NO.],0),2),0)</f>
        <v>9</v>
      </c>
      <c r="L1049" s="36">
        <f>Table412[[#This Row],[Quantity in BOM]]*Table412[[#This Row],[Freq]]</f>
        <v>54</v>
      </c>
      <c r="M1049" s="36">
        <f>IF(Table412[[#This Row],[Exist]]=1,Table412[[#This Row],[MAT]],"")</f>
        <v>1276939</v>
      </c>
      <c r="N1049" s="36">
        <f>IF(Table412[[#This Row],[Exist]]=1,Table412[[#This Row],[Component]],"")</f>
        <v>418525</v>
      </c>
      <c r="O1049" s="36">
        <f>IFERROR(VALUE(Table412[[#This Row],[MAT]]&amp;Table412[[#This Row],[X'#]]),IF(COUNTIF(Table412[[#This Row],[MAT]],"*M"),Table412[[#This Row],[MAT]]&amp;Table412[[#This Row],[X'#]],""))</f>
        <v>12769394</v>
      </c>
    </row>
    <row r="1050" spans="1:15" x14ac:dyDescent="0.25">
      <c r="A1050" s="37">
        <f t="shared" si="17"/>
        <v>624</v>
      </c>
      <c r="C1050" s="38" t="s">
        <v>624</v>
      </c>
      <c r="D1050" s="36" t="s">
        <v>663</v>
      </c>
      <c r="E1050" s="36">
        <v>1276939</v>
      </c>
      <c r="F1050" s="36">
        <v>5</v>
      </c>
      <c r="G1050" s="36">
        <v>1146737</v>
      </c>
      <c r="H1050" s="48" t="str">
        <f>IFERROR(INDEX(Table14[],MATCH($G1050,Table14[SAPNo],0),3),"")</f>
        <v>1613 CT418 18-60</v>
      </c>
      <c r="I1050" s="37">
        <v>6</v>
      </c>
      <c r="J1050" s="37">
        <f>IF(Table412[[#This Row],[MAT]]&lt;&gt;"",COUNTIF(Table3[LEVEL 5 MAT NO.],Table412[[#This Row],[MAT]]),"")</f>
        <v>1</v>
      </c>
      <c r="K1050" s="36">
        <f>IFERROR(INDEX(Table3[],MATCH($E1050,Table3[LEVEL 5 MAT NO.],0),2),0)</f>
        <v>9</v>
      </c>
      <c r="L1050" s="36">
        <f>Table412[[#This Row],[Quantity in BOM]]*Table412[[#This Row],[Freq]]</f>
        <v>54</v>
      </c>
      <c r="M1050" s="36">
        <f>IF(Table412[[#This Row],[Exist]]=1,Table412[[#This Row],[MAT]],"")</f>
        <v>1276939</v>
      </c>
      <c r="N1050" s="36">
        <f>IF(Table412[[#This Row],[Exist]]=1,Table412[[#This Row],[Component]],"")</f>
        <v>1146737</v>
      </c>
      <c r="O1050" s="36">
        <f>IFERROR(VALUE(Table412[[#This Row],[MAT]]&amp;Table412[[#This Row],[X'#]]),IF(COUNTIF(Table412[[#This Row],[MAT]],"*M"),Table412[[#This Row],[MAT]]&amp;Table412[[#This Row],[X'#]],""))</f>
        <v>12769395</v>
      </c>
    </row>
    <row r="1051" spans="1:15" x14ac:dyDescent="0.25">
      <c r="A1051" s="37">
        <f t="shared" si="17"/>
        <v>633</v>
      </c>
      <c r="C1051" s="38" t="s">
        <v>315</v>
      </c>
      <c r="D1051" s="36" t="s">
        <v>728</v>
      </c>
      <c r="E1051" s="36" t="s">
        <v>729</v>
      </c>
      <c r="F1051" s="36">
        <v>1</v>
      </c>
      <c r="G1051" s="36">
        <v>1100755</v>
      </c>
      <c r="H1051" s="48" t="str">
        <f>IFERROR(INDEX(Table14[],MATCH($G1051,Table14[SAPNo],0),3),"")</f>
        <v>Round 1613 CT421  0.018" (S)</v>
      </c>
      <c r="I1051" s="37">
        <v>69</v>
      </c>
      <c r="J1051" s="37">
        <f>IF(Table412[[#This Row],[MAT]]&lt;&gt;"",COUNTIF(Table3[LEVEL 5 MAT NO.],Table412[[#This Row],[MAT]]),"")</f>
        <v>1</v>
      </c>
      <c r="K1051" s="36">
        <f>IFERROR(INDEX(Table3[],MATCH($E1051,Table3[LEVEL 5 MAT NO.],0),2),0)</f>
        <v>0</v>
      </c>
      <c r="L1051" s="36">
        <f>Table412[[#This Row],[Quantity in BOM]]*Table412[[#This Row],[Freq]]</f>
        <v>0</v>
      </c>
      <c r="M1051" s="36" t="str">
        <f>IF(Table412[[#This Row],[Exist]]=1,Table412[[#This Row],[MAT]],"")</f>
        <v>1239239M</v>
      </c>
      <c r="N1051" s="36">
        <f>IF(Table412[[#This Row],[Exist]]=1,Table412[[#This Row],[Component]],"")</f>
        <v>1100755</v>
      </c>
      <c r="O1051" s="36" t="str">
        <f>IFERROR(VALUE(Table412[[#This Row],[MAT]]&amp;Table412[[#This Row],[X'#]]),IF(COUNTIF(Table412[[#This Row],[MAT]],"*M"),Table412[[#This Row],[MAT]]&amp;Table412[[#This Row],[X'#]],""))</f>
        <v>1239239M1</v>
      </c>
    </row>
    <row r="1052" spans="1:15" x14ac:dyDescent="0.25">
      <c r="A1052" s="37">
        <f t="shared" si="17"/>
        <v>633</v>
      </c>
      <c r="C1052" s="38" t="s">
        <v>315</v>
      </c>
      <c r="D1052" s="36" t="s">
        <v>728</v>
      </c>
      <c r="E1052" s="36" t="s">
        <v>729</v>
      </c>
      <c r="F1052" s="36">
        <v>2</v>
      </c>
      <c r="G1052" s="36">
        <v>1100759</v>
      </c>
      <c r="H1052" s="48" t="str">
        <f>IFERROR(INDEX(Table14[],MATCH($G1052,Table14[SAPNo],0),3),"")</f>
        <v>1913 CT421 0.018"</v>
      </c>
      <c r="I1052" s="37">
        <v>24</v>
      </c>
      <c r="J1052" s="37">
        <f>IF(Table412[[#This Row],[MAT]]&lt;&gt;"",COUNTIF(Table3[LEVEL 5 MAT NO.],Table412[[#This Row],[MAT]]),"")</f>
        <v>1</v>
      </c>
      <c r="K1052" s="36">
        <f>IFERROR(INDEX(Table3[],MATCH($E1052,Table3[LEVEL 5 MAT NO.],0),2),0)</f>
        <v>0</v>
      </c>
      <c r="L1052" s="36">
        <f>Table412[[#This Row],[Quantity in BOM]]*Table412[[#This Row],[Freq]]</f>
        <v>0</v>
      </c>
      <c r="M1052" s="36" t="str">
        <f>IF(Table412[[#This Row],[Exist]]=1,Table412[[#This Row],[MAT]],"")</f>
        <v>1239239M</v>
      </c>
      <c r="N1052" s="36">
        <f>IF(Table412[[#This Row],[Exist]]=1,Table412[[#This Row],[Component]],"")</f>
        <v>1100759</v>
      </c>
      <c r="O1052" s="36" t="str">
        <f>IFERROR(VALUE(Table412[[#This Row],[MAT]]&amp;Table412[[#This Row],[X'#]]),IF(COUNTIF(Table412[[#This Row],[MAT]],"*M"),Table412[[#This Row],[MAT]]&amp;Table412[[#This Row],[X'#]],""))</f>
        <v>1239239M2</v>
      </c>
    </row>
    <row r="1053" spans="1:15" x14ac:dyDescent="0.25">
      <c r="A1053" s="37">
        <f t="shared" si="17"/>
        <v>633</v>
      </c>
      <c r="C1053" s="38" t="s">
        <v>315</v>
      </c>
      <c r="D1053" s="36" t="s">
        <v>728</v>
      </c>
      <c r="E1053" s="36" t="s">
        <v>729</v>
      </c>
      <c r="F1053" s="36">
        <v>3</v>
      </c>
      <c r="G1053" s="36">
        <v>1146737</v>
      </c>
      <c r="H1053" s="48" t="str">
        <f>IFERROR(INDEX(Table14[],MATCH($G1053,Table14[SAPNo],0),3),"")</f>
        <v>1613 CT418 18-60</v>
      </c>
      <c r="I1053" s="37">
        <v>9</v>
      </c>
      <c r="J1053" s="37">
        <f>IF(Table412[[#This Row],[MAT]]&lt;&gt;"",COUNTIF(Table3[LEVEL 5 MAT NO.],Table412[[#This Row],[MAT]]),"")</f>
        <v>1</v>
      </c>
      <c r="K1053" s="36">
        <f>IFERROR(INDEX(Table3[],MATCH($E1053,Table3[LEVEL 5 MAT NO.],0),2),0)</f>
        <v>0</v>
      </c>
      <c r="L1053" s="36">
        <f>Table412[[#This Row],[Quantity in BOM]]*Table412[[#This Row],[Freq]]</f>
        <v>0</v>
      </c>
      <c r="M1053" s="36" t="str">
        <f>IF(Table412[[#This Row],[Exist]]=1,Table412[[#This Row],[MAT]],"")</f>
        <v>1239239M</v>
      </c>
      <c r="N1053" s="36">
        <f>IF(Table412[[#This Row],[Exist]]=1,Table412[[#This Row],[Component]],"")</f>
        <v>1146737</v>
      </c>
      <c r="O1053" s="36" t="str">
        <f>IFERROR(VALUE(Table412[[#This Row],[MAT]]&amp;Table412[[#This Row],[X'#]]),IF(COUNTIF(Table412[[#This Row],[MAT]],"*M"),Table412[[#This Row],[MAT]]&amp;Table412[[#This Row],[X'#]],""))</f>
        <v>1239239M3</v>
      </c>
    </row>
    <row r="1054" spans="1:15" x14ac:dyDescent="0.25">
      <c r="A1054" s="37">
        <f t="shared" si="17"/>
        <v>633</v>
      </c>
      <c r="C1054" s="38" t="s">
        <v>315</v>
      </c>
      <c r="D1054" s="36" t="s">
        <v>728</v>
      </c>
      <c r="E1054" s="36" t="s">
        <v>729</v>
      </c>
      <c r="F1054" s="36">
        <v>4</v>
      </c>
      <c r="G1054" s="36">
        <v>871781</v>
      </c>
      <c r="H1054" s="48" t="str">
        <f>IFERROR(INDEX(Table14[],MATCH($G1054,Table14[SAPNo],0),3),"")</f>
        <v>Round 1313 CT200  0.018" (B)</v>
      </c>
      <c r="I1054" s="37">
        <v>8</v>
      </c>
      <c r="J1054" s="37">
        <f>IF(Table412[[#This Row],[MAT]]&lt;&gt;"",COUNTIF(Table3[LEVEL 5 MAT NO.],Table412[[#This Row],[MAT]]),"")</f>
        <v>1</v>
      </c>
      <c r="K1054" s="36">
        <f>IFERROR(INDEX(Table3[],MATCH($E1054,Table3[LEVEL 5 MAT NO.],0),2),0)</f>
        <v>0</v>
      </c>
      <c r="L1054" s="36">
        <f>Table412[[#This Row],[Quantity in BOM]]*Table412[[#This Row],[Freq]]</f>
        <v>0</v>
      </c>
      <c r="M1054" s="36" t="str">
        <f>IF(Table412[[#This Row],[Exist]]=1,Table412[[#This Row],[MAT]],"")</f>
        <v>1239239M</v>
      </c>
      <c r="N1054" s="36">
        <f>IF(Table412[[#This Row],[Exist]]=1,Table412[[#This Row],[Component]],"")</f>
        <v>871781</v>
      </c>
      <c r="O1054" s="36" t="str">
        <f>IFERROR(VALUE(Table412[[#This Row],[MAT]]&amp;Table412[[#This Row],[X'#]]),IF(COUNTIF(Table412[[#This Row],[MAT]],"*M"),Table412[[#This Row],[MAT]]&amp;Table412[[#This Row],[X'#]],""))</f>
        <v>1239239M4</v>
      </c>
    </row>
    <row r="1055" spans="1:15" x14ac:dyDescent="0.25">
      <c r="A1055" s="37">
        <f t="shared" si="17"/>
        <v>633</v>
      </c>
      <c r="C1055" s="38" t="s">
        <v>315</v>
      </c>
      <c r="D1055" s="36" t="s">
        <v>728</v>
      </c>
      <c r="E1055" s="36" t="s">
        <v>729</v>
      </c>
      <c r="F1055" s="36">
        <v>5</v>
      </c>
      <c r="G1055" s="36">
        <v>1100753</v>
      </c>
      <c r="H1055" s="48" t="str">
        <f>IFERROR(INDEX(Table14[],MATCH($G1055,Table14[SAPNo],0),3),"")</f>
        <v>1608 18C CT421</v>
      </c>
      <c r="I1055" s="37">
        <v>8</v>
      </c>
      <c r="J1055" s="37">
        <f>IF(Table412[[#This Row],[MAT]]&lt;&gt;"",COUNTIF(Table3[LEVEL 5 MAT NO.],Table412[[#This Row],[MAT]]),"")</f>
        <v>1</v>
      </c>
      <c r="K1055" s="36">
        <f>IFERROR(INDEX(Table3[],MATCH($E1055,Table3[LEVEL 5 MAT NO.],0),2),0)</f>
        <v>0</v>
      </c>
      <c r="L1055" s="36">
        <f>Table412[[#This Row],[Quantity in BOM]]*Table412[[#This Row],[Freq]]</f>
        <v>0</v>
      </c>
      <c r="M1055" s="36" t="str">
        <f>IF(Table412[[#This Row],[Exist]]=1,Table412[[#This Row],[MAT]],"")</f>
        <v>1239239M</v>
      </c>
      <c r="N1055" s="36">
        <f>IF(Table412[[#This Row],[Exist]]=1,Table412[[#This Row],[Component]],"")</f>
        <v>1100753</v>
      </c>
      <c r="O1055" s="36" t="str">
        <f>IFERROR(VALUE(Table412[[#This Row],[MAT]]&amp;Table412[[#This Row],[X'#]]),IF(COUNTIF(Table412[[#This Row],[MAT]],"*M"),Table412[[#This Row],[MAT]]&amp;Table412[[#This Row],[X'#]],""))</f>
        <v>1239239M5</v>
      </c>
    </row>
    <row r="1056" spans="1:15" x14ac:dyDescent="0.25">
      <c r="A1056" s="37">
        <f t="shared" si="17"/>
        <v>633</v>
      </c>
      <c r="C1056" s="38" t="s">
        <v>624</v>
      </c>
      <c r="D1056" s="36" t="s">
        <v>663</v>
      </c>
      <c r="E1056" s="36">
        <v>1276939</v>
      </c>
      <c r="F1056" s="36">
        <v>5</v>
      </c>
      <c r="G1056" s="36">
        <v>1146737</v>
      </c>
      <c r="H1056" s="48" t="str">
        <f>IFERROR(INDEX(Table14[],MATCH($G1056,Table14[SAPNo],0),3),"")</f>
        <v>1613 CT418 18-60</v>
      </c>
      <c r="I1056" s="37">
        <v>6</v>
      </c>
      <c r="J1056" s="37">
        <f>IF(Table412[[#This Row],[MAT]]&lt;&gt;"",COUNTIF(Table3[LEVEL 5 MAT NO.],Table412[[#This Row],[MAT]]),"")</f>
        <v>1</v>
      </c>
      <c r="K1056" s="36">
        <f>IFERROR(INDEX(Table3[],MATCH($E1056,Table3[LEVEL 5 MAT NO.],0),2),0)</f>
        <v>9</v>
      </c>
      <c r="L1056" s="36">
        <f>Table412[[#This Row],[Quantity in BOM]]*Table412[[#This Row],[Freq]]</f>
        <v>54</v>
      </c>
      <c r="M1056" s="36">
        <f>IF(Table412[[#This Row],[Exist]]=1,Table412[[#This Row],[MAT]],"")</f>
        <v>1276939</v>
      </c>
      <c r="N1056" s="36">
        <f>IF(Table412[[#This Row],[Exist]]=1,Table412[[#This Row],[Component]],"")</f>
        <v>1146737</v>
      </c>
      <c r="O1056" s="36">
        <f>IFERROR(VALUE(Table412[[#This Row],[MAT]]&amp;Table412[[#This Row],[X'#]]),IF(COUNTIF(Table412[[#This Row],[MAT]],"*M"),Table412[[#This Row],[MAT]]&amp;Table412[[#This Row],[X'#]],""))</f>
        <v>12769395</v>
      </c>
    </row>
    <row r="1057" spans="1:15" x14ac:dyDescent="0.25">
      <c r="A1057" s="37">
        <f t="shared" si="17"/>
        <v>642</v>
      </c>
      <c r="C1057" s="38" t="s">
        <v>315</v>
      </c>
      <c r="D1057" s="36" t="s">
        <v>728</v>
      </c>
      <c r="E1057" s="36" t="s">
        <v>729</v>
      </c>
      <c r="F1057" s="36">
        <v>1</v>
      </c>
      <c r="G1057" s="36">
        <v>1100755</v>
      </c>
      <c r="H1057" s="48" t="str">
        <f>IFERROR(INDEX(Table14[],MATCH($G1057,Table14[SAPNo],0),3),"")</f>
        <v>Round 1613 CT421  0.018" (S)</v>
      </c>
      <c r="I1057" s="37">
        <v>69</v>
      </c>
      <c r="J1057" s="37">
        <f>IF(Table412[[#This Row],[MAT]]&lt;&gt;"",COUNTIF(Table3[LEVEL 5 MAT NO.],Table412[[#This Row],[MAT]]),"")</f>
        <v>1</v>
      </c>
      <c r="K1057" s="36">
        <f>IFERROR(INDEX(Table3[],MATCH($E1057,Table3[LEVEL 5 MAT NO.],0),2),0)</f>
        <v>0</v>
      </c>
      <c r="L1057" s="36">
        <f>Table412[[#This Row],[Quantity in BOM]]*Table412[[#This Row],[Freq]]</f>
        <v>0</v>
      </c>
      <c r="M1057" s="36" t="str">
        <f>IF(Table412[[#This Row],[Exist]]=1,Table412[[#This Row],[MAT]],"")</f>
        <v>1239239M</v>
      </c>
      <c r="N1057" s="36">
        <f>IF(Table412[[#This Row],[Exist]]=1,Table412[[#This Row],[Component]],"")</f>
        <v>1100755</v>
      </c>
      <c r="O1057" s="36" t="str">
        <f>IFERROR(VALUE(Table412[[#This Row],[MAT]]&amp;Table412[[#This Row],[X'#]]),IF(COUNTIF(Table412[[#This Row],[MAT]],"*M"),Table412[[#This Row],[MAT]]&amp;Table412[[#This Row],[X'#]],""))</f>
        <v>1239239M1</v>
      </c>
    </row>
    <row r="1058" spans="1:15" x14ac:dyDescent="0.25">
      <c r="A1058" s="37">
        <f t="shared" si="17"/>
        <v>642</v>
      </c>
      <c r="C1058" s="38" t="s">
        <v>315</v>
      </c>
      <c r="D1058" s="36" t="s">
        <v>728</v>
      </c>
      <c r="E1058" s="36" t="s">
        <v>729</v>
      </c>
      <c r="F1058" s="36">
        <v>2</v>
      </c>
      <c r="G1058" s="36">
        <v>1100759</v>
      </c>
      <c r="H1058" s="48" t="str">
        <f>IFERROR(INDEX(Table14[],MATCH($G1058,Table14[SAPNo],0),3),"")</f>
        <v>1913 CT421 0.018"</v>
      </c>
      <c r="I1058" s="37">
        <v>24</v>
      </c>
      <c r="J1058" s="37">
        <f>IF(Table412[[#This Row],[MAT]]&lt;&gt;"",COUNTIF(Table3[LEVEL 5 MAT NO.],Table412[[#This Row],[MAT]]),"")</f>
        <v>1</v>
      </c>
      <c r="K1058" s="36">
        <f>IFERROR(INDEX(Table3[],MATCH($E1058,Table3[LEVEL 5 MAT NO.],0),2),0)</f>
        <v>0</v>
      </c>
      <c r="L1058" s="36">
        <f>Table412[[#This Row],[Quantity in BOM]]*Table412[[#This Row],[Freq]]</f>
        <v>0</v>
      </c>
      <c r="M1058" s="36" t="str">
        <f>IF(Table412[[#This Row],[Exist]]=1,Table412[[#This Row],[MAT]],"")</f>
        <v>1239239M</v>
      </c>
      <c r="N1058" s="36">
        <f>IF(Table412[[#This Row],[Exist]]=1,Table412[[#This Row],[Component]],"")</f>
        <v>1100759</v>
      </c>
      <c r="O1058" s="36" t="str">
        <f>IFERROR(VALUE(Table412[[#This Row],[MAT]]&amp;Table412[[#This Row],[X'#]]),IF(COUNTIF(Table412[[#This Row],[MAT]],"*M"),Table412[[#This Row],[MAT]]&amp;Table412[[#This Row],[X'#]],""))</f>
        <v>1239239M2</v>
      </c>
    </row>
    <row r="1059" spans="1:15" x14ac:dyDescent="0.25">
      <c r="A1059" s="37">
        <f t="shared" si="17"/>
        <v>642</v>
      </c>
      <c r="C1059" s="38" t="s">
        <v>315</v>
      </c>
      <c r="D1059" s="36" t="s">
        <v>728</v>
      </c>
      <c r="E1059" s="36" t="s">
        <v>729</v>
      </c>
      <c r="F1059" s="36">
        <v>3</v>
      </c>
      <c r="G1059" s="36">
        <v>1146737</v>
      </c>
      <c r="H1059" s="48" t="str">
        <f>IFERROR(INDEX(Table14[],MATCH($G1059,Table14[SAPNo],0),3),"")</f>
        <v>1613 CT418 18-60</v>
      </c>
      <c r="I1059" s="37">
        <v>9</v>
      </c>
      <c r="J1059" s="37">
        <f>IF(Table412[[#This Row],[MAT]]&lt;&gt;"",COUNTIF(Table3[LEVEL 5 MAT NO.],Table412[[#This Row],[MAT]]),"")</f>
        <v>1</v>
      </c>
      <c r="K1059" s="36">
        <f>IFERROR(INDEX(Table3[],MATCH($E1059,Table3[LEVEL 5 MAT NO.],0),2),0)</f>
        <v>0</v>
      </c>
      <c r="L1059" s="36">
        <f>Table412[[#This Row],[Quantity in BOM]]*Table412[[#This Row],[Freq]]</f>
        <v>0</v>
      </c>
      <c r="M1059" s="36" t="str">
        <f>IF(Table412[[#This Row],[Exist]]=1,Table412[[#This Row],[MAT]],"")</f>
        <v>1239239M</v>
      </c>
      <c r="N1059" s="36">
        <f>IF(Table412[[#This Row],[Exist]]=1,Table412[[#This Row],[Component]],"")</f>
        <v>1146737</v>
      </c>
      <c r="O1059" s="36" t="str">
        <f>IFERROR(VALUE(Table412[[#This Row],[MAT]]&amp;Table412[[#This Row],[X'#]]),IF(COUNTIF(Table412[[#This Row],[MAT]],"*M"),Table412[[#This Row],[MAT]]&amp;Table412[[#This Row],[X'#]],""))</f>
        <v>1239239M3</v>
      </c>
    </row>
    <row r="1060" spans="1:15" x14ac:dyDescent="0.25">
      <c r="A1060" s="37">
        <f t="shared" si="17"/>
        <v>642</v>
      </c>
      <c r="C1060" s="38" t="s">
        <v>315</v>
      </c>
      <c r="D1060" s="36" t="s">
        <v>728</v>
      </c>
      <c r="E1060" s="36" t="s">
        <v>729</v>
      </c>
      <c r="F1060" s="36">
        <v>4</v>
      </c>
      <c r="G1060" s="36">
        <v>871781</v>
      </c>
      <c r="H1060" s="48" t="str">
        <f>IFERROR(INDEX(Table14[],MATCH($G1060,Table14[SAPNo],0),3),"")</f>
        <v>Round 1313 CT200  0.018" (B)</v>
      </c>
      <c r="I1060" s="37">
        <v>8</v>
      </c>
      <c r="J1060" s="37">
        <f>IF(Table412[[#This Row],[MAT]]&lt;&gt;"",COUNTIF(Table3[LEVEL 5 MAT NO.],Table412[[#This Row],[MAT]]),"")</f>
        <v>1</v>
      </c>
      <c r="K1060" s="36">
        <f>IFERROR(INDEX(Table3[],MATCH($E1060,Table3[LEVEL 5 MAT NO.],0),2),0)</f>
        <v>0</v>
      </c>
      <c r="L1060" s="36">
        <f>Table412[[#This Row],[Quantity in BOM]]*Table412[[#This Row],[Freq]]</f>
        <v>0</v>
      </c>
      <c r="M1060" s="36" t="str">
        <f>IF(Table412[[#This Row],[Exist]]=1,Table412[[#This Row],[MAT]],"")</f>
        <v>1239239M</v>
      </c>
      <c r="N1060" s="36">
        <f>IF(Table412[[#This Row],[Exist]]=1,Table412[[#This Row],[Component]],"")</f>
        <v>871781</v>
      </c>
      <c r="O1060" s="36" t="str">
        <f>IFERROR(VALUE(Table412[[#This Row],[MAT]]&amp;Table412[[#This Row],[X'#]]),IF(COUNTIF(Table412[[#This Row],[MAT]],"*M"),Table412[[#This Row],[MAT]]&amp;Table412[[#This Row],[X'#]],""))</f>
        <v>1239239M4</v>
      </c>
    </row>
    <row r="1061" spans="1:15" x14ac:dyDescent="0.25">
      <c r="A1061" s="37">
        <f t="shared" si="17"/>
        <v>642</v>
      </c>
      <c r="C1061" s="38" t="s">
        <v>315</v>
      </c>
      <c r="D1061" s="36" t="s">
        <v>728</v>
      </c>
      <c r="E1061" s="36" t="s">
        <v>729</v>
      </c>
      <c r="F1061" s="36">
        <v>5</v>
      </c>
      <c r="G1061" s="36">
        <v>1100753</v>
      </c>
      <c r="H1061" s="48" t="str">
        <f>IFERROR(INDEX(Table14[],MATCH($G1061,Table14[SAPNo],0),3),"")</f>
        <v>1608 18C CT421</v>
      </c>
      <c r="I1061" s="37">
        <v>8</v>
      </c>
      <c r="J1061" s="37">
        <f>IF(Table412[[#This Row],[MAT]]&lt;&gt;"",COUNTIF(Table3[LEVEL 5 MAT NO.],Table412[[#This Row],[MAT]]),"")</f>
        <v>1</v>
      </c>
      <c r="K1061" s="36">
        <f>IFERROR(INDEX(Table3[],MATCH($E1061,Table3[LEVEL 5 MAT NO.],0),2),0)</f>
        <v>0</v>
      </c>
      <c r="L1061" s="36">
        <f>Table412[[#This Row],[Quantity in BOM]]*Table412[[#This Row],[Freq]]</f>
        <v>0</v>
      </c>
      <c r="M1061" s="36" t="str">
        <f>IF(Table412[[#This Row],[Exist]]=1,Table412[[#This Row],[MAT]],"")</f>
        <v>1239239M</v>
      </c>
      <c r="N1061" s="36">
        <f>IF(Table412[[#This Row],[Exist]]=1,Table412[[#This Row],[Component]],"")</f>
        <v>1100753</v>
      </c>
      <c r="O1061" s="36" t="str">
        <f>IFERROR(VALUE(Table412[[#This Row],[MAT]]&amp;Table412[[#This Row],[X'#]]),IF(COUNTIF(Table412[[#This Row],[MAT]],"*M"),Table412[[#This Row],[MAT]]&amp;Table412[[#This Row],[X'#]],""))</f>
        <v>1239239M5</v>
      </c>
    </row>
    <row r="1062" spans="1:15" x14ac:dyDescent="0.25">
      <c r="A1062" s="37">
        <f t="shared" si="17"/>
        <v>642</v>
      </c>
      <c r="C1062" s="38">
        <v>6.125</v>
      </c>
      <c r="D1062" s="36" t="s">
        <v>735</v>
      </c>
      <c r="E1062" s="36">
        <v>1258557</v>
      </c>
      <c r="F1062" s="36">
        <v>1</v>
      </c>
      <c r="G1062" s="36">
        <v>1100696</v>
      </c>
      <c r="H1062" s="48" t="str">
        <f>IFERROR(INDEX(Table14[],MATCH($G1062,Table14[SAPNo],0),3),"")</f>
        <v>Round 1313 CT418  10C (S)</v>
      </c>
      <c r="I1062" s="37">
        <v>16</v>
      </c>
      <c r="J1062" s="37">
        <f>IF(Table412[[#This Row],[MAT]]&lt;&gt;"",COUNTIF(Table3[LEVEL 5 MAT NO.],Table412[[#This Row],[MAT]]),"")</f>
        <v>1</v>
      </c>
      <c r="K1062" s="36">
        <f>IFERROR(INDEX(Table3[],MATCH($E1062,Table3[LEVEL 5 MAT NO.],0),2),0)</f>
        <v>2</v>
      </c>
      <c r="L1062" s="36">
        <f>Table412[[#This Row],[Quantity in BOM]]*Table412[[#This Row],[Freq]]</f>
        <v>32</v>
      </c>
      <c r="M1062" s="36">
        <f>IF(Table412[[#This Row],[Exist]]=1,Table412[[#This Row],[MAT]],"")</f>
        <v>1258557</v>
      </c>
      <c r="N1062" s="36">
        <f>IF(Table412[[#This Row],[Exist]]=1,Table412[[#This Row],[Component]],"")</f>
        <v>1100696</v>
      </c>
      <c r="O1062" s="36">
        <f>IFERROR(VALUE(Table412[[#This Row],[MAT]]&amp;Table412[[#This Row],[X'#]]),IF(COUNTIF(Table412[[#This Row],[MAT]],"*M"),Table412[[#This Row],[MAT]]&amp;Table412[[#This Row],[X'#]],""))</f>
        <v>12585571</v>
      </c>
    </row>
    <row r="1063" spans="1:15" x14ac:dyDescent="0.25">
      <c r="A1063" s="37">
        <f t="shared" si="17"/>
        <v>644</v>
      </c>
      <c r="C1063" s="38">
        <v>6.125</v>
      </c>
      <c r="D1063" s="36" t="s">
        <v>735</v>
      </c>
      <c r="E1063" s="36">
        <v>1258557</v>
      </c>
      <c r="F1063" s="36">
        <v>2</v>
      </c>
      <c r="G1063" s="36">
        <v>418525</v>
      </c>
      <c r="H1063" s="48" t="str">
        <f>IFERROR(INDEX(Table14[],MATCH($G1063,Table14[SAPNo],0),3),"")</f>
        <v>Drop In 1308 CT31   (B)</v>
      </c>
      <c r="I1063" s="37">
        <v>10</v>
      </c>
      <c r="J1063" s="37">
        <f>IF(Table412[[#This Row],[MAT]]&lt;&gt;"",COUNTIF(Table3[LEVEL 5 MAT NO.],Table412[[#This Row],[MAT]]),"")</f>
        <v>1</v>
      </c>
      <c r="K1063" s="36">
        <f>IFERROR(INDEX(Table3[],MATCH($E1063,Table3[LEVEL 5 MAT NO.],0),2),0)</f>
        <v>2</v>
      </c>
      <c r="L1063" s="36">
        <f>Table412[[#This Row],[Quantity in BOM]]*Table412[[#This Row],[Freq]]</f>
        <v>20</v>
      </c>
      <c r="M1063" s="36">
        <f>IF(Table412[[#This Row],[Exist]]=1,Table412[[#This Row],[MAT]],"")</f>
        <v>1258557</v>
      </c>
      <c r="N1063" s="36">
        <f>IF(Table412[[#This Row],[Exist]]=1,Table412[[#This Row],[Component]],"")</f>
        <v>418525</v>
      </c>
      <c r="O1063" s="36">
        <f>IFERROR(VALUE(Table412[[#This Row],[MAT]]&amp;Table412[[#This Row],[X'#]]),IF(COUNTIF(Table412[[#This Row],[MAT]],"*M"),Table412[[#This Row],[MAT]]&amp;Table412[[#This Row],[X'#]],""))</f>
        <v>12585572</v>
      </c>
    </row>
    <row r="1064" spans="1:15" x14ac:dyDescent="0.25">
      <c r="A1064" s="37">
        <f t="shared" si="17"/>
        <v>646</v>
      </c>
      <c r="C1064" s="38">
        <v>6.125</v>
      </c>
      <c r="D1064" s="36" t="s">
        <v>735</v>
      </c>
      <c r="E1064" s="36">
        <v>1258557</v>
      </c>
      <c r="F1064" s="36">
        <v>3</v>
      </c>
      <c r="G1064" s="36">
        <v>1272309</v>
      </c>
      <c r="H1064" s="48" t="str">
        <f>IFERROR(INDEX(Table14[],MATCH($G1064,Table14[SAPNo],0),3),"")</f>
        <v>1313 CT170T U</v>
      </c>
      <c r="I1064" s="37">
        <v>7</v>
      </c>
      <c r="J1064" s="37">
        <f>IF(Table412[[#This Row],[MAT]]&lt;&gt;"",COUNTIF(Table3[LEVEL 5 MAT NO.],Table412[[#This Row],[MAT]]),"")</f>
        <v>1</v>
      </c>
      <c r="K1064" s="36">
        <f>IFERROR(INDEX(Table3[],MATCH($E1064,Table3[LEVEL 5 MAT NO.],0),2),0)</f>
        <v>2</v>
      </c>
      <c r="L1064" s="36">
        <f>Table412[[#This Row],[Quantity in BOM]]*Table412[[#This Row],[Freq]]</f>
        <v>14</v>
      </c>
      <c r="M1064" s="36">
        <f>IF(Table412[[#This Row],[Exist]]=1,Table412[[#This Row],[MAT]],"")</f>
        <v>1258557</v>
      </c>
      <c r="N1064" s="36">
        <f>IF(Table412[[#This Row],[Exist]]=1,Table412[[#This Row],[Component]],"")</f>
        <v>1272309</v>
      </c>
      <c r="O1064" s="36">
        <f>IFERROR(VALUE(Table412[[#This Row],[MAT]]&amp;Table412[[#This Row],[X'#]]),IF(COUNTIF(Table412[[#This Row],[MAT]],"*M"),Table412[[#This Row],[MAT]]&amp;Table412[[#This Row],[X'#]],""))</f>
        <v>12585573</v>
      </c>
    </row>
    <row r="1065" spans="1:15" x14ac:dyDescent="0.25">
      <c r="A1065" s="37">
        <f t="shared" si="17"/>
        <v>648</v>
      </c>
      <c r="C1065" s="38" t="s">
        <v>313</v>
      </c>
      <c r="D1065" s="36" t="s">
        <v>273</v>
      </c>
      <c r="E1065" s="36" t="s">
        <v>737</v>
      </c>
      <c r="F1065" s="36">
        <v>1</v>
      </c>
      <c r="G1065" s="36">
        <v>1100755</v>
      </c>
      <c r="H1065" s="48" t="str">
        <f>IFERROR(INDEX(Table14[],MATCH($G1065,Table14[SAPNo],0),3),"")</f>
        <v>Round 1613 CT421  0.018" (S)</v>
      </c>
      <c r="I1065" s="37">
        <v>33</v>
      </c>
      <c r="J1065" s="37">
        <f>IF(Table412[[#This Row],[MAT]]&lt;&gt;"",COUNTIF(Table3[LEVEL 5 MAT NO.],Table412[[#This Row],[MAT]]),"")</f>
        <v>1</v>
      </c>
      <c r="K1065" s="36">
        <f>IFERROR(INDEX(Table3[],MATCH($E1065,Table3[LEVEL 5 MAT NO.],0),2),0)</f>
        <v>0</v>
      </c>
      <c r="L1065" s="36">
        <f>Table412[[#This Row],[Quantity in BOM]]*Table412[[#This Row],[Freq]]</f>
        <v>0</v>
      </c>
      <c r="M1065" s="36" t="str">
        <f>IF(Table412[[#This Row],[Exist]]=1,Table412[[#This Row],[MAT]],"")</f>
        <v>1246020M</v>
      </c>
      <c r="N1065" s="36">
        <f>IF(Table412[[#This Row],[Exist]]=1,Table412[[#This Row],[Component]],"")</f>
        <v>1100755</v>
      </c>
      <c r="O1065" s="36" t="str">
        <f>IFERROR(VALUE(Table412[[#This Row],[MAT]]&amp;Table412[[#This Row],[X'#]]),IF(COUNTIF(Table412[[#This Row],[MAT]],"*M"),Table412[[#This Row],[MAT]]&amp;Table412[[#This Row],[X'#]],""))</f>
        <v>1246020M1</v>
      </c>
    </row>
    <row r="1066" spans="1:15" x14ac:dyDescent="0.25">
      <c r="A1066" s="37">
        <f t="shared" si="17"/>
        <v>648</v>
      </c>
      <c r="C1066" s="38" t="s">
        <v>313</v>
      </c>
      <c r="D1066" s="36" t="s">
        <v>273</v>
      </c>
      <c r="E1066" s="36" t="s">
        <v>737</v>
      </c>
      <c r="F1066" s="36">
        <v>2</v>
      </c>
      <c r="G1066" s="36">
        <v>647435</v>
      </c>
      <c r="H1066" s="48" t="str">
        <f>IFERROR(INDEX(Table14[],MATCH($G1066,Table14[SAPNo],0),3),"")</f>
        <v>Round 1608 CT200  0.018" (B)</v>
      </c>
      <c r="I1066" s="37">
        <v>23</v>
      </c>
      <c r="J1066" s="37">
        <f>IF(Table412[[#This Row],[MAT]]&lt;&gt;"",COUNTIF(Table3[LEVEL 5 MAT NO.],Table412[[#This Row],[MAT]]),"")</f>
        <v>1</v>
      </c>
      <c r="K1066" s="36">
        <f>IFERROR(INDEX(Table3[],MATCH($E1066,Table3[LEVEL 5 MAT NO.],0),2),0)</f>
        <v>0</v>
      </c>
      <c r="L1066" s="36">
        <f>Table412[[#This Row],[Quantity in BOM]]*Table412[[#This Row],[Freq]]</f>
        <v>0</v>
      </c>
      <c r="M1066" s="36" t="str">
        <f>IF(Table412[[#This Row],[Exist]]=1,Table412[[#This Row],[MAT]],"")</f>
        <v>1246020M</v>
      </c>
      <c r="N1066" s="36">
        <f>IF(Table412[[#This Row],[Exist]]=1,Table412[[#This Row],[Component]],"")</f>
        <v>647435</v>
      </c>
      <c r="O1066" s="36" t="str">
        <f>IFERROR(VALUE(Table412[[#This Row],[MAT]]&amp;Table412[[#This Row],[X'#]]),IF(COUNTIF(Table412[[#This Row],[MAT]],"*M"),Table412[[#This Row],[MAT]]&amp;Table412[[#This Row],[X'#]],""))</f>
        <v>1246020M2</v>
      </c>
    </row>
    <row r="1067" spans="1:15" x14ac:dyDescent="0.25">
      <c r="A1067" s="37">
        <f t="shared" si="17"/>
        <v>648</v>
      </c>
      <c r="C1067" s="38" t="s">
        <v>313</v>
      </c>
      <c r="D1067" s="36" t="s">
        <v>273</v>
      </c>
      <c r="E1067" s="36" t="s">
        <v>737</v>
      </c>
      <c r="F1067" s="36">
        <v>3</v>
      </c>
      <c r="G1067" s="36">
        <v>871781</v>
      </c>
      <c r="H1067" s="48" t="str">
        <f>IFERROR(INDEX(Table14[],MATCH($G1067,Table14[SAPNo],0),3),"")</f>
        <v>Round 1313 CT200  0.018" (B)</v>
      </c>
      <c r="I1067" s="37">
        <v>6</v>
      </c>
      <c r="J1067" s="37">
        <f>IF(Table412[[#This Row],[MAT]]&lt;&gt;"",COUNTIF(Table3[LEVEL 5 MAT NO.],Table412[[#This Row],[MAT]]),"")</f>
        <v>1</v>
      </c>
      <c r="K1067" s="36">
        <f>IFERROR(INDEX(Table3[],MATCH($E1067,Table3[LEVEL 5 MAT NO.],0),2),0)</f>
        <v>0</v>
      </c>
      <c r="L1067" s="36">
        <f>Table412[[#This Row],[Quantity in BOM]]*Table412[[#This Row],[Freq]]</f>
        <v>0</v>
      </c>
      <c r="M1067" s="36" t="str">
        <f>IF(Table412[[#This Row],[Exist]]=1,Table412[[#This Row],[MAT]],"")</f>
        <v>1246020M</v>
      </c>
      <c r="N1067" s="36">
        <f>IF(Table412[[#This Row],[Exist]]=1,Table412[[#This Row],[Component]],"")</f>
        <v>871781</v>
      </c>
      <c r="O1067" s="36" t="str">
        <f>IFERROR(VALUE(Table412[[#This Row],[MAT]]&amp;Table412[[#This Row],[X'#]]),IF(COUNTIF(Table412[[#This Row],[MAT]],"*M"),Table412[[#This Row],[MAT]]&amp;Table412[[#This Row],[X'#]],""))</f>
        <v>1246020M3</v>
      </c>
    </row>
    <row r="1068" spans="1:15" x14ac:dyDescent="0.25">
      <c r="A1068" s="37">
        <f t="shared" si="17"/>
        <v>648</v>
      </c>
      <c r="C1068" s="38">
        <v>6.125</v>
      </c>
      <c r="D1068" s="36" t="s">
        <v>679</v>
      </c>
      <c r="E1068" s="36" t="s">
        <v>3734</v>
      </c>
      <c r="F1068" s="36">
        <v>1</v>
      </c>
      <c r="G1068" s="36">
        <v>1145493</v>
      </c>
      <c r="H1068" s="48" t="str">
        <f>IFERROR(INDEX(Table14[],MATCH($G1068,Table14[SAPNo],0),3),"")</f>
        <v>Round 1313 CT427  10C (S)</v>
      </c>
      <c r="I1068" s="37">
        <v>16</v>
      </c>
      <c r="J1068" s="37">
        <f>IF(Table412[[#This Row],[MAT]]&lt;&gt;"",COUNTIF(Table3[LEVEL 5 MAT NO.],Table412[[#This Row],[MAT]]),"")</f>
        <v>0</v>
      </c>
      <c r="K1068" s="36">
        <f>IFERROR(INDEX(Table3[],MATCH($E1068,Table3[LEVEL 5 MAT NO.],0),2),0)</f>
        <v>0</v>
      </c>
      <c r="L1068" s="36">
        <f>Table412[[#This Row],[Quantity in BOM]]*Table412[[#This Row],[Freq]]</f>
        <v>0</v>
      </c>
      <c r="M1068" s="36" t="str">
        <f>IF(Table412[[#This Row],[Exist]]=1,Table412[[#This Row],[MAT]],"")</f>
        <v/>
      </c>
      <c r="N1068" s="36" t="str">
        <f>IF(Table412[[#This Row],[Exist]]=1,Table412[[#This Row],[Component]],"")</f>
        <v/>
      </c>
      <c r="O1068" s="36" t="str">
        <f>IFERROR(VALUE(Table412[[#This Row],[MAT]]&amp;Table412[[#This Row],[X'#]]),IF(COUNTIF(Table412[[#This Row],[MAT]],"*M"),Table412[[#This Row],[MAT]]&amp;Table412[[#This Row],[X'#]],""))</f>
        <v>1251085M1</v>
      </c>
    </row>
    <row r="1069" spans="1:15" x14ac:dyDescent="0.25">
      <c r="A1069" s="37">
        <f t="shared" si="17"/>
        <v>648</v>
      </c>
      <c r="C1069" s="38">
        <v>6.125</v>
      </c>
      <c r="D1069" s="36" t="s">
        <v>679</v>
      </c>
      <c r="E1069" s="36" t="s">
        <v>3734</v>
      </c>
      <c r="F1069" s="36">
        <v>2</v>
      </c>
      <c r="G1069" s="36">
        <v>418525</v>
      </c>
      <c r="H1069" s="48" t="str">
        <f>IFERROR(INDEX(Table14[],MATCH($G1069,Table14[SAPNo],0),3),"")</f>
        <v>Drop In 1308 CT31   (B)</v>
      </c>
      <c r="I1069" s="37">
        <v>10</v>
      </c>
      <c r="J1069" s="37">
        <f>IF(Table412[[#This Row],[MAT]]&lt;&gt;"",COUNTIF(Table3[LEVEL 5 MAT NO.],Table412[[#This Row],[MAT]]),"")</f>
        <v>0</v>
      </c>
      <c r="K1069" s="36">
        <f>IFERROR(INDEX(Table3[],MATCH($E1069,Table3[LEVEL 5 MAT NO.],0),2),0)</f>
        <v>0</v>
      </c>
      <c r="L1069" s="36">
        <f>Table412[[#This Row],[Quantity in BOM]]*Table412[[#This Row],[Freq]]</f>
        <v>0</v>
      </c>
      <c r="M1069" s="36" t="str">
        <f>IF(Table412[[#This Row],[Exist]]=1,Table412[[#This Row],[MAT]],"")</f>
        <v/>
      </c>
      <c r="N1069" s="36" t="str">
        <f>IF(Table412[[#This Row],[Exist]]=1,Table412[[#This Row],[Component]],"")</f>
        <v/>
      </c>
      <c r="O1069" s="36" t="str">
        <f>IFERROR(VALUE(Table412[[#This Row],[MAT]]&amp;Table412[[#This Row],[X'#]]),IF(COUNTIF(Table412[[#This Row],[MAT]],"*M"),Table412[[#This Row],[MAT]]&amp;Table412[[#This Row],[X'#]],""))</f>
        <v>1251085M2</v>
      </c>
    </row>
    <row r="1070" spans="1:15" x14ac:dyDescent="0.25">
      <c r="A1070" s="37">
        <f t="shared" si="17"/>
        <v>648</v>
      </c>
      <c r="C1070" s="38">
        <v>6.125</v>
      </c>
      <c r="D1070" s="36" t="s">
        <v>679</v>
      </c>
      <c r="E1070" s="36" t="s">
        <v>3734</v>
      </c>
      <c r="F1070" s="36">
        <v>3</v>
      </c>
      <c r="G1070" s="36">
        <v>1244299</v>
      </c>
      <c r="H1070" s="48" t="str">
        <f>IFERROR(INDEX(Table14[],MATCH($G1070,Table14[SAPNo],0),3),"")</f>
        <v>1313 CT147CV4 U</v>
      </c>
      <c r="I1070" s="37">
        <v>7</v>
      </c>
      <c r="J1070" s="37">
        <f>IF(Table412[[#This Row],[MAT]]&lt;&gt;"",COUNTIF(Table3[LEVEL 5 MAT NO.],Table412[[#This Row],[MAT]]),"")</f>
        <v>0</v>
      </c>
      <c r="K1070" s="36">
        <f>IFERROR(INDEX(Table3[],MATCH($E1070,Table3[LEVEL 5 MAT NO.],0),2),0)</f>
        <v>0</v>
      </c>
      <c r="L1070" s="36">
        <f>Table412[[#This Row],[Quantity in BOM]]*Table412[[#This Row],[Freq]]</f>
        <v>0</v>
      </c>
      <c r="M1070" s="36" t="str">
        <f>IF(Table412[[#This Row],[Exist]]=1,Table412[[#This Row],[MAT]],"")</f>
        <v/>
      </c>
      <c r="N1070" s="36" t="str">
        <f>IF(Table412[[#This Row],[Exist]]=1,Table412[[#This Row],[Component]],"")</f>
        <v/>
      </c>
      <c r="O1070" s="36" t="str">
        <f>IFERROR(VALUE(Table412[[#This Row],[MAT]]&amp;Table412[[#This Row],[X'#]]),IF(COUNTIF(Table412[[#This Row],[MAT]],"*M"),Table412[[#This Row],[MAT]]&amp;Table412[[#This Row],[X'#]],""))</f>
        <v>1251085M3</v>
      </c>
    </row>
    <row r="1071" spans="1:15" x14ac:dyDescent="0.25">
      <c r="A1071" s="37">
        <f t="shared" si="17"/>
        <v>648</v>
      </c>
      <c r="C1071" s="38" t="s">
        <v>315</v>
      </c>
      <c r="D1071" s="36" t="s">
        <v>286</v>
      </c>
      <c r="E1071" s="36" t="s">
        <v>761</v>
      </c>
      <c r="F1071" s="36">
        <v>1</v>
      </c>
      <c r="G1071" s="36">
        <v>1271790</v>
      </c>
      <c r="H1071" s="48" t="str">
        <f>IFERROR(INDEX(Table14[],MATCH($G1071,Table14[SAPNo],0),3),"")</f>
        <v xml:space="preserve">1613 CT170 18-60 </v>
      </c>
      <c r="I1071" s="37">
        <v>30</v>
      </c>
      <c r="J1071" s="37">
        <f>IF(Table412[[#This Row],[MAT]]&lt;&gt;"",COUNTIF(Table3[LEVEL 5 MAT NO.],Table412[[#This Row],[MAT]]),"")</f>
        <v>1</v>
      </c>
      <c r="K1071" s="36">
        <f>IFERROR(INDEX(Table3[],MATCH($E1071,Table3[LEVEL 5 MAT NO.],0),2),0)</f>
        <v>1</v>
      </c>
      <c r="L1071" s="36">
        <f>Table412[[#This Row],[Quantity in BOM]]*Table412[[#This Row],[Freq]]</f>
        <v>30</v>
      </c>
      <c r="M1071" s="36" t="str">
        <f>IF(Table412[[#This Row],[Exist]]=1,Table412[[#This Row],[MAT]],"")</f>
        <v>1290130M</v>
      </c>
      <c r="N1071" s="36">
        <f>IF(Table412[[#This Row],[Exist]]=1,Table412[[#This Row],[Component]],"")</f>
        <v>1271790</v>
      </c>
      <c r="O1071" s="36" t="str">
        <f>IFERROR(VALUE(Table412[[#This Row],[MAT]]&amp;Table412[[#This Row],[X'#]]),IF(COUNTIF(Table412[[#This Row],[MAT]],"*M"),Table412[[#This Row],[MAT]]&amp;Table412[[#This Row],[X'#]],""))</f>
        <v>1290130M1</v>
      </c>
    </row>
    <row r="1072" spans="1:15" x14ac:dyDescent="0.25">
      <c r="A1072" s="37">
        <f t="shared" si="17"/>
        <v>649</v>
      </c>
      <c r="C1072" s="38" t="s">
        <v>315</v>
      </c>
      <c r="D1072" s="36" t="s">
        <v>286</v>
      </c>
      <c r="E1072" s="36" t="s">
        <v>761</v>
      </c>
      <c r="F1072" s="36">
        <v>2</v>
      </c>
      <c r="G1072" s="36">
        <v>1100751</v>
      </c>
      <c r="H1072" s="48" t="str">
        <f>IFERROR(INDEX(Table14[],MATCH($G1072,Table14[SAPNo],0),3),"")</f>
        <v>1313 CT421 0.018"</v>
      </c>
      <c r="I1072" s="37">
        <v>22</v>
      </c>
      <c r="J1072" s="37">
        <f>IF(Table412[[#This Row],[MAT]]&lt;&gt;"",COUNTIF(Table3[LEVEL 5 MAT NO.],Table412[[#This Row],[MAT]]),"")</f>
        <v>1</v>
      </c>
      <c r="K1072" s="36">
        <f>IFERROR(INDEX(Table3[],MATCH($E1072,Table3[LEVEL 5 MAT NO.],0),2),0)</f>
        <v>1</v>
      </c>
      <c r="L1072" s="36">
        <f>Table412[[#This Row],[Quantity in BOM]]*Table412[[#This Row],[Freq]]</f>
        <v>22</v>
      </c>
      <c r="M1072" s="36" t="str">
        <f>IF(Table412[[#This Row],[Exist]]=1,Table412[[#This Row],[MAT]],"")</f>
        <v>1290130M</v>
      </c>
      <c r="N1072" s="36">
        <f>IF(Table412[[#This Row],[Exist]]=1,Table412[[#This Row],[Component]],"")</f>
        <v>1100751</v>
      </c>
      <c r="O1072" s="36" t="str">
        <f>IFERROR(VALUE(Table412[[#This Row],[MAT]]&amp;Table412[[#This Row],[X'#]]),IF(COUNTIF(Table412[[#This Row],[MAT]],"*M"),Table412[[#This Row],[MAT]]&amp;Table412[[#This Row],[X'#]],""))</f>
        <v>1290130M2</v>
      </c>
    </row>
    <row r="1073" spans="1:31" x14ac:dyDescent="0.25">
      <c r="A1073" s="37">
        <f t="shared" si="17"/>
        <v>650</v>
      </c>
      <c r="C1073" s="38" t="s">
        <v>315</v>
      </c>
      <c r="D1073" s="36" t="s">
        <v>286</v>
      </c>
      <c r="E1073" s="36" t="s">
        <v>761</v>
      </c>
      <c r="F1073" s="36">
        <v>3</v>
      </c>
      <c r="G1073" s="36">
        <v>1146737</v>
      </c>
      <c r="H1073" s="48" t="str">
        <f>IFERROR(INDEX(Table14[],MATCH($G1073,Table14[SAPNo],0),3),"")</f>
        <v>1613 CT418 18-60</v>
      </c>
      <c r="I1073" s="37">
        <v>10</v>
      </c>
      <c r="J1073" s="37">
        <f>IF(Table412[[#This Row],[MAT]]&lt;&gt;"",COUNTIF(Table3[LEVEL 5 MAT NO.],Table412[[#This Row],[MAT]]),"")</f>
        <v>1</v>
      </c>
      <c r="K1073" s="36">
        <f>IFERROR(INDEX(Table3[],MATCH($E1073,Table3[LEVEL 5 MAT NO.],0),2),0)</f>
        <v>1</v>
      </c>
      <c r="L1073" s="36">
        <f>Table412[[#This Row],[Quantity in BOM]]*Table412[[#This Row],[Freq]]</f>
        <v>10</v>
      </c>
      <c r="M1073" s="36" t="str">
        <f>IF(Table412[[#This Row],[Exist]]=1,Table412[[#This Row],[MAT]],"")</f>
        <v>1290130M</v>
      </c>
      <c r="N1073" s="36">
        <f>IF(Table412[[#This Row],[Exist]]=1,Table412[[#This Row],[Component]],"")</f>
        <v>1146737</v>
      </c>
      <c r="O1073" s="36" t="str">
        <f>IFERROR(VALUE(Table412[[#This Row],[MAT]]&amp;Table412[[#This Row],[X'#]]),IF(COUNTIF(Table412[[#This Row],[MAT]],"*M"),Table412[[#This Row],[MAT]]&amp;Table412[[#This Row],[X'#]],""))</f>
        <v>1290130M3</v>
      </c>
    </row>
    <row r="1074" spans="1:31" x14ac:dyDescent="0.25">
      <c r="A1074" s="37">
        <f t="shared" si="17"/>
        <v>651</v>
      </c>
      <c r="C1074" s="38" t="s">
        <v>315</v>
      </c>
      <c r="D1074" s="36" t="s">
        <v>286</v>
      </c>
      <c r="E1074" s="36" t="s">
        <v>761</v>
      </c>
      <c r="F1074" s="36">
        <v>4</v>
      </c>
      <c r="G1074" s="36">
        <v>1209410</v>
      </c>
      <c r="H1074" s="48" t="str">
        <f>IFERROR(INDEX(Table14[],MATCH($G1074,Table14[SAPNo],0),3),"")</f>
        <v>1613 CT430MV3 U TBO</v>
      </c>
      <c r="I1074" s="37">
        <v>10</v>
      </c>
      <c r="J1074" s="37">
        <f>IF(Table412[[#This Row],[MAT]]&lt;&gt;"",COUNTIF(Table3[LEVEL 5 MAT NO.],Table412[[#This Row],[MAT]]),"")</f>
        <v>1</v>
      </c>
      <c r="K1074" s="36">
        <f>IFERROR(INDEX(Table3[],MATCH($E1074,Table3[LEVEL 5 MAT NO.],0),2),0)</f>
        <v>1</v>
      </c>
      <c r="L1074" s="36">
        <f>Table412[[#This Row],[Quantity in BOM]]*Table412[[#This Row],[Freq]]</f>
        <v>10</v>
      </c>
      <c r="M1074" s="36" t="str">
        <f>IF(Table412[[#This Row],[Exist]]=1,Table412[[#This Row],[MAT]],"")</f>
        <v>1290130M</v>
      </c>
      <c r="N1074" s="36">
        <f>IF(Table412[[#This Row],[Exist]]=1,Table412[[#This Row],[Component]],"")</f>
        <v>1209410</v>
      </c>
      <c r="O1074" s="36" t="str">
        <f>IFERROR(VALUE(Table412[[#This Row],[MAT]]&amp;Table412[[#This Row],[X'#]]),IF(COUNTIF(Table412[[#This Row],[MAT]],"*M"),Table412[[#This Row],[MAT]]&amp;Table412[[#This Row],[X'#]],""))</f>
        <v>1290130M4</v>
      </c>
    </row>
    <row r="1075" spans="1:31" x14ac:dyDescent="0.25">
      <c r="A1075" s="37">
        <f t="shared" si="17"/>
        <v>652</v>
      </c>
      <c r="C1075" s="38" t="s">
        <v>315</v>
      </c>
      <c r="D1075" s="36" t="s">
        <v>286</v>
      </c>
      <c r="E1075" s="36" t="s">
        <v>761</v>
      </c>
      <c r="F1075" s="36">
        <v>5</v>
      </c>
      <c r="G1075" s="36">
        <v>871781</v>
      </c>
      <c r="H1075" s="48" t="str">
        <f>IFERROR(INDEX(Table14[],MATCH($G1075,Table14[SAPNo],0),3),"")</f>
        <v>Round 1313 CT200  0.018" (B)</v>
      </c>
      <c r="I1075" s="37">
        <v>5</v>
      </c>
      <c r="J1075" s="37">
        <f>IF(Table412[[#This Row],[MAT]]&lt;&gt;"",COUNTIF(Table3[LEVEL 5 MAT NO.],Table412[[#This Row],[MAT]]),"")</f>
        <v>1</v>
      </c>
      <c r="K1075" s="36">
        <f>IFERROR(INDEX(Table3[],MATCH($E1075,Table3[LEVEL 5 MAT NO.],0),2),0)</f>
        <v>1</v>
      </c>
      <c r="L1075" s="36">
        <f>Table412[[#This Row],[Quantity in BOM]]*Table412[[#This Row],[Freq]]</f>
        <v>5</v>
      </c>
      <c r="M1075" s="36" t="str">
        <f>IF(Table412[[#This Row],[Exist]]=1,Table412[[#This Row],[MAT]],"")</f>
        <v>1290130M</v>
      </c>
      <c r="N1075" s="36">
        <f>IF(Table412[[#This Row],[Exist]]=1,Table412[[#This Row],[Component]],"")</f>
        <v>871781</v>
      </c>
      <c r="O1075" s="36" t="str">
        <f>IFERROR(VALUE(Table412[[#This Row],[MAT]]&amp;Table412[[#This Row],[X'#]]),IF(COUNTIF(Table412[[#This Row],[MAT]],"*M"),Table412[[#This Row],[MAT]]&amp;Table412[[#This Row],[X'#]],""))</f>
        <v>1290130M5</v>
      </c>
    </row>
    <row r="1076" spans="1:31" x14ac:dyDescent="0.25">
      <c r="A1076" s="37">
        <f t="shared" si="17"/>
        <v>653</v>
      </c>
      <c r="C1076" s="38" t="s">
        <v>309</v>
      </c>
      <c r="D1076" s="36" t="s">
        <v>742</v>
      </c>
      <c r="E1076" s="36" t="s">
        <v>741</v>
      </c>
      <c r="F1076" s="36">
        <v>1</v>
      </c>
      <c r="G1076" s="36">
        <v>1136984</v>
      </c>
      <c r="H1076" s="48" t="str">
        <f>IFERROR(INDEX(Table14[],MATCH($G1076,Table14[SAPNo],0),3),"")</f>
        <v>DBLMCHT 1313 CT182DM  10C (S)</v>
      </c>
      <c r="I1076" s="37">
        <v>13</v>
      </c>
      <c r="J1076" s="37">
        <f>IF(Table412[[#This Row],[MAT]]&lt;&gt;"",COUNTIF(Table3[LEVEL 5 MAT NO.],Table412[[#This Row],[MAT]]),"")</f>
        <v>0</v>
      </c>
      <c r="K1076" s="36">
        <f>IFERROR(INDEX(Table3[],MATCH($E1076,Table3[LEVEL 5 MAT NO.],0),2),0)</f>
        <v>0</v>
      </c>
      <c r="L1076" s="36">
        <f>Table412[[#This Row],[Quantity in BOM]]*Table412[[#This Row],[Freq]]</f>
        <v>0</v>
      </c>
      <c r="M1076" s="36" t="str">
        <f>IF(Table412[[#This Row],[Exist]]=1,Table412[[#This Row],[MAT]],"")</f>
        <v/>
      </c>
      <c r="N1076" s="36" t="str">
        <f>IF(Table412[[#This Row],[Exist]]=1,Table412[[#This Row],[Component]],"")</f>
        <v/>
      </c>
      <c r="O1076" s="36" t="str">
        <f>IFERROR(VALUE(Table412[[#This Row],[MAT]]&amp;Table412[[#This Row],[X'#]]),IF(COUNTIF(Table412[[#This Row],[MAT]],"*M"),Table412[[#This Row],[MAT]]&amp;Table412[[#This Row],[X'#]],""))</f>
        <v>1214858M1</v>
      </c>
    </row>
    <row r="1077" spans="1:31" x14ac:dyDescent="0.25">
      <c r="A1077" s="37">
        <f t="shared" si="17"/>
        <v>653</v>
      </c>
      <c r="C1077" s="38" t="s">
        <v>309</v>
      </c>
      <c r="D1077" s="36" t="s">
        <v>742</v>
      </c>
      <c r="E1077" s="36" t="s">
        <v>741</v>
      </c>
      <c r="F1077" s="36">
        <v>2</v>
      </c>
      <c r="G1077" s="36">
        <v>1100696</v>
      </c>
      <c r="H1077" s="48" t="str">
        <f>IFERROR(INDEX(Table14[],MATCH($G1077,Table14[SAPNo],0),3),"")</f>
        <v>Round 1313 CT418  10C (S)</v>
      </c>
      <c r="I1077" s="37">
        <v>5</v>
      </c>
      <c r="J1077" s="37">
        <f>IF(Table412[[#This Row],[MAT]]&lt;&gt;"",COUNTIF(Table3[LEVEL 5 MAT NO.],Table412[[#This Row],[MAT]]),"")</f>
        <v>0</v>
      </c>
      <c r="K1077" s="36">
        <f>IFERROR(INDEX(Table3[],MATCH($E1077,Table3[LEVEL 5 MAT NO.],0),2),0)</f>
        <v>0</v>
      </c>
      <c r="L1077" s="36">
        <f>Table412[[#This Row],[Quantity in BOM]]*Table412[[#This Row],[Freq]]</f>
        <v>0</v>
      </c>
      <c r="M1077" s="36" t="str">
        <f>IF(Table412[[#This Row],[Exist]]=1,Table412[[#This Row],[MAT]],"")</f>
        <v/>
      </c>
      <c r="N1077" s="36" t="str">
        <f>IF(Table412[[#This Row],[Exist]]=1,Table412[[#This Row],[Component]],"")</f>
        <v/>
      </c>
      <c r="O1077" s="36" t="str">
        <f>IFERROR(VALUE(Table412[[#This Row],[MAT]]&amp;Table412[[#This Row],[X'#]]),IF(COUNTIF(Table412[[#This Row],[MAT]],"*M"),Table412[[#This Row],[MAT]]&amp;Table412[[#This Row],[X'#]],""))</f>
        <v>1214858M2</v>
      </c>
    </row>
    <row r="1078" spans="1:31" x14ac:dyDescent="0.25">
      <c r="A1078" s="37">
        <f t="shared" si="17"/>
        <v>653</v>
      </c>
      <c r="C1078" s="38" t="s">
        <v>309</v>
      </c>
      <c r="D1078" s="36" t="s">
        <v>742</v>
      </c>
      <c r="E1078" s="36" t="s">
        <v>741</v>
      </c>
      <c r="F1078" s="36">
        <v>3</v>
      </c>
      <c r="G1078" s="36">
        <v>418525</v>
      </c>
      <c r="H1078" s="48" t="str">
        <f>IFERROR(INDEX(Table14[],MATCH($G1078,Table14[SAPNo],0),3),"")</f>
        <v>Drop In 1308 CT31   (B)</v>
      </c>
      <c r="I1078" s="37">
        <v>6</v>
      </c>
      <c r="J1078" s="37">
        <f>IF(Table412[[#This Row],[MAT]]&lt;&gt;"",COUNTIF(Table3[LEVEL 5 MAT NO.],Table412[[#This Row],[MAT]]),"")</f>
        <v>0</v>
      </c>
      <c r="K1078" s="36">
        <f>IFERROR(INDEX(Table3[],MATCH($E1078,Table3[LEVEL 5 MAT NO.],0),2),0)</f>
        <v>0</v>
      </c>
      <c r="L1078" s="36">
        <f>Table412[[#This Row],[Quantity in BOM]]*Table412[[#This Row],[Freq]]</f>
        <v>0</v>
      </c>
      <c r="M1078" s="36" t="str">
        <f>IF(Table412[[#This Row],[Exist]]=1,Table412[[#This Row],[MAT]],"")</f>
        <v/>
      </c>
      <c r="N1078" s="36" t="str">
        <f>IF(Table412[[#This Row],[Exist]]=1,Table412[[#This Row],[Component]],"")</f>
        <v/>
      </c>
      <c r="O1078" s="36" t="str">
        <f>IFERROR(VALUE(Table412[[#This Row],[MAT]]&amp;Table412[[#This Row],[X'#]]),IF(COUNTIF(Table412[[#This Row],[MAT]],"*M"),Table412[[#This Row],[MAT]]&amp;Table412[[#This Row],[X'#]],""))</f>
        <v>1214858M3</v>
      </c>
    </row>
    <row r="1079" spans="1:31" x14ac:dyDescent="0.25">
      <c r="A1079" s="37">
        <f t="shared" si="17"/>
        <v>653</v>
      </c>
      <c r="C1079" s="38" t="s">
        <v>309</v>
      </c>
      <c r="D1079" s="36" t="s">
        <v>742</v>
      </c>
      <c r="E1079" s="36" t="s">
        <v>741</v>
      </c>
      <c r="F1079" s="36">
        <v>4</v>
      </c>
      <c r="G1079" s="36">
        <v>1101509</v>
      </c>
      <c r="H1079" s="48" t="str">
        <f>IFERROR(INDEX(Table14[],MATCH($G1079,Table14[SAPNo],0),3),"")</f>
        <v>Short IA 8    (C)</v>
      </c>
      <c r="I1079" s="37">
        <v>5</v>
      </c>
      <c r="J1079" s="37">
        <f>IF(Table412[[#This Row],[MAT]]&lt;&gt;"",COUNTIF(Table3[LEVEL 5 MAT NO.],Table412[[#This Row],[MAT]]),"")</f>
        <v>0</v>
      </c>
      <c r="K1079" s="36">
        <f>IFERROR(INDEX(Table3[],MATCH($E1079,Table3[LEVEL 5 MAT NO.],0),2),0)</f>
        <v>0</v>
      </c>
      <c r="L1079" s="36">
        <f>Table412[[#This Row],[Quantity in BOM]]*Table412[[#This Row],[Freq]]</f>
        <v>0</v>
      </c>
      <c r="M1079" s="36" t="str">
        <f>IF(Table412[[#This Row],[Exist]]=1,Table412[[#This Row],[MAT]],"")</f>
        <v/>
      </c>
      <c r="N1079" s="36" t="str">
        <f>IF(Table412[[#This Row],[Exist]]=1,Table412[[#This Row],[Component]],"")</f>
        <v/>
      </c>
      <c r="O1079" s="36" t="str">
        <f>IFERROR(VALUE(Table412[[#This Row],[MAT]]&amp;Table412[[#This Row],[X'#]]),IF(COUNTIF(Table412[[#This Row],[MAT]],"*M"),Table412[[#This Row],[MAT]]&amp;Table412[[#This Row],[X'#]],""))</f>
        <v>1214858M4</v>
      </c>
    </row>
    <row r="1080" spans="1:31" x14ac:dyDescent="0.25">
      <c r="A1080" s="37">
        <f t="shared" si="17"/>
        <v>653</v>
      </c>
      <c r="C1080" s="38" t="s">
        <v>309</v>
      </c>
      <c r="D1080" s="36" t="s">
        <v>742</v>
      </c>
      <c r="E1080" s="36" t="s">
        <v>741</v>
      </c>
      <c r="F1080" s="36">
        <v>5</v>
      </c>
      <c r="G1080" s="36">
        <v>1104083</v>
      </c>
      <c r="H1080" s="48" t="str">
        <f>IFERROR(INDEX(Table14[],MATCH($G1080,Table14[SAPNo],0),3),"")</f>
        <v>1313 CT144H  10C (S)</v>
      </c>
      <c r="I1080" s="37">
        <v>1</v>
      </c>
      <c r="J1080" s="37">
        <f>IF(Table412[[#This Row],[MAT]]&lt;&gt;"",COUNTIF(Table3[LEVEL 5 MAT NO.],Table412[[#This Row],[MAT]]),"")</f>
        <v>0</v>
      </c>
      <c r="K1080" s="36">
        <f>IFERROR(INDEX(Table3[],MATCH($E1080,Table3[LEVEL 5 MAT NO.],0),2),0)</f>
        <v>0</v>
      </c>
      <c r="L1080" s="36">
        <f>Table412[[#This Row],[Quantity in BOM]]*Table412[[#This Row],[Freq]]</f>
        <v>0</v>
      </c>
      <c r="M1080" s="36" t="str">
        <f>IF(Table412[[#This Row],[Exist]]=1,Table412[[#This Row],[MAT]],"")</f>
        <v/>
      </c>
      <c r="N1080" s="36" t="str">
        <f>IF(Table412[[#This Row],[Exist]]=1,Table412[[#This Row],[Component]],"")</f>
        <v/>
      </c>
      <c r="O1080" s="36" t="str">
        <f>IFERROR(VALUE(Table412[[#This Row],[MAT]]&amp;Table412[[#This Row],[X'#]]),IF(COUNTIF(Table412[[#This Row],[MAT]],"*M"),Table412[[#This Row],[MAT]]&amp;Table412[[#This Row],[X'#]],""))</f>
        <v>1214858M5</v>
      </c>
    </row>
    <row r="1081" spans="1:31" x14ac:dyDescent="0.25">
      <c r="A1081" s="37">
        <f t="shared" si="17"/>
        <v>653</v>
      </c>
      <c r="C1081" s="38" t="s">
        <v>309</v>
      </c>
      <c r="D1081" s="36" t="s">
        <v>742</v>
      </c>
      <c r="E1081" s="36" t="s">
        <v>741</v>
      </c>
      <c r="F1081" s="36">
        <v>6</v>
      </c>
      <c r="G1081" s="36">
        <v>1146346</v>
      </c>
      <c r="H1081" s="48" t="str">
        <f>IFERROR(INDEX(Table14[],MATCH($G1081,Table14[SAPNo],0),3),"")</f>
        <v>1313 CT418 18-60</v>
      </c>
      <c r="I1081" s="37">
        <v>7</v>
      </c>
      <c r="J1081" s="37">
        <f>IF(Table412[[#This Row],[MAT]]&lt;&gt;"",COUNTIF(Table3[LEVEL 5 MAT NO.],Table412[[#This Row],[MAT]]),"")</f>
        <v>0</v>
      </c>
      <c r="K1081" s="36">
        <f>IFERROR(INDEX(Table3[],MATCH($E1081,Table3[LEVEL 5 MAT NO.],0),2),0)</f>
        <v>0</v>
      </c>
      <c r="L1081" s="36">
        <f>Table412[[#This Row],[Quantity in BOM]]*Table412[[#This Row],[Freq]]</f>
        <v>0</v>
      </c>
      <c r="M1081" s="36" t="str">
        <f>IF(Table412[[#This Row],[Exist]]=1,Table412[[#This Row],[MAT]],"")</f>
        <v/>
      </c>
      <c r="N1081" s="36" t="str">
        <f>IF(Table412[[#This Row],[Exist]]=1,Table412[[#This Row],[Component]],"")</f>
        <v/>
      </c>
      <c r="O1081" s="36" t="str">
        <f>IFERROR(VALUE(Table412[[#This Row],[MAT]]&amp;Table412[[#This Row],[X'#]]),IF(COUNTIF(Table412[[#This Row],[MAT]],"*M"),Table412[[#This Row],[MAT]]&amp;Table412[[#This Row],[X'#]],""))</f>
        <v>1214858M6</v>
      </c>
    </row>
    <row r="1082" spans="1:31" x14ac:dyDescent="0.25">
      <c r="A1082" s="37">
        <f t="shared" si="17"/>
        <v>653</v>
      </c>
      <c r="C1082" s="38" t="s">
        <v>313</v>
      </c>
      <c r="D1082" s="36" t="s">
        <v>314</v>
      </c>
      <c r="E1082" s="36" t="s">
        <v>763</v>
      </c>
      <c r="F1082" s="36">
        <v>1</v>
      </c>
      <c r="G1082" s="36">
        <v>1100755</v>
      </c>
      <c r="H1082" s="48" t="str">
        <f>IFERROR(INDEX(Table14[],MATCH($G1082,Table14[SAPNo],0),3),"")</f>
        <v>Round 1613 CT421  0.018" (S)</v>
      </c>
      <c r="I1082" s="37">
        <v>33</v>
      </c>
      <c r="J1082" s="37">
        <f>IF(Table412[[#This Row],[MAT]]&lt;&gt;"",COUNTIF(Table3[LEVEL 5 MAT NO.],Table412[[#This Row],[MAT]]),"")</f>
        <v>1</v>
      </c>
      <c r="K1082" s="36">
        <f>IFERROR(INDEX(Table3[],MATCH($E1082,Table3[LEVEL 5 MAT NO.],0),2),0)</f>
        <v>0</v>
      </c>
      <c r="L1082" s="36">
        <f>Table412[[#This Row],[Quantity in BOM]]*Table412[[#This Row],[Freq]]</f>
        <v>0</v>
      </c>
      <c r="M1082" s="36" t="str">
        <f>IF(Table412[[#This Row],[Exist]]=1,Table412[[#This Row],[MAT]],"")</f>
        <v>1246680M</v>
      </c>
      <c r="N1082" s="36">
        <f>IF(Table412[[#This Row],[Exist]]=1,Table412[[#This Row],[Component]],"")</f>
        <v>1100755</v>
      </c>
      <c r="O1082" s="36" t="str">
        <f>IFERROR(VALUE(Table412[[#This Row],[MAT]]&amp;Table412[[#This Row],[X'#]]),IF(COUNTIF(Table412[[#This Row],[MAT]],"*M"),Table412[[#This Row],[MAT]]&amp;Table412[[#This Row],[X'#]],""))</f>
        <v>1246680M1</v>
      </c>
    </row>
    <row r="1083" spans="1:31" x14ac:dyDescent="0.25">
      <c r="A1083" s="37">
        <f t="shared" si="17"/>
        <v>653</v>
      </c>
      <c r="C1083" s="38" t="s">
        <v>313</v>
      </c>
      <c r="D1083" s="36" t="s">
        <v>314</v>
      </c>
      <c r="E1083" s="36" t="s">
        <v>763</v>
      </c>
      <c r="F1083" s="36">
        <v>2</v>
      </c>
      <c r="G1083" s="36">
        <v>647435</v>
      </c>
      <c r="H1083" s="48" t="str">
        <f>IFERROR(INDEX(Table14[],MATCH($G1083,Table14[SAPNo],0),3),"")</f>
        <v>Round 1608 CT200  0.018" (B)</v>
      </c>
      <c r="I1083" s="37">
        <v>23</v>
      </c>
      <c r="J1083" s="37">
        <f>IF(Table412[[#This Row],[MAT]]&lt;&gt;"",COUNTIF(Table3[LEVEL 5 MAT NO.],Table412[[#This Row],[MAT]]),"")</f>
        <v>1</v>
      </c>
      <c r="K1083" s="36">
        <f>IFERROR(INDEX(Table3[],MATCH($E1083,Table3[LEVEL 5 MAT NO.],0),2),0)</f>
        <v>0</v>
      </c>
      <c r="L1083" s="36">
        <f>Table412[[#This Row],[Quantity in BOM]]*Table412[[#This Row],[Freq]]</f>
        <v>0</v>
      </c>
      <c r="M1083" s="36" t="str">
        <f>IF(Table412[[#This Row],[Exist]]=1,Table412[[#This Row],[MAT]],"")</f>
        <v>1246680M</v>
      </c>
      <c r="N1083" s="36">
        <f>IF(Table412[[#This Row],[Exist]]=1,Table412[[#This Row],[Component]],"")</f>
        <v>647435</v>
      </c>
      <c r="O1083" s="36" t="str">
        <f>IFERROR(VALUE(Table412[[#This Row],[MAT]]&amp;Table412[[#This Row],[X'#]]),IF(COUNTIF(Table412[[#This Row],[MAT]],"*M"),Table412[[#This Row],[MAT]]&amp;Table412[[#This Row],[X'#]],""))</f>
        <v>1246680M2</v>
      </c>
    </row>
    <row r="1084" spans="1:31" x14ac:dyDescent="0.25">
      <c r="A1084" s="37">
        <f t="shared" si="17"/>
        <v>653</v>
      </c>
      <c r="C1084" s="38" t="s">
        <v>313</v>
      </c>
      <c r="D1084" s="36" t="s">
        <v>314</v>
      </c>
      <c r="E1084" s="36" t="s">
        <v>763</v>
      </c>
      <c r="F1084" s="36">
        <v>3</v>
      </c>
      <c r="G1084" s="36">
        <v>871781</v>
      </c>
      <c r="H1084" s="48" t="str">
        <f>IFERROR(INDEX(Table14[],MATCH($G1084,Table14[SAPNo],0),3),"")</f>
        <v>Round 1313 CT200  0.018" (B)</v>
      </c>
      <c r="I1084" s="37">
        <v>6</v>
      </c>
      <c r="J1084" s="37">
        <f>IF(Table412[[#This Row],[MAT]]&lt;&gt;"",COUNTIF(Table3[LEVEL 5 MAT NO.],Table412[[#This Row],[MAT]]),"")</f>
        <v>1</v>
      </c>
      <c r="K1084" s="36">
        <f>IFERROR(INDEX(Table3[],MATCH($E1084,Table3[LEVEL 5 MAT NO.],0),2),0)</f>
        <v>0</v>
      </c>
      <c r="L1084" s="36">
        <f>Table412[[#This Row],[Quantity in BOM]]*Table412[[#This Row],[Freq]]</f>
        <v>0</v>
      </c>
      <c r="M1084" s="36" t="str">
        <f>IF(Table412[[#This Row],[Exist]]=1,Table412[[#This Row],[MAT]],"")</f>
        <v>1246680M</v>
      </c>
      <c r="N1084" s="36">
        <f>IF(Table412[[#This Row],[Exist]]=1,Table412[[#This Row],[Component]],"")</f>
        <v>871781</v>
      </c>
      <c r="O1084" s="36" t="str">
        <f>IFERROR(VALUE(Table412[[#This Row],[MAT]]&amp;Table412[[#This Row],[X'#]]),IF(COUNTIF(Table412[[#This Row],[MAT]],"*M"),Table412[[#This Row],[MAT]]&amp;Table412[[#This Row],[X'#]],""))</f>
        <v>1246680M3</v>
      </c>
    </row>
    <row r="1085" spans="1:31" x14ac:dyDescent="0.25">
      <c r="A1085" s="37">
        <f t="shared" si="17"/>
        <v>653</v>
      </c>
      <c r="C1085" s="38" t="s">
        <v>319</v>
      </c>
      <c r="D1085" s="36" t="s">
        <v>689</v>
      </c>
      <c r="E1085" s="36" t="s">
        <v>688</v>
      </c>
      <c r="F1085" s="36">
        <v>1</v>
      </c>
      <c r="G1085" s="36">
        <v>1271790</v>
      </c>
      <c r="H1085" s="48" t="str">
        <f>IFERROR(INDEX(Table14[],MATCH($G1085,Table14[SAPNo],0),3),"")</f>
        <v xml:space="preserve">1613 CT170 18-60 </v>
      </c>
      <c r="I1085" s="37">
        <v>47</v>
      </c>
      <c r="J1085" s="37">
        <f>IF(Table412[[#This Row],[MAT]]&lt;&gt;"",COUNTIF(Table3[LEVEL 5 MAT NO.],Table412[[#This Row],[MAT]]),"")</f>
        <v>1</v>
      </c>
      <c r="K1085" s="36">
        <f>IFERROR(INDEX(Table3[],MATCH($E1085,Table3[LEVEL 5 MAT NO.],0),2),0)</f>
        <v>2</v>
      </c>
      <c r="L1085" s="36">
        <f>Table412[[#This Row],[Quantity in BOM]]*Table412[[#This Row],[Freq]]</f>
        <v>94</v>
      </c>
      <c r="M1085" s="36" t="str">
        <f>IF(Table412[[#This Row],[Exist]]=1,Table412[[#This Row],[MAT]],"")</f>
        <v>1248668M</v>
      </c>
      <c r="N1085" s="36">
        <f>IF(Table412[[#This Row],[Exist]]=1,Table412[[#This Row],[Component]],"")</f>
        <v>1271790</v>
      </c>
      <c r="O1085" s="36" t="str">
        <f>IFERROR(VALUE(Table412[[#This Row],[MAT]]&amp;Table412[[#This Row],[X'#]]),IF(COUNTIF(Table412[[#This Row],[MAT]],"*M"),Table412[[#This Row],[MAT]]&amp;Table412[[#This Row],[X'#]],""))</f>
        <v>1248668M1</v>
      </c>
    </row>
    <row r="1086" spans="1:31" x14ac:dyDescent="0.25">
      <c r="A1086" s="37">
        <f t="shared" si="17"/>
        <v>655</v>
      </c>
      <c r="C1086" s="38" t="s">
        <v>319</v>
      </c>
      <c r="D1086" s="36" t="s">
        <v>689</v>
      </c>
      <c r="E1086" s="36" t="s">
        <v>688</v>
      </c>
      <c r="F1086" s="36">
        <v>2</v>
      </c>
      <c r="G1086" s="36">
        <v>179734</v>
      </c>
      <c r="H1086" s="48" t="str">
        <f>IFERROR(INDEX(Table14[],MATCH($G1086,Table14[SAPNo],0),3),"")</f>
        <v>Long IPA 13    (C)</v>
      </c>
      <c r="I1086" s="37">
        <v>35</v>
      </c>
      <c r="J1086" s="37">
        <f>IF(Table412[[#This Row],[MAT]]&lt;&gt;"",COUNTIF(Table3[LEVEL 5 MAT NO.],Table412[[#This Row],[MAT]]),"")</f>
        <v>1</v>
      </c>
      <c r="K1086" s="36">
        <f>IFERROR(INDEX(Table3[],MATCH($E1086,Table3[LEVEL 5 MAT NO.],0),2),0)</f>
        <v>2</v>
      </c>
      <c r="L1086" s="36">
        <f>Table412[[#This Row],[Quantity in BOM]]*Table412[[#This Row],[Freq]]</f>
        <v>70</v>
      </c>
      <c r="M1086" s="36" t="str">
        <f>IF(Table412[[#This Row],[Exist]]=1,Table412[[#This Row],[MAT]],"")</f>
        <v>1248668M</v>
      </c>
      <c r="N1086" s="36">
        <f>IF(Table412[[#This Row],[Exist]]=1,Table412[[#This Row],[Component]],"")</f>
        <v>179734</v>
      </c>
      <c r="O1086" s="36" t="str">
        <f>IFERROR(VALUE(Table412[[#This Row],[MAT]]&amp;Table412[[#This Row],[X'#]]),IF(COUNTIF(Table412[[#This Row],[MAT]],"*M"),Table412[[#This Row],[MAT]]&amp;Table412[[#This Row],[X'#]],""))</f>
        <v>1248668M2</v>
      </c>
      <c r="AE1086" s="36">
        <v>33</v>
      </c>
    </row>
    <row r="1087" spans="1:31" x14ac:dyDescent="0.25">
      <c r="A1087" s="37">
        <f t="shared" si="17"/>
        <v>657</v>
      </c>
      <c r="C1087" s="38" t="s">
        <v>319</v>
      </c>
      <c r="D1087" s="36" t="s">
        <v>689</v>
      </c>
      <c r="E1087" s="36" t="s">
        <v>688</v>
      </c>
      <c r="F1087" s="36">
        <v>3</v>
      </c>
      <c r="G1087" s="36">
        <v>1146737</v>
      </c>
      <c r="H1087" s="48" t="str">
        <f>IFERROR(INDEX(Table14[],MATCH($G1087,Table14[SAPNo],0),3),"")</f>
        <v>1613 CT418 18-60</v>
      </c>
      <c r="I1087" s="37">
        <v>33</v>
      </c>
      <c r="J1087" s="37">
        <f>IF(Table412[[#This Row],[MAT]]&lt;&gt;"",COUNTIF(Table3[LEVEL 5 MAT NO.],Table412[[#This Row],[MAT]]),"")</f>
        <v>1</v>
      </c>
      <c r="K1087" s="36">
        <f>IFERROR(INDEX(Table3[],MATCH($E1087,Table3[LEVEL 5 MAT NO.],0),2),0)</f>
        <v>2</v>
      </c>
      <c r="L1087" s="36">
        <f>Table412[[#This Row],[Quantity in BOM]]*Table412[[#This Row],[Freq]]</f>
        <v>66</v>
      </c>
      <c r="M1087" s="36" t="str">
        <f>IF(Table412[[#This Row],[Exist]]=1,Table412[[#This Row],[MAT]],"")</f>
        <v>1248668M</v>
      </c>
      <c r="N1087" s="36">
        <f>IF(Table412[[#This Row],[Exist]]=1,Table412[[#This Row],[Component]],"")</f>
        <v>1146737</v>
      </c>
      <c r="O1087" s="36" t="str">
        <f>IFERROR(VALUE(Table412[[#This Row],[MAT]]&amp;Table412[[#This Row],[X'#]]),IF(COUNTIF(Table412[[#This Row],[MAT]],"*M"),Table412[[#This Row],[MAT]]&amp;Table412[[#This Row],[X'#]],""))</f>
        <v>1248668M3</v>
      </c>
      <c r="AE1087" s="36">
        <v>23</v>
      </c>
    </row>
    <row r="1088" spans="1:31" x14ac:dyDescent="0.25">
      <c r="A1088" s="37">
        <f t="shared" si="17"/>
        <v>659</v>
      </c>
      <c r="C1088" s="38" t="s">
        <v>319</v>
      </c>
      <c r="D1088" s="36" t="s">
        <v>689</v>
      </c>
      <c r="E1088" s="36" t="s">
        <v>688</v>
      </c>
      <c r="F1088" s="36">
        <v>4</v>
      </c>
      <c r="G1088" s="36">
        <v>410851</v>
      </c>
      <c r="H1088" s="48" t="str">
        <f>IFERROR(INDEX(Table14[],MATCH($G1088,Table14[SAPNo],0),3),"")</f>
        <v>PDC Dome 1308 CT31   (B)</v>
      </c>
      <c r="I1088" s="37">
        <v>28</v>
      </c>
      <c r="J1088" s="37">
        <f>IF(Table412[[#This Row],[MAT]]&lt;&gt;"",COUNTIF(Table3[LEVEL 5 MAT NO.],Table412[[#This Row],[MAT]]),"")</f>
        <v>1</v>
      </c>
      <c r="K1088" s="36">
        <f>IFERROR(INDEX(Table3[],MATCH($E1088,Table3[LEVEL 5 MAT NO.],0),2),0)</f>
        <v>2</v>
      </c>
      <c r="L1088" s="36">
        <f>Table412[[#This Row],[Quantity in BOM]]*Table412[[#This Row],[Freq]]</f>
        <v>56</v>
      </c>
      <c r="M1088" s="36" t="str">
        <f>IF(Table412[[#This Row],[Exist]]=1,Table412[[#This Row],[MAT]],"")</f>
        <v>1248668M</v>
      </c>
      <c r="N1088" s="36">
        <f>IF(Table412[[#This Row],[Exist]]=1,Table412[[#This Row],[Component]],"")</f>
        <v>410851</v>
      </c>
      <c r="O1088" s="36" t="str">
        <f>IFERROR(VALUE(Table412[[#This Row],[MAT]]&amp;Table412[[#This Row],[X'#]]),IF(COUNTIF(Table412[[#This Row],[MAT]],"*M"),Table412[[#This Row],[MAT]]&amp;Table412[[#This Row],[X'#]],""))</f>
        <v>1248668M4</v>
      </c>
      <c r="AE1088" s="36">
        <v>6</v>
      </c>
    </row>
    <row r="1089" spans="1:31" x14ac:dyDescent="0.25">
      <c r="A1089" s="37">
        <f t="shared" si="17"/>
        <v>661</v>
      </c>
      <c r="C1089" s="38" t="s">
        <v>319</v>
      </c>
      <c r="D1089" s="36" t="s">
        <v>689</v>
      </c>
      <c r="E1089" s="36" t="s">
        <v>688</v>
      </c>
      <c r="F1089" s="36">
        <v>5</v>
      </c>
      <c r="G1089" s="36">
        <v>647436</v>
      </c>
      <c r="H1089" s="48" t="str">
        <f>IFERROR(INDEX(Table14[],MATCH($G1089,Table14[SAPNo],0),3),"")</f>
        <v>Round 1613 CT200  0.018" (B)</v>
      </c>
      <c r="I1089" s="37">
        <v>27</v>
      </c>
      <c r="J1089" s="37">
        <f>IF(Table412[[#This Row],[MAT]]&lt;&gt;"",COUNTIF(Table3[LEVEL 5 MAT NO.],Table412[[#This Row],[MAT]]),"")</f>
        <v>1</v>
      </c>
      <c r="K1089" s="36">
        <f>IFERROR(INDEX(Table3[],MATCH($E1089,Table3[LEVEL 5 MAT NO.],0),2),0)</f>
        <v>2</v>
      </c>
      <c r="L1089" s="36">
        <f>Table412[[#This Row],[Quantity in BOM]]*Table412[[#This Row],[Freq]]</f>
        <v>54</v>
      </c>
      <c r="M1089" s="36" t="str">
        <f>IF(Table412[[#This Row],[Exist]]=1,Table412[[#This Row],[MAT]],"")</f>
        <v>1248668M</v>
      </c>
      <c r="N1089" s="36">
        <f>IF(Table412[[#This Row],[Exist]]=1,Table412[[#This Row],[Component]],"")</f>
        <v>647436</v>
      </c>
      <c r="O1089" s="36" t="str">
        <f>IFERROR(VALUE(Table412[[#This Row],[MAT]]&amp;Table412[[#This Row],[X'#]]),IF(COUNTIF(Table412[[#This Row],[MAT]],"*M"),Table412[[#This Row],[MAT]]&amp;Table412[[#This Row],[X'#]],""))</f>
        <v>1248668M5</v>
      </c>
      <c r="AE1089" s="36">
        <v>47</v>
      </c>
    </row>
    <row r="1090" spans="1:31" x14ac:dyDescent="0.25">
      <c r="A1090" s="37">
        <f t="shared" si="17"/>
        <v>663</v>
      </c>
      <c r="C1090" s="38" t="s">
        <v>319</v>
      </c>
      <c r="D1090" s="36" t="s">
        <v>689</v>
      </c>
      <c r="E1090" s="36" t="s">
        <v>688</v>
      </c>
      <c r="F1090" s="36">
        <v>6</v>
      </c>
      <c r="G1090" s="36">
        <v>418525</v>
      </c>
      <c r="H1090" s="48" t="str">
        <f>IFERROR(INDEX(Table14[],MATCH($G1090,Table14[SAPNo],0),3),"")</f>
        <v>Drop In 1308 CT31   (B)</v>
      </c>
      <c r="I1090" s="37">
        <v>14</v>
      </c>
      <c r="J1090" s="37">
        <f>IF(Table412[[#This Row],[MAT]]&lt;&gt;"",COUNTIF(Table3[LEVEL 5 MAT NO.],Table412[[#This Row],[MAT]]),"")</f>
        <v>1</v>
      </c>
      <c r="K1090" s="36">
        <f>IFERROR(INDEX(Table3[],MATCH($E1090,Table3[LEVEL 5 MAT NO.],0),2),0)</f>
        <v>2</v>
      </c>
      <c r="L1090" s="36">
        <f>Table412[[#This Row],[Quantity in BOM]]*Table412[[#This Row],[Freq]]</f>
        <v>28</v>
      </c>
      <c r="M1090" s="36" t="str">
        <f>IF(Table412[[#This Row],[Exist]]=1,Table412[[#This Row],[MAT]],"")</f>
        <v>1248668M</v>
      </c>
      <c r="N1090" s="36">
        <f>IF(Table412[[#This Row],[Exist]]=1,Table412[[#This Row],[Component]],"")</f>
        <v>418525</v>
      </c>
      <c r="O1090" s="36" t="str">
        <f>IFERROR(VALUE(Table412[[#This Row],[MAT]]&amp;Table412[[#This Row],[X'#]]),IF(COUNTIF(Table412[[#This Row],[MAT]],"*M"),Table412[[#This Row],[MAT]]&amp;Table412[[#This Row],[X'#]],""))</f>
        <v>1248668M6</v>
      </c>
      <c r="AE1090" s="36">
        <v>35</v>
      </c>
    </row>
    <row r="1091" spans="1:31" x14ac:dyDescent="0.25">
      <c r="A1091" s="37">
        <f t="shared" si="17"/>
        <v>665</v>
      </c>
      <c r="C1091" s="38" t="s">
        <v>631</v>
      </c>
      <c r="D1091" s="36" t="s">
        <v>723</v>
      </c>
      <c r="E1091" s="36">
        <v>1281273</v>
      </c>
      <c r="F1091" s="36">
        <v>1</v>
      </c>
      <c r="G1091" s="36">
        <v>1230916</v>
      </c>
      <c r="H1091" s="48" t="str">
        <f>IFERROR(INDEX(Table14[],MATCH($G1091,Table14[SAPNo],0),3),"")</f>
        <v>1005 CT158 0.018"</v>
      </c>
      <c r="I1091" s="37">
        <v>12</v>
      </c>
      <c r="J1091" s="37">
        <f>IF(Table412[[#This Row],[MAT]]&lt;&gt;"",COUNTIF(Table3[LEVEL 5 MAT NO.],Table412[[#This Row],[MAT]]),"")</f>
        <v>0</v>
      </c>
      <c r="K1091" s="36">
        <f>IFERROR(INDEX(Table3[],MATCH($E1091,Table3[LEVEL 5 MAT NO.],0),2),0)</f>
        <v>0</v>
      </c>
      <c r="L1091" s="36">
        <f>Table412[[#This Row],[Quantity in BOM]]*Table412[[#This Row],[Freq]]</f>
        <v>0</v>
      </c>
      <c r="M1091" s="36" t="str">
        <f>IF(Table412[[#This Row],[Exist]]=1,Table412[[#This Row],[MAT]],"")</f>
        <v/>
      </c>
      <c r="N1091" s="36" t="str">
        <f>IF(Table412[[#This Row],[Exist]]=1,Table412[[#This Row],[Component]],"")</f>
        <v/>
      </c>
      <c r="O1091" s="36">
        <f>IFERROR(VALUE(Table412[[#This Row],[MAT]]&amp;Table412[[#This Row],[X'#]]),IF(COUNTIF(Table412[[#This Row],[MAT]],"*M"),Table412[[#This Row],[MAT]]&amp;Table412[[#This Row],[X'#]],""))</f>
        <v>12812731</v>
      </c>
      <c r="AE1091" s="36">
        <v>33</v>
      </c>
    </row>
    <row r="1092" spans="1:31" x14ac:dyDescent="0.25">
      <c r="A1092" s="37">
        <f t="shared" ref="A1092:A1121" si="18">A1091+K1091</f>
        <v>665</v>
      </c>
      <c r="C1092" s="38" t="s">
        <v>631</v>
      </c>
      <c r="D1092" s="36" t="s">
        <v>723</v>
      </c>
      <c r="E1092" s="36">
        <v>1281273</v>
      </c>
      <c r="F1092" s="36">
        <v>2</v>
      </c>
      <c r="G1092" s="36">
        <v>1272309</v>
      </c>
      <c r="H1092" s="48" t="str">
        <f>IFERROR(INDEX(Table14[],MATCH($G1092,Table14[SAPNo],0),3),"")</f>
        <v>1313 CT170T U</v>
      </c>
      <c r="I1092" s="37">
        <v>12</v>
      </c>
      <c r="J1092" s="37">
        <f>IF(Table412[[#This Row],[MAT]]&lt;&gt;"",COUNTIF(Table3[LEVEL 5 MAT NO.],Table412[[#This Row],[MAT]]),"")</f>
        <v>0</v>
      </c>
      <c r="K1092" s="36">
        <f>IFERROR(INDEX(Table3[],MATCH($E1092,Table3[LEVEL 5 MAT NO.],0),2),0)</f>
        <v>0</v>
      </c>
      <c r="L1092" s="36">
        <f>Table412[[#This Row],[Quantity in BOM]]*Table412[[#This Row],[Freq]]</f>
        <v>0</v>
      </c>
      <c r="M1092" s="36" t="str">
        <f>IF(Table412[[#This Row],[Exist]]=1,Table412[[#This Row],[MAT]],"")</f>
        <v/>
      </c>
      <c r="N1092" s="36" t="str">
        <f>IF(Table412[[#This Row],[Exist]]=1,Table412[[#This Row],[Component]],"")</f>
        <v/>
      </c>
      <c r="O1092" s="36">
        <f>IFERROR(VALUE(Table412[[#This Row],[MAT]]&amp;Table412[[#This Row],[X'#]]),IF(COUNTIF(Table412[[#This Row],[MAT]],"*M"),Table412[[#This Row],[MAT]]&amp;Table412[[#This Row],[X'#]],""))</f>
        <v>12812732</v>
      </c>
      <c r="AE1092" s="36">
        <v>28</v>
      </c>
    </row>
    <row r="1093" spans="1:31" x14ac:dyDescent="0.25">
      <c r="A1093" s="37">
        <f t="shared" si="18"/>
        <v>665</v>
      </c>
      <c r="C1093" s="38" t="s">
        <v>631</v>
      </c>
      <c r="D1093" s="36" t="s">
        <v>723</v>
      </c>
      <c r="E1093" s="36">
        <v>1281273</v>
      </c>
      <c r="F1093" s="36">
        <v>3</v>
      </c>
      <c r="G1093" s="36">
        <v>1146346</v>
      </c>
      <c r="H1093" s="48" t="str">
        <f>IFERROR(INDEX(Table14[],MATCH($G1093,Table14[SAPNo],0),3),"")</f>
        <v>1313 CT418 18-60</v>
      </c>
      <c r="I1093" s="37">
        <v>12</v>
      </c>
      <c r="J1093" s="37">
        <f>IF(Table412[[#This Row],[MAT]]&lt;&gt;"",COUNTIF(Table3[LEVEL 5 MAT NO.],Table412[[#This Row],[MAT]]),"")</f>
        <v>0</v>
      </c>
      <c r="K1093" s="36">
        <f>IFERROR(INDEX(Table3[],MATCH($E1093,Table3[LEVEL 5 MAT NO.],0),2),0)</f>
        <v>0</v>
      </c>
      <c r="L1093" s="36">
        <f>Table412[[#This Row],[Quantity in BOM]]*Table412[[#This Row],[Freq]]</f>
        <v>0</v>
      </c>
      <c r="M1093" s="36" t="str">
        <f>IF(Table412[[#This Row],[Exist]]=1,Table412[[#This Row],[MAT]],"")</f>
        <v/>
      </c>
      <c r="N1093" s="36" t="str">
        <f>IF(Table412[[#This Row],[Exist]]=1,Table412[[#This Row],[Component]],"")</f>
        <v/>
      </c>
      <c r="O1093" s="36">
        <f>IFERROR(VALUE(Table412[[#This Row],[MAT]]&amp;Table412[[#This Row],[X'#]]),IF(COUNTIF(Table412[[#This Row],[MAT]],"*M"),Table412[[#This Row],[MAT]]&amp;Table412[[#This Row],[X'#]],""))</f>
        <v>12812733</v>
      </c>
      <c r="AE1093" s="36">
        <v>27</v>
      </c>
    </row>
    <row r="1094" spans="1:31" x14ac:dyDescent="0.25">
      <c r="A1094" s="37">
        <f t="shared" si="18"/>
        <v>665</v>
      </c>
      <c r="C1094" s="38" t="s">
        <v>631</v>
      </c>
      <c r="D1094" s="36" t="s">
        <v>723</v>
      </c>
      <c r="E1094" s="36">
        <v>1281273</v>
      </c>
      <c r="F1094" s="36">
        <v>4</v>
      </c>
      <c r="G1094" s="36">
        <v>1100694</v>
      </c>
      <c r="H1094" s="48" t="str">
        <f>IFERROR(INDEX(Table14[],MATCH($G1094,Table14[SAPNo],0),3),"")</f>
        <v xml:space="preserve">1308 CT418 10C </v>
      </c>
      <c r="I1094" s="37">
        <v>3</v>
      </c>
      <c r="J1094" s="37">
        <f>IF(Table412[[#This Row],[MAT]]&lt;&gt;"",COUNTIF(Table3[LEVEL 5 MAT NO.],Table412[[#This Row],[MAT]]),"")</f>
        <v>0</v>
      </c>
      <c r="K1094" s="36">
        <f>IFERROR(INDEX(Table3[],MATCH($E1094,Table3[LEVEL 5 MAT NO.],0),2),0)</f>
        <v>0</v>
      </c>
      <c r="L1094" s="36">
        <f>Table412[[#This Row],[Quantity in BOM]]*Table412[[#This Row],[Freq]]</f>
        <v>0</v>
      </c>
      <c r="M1094" s="36" t="str">
        <f>IF(Table412[[#This Row],[Exist]]=1,Table412[[#This Row],[MAT]],"")</f>
        <v/>
      </c>
      <c r="N1094" s="36" t="str">
        <f>IF(Table412[[#This Row],[Exist]]=1,Table412[[#This Row],[Component]],"")</f>
        <v/>
      </c>
      <c r="O1094" s="36">
        <f>IFERROR(VALUE(Table412[[#This Row],[MAT]]&amp;Table412[[#This Row],[X'#]]),IF(COUNTIF(Table412[[#This Row],[MAT]],"*M"),Table412[[#This Row],[MAT]]&amp;Table412[[#This Row],[X'#]],""))</f>
        <v>12812734</v>
      </c>
      <c r="AE1094" s="36">
        <v>14</v>
      </c>
    </row>
    <row r="1095" spans="1:31" x14ac:dyDescent="0.25">
      <c r="A1095" s="37">
        <f t="shared" si="18"/>
        <v>665</v>
      </c>
      <c r="C1095" s="38" t="s">
        <v>624</v>
      </c>
      <c r="D1095" s="36" t="s">
        <v>282</v>
      </c>
      <c r="E1095" s="36">
        <v>1086630</v>
      </c>
      <c r="F1095" s="36">
        <v>1</v>
      </c>
      <c r="G1095" s="36">
        <v>1130198</v>
      </c>
      <c r="H1095" s="48" t="str">
        <f>IFERROR(INDEX(Table14[],MATCH($G1095,Table14[SAPNo],0),3),"")</f>
        <v>Round 1613 CT182  0.018" (S)</v>
      </c>
      <c r="I1095" s="37">
        <v>28</v>
      </c>
      <c r="J1095" s="37">
        <f>IF(Table412[[#This Row],[MAT]]&lt;&gt;"",COUNTIF(Table3[LEVEL 5 MAT NO.],Table412[[#This Row],[MAT]]),"")</f>
        <v>1</v>
      </c>
      <c r="K1095" s="36">
        <f>IFERROR(INDEX(Table3[],MATCH($E1095,Table3[LEVEL 5 MAT NO.],0),2),0)</f>
        <v>0</v>
      </c>
      <c r="L1095" s="36">
        <f>Table412[[#This Row],[Quantity in BOM]]*Table412[[#This Row],[Freq]]</f>
        <v>0</v>
      </c>
      <c r="M1095" s="36">
        <f>IF(Table412[[#This Row],[Exist]]=1,Table412[[#This Row],[MAT]],"")</f>
        <v>1086630</v>
      </c>
      <c r="N1095" s="36">
        <f>IF(Table412[[#This Row],[Exist]]=1,Table412[[#This Row],[Component]],"")</f>
        <v>1130198</v>
      </c>
      <c r="O1095" s="36">
        <f>IFERROR(VALUE(Table412[[#This Row],[MAT]]&amp;Table412[[#This Row],[X'#]]),IF(COUNTIF(Table412[[#This Row],[MAT]],"*M"),Table412[[#This Row],[MAT]]&amp;Table412[[#This Row],[X'#]],""))</f>
        <v>10866301</v>
      </c>
    </row>
    <row r="1096" spans="1:31" x14ac:dyDescent="0.25">
      <c r="A1096" s="37">
        <f t="shared" si="18"/>
        <v>665</v>
      </c>
      <c r="C1096" s="38" t="s">
        <v>624</v>
      </c>
      <c r="D1096" s="36" t="s">
        <v>282</v>
      </c>
      <c r="E1096" s="36">
        <v>1086630</v>
      </c>
      <c r="F1096" s="36">
        <v>2</v>
      </c>
      <c r="G1096" s="36">
        <v>418525</v>
      </c>
      <c r="H1096" s="48" t="str">
        <f>IFERROR(INDEX(Table14[],MATCH($G1096,Table14[SAPNo],0),3),"")</f>
        <v>Drop In 1308 CT31   (B)</v>
      </c>
      <c r="I1096" s="37">
        <v>12</v>
      </c>
      <c r="J1096" s="37">
        <f>IF(Table412[[#This Row],[MAT]]&lt;&gt;"",COUNTIF(Table3[LEVEL 5 MAT NO.],Table412[[#This Row],[MAT]]),"")</f>
        <v>1</v>
      </c>
      <c r="K1096" s="36">
        <f>IFERROR(INDEX(Table3[],MATCH($E1096,Table3[LEVEL 5 MAT NO.],0),2),0)</f>
        <v>0</v>
      </c>
      <c r="L1096" s="36">
        <f>Table412[[#This Row],[Quantity in BOM]]*Table412[[#This Row],[Freq]]</f>
        <v>0</v>
      </c>
      <c r="M1096" s="36">
        <f>IF(Table412[[#This Row],[Exist]]=1,Table412[[#This Row],[MAT]],"")</f>
        <v>1086630</v>
      </c>
      <c r="N1096" s="36">
        <f>IF(Table412[[#This Row],[Exist]]=1,Table412[[#This Row],[Component]],"")</f>
        <v>418525</v>
      </c>
      <c r="O1096" s="36">
        <f>IFERROR(VALUE(Table412[[#This Row],[MAT]]&amp;Table412[[#This Row],[X'#]]),IF(COUNTIF(Table412[[#This Row],[MAT]],"*M"),Table412[[#This Row],[MAT]]&amp;Table412[[#This Row],[X'#]],""))</f>
        <v>10866302</v>
      </c>
    </row>
    <row r="1097" spans="1:31" x14ac:dyDescent="0.25">
      <c r="A1097" s="37">
        <f t="shared" si="18"/>
        <v>665</v>
      </c>
      <c r="C1097" s="38" t="s">
        <v>624</v>
      </c>
      <c r="D1097" s="36" t="s">
        <v>282</v>
      </c>
      <c r="E1097" s="36">
        <v>1086630</v>
      </c>
      <c r="F1097" s="36">
        <v>3</v>
      </c>
      <c r="G1097" s="36">
        <v>871781</v>
      </c>
      <c r="H1097" s="48" t="str">
        <f>IFERROR(INDEX(Table14[],MATCH($G1097,Table14[SAPNo],0),3),"")</f>
        <v>Round 1313 CT200  0.018" (B)</v>
      </c>
      <c r="I1097" s="37">
        <v>3</v>
      </c>
      <c r="J1097" s="37">
        <f>IF(Table412[[#This Row],[MAT]]&lt;&gt;"",COUNTIF(Table3[LEVEL 5 MAT NO.],Table412[[#This Row],[MAT]]),"")</f>
        <v>1</v>
      </c>
      <c r="K1097" s="36">
        <f>IFERROR(INDEX(Table3[],MATCH($E1097,Table3[LEVEL 5 MAT NO.],0),2),0)</f>
        <v>0</v>
      </c>
      <c r="L1097" s="36">
        <f>Table412[[#This Row],[Quantity in BOM]]*Table412[[#This Row],[Freq]]</f>
        <v>0</v>
      </c>
      <c r="M1097" s="36">
        <f>IF(Table412[[#This Row],[Exist]]=1,Table412[[#This Row],[MAT]],"")</f>
        <v>1086630</v>
      </c>
      <c r="N1097" s="36">
        <f>IF(Table412[[#This Row],[Exist]]=1,Table412[[#This Row],[Component]],"")</f>
        <v>871781</v>
      </c>
      <c r="O1097" s="36">
        <f>IFERROR(VALUE(Table412[[#This Row],[MAT]]&amp;Table412[[#This Row],[X'#]]),IF(COUNTIF(Table412[[#This Row],[MAT]],"*M"),Table412[[#This Row],[MAT]]&amp;Table412[[#This Row],[X'#]],""))</f>
        <v>10866303</v>
      </c>
    </row>
    <row r="1098" spans="1:31" x14ac:dyDescent="0.25">
      <c r="A1098" s="37">
        <f t="shared" si="18"/>
        <v>665</v>
      </c>
      <c r="C1098" s="38" t="s">
        <v>624</v>
      </c>
      <c r="D1098" s="36" t="s">
        <v>282</v>
      </c>
      <c r="E1098" s="36">
        <v>1086630</v>
      </c>
      <c r="F1098" s="36">
        <v>4</v>
      </c>
      <c r="G1098" s="36">
        <v>1130196</v>
      </c>
      <c r="H1098" s="48" t="str">
        <f>IFERROR(INDEX(Table14[],MATCH($G1098,Table14[SAPNo],0),3),"")</f>
        <v>Round 1313 CT182  0.018" (S)</v>
      </c>
      <c r="I1098" s="37">
        <v>3</v>
      </c>
      <c r="J1098" s="37">
        <f>IF(Table412[[#This Row],[MAT]]&lt;&gt;"",COUNTIF(Table3[LEVEL 5 MAT NO.],Table412[[#This Row],[MAT]]),"")</f>
        <v>1</v>
      </c>
      <c r="K1098" s="36">
        <f>IFERROR(INDEX(Table3[],MATCH($E1098,Table3[LEVEL 5 MAT NO.],0),2),0)</f>
        <v>0</v>
      </c>
      <c r="L1098" s="36">
        <f>Table412[[#This Row],[Quantity in BOM]]*Table412[[#This Row],[Freq]]</f>
        <v>0</v>
      </c>
      <c r="M1098" s="36">
        <f>IF(Table412[[#This Row],[Exist]]=1,Table412[[#This Row],[MAT]],"")</f>
        <v>1086630</v>
      </c>
      <c r="N1098" s="36">
        <f>IF(Table412[[#This Row],[Exist]]=1,Table412[[#This Row],[Component]],"")</f>
        <v>1130196</v>
      </c>
      <c r="O1098" s="36">
        <f>IFERROR(VALUE(Table412[[#This Row],[MAT]]&amp;Table412[[#This Row],[X'#]]),IF(COUNTIF(Table412[[#This Row],[MAT]],"*M"),Table412[[#This Row],[MAT]]&amp;Table412[[#This Row],[X'#]],""))</f>
        <v>10866304</v>
      </c>
    </row>
    <row r="1099" spans="1:31" x14ac:dyDescent="0.25">
      <c r="A1099" s="37">
        <f t="shared" si="18"/>
        <v>665</v>
      </c>
      <c r="C1099" s="38">
        <v>16</v>
      </c>
      <c r="D1099" s="36" t="s">
        <v>642</v>
      </c>
      <c r="E1099" s="36">
        <v>1287241</v>
      </c>
      <c r="F1099" s="36">
        <v>1</v>
      </c>
      <c r="G1099" s="36">
        <v>1100741</v>
      </c>
      <c r="H1099" s="48" t="str">
        <f>IFERROR(INDEX(Table14[],MATCH($G1099,Table14[SAPNo],0),3),"")</f>
        <v>Round 1613 CT418  0.018" (S)</v>
      </c>
      <c r="I1099" s="37">
        <v>41</v>
      </c>
      <c r="J1099" s="37">
        <f>IF(Table412[[#This Row],[MAT]]&lt;&gt;"",COUNTIF(Table3[LEVEL 5 MAT NO.],Table412[[#This Row],[MAT]]),"")</f>
        <v>1</v>
      </c>
      <c r="K1099" s="36">
        <f>IFERROR(INDEX(Table3[],MATCH($E1099,Table3[LEVEL 5 MAT NO.],0),2),0)</f>
        <v>0</v>
      </c>
      <c r="L1099" s="36">
        <f>Table412[[#This Row],[Quantity in BOM]]*Table412[[#This Row],[Freq]]</f>
        <v>0</v>
      </c>
      <c r="M1099" s="36">
        <f>IF(Table412[[#This Row],[Exist]]=1,Table412[[#This Row],[MAT]],"")</f>
        <v>1287241</v>
      </c>
      <c r="N1099" s="36">
        <f>IF(Table412[[#This Row],[Exist]]=1,Table412[[#This Row],[Component]],"")</f>
        <v>1100741</v>
      </c>
      <c r="O1099" s="36">
        <f>IFERROR(VALUE(Table412[[#This Row],[MAT]]&amp;Table412[[#This Row],[X'#]]),IF(COUNTIF(Table412[[#This Row],[MAT]],"*M"),Table412[[#This Row],[MAT]]&amp;Table412[[#This Row],[X'#]],""))</f>
        <v>12872411</v>
      </c>
    </row>
    <row r="1100" spans="1:31" x14ac:dyDescent="0.25">
      <c r="A1100" s="37">
        <f t="shared" si="18"/>
        <v>665</v>
      </c>
      <c r="C1100" s="38">
        <v>16</v>
      </c>
      <c r="D1100" s="36" t="s">
        <v>642</v>
      </c>
      <c r="E1100" s="36">
        <v>1287241</v>
      </c>
      <c r="F1100" s="36">
        <v>2</v>
      </c>
      <c r="G1100" s="36">
        <v>1263823</v>
      </c>
      <c r="H1100" s="48" t="str">
        <f>IFERROR(INDEX(Table14[],MATCH($G1100,Table14[SAPNo],0),3),"")</f>
        <v>1613 CT170R U</v>
      </c>
      <c r="I1100" s="37">
        <v>41</v>
      </c>
      <c r="J1100" s="37">
        <f>IF(Table412[[#This Row],[MAT]]&lt;&gt;"",COUNTIF(Table3[LEVEL 5 MAT NO.],Table412[[#This Row],[MAT]]),"")</f>
        <v>1</v>
      </c>
      <c r="K1100" s="36">
        <f>IFERROR(INDEX(Table3[],MATCH($E1100,Table3[LEVEL 5 MAT NO.],0),2),0)</f>
        <v>0</v>
      </c>
      <c r="L1100" s="36">
        <f>Table412[[#This Row],[Quantity in BOM]]*Table412[[#This Row],[Freq]]</f>
        <v>0</v>
      </c>
      <c r="M1100" s="36">
        <f>IF(Table412[[#This Row],[Exist]]=1,Table412[[#This Row],[MAT]],"")</f>
        <v>1287241</v>
      </c>
      <c r="N1100" s="36">
        <f>IF(Table412[[#This Row],[Exist]]=1,Table412[[#This Row],[Component]],"")</f>
        <v>1263823</v>
      </c>
      <c r="O1100" s="36">
        <f>IFERROR(VALUE(Table412[[#This Row],[MAT]]&amp;Table412[[#This Row],[X'#]]),IF(COUNTIF(Table412[[#This Row],[MAT]],"*M"),Table412[[#This Row],[MAT]]&amp;Table412[[#This Row],[X'#]],""))</f>
        <v>12872412</v>
      </c>
      <c r="X1100" s="49"/>
    </row>
    <row r="1101" spans="1:31" x14ac:dyDescent="0.25">
      <c r="A1101" s="37">
        <f t="shared" si="18"/>
        <v>665</v>
      </c>
      <c r="C1101" s="38">
        <v>16</v>
      </c>
      <c r="D1101" s="36" t="s">
        <v>642</v>
      </c>
      <c r="E1101" s="36">
        <v>1287241</v>
      </c>
      <c r="F1101" s="36">
        <v>3</v>
      </c>
      <c r="G1101" s="36">
        <v>179733</v>
      </c>
      <c r="H1101" s="48" t="str">
        <f>IFERROR(INDEX(Table14[],MATCH($G1101,Table14[SAPNo],0),3),"")</f>
        <v>Short IA 13    (C)</v>
      </c>
      <c r="I1101" s="37">
        <v>20</v>
      </c>
      <c r="J1101" s="37">
        <f>IF(Table412[[#This Row],[MAT]]&lt;&gt;"",COUNTIF(Table3[LEVEL 5 MAT NO.],Table412[[#This Row],[MAT]]),"")</f>
        <v>1</v>
      </c>
      <c r="K1101" s="36">
        <f>IFERROR(INDEX(Table3[],MATCH($E1101,Table3[LEVEL 5 MAT NO.],0),2),0)</f>
        <v>0</v>
      </c>
      <c r="L1101" s="36">
        <f>Table412[[#This Row],[Quantity in BOM]]*Table412[[#This Row],[Freq]]</f>
        <v>0</v>
      </c>
      <c r="M1101" s="36">
        <f>IF(Table412[[#This Row],[Exist]]=1,Table412[[#This Row],[MAT]],"")</f>
        <v>1287241</v>
      </c>
      <c r="N1101" s="36">
        <f>IF(Table412[[#This Row],[Exist]]=1,Table412[[#This Row],[Component]],"")</f>
        <v>179733</v>
      </c>
      <c r="O1101" s="36">
        <f>IFERROR(VALUE(Table412[[#This Row],[MAT]]&amp;Table412[[#This Row],[X'#]]),IF(COUNTIF(Table412[[#This Row],[MAT]],"*M"),Table412[[#This Row],[MAT]]&amp;Table412[[#This Row],[X'#]],""))</f>
        <v>12872413</v>
      </c>
      <c r="X1101" s="49"/>
    </row>
    <row r="1102" spans="1:31" x14ac:dyDescent="0.25">
      <c r="A1102" s="37">
        <f t="shared" si="18"/>
        <v>665</v>
      </c>
      <c r="C1102" s="38">
        <v>16</v>
      </c>
      <c r="D1102" s="36" t="s">
        <v>642</v>
      </c>
      <c r="E1102" s="36">
        <v>1287241</v>
      </c>
      <c r="F1102" s="36">
        <v>4</v>
      </c>
      <c r="G1102" s="36">
        <v>1146742</v>
      </c>
      <c r="H1102" s="48" t="str">
        <f>IFERROR(INDEX(Table14[],MATCH($G1102,Table14[SAPNo],0),3),"")</f>
        <v>1913 CT418 U-60</v>
      </c>
      <c r="I1102" s="37">
        <v>20</v>
      </c>
      <c r="J1102" s="37">
        <f>IF(Table412[[#This Row],[MAT]]&lt;&gt;"",COUNTIF(Table3[LEVEL 5 MAT NO.],Table412[[#This Row],[MAT]]),"")</f>
        <v>1</v>
      </c>
      <c r="K1102" s="36">
        <f>IFERROR(INDEX(Table3[],MATCH($E1102,Table3[LEVEL 5 MAT NO.],0),2),0)</f>
        <v>0</v>
      </c>
      <c r="L1102" s="36">
        <f>Table412[[#This Row],[Quantity in BOM]]*Table412[[#This Row],[Freq]]</f>
        <v>0</v>
      </c>
      <c r="M1102" s="36">
        <f>IF(Table412[[#This Row],[Exist]]=1,Table412[[#This Row],[MAT]],"")</f>
        <v>1287241</v>
      </c>
      <c r="N1102" s="36">
        <f>IF(Table412[[#This Row],[Exist]]=1,Table412[[#This Row],[Component]],"")</f>
        <v>1146742</v>
      </c>
      <c r="O1102" s="36">
        <f>IFERROR(VALUE(Table412[[#This Row],[MAT]]&amp;Table412[[#This Row],[X'#]]),IF(COUNTIF(Table412[[#This Row],[MAT]],"*M"),Table412[[#This Row],[MAT]]&amp;Table412[[#This Row],[X'#]],""))</f>
        <v>12872414</v>
      </c>
      <c r="X1102" s="49"/>
    </row>
    <row r="1103" spans="1:31" x14ac:dyDescent="0.25">
      <c r="A1103" s="37">
        <f t="shared" si="18"/>
        <v>665</v>
      </c>
      <c r="C1103" s="38">
        <v>16</v>
      </c>
      <c r="D1103" s="36" t="s">
        <v>642</v>
      </c>
      <c r="E1103" s="36">
        <v>1287241</v>
      </c>
      <c r="F1103" s="36">
        <v>5</v>
      </c>
      <c r="G1103" s="36">
        <v>418525</v>
      </c>
      <c r="H1103" s="48" t="str">
        <f>IFERROR(INDEX(Table14[],MATCH($G1103,Table14[SAPNo],0),3),"")</f>
        <v>Drop In 1308 CT31   (B)</v>
      </c>
      <c r="I1103" s="37">
        <v>7</v>
      </c>
      <c r="J1103" s="37">
        <f>IF(Table412[[#This Row],[MAT]]&lt;&gt;"",COUNTIF(Table3[LEVEL 5 MAT NO.],Table412[[#This Row],[MAT]]),"")</f>
        <v>1</v>
      </c>
      <c r="K1103" s="36">
        <f>IFERROR(INDEX(Table3[],MATCH($E1103,Table3[LEVEL 5 MAT NO.],0),2),0)</f>
        <v>0</v>
      </c>
      <c r="L1103" s="36">
        <f>Table412[[#This Row],[Quantity in BOM]]*Table412[[#This Row],[Freq]]</f>
        <v>0</v>
      </c>
      <c r="M1103" s="36">
        <f>IF(Table412[[#This Row],[Exist]]=1,Table412[[#This Row],[MAT]],"")</f>
        <v>1287241</v>
      </c>
      <c r="N1103" s="36">
        <f>IF(Table412[[#This Row],[Exist]]=1,Table412[[#This Row],[Component]],"")</f>
        <v>418525</v>
      </c>
      <c r="O1103" s="36">
        <f>IFERROR(VALUE(Table412[[#This Row],[MAT]]&amp;Table412[[#This Row],[X'#]]),IF(COUNTIF(Table412[[#This Row],[MAT]],"*M"),Table412[[#This Row],[MAT]]&amp;Table412[[#This Row],[X'#]],""))</f>
        <v>12872415</v>
      </c>
      <c r="X1103" s="49"/>
    </row>
    <row r="1104" spans="1:31" x14ac:dyDescent="0.25">
      <c r="A1104" s="37">
        <f t="shared" si="18"/>
        <v>665</v>
      </c>
      <c r="C1104" s="38">
        <v>16</v>
      </c>
      <c r="D1104" s="36" t="s">
        <v>642</v>
      </c>
      <c r="E1104" s="36">
        <v>1287241</v>
      </c>
      <c r="F1104" s="36">
        <v>6</v>
      </c>
      <c r="G1104" s="36">
        <v>1146737</v>
      </c>
      <c r="H1104" s="48" t="str">
        <f>IFERROR(INDEX(Table14[],MATCH($G1104,Table14[SAPNo],0),3),"")</f>
        <v>1613 CT418 18-60</v>
      </c>
      <c r="I1104" s="37">
        <v>7</v>
      </c>
      <c r="J1104" s="37">
        <f>IF(Table412[[#This Row],[MAT]]&lt;&gt;"",COUNTIF(Table3[LEVEL 5 MAT NO.],Table412[[#This Row],[MAT]]),"")</f>
        <v>1</v>
      </c>
      <c r="K1104" s="36">
        <f>IFERROR(INDEX(Table3[],MATCH($E1104,Table3[LEVEL 5 MAT NO.],0),2),0)</f>
        <v>0</v>
      </c>
      <c r="L1104" s="36">
        <f>Table412[[#This Row],[Quantity in BOM]]*Table412[[#This Row],[Freq]]</f>
        <v>0</v>
      </c>
      <c r="M1104" s="36">
        <f>IF(Table412[[#This Row],[Exist]]=1,Table412[[#This Row],[MAT]],"")</f>
        <v>1287241</v>
      </c>
      <c r="N1104" s="36">
        <f>IF(Table412[[#This Row],[Exist]]=1,Table412[[#This Row],[Component]],"")</f>
        <v>1146737</v>
      </c>
      <c r="O1104" s="36">
        <f>IFERROR(VALUE(Table412[[#This Row],[MAT]]&amp;Table412[[#This Row],[X'#]]),IF(COUNTIF(Table412[[#This Row],[MAT]],"*M"),Table412[[#This Row],[MAT]]&amp;Table412[[#This Row],[X'#]],""))</f>
        <v>12872416</v>
      </c>
    </row>
    <row r="1105" spans="1:27" x14ac:dyDescent="0.25">
      <c r="A1105" s="37">
        <f t="shared" si="18"/>
        <v>665</v>
      </c>
      <c r="C1105" s="38">
        <v>6.125</v>
      </c>
      <c r="D1105" s="36" t="s">
        <v>256</v>
      </c>
      <c r="E1105" s="36" t="s">
        <v>257</v>
      </c>
      <c r="F1105" s="36">
        <v>1</v>
      </c>
      <c r="G1105" s="36">
        <v>1136984</v>
      </c>
      <c r="H1105" s="48" t="str">
        <f>IFERROR(INDEX(Table14[],MATCH($G1105,Table14[SAPNo],0),3),"")</f>
        <v>DBLMCHT 1313 CT182DM  10C (S)</v>
      </c>
      <c r="I1105" s="37">
        <v>13</v>
      </c>
      <c r="J1105" s="37">
        <f>IF(Table412[[#This Row],[MAT]]&lt;&gt;"",COUNTIF(Table3[LEVEL 5 MAT NO.],Table412[[#This Row],[MAT]]),"")</f>
        <v>0</v>
      </c>
      <c r="K1105" s="36">
        <f>IFERROR(INDEX(Table3[],MATCH($E1105,Table3[LEVEL 5 MAT NO.],0),2),0)</f>
        <v>0</v>
      </c>
      <c r="L1105" s="36">
        <f>Table412[[#This Row],[Quantity in BOM]]*Table412[[#This Row],[Freq]]</f>
        <v>0</v>
      </c>
      <c r="M1105" s="36" t="str">
        <f>IF(Table412[[#This Row],[Exist]]=1,Table412[[#This Row],[MAT]],"")</f>
        <v/>
      </c>
      <c r="N1105" s="36" t="str">
        <f>IF(Table412[[#This Row],[Exist]]=1,Table412[[#This Row],[Component]],"")</f>
        <v/>
      </c>
      <c r="O1105" s="36" t="str">
        <f>IFERROR(VALUE(Table412[[#This Row],[MAT]]&amp;Table412[[#This Row],[X'#]]),IF(COUNTIF(Table412[[#This Row],[MAT]],"*M"),Table412[[#This Row],[MAT]]&amp;Table412[[#This Row],[X'#]],""))</f>
        <v>1160951M1</v>
      </c>
    </row>
    <row r="1106" spans="1:27" x14ac:dyDescent="0.25">
      <c r="A1106" s="37">
        <f t="shared" si="18"/>
        <v>665</v>
      </c>
      <c r="C1106" s="38">
        <v>6.125</v>
      </c>
      <c r="D1106" s="36" t="s">
        <v>256</v>
      </c>
      <c r="E1106" s="36" t="s">
        <v>257</v>
      </c>
      <c r="F1106" s="36">
        <v>2</v>
      </c>
      <c r="G1106" s="36">
        <v>418525</v>
      </c>
      <c r="H1106" s="48" t="str">
        <f>IFERROR(INDEX(Table14[],MATCH($G1106,Table14[SAPNo],0),3),"")</f>
        <v>Drop In 1308 CT31   (B)</v>
      </c>
      <c r="I1106" s="37">
        <v>6</v>
      </c>
      <c r="J1106" s="37">
        <f>IF(Table412[[#This Row],[MAT]]&lt;&gt;"",COUNTIF(Table3[LEVEL 5 MAT NO.],Table412[[#This Row],[MAT]]),"")</f>
        <v>0</v>
      </c>
      <c r="K1106" s="36">
        <f>IFERROR(INDEX(Table3[],MATCH($E1106,Table3[LEVEL 5 MAT NO.],0),2),0)</f>
        <v>0</v>
      </c>
      <c r="L1106" s="36">
        <f>Table412[[#This Row],[Quantity in BOM]]*Table412[[#This Row],[Freq]]</f>
        <v>0</v>
      </c>
      <c r="M1106" s="36" t="str">
        <f>IF(Table412[[#This Row],[Exist]]=1,Table412[[#This Row],[MAT]],"")</f>
        <v/>
      </c>
      <c r="N1106" s="36" t="str">
        <f>IF(Table412[[#This Row],[Exist]]=1,Table412[[#This Row],[Component]],"")</f>
        <v/>
      </c>
      <c r="O1106" s="36" t="str">
        <f>IFERROR(VALUE(Table412[[#This Row],[MAT]]&amp;Table412[[#This Row],[X'#]]),IF(COUNTIF(Table412[[#This Row],[MAT]],"*M"),Table412[[#This Row],[MAT]]&amp;Table412[[#This Row],[X'#]],""))</f>
        <v>1160951M2</v>
      </c>
    </row>
    <row r="1107" spans="1:27" x14ac:dyDescent="0.25">
      <c r="A1107" s="37">
        <f t="shared" si="18"/>
        <v>665</v>
      </c>
      <c r="C1107" s="38">
        <v>6.125</v>
      </c>
      <c r="D1107" s="36" t="s">
        <v>256</v>
      </c>
      <c r="E1107" s="36" t="s">
        <v>257</v>
      </c>
      <c r="F1107" s="36">
        <v>3</v>
      </c>
      <c r="G1107" s="36">
        <v>1101509</v>
      </c>
      <c r="H1107" s="48" t="str">
        <f>IFERROR(INDEX(Table14[],MATCH($G1107,Table14[SAPNo],0),3),"")</f>
        <v>Short IA 8    (C)</v>
      </c>
      <c r="I1107" s="37">
        <v>5</v>
      </c>
      <c r="J1107" s="37">
        <f>IF(Table412[[#This Row],[MAT]]&lt;&gt;"",COUNTIF(Table3[LEVEL 5 MAT NO.],Table412[[#This Row],[MAT]]),"")</f>
        <v>0</v>
      </c>
      <c r="K1107" s="36">
        <f>IFERROR(INDEX(Table3[],MATCH($E1107,Table3[LEVEL 5 MAT NO.],0),2),0)</f>
        <v>0</v>
      </c>
      <c r="L1107" s="36">
        <f>Table412[[#This Row],[Quantity in BOM]]*Table412[[#This Row],[Freq]]</f>
        <v>0</v>
      </c>
      <c r="M1107" s="36" t="str">
        <f>IF(Table412[[#This Row],[Exist]]=1,Table412[[#This Row],[MAT]],"")</f>
        <v/>
      </c>
      <c r="N1107" s="36" t="str">
        <f>IF(Table412[[#This Row],[Exist]]=1,Table412[[#This Row],[Component]],"")</f>
        <v/>
      </c>
      <c r="O1107" s="36" t="str">
        <f>IFERROR(VALUE(Table412[[#This Row],[MAT]]&amp;Table412[[#This Row],[X'#]]),IF(COUNTIF(Table412[[#This Row],[MAT]],"*M"),Table412[[#This Row],[MAT]]&amp;Table412[[#This Row],[X'#]],""))</f>
        <v>1160951M3</v>
      </c>
    </row>
    <row r="1108" spans="1:27" x14ac:dyDescent="0.25">
      <c r="A1108" s="37">
        <f t="shared" si="18"/>
        <v>665</v>
      </c>
      <c r="C1108" s="38">
        <v>6.125</v>
      </c>
      <c r="D1108" s="36" t="s">
        <v>256</v>
      </c>
      <c r="E1108" s="36" t="s">
        <v>257</v>
      </c>
      <c r="F1108" s="36">
        <v>4</v>
      </c>
      <c r="G1108" s="36">
        <v>1104083</v>
      </c>
      <c r="H1108" s="48" t="str">
        <f>IFERROR(INDEX(Table14[],MATCH($G1108,Table14[SAPNo],0),3),"")</f>
        <v>1313 CT144H  10C (S)</v>
      </c>
      <c r="I1108" s="37">
        <v>1</v>
      </c>
      <c r="J1108" s="37">
        <f>IF(Table412[[#This Row],[MAT]]&lt;&gt;"",COUNTIF(Table3[LEVEL 5 MAT NO.],Table412[[#This Row],[MAT]]),"")</f>
        <v>0</v>
      </c>
      <c r="K1108" s="36">
        <f>IFERROR(INDEX(Table3[],MATCH($E1108,Table3[LEVEL 5 MAT NO.],0),2),0)</f>
        <v>0</v>
      </c>
      <c r="L1108" s="36">
        <f>Table412[[#This Row],[Quantity in BOM]]*Table412[[#This Row],[Freq]]</f>
        <v>0</v>
      </c>
      <c r="M1108" s="36" t="str">
        <f>IF(Table412[[#This Row],[Exist]]=1,Table412[[#This Row],[MAT]],"")</f>
        <v/>
      </c>
      <c r="N1108" s="36" t="str">
        <f>IF(Table412[[#This Row],[Exist]]=1,Table412[[#This Row],[Component]],"")</f>
        <v/>
      </c>
      <c r="O1108" s="36" t="str">
        <f>IFERROR(VALUE(Table412[[#This Row],[MAT]]&amp;Table412[[#This Row],[X'#]]),IF(COUNTIF(Table412[[#This Row],[MAT]],"*M"),Table412[[#This Row],[MAT]]&amp;Table412[[#This Row],[X'#]],""))</f>
        <v>1160951M4</v>
      </c>
    </row>
    <row r="1109" spans="1:27" x14ac:dyDescent="0.25">
      <c r="A1109" s="37">
        <f t="shared" si="18"/>
        <v>665</v>
      </c>
      <c r="C1109" s="38">
        <v>6.125</v>
      </c>
      <c r="D1109" s="36" t="s">
        <v>256</v>
      </c>
      <c r="E1109" s="36" t="s">
        <v>257</v>
      </c>
      <c r="F1109" s="36">
        <v>5</v>
      </c>
      <c r="G1109" s="36">
        <v>1146346</v>
      </c>
      <c r="H1109" s="48" t="str">
        <f>IFERROR(INDEX(Table14[],MATCH($G1109,Table14[SAPNo],0),3),"")</f>
        <v>1313 CT418 18-60</v>
      </c>
      <c r="I1109" s="37">
        <v>11</v>
      </c>
      <c r="J1109" s="37">
        <f>IF(Table412[[#This Row],[MAT]]&lt;&gt;"",COUNTIF(Table3[LEVEL 5 MAT NO.],Table412[[#This Row],[MAT]]),"")</f>
        <v>0</v>
      </c>
      <c r="K1109" s="36">
        <f>IFERROR(INDEX(Table3[],MATCH($E1109,Table3[LEVEL 5 MAT NO.],0),2),0)</f>
        <v>0</v>
      </c>
      <c r="L1109" s="36">
        <f>Table412[[#This Row],[Quantity in BOM]]*Table412[[#This Row],[Freq]]</f>
        <v>0</v>
      </c>
      <c r="M1109" s="36" t="str">
        <f>IF(Table412[[#This Row],[Exist]]=1,Table412[[#This Row],[MAT]],"")</f>
        <v/>
      </c>
      <c r="N1109" s="36" t="str">
        <f>IF(Table412[[#This Row],[Exist]]=1,Table412[[#This Row],[Component]],"")</f>
        <v/>
      </c>
      <c r="O1109" s="36" t="str">
        <f>IFERROR(VALUE(Table412[[#This Row],[MAT]]&amp;Table412[[#This Row],[X'#]]),IF(COUNTIF(Table412[[#This Row],[MAT]],"*M"),Table412[[#This Row],[MAT]]&amp;Table412[[#This Row],[X'#]],""))</f>
        <v>1160951M5</v>
      </c>
    </row>
    <row r="1110" spans="1:27" x14ac:dyDescent="0.25">
      <c r="A1110" s="37">
        <f t="shared" si="18"/>
        <v>665</v>
      </c>
      <c r="C1110" s="38" t="s">
        <v>624</v>
      </c>
      <c r="D1110" s="36" t="s">
        <v>687</v>
      </c>
      <c r="E1110" s="36">
        <v>1254762</v>
      </c>
      <c r="F1110" s="36">
        <v>1</v>
      </c>
      <c r="G1110" s="36">
        <v>717751</v>
      </c>
      <c r="H1110" s="48" t="str">
        <f>IFERROR(INDEX(Table14[],MATCH($G1110,Table14[SAPNo],0),3),"")</f>
        <v>Round 1308 CT200  0.018" (B)</v>
      </c>
      <c r="I1110" s="37">
        <v>16</v>
      </c>
      <c r="J1110" s="37">
        <f>IF(Table412[[#This Row],[MAT]]&lt;&gt;"",COUNTIF(Table3[LEVEL 5 MAT NO.],Table412[[#This Row],[MAT]]),"")</f>
        <v>1</v>
      </c>
      <c r="K1110" s="36">
        <f>IFERROR(INDEX(Table3[],MATCH($E1110,Table3[LEVEL 5 MAT NO.],0),2),0)</f>
        <v>5</v>
      </c>
      <c r="L1110" s="36">
        <f>Table412[[#This Row],[Quantity in BOM]]*Table412[[#This Row],[Freq]]</f>
        <v>80</v>
      </c>
      <c r="M1110" s="36">
        <f>IF(Table412[[#This Row],[Exist]]=1,Table412[[#This Row],[MAT]],"")</f>
        <v>1254762</v>
      </c>
      <c r="N1110" s="36">
        <f>IF(Table412[[#This Row],[Exist]]=1,Table412[[#This Row],[Component]],"")</f>
        <v>717751</v>
      </c>
      <c r="O1110" s="36">
        <f>IFERROR(VALUE(Table412[[#This Row],[MAT]]&amp;Table412[[#This Row],[X'#]]),IF(COUNTIF(Table412[[#This Row],[MAT]],"*M"),Table412[[#This Row],[MAT]]&amp;Table412[[#This Row],[X'#]],""))</f>
        <v>12547621</v>
      </c>
    </row>
    <row r="1111" spans="1:27" x14ac:dyDescent="0.25">
      <c r="A1111" s="37">
        <f t="shared" si="18"/>
        <v>670</v>
      </c>
      <c r="C1111" s="38" t="s">
        <v>624</v>
      </c>
      <c r="D1111" s="36" t="s">
        <v>687</v>
      </c>
      <c r="E1111" s="36">
        <v>1254762</v>
      </c>
      <c r="F1111" s="36">
        <v>2</v>
      </c>
      <c r="G1111" s="36">
        <v>1263823</v>
      </c>
      <c r="H1111" s="48" t="str">
        <f>IFERROR(INDEX(Table14[],MATCH($G1111,Table14[SAPNo],0),3),"")</f>
        <v>1613 CT170R U</v>
      </c>
      <c r="I1111" s="37">
        <v>16</v>
      </c>
      <c r="J1111" s="37">
        <f>IF(Table412[[#This Row],[MAT]]&lt;&gt;"",COUNTIF(Table3[LEVEL 5 MAT NO.],Table412[[#This Row],[MAT]]),"")</f>
        <v>1</v>
      </c>
      <c r="K1111" s="36">
        <f>IFERROR(INDEX(Table3[],MATCH($E1111,Table3[LEVEL 5 MAT NO.],0),2),0)</f>
        <v>5</v>
      </c>
      <c r="L1111" s="36">
        <f>Table412[[#This Row],[Quantity in BOM]]*Table412[[#This Row],[Freq]]</f>
        <v>80</v>
      </c>
      <c r="M1111" s="36">
        <f>IF(Table412[[#This Row],[Exist]]=1,Table412[[#This Row],[MAT]],"")</f>
        <v>1254762</v>
      </c>
      <c r="N1111" s="36">
        <f>IF(Table412[[#This Row],[Exist]]=1,Table412[[#This Row],[Component]],"")</f>
        <v>1263823</v>
      </c>
      <c r="O1111" s="36">
        <f>IFERROR(VALUE(Table412[[#This Row],[MAT]]&amp;Table412[[#This Row],[X'#]]),IF(COUNTIF(Table412[[#This Row],[MAT]],"*M"),Table412[[#This Row],[MAT]]&amp;Table412[[#This Row],[X'#]],""))</f>
        <v>12547622</v>
      </c>
    </row>
    <row r="1112" spans="1:27" x14ac:dyDescent="0.25">
      <c r="A1112" s="37">
        <f t="shared" si="18"/>
        <v>675</v>
      </c>
      <c r="C1112" s="38" t="s">
        <v>624</v>
      </c>
      <c r="D1112" s="36" t="s">
        <v>687</v>
      </c>
      <c r="E1112" s="36">
        <v>1254762</v>
      </c>
      <c r="F1112" s="36">
        <v>3</v>
      </c>
      <c r="G1112" s="36">
        <v>1146737</v>
      </c>
      <c r="H1112" s="48" t="str">
        <f>IFERROR(INDEX(Table14[],MATCH($G1112,Table14[SAPNo],0),3),"")</f>
        <v>1613 CT418 18-60</v>
      </c>
      <c r="I1112" s="37">
        <v>14</v>
      </c>
      <c r="J1112" s="37">
        <f>IF(Table412[[#This Row],[MAT]]&lt;&gt;"",COUNTIF(Table3[LEVEL 5 MAT NO.],Table412[[#This Row],[MAT]]),"")</f>
        <v>1</v>
      </c>
      <c r="K1112" s="36">
        <f>IFERROR(INDEX(Table3[],MATCH($E1112,Table3[LEVEL 5 MAT NO.],0),2),0)</f>
        <v>5</v>
      </c>
      <c r="L1112" s="36">
        <f>Table412[[#This Row],[Quantity in BOM]]*Table412[[#This Row],[Freq]]</f>
        <v>70</v>
      </c>
      <c r="M1112" s="36">
        <f>IF(Table412[[#This Row],[Exist]]=1,Table412[[#This Row],[MAT]],"")</f>
        <v>1254762</v>
      </c>
      <c r="N1112" s="36">
        <f>IF(Table412[[#This Row],[Exist]]=1,Table412[[#This Row],[Component]],"")</f>
        <v>1146737</v>
      </c>
      <c r="O1112" s="36">
        <f>IFERROR(VALUE(Table412[[#This Row],[MAT]]&amp;Table412[[#This Row],[X'#]]),IF(COUNTIF(Table412[[#This Row],[MAT]],"*M"),Table412[[#This Row],[MAT]]&amp;Table412[[#This Row],[X'#]],""))</f>
        <v>12547623</v>
      </c>
    </row>
    <row r="1113" spans="1:27" x14ac:dyDescent="0.25">
      <c r="A1113" s="37">
        <f t="shared" si="18"/>
        <v>680</v>
      </c>
      <c r="C1113" s="38" t="s">
        <v>624</v>
      </c>
      <c r="D1113" s="36" t="s">
        <v>687</v>
      </c>
      <c r="E1113" s="36">
        <v>1254762</v>
      </c>
      <c r="F1113" s="36">
        <v>4</v>
      </c>
      <c r="G1113" s="36">
        <v>871781</v>
      </c>
      <c r="H1113" s="48" t="str">
        <f>IFERROR(INDEX(Table14[],MATCH($G1113,Table14[SAPNo],0),3),"")</f>
        <v>Round 1313 CT200  0.018" (B)</v>
      </c>
      <c r="I1113" s="37">
        <v>6</v>
      </c>
      <c r="J1113" s="37">
        <f>IF(Table412[[#This Row],[MAT]]&lt;&gt;"",COUNTIF(Table3[LEVEL 5 MAT NO.],Table412[[#This Row],[MAT]]),"")</f>
        <v>1</v>
      </c>
      <c r="K1113" s="36">
        <f>IFERROR(INDEX(Table3[],MATCH($E1113,Table3[LEVEL 5 MAT NO.],0),2),0)</f>
        <v>5</v>
      </c>
      <c r="L1113" s="36">
        <f>Table412[[#This Row],[Quantity in BOM]]*Table412[[#This Row],[Freq]]</f>
        <v>30</v>
      </c>
      <c r="M1113" s="36">
        <f>IF(Table412[[#This Row],[Exist]]=1,Table412[[#This Row],[MAT]],"")</f>
        <v>1254762</v>
      </c>
      <c r="N1113" s="36">
        <f>IF(Table412[[#This Row],[Exist]]=1,Table412[[#This Row],[Component]],"")</f>
        <v>871781</v>
      </c>
      <c r="O1113" s="36">
        <f>IFERROR(VALUE(Table412[[#This Row],[MAT]]&amp;Table412[[#This Row],[X'#]]),IF(COUNTIF(Table412[[#This Row],[MAT]],"*M"),Table412[[#This Row],[MAT]]&amp;Table412[[#This Row],[X'#]],""))</f>
        <v>12547624</v>
      </c>
    </row>
    <row r="1114" spans="1:27" x14ac:dyDescent="0.25">
      <c r="A1114" s="37">
        <f t="shared" si="18"/>
        <v>685</v>
      </c>
      <c r="C1114" s="38" t="s">
        <v>624</v>
      </c>
      <c r="D1114" s="36" t="s">
        <v>687</v>
      </c>
      <c r="E1114" s="36">
        <v>1254762</v>
      </c>
      <c r="F1114" s="36">
        <v>5</v>
      </c>
      <c r="G1114" s="36">
        <v>1271790</v>
      </c>
      <c r="H1114" s="48" t="str">
        <f>IFERROR(INDEX(Table14[],MATCH($G1114,Table14[SAPNo],0),3),"")</f>
        <v xml:space="preserve">1613 CT170 18-60 </v>
      </c>
      <c r="I1114" s="37">
        <v>3</v>
      </c>
      <c r="J1114" s="37">
        <f>IF(Table412[[#This Row],[MAT]]&lt;&gt;"",COUNTIF(Table3[LEVEL 5 MAT NO.],Table412[[#This Row],[MAT]]),"")</f>
        <v>1</v>
      </c>
      <c r="K1114" s="36">
        <f>IFERROR(INDEX(Table3[],MATCH($E1114,Table3[LEVEL 5 MAT NO.],0),2),0)</f>
        <v>5</v>
      </c>
      <c r="L1114" s="36">
        <f>Table412[[#This Row],[Quantity in BOM]]*Table412[[#This Row],[Freq]]</f>
        <v>15</v>
      </c>
      <c r="M1114" s="36">
        <f>IF(Table412[[#This Row],[Exist]]=1,Table412[[#This Row],[MAT]],"")</f>
        <v>1254762</v>
      </c>
      <c r="N1114" s="36">
        <f>IF(Table412[[#This Row],[Exist]]=1,Table412[[#This Row],[Component]],"")</f>
        <v>1271790</v>
      </c>
      <c r="O1114" s="36">
        <f>IFERROR(VALUE(Table412[[#This Row],[MAT]]&amp;Table412[[#This Row],[X'#]]),IF(COUNTIF(Table412[[#This Row],[MAT]],"*M"),Table412[[#This Row],[MAT]]&amp;Table412[[#This Row],[X'#]],""))</f>
        <v>12547625</v>
      </c>
    </row>
    <row r="1115" spans="1:27" x14ac:dyDescent="0.25">
      <c r="A1115" s="37">
        <f t="shared" si="18"/>
        <v>690</v>
      </c>
      <c r="C1115" s="38" t="s">
        <v>637</v>
      </c>
      <c r="D1115" s="36" t="s">
        <v>673</v>
      </c>
      <c r="E1115" s="36" t="s">
        <v>3735</v>
      </c>
      <c r="F1115" s="36">
        <v>1</v>
      </c>
      <c r="G1115" s="36">
        <v>1261615</v>
      </c>
      <c r="H1115" s="49" t="str">
        <f>IFERROR(INDEX(Table14[],MATCH($G1115,Table14[SAPNo],0),3),"")</f>
        <v>1613 CT172R U</v>
      </c>
      <c r="I1115" s="37">
        <v>24</v>
      </c>
      <c r="J1115" s="37">
        <f>IF(Table412[[#This Row],[MAT]]&lt;&gt;"",COUNTIF(Table3[LEVEL 5 MAT NO.],Table412[[#This Row],[MAT]]),"")</f>
        <v>0</v>
      </c>
      <c r="K1115" s="36">
        <f>IFERROR(INDEX(Table3[],MATCH($E1115,Table3[LEVEL 5 MAT NO.],0),2),0)</f>
        <v>0</v>
      </c>
      <c r="L1115" s="36">
        <f>Table412[[#This Row],[Quantity in BOM]]*Table412[[#This Row],[Freq]]</f>
        <v>0</v>
      </c>
      <c r="M1115" s="36" t="str">
        <f>IF(Table412[[#This Row],[Exist]]=1,Table412[[#This Row],[MAT]],"")</f>
        <v/>
      </c>
      <c r="N1115" s="36" t="str">
        <f>IF(Table412[[#This Row],[Exist]]=1,Table412[[#This Row],[Component]],"")</f>
        <v/>
      </c>
      <c r="O1115" s="36" t="str">
        <f>IFERROR(VALUE(Table412[[#This Row],[MAT]]&amp;Table412[[#This Row],[X'#]]),IF(COUNTIF(Table412[[#This Row],[MAT]],"*M"),Table412[[#This Row],[MAT]]&amp;Table412[[#This Row],[X'#]],""))</f>
        <v/>
      </c>
    </row>
    <row r="1116" spans="1:27" x14ac:dyDescent="0.25">
      <c r="A1116" s="37">
        <f t="shared" si="18"/>
        <v>690</v>
      </c>
      <c r="C1116" s="38" t="s">
        <v>637</v>
      </c>
      <c r="D1116" s="36" t="s">
        <v>673</v>
      </c>
      <c r="E1116" s="36" t="s">
        <v>3735</v>
      </c>
      <c r="F1116" s="36">
        <v>2</v>
      </c>
      <c r="G1116" s="36">
        <v>1146737</v>
      </c>
      <c r="H1116" s="49" t="str">
        <f>IFERROR(INDEX(Table14[],MATCH($G1116,Table14[SAPNo],0),3),"")</f>
        <v>1613 CT418 18-60</v>
      </c>
      <c r="I1116" s="37">
        <v>9</v>
      </c>
      <c r="J1116" s="37">
        <f>IF(Table412[[#This Row],[MAT]]&lt;&gt;"",COUNTIF(Table3[LEVEL 5 MAT NO.],Table412[[#This Row],[MAT]]),"")</f>
        <v>0</v>
      </c>
      <c r="K1116" s="36">
        <f>IFERROR(INDEX(Table3[],MATCH($E1116,Table3[LEVEL 5 MAT NO.],0),2),0)</f>
        <v>0</v>
      </c>
      <c r="L1116" s="36">
        <f>Table412[[#This Row],[Quantity in BOM]]*Table412[[#This Row],[Freq]]</f>
        <v>0</v>
      </c>
      <c r="M1116" s="36" t="str">
        <f>IF(Table412[[#This Row],[Exist]]=1,Table412[[#This Row],[MAT]],"")</f>
        <v/>
      </c>
      <c r="N1116" s="36" t="str">
        <f>IF(Table412[[#This Row],[Exist]]=1,Table412[[#This Row],[Component]],"")</f>
        <v/>
      </c>
      <c r="O1116" s="36" t="str">
        <f>IFERROR(VALUE(Table412[[#This Row],[MAT]]&amp;Table412[[#This Row],[X'#]]),IF(COUNTIF(Table412[[#This Row],[MAT]],"*M"),Table412[[#This Row],[MAT]]&amp;Table412[[#This Row],[X'#]],""))</f>
        <v/>
      </c>
    </row>
    <row r="1117" spans="1:27" x14ac:dyDescent="0.25">
      <c r="A1117" s="37">
        <f t="shared" si="18"/>
        <v>690</v>
      </c>
      <c r="C1117" s="38" t="s">
        <v>637</v>
      </c>
      <c r="D1117" s="36" t="s">
        <v>673</v>
      </c>
      <c r="E1117" s="36" t="s">
        <v>3735</v>
      </c>
      <c r="F1117" s="36">
        <v>3</v>
      </c>
      <c r="G1117" s="36">
        <v>1271790</v>
      </c>
      <c r="H1117" s="49" t="str">
        <f>IFERROR(INDEX(Table14[],MATCH($G1117,Table14[SAPNo],0),3),"")</f>
        <v xml:space="preserve">1613 CT170 18-60 </v>
      </c>
      <c r="I1117" s="37">
        <v>12</v>
      </c>
      <c r="J1117" s="37">
        <f>IF(Table412[[#This Row],[MAT]]&lt;&gt;"",COUNTIF(Table3[LEVEL 5 MAT NO.],Table412[[#This Row],[MAT]]),"")</f>
        <v>0</v>
      </c>
      <c r="K1117" s="36">
        <f>IFERROR(INDEX(Table3[],MATCH($E1117,Table3[LEVEL 5 MAT NO.],0),2),0)</f>
        <v>0</v>
      </c>
      <c r="L1117" s="36">
        <f>Table412[[#This Row],[Quantity in BOM]]*Table412[[#This Row],[Freq]]</f>
        <v>0</v>
      </c>
      <c r="M1117" s="36" t="str">
        <f>IF(Table412[[#This Row],[Exist]]=1,Table412[[#This Row],[MAT]],"")</f>
        <v/>
      </c>
      <c r="N1117" s="36" t="str">
        <f>IF(Table412[[#This Row],[Exist]]=1,Table412[[#This Row],[Component]],"")</f>
        <v/>
      </c>
      <c r="O1117" s="36" t="str">
        <f>IFERROR(VALUE(Table412[[#This Row],[MAT]]&amp;Table412[[#This Row],[X'#]]),IF(COUNTIF(Table412[[#This Row],[MAT]],"*M"),Table412[[#This Row],[MAT]]&amp;Table412[[#This Row],[X'#]],""))</f>
        <v/>
      </c>
    </row>
    <row r="1118" spans="1:27" x14ac:dyDescent="0.25">
      <c r="A1118" s="37">
        <f t="shared" si="18"/>
        <v>690</v>
      </c>
      <c r="C1118" s="38" t="s">
        <v>637</v>
      </c>
      <c r="D1118" s="36" t="s">
        <v>673</v>
      </c>
      <c r="E1118" s="36" t="s">
        <v>3735</v>
      </c>
      <c r="F1118" s="36">
        <v>4</v>
      </c>
      <c r="G1118" s="36">
        <v>410851</v>
      </c>
      <c r="H1118" s="49" t="str">
        <f>IFERROR(INDEX(Table14[],MATCH($G1118,Table14[SAPNo],0),3),"")</f>
        <v>PDC Dome 1308 CT31   (B)</v>
      </c>
      <c r="I1118" s="37">
        <v>12</v>
      </c>
      <c r="J1118" s="37">
        <f>IF(Table412[[#This Row],[MAT]]&lt;&gt;"",COUNTIF(Table3[LEVEL 5 MAT NO.],Table412[[#This Row],[MAT]]),"")</f>
        <v>0</v>
      </c>
      <c r="K1118" s="36">
        <f>IFERROR(INDEX(Table3[],MATCH($E1118,Table3[LEVEL 5 MAT NO.],0),2),0)</f>
        <v>0</v>
      </c>
      <c r="L1118" s="36">
        <f>Table412[[#This Row],[Quantity in BOM]]*Table412[[#This Row],[Freq]]</f>
        <v>0</v>
      </c>
      <c r="M1118" s="36" t="str">
        <f>IF(Table412[[#This Row],[Exist]]=1,Table412[[#This Row],[MAT]],"")</f>
        <v/>
      </c>
      <c r="N1118" s="36" t="str">
        <f>IF(Table412[[#This Row],[Exist]]=1,Table412[[#This Row],[Component]],"")</f>
        <v/>
      </c>
      <c r="O1118" s="36" t="str">
        <f>IFERROR(VALUE(Table412[[#This Row],[MAT]]&amp;Table412[[#This Row],[X'#]]),IF(COUNTIF(Table412[[#This Row],[MAT]],"*M"),Table412[[#This Row],[MAT]]&amp;Table412[[#This Row],[X'#]],""))</f>
        <v/>
      </c>
    </row>
    <row r="1119" spans="1:27" x14ac:dyDescent="0.25">
      <c r="A1119" s="37">
        <f t="shared" si="18"/>
        <v>690</v>
      </c>
      <c r="C1119" s="38" t="s">
        <v>637</v>
      </c>
      <c r="D1119" s="36" t="s">
        <v>673</v>
      </c>
      <c r="E1119" s="36" t="s">
        <v>3735</v>
      </c>
      <c r="F1119" s="36">
        <v>5</v>
      </c>
      <c r="G1119" s="36">
        <v>871781</v>
      </c>
      <c r="H1119" s="49" t="str">
        <f>IFERROR(INDEX(Table14[],MATCH($G1119,Table14[SAPNo],0),3),"")</f>
        <v>Round 1313 CT200  0.018" (B)</v>
      </c>
      <c r="I1119" s="37">
        <v>6</v>
      </c>
      <c r="J1119" s="37">
        <f>IF(Table412[[#This Row],[MAT]]&lt;&gt;"",COUNTIF(Table3[LEVEL 5 MAT NO.],Table412[[#This Row],[MAT]]),"")</f>
        <v>0</v>
      </c>
      <c r="K1119" s="36">
        <f>IFERROR(INDEX(Table3[],MATCH($E1119,Table3[LEVEL 5 MAT NO.],0),2),0)</f>
        <v>0</v>
      </c>
      <c r="L1119" s="36">
        <f>Table412[[#This Row],[Quantity in BOM]]*Table412[[#This Row],[Freq]]</f>
        <v>0</v>
      </c>
      <c r="M1119" s="36" t="str">
        <f>IF(Table412[[#This Row],[Exist]]=1,Table412[[#This Row],[MAT]],"")</f>
        <v/>
      </c>
      <c r="N1119" s="36" t="str">
        <f>IF(Table412[[#This Row],[Exist]]=1,Table412[[#This Row],[Component]],"")</f>
        <v/>
      </c>
      <c r="O1119" s="36" t="str">
        <f>IFERROR(VALUE(Table412[[#This Row],[MAT]]&amp;Table412[[#This Row],[X'#]]),IF(COUNTIF(Table412[[#This Row],[MAT]],"*M"),Table412[[#This Row],[MAT]]&amp;Table412[[#This Row],[X'#]],""))</f>
        <v/>
      </c>
      <c r="V1119" s="36">
        <v>1</v>
      </c>
      <c r="W1119" s="470">
        <v>1613</v>
      </c>
      <c r="X1119" s="36" t="s">
        <v>3718</v>
      </c>
      <c r="Y1119" s="36" t="s">
        <v>214</v>
      </c>
      <c r="Z1119" s="36">
        <v>17</v>
      </c>
      <c r="AA1119" s="36">
        <v>1288783</v>
      </c>
    </row>
    <row r="1120" spans="1:27" x14ac:dyDescent="0.25">
      <c r="A1120" s="37">
        <f t="shared" si="18"/>
        <v>690</v>
      </c>
      <c r="C1120" s="38" t="s">
        <v>637</v>
      </c>
      <c r="D1120" s="36" t="s">
        <v>673</v>
      </c>
      <c r="E1120" s="36" t="s">
        <v>3735</v>
      </c>
      <c r="F1120" s="36">
        <v>6</v>
      </c>
      <c r="G1120" s="36">
        <v>1244957</v>
      </c>
      <c r="H1120" s="49" t="str">
        <f>IFERROR(INDEX(Table14[],MATCH($G1120,Table14[SAPNo],0),3),"")</f>
        <v>1613 CT418 DER</v>
      </c>
      <c r="I1120" s="37">
        <v>6</v>
      </c>
      <c r="J1120" s="37">
        <f>IF(Table412[[#This Row],[MAT]]&lt;&gt;"",COUNTIF(Table3[LEVEL 5 MAT NO.],Table412[[#This Row],[MAT]]),"")</f>
        <v>0</v>
      </c>
      <c r="K1120" s="36">
        <f>IFERROR(INDEX(Table3[],MATCH($E1120,Table3[LEVEL 5 MAT NO.],0),2),0)</f>
        <v>0</v>
      </c>
      <c r="L1120" s="36">
        <f>Table412[[#This Row],[Quantity in BOM]]*Table412[[#This Row],[Freq]]</f>
        <v>0</v>
      </c>
      <c r="M1120" s="36" t="str">
        <f>IF(Table412[[#This Row],[Exist]]=1,Table412[[#This Row],[MAT]],"")</f>
        <v/>
      </c>
      <c r="N1120" s="36" t="str">
        <f>IF(Table412[[#This Row],[Exist]]=1,Table412[[#This Row],[Component]],"")</f>
        <v/>
      </c>
      <c r="O1120" s="36" t="str">
        <f>IFERROR(VALUE(Table412[[#This Row],[MAT]]&amp;Table412[[#This Row],[X'#]]),IF(COUNTIF(Table412[[#This Row],[MAT]],"*M"),Table412[[#This Row],[MAT]]&amp;Table412[[#This Row],[X'#]],""))</f>
        <v/>
      </c>
      <c r="V1120" s="36">
        <v>2</v>
      </c>
      <c r="W1120" s="470" t="s">
        <v>38</v>
      </c>
      <c r="X1120" s="36" t="s">
        <v>243</v>
      </c>
      <c r="Y1120" s="36" t="s">
        <v>279</v>
      </c>
      <c r="Z1120" s="36">
        <v>15</v>
      </c>
      <c r="AA1120" s="36">
        <v>1078377</v>
      </c>
    </row>
    <row r="1121" spans="1:27" x14ac:dyDescent="0.25">
      <c r="A1121" s="37">
        <f t="shared" si="18"/>
        <v>690</v>
      </c>
      <c r="C1121" s="38" t="s">
        <v>637</v>
      </c>
      <c r="D1121" s="36" t="s">
        <v>673</v>
      </c>
      <c r="E1121" s="36" t="s">
        <v>3735</v>
      </c>
      <c r="F1121" s="36">
        <v>7</v>
      </c>
      <c r="G1121" s="36">
        <v>653400</v>
      </c>
      <c r="H1121" s="49" t="str">
        <f>IFERROR(INDEX(Table14[],MATCH($G1121,Table14[SAPNo],0),3),"")</f>
        <v>13MM WC­MAT404 NA</v>
      </c>
      <c r="I1121" s="37">
        <v>12</v>
      </c>
      <c r="J1121" s="37">
        <f>IF(Table412[[#This Row],[MAT]]&lt;&gt;"",COUNTIF(Table3[LEVEL 5 MAT NO.],Table412[[#This Row],[MAT]]),"")</f>
        <v>0</v>
      </c>
      <c r="K1121" s="36">
        <f>IFERROR(INDEX(Table3[],MATCH($E1121,Table3[LEVEL 5 MAT NO.],0),2),0)</f>
        <v>0</v>
      </c>
      <c r="L1121" s="36">
        <f>Table412[[#This Row],[Quantity in BOM]]*Table412[[#This Row],[Freq]]</f>
        <v>0</v>
      </c>
      <c r="M1121" s="36" t="str">
        <f>IF(Table412[[#This Row],[Exist]]=1,Table412[[#This Row],[MAT]],"")</f>
        <v/>
      </c>
      <c r="N1121" s="36" t="str">
        <f>IF(Table412[[#This Row],[Exist]]=1,Table412[[#This Row],[Component]],"")</f>
        <v/>
      </c>
      <c r="O1121" s="36" t="str">
        <f>IFERROR(VALUE(Table412[[#This Row],[MAT]]&amp;Table412[[#This Row],[X'#]]),IF(COUNTIF(Table412[[#This Row],[MAT]],"*M"),Table412[[#This Row],[MAT]]&amp;Table412[[#This Row],[X'#]],""))</f>
        <v/>
      </c>
      <c r="V1121" s="36">
        <v>3</v>
      </c>
      <c r="W1121" s="470">
        <v>1613</v>
      </c>
      <c r="X1121" s="36" t="s">
        <v>4101</v>
      </c>
      <c r="Y1121" s="36" t="s">
        <v>111</v>
      </c>
      <c r="Z1121" s="36">
        <v>8</v>
      </c>
      <c r="AA1121" s="36">
        <v>1208601</v>
      </c>
    </row>
    <row r="1122" spans="1:27" x14ac:dyDescent="0.25">
      <c r="C1122" s="38"/>
      <c r="H1122" s="49" t="str">
        <f>IFERROR(INDEX(Table14[],MATCH($G1122,Table14[SAPNo],0),3),"")</f>
        <v/>
      </c>
      <c r="I1122" s="37"/>
      <c r="J1122" s="37" t="str">
        <f>IF(Table412[[#This Row],[MAT]]&lt;&gt;"",COUNTIF(Table3[LEVEL 5 MAT NO.],Table412[[#This Row],[MAT]]),"")</f>
        <v/>
      </c>
      <c r="K1122" s="36">
        <f>IFERROR(INDEX(Table3[],MATCH($E1122,Table3[LEVEL 5 MAT NO.],0),2),0)</f>
        <v>0</v>
      </c>
      <c r="L1122" s="36">
        <f>Table412[[#This Row],[Quantity in BOM]]*Table412[[#This Row],[Freq]]</f>
        <v>0</v>
      </c>
      <c r="M1122" s="36" t="str">
        <f>IF(Table412[[#This Row],[Exist]]=1,Table412[[#This Row],[MAT]],"")</f>
        <v/>
      </c>
      <c r="N1122" s="36" t="str">
        <f>IF(Table412[[#This Row],[Exist]]=1,Table412[[#This Row],[Component]],"")</f>
        <v/>
      </c>
      <c r="O1122" s="36" t="str">
        <f>IFERROR(VALUE(Table412[[#This Row],[MAT]]&amp;Table412[[#This Row],[X'#]]),IF(COUNTIF(Table412[[#This Row],[MAT]],"*M"),Table412[[#This Row],[MAT]]&amp;Table412[[#This Row],[X'#]],""))</f>
        <v/>
      </c>
      <c r="V1122" s="36">
        <v>4</v>
      </c>
      <c r="W1122" s="470">
        <v>1308</v>
      </c>
      <c r="X1122" s="36" t="s">
        <v>4102</v>
      </c>
      <c r="Y1122" s="36" t="s">
        <v>71</v>
      </c>
      <c r="Z1122" s="36">
        <v>6</v>
      </c>
      <c r="AA1122" s="36">
        <v>418525</v>
      </c>
    </row>
    <row r="1123" spans="1:27" x14ac:dyDescent="0.25">
      <c r="C1123" s="38"/>
      <c r="H1123" s="49" t="str">
        <f>IFERROR(INDEX(Table14[],MATCH($G1123,Table14[SAPNo],0),3),"")</f>
        <v/>
      </c>
      <c r="I1123" s="37"/>
      <c r="J1123" s="37" t="str">
        <f>IF(Table412[[#This Row],[MAT]]&lt;&gt;"",COUNTIF(Table3[LEVEL 5 MAT NO.],Table412[[#This Row],[MAT]]),"")</f>
        <v/>
      </c>
      <c r="K1123" s="36">
        <f>IFERROR(INDEX(Table3[],MATCH($E1123,Table3[LEVEL 5 MAT NO.],0),2),0)</f>
        <v>0</v>
      </c>
      <c r="L1123" s="36">
        <f>Table412[[#This Row],[Quantity in BOM]]*Table412[[#This Row],[Freq]]</f>
        <v>0</v>
      </c>
      <c r="M1123" s="36" t="str">
        <f>IF(Table412[[#This Row],[Exist]]=1,Table412[[#This Row],[MAT]],"")</f>
        <v/>
      </c>
      <c r="N1123" s="36" t="str">
        <f>IF(Table412[[#This Row],[Exist]]=1,Table412[[#This Row],[Component]],"")</f>
        <v/>
      </c>
      <c r="O1123" s="36" t="str">
        <f>IFERROR(VALUE(Table412[[#This Row],[MAT]]&amp;Table412[[#This Row],[X'#]]),IF(COUNTIF(Table412[[#This Row],[MAT]],"*M"),Table412[[#This Row],[MAT]]&amp;Table412[[#This Row],[X'#]],""))</f>
        <v/>
      </c>
      <c r="V1123" s="36">
        <v>5</v>
      </c>
      <c r="W1123" s="470">
        <v>1613</v>
      </c>
      <c r="X1123" s="36" t="s">
        <v>3718</v>
      </c>
      <c r="Y1123" s="36" t="s">
        <v>111</v>
      </c>
      <c r="Z1123" s="36">
        <v>6</v>
      </c>
      <c r="AA1123" s="36">
        <v>1146737</v>
      </c>
    </row>
    <row r="1124" spans="1:27" x14ac:dyDescent="0.25">
      <c r="C1124" s="38"/>
      <c r="H1124" s="49" t="str">
        <f>IFERROR(INDEX(Table14[],MATCH($G1124,Table14[SAPNo],0),3),"")</f>
        <v/>
      </c>
      <c r="I1124" s="37"/>
      <c r="J1124" s="37" t="str">
        <f>IF(Table412[[#This Row],[MAT]]&lt;&gt;"",COUNTIF(Table3[LEVEL 5 MAT NO.],Table412[[#This Row],[MAT]]),"")</f>
        <v/>
      </c>
      <c r="K1124" s="36">
        <f>IFERROR(INDEX(Table3[],MATCH($E1124,Table3[LEVEL 5 MAT NO.],0),2),0)</f>
        <v>0</v>
      </c>
      <c r="L1124" s="36">
        <f>Table412[[#This Row],[Quantity in BOM]]*Table412[[#This Row],[Freq]]</f>
        <v>0</v>
      </c>
      <c r="M1124" s="36" t="str">
        <f>IF(Table412[[#This Row],[Exist]]=1,Table412[[#This Row],[MAT]],"")</f>
        <v/>
      </c>
      <c r="N1124" s="36" t="str">
        <f>IF(Table412[[#This Row],[Exist]]=1,Table412[[#This Row],[Component]],"")</f>
        <v/>
      </c>
      <c r="O1124" s="36" t="str">
        <f>IFERROR(VALUE(Table412[[#This Row],[MAT]]&amp;Table412[[#This Row],[X'#]]),IF(COUNTIF(Table412[[#This Row],[MAT]],"*M"),Table412[[#This Row],[MAT]]&amp;Table412[[#This Row],[X'#]],""))</f>
        <v/>
      </c>
    </row>
    <row r="1125" spans="1:27" x14ac:dyDescent="0.25">
      <c r="C1125" s="38"/>
      <c r="H1125" s="49" t="str">
        <f>IFERROR(INDEX(Table14[],MATCH($G1125,Table14[SAPNo],0),3),"")</f>
        <v/>
      </c>
      <c r="I1125" s="37"/>
      <c r="J1125" s="37" t="str">
        <f>IF(Table412[[#This Row],[MAT]]&lt;&gt;"",COUNTIF(Table3[LEVEL 5 MAT NO.],Table412[[#This Row],[MAT]]),"")</f>
        <v/>
      </c>
      <c r="K1125" s="36">
        <f>IFERROR(INDEX(Table3[],MATCH($E1125,Table3[LEVEL 5 MAT NO.],0),2),0)</f>
        <v>0</v>
      </c>
      <c r="L1125" s="36">
        <f>Table412[[#This Row],[Quantity in BOM]]*Table412[[#This Row],[Freq]]</f>
        <v>0</v>
      </c>
      <c r="M1125" s="36" t="str">
        <f>IF(Table412[[#This Row],[Exist]]=1,Table412[[#This Row],[MAT]],"")</f>
        <v/>
      </c>
      <c r="N1125" s="36" t="str">
        <f>IF(Table412[[#This Row],[Exist]]=1,Table412[[#This Row],[Component]],"")</f>
        <v/>
      </c>
      <c r="O1125" s="36" t="str">
        <f>IFERROR(VALUE(Table412[[#This Row],[MAT]]&amp;Table412[[#This Row],[X'#]]),IF(COUNTIF(Table412[[#This Row],[MAT]],"*M"),Table412[[#This Row],[MAT]]&amp;Table412[[#This Row],[X'#]],""))</f>
        <v/>
      </c>
    </row>
    <row r="1126" spans="1:27" x14ac:dyDescent="0.25">
      <c r="C1126" s="38"/>
      <c r="H1126" s="49" t="str">
        <f>IFERROR(INDEX(Table14[],MATCH($G1126,Table14[SAPNo],0),3),"")</f>
        <v/>
      </c>
      <c r="I1126" s="37"/>
      <c r="J1126" s="37" t="str">
        <f>IF(Table412[[#This Row],[MAT]]&lt;&gt;"",COUNTIF(Table3[LEVEL 5 MAT NO.],Table412[[#This Row],[MAT]]),"")</f>
        <v/>
      </c>
      <c r="K1126" s="36">
        <f>IFERROR(INDEX(Table3[],MATCH($E1126,Table3[LEVEL 5 MAT NO.],0),2),0)</f>
        <v>0</v>
      </c>
      <c r="L1126" s="36">
        <f>Table412[[#This Row],[Quantity in BOM]]*Table412[[#This Row],[Freq]]</f>
        <v>0</v>
      </c>
      <c r="M1126" s="36" t="str">
        <f>IF(Table412[[#This Row],[Exist]]=1,Table412[[#This Row],[MAT]],"")</f>
        <v/>
      </c>
      <c r="N1126" s="36" t="str">
        <f>IF(Table412[[#This Row],[Exist]]=1,Table412[[#This Row],[Component]],"")</f>
        <v/>
      </c>
      <c r="O1126" s="36" t="str">
        <f>IFERROR(VALUE(Table412[[#This Row],[MAT]]&amp;Table412[[#This Row],[X'#]]),IF(COUNTIF(Table412[[#This Row],[MAT]],"*M"),Table412[[#This Row],[MAT]]&amp;Table412[[#This Row],[X'#]],""))</f>
        <v/>
      </c>
    </row>
    <row r="1127" spans="1:27" x14ac:dyDescent="0.25">
      <c r="C1127" s="38"/>
      <c r="H1127" s="49" t="str">
        <f>IFERROR(INDEX(Table14[],MATCH($G1127,Table14[SAPNo],0),3),"")</f>
        <v/>
      </c>
      <c r="I1127" s="37"/>
      <c r="J1127" s="37" t="str">
        <f>IF(Table412[[#This Row],[MAT]]&lt;&gt;"",COUNTIF(Table3[LEVEL 5 MAT NO.],Table412[[#This Row],[MAT]]),"")</f>
        <v/>
      </c>
      <c r="K1127" s="36">
        <f>IFERROR(INDEX(Table3[],MATCH($E1127,Table3[LEVEL 5 MAT NO.],0),2),0)</f>
        <v>0</v>
      </c>
      <c r="L1127" s="36">
        <f>Table412[[#This Row],[Quantity in BOM]]*Table412[[#This Row],[Freq]]</f>
        <v>0</v>
      </c>
      <c r="M1127" s="36" t="str">
        <f>IF(Table412[[#This Row],[Exist]]=1,Table412[[#This Row],[MAT]],"")</f>
        <v/>
      </c>
      <c r="N1127" s="36" t="str">
        <f>IF(Table412[[#This Row],[Exist]]=1,Table412[[#This Row],[Component]],"")</f>
        <v/>
      </c>
      <c r="O1127" s="36" t="str">
        <f>IFERROR(VALUE(Table412[[#This Row],[MAT]]&amp;Table412[[#This Row],[X'#]]),IF(COUNTIF(Table412[[#This Row],[MAT]],"*M"),Table412[[#This Row],[MAT]]&amp;Table412[[#This Row],[X'#]],""))</f>
        <v/>
      </c>
    </row>
    <row r="1128" spans="1:27" x14ac:dyDescent="0.25">
      <c r="C1128" s="38"/>
      <c r="H1128" s="49" t="str">
        <f>IFERROR(INDEX(Table14[],MATCH($G1128,Table14[SAPNo],0),3),"")</f>
        <v/>
      </c>
      <c r="I1128" s="37"/>
      <c r="J1128" s="37" t="str">
        <f>IF(Table412[[#This Row],[MAT]]&lt;&gt;"",COUNTIF(Table3[LEVEL 5 MAT NO.],Table412[[#This Row],[MAT]]),"")</f>
        <v/>
      </c>
      <c r="K1128" s="36">
        <f>IFERROR(INDEX(Table3[],MATCH($E1128,Table3[LEVEL 5 MAT NO.],0),2),0)</f>
        <v>0</v>
      </c>
      <c r="L1128" s="36">
        <f>Table412[[#This Row],[Quantity in BOM]]*Table412[[#This Row],[Freq]]</f>
        <v>0</v>
      </c>
      <c r="M1128" s="36" t="str">
        <f>IF(Table412[[#This Row],[Exist]]=1,Table412[[#This Row],[MAT]],"")</f>
        <v/>
      </c>
      <c r="N1128" s="36" t="str">
        <f>IF(Table412[[#This Row],[Exist]]=1,Table412[[#This Row],[Component]],"")</f>
        <v/>
      </c>
      <c r="O1128" s="36" t="str">
        <f>IFERROR(VALUE(Table412[[#This Row],[MAT]]&amp;Table412[[#This Row],[X'#]]),IF(COUNTIF(Table412[[#This Row],[MAT]],"*M"),Table412[[#This Row],[MAT]]&amp;Table412[[#This Row],[X'#]],""))</f>
        <v/>
      </c>
    </row>
    <row r="1129" spans="1:27" x14ac:dyDescent="0.25">
      <c r="C1129" s="38"/>
      <c r="H1129" s="49" t="str">
        <f>IFERROR(INDEX(Table14[],MATCH($G1129,Table14[SAPNo],0),3),"")</f>
        <v/>
      </c>
      <c r="I1129" s="37"/>
      <c r="J1129" s="37" t="str">
        <f>IF(Table412[[#This Row],[MAT]]&lt;&gt;"",COUNTIF(Table3[LEVEL 5 MAT NO.],Table412[[#This Row],[MAT]]),"")</f>
        <v/>
      </c>
      <c r="K1129" s="36">
        <f>IFERROR(INDEX(Table3[],MATCH($E1129,Table3[LEVEL 5 MAT NO.],0),2),0)</f>
        <v>0</v>
      </c>
      <c r="L1129" s="36">
        <f>Table412[[#This Row],[Quantity in BOM]]*Table412[[#This Row],[Freq]]</f>
        <v>0</v>
      </c>
      <c r="M1129" s="36" t="str">
        <f>IF(Table412[[#This Row],[Exist]]=1,Table412[[#This Row],[MAT]],"")</f>
        <v/>
      </c>
      <c r="N1129" s="36" t="str">
        <f>IF(Table412[[#This Row],[Exist]]=1,Table412[[#This Row],[Component]],"")</f>
        <v/>
      </c>
      <c r="O1129" s="36" t="str">
        <f>IFERROR(VALUE(Table412[[#This Row],[MAT]]&amp;Table412[[#This Row],[X'#]]),IF(COUNTIF(Table412[[#This Row],[MAT]],"*M"),Table412[[#This Row],[MAT]]&amp;Table412[[#This Row],[X'#]],""))</f>
        <v/>
      </c>
    </row>
    <row r="1130" spans="1:27" x14ac:dyDescent="0.25">
      <c r="C1130" s="38"/>
      <c r="H1130" s="49" t="str">
        <f>IFERROR(INDEX(Table14[],MATCH($G1130,Table14[SAPNo],0),3),"")</f>
        <v/>
      </c>
      <c r="I1130" s="37"/>
      <c r="J1130" s="37" t="str">
        <f>IF(Table412[[#This Row],[MAT]]&lt;&gt;"",COUNTIF(Table3[LEVEL 5 MAT NO.],Table412[[#This Row],[MAT]]),"")</f>
        <v/>
      </c>
      <c r="K1130" s="36">
        <f>IFERROR(INDEX(Table3[],MATCH($E1130,Table3[LEVEL 5 MAT NO.],0),2),0)</f>
        <v>0</v>
      </c>
      <c r="L1130" s="36">
        <f>Table412[[#This Row],[Quantity in BOM]]*Table412[[#This Row],[Freq]]</f>
        <v>0</v>
      </c>
      <c r="M1130" s="36" t="str">
        <f>IF(Table412[[#This Row],[Exist]]=1,Table412[[#This Row],[MAT]],"")</f>
        <v/>
      </c>
      <c r="N1130" s="36" t="str">
        <f>IF(Table412[[#This Row],[Exist]]=1,Table412[[#This Row],[Component]],"")</f>
        <v/>
      </c>
      <c r="O1130" s="36" t="str">
        <f>IFERROR(VALUE(Table412[[#This Row],[MAT]]&amp;Table412[[#This Row],[X'#]]),IF(COUNTIF(Table412[[#This Row],[MAT]],"*M"),Table412[[#This Row],[MAT]]&amp;Table412[[#This Row],[X'#]],""))</f>
        <v/>
      </c>
    </row>
  </sheetData>
  <phoneticPr fontId="21" type="noConversion"/>
  <conditionalFormatting sqref="T1:T1048576">
    <cfRule type="duplicateValues" dxfId="430" priority="1"/>
    <cfRule type="duplicateValues" dxfId="429" priority="4"/>
  </conditionalFormatting>
  <conditionalFormatting sqref="U1:U1048576">
    <cfRule type="duplicateValues" dxfId="428" priority="2"/>
  </conditionalFormatting>
  <conditionalFormatting sqref="V1124:V1048576 V1:V1120 Z1122:Z1124">
    <cfRule type="duplicateValues" dxfId="427" priority="3"/>
  </conditionalFormatting>
  <conditionalFormatting sqref="AC926:AC927 AD937">
    <cfRule type="duplicateValues" dxfId="426" priority="9129"/>
    <cfRule type="duplicateValues" dxfId="425" priority="9130"/>
    <cfRule type="duplicateValues" dxfId="424" priority="9161"/>
    <cfRule type="duplicateValues" dxfId="423" priority="9180"/>
  </conditionalFormatting>
  <dataValidations disablePrompts="1" count="2">
    <dataValidation type="list" allowBlank="1" showInputMessage="1" showErrorMessage="1" sqref="Y240" xr:uid="{00000000-0002-0000-0900-000000000000}">
      <formula1>$L$36:$L$493</formula1>
    </dataValidation>
    <dataValidation type="list" allowBlank="1" showInputMessage="1" showErrorMessage="1" sqref="Y233" xr:uid="{00000000-0002-0000-0900-000001000000}">
      <formula1>$L$36:$L$517</formula1>
    </dataValidation>
  </dataValidations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>
    <tabColor rgb="FF7030A0"/>
  </sheetPr>
  <dimension ref="A1:BD84"/>
  <sheetViews>
    <sheetView zoomScaleNormal="100" workbookViewId="0">
      <selection activeCell="A3" sqref="A3"/>
    </sheetView>
  </sheetViews>
  <sheetFormatPr defaultRowHeight="13" x14ac:dyDescent="0.3"/>
  <cols>
    <col min="1" max="1" width="21.7265625" style="573" customWidth="1"/>
    <col min="2" max="2" width="35.453125" style="573" customWidth="1"/>
    <col min="3" max="4" width="5.26953125" style="573" customWidth="1"/>
    <col min="5" max="5" width="21.7265625" style="573" customWidth="1"/>
    <col min="6" max="6" width="13.54296875" style="573" bestFit="1" customWidth="1"/>
    <col min="7" max="7" width="45.7265625" style="573" bestFit="1" customWidth="1"/>
    <col min="8" max="8" width="30.453125" style="573" bestFit="1" customWidth="1"/>
    <col min="9" max="9" width="11.453125" style="649" customWidth="1"/>
    <col min="10" max="10" width="13.54296875" bestFit="1" customWidth="1"/>
    <col min="11" max="11" width="12.26953125" bestFit="1" customWidth="1"/>
    <col min="12" max="12" width="20.26953125" bestFit="1" customWidth="1"/>
    <col min="13" max="13" width="8.7265625" bestFit="1" customWidth="1"/>
    <col min="14" max="15" width="9.26953125" bestFit="1" customWidth="1"/>
    <col min="16" max="16" width="9" customWidth="1"/>
    <col min="17" max="17" width="39.7265625" bestFit="1" customWidth="1"/>
    <col min="18" max="18" width="10.26953125" bestFit="1" customWidth="1"/>
    <col min="19" max="19" width="8.54296875" bestFit="1" customWidth="1"/>
    <col min="20" max="20" width="17.81640625" bestFit="1" customWidth="1"/>
    <col min="21" max="21" width="45.7265625" bestFit="1" customWidth="1"/>
    <col min="22" max="22" width="29.453125" bestFit="1" customWidth="1"/>
    <col min="23" max="23" width="29.1796875" customWidth="1"/>
    <col min="24" max="24" width="21.7265625" customWidth="1"/>
    <col min="25" max="25" width="10.453125" bestFit="1" customWidth="1"/>
    <col min="26" max="26" width="8.7265625" bestFit="1" customWidth="1"/>
    <col min="27" max="27" width="10.453125" bestFit="1" customWidth="1"/>
    <col min="28" max="28" width="9.26953125" bestFit="1" customWidth="1"/>
    <col min="33" max="33" width="21.1796875" bestFit="1" customWidth="1"/>
    <col min="34" max="34" width="13.54296875" bestFit="1" customWidth="1"/>
    <col min="35" max="35" width="16.81640625" bestFit="1" customWidth="1"/>
    <col min="36" max="36" width="4.1796875" bestFit="1" customWidth="1"/>
    <col min="37" max="37" width="15" bestFit="1" customWidth="1"/>
    <col min="38" max="38" width="45.54296875" bestFit="1" customWidth="1"/>
    <col min="39" max="39" width="11.453125" bestFit="1" customWidth="1"/>
    <col min="40" max="40" width="11.1796875" bestFit="1" customWidth="1"/>
    <col min="41" max="41" width="7.1796875" bestFit="1" customWidth="1"/>
    <col min="42" max="42" width="66" bestFit="1" customWidth="1"/>
    <col min="43" max="43" width="13" bestFit="1" customWidth="1"/>
    <col min="44" max="44" width="12.1796875" bestFit="1" customWidth="1"/>
    <col min="45" max="45" width="11.26953125" bestFit="1" customWidth="1"/>
    <col min="46" max="46" width="12.81640625" bestFit="1" customWidth="1"/>
    <col min="50" max="50" width="14.1796875" bestFit="1" customWidth="1"/>
    <col min="51" max="51" width="13.54296875" bestFit="1" customWidth="1"/>
    <col min="52" max="53" width="9.26953125" bestFit="1" customWidth="1"/>
    <col min="54" max="55" width="12.26953125" bestFit="1" customWidth="1"/>
    <col min="56" max="56" width="9.26953125" bestFit="1" customWidth="1"/>
  </cols>
  <sheetData>
    <row r="1" spans="1:56" ht="39.5" thickBot="1" x14ac:dyDescent="0.35">
      <c r="A1" s="650" t="s">
        <v>840</v>
      </c>
      <c r="B1" s="651" t="s">
        <v>514</v>
      </c>
      <c r="C1" s="652"/>
      <c r="D1" s="653"/>
      <c r="E1" s="650" t="s">
        <v>3736</v>
      </c>
      <c r="F1" s="650" t="s">
        <v>3737</v>
      </c>
      <c r="G1" s="651" t="s">
        <v>3738</v>
      </c>
      <c r="H1" s="652" t="s">
        <v>3739</v>
      </c>
      <c r="I1" s="654" t="s">
        <v>13</v>
      </c>
      <c r="J1" s="655" t="s">
        <v>0</v>
      </c>
      <c r="K1" s="656" t="s">
        <v>1</v>
      </c>
      <c r="L1" s="656" t="s">
        <v>2</v>
      </c>
      <c r="M1" s="657" t="s">
        <v>3</v>
      </c>
      <c r="N1" s="656" t="s">
        <v>4</v>
      </c>
      <c r="O1" s="657" t="s">
        <v>5</v>
      </c>
      <c r="P1" s="657" t="s">
        <v>6</v>
      </c>
      <c r="Q1" s="657" t="s">
        <v>7</v>
      </c>
      <c r="R1" s="658" t="s">
        <v>8</v>
      </c>
      <c r="S1" s="659" t="s">
        <v>9</v>
      </c>
      <c r="T1" s="660" t="s">
        <v>10</v>
      </c>
      <c r="U1" s="659" t="s">
        <v>11</v>
      </c>
      <c r="V1" s="661" t="s">
        <v>12</v>
      </c>
      <c r="W1" s="661" t="s">
        <v>13</v>
      </c>
      <c r="X1" s="662" t="s">
        <v>3740</v>
      </c>
      <c r="Y1" s="663" t="s">
        <v>3741</v>
      </c>
      <c r="Z1" s="664" t="s">
        <v>18</v>
      </c>
      <c r="AA1" s="665" t="s">
        <v>19</v>
      </c>
      <c r="AG1" s="666" t="s">
        <v>3742</v>
      </c>
      <c r="AH1" s="667">
        <v>1138943</v>
      </c>
      <c r="AI1" s="573"/>
      <c r="AJ1" s="649"/>
      <c r="AX1" s="666" t="s">
        <v>3743</v>
      </c>
      <c r="AY1" s="666"/>
    </row>
    <row r="2" spans="1:56" ht="26" x14ac:dyDescent="0.25">
      <c r="A2" s="668">
        <v>1134752</v>
      </c>
      <c r="B2" s="669" t="str">
        <f t="shared" ref="B2:B22" si="0">CONCATENATE(M2," ",N2," ",O2)</f>
        <v>CT182 1308 18C</v>
      </c>
      <c r="C2" s="670"/>
      <c r="D2" s="671" t="s">
        <v>29</v>
      </c>
      <c r="E2" s="668">
        <v>0</v>
      </c>
      <c r="F2" s="686">
        <v>1</v>
      </c>
      <c r="G2" s="687">
        <f t="shared" ref="G2:G3" si="1">E2*F2</f>
        <v>0</v>
      </c>
      <c r="H2" s="467" t="str">
        <f t="shared" ref="H2:H3" ca="1" si="2">IF(E2="","",IF(G2&gt;W2,"Not Enough Cutters, only "&amp;AB2&amp;" Bit","OK, Enough For "&amp;AB2&amp;" Bits"))</f>
        <v>OK, Enough For  Bits</v>
      </c>
      <c r="I2" s="672">
        <f t="shared" ref="I2:I22" ca="1" si="3">W2</f>
        <v>38</v>
      </c>
      <c r="J2" s="673" cm="1">
        <f t="array" ref="J2">IFERROR(INDEX('Cutters Inventory 12-30-2025'!$A$2:$V$360,MATCH($A2,'Cutters Inventory 12-30-2025'!$B$2:$B$360,0),COLUMN(A$1)),"")</f>
        <v>120</v>
      </c>
      <c r="K2" s="673" cm="1">
        <f t="array" ref="K2">IFERROR(INDEX('Cutters Inventory 12-30-2025'!$A$2:$V$360,MATCH($A2,'Cutters Inventory 12-30-2025'!$B$2:$B$360,0),COLUMN(B$1)),"")</f>
        <v>1134752</v>
      </c>
      <c r="L2" s="673" t="str" cm="1">
        <f t="array" ref="L2">IFERROR(INDEX('Cutters Inventory 12-30-2025'!$A$2:$V$360,MATCH($A2,'Cutters Inventory 12-30-2025'!$B$2:$B$360,0),COLUMN(C$1)),"")</f>
        <v>1308 CT182 18C</v>
      </c>
      <c r="M2" s="673" t="str" cm="1">
        <f t="array" ref="M2">IFERROR(INDEX('Cutters Inventory 12-30-2025'!$A$2:$V$360,MATCH($A2,'Cutters Inventory 12-30-2025'!$B$2:$B$360,0),COLUMN(D$1)),"")</f>
        <v>CT182</v>
      </c>
      <c r="N2" s="673" cm="1">
        <f t="array" ref="N2">IFERROR(INDEX('Cutters Inventory 12-30-2025'!$A$2:$V$360,MATCH($A2,'Cutters Inventory 12-30-2025'!$B$2:$B$360,0),COLUMN(E$1)),"")</f>
        <v>1308</v>
      </c>
      <c r="O2" s="673" t="str" cm="1">
        <f t="array" ref="O2">IFERROR(INDEX('Cutters Inventory 12-30-2025'!$A$2:$V$360,MATCH($A2,'Cutters Inventory 12-30-2025'!$B$2:$B$360,0),COLUMN(F$1)),"")</f>
        <v>18C</v>
      </c>
      <c r="P2" s="673" t="str" cm="1">
        <f t="array" ref="P2">IFERROR(INDEX('Cutters Inventory 12-30-2025'!$A$2:$V$360,MATCH($A2,'Cutters Inventory 12-30-2025'!$B$2:$B$360,0),COLUMN(G$1)),"")</f>
        <v>S - Super Premium - PMT</v>
      </c>
      <c r="Q2" s="673" cm="1">
        <f t="array" ref="Q2">IFERROR(INDEX('Cutters Inventory 12-30-2025'!$A$2:$V$360,MATCH($A2,'Cutters Inventory 12-30-2025'!$B$2:$B$360,0),COLUMN(H$1)),"")</f>
        <v>1</v>
      </c>
      <c r="R2" s="673" cm="1">
        <f t="array" ref="R2">IFERROR(INDEX('Cutters Inventory 12-30-2025'!$A$2:$V$360,MATCH($A2,'Cutters Inventory 12-30-2025'!$B$2:$B$360,0),COLUMN(I$1)),"")</f>
        <v>2</v>
      </c>
      <c r="S2" s="673" cm="1">
        <f t="array" ref="S2">IFERROR(INDEX('Cutters Inventory 12-30-2025'!$A$2:$V$360,MATCH($A2,'Cutters Inventory 12-30-2025'!$B$2:$B$360,0),COLUMN(J$1)),"")</f>
        <v>0</v>
      </c>
      <c r="T2" s="673" cm="1">
        <f t="array" ref="T2">IFERROR(INDEX('Cutters Inventory 12-30-2025'!$A$2:$V$360,MATCH($A2,'Cutters Inventory 12-30-2025'!$B$2:$B$360,0),COLUMN(K$1)),"")</f>
        <v>0</v>
      </c>
      <c r="U2" s="673" cm="1">
        <f t="array" ref="U2">IFERROR(INDEX('Cutters Inventory 12-30-2025'!$A$2:$V$360,MATCH($A2,'Cutters Inventory 12-30-2025'!$B$2:$B$360,0),COLUMN(L$1)),"")</f>
        <v>0</v>
      </c>
      <c r="V2" s="673" cm="1">
        <f t="array" ref="V2">IFERROR(INDEX('Cutters Inventory 12-30-2025'!$A$2:$V$360,MATCH($A2,'Cutters Inventory 12-30-2025'!$B$2:$B$360,0),COLUMN(M$1)),"")</f>
        <v>1</v>
      </c>
      <c r="W2" s="673" cm="1">
        <f t="array" aca="1" ref="W2" ca="1">IFERROR(INDEX('Cutters Inventory 12-30-2025'!$A$2:$V$360,MATCH($A2,'Cutters Inventory 12-30-2025'!$B$2:$B$360,0),COLUMN(N$1)),"")</f>
        <v>38</v>
      </c>
      <c r="X2" s="673" cm="1">
        <f t="array" aca="1" ref="X2" ca="1">IFERROR(INDEX('Cutters Inventory 12-30-2025'!$A$2:$V$360,MATCH($A2,'Cutters Inventory 12-30-2025'!$B$2:$B$360,0),COLUMN(O$1)),"")</f>
        <v>11</v>
      </c>
      <c r="Y2" s="673" cm="1">
        <f t="array" aca="1" ref="Y2" ca="1">IFERROR(INDEX('Cutters Inventory 12-30-2025'!$A$2:$V$360,MATCH($A2,'Cutters Inventory 12-30-2025'!$B$2:$B$360,0),COLUMN(P$1)),"")</f>
        <v>13</v>
      </c>
      <c r="Z2" s="673" cm="1">
        <f t="array" aca="1" ref="Z2" ca="1">IFERROR(INDEX('Cutters Inventory 12-30-2025'!$A$2:$V$360,MATCH($A2,'Cutters Inventory 12-30-2025'!$B$2:$B$360,0),COLUMN(Q$1)),"")</f>
        <v>15</v>
      </c>
      <c r="AA2" s="673" t="str" cm="1">
        <f t="array" ref="AA2">IFERROR(INDEX('Cutters Inventory 12-30-2025'!$A$2:$V$360,MATCH($A2,'Cutters Inventory 12-30-2025'!$B$2:$B$360,0),COLUMN(R$1)),"")</f>
        <v>1308 PMT 18-60</v>
      </c>
      <c r="AB2" s="674" t="str">
        <f t="shared" ref="AB2:AB11" ca="1" si="4">IFERROR(QUOTIENT($W2,$E2),"")</f>
        <v/>
      </c>
      <c r="AC2" t="s">
        <v>29</v>
      </c>
      <c r="AD2" t="s">
        <v>29</v>
      </c>
      <c r="AE2" t="s">
        <v>29</v>
      </c>
      <c r="AG2" s="675" t="s">
        <v>328</v>
      </c>
      <c r="AH2" s="675" t="s">
        <v>258</v>
      </c>
      <c r="AI2" s="676" t="s">
        <v>4</v>
      </c>
      <c r="AJ2" s="677" t="s">
        <v>339</v>
      </c>
      <c r="AK2" s="677" t="s">
        <v>340</v>
      </c>
      <c r="AL2" s="677" t="s">
        <v>514</v>
      </c>
      <c r="AM2" s="677" t="s">
        <v>516</v>
      </c>
      <c r="AN2" s="678" t="s">
        <v>3737</v>
      </c>
      <c r="AO2" s="678" t="s">
        <v>3738</v>
      </c>
      <c r="AP2" s="679" t="s">
        <v>3739</v>
      </c>
      <c r="AQ2" s="680" t="s">
        <v>13</v>
      </c>
      <c r="AR2" s="681" t="s">
        <v>517</v>
      </c>
      <c r="AS2" s="682" t="s">
        <v>19</v>
      </c>
      <c r="AT2" s="683" t="s">
        <v>3744</v>
      </c>
      <c r="AX2" s="684" t="s">
        <v>325</v>
      </c>
      <c r="AY2" s="684" t="s">
        <v>326</v>
      </c>
      <c r="AZ2" s="684" t="s">
        <v>327</v>
      </c>
      <c r="BA2" s="684" t="s">
        <v>601</v>
      </c>
      <c r="BB2" s="685" t="s">
        <v>602</v>
      </c>
      <c r="BC2" s="684" t="s">
        <v>3745</v>
      </c>
      <c r="BD2" s="633" t="s">
        <v>516</v>
      </c>
    </row>
    <row r="3" spans="1:56" x14ac:dyDescent="0.3">
      <c r="A3" s="686">
        <v>1282370</v>
      </c>
      <c r="B3" s="669" t="str">
        <f t="shared" si="0"/>
        <v>CT436MV3 1613 U-60</v>
      </c>
      <c r="C3" s="670"/>
      <c r="D3" s="671" t="s">
        <v>29</v>
      </c>
      <c r="E3" s="686">
        <v>2</v>
      </c>
      <c r="F3" s="686">
        <v>1</v>
      </c>
      <c r="G3" s="687">
        <f t="shared" si="1"/>
        <v>2</v>
      </c>
      <c r="H3" s="467" t="str">
        <f t="shared" ca="1" si="2"/>
        <v>OK, Enough For 96 Bits</v>
      </c>
      <c r="I3" s="687">
        <f t="shared" ca="1" si="3"/>
        <v>193</v>
      </c>
      <c r="J3" s="673" cm="1">
        <f t="array" ref="J3">IFERROR(INDEX('Cutters Inventory 12-30-2025'!$A$2:$V$360,MATCH($A3,'Cutters Inventory 12-30-2025'!$B$2:$B$360,0),COLUMN(A$1)),"")</f>
        <v>242</v>
      </c>
      <c r="K3" s="673" cm="1">
        <f t="array" ref="K3">IFERROR(INDEX('Cutters Inventory 12-30-2025'!$A$2:$V$360,MATCH($A3,'Cutters Inventory 12-30-2025'!$B$2:$B$360,0),COLUMN(B$1)),"")</f>
        <v>1282370</v>
      </c>
      <c r="L3" s="673" t="str" cm="1">
        <f t="array" ref="L3">IFERROR(INDEX('Cutters Inventory 12-30-2025'!$A$2:$V$360,MATCH($A3,'Cutters Inventory 12-30-2025'!$B$2:$B$360,0),COLUMN(C$1)),"")</f>
        <v>1613 CT436MV3 U-60</v>
      </c>
      <c r="M3" s="673" t="str" cm="1">
        <f t="array" ref="M3">IFERROR(INDEX('Cutters Inventory 12-30-2025'!$A$2:$V$360,MATCH($A3,'Cutters Inventory 12-30-2025'!$B$2:$B$360,0),COLUMN(D$1)),"")</f>
        <v>CT436MV3</v>
      </c>
      <c r="N3" s="673" cm="1">
        <f t="array" ref="N3">IFERROR(INDEX('Cutters Inventory 12-30-2025'!$A$2:$V$360,MATCH($A3,'Cutters Inventory 12-30-2025'!$B$2:$B$360,0),COLUMN(E$1)),"")</f>
        <v>1613</v>
      </c>
      <c r="O3" s="673" t="str" cm="1">
        <f t="array" ref="O3">IFERROR(INDEX('Cutters Inventory 12-30-2025'!$A$2:$V$360,MATCH($A3,'Cutters Inventory 12-30-2025'!$B$2:$B$360,0),COLUMN(F$1)),"")</f>
        <v>U-60</v>
      </c>
      <c r="P3" s="673" t="str" cm="1">
        <f t="array" ref="P3">IFERROR(INDEX('Cutters Inventory 12-30-2025'!$A$2:$V$360,MATCH($A3,'Cutters Inventory 12-30-2025'!$B$2:$B$360,0),COLUMN(G$1)),"")</f>
        <v>S - Super Premium - PNT IMP</v>
      </c>
      <c r="Q3" s="673" cm="1">
        <f t="array" ref="Q3">IFERROR(INDEX('Cutters Inventory 12-30-2025'!$A$2:$V$360,MATCH($A3,'Cutters Inventory 12-30-2025'!$B$2:$B$360,0),COLUMN(H$1)),"")</f>
        <v>0</v>
      </c>
      <c r="R3" s="673" cm="1">
        <f t="array" ref="R3">IFERROR(INDEX('Cutters Inventory 12-30-2025'!$A$2:$V$360,MATCH($A3,'Cutters Inventory 12-30-2025'!$B$2:$B$360,0),COLUMN(I$1)),"")</f>
        <v>0</v>
      </c>
      <c r="S3" s="673" cm="1">
        <f t="array" ref="S3">IFERROR(INDEX('Cutters Inventory 12-30-2025'!$A$2:$V$360,MATCH($A3,'Cutters Inventory 12-30-2025'!$B$2:$B$360,0),COLUMN(J$1)),"")</f>
        <v>0</v>
      </c>
      <c r="T3" s="673" cm="1">
        <f t="array" ref="T3">IFERROR(INDEX('Cutters Inventory 12-30-2025'!$A$2:$V$360,MATCH($A3,'Cutters Inventory 12-30-2025'!$B$2:$B$360,0),COLUMN(K$1)),"")</f>
        <v>0</v>
      </c>
      <c r="U3" s="673" cm="1">
        <f t="array" ref="U3">IFERROR(INDEX('Cutters Inventory 12-30-2025'!$A$2:$V$360,MATCH($A3,'Cutters Inventory 12-30-2025'!$B$2:$B$360,0),COLUMN(L$1)),"")</f>
        <v>144</v>
      </c>
      <c r="V3" s="673" cm="1">
        <f t="array" ref="V3">IFERROR(INDEX('Cutters Inventory 12-30-2025'!$A$2:$V$360,MATCH($A3,'Cutters Inventory 12-30-2025'!$B$2:$B$360,0),COLUMN(M$1)),"")</f>
        <v>144</v>
      </c>
      <c r="W3" s="673" cm="1">
        <f t="array" aca="1" ref="W3" ca="1">IFERROR(INDEX('Cutters Inventory 12-30-2025'!$A$2:$V$360,MATCH($A3,'Cutters Inventory 12-30-2025'!$B$2:$B$360,0),COLUMN(N$1)),"")</f>
        <v>193</v>
      </c>
      <c r="X3" s="673" cm="1">
        <f t="array" aca="1" ref="X3" ca="1">IFERROR(INDEX('Cutters Inventory 12-30-2025'!$A$2:$V$360,MATCH($A3,'Cutters Inventory 12-30-2025'!$B$2:$B$360,0),COLUMN(O$1)),"")</f>
        <v>71</v>
      </c>
      <c r="Y3" s="673" cm="1">
        <f t="array" aca="1" ref="Y3" ca="1">IFERROR(INDEX('Cutters Inventory 12-30-2025'!$A$2:$V$360,MATCH($A3,'Cutters Inventory 12-30-2025'!$B$2:$B$360,0),COLUMN(P$1)),"")</f>
        <v>65</v>
      </c>
      <c r="Z3" s="673" cm="1">
        <f t="array" aca="1" ref="Z3" ca="1">IFERROR(INDEX('Cutters Inventory 12-30-2025'!$A$2:$V$360,MATCH($A3,'Cutters Inventory 12-30-2025'!$B$2:$B$360,0),COLUMN(Q$1)),"")</f>
        <v>70</v>
      </c>
      <c r="AA3" s="673" t="str" cm="1">
        <f t="array" ref="AA3">IFERROR(INDEX('Cutters Inventory 12-30-2025'!$A$2:$V$360,MATCH($A3,'Cutters Inventory 12-30-2025'!$B$2:$B$360,0),COLUMN(R$1)),"")</f>
        <v>1613 PI Mv3 U-60</v>
      </c>
      <c r="AB3" s="674">
        <f t="shared" ca="1" si="4"/>
        <v>96</v>
      </c>
      <c r="AG3" s="575" cm="1">
        <f t="array" ref="AG3:AM6">_xlfn._xlws.FILTER(Table4[[LEVEL 5 MAT NO.]:[Quantity]], Table4[LEVEL 5 MAT NO.] = AH1)</f>
        <v>1138943</v>
      </c>
      <c r="AH3" s="688" t="str">
        <v>5 7/8"</v>
      </c>
      <c r="AI3" s="688" t="str">
        <v>GT73DH</v>
      </c>
      <c r="AJ3" s="688">
        <v>1</v>
      </c>
      <c r="AK3" s="688">
        <v>1130217</v>
      </c>
      <c r="AL3" s="688" t="str">
        <v>Round 1010 CT182   10C (S)</v>
      </c>
      <c r="AM3" s="688">
        <v>37</v>
      </c>
      <c r="AN3" s="688">
        <v>1</v>
      </c>
      <c r="AO3" s="689">
        <f t="shared" ref="AO3:AO17" si="5">AM3*AN3</f>
        <v>37</v>
      </c>
      <c r="AP3" s="690" t="str">
        <f ca="1">IF(AG3="","",IF(AT3=0,"Insufficient cutters",IF(AO3&gt;AQ3,"Insufficient cutters: only enough for "&amp;AT3&amp;" bit(s)","Sufficient cutters for "&amp;AT3&amp;" bit(s)")))</f>
        <v>Insufficient cutters</v>
      </c>
      <c r="AQ3" s="691" cm="1">
        <f t="array" aca="1" ref="AQ3" ca="1">IFERROR(INDEX('Cutters Inventory 12-30-2025'!$A$2:$V$360,MATCH($AK3,'Cutters Inventory 12-30-2025'!$B$2:$B$360,0),COLUMN(N$1)),"")</f>
        <v>0</v>
      </c>
      <c r="AR3" s="688" cm="1">
        <f t="array" aca="1" ref="AR3" ca="1">IFERROR(INDEX('Cutters Inventory 12-30-2025'!$A$2:$V$360,MATCH($AK3,'Cutters Inventory 12-30-2025'!$B$2:$B$360,0),COLUMN(P$1)),"")</f>
        <v>0</v>
      </c>
      <c r="AS3" s="689" t="str" cm="1">
        <f t="array" ref="AS3">IFERROR(INDEX('Cutters Inventory 12-30-2025'!$A$2:$V$360,MATCH($AK3,'Cutters Inventory 12-30-2025'!$B$2:$B$360,0),COLUMN(R$1)),"")</f>
        <v>1010 PMT 18-60</v>
      </c>
      <c r="AT3" s="688">
        <f t="shared" ref="AT3:AT17" ca="1" si="6">IFERROR(QUOTIENT($AQ3,$AM3),"")</f>
        <v>0</v>
      </c>
      <c r="AX3" s="248" t="str" cm="1">
        <f t="array" ref="AX3:BD7">_xlfn._xlws.FILTER(Table1[[SIZE]:[Quantity]], Table1[LEVEL 5 MAT NO.] = AH1)</f>
        <v>5 7/8"</v>
      </c>
      <c r="AY3" s="248" t="str">
        <v>GT73DH</v>
      </c>
      <c r="AZ3" s="248">
        <v>0</v>
      </c>
      <c r="BA3" s="248">
        <v>0</v>
      </c>
      <c r="BB3" s="248">
        <v>1227237</v>
      </c>
      <c r="BC3" s="248">
        <v>1138943</v>
      </c>
      <c r="BD3" s="248">
        <v>1</v>
      </c>
    </row>
    <row r="4" spans="1:56" x14ac:dyDescent="0.3">
      <c r="A4" s="686">
        <v>1208601</v>
      </c>
      <c r="B4" s="669" t="str">
        <f t="shared" si="0"/>
        <v>CT418 1613 U-60</v>
      </c>
      <c r="C4" s="670"/>
      <c r="D4" s="671" t="s">
        <v>29</v>
      </c>
      <c r="E4" s="686">
        <v>0</v>
      </c>
      <c r="F4" s="686">
        <v>1</v>
      </c>
      <c r="G4" s="687">
        <f t="shared" ref="G4:G11" si="7">E4*F4</f>
        <v>0</v>
      </c>
      <c r="H4" s="467" t="str">
        <f t="shared" ref="H4:H11" ca="1" si="8">IF(E4="","",IF(G4&gt;W4,"Not Enough Cutters, only "&amp;AB4&amp;" Bit","OK, Enough For "&amp;AB4&amp;" Bits"))</f>
        <v>OK, Enough For  Bits</v>
      </c>
      <c r="I4" s="687">
        <f t="shared" ca="1" si="3"/>
        <v>230</v>
      </c>
      <c r="J4" s="673" cm="1">
        <f t="array" ref="J4">IFERROR(INDEX('Cutters Inventory 12-30-2025'!$A$2:$V$360,MATCH($A4,'Cutters Inventory 12-30-2025'!$B$2:$B$360,0),COLUMN(A$1)),"")</f>
        <v>193</v>
      </c>
      <c r="K4" s="673" cm="1">
        <f t="array" ref="K4">IFERROR(INDEX('Cutters Inventory 12-30-2025'!$A$2:$V$360,MATCH($A4,'Cutters Inventory 12-30-2025'!$B$2:$B$360,0),COLUMN(B$1)),"")</f>
        <v>1208601</v>
      </c>
      <c r="L4" s="673" t="str" cm="1">
        <f t="array" ref="L4">IFERROR(INDEX('Cutters Inventory 12-30-2025'!$A$2:$V$360,MATCH($A4,'Cutters Inventory 12-30-2025'!$B$2:$B$360,0),COLUMN(C$1)),"")</f>
        <v>1613 CT418 U-60</v>
      </c>
      <c r="M4" s="673" t="str" cm="1">
        <f t="array" ref="M4">IFERROR(INDEX('Cutters Inventory 12-30-2025'!$A$2:$V$360,MATCH($A4,'Cutters Inventory 12-30-2025'!$B$2:$B$360,0),COLUMN(D$1)),"")</f>
        <v>CT418</v>
      </c>
      <c r="N4" s="673" cm="1">
        <f t="array" ref="N4">IFERROR(INDEX('Cutters Inventory 12-30-2025'!$A$2:$V$360,MATCH($A4,'Cutters Inventory 12-30-2025'!$B$2:$B$360,0),COLUMN(E$1)),"")</f>
        <v>1613</v>
      </c>
      <c r="O4" s="673" t="str" cm="1">
        <f t="array" ref="O4">IFERROR(INDEX('Cutters Inventory 12-30-2025'!$A$2:$V$360,MATCH($A4,'Cutters Inventory 12-30-2025'!$B$2:$B$360,0),COLUMN(F$1)),"")</f>
        <v>U-60</v>
      </c>
      <c r="P4" s="673" t="str" cm="1">
        <f t="array" ref="P4">IFERROR(INDEX('Cutters Inventory 12-30-2025'!$A$2:$V$360,MATCH($A4,'Cutters Inventory 12-30-2025'!$B$2:$B$360,0),COLUMN(G$1)),"")</f>
        <v>S - Super Premium - MT</v>
      </c>
      <c r="Q4" s="673" cm="1">
        <f t="array" ref="Q4">IFERROR(INDEX('Cutters Inventory 12-30-2025'!$A$2:$V$360,MATCH($A4,'Cutters Inventory 12-30-2025'!$B$2:$B$360,0),COLUMN(H$1)),"")</f>
        <v>0</v>
      </c>
      <c r="R4" s="673" cm="1">
        <f t="array" ref="R4">IFERROR(INDEX('Cutters Inventory 12-30-2025'!$A$2:$V$360,MATCH($A4,'Cutters Inventory 12-30-2025'!$B$2:$B$360,0),COLUMN(I$1)),"")</f>
        <v>0</v>
      </c>
      <c r="S4" s="673" cm="1">
        <f t="array" ref="S4">IFERROR(INDEX('Cutters Inventory 12-30-2025'!$A$2:$V$360,MATCH($A4,'Cutters Inventory 12-30-2025'!$B$2:$B$360,0),COLUMN(J$1)),"")</f>
        <v>75</v>
      </c>
      <c r="T4" s="673" cm="1">
        <f t="array" ref="T4">IFERROR(INDEX('Cutters Inventory 12-30-2025'!$A$2:$V$360,MATCH($A4,'Cutters Inventory 12-30-2025'!$B$2:$B$360,0),COLUMN(K$1)),"")</f>
        <v>0</v>
      </c>
      <c r="U4" s="673" cm="1">
        <f t="array" ref="U4">IFERROR(INDEX('Cutters Inventory 12-30-2025'!$A$2:$V$360,MATCH($A4,'Cutters Inventory 12-30-2025'!$B$2:$B$360,0),COLUMN(L$1)),"")</f>
        <v>124</v>
      </c>
      <c r="V4" s="673" cm="1">
        <f t="array" ref="V4">IFERROR(INDEX('Cutters Inventory 12-30-2025'!$A$2:$V$360,MATCH($A4,'Cutters Inventory 12-30-2025'!$B$2:$B$360,0),COLUMN(M$1)),"")</f>
        <v>124</v>
      </c>
      <c r="W4" s="673" cm="1">
        <f t="array" aca="1" ref="W4" ca="1">IFERROR(INDEX('Cutters Inventory 12-30-2025'!$A$2:$V$360,MATCH($A4,'Cutters Inventory 12-30-2025'!$B$2:$B$360,0),COLUMN(N$1)),"")</f>
        <v>230</v>
      </c>
      <c r="X4" s="673" cm="1">
        <f t="array" aca="1" ref="X4" ca="1">IFERROR(INDEX('Cutters Inventory 12-30-2025'!$A$2:$V$360,MATCH($A4,'Cutters Inventory 12-30-2025'!$B$2:$B$360,0),COLUMN(O$1)),"")</f>
        <v>102</v>
      </c>
      <c r="Y4" s="673" cm="1">
        <f t="array" aca="1" ref="Y4" ca="1">IFERROR(INDEX('Cutters Inventory 12-30-2025'!$A$2:$V$360,MATCH($A4,'Cutters Inventory 12-30-2025'!$B$2:$B$360,0),COLUMN(P$1)),"")</f>
        <v>77</v>
      </c>
      <c r="Z4" s="673" cm="1">
        <f t="array" aca="1" ref="Z4" ca="1">IFERROR(INDEX('Cutters Inventory 12-30-2025'!$A$2:$V$360,MATCH($A4,'Cutters Inventory 12-30-2025'!$B$2:$B$360,0),COLUMN(Q$1)),"")</f>
        <v>80</v>
      </c>
      <c r="AA4" s="673" t="str" cm="1">
        <f t="array" ref="AA4">IFERROR(INDEX('Cutters Inventory 12-30-2025'!$A$2:$V$360,MATCH($A4,'Cutters Inventory 12-30-2025'!$B$2:$B$360,0),COLUMN(R$1)),"")</f>
        <v>1613 MT U-60</v>
      </c>
      <c r="AB4" s="674" t="str">
        <f t="shared" ca="1" si="4"/>
        <v/>
      </c>
      <c r="AG4" s="575">
        <v>1138943</v>
      </c>
      <c r="AH4" s="688" t="str">
        <v>5 7/8"</v>
      </c>
      <c r="AI4" s="688" t="str">
        <v>GT73DH</v>
      </c>
      <c r="AJ4" s="688">
        <v>2</v>
      </c>
      <c r="AK4" s="688">
        <v>773383</v>
      </c>
      <c r="AL4" s="688" t="str">
        <v>Round 1005 CT200  10C (B)</v>
      </c>
      <c r="AM4" s="688">
        <v>14</v>
      </c>
      <c r="AN4" s="688">
        <v>1</v>
      </c>
      <c r="AO4" s="689">
        <f t="shared" si="5"/>
        <v>14</v>
      </c>
      <c r="AP4" s="690" t="str">
        <f t="shared" ref="AP4:AP17" ca="1" si="9">IF(AG4="","",IF(AT4=0,"Insufficient cutters",IF(AO4&gt;AQ4,"Insufficient cutters: only enough for "&amp;AT4&amp;" bit(s)","Sufficient cutters for "&amp;AT4&amp;" bit(s)")))</f>
        <v>Insufficient cutters</v>
      </c>
      <c r="AQ4" s="691" cm="1">
        <f t="array" aca="1" ref="AQ4" ca="1">IFERROR(INDEX('Cutters Inventory 12-30-2025'!$A$2:$V$360,MATCH($AK4,'Cutters Inventory 12-30-2025'!$B$2:$B$360,0),COLUMN(N$1)),"")</f>
        <v>0</v>
      </c>
      <c r="AR4" s="688" cm="1">
        <f t="array" aca="1" ref="AR4" ca="1">IFERROR(INDEX('Cutters Inventory 12-30-2025'!$A$2:$V$360,MATCH($AK4,'Cutters Inventory 12-30-2025'!$B$2:$B$360,0),COLUMN(P$1)),"")</f>
        <v>0</v>
      </c>
      <c r="AS4" s="689" t="str" cm="1">
        <f t="array" ref="AS4">IFERROR(INDEX('Cutters Inventory 12-30-2025'!$A$2:$V$360,MATCH($AK4,'Cutters Inventory 12-30-2025'!$B$2:$B$360,0),COLUMN(R$1)),"")</f>
        <v>1005 V 18-60</v>
      </c>
      <c r="AT4" s="688">
        <f t="shared" ca="1" si="6"/>
        <v>0</v>
      </c>
      <c r="AX4" s="248" t="str">
        <v>5 7/8"</v>
      </c>
      <c r="AY4" s="248" t="str">
        <v>GT73DH</v>
      </c>
      <c r="AZ4" s="248">
        <v>0</v>
      </c>
      <c r="BA4" s="248">
        <v>0</v>
      </c>
      <c r="BB4" s="248">
        <v>1227237</v>
      </c>
      <c r="BC4" s="248">
        <v>1138943</v>
      </c>
      <c r="BD4" s="248">
        <v>1</v>
      </c>
    </row>
    <row r="5" spans="1:56" x14ac:dyDescent="0.3">
      <c r="A5" s="686">
        <v>2001060</v>
      </c>
      <c r="B5" s="669" t="str">
        <f t="shared" si="0"/>
        <v>CT179T 1613 U-60</v>
      </c>
      <c r="C5" s="670"/>
      <c r="D5" s="671" t="s">
        <v>29</v>
      </c>
      <c r="E5" s="686">
        <v>1</v>
      </c>
      <c r="F5" s="686">
        <v>1</v>
      </c>
      <c r="G5" s="687">
        <f t="shared" si="7"/>
        <v>1</v>
      </c>
      <c r="H5" s="467" t="str">
        <f t="shared" ca="1" si="8"/>
        <v>OK, Enough For 27 Bits</v>
      </c>
      <c r="I5" s="687">
        <f t="shared" ca="1" si="3"/>
        <v>27</v>
      </c>
      <c r="J5" s="673" cm="1">
        <f t="array" ref="J5">IFERROR(INDEX('Cutters Inventory 12-30-2025'!$A$2:$V$360,MATCH($A5,'Cutters Inventory 12-30-2025'!$B$2:$B$360,0),COLUMN(A$1)),"")</f>
        <v>268</v>
      </c>
      <c r="K5" s="673" cm="1">
        <f t="array" ref="K5">IFERROR(INDEX('Cutters Inventory 12-30-2025'!$A$2:$V$360,MATCH($A5,'Cutters Inventory 12-30-2025'!$B$2:$B$360,0),COLUMN(B$1)),"")</f>
        <v>2001060</v>
      </c>
      <c r="L5" s="673" t="str" cm="1">
        <f t="array" ref="L5">IFERROR(INDEX('Cutters Inventory 12-30-2025'!$A$2:$V$360,MATCH($A5,'Cutters Inventory 12-30-2025'!$B$2:$B$360,0),COLUMN(C$1)),"")</f>
        <v>1613 CT179T U-60</v>
      </c>
      <c r="M5" s="673" t="str" cm="1">
        <f t="array" ref="M5">IFERROR(INDEX('Cutters Inventory 12-30-2025'!$A$2:$V$360,MATCH($A5,'Cutters Inventory 12-30-2025'!$B$2:$B$360,0),COLUMN(D$1)),"")</f>
        <v>CT179T</v>
      </c>
      <c r="N5" s="673" cm="1">
        <f t="array" ref="N5">IFERROR(INDEX('Cutters Inventory 12-30-2025'!$A$2:$V$360,MATCH($A5,'Cutters Inventory 12-30-2025'!$B$2:$B$360,0),COLUMN(E$1)),"")</f>
        <v>1613</v>
      </c>
      <c r="O5" s="673" t="str" cm="1">
        <f t="array" ref="O5">IFERROR(INDEX('Cutters Inventory 12-30-2025'!$A$2:$V$360,MATCH($A5,'Cutters Inventory 12-30-2025'!$B$2:$B$360,0),COLUMN(F$1)),"")</f>
        <v>U-60</v>
      </c>
      <c r="P5" s="673" t="str" cm="1">
        <f t="array" ref="P5">IFERROR(INDEX('Cutters Inventory 12-30-2025'!$A$2:$V$360,MATCH($A5,'Cutters Inventory 12-30-2025'!$B$2:$B$360,0),COLUMN(G$1)),"")</f>
        <v>S - Super Premium - SCP IMP</v>
      </c>
      <c r="Q5" s="673" cm="1">
        <f t="array" ref="Q5">IFERROR(INDEX('Cutters Inventory 12-30-2025'!$A$2:$V$360,MATCH($A5,'Cutters Inventory 12-30-2025'!$B$2:$B$360,0),COLUMN(H$1)),"")</f>
        <v>0</v>
      </c>
      <c r="R5" s="673" cm="1">
        <f t="array" ref="R5">IFERROR(INDEX('Cutters Inventory 12-30-2025'!$A$2:$V$360,MATCH($A5,'Cutters Inventory 12-30-2025'!$B$2:$B$360,0),COLUMN(I$1)),"")</f>
        <v>0</v>
      </c>
      <c r="S5" s="673" cm="1">
        <f t="array" ref="S5">IFERROR(INDEX('Cutters Inventory 12-30-2025'!$A$2:$V$360,MATCH($A5,'Cutters Inventory 12-30-2025'!$B$2:$B$360,0),COLUMN(J$1)),"")</f>
        <v>0</v>
      </c>
      <c r="T5" s="673" cm="1">
        <f t="array" ref="T5">IFERROR(INDEX('Cutters Inventory 12-30-2025'!$A$2:$V$360,MATCH($A5,'Cutters Inventory 12-30-2025'!$B$2:$B$360,0),COLUMN(K$1)),"")</f>
        <v>0</v>
      </c>
      <c r="U5" s="673" cm="1">
        <f t="array" ref="U5">IFERROR(INDEX('Cutters Inventory 12-30-2025'!$A$2:$V$360,MATCH($A5,'Cutters Inventory 12-30-2025'!$B$2:$B$360,0),COLUMN(L$1)),"")</f>
        <v>1</v>
      </c>
      <c r="V5" s="673" cm="1">
        <f t="array" ref="V5">IFERROR(INDEX('Cutters Inventory 12-30-2025'!$A$2:$V$360,MATCH($A5,'Cutters Inventory 12-30-2025'!$B$2:$B$360,0),COLUMN(M$1)),"")</f>
        <v>1</v>
      </c>
      <c r="W5" s="673" cm="1">
        <f t="array" aca="1" ref="W5" ca="1">IFERROR(INDEX('Cutters Inventory 12-30-2025'!$A$2:$V$360,MATCH($A5,'Cutters Inventory 12-30-2025'!$B$2:$B$360,0),COLUMN(N$1)),"")</f>
        <v>27</v>
      </c>
      <c r="X5" s="673" cm="1">
        <f t="array" aca="1" ref="X5" ca="1">IFERROR(INDEX('Cutters Inventory 12-30-2025'!$A$2:$V$360,MATCH($A5,'Cutters Inventory 12-30-2025'!$B$2:$B$360,0),COLUMN(O$1)),"")</f>
        <v>17</v>
      </c>
      <c r="Y5" s="673" cm="1">
        <f t="array" aca="1" ref="Y5" ca="1">IFERROR(INDEX('Cutters Inventory 12-30-2025'!$A$2:$V$360,MATCH($A5,'Cutters Inventory 12-30-2025'!$B$2:$B$360,0),COLUMN(P$1)),"")</f>
        <v>9</v>
      </c>
      <c r="Z5" s="673" cm="1">
        <f t="array" aca="1" ref="Z5" ca="1">IFERROR(INDEX('Cutters Inventory 12-30-2025'!$A$2:$V$360,MATCH($A5,'Cutters Inventory 12-30-2025'!$B$2:$B$360,0),COLUMN(Q$1)),"")</f>
        <v>15</v>
      </c>
      <c r="AA5" s="673" t="str" cm="1">
        <f t="array" ref="AA5">IFERROR(INDEX('Cutters Inventory 12-30-2025'!$A$2:$V$360,MATCH($A5,'Cutters Inventory 12-30-2025'!$B$2:$B$360,0),COLUMN(R$1)),"")</f>
        <v>1613 PI T U-60</v>
      </c>
      <c r="AB5" s="674">
        <f t="shared" ca="1" si="4"/>
        <v>27</v>
      </c>
      <c r="AG5" s="575">
        <v>1138943</v>
      </c>
      <c r="AH5" s="688" t="str">
        <v>5 7/8"</v>
      </c>
      <c r="AI5" s="688" t="str">
        <v>GT73DH</v>
      </c>
      <c r="AJ5" s="688">
        <v>3</v>
      </c>
      <c r="AK5" s="688">
        <v>418525</v>
      </c>
      <c r="AL5" s="688" t="str">
        <v>Drop In 1308 CT31   (B)</v>
      </c>
      <c r="AM5" s="688">
        <v>7</v>
      </c>
      <c r="AN5" s="688">
        <v>1</v>
      </c>
      <c r="AO5" s="689">
        <f t="shared" si="5"/>
        <v>7</v>
      </c>
      <c r="AP5" s="690" t="str">
        <f t="shared" ca="1" si="9"/>
        <v>Sufficient cutters for 133 bit(s)</v>
      </c>
      <c r="AQ5" s="691" cm="1">
        <f t="array" aca="1" ref="AQ5" ca="1">IFERROR(INDEX('Cutters Inventory 12-30-2025'!$A$2:$V$360,MATCH($AK5,'Cutters Inventory 12-30-2025'!$B$2:$B$360,0),COLUMN(N$1)),"")</f>
        <v>933</v>
      </c>
      <c r="AR5" s="688" cm="1">
        <f t="array" aca="1" ref="AR5" ca="1">IFERROR(INDEX('Cutters Inventory 12-30-2025'!$A$2:$V$360,MATCH($AK5,'Cutters Inventory 12-30-2025'!$B$2:$B$360,0),COLUMN(P$1)),"")</f>
        <v>311</v>
      </c>
      <c r="AS5" s="689" t="str" cm="1">
        <f t="array" ref="AS5">IFERROR(INDEX('Cutters Inventory 12-30-2025'!$A$2:$V$360,MATCH($AK5,'Cutters Inventory 12-30-2025'!$B$2:$B$360,0),COLUMN(R$1)),"")</f>
        <v/>
      </c>
      <c r="AT5" s="688">
        <f t="shared" ca="1" si="6"/>
        <v>133</v>
      </c>
      <c r="AX5" s="248" t="str">
        <v>5 7/8"</v>
      </c>
      <c r="AY5" s="248" t="str">
        <v>GT73DH</v>
      </c>
      <c r="AZ5" s="248">
        <v>0</v>
      </c>
      <c r="BA5" s="248">
        <v>0</v>
      </c>
      <c r="BB5" s="248">
        <v>1227237</v>
      </c>
      <c r="BC5" s="248">
        <v>1138943</v>
      </c>
      <c r="BD5" s="248">
        <v>1</v>
      </c>
    </row>
    <row r="6" spans="1:56" x14ac:dyDescent="0.3">
      <c r="A6" s="686">
        <v>871781</v>
      </c>
      <c r="B6" s="669" t="str">
        <f t="shared" si="0"/>
        <v>CT200 1313 18C</v>
      </c>
      <c r="C6" s="670"/>
      <c r="D6" s="671" t="s">
        <v>29</v>
      </c>
      <c r="E6" s="686">
        <v>1</v>
      </c>
      <c r="F6" s="686">
        <v>1</v>
      </c>
      <c r="G6" s="687">
        <f t="shared" si="7"/>
        <v>1</v>
      </c>
      <c r="H6" s="467" t="str">
        <f t="shared" ca="1" si="8"/>
        <v>OK, Enough For 843 Bits</v>
      </c>
      <c r="I6" s="687">
        <f t="shared" ca="1" si="3"/>
        <v>843</v>
      </c>
      <c r="J6" s="673" cm="1">
        <f t="array" ref="J6">IFERROR(INDEX('Cutters Inventory 12-30-2025'!$A$2:$V$360,MATCH($A6,'Cutters Inventory 12-30-2025'!$B$2:$B$360,0),COLUMN(A$1)),"")</f>
        <v>59</v>
      </c>
      <c r="K6" s="673" cm="1">
        <f t="array" ref="K6">IFERROR(INDEX('Cutters Inventory 12-30-2025'!$A$2:$V$360,MATCH($A6,'Cutters Inventory 12-30-2025'!$B$2:$B$360,0),COLUMN(B$1)),"")</f>
        <v>871781</v>
      </c>
      <c r="L6" s="673" t="str" cm="1">
        <f t="array" ref="L6">IFERROR(INDEX('Cutters Inventory 12-30-2025'!$A$2:$V$360,MATCH($A6,'Cutters Inventory 12-30-2025'!$B$2:$B$360,0),COLUMN(C$1)),"")</f>
        <v>1313 CT200 18C</v>
      </c>
      <c r="M6" s="673" t="str" cm="1">
        <f t="array" ref="M6">IFERROR(INDEX('Cutters Inventory 12-30-2025'!$A$2:$V$360,MATCH($A6,'Cutters Inventory 12-30-2025'!$B$2:$B$360,0),COLUMN(D$1)),"")</f>
        <v>CT200</v>
      </c>
      <c r="N6" s="673" cm="1">
        <f t="array" ref="N6">IFERROR(INDEX('Cutters Inventory 12-30-2025'!$A$2:$V$360,MATCH($A6,'Cutters Inventory 12-30-2025'!$B$2:$B$360,0),COLUMN(E$1)),"")</f>
        <v>1313</v>
      </c>
      <c r="O6" s="673" t="str" cm="1">
        <f t="array" ref="O6">IFERROR(INDEX('Cutters Inventory 12-30-2025'!$A$2:$V$360,MATCH($A6,'Cutters Inventory 12-30-2025'!$B$2:$B$360,0),COLUMN(F$1)),"")</f>
        <v>18C</v>
      </c>
      <c r="P6" s="673" t="str" cm="1">
        <f t="array" ref="P6">IFERROR(INDEX('Cutters Inventory 12-30-2025'!$A$2:$V$360,MATCH($A6,'Cutters Inventory 12-30-2025'!$B$2:$B$360,0),COLUMN(G$1)),"")</f>
        <v>B - Standard ( Base )</v>
      </c>
      <c r="Q6" s="673" cm="1">
        <f t="array" ref="Q6">IFERROR(INDEX('Cutters Inventory 12-30-2025'!$A$2:$V$360,MATCH($A6,'Cutters Inventory 12-30-2025'!$B$2:$B$360,0),COLUMN(H$1)),"")</f>
        <v>18</v>
      </c>
      <c r="R6" s="673" cm="1">
        <f t="array" ref="R6">IFERROR(INDEX('Cutters Inventory 12-30-2025'!$A$2:$V$360,MATCH($A6,'Cutters Inventory 12-30-2025'!$B$2:$B$360,0),COLUMN(I$1)),"")</f>
        <v>1</v>
      </c>
      <c r="S6" s="673" cm="1">
        <f t="array" ref="S6">IFERROR(INDEX('Cutters Inventory 12-30-2025'!$A$2:$V$360,MATCH($A6,'Cutters Inventory 12-30-2025'!$B$2:$B$360,0),COLUMN(J$1)),"")</f>
        <v>0</v>
      </c>
      <c r="T6" s="673" cm="1">
        <f t="array" ref="T6">IFERROR(INDEX('Cutters Inventory 12-30-2025'!$A$2:$V$360,MATCH($A6,'Cutters Inventory 12-30-2025'!$B$2:$B$360,0),COLUMN(K$1)),"")</f>
        <v>33</v>
      </c>
      <c r="U6" s="673" cm="1">
        <f t="array" ref="U6">IFERROR(INDEX('Cutters Inventory 12-30-2025'!$A$2:$V$360,MATCH($A6,'Cutters Inventory 12-30-2025'!$B$2:$B$360,0),COLUMN(L$1)),"")</f>
        <v>-266</v>
      </c>
      <c r="V6" s="673" cm="1">
        <f t="array" ref="V6">IFERROR(INDEX('Cutters Inventory 12-30-2025'!$A$2:$V$360,MATCH($A6,'Cutters Inventory 12-30-2025'!$B$2:$B$360,0),COLUMN(M$1)),"")</f>
        <v>-248</v>
      </c>
      <c r="W6" s="673" cm="1">
        <f t="array" aca="1" ref="W6" ca="1">IFERROR(INDEX('Cutters Inventory 12-30-2025'!$A$2:$V$360,MATCH($A6,'Cutters Inventory 12-30-2025'!$B$2:$B$360,0),COLUMN(N$1)),"")</f>
        <v>843</v>
      </c>
      <c r="X6" s="673" cm="1">
        <f t="array" aca="1" ref="X6" ca="1">IFERROR(INDEX('Cutters Inventory 12-30-2025'!$A$2:$V$360,MATCH($A6,'Cutters Inventory 12-30-2025'!$B$2:$B$360,0),COLUMN(O$1)),"")</f>
        <v>522</v>
      </c>
      <c r="Y6" s="673" cm="1">
        <f t="array" aca="1" ref="Y6" ca="1">IFERROR(INDEX('Cutters Inventory 12-30-2025'!$A$2:$V$360,MATCH($A6,'Cutters Inventory 12-30-2025'!$B$2:$B$360,0),COLUMN(P$1)),"")</f>
        <v>281</v>
      </c>
      <c r="Z6" s="673" cm="1">
        <f t="array" aca="1" ref="Z6" ca="1">IFERROR(INDEX('Cutters Inventory 12-30-2025'!$A$2:$V$360,MATCH($A6,'Cutters Inventory 12-30-2025'!$B$2:$B$360,0),COLUMN(Q$1)),"")</f>
        <v>290</v>
      </c>
      <c r="AA6" s="673" t="str" cm="1">
        <f t="array" ref="AA6">IFERROR(INDEX('Cutters Inventory 12-30-2025'!$A$2:$V$360,MATCH($A6,'Cutters Inventory 12-30-2025'!$B$2:$B$360,0),COLUMN(R$1)),"")</f>
        <v>1313 V 18-60</v>
      </c>
      <c r="AB6" s="674">
        <f t="shared" ca="1" si="4"/>
        <v>843</v>
      </c>
      <c r="AG6" s="575">
        <v>1138943</v>
      </c>
      <c r="AH6" s="688" t="str">
        <v>5 7/8"</v>
      </c>
      <c r="AI6" s="688" t="str">
        <v>GT73DH</v>
      </c>
      <c r="AJ6" s="688">
        <v>4</v>
      </c>
      <c r="AK6" s="688">
        <v>1101509</v>
      </c>
      <c r="AL6" s="688" t="str">
        <v>Short IA 8    (C)</v>
      </c>
      <c r="AM6" s="688">
        <v>7</v>
      </c>
      <c r="AN6" s="688">
        <v>1</v>
      </c>
      <c r="AO6" s="689">
        <f t="shared" si="5"/>
        <v>7</v>
      </c>
      <c r="AP6" s="690" t="str">
        <f t="shared" ca="1" si="9"/>
        <v>Sufficient cutters for 9 bit(s)</v>
      </c>
      <c r="AQ6" s="691" cm="1">
        <f t="array" aca="1" ref="AQ6" ca="1">IFERROR(INDEX('Cutters Inventory 12-30-2025'!$A$2:$V$360,MATCH($AK6,'Cutters Inventory 12-30-2025'!$B$2:$B$360,0),COLUMN(N$1)),"")</f>
        <v>66</v>
      </c>
      <c r="AR6" s="688" cm="1">
        <f t="array" aca="1" ref="AR6" ca="1">IFERROR(INDEX('Cutters Inventory 12-30-2025'!$A$2:$V$360,MATCH($AK6,'Cutters Inventory 12-30-2025'!$B$2:$B$360,0),COLUMN(P$1)),"")</f>
        <v>22</v>
      </c>
      <c r="AS6" s="689" t="str" cm="1">
        <f t="array" ref="AS6">IFERROR(INDEX('Cutters Inventory 12-30-2025'!$A$2:$V$360,MATCH($AK6,'Cutters Inventory 12-30-2025'!$B$2:$B$360,0),COLUMN(R$1)),"")</f>
        <v/>
      </c>
      <c r="AT6" s="688">
        <f t="shared" ca="1" si="6"/>
        <v>9</v>
      </c>
      <c r="AX6" s="248">
        <v>5.875</v>
      </c>
      <c r="AY6" s="248" t="str">
        <v>GT73DH</v>
      </c>
      <c r="AZ6" s="248">
        <v>0</v>
      </c>
      <c r="BA6" s="248" t="str">
        <v>LVL4</v>
      </c>
      <c r="BB6" s="248">
        <v>2022350</v>
      </c>
      <c r="BC6" s="248">
        <v>1138943</v>
      </c>
      <c r="BD6" s="248">
        <v>0</v>
      </c>
    </row>
    <row r="7" spans="1:56" x14ac:dyDescent="0.3">
      <c r="A7" s="686">
        <v>1130197</v>
      </c>
      <c r="B7" s="669" t="str">
        <f t="shared" si="0"/>
        <v>CT182 1608 18C</v>
      </c>
      <c r="C7" s="670"/>
      <c r="D7" s="671"/>
      <c r="E7" s="686">
        <v>6</v>
      </c>
      <c r="F7" s="686">
        <v>1</v>
      </c>
      <c r="G7" s="687">
        <f t="shared" si="7"/>
        <v>6</v>
      </c>
      <c r="H7" s="467" t="str">
        <f t="shared" ca="1" si="8"/>
        <v>OK, Enough For 6 Bits</v>
      </c>
      <c r="I7" s="687">
        <f t="shared" ca="1" si="3"/>
        <v>39</v>
      </c>
      <c r="J7" s="673" cm="1">
        <f t="array" ref="J7">IFERROR(INDEX('Cutters Inventory 12-30-2025'!$A$2:$V$360,MATCH($A7,'Cutters Inventory 12-30-2025'!$B$2:$B$360,0),COLUMN(A$1)),"")</f>
        <v>121</v>
      </c>
      <c r="K7" s="673" cm="1">
        <f t="array" ref="K7">IFERROR(INDEX('Cutters Inventory 12-30-2025'!$A$2:$V$360,MATCH($A7,'Cutters Inventory 12-30-2025'!$B$2:$B$360,0),COLUMN(B$1)),"")</f>
        <v>1130197</v>
      </c>
      <c r="L7" s="673" t="str" cm="1">
        <f t="array" ref="L7">IFERROR(INDEX('Cutters Inventory 12-30-2025'!$A$2:$V$360,MATCH($A7,'Cutters Inventory 12-30-2025'!$B$2:$B$360,0),COLUMN(C$1)),"")</f>
        <v>1608 CT182 18C</v>
      </c>
      <c r="M7" s="673" t="str" cm="1">
        <f t="array" ref="M7">IFERROR(INDEX('Cutters Inventory 12-30-2025'!$A$2:$V$360,MATCH($A7,'Cutters Inventory 12-30-2025'!$B$2:$B$360,0),COLUMN(D$1)),"")</f>
        <v>CT182</v>
      </c>
      <c r="N7" s="673" cm="1">
        <f t="array" ref="N7">IFERROR(INDEX('Cutters Inventory 12-30-2025'!$A$2:$V$360,MATCH($A7,'Cutters Inventory 12-30-2025'!$B$2:$B$360,0),COLUMN(E$1)),"")</f>
        <v>1608</v>
      </c>
      <c r="O7" s="673" t="str" cm="1">
        <f t="array" ref="O7">IFERROR(INDEX('Cutters Inventory 12-30-2025'!$A$2:$V$360,MATCH($A7,'Cutters Inventory 12-30-2025'!$B$2:$B$360,0),COLUMN(F$1)),"")</f>
        <v>18C</v>
      </c>
      <c r="P7" s="673" t="str" cm="1">
        <f t="array" ref="P7">IFERROR(INDEX('Cutters Inventory 12-30-2025'!$A$2:$V$360,MATCH($A7,'Cutters Inventory 12-30-2025'!$B$2:$B$360,0),COLUMN(G$1)),"")</f>
        <v>S - Super Premium - PMT</v>
      </c>
      <c r="Q7" s="673" cm="1">
        <f t="array" ref="Q7">IFERROR(INDEX('Cutters Inventory 12-30-2025'!$A$2:$V$360,MATCH($A7,'Cutters Inventory 12-30-2025'!$B$2:$B$360,0),COLUMN(H$1)),"")</f>
        <v>0</v>
      </c>
      <c r="R7" s="673" cm="1">
        <f t="array" ref="R7">IFERROR(INDEX('Cutters Inventory 12-30-2025'!$A$2:$V$360,MATCH($A7,'Cutters Inventory 12-30-2025'!$B$2:$B$360,0),COLUMN(I$1)),"")</f>
        <v>0</v>
      </c>
      <c r="S7" s="673" cm="1">
        <f t="array" ref="S7">IFERROR(INDEX('Cutters Inventory 12-30-2025'!$A$2:$V$360,MATCH($A7,'Cutters Inventory 12-30-2025'!$B$2:$B$360,0),COLUMN(J$1)),"")</f>
        <v>0</v>
      </c>
      <c r="T7" s="673" cm="1">
        <f t="array" ref="T7">IFERROR(INDEX('Cutters Inventory 12-30-2025'!$A$2:$V$360,MATCH($A7,'Cutters Inventory 12-30-2025'!$B$2:$B$360,0),COLUMN(K$1)),"")</f>
        <v>0</v>
      </c>
      <c r="U7" s="673" cm="1">
        <f t="array" ref="U7">IFERROR(INDEX('Cutters Inventory 12-30-2025'!$A$2:$V$360,MATCH($A7,'Cutters Inventory 12-30-2025'!$B$2:$B$360,0),COLUMN(L$1)),"")</f>
        <v>0</v>
      </c>
      <c r="V7" s="673" cm="1">
        <f t="array" ref="V7">IFERROR(INDEX('Cutters Inventory 12-30-2025'!$A$2:$V$360,MATCH($A7,'Cutters Inventory 12-30-2025'!$B$2:$B$360,0),COLUMN(M$1)),"")</f>
        <v>0</v>
      </c>
      <c r="W7" s="673" cm="1">
        <f t="array" aca="1" ref="W7" ca="1">IFERROR(INDEX('Cutters Inventory 12-30-2025'!$A$2:$V$360,MATCH($A7,'Cutters Inventory 12-30-2025'!$B$2:$B$360,0),COLUMN(N$1)),"")</f>
        <v>39</v>
      </c>
      <c r="X7" s="673" cm="1">
        <f t="array" aca="1" ref="X7" ca="1">IFERROR(INDEX('Cutters Inventory 12-30-2025'!$A$2:$V$360,MATCH($A7,'Cutters Inventory 12-30-2025'!$B$2:$B$360,0),COLUMN(O$1)),"")</f>
        <v>1</v>
      </c>
      <c r="Y7" s="673" cm="1">
        <f t="array" aca="1" ref="Y7" ca="1">IFERROR(INDEX('Cutters Inventory 12-30-2025'!$A$2:$V$360,MATCH($A7,'Cutters Inventory 12-30-2025'!$B$2:$B$360,0),COLUMN(P$1)),"")</f>
        <v>13</v>
      </c>
      <c r="Z7" s="673" cm="1">
        <f t="array" aca="1" ref="Z7" ca="1">IFERROR(INDEX('Cutters Inventory 12-30-2025'!$A$2:$V$360,MATCH($A7,'Cutters Inventory 12-30-2025'!$B$2:$B$360,0),COLUMN(Q$1)),"")</f>
        <v>15</v>
      </c>
      <c r="AA7" s="673" t="str" cm="1">
        <f t="array" ref="AA7">IFERROR(INDEX('Cutters Inventory 12-30-2025'!$A$2:$V$360,MATCH($A7,'Cutters Inventory 12-30-2025'!$B$2:$B$360,0),COLUMN(R$1)),"")</f>
        <v>1608 PMT 18-60</v>
      </c>
      <c r="AB7" s="674">
        <f t="shared" ca="1" si="4"/>
        <v>6</v>
      </c>
      <c r="AG7" s="575"/>
      <c r="AH7" s="688"/>
      <c r="AI7" s="688"/>
      <c r="AJ7" s="688"/>
      <c r="AK7" s="688"/>
      <c r="AL7" s="688"/>
      <c r="AM7" s="688"/>
      <c r="AN7" s="688">
        <v>1</v>
      </c>
      <c r="AO7" s="689">
        <f t="shared" si="5"/>
        <v>0</v>
      </c>
      <c r="AP7" s="690" t="str">
        <f t="shared" si="9"/>
        <v/>
      </c>
      <c r="AQ7" s="691" t="str" cm="1">
        <f t="array" ref="AQ7">IFERROR(INDEX('Cutters Inventory 12-30-2025'!$A$2:$V$360,MATCH($AK7,'Cutters Inventory 12-30-2025'!$B$2:$B$360,0),COLUMN(N$1)),"")</f>
        <v/>
      </c>
      <c r="AR7" s="688" t="str" cm="1">
        <f t="array" ref="AR7">IFERROR(INDEX('Cutters Inventory 12-30-2025'!$A$2:$V$360,MATCH($AK7,'Cutters Inventory 12-30-2025'!$B$2:$B$360,0),COLUMN(P$1)),"")</f>
        <v/>
      </c>
      <c r="AS7" s="689" t="str" cm="1">
        <f t="array" ref="AS7">IFERROR(INDEX('Cutters Inventory 12-30-2025'!$A$2:$V$360,MATCH($AK7,'Cutters Inventory 12-30-2025'!$B$2:$B$360,0),COLUMN(R$1)),"")</f>
        <v/>
      </c>
      <c r="AT7" s="688" t="str">
        <f t="shared" si="6"/>
        <v/>
      </c>
      <c r="AX7" s="248">
        <v>5.875</v>
      </c>
      <c r="AY7" s="248" t="str">
        <v>GT73DH</v>
      </c>
      <c r="AZ7" s="248">
        <v>0</v>
      </c>
      <c r="BA7" s="248" t="str">
        <v>LVL4</v>
      </c>
      <c r="BB7" s="248">
        <v>2022350</v>
      </c>
      <c r="BC7" s="248">
        <v>1138943</v>
      </c>
      <c r="BD7" s="248">
        <v>1</v>
      </c>
    </row>
    <row r="8" spans="1:56" x14ac:dyDescent="0.3">
      <c r="A8" s="686">
        <v>1288783</v>
      </c>
      <c r="B8" s="669" t="str">
        <f t="shared" si="0"/>
        <v>CT179 1613 18-60</v>
      </c>
      <c r="C8" s="670"/>
      <c r="D8" s="671"/>
      <c r="E8" s="686">
        <v>0</v>
      </c>
      <c r="F8" s="686">
        <v>1</v>
      </c>
      <c r="G8" s="687">
        <f t="shared" si="7"/>
        <v>0</v>
      </c>
      <c r="H8" s="467" t="str">
        <f t="shared" ca="1" si="8"/>
        <v>OK, Enough For  Bits</v>
      </c>
      <c r="I8" s="687">
        <f t="shared" ca="1" si="3"/>
        <v>813</v>
      </c>
      <c r="J8" s="673" cm="1">
        <f t="array" ref="J8">IFERROR(INDEX('Cutters Inventory 12-30-2025'!$A$2:$V$360,MATCH($A8,'Cutters Inventory 12-30-2025'!$B$2:$B$360,0),COLUMN(A$1)),"")</f>
        <v>251</v>
      </c>
      <c r="K8" s="673" cm="1">
        <f t="array" ref="K8">IFERROR(INDEX('Cutters Inventory 12-30-2025'!$A$2:$V$360,MATCH($A8,'Cutters Inventory 12-30-2025'!$B$2:$B$360,0),COLUMN(B$1)),"")</f>
        <v>1288783</v>
      </c>
      <c r="L8" s="673" t="str" cm="1">
        <f t="array" ref="L8">IFERROR(INDEX('Cutters Inventory 12-30-2025'!$A$2:$V$360,MATCH($A8,'Cutters Inventory 12-30-2025'!$B$2:$B$360,0),COLUMN(C$1)),"")</f>
        <v>1613 CT179 18-60</v>
      </c>
      <c r="M8" s="673" t="str" cm="1">
        <f t="array" ref="M8">IFERROR(INDEX('Cutters Inventory 12-30-2025'!$A$2:$V$360,MATCH($A8,'Cutters Inventory 12-30-2025'!$B$2:$B$360,0),COLUMN(D$1)),"")</f>
        <v>CT179</v>
      </c>
      <c r="N8" s="673" cm="1">
        <f t="array" ref="N8">IFERROR(INDEX('Cutters Inventory 12-30-2025'!$A$2:$V$360,MATCH($A8,'Cutters Inventory 12-30-2025'!$B$2:$B$360,0),COLUMN(E$1)),"")</f>
        <v>1613</v>
      </c>
      <c r="O8" s="673" t="str" cm="1">
        <f t="array" ref="O8">IFERROR(INDEX('Cutters Inventory 12-30-2025'!$A$2:$V$360,MATCH($A8,'Cutters Inventory 12-30-2025'!$B$2:$B$360,0),COLUMN(F$1)),"")</f>
        <v>18-60</v>
      </c>
      <c r="P8" s="673" t="str" cm="1">
        <f t="array" ref="P8">IFERROR(INDEX('Cutters Inventory 12-30-2025'!$A$2:$V$360,MATCH($A8,'Cutters Inventory 12-30-2025'!$B$2:$B$360,0),COLUMN(G$1)),"")</f>
        <v>S - Super Premium - IMP</v>
      </c>
      <c r="Q8" s="673" cm="1">
        <f t="array" ref="Q8">IFERROR(INDEX('Cutters Inventory 12-30-2025'!$A$2:$V$360,MATCH($A8,'Cutters Inventory 12-30-2025'!$B$2:$B$360,0),COLUMN(H$1)),"")</f>
        <v>0</v>
      </c>
      <c r="R8" s="673" cm="1">
        <f t="array" ref="R8">IFERROR(INDEX('Cutters Inventory 12-30-2025'!$A$2:$V$360,MATCH($A8,'Cutters Inventory 12-30-2025'!$B$2:$B$360,0),COLUMN(I$1)),"")</f>
        <v>0</v>
      </c>
      <c r="S8" s="673" cm="1">
        <f t="array" ref="S8">IFERROR(INDEX('Cutters Inventory 12-30-2025'!$A$2:$V$360,MATCH($A8,'Cutters Inventory 12-30-2025'!$B$2:$B$360,0),COLUMN(J$1)),"")</f>
        <v>-1</v>
      </c>
      <c r="T8" s="673" cm="1">
        <f t="array" ref="T8">IFERROR(INDEX('Cutters Inventory 12-30-2025'!$A$2:$V$360,MATCH($A8,'Cutters Inventory 12-30-2025'!$B$2:$B$360,0),COLUMN(K$1)),"")</f>
        <v>0</v>
      </c>
      <c r="U8" s="673" cm="1">
        <f t="array" ref="U8">IFERROR(INDEX('Cutters Inventory 12-30-2025'!$A$2:$V$360,MATCH($A8,'Cutters Inventory 12-30-2025'!$B$2:$B$360,0),COLUMN(L$1)),"")</f>
        <v>412</v>
      </c>
      <c r="V8" s="673" cm="1">
        <f t="array" ref="V8">IFERROR(INDEX('Cutters Inventory 12-30-2025'!$A$2:$V$360,MATCH($A8,'Cutters Inventory 12-30-2025'!$B$2:$B$360,0),COLUMN(M$1)),"")</f>
        <v>412</v>
      </c>
      <c r="W8" s="673" cm="1">
        <f t="array" aca="1" ref="W8" ca="1">IFERROR(INDEX('Cutters Inventory 12-30-2025'!$A$2:$V$360,MATCH($A8,'Cutters Inventory 12-30-2025'!$B$2:$B$360,0),COLUMN(N$1)),"")</f>
        <v>813</v>
      </c>
      <c r="X8" s="673" cm="1">
        <f t="array" aca="1" ref="X8" ca="1">IFERROR(INDEX('Cutters Inventory 12-30-2025'!$A$2:$V$360,MATCH($A8,'Cutters Inventory 12-30-2025'!$B$2:$B$360,0),COLUMN(O$1)),"")</f>
        <v>283</v>
      </c>
      <c r="Y8" s="673" cm="1">
        <f t="array" aca="1" ref="Y8" ca="1">IFERROR(INDEX('Cutters Inventory 12-30-2025'!$A$2:$V$360,MATCH($A8,'Cutters Inventory 12-30-2025'!$B$2:$B$360,0),COLUMN(P$1)),"")</f>
        <v>271</v>
      </c>
      <c r="Z8" s="673" cm="1">
        <f t="array" aca="1" ref="Z8" ca="1">IFERROR(INDEX('Cutters Inventory 12-30-2025'!$A$2:$V$360,MATCH($A8,'Cutters Inventory 12-30-2025'!$B$2:$B$360,0),COLUMN(Q$1)),"")</f>
        <v>280</v>
      </c>
      <c r="AA8" s="673" t="str" cm="1">
        <f t="array" ref="AA8">IFERROR(INDEX('Cutters Inventory 12-30-2025'!$A$2:$V$360,MATCH($A8,'Cutters Inventory 12-30-2025'!$B$2:$B$360,0),COLUMN(R$1)),"")</f>
        <v>1613 PI 18-60</v>
      </c>
      <c r="AB8" s="674" t="str">
        <f t="shared" ca="1" si="4"/>
        <v/>
      </c>
      <c r="AG8" s="575"/>
      <c r="AH8" s="688"/>
      <c r="AI8" s="688"/>
      <c r="AJ8" s="688"/>
      <c r="AK8" s="688"/>
      <c r="AL8" s="688"/>
      <c r="AM8" s="688"/>
      <c r="AN8" s="688">
        <v>1</v>
      </c>
      <c r="AO8" s="689">
        <f t="shared" si="5"/>
        <v>0</v>
      </c>
      <c r="AP8" s="690" t="str">
        <f t="shared" si="9"/>
        <v/>
      </c>
      <c r="AQ8" s="691" t="str" cm="1">
        <f t="array" ref="AQ8">IFERROR(INDEX('Cutters Inventory 12-30-2025'!$A$2:$V$360,MATCH($AK8,'Cutters Inventory 12-30-2025'!$B$2:$B$360,0),COLUMN(N$1)),"")</f>
        <v/>
      </c>
      <c r="AR8" s="688" t="str" cm="1">
        <f t="array" ref="AR8">IFERROR(INDEX('Cutters Inventory 12-30-2025'!$A$2:$V$360,MATCH($AK8,'Cutters Inventory 12-30-2025'!$B$2:$B$360,0),COLUMN(P$1)),"")</f>
        <v/>
      </c>
      <c r="AS8" s="689" t="str" cm="1">
        <f t="array" ref="AS8">IFERROR(INDEX('Cutters Inventory 12-30-2025'!$A$2:$V$360,MATCH($AK8,'Cutters Inventory 12-30-2025'!$B$2:$B$360,0),COLUMN(R$1)),"")</f>
        <v/>
      </c>
      <c r="AT8" s="688" t="str">
        <f t="shared" si="6"/>
        <v/>
      </c>
      <c r="AX8" s="248"/>
      <c r="AY8" s="248"/>
      <c r="AZ8" s="248"/>
      <c r="BA8" s="248"/>
      <c r="BB8" s="248"/>
      <c r="BC8" s="248"/>
      <c r="BD8" s="248"/>
    </row>
    <row r="9" spans="1:56" x14ac:dyDescent="0.3">
      <c r="A9" s="686">
        <v>1146737</v>
      </c>
      <c r="B9" s="669" t="str">
        <f t="shared" si="0"/>
        <v>CT418 1613 18-60</v>
      </c>
      <c r="C9" s="670"/>
      <c r="D9" s="671"/>
      <c r="E9" s="686">
        <v>6</v>
      </c>
      <c r="F9" s="686">
        <v>1</v>
      </c>
      <c r="G9" s="687">
        <f t="shared" si="7"/>
        <v>6</v>
      </c>
      <c r="H9" s="467" t="str">
        <f t="shared" ca="1" si="8"/>
        <v>OK, Enough For 213 Bits</v>
      </c>
      <c r="I9" s="687">
        <f t="shared" ca="1" si="3"/>
        <v>1281</v>
      </c>
      <c r="J9" s="673" cm="1">
        <f t="array" ref="J9">IFERROR(INDEX('Cutters Inventory 12-30-2025'!$A$2:$V$360,MATCH($A9,'Cutters Inventory 12-30-2025'!$B$2:$B$360,0),COLUMN(A$1)),"")</f>
        <v>201</v>
      </c>
      <c r="K9" s="673" cm="1">
        <f t="array" ref="K9">IFERROR(INDEX('Cutters Inventory 12-30-2025'!$A$2:$V$360,MATCH($A9,'Cutters Inventory 12-30-2025'!$B$2:$B$360,0),COLUMN(B$1)),"")</f>
        <v>1146737</v>
      </c>
      <c r="L9" s="673" t="str" cm="1">
        <f t="array" ref="L9">IFERROR(INDEX('Cutters Inventory 12-30-2025'!$A$2:$V$360,MATCH($A9,'Cutters Inventory 12-30-2025'!$B$2:$B$360,0),COLUMN(C$1)),"")</f>
        <v>1613 CT418 18-60</v>
      </c>
      <c r="M9" s="673" t="str" cm="1">
        <f t="array" ref="M9">IFERROR(INDEX('Cutters Inventory 12-30-2025'!$A$2:$V$360,MATCH($A9,'Cutters Inventory 12-30-2025'!$B$2:$B$360,0),COLUMN(D$1)),"")</f>
        <v>CT418</v>
      </c>
      <c r="N9" s="673" cm="1">
        <f t="array" ref="N9">IFERROR(INDEX('Cutters Inventory 12-30-2025'!$A$2:$V$360,MATCH($A9,'Cutters Inventory 12-30-2025'!$B$2:$B$360,0),COLUMN(E$1)),"")</f>
        <v>1613</v>
      </c>
      <c r="O9" s="673" t="str" cm="1">
        <f t="array" ref="O9">IFERROR(INDEX('Cutters Inventory 12-30-2025'!$A$2:$V$360,MATCH($A9,'Cutters Inventory 12-30-2025'!$B$2:$B$360,0),COLUMN(F$1)),"")</f>
        <v>18-60</v>
      </c>
      <c r="P9" s="673" t="str" cm="1">
        <f t="array" ref="P9">IFERROR(INDEX('Cutters Inventory 12-30-2025'!$A$2:$V$360,MATCH($A9,'Cutters Inventory 12-30-2025'!$B$2:$B$360,0),COLUMN(G$1)),"")</f>
        <v>S - Super Premium - MT</v>
      </c>
      <c r="Q9" s="673" cm="1">
        <f t="array" ref="Q9">IFERROR(INDEX('Cutters Inventory 12-30-2025'!$A$2:$V$360,MATCH($A9,'Cutters Inventory 12-30-2025'!$B$2:$B$360,0),COLUMN(H$1)),"")</f>
        <v>0</v>
      </c>
      <c r="R9" s="673" cm="1">
        <f t="array" ref="R9">IFERROR(INDEX('Cutters Inventory 12-30-2025'!$A$2:$V$360,MATCH($A9,'Cutters Inventory 12-30-2025'!$B$2:$B$360,0),COLUMN(I$1)),"")</f>
        <v>0</v>
      </c>
      <c r="S9" s="673" cm="1">
        <f t="array" ref="S9">IFERROR(INDEX('Cutters Inventory 12-30-2025'!$A$2:$V$360,MATCH($A9,'Cutters Inventory 12-30-2025'!$B$2:$B$360,0),COLUMN(J$1)),"")</f>
        <v>52</v>
      </c>
      <c r="T9" s="673" cm="1">
        <f t="array" ref="T9">IFERROR(INDEX('Cutters Inventory 12-30-2025'!$A$2:$V$360,MATCH($A9,'Cutters Inventory 12-30-2025'!$B$2:$B$360,0),COLUMN(K$1)),"")</f>
        <v>0</v>
      </c>
      <c r="U9" s="673" cm="1">
        <f t="array" ref="U9">IFERROR(INDEX('Cutters Inventory 12-30-2025'!$A$2:$V$360,MATCH($A9,'Cutters Inventory 12-30-2025'!$B$2:$B$360,0),COLUMN(L$1)),"")</f>
        <v>-3</v>
      </c>
      <c r="V9" s="673" cm="1">
        <f t="array" ref="V9">IFERROR(INDEX('Cutters Inventory 12-30-2025'!$A$2:$V$360,MATCH($A9,'Cutters Inventory 12-30-2025'!$B$2:$B$360,0),COLUMN(M$1)),"")</f>
        <v>-3</v>
      </c>
      <c r="W9" s="673" cm="1">
        <f t="array" aca="1" ref="W9" ca="1">IFERROR(INDEX('Cutters Inventory 12-30-2025'!$A$2:$V$360,MATCH($A9,'Cutters Inventory 12-30-2025'!$B$2:$B$360,0),COLUMN(N$1)),"")</f>
        <v>1281</v>
      </c>
      <c r="X9" s="673" cm="1">
        <f t="array" aca="1" ref="X9" ca="1">IFERROR(INDEX('Cutters Inventory 12-30-2025'!$A$2:$V$360,MATCH($A9,'Cutters Inventory 12-30-2025'!$B$2:$B$360,0),COLUMN(O$1)),"")</f>
        <v>655</v>
      </c>
      <c r="Y9" s="673" cm="1">
        <f t="array" aca="1" ref="Y9" ca="1">IFERROR(INDEX('Cutters Inventory 12-30-2025'!$A$2:$V$360,MATCH($A9,'Cutters Inventory 12-30-2025'!$B$2:$B$360,0),COLUMN(P$1)),"")</f>
        <v>427</v>
      </c>
      <c r="Z9" s="673" cm="1">
        <f t="array" aca="1" ref="Z9" ca="1">IFERROR(INDEX('Cutters Inventory 12-30-2025'!$A$2:$V$360,MATCH($A9,'Cutters Inventory 12-30-2025'!$B$2:$B$360,0),COLUMN(Q$1)),"")</f>
        <v>440</v>
      </c>
      <c r="AA9" s="673" t="str" cm="1">
        <f t="array" ref="AA9">IFERROR(INDEX('Cutters Inventory 12-30-2025'!$A$2:$V$360,MATCH($A9,'Cutters Inventory 12-30-2025'!$B$2:$B$360,0),COLUMN(R$1)),"")</f>
        <v>1613 MT 18-60</v>
      </c>
      <c r="AB9" s="674">
        <f t="shared" ca="1" si="4"/>
        <v>213</v>
      </c>
      <c r="AG9" s="575"/>
      <c r="AH9" s="688"/>
      <c r="AI9" s="688"/>
      <c r="AJ9" s="688"/>
      <c r="AK9" s="688"/>
      <c r="AL9" s="688"/>
      <c r="AM9" s="688"/>
      <c r="AN9" s="688">
        <v>1</v>
      </c>
      <c r="AO9" s="689">
        <f t="shared" si="5"/>
        <v>0</v>
      </c>
      <c r="AP9" s="690" t="str">
        <f t="shared" si="9"/>
        <v/>
      </c>
      <c r="AQ9" s="691" t="str" cm="1">
        <f t="array" ref="AQ9">IFERROR(INDEX('Cutters Inventory 12-30-2025'!$A$2:$V$360,MATCH($AK9,'Cutters Inventory 12-30-2025'!$B$2:$B$360,0),COLUMN(N$1)),"")</f>
        <v/>
      </c>
      <c r="AR9" s="688" t="str" cm="1">
        <f t="array" ref="AR9">IFERROR(INDEX('Cutters Inventory 12-30-2025'!$A$2:$V$360,MATCH($AK9,'Cutters Inventory 12-30-2025'!$B$2:$B$360,0),COLUMN(P$1)),"")</f>
        <v/>
      </c>
      <c r="AS9" s="689" t="str" cm="1">
        <f t="array" ref="AS9">IFERROR(INDEX('Cutters Inventory 12-30-2025'!$A$2:$V$360,MATCH($AK9,'Cutters Inventory 12-30-2025'!$B$2:$B$360,0),COLUMN(R$1)),"")</f>
        <v/>
      </c>
      <c r="AT9" s="688" t="str">
        <f t="shared" si="6"/>
        <v/>
      </c>
      <c r="AX9" s="248"/>
      <c r="AY9" s="248"/>
      <c r="AZ9" s="248"/>
      <c r="BA9" s="248"/>
      <c r="BB9" s="248"/>
      <c r="BC9" s="248"/>
      <c r="BD9" s="248"/>
    </row>
    <row r="10" spans="1:56" x14ac:dyDescent="0.3">
      <c r="A10" s="686"/>
      <c r="B10" s="669" t="str">
        <f t="shared" si="0"/>
        <v xml:space="preserve">  </v>
      </c>
      <c r="C10" s="670"/>
      <c r="D10" s="671"/>
      <c r="E10" s="686"/>
      <c r="F10" s="686">
        <v>1</v>
      </c>
      <c r="G10" s="687">
        <f t="shared" si="7"/>
        <v>0</v>
      </c>
      <c r="H10" s="467" t="str">
        <f t="shared" si="8"/>
        <v/>
      </c>
      <c r="I10" s="687" t="str">
        <f t="shared" si="3"/>
        <v/>
      </c>
      <c r="J10" s="673" t="str" cm="1">
        <f t="array" ref="J10">IFERROR(INDEX('Cutters Inventory 12-30-2025'!$A$2:$V$360,MATCH($A10,'Cutters Inventory 12-30-2025'!$B$2:$B$360,0),COLUMN(A$1)),"")</f>
        <v/>
      </c>
      <c r="K10" s="673" t="str" cm="1">
        <f t="array" ref="K10">IFERROR(INDEX('Cutters Inventory 12-30-2025'!$A$2:$V$360,MATCH($A10,'Cutters Inventory 12-30-2025'!$B$2:$B$360,0),COLUMN(B$1)),"")</f>
        <v/>
      </c>
      <c r="L10" s="673" t="str" cm="1">
        <f t="array" ref="L10">IFERROR(INDEX('Cutters Inventory 12-30-2025'!$A$2:$V$360,MATCH($A10,'Cutters Inventory 12-30-2025'!$B$2:$B$360,0),COLUMN(C$1)),"")</f>
        <v/>
      </c>
      <c r="M10" s="673" t="str" cm="1">
        <f t="array" ref="M10">IFERROR(INDEX('Cutters Inventory 12-30-2025'!$A$2:$V$360,MATCH($A10,'Cutters Inventory 12-30-2025'!$B$2:$B$360,0),COLUMN(D$1)),"")</f>
        <v/>
      </c>
      <c r="N10" s="673" t="str" cm="1">
        <f t="array" ref="N10">IFERROR(INDEX('Cutters Inventory 12-30-2025'!$A$2:$V$360,MATCH($A10,'Cutters Inventory 12-30-2025'!$B$2:$B$360,0),COLUMN(E$1)),"")</f>
        <v/>
      </c>
      <c r="O10" s="673" t="str" cm="1">
        <f t="array" ref="O10">IFERROR(INDEX('Cutters Inventory 12-30-2025'!$A$2:$V$360,MATCH($A10,'Cutters Inventory 12-30-2025'!$B$2:$B$360,0),COLUMN(F$1)),"")</f>
        <v/>
      </c>
      <c r="P10" s="673" t="str" cm="1">
        <f t="array" ref="P10">IFERROR(INDEX('Cutters Inventory 12-30-2025'!$A$2:$V$360,MATCH($A10,'Cutters Inventory 12-30-2025'!$B$2:$B$360,0),COLUMN(G$1)),"")</f>
        <v/>
      </c>
      <c r="Q10" s="673" t="str" cm="1">
        <f t="array" ref="Q10">IFERROR(INDEX('Cutters Inventory 12-30-2025'!$A$2:$V$360,MATCH($A10,'Cutters Inventory 12-30-2025'!$B$2:$B$360,0),COLUMN(H$1)),"")</f>
        <v/>
      </c>
      <c r="R10" s="673" t="str" cm="1">
        <f t="array" ref="R10">IFERROR(INDEX('Cutters Inventory 12-30-2025'!$A$2:$V$360,MATCH($A10,'Cutters Inventory 12-30-2025'!$B$2:$B$360,0),COLUMN(I$1)),"")</f>
        <v/>
      </c>
      <c r="S10" s="673" t="str" cm="1">
        <f t="array" ref="S10">IFERROR(INDEX('Cutters Inventory 12-30-2025'!$A$2:$V$360,MATCH($A10,'Cutters Inventory 12-30-2025'!$B$2:$B$360,0),COLUMN(J$1)),"")</f>
        <v/>
      </c>
      <c r="T10" s="673" t="str" cm="1">
        <f t="array" ref="T10">IFERROR(INDEX('Cutters Inventory 12-30-2025'!$A$2:$V$360,MATCH($A10,'Cutters Inventory 12-30-2025'!$B$2:$B$360,0),COLUMN(K$1)),"")</f>
        <v/>
      </c>
      <c r="U10" s="673" t="str" cm="1">
        <f t="array" ref="U10">IFERROR(INDEX('Cutters Inventory 12-30-2025'!$A$2:$V$360,MATCH($A10,'Cutters Inventory 12-30-2025'!$B$2:$B$360,0),COLUMN(L$1)),"")</f>
        <v/>
      </c>
      <c r="V10" s="673" t="str" cm="1">
        <f t="array" ref="V10">IFERROR(INDEX('Cutters Inventory 12-30-2025'!$A$2:$V$360,MATCH($A10,'Cutters Inventory 12-30-2025'!$B$2:$B$360,0),COLUMN(M$1)),"")</f>
        <v/>
      </c>
      <c r="W10" s="673" t="str" cm="1">
        <f t="array" ref="W10">IFERROR(INDEX('Cutters Inventory 12-30-2025'!$A$2:$V$360,MATCH($A10,'Cutters Inventory 12-30-2025'!$B$2:$B$360,0),COLUMN(N$1)),"")</f>
        <v/>
      </c>
      <c r="X10" s="673" t="str" cm="1">
        <f t="array" ref="X10">IFERROR(INDEX('Cutters Inventory 12-30-2025'!$A$2:$V$360,MATCH($A10,'Cutters Inventory 12-30-2025'!$B$2:$B$360,0),COLUMN(O$1)),"")</f>
        <v/>
      </c>
      <c r="Y10" s="673" t="str" cm="1">
        <f t="array" ref="Y10">IFERROR(INDEX('Cutters Inventory 12-30-2025'!$A$2:$V$360,MATCH($A10,'Cutters Inventory 12-30-2025'!$B$2:$B$360,0),COLUMN(P$1)),"")</f>
        <v/>
      </c>
      <c r="Z10" s="673" t="str" cm="1">
        <f t="array" ref="Z10">IFERROR(INDEX('Cutters Inventory 12-30-2025'!$A$2:$V$360,MATCH($A10,'Cutters Inventory 12-30-2025'!$B$2:$B$360,0),COLUMN(Q$1)),"")</f>
        <v/>
      </c>
      <c r="AA10" s="673" t="str" cm="1">
        <f t="array" ref="AA10">IFERROR(INDEX('Cutters Inventory 12-30-2025'!$A$2:$V$360,MATCH($A10,'Cutters Inventory 12-30-2025'!$B$2:$B$360,0),COLUMN(R$1)),"")</f>
        <v/>
      </c>
      <c r="AB10" s="674" t="str">
        <f t="shared" si="4"/>
        <v/>
      </c>
      <c r="AG10" s="575"/>
      <c r="AH10" s="688"/>
      <c r="AI10" s="688"/>
      <c r="AJ10" s="688"/>
      <c r="AK10" s="688"/>
      <c r="AL10" s="688"/>
      <c r="AM10" s="688"/>
      <c r="AN10" s="688">
        <v>1</v>
      </c>
      <c r="AO10" s="689">
        <f t="shared" si="5"/>
        <v>0</v>
      </c>
      <c r="AP10" s="690" t="str">
        <f t="shared" si="9"/>
        <v/>
      </c>
      <c r="AQ10" s="691" t="str" cm="1">
        <f t="array" ref="AQ10">IFERROR(INDEX('Cutters Inventory 12-30-2025'!$A$2:$V$360,MATCH($AK10,'Cutters Inventory 12-30-2025'!$B$2:$B$360,0),COLUMN(N$1)),"")</f>
        <v/>
      </c>
      <c r="AR10" s="688" t="str" cm="1">
        <f t="array" ref="AR10">IFERROR(INDEX('Cutters Inventory 12-30-2025'!$A$2:$V$360,MATCH($AK10,'Cutters Inventory 12-30-2025'!$B$2:$B$360,0),COLUMN(P$1)),"")</f>
        <v/>
      </c>
      <c r="AS10" s="689" t="str" cm="1">
        <f t="array" ref="AS10">IFERROR(INDEX('Cutters Inventory 12-30-2025'!$A$2:$V$360,MATCH($AK10,'Cutters Inventory 12-30-2025'!$B$2:$B$360,0),COLUMN(R$1)),"")</f>
        <v/>
      </c>
      <c r="AT10" s="688" t="str">
        <f t="shared" si="6"/>
        <v/>
      </c>
      <c r="AX10" s="248"/>
      <c r="AY10" s="248"/>
      <c r="AZ10" s="248"/>
      <c r="BA10" s="248"/>
      <c r="BB10" s="248"/>
      <c r="BC10" s="248"/>
      <c r="BD10" s="248"/>
    </row>
    <row r="11" spans="1:56" x14ac:dyDescent="0.3">
      <c r="A11" s="686"/>
      <c r="B11" s="669" t="str">
        <f t="shared" si="0"/>
        <v xml:space="preserve">  </v>
      </c>
      <c r="C11" s="670"/>
      <c r="D11" s="671"/>
      <c r="E11" s="686"/>
      <c r="F11" s="686">
        <v>1</v>
      </c>
      <c r="G11" s="687">
        <f t="shared" si="7"/>
        <v>0</v>
      </c>
      <c r="H11" s="467" t="str">
        <f t="shared" si="8"/>
        <v/>
      </c>
      <c r="I11" s="687" t="str">
        <f t="shared" si="3"/>
        <v/>
      </c>
      <c r="J11" s="673" t="str" cm="1">
        <f t="array" ref="J11">IFERROR(INDEX('Cutters Inventory 12-30-2025'!$A$2:$V$360,MATCH($A11,'Cutters Inventory 12-30-2025'!$B$2:$B$360,0),COLUMN(A$1)),"")</f>
        <v/>
      </c>
      <c r="K11" s="673" t="str" cm="1">
        <f t="array" ref="K11">IFERROR(INDEX('Cutters Inventory 12-30-2025'!$A$2:$V$360,MATCH($A11,'Cutters Inventory 12-30-2025'!$B$2:$B$360,0),COLUMN(B$1)),"")</f>
        <v/>
      </c>
      <c r="L11" s="673" t="str" cm="1">
        <f t="array" ref="L11">IFERROR(INDEX('Cutters Inventory 12-30-2025'!$A$2:$V$360,MATCH($A11,'Cutters Inventory 12-30-2025'!$B$2:$B$360,0),COLUMN(C$1)),"")</f>
        <v/>
      </c>
      <c r="M11" s="673" t="str" cm="1">
        <f t="array" ref="M11">IFERROR(INDEX('Cutters Inventory 12-30-2025'!$A$2:$V$360,MATCH($A11,'Cutters Inventory 12-30-2025'!$B$2:$B$360,0),COLUMN(D$1)),"")</f>
        <v/>
      </c>
      <c r="N11" s="673" t="str" cm="1">
        <f t="array" ref="N11">IFERROR(INDEX('Cutters Inventory 12-30-2025'!$A$2:$V$360,MATCH($A11,'Cutters Inventory 12-30-2025'!$B$2:$B$360,0),COLUMN(E$1)),"")</f>
        <v/>
      </c>
      <c r="O11" s="673" t="str" cm="1">
        <f t="array" ref="O11">IFERROR(INDEX('Cutters Inventory 12-30-2025'!$A$2:$V$360,MATCH($A11,'Cutters Inventory 12-30-2025'!$B$2:$B$360,0),COLUMN(F$1)),"")</f>
        <v/>
      </c>
      <c r="P11" s="673" t="str" cm="1">
        <f t="array" ref="P11">IFERROR(INDEX('Cutters Inventory 12-30-2025'!$A$2:$V$360,MATCH($A11,'Cutters Inventory 12-30-2025'!$B$2:$B$360,0),COLUMN(G$1)),"")</f>
        <v/>
      </c>
      <c r="Q11" s="673" t="str" cm="1">
        <f t="array" ref="Q11">IFERROR(INDEX('Cutters Inventory 12-30-2025'!$A$2:$V$360,MATCH($A11,'Cutters Inventory 12-30-2025'!$B$2:$B$360,0),COLUMN(H$1)),"")</f>
        <v/>
      </c>
      <c r="R11" s="673" t="str" cm="1">
        <f t="array" ref="R11">IFERROR(INDEX('Cutters Inventory 12-30-2025'!$A$2:$V$360,MATCH($A11,'Cutters Inventory 12-30-2025'!$B$2:$B$360,0),COLUMN(I$1)),"")</f>
        <v/>
      </c>
      <c r="S11" s="673" t="str" cm="1">
        <f t="array" ref="S11">IFERROR(INDEX('Cutters Inventory 12-30-2025'!$A$2:$V$360,MATCH($A11,'Cutters Inventory 12-30-2025'!$B$2:$B$360,0),COLUMN(J$1)),"")</f>
        <v/>
      </c>
      <c r="T11" s="673" t="str" cm="1">
        <f t="array" ref="T11">IFERROR(INDEX('Cutters Inventory 12-30-2025'!$A$2:$V$360,MATCH($A11,'Cutters Inventory 12-30-2025'!$B$2:$B$360,0),COLUMN(K$1)),"")</f>
        <v/>
      </c>
      <c r="U11" s="673" t="str" cm="1">
        <f t="array" ref="U11">IFERROR(INDEX('Cutters Inventory 12-30-2025'!$A$2:$V$360,MATCH($A11,'Cutters Inventory 12-30-2025'!$B$2:$B$360,0),COLUMN(L$1)),"")</f>
        <v/>
      </c>
      <c r="V11" s="673" t="str" cm="1">
        <f t="array" ref="V11">IFERROR(INDEX('Cutters Inventory 12-30-2025'!$A$2:$V$360,MATCH($A11,'Cutters Inventory 12-30-2025'!$B$2:$B$360,0),COLUMN(M$1)),"")</f>
        <v/>
      </c>
      <c r="W11" s="673" t="str" cm="1">
        <f t="array" ref="W11">IFERROR(INDEX('Cutters Inventory 12-30-2025'!$A$2:$V$360,MATCH($A11,'Cutters Inventory 12-30-2025'!$B$2:$B$360,0),COLUMN(N$1)),"")</f>
        <v/>
      </c>
      <c r="X11" s="673" t="str" cm="1">
        <f t="array" ref="X11">IFERROR(INDEX('Cutters Inventory 12-30-2025'!$A$2:$V$360,MATCH($A11,'Cutters Inventory 12-30-2025'!$B$2:$B$360,0),COLUMN(O$1)),"")</f>
        <v/>
      </c>
      <c r="Y11" s="673" t="str" cm="1">
        <f t="array" ref="Y11">IFERROR(INDEX('Cutters Inventory 12-30-2025'!$A$2:$V$360,MATCH($A11,'Cutters Inventory 12-30-2025'!$B$2:$B$360,0),COLUMN(P$1)),"")</f>
        <v/>
      </c>
      <c r="Z11" s="673" t="str" cm="1">
        <f t="array" ref="Z11">IFERROR(INDEX('Cutters Inventory 12-30-2025'!$A$2:$V$360,MATCH($A11,'Cutters Inventory 12-30-2025'!$B$2:$B$360,0),COLUMN(Q$1)),"")</f>
        <v/>
      </c>
      <c r="AA11" s="673" t="str" cm="1">
        <f t="array" ref="AA11">IFERROR(INDEX('Cutters Inventory 12-30-2025'!$A$2:$V$360,MATCH($A11,'Cutters Inventory 12-30-2025'!$B$2:$B$360,0),COLUMN(R$1)),"")</f>
        <v/>
      </c>
      <c r="AB11" s="674" t="str">
        <f t="shared" si="4"/>
        <v/>
      </c>
      <c r="AG11" s="575"/>
      <c r="AH11" s="688"/>
      <c r="AI11" s="688"/>
      <c r="AJ11" s="688"/>
      <c r="AK11" s="688"/>
      <c r="AL11" s="688"/>
      <c r="AM11" s="688"/>
      <c r="AN11" s="688">
        <v>1</v>
      </c>
      <c r="AO11" s="689">
        <f t="shared" si="5"/>
        <v>0</v>
      </c>
      <c r="AP11" s="690" t="str">
        <f t="shared" si="9"/>
        <v/>
      </c>
      <c r="AQ11" s="691" t="str" cm="1">
        <f t="array" ref="AQ11">IFERROR(INDEX('Cutters Inventory 12-30-2025'!$A$2:$V$360,MATCH($AK11,'Cutters Inventory 12-30-2025'!$B$2:$B$360,0),COLUMN(N$1)),"")</f>
        <v/>
      </c>
      <c r="AR11" s="688" t="str" cm="1">
        <f t="array" ref="AR11">IFERROR(INDEX('Cutters Inventory 12-30-2025'!$A$2:$V$360,MATCH($AK11,'Cutters Inventory 12-30-2025'!$B$2:$B$360,0),COLUMN(P$1)),"")</f>
        <v/>
      </c>
      <c r="AS11" s="689" t="str" cm="1">
        <f t="array" ref="AS11">IFERROR(INDEX('Cutters Inventory 12-30-2025'!$A$2:$V$360,MATCH($AK11,'Cutters Inventory 12-30-2025'!$B$2:$B$360,0),COLUMN(R$1)),"")</f>
        <v/>
      </c>
      <c r="AT11" s="688" t="str">
        <f t="shared" si="6"/>
        <v/>
      </c>
      <c r="AX11" s="248"/>
      <c r="AY11" s="248"/>
      <c r="AZ11" s="248"/>
      <c r="BA11" s="248"/>
      <c r="BB11" s="248"/>
      <c r="BC11" s="248"/>
      <c r="BD11" s="248"/>
    </row>
    <row r="12" spans="1:56" x14ac:dyDescent="0.3">
      <c r="A12" s="686"/>
      <c r="B12" s="669" t="str">
        <f t="shared" si="0"/>
        <v xml:space="preserve">  </v>
      </c>
      <c r="C12" s="670"/>
      <c r="D12" s="671"/>
      <c r="E12" s="686"/>
      <c r="F12" s="686">
        <v>1</v>
      </c>
      <c r="G12" s="687">
        <f>[1]Data!Q2088*F12</f>
        <v>23</v>
      </c>
      <c r="H12" s="467" t="str">
        <f>IF([1]Data!Q2088="","",IF(G12&gt;W12,"Not Enough Cutters, only "&amp;AB12&amp;" Bit","OK, Enough For "&amp;AB12&amp;" Bits"))</f>
        <v>OK, Enough For  Bits</v>
      </c>
      <c r="I12" s="687" t="str">
        <f t="shared" si="3"/>
        <v/>
      </c>
      <c r="J12" s="673" t="str" cm="1">
        <f t="array" ref="J12">IFERROR(INDEX('Cutters Inventory 12-30-2025'!$A$2:$V$360,MATCH($A12,'Cutters Inventory 12-30-2025'!$B$2:$B$360,0),COLUMN(A$1)),"")</f>
        <v/>
      </c>
      <c r="K12" s="673" t="str" cm="1">
        <f t="array" ref="K12">IFERROR(INDEX('Cutters Inventory 12-30-2025'!$A$2:$V$360,MATCH($A12,'Cutters Inventory 12-30-2025'!$B$2:$B$360,0),COLUMN(B$1)),"")</f>
        <v/>
      </c>
      <c r="L12" s="673" t="str" cm="1">
        <f t="array" ref="L12">IFERROR(INDEX('Cutters Inventory 12-30-2025'!$A$2:$V$360,MATCH($A12,'Cutters Inventory 12-30-2025'!$B$2:$B$360,0),COLUMN(C$1)),"")</f>
        <v/>
      </c>
      <c r="M12" s="673" t="str" cm="1">
        <f t="array" ref="M12">IFERROR(INDEX('Cutters Inventory 12-30-2025'!$A$2:$V$360,MATCH($A12,'Cutters Inventory 12-30-2025'!$B$2:$B$360,0),COLUMN(D$1)),"")</f>
        <v/>
      </c>
      <c r="N12" s="673" t="str" cm="1">
        <f t="array" ref="N12">IFERROR(INDEX('Cutters Inventory 12-30-2025'!$A$2:$V$360,MATCH($A12,'Cutters Inventory 12-30-2025'!$B$2:$B$360,0),COLUMN(E$1)),"")</f>
        <v/>
      </c>
      <c r="O12" s="673" t="str" cm="1">
        <f t="array" ref="O12">IFERROR(INDEX('Cutters Inventory 12-30-2025'!$A$2:$V$360,MATCH($A12,'Cutters Inventory 12-30-2025'!$B$2:$B$360,0),COLUMN(F$1)),"")</f>
        <v/>
      </c>
      <c r="P12" s="673" t="str" cm="1">
        <f t="array" ref="P12">IFERROR(INDEX('Cutters Inventory 12-30-2025'!$A$2:$V$360,MATCH($A12,'Cutters Inventory 12-30-2025'!$B$2:$B$360,0),COLUMN(G$1)),"")</f>
        <v/>
      </c>
      <c r="Q12" s="673" t="str" cm="1">
        <f t="array" ref="Q12">IFERROR(INDEX('Cutters Inventory 12-30-2025'!$A$2:$V$360,MATCH($A12,'Cutters Inventory 12-30-2025'!$B$2:$B$360,0),COLUMN(H$1)),"")</f>
        <v/>
      </c>
      <c r="R12" s="673" t="str" cm="1">
        <f t="array" ref="R12">IFERROR(INDEX('Cutters Inventory 12-30-2025'!$A$2:$V$360,MATCH($A12,'Cutters Inventory 12-30-2025'!$B$2:$B$360,0),COLUMN(I$1)),"")</f>
        <v/>
      </c>
      <c r="S12" s="673" t="str" cm="1">
        <f t="array" ref="S12">IFERROR(INDEX('Cutters Inventory 12-30-2025'!$A$2:$V$360,MATCH($A12,'Cutters Inventory 12-30-2025'!$B$2:$B$360,0),COLUMN(J$1)),"")</f>
        <v/>
      </c>
      <c r="T12" s="673" t="str" cm="1">
        <f t="array" ref="T12">IFERROR(INDEX('Cutters Inventory 12-30-2025'!$A$2:$V$360,MATCH($A12,'Cutters Inventory 12-30-2025'!$B$2:$B$360,0),COLUMN(K$1)),"")</f>
        <v/>
      </c>
      <c r="U12" s="673" t="str" cm="1">
        <f t="array" ref="U12">IFERROR(INDEX('Cutters Inventory 12-30-2025'!$A$2:$V$360,MATCH($A12,'Cutters Inventory 12-30-2025'!$B$2:$B$360,0),COLUMN(L$1)),"")</f>
        <v/>
      </c>
      <c r="V12" s="673" t="str" cm="1">
        <f t="array" ref="V12">IFERROR(INDEX('Cutters Inventory 12-30-2025'!$A$2:$V$360,MATCH($A12,'Cutters Inventory 12-30-2025'!$B$2:$B$360,0),COLUMN(M$1)),"")</f>
        <v/>
      </c>
      <c r="W12" s="673" t="str" cm="1">
        <f t="array" ref="W12">IFERROR(INDEX('Cutters Inventory 12-30-2025'!$A$2:$V$360,MATCH($A12,'Cutters Inventory 12-30-2025'!$B$2:$B$360,0),COLUMN(N$1)),"")</f>
        <v/>
      </c>
      <c r="X12" s="673" t="str" cm="1">
        <f t="array" ref="X12">IFERROR(INDEX('Cutters Inventory 12-30-2025'!$A$2:$V$360,MATCH($A12,'Cutters Inventory 12-30-2025'!$B$2:$B$360,0),COLUMN(O$1)),"")</f>
        <v/>
      </c>
      <c r="Y12" s="673" t="str" cm="1">
        <f t="array" ref="Y12">IFERROR(INDEX('Cutters Inventory 12-30-2025'!$A$2:$V$360,MATCH($A12,'Cutters Inventory 12-30-2025'!$B$2:$B$360,0),COLUMN(P$1)),"")</f>
        <v/>
      </c>
      <c r="Z12" s="673" t="str" cm="1">
        <f t="array" ref="Z12">IFERROR(INDEX('Cutters Inventory 12-30-2025'!$A$2:$V$360,MATCH($A12,'Cutters Inventory 12-30-2025'!$B$2:$B$360,0),COLUMN(Q$1)),"")</f>
        <v/>
      </c>
      <c r="AA12" s="673" t="str" cm="1">
        <f t="array" ref="AA12">IFERROR(INDEX('Cutters Inventory 12-30-2025'!$A$2:$V$360,MATCH($A12,'Cutters Inventory 12-30-2025'!$B$2:$B$360,0),COLUMN(R$1)),"")</f>
        <v/>
      </c>
      <c r="AB12" s="674" t="str">
        <f>IFERROR(QUOTIENT($W12,[1]Data!$Q2088),"")</f>
        <v/>
      </c>
      <c r="AG12" s="575"/>
      <c r="AH12" s="688"/>
      <c r="AI12" s="688"/>
      <c r="AJ12" s="688"/>
      <c r="AK12" s="688"/>
      <c r="AL12" s="688"/>
      <c r="AM12" s="688"/>
      <c r="AN12" s="688"/>
      <c r="AO12" s="689">
        <f t="shared" si="5"/>
        <v>0</v>
      </c>
      <c r="AP12" s="690" t="str">
        <f t="shared" si="9"/>
        <v/>
      </c>
      <c r="AQ12" s="691" t="str" cm="1">
        <f t="array" ref="AQ12">IFERROR(INDEX('Cutters Inventory 12-30-2025'!$A$2:$V$360,MATCH($AK12,'Cutters Inventory 12-30-2025'!$B$2:$B$360,0),COLUMN(N$1)),"")</f>
        <v/>
      </c>
      <c r="AR12" s="688" t="str" cm="1">
        <f t="array" ref="AR12">IFERROR(INDEX('Cutters Inventory 12-30-2025'!$A$2:$V$360,MATCH($AK12,'Cutters Inventory 12-30-2025'!$B$2:$B$360,0),COLUMN(P$1)),"")</f>
        <v/>
      </c>
      <c r="AS12" s="689" t="str" cm="1">
        <f t="array" ref="AS12">IFERROR(INDEX('Cutters Inventory 12-30-2025'!$A$2:$V$360,MATCH($AK12,'Cutters Inventory 12-30-2025'!$B$2:$B$360,0),COLUMN(R$1)),"")</f>
        <v/>
      </c>
      <c r="AT12" s="688" t="str">
        <f t="shared" si="6"/>
        <v/>
      </c>
      <c r="AX12" s="248"/>
      <c r="AY12" s="248"/>
      <c r="AZ12" s="248"/>
      <c r="BA12" s="248"/>
      <c r="BB12" s="248"/>
      <c r="BC12" s="248"/>
      <c r="BD12" s="248"/>
    </row>
    <row r="13" spans="1:56" x14ac:dyDescent="0.3">
      <c r="A13" s="686"/>
      <c r="B13" s="669" t="str">
        <f t="shared" si="0"/>
        <v xml:space="preserve">  </v>
      </c>
      <c r="C13" s="670"/>
      <c r="D13" s="671"/>
      <c r="E13" s="686"/>
      <c r="F13" s="686">
        <v>1</v>
      </c>
      <c r="G13" s="687">
        <f>[1]Data!Q2089*F13</f>
        <v>23</v>
      </c>
      <c r="H13" s="467" t="str">
        <f>IF([1]Data!Q2089="","",IF(G13&gt;W13,"Not Enough Cutters, only "&amp;AB13&amp;" Bit","OK, Enough For "&amp;AB13&amp;" Bits"))</f>
        <v>OK, Enough For  Bits</v>
      </c>
      <c r="I13" s="687" t="str">
        <f t="shared" si="3"/>
        <v/>
      </c>
      <c r="J13" s="673" t="str" cm="1">
        <f t="array" ref="J13">IFERROR(INDEX('Cutters Inventory 12-30-2025'!$A$2:$V$360,MATCH($A13,'Cutters Inventory 12-30-2025'!$B$2:$B$360,0),COLUMN(A$1)),"")</f>
        <v/>
      </c>
      <c r="K13" s="673" t="str" cm="1">
        <f t="array" ref="K13">IFERROR(INDEX('Cutters Inventory 12-30-2025'!$A$2:$V$360,MATCH($A13,'Cutters Inventory 12-30-2025'!$B$2:$B$360,0),COLUMN(B$1)),"")</f>
        <v/>
      </c>
      <c r="L13" s="673" t="str" cm="1">
        <f t="array" ref="L13">IFERROR(INDEX('Cutters Inventory 12-30-2025'!$A$2:$V$360,MATCH($A13,'Cutters Inventory 12-30-2025'!$B$2:$B$360,0),COLUMN(C$1)),"")</f>
        <v/>
      </c>
      <c r="M13" s="673" t="str" cm="1">
        <f t="array" ref="M13">IFERROR(INDEX('Cutters Inventory 12-30-2025'!$A$2:$V$360,MATCH($A13,'Cutters Inventory 12-30-2025'!$B$2:$B$360,0),COLUMN(D$1)),"")</f>
        <v/>
      </c>
      <c r="N13" s="673" t="str" cm="1">
        <f t="array" ref="N13">IFERROR(INDEX('Cutters Inventory 12-30-2025'!$A$2:$V$360,MATCH($A13,'Cutters Inventory 12-30-2025'!$B$2:$B$360,0),COLUMN(E$1)),"")</f>
        <v/>
      </c>
      <c r="O13" s="673" t="str" cm="1">
        <f t="array" ref="O13">IFERROR(INDEX('Cutters Inventory 12-30-2025'!$A$2:$V$360,MATCH($A13,'Cutters Inventory 12-30-2025'!$B$2:$B$360,0),COLUMN(F$1)),"")</f>
        <v/>
      </c>
      <c r="P13" s="673" t="str" cm="1">
        <f t="array" ref="P13">IFERROR(INDEX('Cutters Inventory 12-30-2025'!$A$2:$V$360,MATCH($A13,'Cutters Inventory 12-30-2025'!$B$2:$B$360,0),COLUMN(G$1)),"")</f>
        <v/>
      </c>
      <c r="Q13" s="673" t="str" cm="1">
        <f t="array" ref="Q13">IFERROR(INDEX('Cutters Inventory 12-30-2025'!$A$2:$V$360,MATCH($A13,'Cutters Inventory 12-30-2025'!$B$2:$B$360,0),COLUMN(H$1)),"")</f>
        <v/>
      </c>
      <c r="R13" s="673" t="str" cm="1">
        <f t="array" ref="R13">IFERROR(INDEX('Cutters Inventory 12-30-2025'!$A$2:$V$360,MATCH($A13,'Cutters Inventory 12-30-2025'!$B$2:$B$360,0),COLUMN(I$1)),"")</f>
        <v/>
      </c>
      <c r="S13" s="673" t="str" cm="1">
        <f t="array" ref="S13">IFERROR(INDEX('Cutters Inventory 12-30-2025'!$A$2:$V$360,MATCH($A13,'Cutters Inventory 12-30-2025'!$B$2:$B$360,0),COLUMN(J$1)),"")</f>
        <v/>
      </c>
      <c r="T13" s="673" t="str" cm="1">
        <f t="array" ref="T13">IFERROR(INDEX('Cutters Inventory 12-30-2025'!$A$2:$V$360,MATCH($A13,'Cutters Inventory 12-30-2025'!$B$2:$B$360,0),COLUMN(K$1)),"")</f>
        <v/>
      </c>
      <c r="U13" s="673" t="str" cm="1">
        <f t="array" ref="U13">IFERROR(INDEX('Cutters Inventory 12-30-2025'!$A$2:$V$360,MATCH($A13,'Cutters Inventory 12-30-2025'!$B$2:$B$360,0),COLUMN(L$1)),"")</f>
        <v/>
      </c>
      <c r="V13" s="673" t="str" cm="1">
        <f t="array" ref="V13">IFERROR(INDEX('Cutters Inventory 12-30-2025'!$A$2:$V$360,MATCH($A13,'Cutters Inventory 12-30-2025'!$B$2:$B$360,0),COLUMN(M$1)),"")</f>
        <v/>
      </c>
      <c r="W13" s="673" t="str" cm="1">
        <f t="array" ref="W13">IFERROR(INDEX('Cutters Inventory 12-30-2025'!$A$2:$V$360,MATCH($A13,'Cutters Inventory 12-30-2025'!$B$2:$B$360,0),COLUMN(N$1)),"")</f>
        <v/>
      </c>
      <c r="X13" s="673" t="str" cm="1">
        <f t="array" ref="X13">IFERROR(INDEX('Cutters Inventory 12-30-2025'!$A$2:$V$360,MATCH($A13,'Cutters Inventory 12-30-2025'!$B$2:$B$360,0),COLUMN(O$1)),"")</f>
        <v/>
      </c>
      <c r="Y13" s="673" t="str" cm="1">
        <f t="array" ref="Y13">IFERROR(INDEX('Cutters Inventory 12-30-2025'!$A$2:$V$360,MATCH($A13,'Cutters Inventory 12-30-2025'!$B$2:$B$360,0),COLUMN(P$1)),"")</f>
        <v/>
      </c>
      <c r="Z13" s="673" t="str" cm="1">
        <f t="array" ref="Z13">IFERROR(INDEX('Cutters Inventory 12-30-2025'!$A$2:$V$360,MATCH($A13,'Cutters Inventory 12-30-2025'!$B$2:$B$360,0),COLUMN(Q$1)),"")</f>
        <v/>
      </c>
      <c r="AA13" s="673" t="str" cm="1">
        <f t="array" ref="AA13">IFERROR(INDEX('Cutters Inventory 12-30-2025'!$A$2:$V$360,MATCH($A13,'Cutters Inventory 12-30-2025'!$B$2:$B$360,0),COLUMN(R$1)),"")</f>
        <v/>
      </c>
      <c r="AB13" s="674" t="str">
        <f>IFERROR(QUOTIENT($W13,[1]Data!$Q2089),"")</f>
        <v/>
      </c>
      <c r="AG13" s="575"/>
      <c r="AH13" s="688"/>
      <c r="AI13" s="688"/>
      <c r="AJ13" s="688"/>
      <c r="AK13" s="688"/>
      <c r="AL13" s="688"/>
      <c r="AM13" s="688"/>
      <c r="AN13" s="688"/>
      <c r="AO13" s="689">
        <f t="shared" si="5"/>
        <v>0</v>
      </c>
      <c r="AP13" s="690" t="str">
        <f t="shared" si="9"/>
        <v/>
      </c>
      <c r="AQ13" s="691" t="str" cm="1">
        <f t="array" ref="AQ13">IFERROR(INDEX('Cutters Inventory 12-30-2025'!$A$2:$V$360,MATCH($AK13,'Cutters Inventory 12-30-2025'!$B$2:$B$360,0),COLUMN(N$1)),"")</f>
        <v/>
      </c>
      <c r="AR13" s="688" t="str" cm="1">
        <f t="array" ref="AR13">IFERROR(INDEX('Cutters Inventory 12-30-2025'!$A$2:$V$360,MATCH($AK13,'Cutters Inventory 12-30-2025'!$B$2:$B$360,0),COLUMN(P$1)),"")</f>
        <v/>
      </c>
      <c r="AS13" s="689" t="str" cm="1">
        <f t="array" ref="AS13">IFERROR(INDEX('Cutters Inventory 12-30-2025'!$A$2:$V$360,MATCH($AK13,'Cutters Inventory 12-30-2025'!$B$2:$B$360,0),COLUMN(R$1)),"")</f>
        <v/>
      </c>
      <c r="AT13" s="688" t="str">
        <f t="shared" si="6"/>
        <v/>
      </c>
      <c r="AX13" s="248"/>
      <c r="AY13" s="248"/>
      <c r="AZ13" s="248"/>
      <c r="BA13" s="248"/>
      <c r="BB13" s="248"/>
      <c r="BC13" s="248"/>
      <c r="BD13" s="248"/>
    </row>
    <row r="14" spans="1:56" x14ac:dyDescent="0.3">
      <c r="A14" s="686"/>
      <c r="B14" s="669" t="str">
        <f t="shared" si="0"/>
        <v xml:space="preserve">  </v>
      </c>
      <c r="C14" s="670"/>
      <c r="D14" s="671"/>
      <c r="E14" s="686"/>
      <c r="F14" s="686">
        <v>1</v>
      </c>
      <c r="G14" s="687">
        <f>[1]Data!Q2090*F14</f>
        <v>18</v>
      </c>
      <c r="H14" s="467" t="str">
        <f>IF([1]Data!Q2090="","",IF(G14&gt;W14,"Not Enough Cutters, only "&amp;AB14&amp;" Bit","OK, Enough For "&amp;AB14&amp;" Bits"))</f>
        <v>OK, Enough For  Bits</v>
      </c>
      <c r="I14" s="687" t="str">
        <f t="shared" si="3"/>
        <v/>
      </c>
      <c r="J14" s="673" t="str" cm="1">
        <f t="array" ref="J14">IFERROR(INDEX('Cutters Inventory 12-30-2025'!$A$2:$V$360,MATCH($A14,'Cutters Inventory 12-30-2025'!$B$2:$B$360,0),COLUMN(A$1)),"")</f>
        <v/>
      </c>
      <c r="K14" s="673" t="str" cm="1">
        <f t="array" ref="K14">IFERROR(INDEX('Cutters Inventory 12-30-2025'!$A$2:$V$360,MATCH($A14,'Cutters Inventory 12-30-2025'!$B$2:$B$360,0),COLUMN(B$1)),"")</f>
        <v/>
      </c>
      <c r="L14" s="673" t="str" cm="1">
        <f t="array" ref="L14">IFERROR(INDEX('Cutters Inventory 12-30-2025'!$A$2:$V$360,MATCH($A14,'Cutters Inventory 12-30-2025'!$B$2:$B$360,0),COLUMN(C$1)),"")</f>
        <v/>
      </c>
      <c r="M14" s="673" t="str" cm="1">
        <f t="array" ref="M14">IFERROR(INDEX('Cutters Inventory 12-30-2025'!$A$2:$V$360,MATCH($A14,'Cutters Inventory 12-30-2025'!$B$2:$B$360,0),COLUMN(D$1)),"")</f>
        <v/>
      </c>
      <c r="N14" s="673" t="str" cm="1">
        <f t="array" ref="N14">IFERROR(INDEX('Cutters Inventory 12-30-2025'!$A$2:$V$360,MATCH($A14,'Cutters Inventory 12-30-2025'!$B$2:$B$360,0),COLUMN(E$1)),"")</f>
        <v/>
      </c>
      <c r="O14" s="673" t="str" cm="1">
        <f t="array" ref="O14">IFERROR(INDEX('Cutters Inventory 12-30-2025'!$A$2:$V$360,MATCH($A14,'Cutters Inventory 12-30-2025'!$B$2:$B$360,0),COLUMN(F$1)),"")</f>
        <v/>
      </c>
      <c r="P14" s="673" t="str" cm="1">
        <f t="array" ref="P14">IFERROR(INDEX('Cutters Inventory 12-30-2025'!$A$2:$V$360,MATCH($A14,'Cutters Inventory 12-30-2025'!$B$2:$B$360,0),COLUMN(G$1)),"")</f>
        <v/>
      </c>
      <c r="Q14" s="673" t="str" cm="1">
        <f t="array" ref="Q14">IFERROR(INDEX('Cutters Inventory 12-30-2025'!$A$2:$V$360,MATCH($A14,'Cutters Inventory 12-30-2025'!$B$2:$B$360,0),COLUMN(H$1)),"")</f>
        <v/>
      </c>
      <c r="R14" s="673" t="str" cm="1">
        <f t="array" ref="R14">IFERROR(INDEX('Cutters Inventory 12-30-2025'!$A$2:$V$360,MATCH($A14,'Cutters Inventory 12-30-2025'!$B$2:$B$360,0),COLUMN(I$1)),"")</f>
        <v/>
      </c>
      <c r="S14" s="673" t="str" cm="1">
        <f t="array" ref="S14">IFERROR(INDEX('Cutters Inventory 12-30-2025'!$A$2:$V$360,MATCH($A14,'Cutters Inventory 12-30-2025'!$B$2:$B$360,0),COLUMN(J$1)),"")</f>
        <v/>
      </c>
      <c r="T14" s="673" t="str" cm="1">
        <f t="array" ref="T14">IFERROR(INDEX('Cutters Inventory 12-30-2025'!$A$2:$V$360,MATCH($A14,'Cutters Inventory 12-30-2025'!$B$2:$B$360,0),COLUMN(K$1)),"")</f>
        <v/>
      </c>
      <c r="U14" s="673" t="str" cm="1">
        <f t="array" ref="U14">IFERROR(INDEX('Cutters Inventory 12-30-2025'!$A$2:$V$360,MATCH($A14,'Cutters Inventory 12-30-2025'!$B$2:$B$360,0),COLUMN(L$1)),"")</f>
        <v/>
      </c>
      <c r="V14" s="673" t="str" cm="1">
        <f t="array" ref="V14">IFERROR(INDEX('Cutters Inventory 12-30-2025'!$A$2:$V$360,MATCH($A14,'Cutters Inventory 12-30-2025'!$B$2:$B$360,0),COLUMN(M$1)),"")</f>
        <v/>
      </c>
      <c r="W14" s="673" t="str" cm="1">
        <f t="array" ref="W14">IFERROR(INDEX('Cutters Inventory 12-30-2025'!$A$2:$V$360,MATCH($A14,'Cutters Inventory 12-30-2025'!$B$2:$B$360,0),COLUMN(N$1)),"")</f>
        <v/>
      </c>
      <c r="X14" s="673" t="str" cm="1">
        <f t="array" ref="X14">IFERROR(INDEX('Cutters Inventory 12-30-2025'!$A$2:$V$360,MATCH($A14,'Cutters Inventory 12-30-2025'!$B$2:$B$360,0),COLUMN(O$1)),"")</f>
        <v/>
      </c>
      <c r="Y14" s="673" t="str" cm="1">
        <f t="array" ref="Y14">IFERROR(INDEX('Cutters Inventory 12-30-2025'!$A$2:$V$360,MATCH($A14,'Cutters Inventory 12-30-2025'!$B$2:$B$360,0),COLUMN(P$1)),"")</f>
        <v/>
      </c>
      <c r="Z14" s="673" t="str" cm="1">
        <f t="array" ref="Z14">IFERROR(INDEX('Cutters Inventory 12-30-2025'!$A$2:$V$360,MATCH($A14,'Cutters Inventory 12-30-2025'!$B$2:$B$360,0),COLUMN(Q$1)),"")</f>
        <v/>
      </c>
      <c r="AA14" s="673" t="str" cm="1">
        <f t="array" ref="AA14">IFERROR(INDEX('Cutters Inventory 12-30-2025'!$A$2:$V$360,MATCH($A14,'Cutters Inventory 12-30-2025'!$B$2:$B$360,0),COLUMN(R$1)),"")</f>
        <v/>
      </c>
      <c r="AB14" s="674" t="str">
        <f>IFERROR(QUOTIENT($W14,[1]Data!$Q2090),"")</f>
        <v/>
      </c>
      <c r="AG14" s="575"/>
      <c r="AH14" s="688"/>
      <c r="AI14" s="688"/>
      <c r="AJ14" s="688"/>
      <c r="AK14" s="688"/>
      <c r="AL14" s="688"/>
      <c r="AM14" s="688"/>
      <c r="AN14" s="688"/>
      <c r="AO14" s="689">
        <f t="shared" si="5"/>
        <v>0</v>
      </c>
      <c r="AP14" s="690" t="str">
        <f t="shared" si="9"/>
        <v/>
      </c>
      <c r="AQ14" s="691" t="str" cm="1">
        <f t="array" ref="AQ14">IFERROR(INDEX('Cutters Inventory 12-30-2025'!$A$2:$V$360,MATCH($AK14,'Cutters Inventory 12-30-2025'!$B$2:$B$360,0),COLUMN(N$1)),"")</f>
        <v/>
      </c>
      <c r="AR14" s="688" t="str" cm="1">
        <f t="array" ref="AR14">IFERROR(INDEX('Cutters Inventory 12-30-2025'!$A$2:$V$360,MATCH($AK14,'Cutters Inventory 12-30-2025'!$B$2:$B$360,0),COLUMN(P$1)),"")</f>
        <v/>
      </c>
      <c r="AS14" s="689" t="str" cm="1">
        <f t="array" ref="AS14">IFERROR(INDEX('Cutters Inventory 12-30-2025'!$A$2:$V$360,MATCH($AK14,'Cutters Inventory 12-30-2025'!$B$2:$B$360,0),COLUMN(R$1)),"")</f>
        <v/>
      </c>
      <c r="AT14" s="688" t="str">
        <f t="shared" si="6"/>
        <v/>
      </c>
      <c r="AX14" s="248"/>
      <c r="AY14" s="248"/>
      <c r="AZ14" s="248"/>
      <c r="BA14" s="248"/>
      <c r="BB14" s="248"/>
      <c r="BC14" s="248"/>
      <c r="BD14" s="248"/>
    </row>
    <row r="15" spans="1:56" x14ac:dyDescent="0.3">
      <c r="A15" s="686"/>
      <c r="B15" s="669" t="str">
        <f t="shared" si="0"/>
        <v xml:space="preserve">  </v>
      </c>
      <c r="C15" s="670"/>
      <c r="D15" s="671"/>
      <c r="E15" s="686"/>
      <c r="F15" s="686">
        <v>1</v>
      </c>
      <c r="G15" s="687">
        <f>[1]Data!Q2091*F15</f>
        <v>13</v>
      </c>
      <c r="H15" s="467" t="str">
        <f>IF([1]Data!Q2091="","",IF(G15&gt;W15,"Not Enough Cutters, only "&amp;AB15&amp;" Bit","OK, Enough For "&amp;AB15&amp;" Bits"))</f>
        <v>OK, Enough For  Bits</v>
      </c>
      <c r="I15" s="687" t="str">
        <f t="shared" si="3"/>
        <v/>
      </c>
      <c r="J15" s="673" t="str" cm="1">
        <f t="array" ref="J15">IFERROR(INDEX('Cutters Inventory 12-30-2025'!$A$2:$V$360,MATCH($A15,'Cutters Inventory 12-30-2025'!$B$2:$B$360,0),COLUMN(A$1)),"")</f>
        <v/>
      </c>
      <c r="K15" s="673" t="str" cm="1">
        <f t="array" ref="K15">IFERROR(INDEX('Cutters Inventory 12-30-2025'!$A$2:$V$360,MATCH($A15,'Cutters Inventory 12-30-2025'!$B$2:$B$360,0),COLUMN(B$1)),"")</f>
        <v/>
      </c>
      <c r="L15" s="673" t="str" cm="1">
        <f t="array" ref="L15">IFERROR(INDEX('Cutters Inventory 12-30-2025'!$A$2:$V$360,MATCH($A15,'Cutters Inventory 12-30-2025'!$B$2:$B$360,0),COLUMN(C$1)),"")</f>
        <v/>
      </c>
      <c r="M15" s="673" t="str" cm="1">
        <f t="array" ref="M15">IFERROR(INDEX('Cutters Inventory 12-30-2025'!$A$2:$V$360,MATCH($A15,'Cutters Inventory 12-30-2025'!$B$2:$B$360,0),COLUMN(D$1)),"")</f>
        <v/>
      </c>
      <c r="N15" s="673" t="str" cm="1">
        <f t="array" ref="N15">IFERROR(INDEX('Cutters Inventory 12-30-2025'!$A$2:$V$360,MATCH($A15,'Cutters Inventory 12-30-2025'!$B$2:$B$360,0),COLUMN(E$1)),"")</f>
        <v/>
      </c>
      <c r="O15" s="673" t="str" cm="1">
        <f t="array" ref="O15">IFERROR(INDEX('Cutters Inventory 12-30-2025'!$A$2:$V$360,MATCH($A15,'Cutters Inventory 12-30-2025'!$B$2:$B$360,0),COLUMN(F$1)),"")</f>
        <v/>
      </c>
      <c r="P15" s="673" t="str" cm="1">
        <f t="array" ref="P15">IFERROR(INDEX('Cutters Inventory 12-30-2025'!$A$2:$V$360,MATCH($A15,'Cutters Inventory 12-30-2025'!$B$2:$B$360,0),COLUMN(G$1)),"")</f>
        <v/>
      </c>
      <c r="Q15" s="673" t="str" cm="1">
        <f t="array" ref="Q15">IFERROR(INDEX('Cutters Inventory 12-30-2025'!$A$2:$V$360,MATCH($A15,'Cutters Inventory 12-30-2025'!$B$2:$B$360,0),COLUMN(H$1)),"")</f>
        <v/>
      </c>
      <c r="R15" s="673" t="str" cm="1">
        <f t="array" ref="R15">IFERROR(INDEX('Cutters Inventory 12-30-2025'!$A$2:$V$360,MATCH($A15,'Cutters Inventory 12-30-2025'!$B$2:$B$360,0),COLUMN(I$1)),"")</f>
        <v/>
      </c>
      <c r="S15" s="673" t="str" cm="1">
        <f t="array" ref="S15">IFERROR(INDEX('Cutters Inventory 12-30-2025'!$A$2:$V$360,MATCH($A15,'Cutters Inventory 12-30-2025'!$B$2:$B$360,0),COLUMN(J$1)),"")</f>
        <v/>
      </c>
      <c r="T15" s="673" t="str" cm="1">
        <f t="array" ref="T15">IFERROR(INDEX('Cutters Inventory 12-30-2025'!$A$2:$V$360,MATCH($A15,'Cutters Inventory 12-30-2025'!$B$2:$B$360,0),COLUMN(K$1)),"")</f>
        <v/>
      </c>
      <c r="U15" s="673" t="str" cm="1">
        <f t="array" ref="U15">IFERROR(INDEX('Cutters Inventory 12-30-2025'!$A$2:$V$360,MATCH($A15,'Cutters Inventory 12-30-2025'!$B$2:$B$360,0),COLUMN(L$1)),"")</f>
        <v/>
      </c>
      <c r="V15" s="673" t="str" cm="1">
        <f t="array" ref="V15">IFERROR(INDEX('Cutters Inventory 12-30-2025'!$A$2:$V$360,MATCH($A15,'Cutters Inventory 12-30-2025'!$B$2:$B$360,0),COLUMN(M$1)),"")</f>
        <v/>
      </c>
      <c r="W15" s="673" t="str" cm="1">
        <f t="array" ref="W15">IFERROR(INDEX('Cutters Inventory 12-30-2025'!$A$2:$V$360,MATCH($A15,'Cutters Inventory 12-30-2025'!$B$2:$B$360,0),COLUMN(N$1)),"")</f>
        <v/>
      </c>
      <c r="X15" s="673" t="str" cm="1">
        <f t="array" ref="X15">IFERROR(INDEX('Cutters Inventory 12-30-2025'!$A$2:$V$360,MATCH($A15,'Cutters Inventory 12-30-2025'!$B$2:$B$360,0),COLUMN(O$1)),"")</f>
        <v/>
      </c>
      <c r="Y15" s="673" t="str" cm="1">
        <f t="array" ref="Y15">IFERROR(INDEX('Cutters Inventory 12-30-2025'!$A$2:$V$360,MATCH($A15,'Cutters Inventory 12-30-2025'!$B$2:$B$360,0),COLUMN(P$1)),"")</f>
        <v/>
      </c>
      <c r="Z15" s="673" t="str" cm="1">
        <f t="array" ref="Z15">IFERROR(INDEX('Cutters Inventory 12-30-2025'!$A$2:$V$360,MATCH($A15,'Cutters Inventory 12-30-2025'!$B$2:$B$360,0),COLUMN(Q$1)),"")</f>
        <v/>
      </c>
      <c r="AA15" s="673" t="str" cm="1">
        <f t="array" ref="AA15">IFERROR(INDEX('Cutters Inventory 12-30-2025'!$A$2:$V$360,MATCH($A15,'Cutters Inventory 12-30-2025'!$B$2:$B$360,0),COLUMN(R$1)),"")</f>
        <v/>
      </c>
      <c r="AB15" s="674" t="str">
        <f>IFERROR(QUOTIENT($W15,[1]Data!$Q2091),"")</f>
        <v/>
      </c>
      <c r="AG15" s="575"/>
      <c r="AH15" s="688"/>
      <c r="AI15" s="688"/>
      <c r="AJ15" s="688"/>
      <c r="AK15" s="688"/>
      <c r="AL15" s="688"/>
      <c r="AM15" s="688"/>
      <c r="AN15" s="688"/>
      <c r="AO15" s="689">
        <f t="shared" si="5"/>
        <v>0</v>
      </c>
      <c r="AP15" s="690" t="str">
        <f t="shared" si="9"/>
        <v/>
      </c>
      <c r="AQ15" s="691" t="str" cm="1">
        <f t="array" ref="AQ15">IFERROR(INDEX('Cutters Inventory 12-30-2025'!$A$2:$V$360,MATCH($AK15,'Cutters Inventory 12-30-2025'!$B$2:$B$360,0),COLUMN(N$1)),"")</f>
        <v/>
      </c>
      <c r="AR15" s="688" t="str" cm="1">
        <f t="array" ref="AR15">IFERROR(INDEX('Cutters Inventory 12-30-2025'!$A$2:$V$360,MATCH($AK15,'Cutters Inventory 12-30-2025'!$B$2:$B$360,0),COLUMN(P$1)),"")</f>
        <v/>
      </c>
      <c r="AS15" s="689" t="str" cm="1">
        <f t="array" ref="AS15">IFERROR(INDEX('Cutters Inventory 12-30-2025'!$A$2:$V$360,MATCH($AK15,'Cutters Inventory 12-30-2025'!$B$2:$B$360,0),COLUMN(R$1)),"")</f>
        <v/>
      </c>
      <c r="AT15" s="688" t="str">
        <f t="shared" si="6"/>
        <v/>
      </c>
      <c r="AX15" s="248"/>
      <c r="AY15" s="248"/>
      <c r="AZ15" s="248"/>
      <c r="BA15" s="248"/>
      <c r="BB15" s="248"/>
      <c r="BC15" s="248"/>
      <c r="BD15" s="248"/>
    </row>
    <row r="16" spans="1:56" x14ac:dyDescent="0.3">
      <c r="A16" s="686"/>
      <c r="B16" s="669" t="str">
        <f t="shared" si="0"/>
        <v xml:space="preserve">  </v>
      </c>
      <c r="C16" s="670"/>
      <c r="D16" s="671"/>
      <c r="E16" s="686"/>
      <c r="F16" s="686">
        <v>1</v>
      </c>
      <c r="G16" s="687">
        <f>[1]Data!Q2092*F16</f>
        <v>10</v>
      </c>
      <c r="H16" s="467" t="str">
        <f>IF([1]Data!Q2092="","",IF(G16&gt;W16,"Not Enough Cutters, only "&amp;AB16&amp;" Bit","OK, Enough For "&amp;AB16&amp;" Bits"))</f>
        <v>OK, Enough For  Bits</v>
      </c>
      <c r="I16" s="687" t="str">
        <f t="shared" si="3"/>
        <v/>
      </c>
      <c r="J16" s="673" t="str" cm="1">
        <f t="array" ref="J16">IFERROR(INDEX('Cutters Inventory 12-30-2025'!$A$2:$V$360,MATCH($A16,'Cutters Inventory 12-30-2025'!$B$2:$B$360,0),COLUMN(A$1)),"")</f>
        <v/>
      </c>
      <c r="K16" s="673" t="str" cm="1">
        <f t="array" ref="K16">IFERROR(INDEX('Cutters Inventory 12-30-2025'!$A$2:$V$360,MATCH($A16,'Cutters Inventory 12-30-2025'!$B$2:$B$360,0),COLUMN(B$1)),"")</f>
        <v/>
      </c>
      <c r="L16" s="673" t="str" cm="1">
        <f t="array" ref="L16">IFERROR(INDEX('Cutters Inventory 12-30-2025'!$A$2:$V$360,MATCH($A16,'Cutters Inventory 12-30-2025'!$B$2:$B$360,0),COLUMN(C$1)),"")</f>
        <v/>
      </c>
      <c r="M16" s="673" t="str" cm="1">
        <f t="array" ref="M16">IFERROR(INDEX('Cutters Inventory 12-30-2025'!$A$2:$V$360,MATCH($A16,'Cutters Inventory 12-30-2025'!$B$2:$B$360,0),COLUMN(D$1)),"")</f>
        <v/>
      </c>
      <c r="N16" s="673" t="str" cm="1">
        <f t="array" ref="N16">IFERROR(INDEX('Cutters Inventory 12-30-2025'!$A$2:$V$360,MATCH($A16,'Cutters Inventory 12-30-2025'!$B$2:$B$360,0),COLUMN(E$1)),"")</f>
        <v/>
      </c>
      <c r="O16" s="673" t="str" cm="1">
        <f t="array" ref="O16">IFERROR(INDEX('Cutters Inventory 12-30-2025'!$A$2:$V$360,MATCH($A16,'Cutters Inventory 12-30-2025'!$B$2:$B$360,0),COLUMN(F$1)),"")</f>
        <v/>
      </c>
      <c r="P16" s="673" t="str" cm="1">
        <f t="array" ref="P16">IFERROR(INDEX('Cutters Inventory 12-30-2025'!$A$2:$V$360,MATCH($A16,'Cutters Inventory 12-30-2025'!$B$2:$B$360,0),COLUMN(G$1)),"")</f>
        <v/>
      </c>
      <c r="Q16" s="673" t="str" cm="1">
        <f t="array" ref="Q16">IFERROR(INDEX('Cutters Inventory 12-30-2025'!$A$2:$V$360,MATCH($A16,'Cutters Inventory 12-30-2025'!$B$2:$B$360,0),COLUMN(H$1)),"")</f>
        <v/>
      </c>
      <c r="R16" s="673" t="str" cm="1">
        <f t="array" ref="R16">IFERROR(INDEX('Cutters Inventory 12-30-2025'!$A$2:$V$360,MATCH($A16,'Cutters Inventory 12-30-2025'!$B$2:$B$360,0),COLUMN(I$1)),"")</f>
        <v/>
      </c>
      <c r="S16" s="673" t="str" cm="1">
        <f t="array" ref="S16">IFERROR(INDEX('Cutters Inventory 12-30-2025'!$A$2:$V$360,MATCH($A16,'Cutters Inventory 12-30-2025'!$B$2:$B$360,0),COLUMN(J$1)),"")</f>
        <v/>
      </c>
      <c r="T16" s="673" t="str" cm="1">
        <f t="array" ref="T16">IFERROR(INDEX('Cutters Inventory 12-30-2025'!$A$2:$V$360,MATCH($A16,'Cutters Inventory 12-30-2025'!$B$2:$B$360,0),COLUMN(K$1)),"")</f>
        <v/>
      </c>
      <c r="U16" s="673" t="str" cm="1">
        <f t="array" ref="U16">IFERROR(INDEX('Cutters Inventory 12-30-2025'!$A$2:$V$360,MATCH($A16,'Cutters Inventory 12-30-2025'!$B$2:$B$360,0),COLUMN(L$1)),"")</f>
        <v/>
      </c>
      <c r="V16" s="673" t="str" cm="1">
        <f t="array" ref="V16">IFERROR(INDEX('Cutters Inventory 12-30-2025'!$A$2:$V$360,MATCH($A16,'Cutters Inventory 12-30-2025'!$B$2:$B$360,0),COLUMN(M$1)),"")</f>
        <v/>
      </c>
      <c r="W16" s="673" t="str" cm="1">
        <f t="array" ref="W16">IFERROR(INDEX('Cutters Inventory 12-30-2025'!$A$2:$V$360,MATCH($A16,'Cutters Inventory 12-30-2025'!$B$2:$B$360,0),COLUMN(N$1)),"")</f>
        <v/>
      </c>
      <c r="X16" s="673" t="str" cm="1">
        <f t="array" ref="X16">IFERROR(INDEX('Cutters Inventory 12-30-2025'!$A$2:$V$360,MATCH($A16,'Cutters Inventory 12-30-2025'!$B$2:$B$360,0),COLUMN(O$1)),"")</f>
        <v/>
      </c>
      <c r="Y16" s="673" t="str" cm="1">
        <f t="array" ref="Y16">IFERROR(INDEX('Cutters Inventory 12-30-2025'!$A$2:$V$360,MATCH($A16,'Cutters Inventory 12-30-2025'!$B$2:$B$360,0),COLUMN(P$1)),"")</f>
        <v/>
      </c>
      <c r="Z16" s="673" t="str" cm="1">
        <f t="array" ref="Z16">IFERROR(INDEX('Cutters Inventory 12-30-2025'!$A$2:$V$360,MATCH($A16,'Cutters Inventory 12-30-2025'!$B$2:$B$360,0),COLUMN(Q$1)),"")</f>
        <v/>
      </c>
      <c r="AA16" s="673" t="str" cm="1">
        <f t="array" ref="AA16">IFERROR(INDEX('Cutters Inventory 12-30-2025'!$A$2:$V$360,MATCH($A16,'Cutters Inventory 12-30-2025'!$B$2:$B$360,0),COLUMN(R$1)),"")</f>
        <v/>
      </c>
      <c r="AB16" s="674" t="str">
        <f>IFERROR(QUOTIENT($W16,[1]Data!$Q2092),"")</f>
        <v/>
      </c>
      <c r="AG16" s="575"/>
      <c r="AH16" s="688"/>
      <c r="AI16" s="688"/>
      <c r="AJ16" s="688"/>
      <c r="AK16" s="688"/>
      <c r="AL16" s="688"/>
      <c r="AM16" s="688"/>
      <c r="AN16" s="688"/>
      <c r="AO16" s="689">
        <f t="shared" si="5"/>
        <v>0</v>
      </c>
      <c r="AP16" s="690" t="str">
        <f t="shared" si="9"/>
        <v/>
      </c>
      <c r="AQ16" s="691" t="str" cm="1">
        <f t="array" ref="AQ16">IFERROR(INDEX('Cutters Inventory 12-30-2025'!$A$2:$V$360,MATCH($AK16,'Cutters Inventory 12-30-2025'!$B$2:$B$360,0),COLUMN(N$1)),"")</f>
        <v/>
      </c>
      <c r="AR16" s="688" t="str" cm="1">
        <f t="array" ref="AR16">IFERROR(INDEX('Cutters Inventory 12-30-2025'!$A$2:$V$360,MATCH($AK16,'Cutters Inventory 12-30-2025'!$B$2:$B$360,0),COLUMN(P$1)),"")</f>
        <v/>
      </c>
      <c r="AS16" s="689" t="str" cm="1">
        <f t="array" ref="AS16">IFERROR(INDEX('Cutters Inventory 12-30-2025'!$A$2:$V$360,MATCH($AK16,'Cutters Inventory 12-30-2025'!$B$2:$B$360,0),COLUMN(R$1)),"")</f>
        <v/>
      </c>
      <c r="AT16" s="688" t="str">
        <f t="shared" si="6"/>
        <v/>
      </c>
      <c r="AX16" s="248"/>
      <c r="AY16" s="248"/>
      <c r="AZ16" s="248"/>
      <c r="BA16" s="248"/>
      <c r="BB16" s="248"/>
      <c r="BC16" s="248"/>
      <c r="BD16" s="248"/>
    </row>
    <row r="17" spans="1:46" x14ac:dyDescent="0.3">
      <c r="A17" s="686"/>
      <c r="B17" s="669" t="str">
        <f t="shared" si="0"/>
        <v xml:space="preserve">  </v>
      </c>
      <c r="C17" s="670"/>
      <c r="D17" s="671"/>
      <c r="E17" s="686"/>
      <c r="F17" s="686">
        <v>1</v>
      </c>
      <c r="G17" s="687">
        <f>[1]Data!Q2093*F17</f>
        <v>7</v>
      </c>
      <c r="H17" s="467" t="str">
        <f>IF([1]Data!Q2093="","",IF(G17&gt;W17,"Not Enough Cutters, only "&amp;AB17&amp;" Bit","OK, Enough For "&amp;AB17&amp;" Bits"))</f>
        <v>OK, Enough For  Bits</v>
      </c>
      <c r="I17" s="687" t="str">
        <f t="shared" si="3"/>
        <v/>
      </c>
      <c r="J17" s="673" t="str" cm="1">
        <f t="array" ref="J17">IFERROR(INDEX('Cutters Inventory 12-30-2025'!$A$2:$V$360,MATCH($A17,'Cutters Inventory 12-30-2025'!$B$2:$B$360,0),COLUMN(A$1)),"")</f>
        <v/>
      </c>
      <c r="K17" s="673" t="str" cm="1">
        <f t="array" ref="K17">IFERROR(INDEX('Cutters Inventory 12-30-2025'!$A$2:$V$360,MATCH($A17,'Cutters Inventory 12-30-2025'!$B$2:$B$360,0),COLUMN(B$1)),"")</f>
        <v/>
      </c>
      <c r="L17" s="673" t="str" cm="1">
        <f t="array" ref="L17">IFERROR(INDEX('Cutters Inventory 12-30-2025'!$A$2:$V$360,MATCH($A17,'Cutters Inventory 12-30-2025'!$B$2:$B$360,0),COLUMN(C$1)),"")</f>
        <v/>
      </c>
      <c r="M17" s="673" t="str" cm="1">
        <f t="array" ref="M17">IFERROR(INDEX('Cutters Inventory 12-30-2025'!$A$2:$V$360,MATCH($A17,'Cutters Inventory 12-30-2025'!$B$2:$B$360,0),COLUMN(D$1)),"")</f>
        <v/>
      </c>
      <c r="N17" s="673" t="str" cm="1">
        <f t="array" ref="N17">IFERROR(INDEX('Cutters Inventory 12-30-2025'!$A$2:$V$360,MATCH($A17,'Cutters Inventory 12-30-2025'!$B$2:$B$360,0),COLUMN(E$1)),"")</f>
        <v/>
      </c>
      <c r="O17" s="673" t="str" cm="1">
        <f t="array" ref="O17">IFERROR(INDEX('Cutters Inventory 12-30-2025'!$A$2:$V$360,MATCH($A17,'Cutters Inventory 12-30-2025'!$B$2:$B$360,0),COLUMN(F$1)),"")</f>
        <v/>
      </c>
      <c r="P17" s="673" t="str" cm="1">
        <f t="array" ref="P17">IFERROR(INDEX('Cutters Inventory 12-30-2025'!$A$2:$V$360,MATCH($A17,'Cutters Inventory 12-30-2025'!$B$2:$B$360,0),COLUMN(G$1)),"")</f>
        <v/>
      </c>
      <c r="Q17" s="673" t="str" cm="1">
        <f t="array" ref="Q17">IFERROR(INDEX('Cutters Inventory 12-30-2025'!$A$2:$V$360,MATCH($A17,'Cutters Inventory 12-30-2025'!$B$2:$B$360,0),COLUMN(H$1)),"")</f>
        <v/>
      </c>
      <c r="R17" s="673" t="str" cm="1">
        <f t="array" ref="R17">IFERROR(INDEX('Cutters Inventory 12-30-2025'!$A$2:$V$360,MATCH($A17,'Cutters Inventory 12-30-2025'!$B$2:$B$360,0),COLUMN(I$1)),"")</f>
        <v/>
      </c>
      <c r="S17" s="673" t="str" cm="1">
        <f t="array" ref="S17">IFERROR(INDEX('Cutters Inventory 12-30-2025'!$A$2:$V$360,MATCH($A17,'Cutters Inventory 12-30-2025'!$B$2:$B$360,0),COLUMN(J$1)),"")</f>
        <v/>
      </c>
      <c r="T17" s="673" t="str" cm="1">
        <f t="array" ref="T17">IFERROR(INDEX('Cutters Inventory 12-30-2025'!$A$2:$V$360,MATCH($A17,'Cutters Inventory 12-30-2025'!$B$2:$B$360,0),COLUMN(K$1)),"")</f>
        <v/>
      </c>
      <c r="U17" s="673" t="str" cm="1">
        <f t="array" ref="U17">IFERROR(INDEX('Cutters Inventory 12-30-2025'!$A$2:$V$360,MATCH($A17,'Cutters Inventory 12-30-2025'!$B$2:$B$360,0),COLUMN(L$1)),"")</f>
        <v/>
      </c>
      <c r="V17" s="673" t="str" cm="1">
        <f t="array" ref="V17">IFERROR(INDEX('Cutters Inventory 12-30-2025'!$A$2:$V$360,MATCH($A17,'Cutters Inventory 12-30-2025'!$B$2:$B$360,0),COLUMN(M$1)),"")</f>
        <v/>
      </c>
      <c r="W17" s="673" t="str" cm="1">
        <f t="array" ref="W17">IFERROR(INDEX('Cutters Inventory 12-30-2025'!$A$2:$V$360,MATCH($A17,'Cutters Inventory 12-30-2025'!$B$2:$B$360,0),COLUMN(N$1)),"")</f>
        <v/>
      </c>
      <c r="X17" s="673" t="str" cm="1">
        <f t="array" ref="X17">IFERROR(INDEX('Cutters Inventory 12-30-2025'!$A$2:$V$360,MATCH($A17,'Cutters Inventory 12-30-2025'!$B$2:$B$360,0),COLUMN(O$1)),"")</f>
        <v/>
      </c>
      <c r="Y17" s="673" t="str" cm="1">
        <f t="array" ref="Y17">IFERROR(INDEX('Cutters Inventory 12-30-2025'!$A$2:$V$360,MATCH($A17,'Cutters Inventory 12-30-2025'!$B$2:$B$360,0),COLUMN(P$1)),"")</f>
        <v/>
      </c>
      <c r="Z17" s="673" t="str" cm="1">
        <f t="array" ref="Z17">IFERROR(INDEX('Cutters Inventory 12-30-2025'!$A$2:$V$360,MATCH($A17,'Cutters Inventory 12-30-2025'!$B$2:$B$360,0),COLUMN(Q$1)),"")</f>
        <v/>
      </c>
      <c r="AA17" s="673" t="str" cm="1">
        <f t="array" ref="AA17">IFERROR(INDEX('Cutters Inventory 12-30-2025'!$A$2:$V$360,MATCH($A17,'Cutters Inventory 12-30-2025'!$B$2:$B$360,0),COLUMN(R$1)),"")</f>
        <v/>
      </c>
      <c r="AB17" s="674" t="str">
        <f>IFERROR(QUOTIENT($W17,[1]Data!$Q2093),"")</f>
        <v/>
      </c>
      <c r="AG17" s="575"/>
      <c r="AH17" s="688"/>
      <c r="AI17" s="688"/>
      <c r="AJ17" s="688"/>
      <c r="AK17" s="688"/>
      <c r="AL17" s="688"/>
      <c r="AM17" s="688"/>
      <c r="AN17" s="688"/>
      <c r="AO17" s="689">
        <f t="shared" si="5"/>
        <v>0</v>
      </c>
      <c r="AP17" s="690" t="str">
        <f t="shared" si="9"/>
        <v/>
      </c>
      <c r="AQ17" s="691" t="str" cm="1">
        <f t="array" ref="AQ17">IFERROR(INDEX('Cutters Inventory 12-30-2025'!$A$2:$V$360,MATCH($AK17,'Cutters Inventory 12-30-2025'!$B$2:$B$360,0),COLUMN(N$1)),"")</f>
        <v/>
      </c>
      <c r="AR17" s="688" t="str" cm="1">
        <f t="array" ref="AR17">IFERROR(INDEX('Cutters Inventory 12-30-2025'!$A$2:$V$360,MATCH($AK17,'Cutters Inventory 12-30-2025'!$B$2:$B$360,0),COLUMN(P$1)),"")</f>
        <v/>
      </c>
      <c r="AS17" s="689" t="str" cm="1">
        <f t="array" ref="AS17">IFERROR(INDEX('Cutters Inventory 12-30-2025'!$A$2:$V$360,MATCH($AK17,'Cutters Inventory 12-30-2025'!$B$2:$B$360,0),COLUMN(R$1)),"")</f>
        <v/>
      </c>
      <c r="AT17" s="688" t="str">
        <f t="shared" si="6"/>
        <v/>
      </c>
    </row>
    <row r="18" spans="1:46" x14ac:dyDescent="0.25">
      <c r="A18" s="686"/>
      <c r="B18" s="669" t="str">
        <f t="shared" si="0"/>
        <v xml:space="preserve">  </v>
      </c>
      <c r="C18" s="670"/>
      <c r="D18" s="671"/>
      <c r="E18" s="686"/>
      <c r="F18" s="686">
        <v>1</v>
      </c>
      <c r="G18" s="687">
        <f>[1]Data!Q2094*F18</f>
        <v>6</v>
      </c>
      <c r="H18" s="467" t="str">
        <f>IF([1]Data!Q2094="","",IF(G18&gt;W18,"Not Enough Cutters, only "&amp;AB18&amp;" Bit","OK, Enough For "&amp;AB18&amp;" Bits"))</f>
        <v>OK, Enough For  Bits</v>
      </c>
      <c r="I18" s="687" t="str">
        <f t="shared" si="3"/>
        <v/>
      </c>
      <c r="J18" s="673" t="str" cm="1">
        <f t="array" ref="J18">IFERROR(INDEX('Cutters Inventory 12-30-2025'!$A$2:$V$360,MATCH($A18,'Cutters Inventory 12-30-2025'!$B$2:$B$360,0),COLUMN(A$1)),"")</f>
        <v/>
      </c>
      <c r="K18" s="673" t="str" cm="1">
        <f t="array" ref="K18">IFERROR(INDEX('Cutters Inventory 12-30-2025'!$A$2:$V$360,MATCH($A18,'Cutters Inventory 12-30-2025'!$B$2:$B$360,0),COLUMN(B$1)),"")</f>
        <v/>
      </c>
      <c r="L18" s="673" t="str" cm="1">
        <f t="array" ref="L18">IFERROR(INDEX('Cutters Inventory 12-30-2025'!$A$2:$V$360,MATCH($A18,'Cutters Inventory 12-30-2025'!$B$2:$B$360,0),COLUMN(C$1)),"")</f>
        <v/>
      </c>
      <c r="M18" s="673" t="str" cm="1">
        <f t="array" ref="M18">IFERROR(INDEX('Cutters Inventory 12-30-2025'!$A$2:$V$360,MATCH($A18,'Cutters Inventory 12-30-2025'!$B$2:$B$360,0),COLUMN(D$1)),"")</f>
        <v/>
      </c>
      <c r="N18" s="673" t="str" cm="1">
        <f t="array" ref="N18">IFERROR(INDEX('Cutters Inventory 12-30-2025'!$A$2:$V$360,MATCH($A18,'Cutters Inventory 12-30-2025'!$B$2:$B$360,0),COLUMN(E$1)),"")</f>
        <v/>
      </c>
      <c r="O18" s="673" t="str" cm="1">
        <f t="array" ref="O18">IFERROR(INDEX('Cutters Inventory 12-30-2025'!$A$2:$V$360,MATCH($A18,'Cutters Inventory 12-30-2025'!$B$2:$B$360,0),COLUMN(F$1)),"")</f>
        <v/>
      </c>
      <c r="P18" s="673" t="str" cm="1">
        <f t="array" ref="P18">IFERROR(INDEX('Cutters Inventory 12-30-2025'!$A$2:$V$360,MATCH($A18,'Cutters Inventory 12-30-2025'!$B$2:$B$360,0),COLUMN(G$1)),"")</f>
        <v/>
      </c>
      <c r="Q18" s="673" t="str" cm="1">
        <f t="array" ref="Q18">IFERROR(INDEX('Cutters Inventory 12-30-2025'!$A$2:$V$360,MATCH($A18,'Cutters Inventory 12-30-2025'!$B$2:$B$360,0),COLUMN(H$1)),"")</f>
        <v/>
      </c>
      <c r="R18" s="673" t="str" cm="1">
        <f t="array" ref="R18">IFERROR(INDEX('Cutters Inventory 12-30-2025'!$A$2:$V$360,MATCH($A18,'Cutters Inventory 12-30-2025'!$B$2:$B$360,0),COLUMN(I$1)),"")</f>
        <v/>
      </c>
      <c r="S18" s="673" t="str" cm="1">
        <f t="array" ref="S18">IFERROR(INDEX('Cutters Inventory 12-30-2025'!$A$2:$V$360,MATCH($A18,'Cutters Inventory 12-30-2025'!$B$2:$B$360,0),COLUMN(J$1)),"")</f>
        <v/>
      </c>
      <c r="T18" s="673" t="str" cm="1">
        <f t="array" ref="T18">IFERROR(INDEX('Cutters Inventory 12-30-2025'!$A$2:$V$360,MATCH($A18,'Cutters Inventory 12-30-2025'!$B$2:$B$360,0),COLUMN(K$1)),"")</f>
        <v/>
      </c>
      <c r="U18" s="673" t="str" cm="1">
        <f t="array" ref="U18">IFERROR(INDEX('Cutters Inventory 12-30-2025'!$A$2:$V$360,MATCH($A18,'Cutters Inventory 12-30-2025'!$B$2:$B$360,0),COLUMN(L$1)),"")</f>
        <v/>
      </c>
      <c r="V18" s="673" t="str" cm="1">
        <f t="array" ref="V18">IFERROR(INDEX('Cutters Inventory 12-30-2025'!$A$2:$V$360,MATCH($A18,'Cutters Inventory 12-30-2025'!$B$2:$B$360,0),COLUMN(M$1)),"")</f>
        <v/>
      </c>
      <c r="W18" s="673" t="str" cm="1">
        <f t="array" ref="W18">IFERROR(INDEX('Cutters Inventory 12-30-2025'!$A$2:$V$360,MATCH($A18,'Cutters Inventory 12-30-2025'!$B$2:$B$360,0),COLUMN(N$1)),"")</f>
        <v/>
      </c>
      <c r="X18" s="673" t="str" cm="1">
        <f t="array" ref="X18">IFERROR(INDEX('Cutters Inventory 12-30-2025'!$A$2:$V$360,MATCH($A18,'Cutters Inventory 12-30-2025'!$B$2:$B$360,0),COLUMN(O$1)),"")</f>
        <v/>
      </c>
      <c r="Y18" s="673" t="str" cm="1">
        <f t="array" ref="Y18">IFERROR(INDEX('Cutters Inventory 12-30-2025'!$A$2:$V$360,MATCH($A18,'Cutters Inventory 12-30-2025'!$B$2:$B$360,0),COLUMN(P$1)),"")</f>
        <v/>
      </c>
      <c r="Z18" s="673" t="str" cm="1">
        <f t="array" ref="Z18">IFERROR(INDEX('Cutters Inventory 12-30-2025'!$A$2:$V$360,MATCH($A18,'Cutters Inventory 12-30-2025'!$B$2:$B$360,0),COLUMN(Q$1)),"")</f>
        <v/>
      </c>
      <c r="AA18" s="673" t="str" cm="1">
        <f t="array" ref="AA18">IFERROR(INDEX('Cutters Inventory 12-30-2025'!$A$2:$V$360,MATCH($A18,'Cutters Inventory 12-30-2025'!$B$2:$B$360,0),COLUMN(R$1)),"")</f>
        <v/>
      </c>
      <c r="AB18" s="674" t="str">
        <f>IFERROR(QUOTIENT($W18,[1]Data!$Q2094),"")</f>
        <v/>
      </c>
    </row>
    <row r="19" spans="1:46" x14ac:dyDescent="0.25">
      <c r="A19" s="686"/>
      <c r="B19" s="669" t="str">
        <f t="shared" si="0"/>
        <v xml:space="preserve">  </v>
      </c>
      <c r="C19" s="670"/>
      <c r="D19" s="671"/>
      <c r="E19" s="686"/>
      <c r="F19" s="686">
        <v>1</v>
      </c>
      <c r="G19" s="687">
        <f>[1]Data!Q2095*F19</f>
        <v>5</v>
      </c>
      <c r="H19" s="467" t="str">
        <f>IF([1]Data!Q2095="","",IF(G19&gt;W19,"Not Enough Cutters, only "&amp;AB19&amp;" Bit","OK, Enough For "&amp;AB19&amp;" Bits"))</f>
        <v>OK, Enough For  Bits</v>
      </c>
      <c r="I19" s="687" t="str">
        <f t="shared" si="3"/>
        <v/>
      </c>
      <c r="J19" s="673" t="str" cm="1">
        <f t="array" ref="J19">IFERROR(INDEX('Cutters Inventory 12-30-2025'!$A$2:$V$360,MATCH($A19,'Cutters Inventory 12-30-2025'!$B$2:$B$360,0),COLUMN(A$1)),"")</f>
        <v/>
      </c>
      <c r="K19" s="673" t="str" cm="1">
        <f t="array" ref="K19">IFERROR(INDEX('Cutters Inventory 12-30-2025'!$A$2:$V$360,MATCH($A19,'Cutters Inventory 12-30-2025'!$B$2:$B$360,0),COLUMN(B$1)),"")</f>
        <v/>
      </c>
      <c r="L19" s="673" t="str" cm="1">
        <f t="array" ref="L19">IFERROR(INDEX('Cutters Inventory 12-30-2025'!$A$2:$V$360,MATCH($A19,'Cutters Inventory 12-30-2025'!$B$2:$B$360,0),COLUMN(C$1)),"")</f>
        <v/>
      </c>
      <c r="M19" s="673" t="str" cm="1">
        <f t="array" ref="M19">IFERROR(INDEX('Cutters Inventory 12-30-2025'!$A$2:$V$360,MATCH($A19,'Cutters Inventory 12-30-2025'!$B$2:$B$360,0),COLUMN(D$1)),"")</f>
        <v/>
      </c>
      <c r="N19" s="673" t="str" cm="1">
        <f t="array" ref="N19">IFERROR(INDEX('Cutters Inventory 12-30-2025'!$A$2:$V$360,MATCH($A19,'Cutters Inventory 12-30-2025'!$B$2:$B$360,0),COLUMN(E$1)),"")</f>
        <v/>
      </c>
      <c r="O19" s="673" t="str" cm="1">
        <f t="array" ref="O19">IFERROR(INDEX('Cutters Inventory 12-30-2025'!$A$2:$V$360,MATCH($A19,'Cutters Inventory 12-30-2025'!$B$2:$B$360,0),COLUMN(F$1)),"")</f>
        <v/>
      </c>
      <c r="P19" s="673" t="str" cm="1">
        <f t="array" ref="P19">IFERROR(INDEX('Cutters Inventory 12-30-2025'!$A$2:$V$360,MATCH($A19,'Cutters Inventory 12-30-2025'!$B$2:$B$360,0),COLUMN(G$1)),"")</f>
        <v/>
      </c>
      <c r="Q19" s="673" t="str" cm="1">
        <f t="array" ref="Q19">IFERROR(INDEX('Cutters Inventory 12-30-2025'!$A$2:$V$360,MATCH($A19,'Cutters Inventory 12-30-2025'!$B$2:$B$360,0),COLUMN(H$1)),"")</f>
        <v/>
      </c>
      <c r="R19" s="673" t="str" cm="1">
        <f t="array" ref="R19">IFERROR(INDEX('Cutters Inventory 12-30-2025'!$A$2:$V$360,MATCH($A19,'Cutters Inventory 12-30-2025'!$B$2:$B$360,0),COLUMN(I$1)),"")</f>
        <v/>
      </c>
      <c r="S19" s="673" t="str" cm="1">
        <f t="array" ref="S19">IFERROR(INDEX('Cutters Inventory 12-30-2025'!$A$2:$V$360,MATCH($A19,'Cutters Inventory 12-30-2025'!$B$2:$B$360,0),COLUMN(J$1)),"")</f>
        <v/>
      </c>
      <c r="T19" s="673" t="str" cm="1">
        <f t="array" ref="T19">IFERROR(INDEX('Cutters Inventory 12-30-2025'!$A$2:$V$360,MATCH($A19,'Cutters Inventory 12-30-2025'!$B$2:$B$360,0),COLUMN(K$1)),"")</f>
        <v/>
      </c>
      <c r="U19" s="673" t="str" cm="1">
        <f t="array" ref="U19">IFERROR(INDEX('Cutters Inventory 12-30-2025'!$A$2:$V$360,MATCH($A19,'Cutters Inventory 12-30-2025'!$B$2:$B$360,0),COLUMN(L$1)),"")</f>
        <v/>
      </c>
      <c r="V19" s="673" t="str" cm="1">
        <f t="array" ref="V19">IFERROR(INDEX('Cutters Inventory 12-30-2025'!$A$2:$V$360,MATCH($A19,'Cutters Inventory 12-30-2025'!$B$2:$B$360,0),COLUMN(M$1)),"")</f>
        <v/>
      </c>
      <c r="W19" s="673" t="str" cm="1">
        <f t="array" ref="W19">IFERROR(INDEX('Cutters Inventory 12-30-2025'!$A$2:$V$360,MATCH($A19,'Cutters Inventory 12-30-2025'!$B$2:$B$360,0),COLUMN(N$1)),"")</f>
        <v/>
      </c>
      <c r="X19" s="673" t="str" cm="1">
        <f t="array" ref="X19">IFERROR(INDEX('Cutters Inventory 12-30-2025'!$A$2:$V$360,MATCH($A19,'Cutters Inventory 12-30-2025'!$B$2:$B$360,0),COLUMN(O$1)),"")</f>
        <v/>
      </c>
      <c r="Y19" s="673" t="str" cm="1">
        <f t="array" ref="Y19">IFERROR(INDEX('Cutters Inventory 12-30-2025'!$A$2:$V$360,MATCH($A19,'Cutters Inventory 12-30-2025'!$B$2:$B$360,0),COLUMN(P$1)),"")</f>
        <v/>
      </c>
      <c r="Z19" s="673" t="str" cm="1">
        <f t="array" ref="Z19">IFERROR(INDEX('Cutters Inventory 12-30-2025'!$A$2:$V$360,MATCH($A19,'Cutters Inventory 12-30-2025'!$B$2:$B$360,0),COLUMN(Q$1)),"")</f>
        <v/>
      </c>
      <c r="AA19" s="673" t="str" cm="1">
        <f t="array" ref="AA19">IFERROR(INDEX('Cutters Inventory 12-30-2025'!$A$2:$V$360,MATCH($A19,'Cutters Inventory 12-30-2025'!$B$2:$B$360,0),COLUMN(R$1)),"")</f>
        <v/>
      </c>
      <c r="AB19" s="674" t="str">
        <f>IFERROR(QUOTIENT($W19,[1]Data!$Q2095),"")</f>
        <v/>
      </c>
    </row>
    <row r="20" spans="1:46" x14ac:dyDescent="0.25">
      <c r="A20" s="686"/>
      <c r="B20" s="669" t="str">
        <f t="shared" si="0"/>
        <v xml:space="preserve">  </v>
      </c>
      <c r="C20" s="670"/>
      <c r="D20" s="671"/>
      <c r="E20" s="686"/>
      <c r="F20" s="686">
        <v>1</v>
      </c>
      <c r="G20" s="687">
        <f>E20*F20</f>
        <v>0</v>
      </c>
      <c r="H20" s="467" t="str">
        <f>IF(E20="","",IF(G20&gt;W20,"Not Enough Cutters, only "&amp;AB20&amp;" Bit","OK, Enough For "&amp;AB20&amp;" Bits"))</f>
        <v/>
      </c>
      <c r="I20" s="687" t="str">
        <f t="shared" si="3"/>
        <v/>
      </c>
      <c r="J20" s="673" t="str" cm="1">
        <f t="array" ref="J20">IFERROR(INDEX('Cutters Inventory 12-30-2025'!$A$2:$V$360,MATCH($A20,'Cutters Inventory 12-30-2025'!$B$2:$B$360,0),COLUMN(A$1)),"")</f>
        <v/>
      </c>
      <c r="K20" s="673" t="str" cm="1">
        <f t="array" ref="K20">IFERROR(INDEX('Cutters Inventory 12-30-2025'!$A$2:$V$360,MATCH($A20,'Cutters Inventory 12-30-2025'!$B$2:$B$360,0),COLUMN(B$1)),"")</f>
        <v/>
      </c>
      <c r="L20" s="673" t="str" cm="1">
        <f t="array" ref="L20">IFERROR(INDEX('Cutters Inventory 12-30-2025'!$A$2:$V$360,MATCH($A20,'Cutters Inventory 12-30-2025'!$B$2:$B$360,0),COLUMN(C$1)),"")</f>
        <v/>
      </c>
      <c r="M20" s="673" t="str" cm="1">
        <f t="array" ref="M20">IFERROR(INDEX('Cutters Inventory 12-30-2025'!$A$2:$V$360,MATCH($A20,'Cutters Inventory 12-30-2025'!$B$2:$B$360,0),COLUMN(D$1)),"")</f>
        <v/>
      </c>
      <c r="N20" s="673" t="str" cm="1">
        <f t="array" ref="N20">IFERROR(INDEX('Cutters Inventory 12-30-2025'!$A$2:$V$360,MATCH($A20,'Cutters Inventory 12-30-2025'!$B$2:$B$360,0),COLUMN(E$1)),"")</f>
        <v/>
      </c>
      <c r="O20" s="673" t="str" cm="1">
        <f t="array" ref="O20">IFERROR(INDEX('Cutters Inventory 12-30-2025'!$A$2:$V$360,MATCH($A20,'Cutters Inventory 12-30-2025'!$B$2:$B$360,0),COLUMN(F$1)),"")</f>
        <v/>
      </c>
      <c r="P20" s="673" t="str" cm="1">
        <f t="array" ref="P20">IFERROR(INDEX('Cutters Inventory 12-30-2025'!$A$2:$V$360,MATCH($A20,'Cutters Inventory 12-30-2025'!$B$2:$B$360,0),COLUMN(G$1)),"")</f>
        <v/>
      </c>
      <c r="Q20" s="673" t="str" cm="1">
        <f t="array" ref="Q20">IFERROR(INDEX('Cutters Inventory 12-30-2025'!$A$2:$V$360,MATCH($A20,'Cutters Inventory 12-30-2025'!$B$2:$B$360,0),COLUMN(H$1)),"")</f>
        <v/>
      </c>
      <c r="R20" s="673" t="str" cm="1">
        <f t="array" ref="R20">IFERROR(INDEX('Cutters Inventory 12-30-2025'!$A$2:$V$360,MATCH($A20,'Cutters Inventory 12-30-2025'!$B$2:$B$360,0),COLUMN(I$1)),"")</f>
        <v/>
      </c>
      <c r="S20" s="673" t="str" cm="1">
        <f t="array" ref="S20">IFERROR(INDEX('Cutters Inventory 12-30-2025'!$A$2:$V$360,MATCH($A20,'Cutters Inventory 12-30-2025'!$B$2:$B$360,0),COLUMN(J$1)),"")</f>
        <v/>
      </c>
      <c r="T20" s="673" t="str" cm="1">
        <f t="array" ref="T20">IFERROR(INDEX('Cutters Inventory 12-30-2025'!$A$2:$V$360,MATCH($A20,'Cutters Inventory 12-30-2025'!$B$2:$B$360,0),COLUMN(K$1)),"")</f>
        <v/>
      </c>
      <c r="U20" s="673" t="str" cm="1">
        <f t="array" ref="U20">IFERROR(INDEX('Cutters Inventory 12-30-2025'!$A$2:$V$360,MATCH($A20,'Cutters Inventory 12-30-2025'!$B$2:$B$360,0),COLUMN(L$1)),"")</f>
        <v/>
      </c>
      <c r="V20" s="673" t="str" cm="1">
        <f t="array" ref="V20">IFERROR(INDEX('Cutters Inventory 12-30-2025'!$A$2:$V$360,MATCH($A20,'Cutters Inventory 12-30-2025'!$B$2:$B$360,0),COLUMN(M$1)),"")</f>
        <v/>
      </c>
      <c r="W20" s="673" t="str" cm="1">
        <f t="array" ref="W20">IFERROR(INDEX('Cutters Inventory 12-30-2025'!$A$2:$V$360,MATCH($A20,'Cutters Inventory 12-30-2025'!$B$2:$B$360,0),COLUMN(N$1)),"")</f>
        <v/>
      </c>
      <c r="X20" s="673" t="str" cm="1">
        <f t="array" ref="X20">IFERROR(INDEX('Cutters Inventory 12-30-2025'!$A$2:$V$360,MATCH($A20,'Cutters Inventory 12-30-2025'!$B$2:$B$360,0),COLUMN(O$1)),"")</f>
        <v/>
      </c>
      <c r="Y20" s="673" t="str" cm="1">
        <f t="array" ref="Y20">IFERROR(INDEX('Cutters Inventory 12-30-2025'!$A$2:$V$360,MATCH($A20,'Cutters Inventory 12-30-2025'!$B$2:$B$360,0),COLUMN(P$1)),"")</f>
        <v/>
      </c>
      <c r="Z20" s="673" t="str" cm="1">
        <f t="array" ref="Z20">IFERROR(INDEX('Cutters Inventory 12-30-2025'!$A$2:$V$360,MATCH($A20,'Cutters Inventory 12-30-2025'!$B$2:$B$360,0),COLUMN(Q$1)),"")</f>
        <v/>
      </c>
      <c r="AA20" s="673" t="str" cm="1">
        <f t="array" ref="AA20">IFERROR(INDEX('Cutters Inventory 12-30-2025'!$A$2:$V$360,MATCH($A20,'Cutters Inventory 12-30-2025'!$B$2:$B$360,0),COLUMN(R$1)),"")</f>
        <v/>
      </c>
      <c r="AB20" s="674" t="str">
        <f>IFERROR(QUOTIENT($W20,$E20),"")</f>
        <v/>
      </c>
    </row>
    <row r="21" spans="1:46" x14ac:dyDescent="0.25">
      <c r="A21" s="686"/>
      <c r="B21" s="669" t="str">
        <f t="shared" si="0"/>
        <v xml:space="preserve">  </v>
      </c>
      <c r="C21" s="670"/>
      <c r="D21" s="671"/>
      <c r="E21" s="686"/>
      <c r="F21" s="686">
        <v>1</v>
      </c>
      <c r="G21" s="687">
        <f>E21*F21</f>
        <v>0</v>
      </c>
      <c r="H21" s="467" t="str">
        <f>IF(E21="","",IF(G21&gt;W21,"Not Enough Cutters, only "&amp;AB21&amp;" Bit","OK, Enough For "&amp;AB21&amp;" Bits"))</f>
        <v/>
      </c>
      <c r="I21" s="687" t="str">
        <f t="shared" si="3"/>
        <v/>
      </c>
      <c r="J21" s="673" t="str" cm="1">
        <f t="array" ref="J21">IFERROR(INDEX('Cutters Inventory 12-30-2025'!$A$2:$V$360,MATCH($A21,'Cutters Inventory 12-30-2025'!$B$2:$B$360,0),COLUMN(A$1)),"")</f>
        <v/>
      </c>
      <c r="K21" s="673" t="str" cm="1">
        <f t="array" ref="K21">IFERROR(INDEX('Cutters Inventory 12-30-2025'!$A$2:$V$360,MATCH($A21,'Cutters Inventory 12-30-2025'!$B$2:$B$360,0),COLUMN(B$1)),"")</f>
        <v/>
      </c>
      <c r="L21" s="673" t="str" cm="1">
        <f t="array" ref="L21">IFERROR(INDEX('Cutters Inventory 12-30-2025'!$A$2:$V$360,MATCH($A21,'Cutters Inventory 12-30-2025'!$B$2:$B$360,0),COLUMN(C$1)),"")</f>
        <v/>
      </c>
      <c r="M21" s="673" t="str" cm="1">
        <f t="array" ref="M21">IFERROR(INDEX('Cutters Inventory 12-30-2025'!$A$2:$V$360,MATCH($A21,'Cutters Inventory 12-30-2025'!$B$2:$B$360,0),COLUMN(D$1)),"")</f>
        <v/>
      </c>
      <c r="N21" s="673" t="str" cm="1">
        <f t="array" ref="N21">IFERROR(INDEX('Cutters Inventory 12-30-2025'!$A$2:$V$360,MATCH($A21,'Cutters Inventory 12-30-2025'!$B$2:$B$360,0),COLUMN(E$1)),"")</f>
        <v/>
      </c>
      <c r="O21" s="673" t="str" cm="1">
        <f t="array" ref="O21">IFERROR(INDEX('Cutters Inventory 12-30-2025'!$A$2:$V$360,MATCH($A21,'Cutters Inventory 12-30-2025'!$B$2:$B$360,0),COLUMN(F$1)),"")</f>
        <v/>
      </c>
      <c r="P21" s="673" t="str" cm="1">
        <f t="array" ref="P21">IFERROR(INDEX('Cutters Inventory 12-30-2025'!$A$2:$V$360,MATCH($A21,'Cutters Inventory 12-30-2025'!$B$2:$B$360,0),COLUMN(G$1)),"")</f>
        <v/>
      </c>
      <c r="Q21" s="673" t="str" cm="1">
        <f t="array" ref="Q21">IFERROR(INDEX('Cutters Inventory 12-30-2025'!$A$2:$V$360,MATCH($A21,'Cutters Inventory 12-30-2025'!$B$2:$B$360,0),COLUMN(H$1)),"")</f>
        <v/>
      </c>
      <c r="R21" s="673" t="str" cm="1">
        <f t="array" ref="R21">IFERROR(INDEX('Cutters Inventory 12-30-2025'!$A$2:$V$360,MATCH($A21,'Cutters Inventory 12-30-2025'!$B$2:$B$360,0),COLUMN(I$1)),"")</f>
        <v/>
      </c>
      <c r="S21" s="673" t="str" cm="1">
        <f t="array" ref="S21">IFERROR(INDEX('Cutters Inventory 12-30-2025'!$A$2:$V$360,MATCH($A21,'Cutters Inventory 12-30-2025'!$B$2:$B$360,0),COLUMN(J$1)),"")</f>
        <v/>
      </c>
      <c r="T21" s="673" t="str" cm="1">
        <f t="array" ref="T21">IFERROR(INDEX('Cutters Inventory 12-30-2025'!$A$2:$V$360,MATCH($A21,'Cutters Inventory 12-30-2025'!$B$2:$B$360,0),COLUMN(K$1)),"")</f>
        <v/>
      </c>
      <c r="U21" s="673" t="str" cm="1">
        <f t="array" ref="U21">IFERROR(INDEX('Cutters Inventory 12-30-2025'!$A$2:$V$360,MATCH($A21,'Cutters Inventory 12-30-2025'!$B$2:$B$360,0),COLUMN(L$1)),"")</f>
        <v/>
      </c>
      <c r="V21" s="673" t="str" cm="1">
        <f t="array" ref="V21">IFERROR(INDEX('Cutters Inventory 12-30-2025'!$A$2:$V$360,MATCH($A21,'Cutters Inventory 12-30-2025'!$B$2:$B$360,0),COLUMN(M$1)),"")</f>
        <v/>
      </c>
      <c r="W21" s="673" t="str" cm="1">
        <f t="array" ref="W21">IFERROR(INDEX('Cutters Inventory 12-30-2025'!$A$2:$V$360,MATCH($A21,'Cutters Inventory 12-30-2025'!$B$2:$B$360,0),COLUMN(N$1)),"")</f>
        <v/>
      </c>
      <c r="X21" s="673" t="str" cm="1">
        <f t="array" ref="X21">IFERROR(INDEX('Cutters Inventory 12-30-2025'!$A$2:$V$360,MATCH($A21,'Cutters Inventory 12-30-2025'!$B$2:$B$360,0),COLUMN(O$1)),"")</f>
        <v/>
      </c>
      <c r="Y21" s="673" t="str" cm="1">
        <f t="array" ref="Y21">IFERROR(INDEX('Cutters Inventory 12-30-2025'!$A$2:$V$360,MATCH($A21,'Cutters Inventory 12-30-2025'!$B$2:$B$360,0),COLUMN(P$1)),"")</f>
        <v/>
      </c>
      <c r="Z21" s="673" t="str" cm="1">
        <f t="array" ref="Z21">IFERROR(INDEX('Cutters Inventory 12-30-2025'!$A$2:$V$360,MATCH($A21,'Cutters Inventory 12-30-2025'!$B$2:$B$360,0),COLUMN(Q$1)),"")</f>
        <v/>
      </c>
      <c r="AA21" s="673" t="str" cm="1">
        <f t="array" ref="AA21">IFERROR(INDEX('Cutters Inventory 12-30-2025'!$A$2:$V$360,MATCH($A21,'Cutters Inventory 12-30-2025'!$B$2:$B$360,0),COLUMN(R$1)),"")</f>
        <v/>
      </c>
      <c r="AB21" s="674" t="str">
        <f>IFERROR(QUOTIENT($W21,$E21),"")</f>
        <v/>
      </c>
    </row>
    <row r="22" spans="1:46" ht="13.5" thickBot="1" x14ac:dyDescent="0.3">
      <c r="A22" s="692"/>
      <c r="B22" s="669" t="str">
        <f t="shared" si="0"/>
        <v xml:space="preserve">  </v>
      </c>
      <c r="C22" s="670"/>
      <c r="D22" s="671"/>
      <c r="E22" s="686"/>
      <c r="F22" s="686">
        <v>1</v>
      </c>
      <c r="G22" s="687">
        <f>E22*F22</f>
        <v>0</v>
      </c>
      <c r="H22" s="467" t="str">
        <f>IF(E22="","",IF(G22&gt;W22,"Not Enough Cutters, only "&amp;AB22&amp;" Bit","OK, Enough For "&amp;AB22&amp;" Bits"))</f>
        <v/>
      </c>
      <c r="I22" s="693" t="str">
        <f t="shared" si="3"/>
        <v/>
      </c>
      <c r="J22" s="673" t="str" cm="1">
        <f t="array" ref="J22">IFERROR(INDEX('Cutters Inventory 12-30-2025'!$A$2:$V$360,MATCH($A22,'Cutters Inventory 12-30-2025'!$B$2:$B$360,0),COLUMN(A$1)),"")</f>
        <v/>
      </c>
      <c r="K22" s="673" t="str" cm="1">
        <f t="array" ref="K22">IFERROR(INDEX('Cutters Inventory 12-30-2025'!$A$2:$V$360,MATCH($A22,'Cutters Inventory 12-30-2025'!$B$2:$B$360,0),COLUMN(B$1)),"")</f>
        <v/>
      </c>
      <c r="L22" s="673" t="str" cm="1">
        <f t="array" ref="L22">IFERROR(INDEX('Cutters Inventory 12-30-2025'!$A$2:$V$360,MATCH($A22,'Cutters Inventory 12-30-2025'!$B$2:$B$360,0),COLUMN(C$1)),"")</f>
        <v/>
      </c>
      <c r="M22" s="673" t="str" cm="1">
        <f t="array" ref="M22">IFERROR(INDEX('Cutters Inventory 12-30-2025'!$A$2:$V$360,MATCH($A22,'Cutters Inventory 12-30-2025'!$B$2:$B$360,0),COLUMN(D$1)),"")</f>
        <v/>
      </c>
      <c r="N22" s="673" t="str" cm="1">
        <f t="array" ref="N22">IFERROR(INDEX('Cutters Inventory 12-30-2025'!$A$2:$V$360,MATCH($A22,'Cutters Inventory 12-30-2025'!$B$2:$B$360,0),COLUMN(E$1)),"")</f>
        <v/>
      </c>
      <c r="O22" s="673" t="str" cm="1">
        <f t="array" ref="O22">IFERROR(INDEX('Cutters Inventory 12-30-2025'!$A$2:$V$360,MATCH($A22,'Cutters Inventory 12-30-2025'!$B$2:$B$360,0),COLUMN(F$1)),"")</f>
        <v/>
      </c>
      <c r="P22" s="673" t="str" cm="1">
        <f t="array" ref="P22">IFERROR(INDEX('Cutters Inventory 12-30-2025'!$A$2:$V$360,MATCH($A22,'Cutters Inventory 12-30-2025'!$B$2:$B$360,0),COLUMN(G$1)),"")</f>
        <v/>
      </c>
      <c r="Q22" s="673" t="str" cm="1">
        <f t="array" ref="Q22">IFERROR(INDEX('Cutters Inventory 12-30-2025'!$A$2:$V$360,MATCH($A22,'Cutters Inventory 12-30-2025'!$B$2:$B$360,0),COLUMN(H$1)),"")</f>
        <v/>
      </c>
      <c r="R22" s="673" t="str" cm="1">
        <f t="array" ref="R22">IFERROR(INDEX('Cutters Inventory 12-30-2025'!$A$2:$V$360,MATCH($A22,'Cutters Inventory 12-30-2025'!$B$2:$B$360,0),COLUMN(I$1)),"")</f>
        <v/>
      </c>
      <c r="S22" s="673" t="str" cm="1">
        <f t="array" ref="S22">IFERROR(INDEX('Cutters Inventory 12-30-2025'!$A$2:$V$360,MATCH($A22,'Cutters Inventory 12-30-2025'!$B$2:$B$360,0),COLUMN(J$1)),"")</f>
        <v/>
      </c>
      <c r="T22" s="673" t="str" cm="1">
        <f t="array" ref="T22">IFERROR(INDEX('Cutters Inventory 12-30-2025'!$A$2:$V$360,MATCH($A22,'Cutters Inventory 12-30-2025'!$B$2:$B$360,0),COLUMN(K$1)),"")</f>
        <v/>
      </c>
      <c r="U22" s="673" t="str" cm="1">
        <f t="array" ref="U22">IFERROR(INDEX('Cutters Inventory 12-30-2025'!$A$2:$V$360,MATCH($A22,'Cutters Inventory 12-30-2025'!$B$2:$B$360,0),COLUMN(L$1)),"")</f>
        <v/>
      </c>
      <c r="V22" s="673" t="str" cm="1">
        <f t="array" ref="V22">IFERROR(INDEX('Cutters Inventory 12-30-2025'!$A$2:$V$360,MATCH($A22,'Cutters Inventory 12-30-2025'!$B$2:$B$360,0),COLUMN(M$1)),"")</f>
        <v/>
      </c>
      <c r="W22" s="673" t="str" cm="1">
        <f t="array" ref="W22">IFERROR(INDEX('Cutters Inventory 12-30-2025'!$A$2:$V$360,MATCH($A22,'Cutters Inventory 12-30-2025'!$B$2:$B$360,0),COLUMN(N$1)),"")</f>
        <v/>
      </c>
      <c r="X22" s="673" t="str" cm="1">
        <f t="array" ref="X22">IFERROR(INDEX('Cutters Inventory 12-30-2025'!$A$2:$V$360,MATCH($A22,'Cutters Inventory 12-30-2025'!$B$2:$B$360,0),COLUMN(O$1)),"")</f>
        <v/>
      </c>
      <c r="Y22" s="673" t="str" cm="1">
        <f t="array" ref="Y22">IFERROR(INDEX('Cutters Inventory 12-30-2025'!$A$2:$V$360,MATCH($A22,'Cutters Inventory 12-30-2025'!$B$2:$B$360,0),COLUMN(P$1)),"")</f>
        <v/>
      </c>
      <c r="Z22" s="673" t="str" cm="1">
        <f t="array" ref="Z22">IFERROR(INDEX('Cutters Inventory 12-30-2025'!$A$2:$V$360,MATCH($A22,'Cutters Inventory 12-30-2025'!$B$2:$B$360,0),COLUMN(Q$1)),"")</f>
        <v/>
      </c>
      <c r="AA22" s="673" t="str" cm="1">
        <f t="array" ref="AA22">IFERROR(INDEX('Cutters Inventory 12-30-2025'!$A$2:$V$360,MATCH($A22,'Cutters Inventory 12-30-2025'!$B$2:$B$360,0),COLUMN(R$1)),"")</f>
        <v/>
      </c>
      <c r="AB22" s="674" t="str">
        <f>IFERROR(QUOTIENT($W22,$E22),"")</f>
        <v/>
      </c>
    </row>
    <row r="31" spans="1:46" ht="12.5" x14ac:dyDescent="0.25">
      <c r="A31"/>
      <c r="B31"/>
      <c r="C31"/>
      <c r="D31"/>
      <c r="E31"/>
      <c r="F31"/>
      <c r="G31"/>
      <c r="H31"/>
      <c r="I31"/>
    </row>
    <row r="32" spans="1:46" ht="12.5" x14ac:dyDescent="0.25">
      <c r="A32"/>
      <c r="B32"/>
      <c r="C32"/>
      <c r="D32"/>
      <c r="E32"/>
      <c r="F32"/>
      <c r="G32"/>
      <c r="H32"/>
      <c r="I32"/>
    </row>
    <row r="33" spans="1:11" ht="12.5" x14ac:dyDescent="0.25">
      <c r="A33"/>
      <c r="B33"/>
      <c r="C33"/>
      <c r="D33"/>
      <c r="E33"/>
      <c r="F33" s="786" t="s">
        <v>0</v>
      </c>
      <c r="G33" s="786" t="s">
        <v>848</v>
      </c>
      <c r="H33" s="786" t="s">
        <v>4052</v>
      </c>
      <c r="I33" s="786" t="s">
        <v>514</v>
      </c>
      <c r="J33" s="786" t="s">
        <v>3769</v>
      </c>
      <c r="K33" s="786" t="s">
        <v>4104</v>
      </c>
    </row>
    <row r="34" spans="1:11" ht="12.5" x14ac:dyDescent="0.25">
      <c r="A34"/>
      <c r="B34" t="s">
        <v>4096</v>
      </c>
      <c r="C34"/>
      <c r="D34"/>
      <c r="E34"/>
      <c r="F34" s="20">
        <v>1</v>
      </c>
      <c r="G34" s="20">
        <v>1308</v>
      </c>
      <c r="H34" s="20">
        <v>1134752</v>
      </c>
      <c r="I34" s="20" t="s">
        <v>4065</v>
      </c>
      <c r="J34" s="20" t="s">
        <v>29</v>
      </c>
      <c r="K34" s="20"/>
    </row>
    <row r="35" spans="1:11" ht="12.5" x14ac:dyDescent="0.25">
      <c r="A35"/>
      <c r="B35" t="s">
        <v>4097</v>
      </c>
      <c r="C35"/>
      <c r="D35"/>
      <c r="E35"/>
      <c r="F35" s="20">
        <v>2</v>
      </c>
      <c r="G35" s="20">
        <v>1613</v>
      </c>
      <c r="H35" s="20">
        <v>1282370</v>
      </c>
      <c r="I35" s="20" t="s">
        <v>4105</v>
      </c>
      <c r="J35" s="20"/>
      <c r="K35" s="20" t="s">
        <v>4106</v>
      </c>
    </row>
    <row r="36" spans="1:11" ht="12.5" x14ac:dyDescent="0.25">
      <c r="A36"/>
      <c r="B36" t="s">
        <v>4098</v>
      </c>
      <c r="C36"/>
      <c r="D36"/>
      <c r="E36"/>
      <c r="F36" s="20">
        <v>3</v>
      </c>
      <c r="G36" s="20">
        <v>1613</v>
      </c>
      <c r="H36" s="20">
        <v>1208601</v>
      </c>
      <c r="I36" s="20" t="s">
        <v>4107</v>
      </c>
      <c r="J36" s="20" t="s">
        <v>29</v>
      </c>
      <c r="K36" s="20"/>
    </row>
    <row r="37" spans="1:11" ht="12.5" x14ac:dyDescent="0.25">
      <c r="A37"/>
      <c r="B37" t="s">
        <v>4099</v>
      </c>
      <c r="C37"/>
      <c r="D37"/>
      <c r="E37"/>
      <c r="F37" s="20">
        <v>4</v>
      </c>
      <c r="G37" s="20">
        <v>1613</v>
      </c>
      <c r="H37" s="20">
        <v>2001060</v>
      </c>
      <c r="I37" s="20" t="s">
        <v>4108</v>
      </c>
      <c r="J37" s="20">
        <v>2</v>
      </c>
      <c r="K37" s="20"/>
    </row>
    <row r="38" spans="1:11" ht="12.5" x14ac:dyDescent="0.25">
      <c r="A38"/>
      <c r="B38" t="s">
        <v>4100</v>
      </c>
      <c r="C38"/>
      <c r="D38"/>
      <c r="E38"/>
      <c r="F38" s="20">
        <v>5</v>
      </c>
      <c r="G38" s="20">
        <v>1313</v>
      </c>
      <c r="H38" s="20">
        <v>871781</v>
      </c>
      <c r="I38" s="20" t="s">
        <v>4062</v>
      </c>
      <c r="J38" s="20">
        <v>3</v>
      </c>
      <c r="K38" s="20"/>
    </row>
    <row r="39" spans="1:11" ht="12.5" x14ac:dyDescent="0.25">
      <c r="A39"/>
      <c r="B39"/>
      <c r="C39"/>
      <c r="D39"/>
      <c r="E39"/>
      <c r="F39" s="785">
        <v>6</v>
      </c>
      <c r="G39" s="785">
        <v>1608</v>
      </c>
      <c r="H39" s="785">
        <v>1130197</v>
      </c>
      <c r="I39" s="785" t="s">
        <v>4064</v>
      </c>
      <c r="J39" s="785">
        <v>6</v>
      </c>
      <c r="K39" s="785"/>
    </row>
    <row r="40" spans="1:11" x14ac:dyDescent="0.3">
      <c r="F40" s="670">
        <v>7</v>
      </c>
      <c r="G40" s="670">
        <v>1613</v>
      </c>
      <c r="H40" s="670">
        <v>1288783</v>
      </c>
      <c r="I40" s="20" t="s">
        <v>4109</v>
      </c>
      <c r="J40" s="20"/>
      <c r="K40" s="20" t="s">
        <v>4110</v>
      </c>
    </row>
    <row r="41" spans="1:11" x14ac:dyDescent="0.3">
      <c r="F41" s="670">
        <v>8</v>
      </c>
      <c r="G41" s="670">
        <v>1613</v>
      </c>
      <c r="H41" s="670">
        <v>1146737</v>
      </c>
      <c r="I41" s="20" t="s">
        <v>4111</v>
      </c>
      <c r="J41" s="20"/>
      <c r="K41" s="20" t="s">
        <v>4112</v>
      </c>
    </row>
    <row r="54" spans="5:11" ht="13.5" thickBot="1" x14ac:dyDescent="0.35"/>
    <row r="55" spans="5:11" ht="13.5" thickBot="1" x14ac:dyDescent="0.35">
      <c r="E55" s="650" t="s">
        <v>840</v>
      </c>
      <c r="F55" s="651" t="s">
        <v>514</v>
      </c>
      <c r="G55" s="650" t="s">
        <v>3736</v>
      </c>
      <c r="H55" s="650" t="s">
        <v>3737</v>
      </c>
      <c r="I55" s="651" t="s">
        <v>3738</v>
      </c>
      <c r="J55" s="652" t="s">
        <v>3739</v>
      </c>
      <c r="K55" s="654" t="s">
        <v>13</v>
      </c>
    </row>
    <row r="56" spans="5:11" x14ac:dyDescent="0.3">
      <c r="E56" s="668">
        <v>717748</v>
      </c>
      <c r="F56" s="669" t="s">
        <v>4127</v>
      </c>
      <c r="G56" s="668">
        <v>23</v>
      </c>
      <c r="H56" s="686">
        <v>1</v>
      </c>
      <c r="I56" s="687">
        <v>23</v>
      </c>
      <c r="J56" s="467" t="s">
        <v>4128</v>
      </c>
      <c r="K56" s="672">
        <v>91</v>
      </c>
    </row>
    <row r="57" spans="5:11" x14ac:dyDescent="0.3">
      <c r="E57" s="686">
        <v>773384</v>
      </c>
      <c r="F57" s="669" t="s">
        <v>4129</v>
      </c>
      <c r="G57" s="686">
        <v>10</v>
      </c>
      <c r="H57" s="686">
        <v>1</v>
      </c>
      <c r="I57" s="687">
        <v>10</v>
      </c>
      <c r="J57" s="467" t="s">
        <v>4130</v>
      </c>
      <c r="K57" s="687">
        <v>68</v>
      </c>
    </row>
    <row r="58" spans="5:11" x14ac:dyDescent="0.3">
      <c r="E58" s="686">
        <v>882800</v>
      </c>
      <c r="F58" s="669" t="s">
        <v>4131</v>
      </c>
      <c r="G58" s="686">
        <v>0</v>
      </c>
      <c r="H58" s="686">
        <v>1</v>
      </c>
      <c r="I58" s="687">
        <v>0</v>
      </c>
      <c r="J58" s="467" t="s">
        <v>4132</v>
      </c>
      <c r="K58" s="687">
        <v>0</v>
      </c>
    </row>
    <row r="59" spans="5:11" x14ac:dyDescent="0.3">
      <c r="E59" s="686">
        <v>1293118</v>
      </c>
      <c r="F59" s="669" t="s">
        <v>4133</v>
      </c>
      <c r="G59" s="686">
        <v>10</v>
      </c>
      <c r="H59" s="686">
        <v>1</v>
      </c>
      <c r="I59" s="687">
        <v>10</v>
      </c>
      <c r="J59" s="467" t="s">
        <v>4134</v>
      </c>
      <c r="K59" s="687">
        <v>80</v>
      </c>
    </row>
    <row r="60" spans="5:11" ht="13.5" thickBot="1" x14ac:dyDescent="0.35"/>
    <row r="61" spans="5:11" ht="13.5" thickBot="1" x14ac:dyDescent="0.35">
      <c r="E61" s="650" t="s">
        <v>840</v>
      </c>
      <c r="F61" s="651" t="s">
        <v>514</v>
      </c>
      <c r="G61" s="650" t="s">
        <v>3736</v>
      </c>
      <c r="H61" s="650" t="s">
        <v>3737</v>
      </c>
      <c r="I61" s="651" t="s">
        <v>3738</v>
      </c>
      <c r="J61" s="652" t="s">
        <v>3739</v>
      </c>
      <c r="K61" s="654" t="s">
        <v>13</v>
      </c>
    </row>
    <row r="62" spans="5:11" x14ac:dyDescent="0.3">
      <c r="E62" s="668">
        <v>1126402</v>
      </c>
      <c r="F62" s="669" t="s">
        <v>4135</v>
      </c>
      <c r="G62" s="668">
        <v>6</v>
      </c>
      <c r="H62" s="686">
        <v>2</v>
      </c>
      <c r="I62" s="687">
        <v>12</v>
      </c>
      <c r="J62" s="467" t="s">
        <v>4136</v>
      </c>
      <c r="K62" s="672">
        <v>561</v>
      </c>
    </row>
    <row r="63" spans="5:11" x14ac:dyDescent="0.3">
      <c r="E63" s="686">
        <v>647435</v>
      </c>
      <c r="F63" s="669" t="s">
        <v>4137</v>
      </c>
      <c r="G63" s="686">
        <v>23</v>
      </c>
      <c r="H63" s="686">
        <v>2</v>
      </c>
      <c r="I63" s="687">
        <v>46</v>
      </c>
      <c r="J63" s="467" t="s">
        <v>4138</v>
      </c>
      <c r="K63" s="687">
        <v>304</v>
      </c>
    </row>
    <row r="64" spans="5:11" x14ac:dyDescent="0.3">
      <c r="E64" s="686">
        <v>871781</v>
      </c>
      <c r="F64" s="669" t="s">
        <v>4139</v>
      </c>
      <c r="G64" s="686">
        <v>6</v>
      </c>
      <c r="H64" s="686">
        <v>2</v>
      </c>
      <c r="I64" s="687">
        <v>12</v>
      </c>
      <c r="J64" s="467" t="s">
        <v>4140</v>
      </c>
      <c r="K64" s="687">
        <v>174</v>
      </c>
    </row>
    <row r="65" spans="5:13" x14ac:dyDescent="0.3">
      <c r="E65" s="686">
        <v>2023242</v>
      </c>
      <c r="F65" s="669" t="s">
        <v>3670</v>
      </c>
      <c r="G65" s="686">
        <v>27</v>
      </c>
      <c r="H65" s="686">
        <v>2</v>
      </c>
      <c r="I65" s="687">
        <v>54</v>
      </c>
      <c r="J65" s="467" t="s">
        <v>4141</v>
      </c>
      <c r="K65" s="687">
        <v>40</v>
      </c>
    </row>
    <row r="78" spans="5:13" ht="13.5" thickBot="1" x14ac:dyDescent="0.35"/>
    <row r="79" spans="5:13" ht="26.5" thickBot="1" x14ac:dyDescent="0.35">
      <c r="G79" s="650" t="s">
        <v>840</v>
      </c>
      <c r="H79" s="651" t="s">
        <v>514</v>
      </c>
      <c r="I79" s="650" t="s">
        <v>3736</v>
      </c>
      <c r="J79" s="650" t="s">
        <v>3737</v>
      </c>
      <c r="K79" s="651" t="s">
        <v>3738</v>
      </c>
      <c r="L79" s="652" t="s">
        <v>3739</v>
      </c>
      <c r="M79" s="654" t="s">
        <v>13</v>
      </c>
    </row>
    <row r="80" spans="5:13" x14ac:dyDescent="0.3">
      <c r="G80" s="668">
        <v>2002299</v>
      </c>
      <c r="H80" s="669" t="s">
        <v>3637</v>
      </c>
      <c r="I80" s="668">
        <v>21</v>
      </c>
      <c r="J80" s="686">
        <v>2</v>
      </c>
      <c r="K80" s="687">
        <v>42</v>
      </c>
      <c r="L80" s="467" t="s">
        <v>4147</v>
      </c>
      <c r="M80" s="672">
        <v>219</v>
      </c>
    </row>
    <row r="81" spans="7:13" x14ac:dyDescent="0.3">
      <c r="G81" s="686">
        <v>1100753</v>
      </c>
      <c r="H81" s="669" t="s">
        <v>4148</v>
      </c>
      <c r="I81" s="686">
        <v>6</v>
      </c>
      <c r="J81" s="686">
        <v>2</v>
      </c>
      <c r="K81" s="687">
        <v>12</v>
      </c>
      <c r="L81" s="467" t="s">
        <v>4149</v>
      </c>
      <c r="M81" s="687">
        <v>2</v>
      </c>
    </row>
    <row r="82" spans="7:13" x14ac:dyDescent="0.3">
      <c r="G82" s="686">
        <v>871781</v>
      </c>
      <c r="H82" s="669" t="s">
        <v>4139</v>
      </c>
      <c r="I82" s="686">
        <v>6</v>
      </c>
      <c r="J82" s="686">
        <v>2</v>
      </c>
      <c r="K82" s="687">
        <v>12</v>
      </c>
      <c r="L82" s="467" t="s">
        <v>4150</v>
      </c>
      <c r="M82" s="687">
        <v>161</v>
      </c>
    </row>
    <row r="83" spans="7:13" x14ac:dyDescent="0.3">
      <c r="G83" s="686">
        <v>1126402</v>
      </c>
      <c r="H83" s="669" t="s">
        <v>4135</v>
      </c>
      <c r="I83" s="686">
        <v>12</v>
      </c>
      <c r="J83" s="686">
        <v>2</v>
      </c>
      <c r="K83" s="687">
        <v>24</v>
      </c>
      <c r="L83" s="467" t="s">
        <v>4151</v>
      </c>
      <c r="M83" s="687">
        <v>561</v>
      </c>
    </row>
    <row r="84" spans="7:13" x14ac:dyDescent="0.3">
      <c r="G84" s="686">
        <v>647435</v>
      </c>
      <c r="H84" s="669" t="s">
        <v>4137</v>
      </c>
      <c r="I84" s="686">
        <v>17</v>
      </c>
      <c r="J84" s="686">
        <v>1</v>
      </c>
      <c r="K84" s="687">
        <v>17</v>
      </c>
      <c r="L84" s="467" t="s">
        <v>4152</v>
      </c>
      <c r="M84" s="687">
        <v>304</v>
      </c>
    </row>
  </sheetData>
  <conditionalFormatting sqref="A1:A30 A40:A1048576">
    <cfRule type="duplicateValues" dxfId="422" priority="36"/>
    <cfRule type="duplicateValues" dxfId="421" priority="37"/>
    <cfRule type="duplicateValues" dxfId="420" priority="38"/>
  </conditionalFormatting>
  <conditionalFormatting sqref="E55:E59">
    <cfRule type="duplicateValues" dxfId="419" priority="11"/>
    <cfRule type="duplicateValues" dxfId="418" priority="12"/>
    <cfRule type="duplicateValues" dxfId="417" priority="13"/>
  </conditionalFormatting>
  <conditionalFormatting sqref="E61:E65">
    <cfRule type="duplicateValues" dxfId="416" priority="6"/>
    <cfRule type="duplicateValues" dxfId="415" priority="7"/>
    <cfRule type="duplicateValues" dxfId="414" priority="8"/>
  </conditionalFormatting>
  <conditionalFormatting sqref="G79:G84">
    <cfRule type="duplicateValues" dxfId="413" priority="1"/>
    <cfRule type="duplicateValues" dxfId="412" priority="2"/>
    <cfRule type="duplicateValues" dxfId="411" priority="3"/>
  </conditionalFormatting>
  <conditionalFormatting sqref="H2:H22">
    <cfRule type="expression" dxfId="410" priority="156">
      <formula>COUNTIF(H2,"*Not Enough Cutters*")</formula>
    </cfRule>
    <cfRule type="expression" dxfId="409" priority="157">
      <formula>COUNTIF(H2,"*OK*")</formula>
    </cfRule>
  </conditionalFormatting>
  <conditionalFormatting sqref="J56:J59">
    <cfRule type="expression" dxfId="408" priority="14">
      <formula>COUNTIF(J56,"*Not Enough Cutters*")</formula>
    </cfRule>
    <cfRule type="expression" dxfId="407" priority="15">
      <formula>COUNTIF(J56,"*OK*")</formula>
    </cfRule>
  </conditionalFormatting>
  <conditionalFormatting sqref="J62:J65">
    <cfRule type="expression" dxfId="406" priority="9">
      <formula>COUNTIF(J62,"*Not Enough Cutters*")</formula>
    </cfRule>
    <cfRule type="expression" dxfId="405" priority="10">
      <formula>COUNTIF(J62,"*OK*")</formula>
    </cfRule>
  </conditionalFormatting>
  <conditionalFormatting sqref="K1">
    <cfRule type="duplicateValues" dxfId="404" priority="158"/>
    <cfRule type="duplicateValues" dxfId="403" priority="159"/>
    <cfRule type="duplicateValues" dxfId="402" priority="161" stopIfTrue="1"/>
    <cfRule type="duplicateValues" dxfId="401" priority="162" stopIfTrue="1"/>
    <cfRule type="duplicateValues" dxfId="400" priority="163" stopIfTrue="1"/>
  </conditionalFormatting>
  <conditionalFormatting sqref="L80:L84">
    <cfRule type="expression" dxfId="399" priority="4">
      <formula>COUNTIF(L80,"*Not Enough Cutters*")</formula>
    </cfRule>
    <cfRule type="expression" dxfId="398" priority="5">
      <formula>COUNTIF(L80,"*OK*")</formula>
    </cfRule>
  </conditionalFormatting>
  <conditionalFormatting sqref="R1">
    <cfRule type="cellIs" dxfId="397" priority="153" operator="lessThan">
      <formula>0</formula>
    </cfRule>
  </conditionalFormatting>
  <conditionalFormatting sqref="V1">
    <cfRule type="cellIs" dxfId="396" priority="154" operator="lessThan">
      <formula>0</formula>
    </cfRule>
  </conditionalFormatting>
  <conditionalFormatting sqref="Z1">
    <cfRule type="cellIs" dxfId="395" priority="155" operator="lessThan">
      <formula>0</formula>
    </cfRule>
  </conditionalFormatting>
  <conditionalFormatting sqref="AH1">
    <cfRule type="expression" dxfId="394" priority="56">
      <formula>COUNTIF($L3,"&lt;0")</formula>
    </cfRule>
  </conditionalFormatting>
  <conditionalFormatting sqref="AO3:AO17">
    <cfRule type="cellIs" dxfId="393" priority="148" operator="equal">
      <formula>0</formula>
    </cfRule>
  </conditionalFormatting>
  <conditionalFormatting sqref="AP3:AP17">
    <cfRule type="expression" dxfId="392" priority="149">
      <formula>COUNTIF(AP3,"*Insufficient*")</formula>
    </cfRule>
    <cfRule type="expression" dxfId="391" priority="150">
      <formula>NOT(COUNTIF(AP3,"*Insufficient*"))</formula>
    </cfRule>
  </conditionalFormatting>
  <conditionalFormatting sqref="AS3:AS17">
    <cfRule type="cellIs" dxfId="390" priority="147" operator="equal">
      <formula>0</formula>
    </cfRule>
  </conditionalFormatting>
  <conditionalFormatting sqref="AT2">
    <cfRule type="cellIs" dxfId="389" priority="151" operator="lessThan">
      <formula>0</formula>
    </cfRule>
  </conditionalFormatting>
  <conditionalFormatting sqref="AZ2 BB2">
    <cfRule type="duplicateValues" dxfId="388" priority="70"/>
  </conditionalFormatting>
  <conditionalFormatting sqref="AZ2">
    <cfRule type="duplicateValues" dxfId="387" priority="67"/>
    <cfRule type="duplicateValues" dxfId="386" priority="68"/>
    <cfRule type="duplicateValues" dxfId="385" priority="69"/>
  </conditionalFormatting>
  <conditionalFormatting sqref="BA2">
    <cfRule type="duplicateValues" dxfId="384" priority="59"/>
    <cfRule type="duplicateValues" dxfId="383" priority="60"/>
    <cfRule type="duplicateValues" dxfId="382" priority="61"/>
    <cfRule type="duplicateValues" dxfId="381" priority="62"/>
  </conditionalFormatting>
  <conditionalFormatting sqref="BC2">
    <cfRule type="duplicateValues" dxfId="380" priority="63"/>
    <cfRule type="duplicateValues" dxfId="379" priority="64"/>
    <cfRule type="duplicateValues" dxfId="378" priority="65"/>
    <cfRule type="duplicateValues" dxfId="377" priority="66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3C4D4-ED6E-4000-AAD2-B49B7DE23466}">
  <dimension ref="A1:AA62"/>
  <sheetViews>
    <sheetView topLeftCell="L1" workbookViewId="0">
      <selection activeCell="M2" sqref="M2:U14"/>
    </sheetView>
  </sheetViews>
  <sheetFormatPr defaultRowHeight="12.5" x14ac:dyDescent="0.25"/>
  <cols>
    <col min="1" max="1" width="9" bestFit="1" customWidth="1"/>
    <col min="2" max="2" width="6" bestFit="1" customWidth="1"/>
    <col min="3" max="3" width="9" bestFit="1" customWidth="1"/>
    <col min="4" max="4" width="6" bestFit="1" customWidth="1"/>
    <col min="5" max="5" width="10.26953125" bestFit="1" customWidth="1"/>
    <col min="6" max="6" width="8.26953125" customWidth="1"/>
    <col min="7" max="7" width="9.54296875" bestFit="1" customWidth="1"/>
    <col min="8" max="8" width="8" bestFit="1" customWidth="1"/>
    <col min="9" max="9" width="9.7265625" bestFit="1" customWidth="1"/>
  </cols>
  <sheetData>
    <row r="1" spans="1:27" ht="24.5" thickBot="1" x14ac:dyDescent="0.4">
      <c r="A1" s="743" t="s">
        <v>338</v>
      </c>
      <c r="B1" s="744" t="s">
        <v>1040</v>
      </c>
      <c r="C1" s="745" t="s">
        <v>3746</v>
      </c>
      <c r="D1" s="746" t="s">
        <v>325</v>
      </c>
      <c r="E1" s="746" t="s">
        <v>326</v>
      </c>
      <c r="F1" s="742"/>
      <c r="G1" s="743" t="s">
        <v>3747</v>
      </c>
      <c r="H1" s="743" t="s">
        <v>518</v>
      </c>
      <c r="I1" s="743" t="s">
        <v>3748</v>
      </c>
      <c r="J1" s="745" t="s">
        <v>3749</v>
      </c>
      <c r="K1" s="750"/>
      <c r="M1" s="114" t="s">
        <v>338</v>
      </c>
      <c r="N1" s="706" t="s">
        <v>600</v>
      </c>
      <c r="O1" s="27" t="s">
        <v>322</v>
      </c>
      <c r="P1" s="27" t="s">
        <v>325</v>
      </c>
      <c r="Q1" s="27" t="s">
        <v>326</v>
      </c>
      <c r="R1" s="27" t="s">
        <v>327</v>
      </c>
      <c r="S1" s="27" t="s">
        <v>601</v>
      </c>
      <c r="T1" s="114" t="s">
        <v>602</v>
      </c>
      <c r="U1" s="27" t="s">
        <v>328</v>
      </c>
      <c r="V1" s="521" t="s">
        <v>516</v>
      </c>
      <c r="Z1">
        <v>2025595</v>
      </c>
      <c r="AA1">
        <v>960723</v>
      </c>
    </row>
    <row r="2" spans="1:27" ht="14.5" x14ac:dyDescent="0.25">
      <c r="A2" s="250">
        <v>20250402</v>
      </c>
      <c r="B2" s="250">
        <v>46016</v>
      </c>
      <c r="C2" s="250"/>
      <c r="D2" s="250">
        <v>6.125</v>
      </c>
      <c r="E2" s="250" t="s">
        <v>4533</v>
      </c>
      <c r="F2" s="250"/>
      <c r="G2" s="250" t="s">
        <v>813</v>
      </c>
      <c r="H2" s="250">
        <v>2029409</v>
      </c>
      <c r="I2" s="276" t="e">
        <f>VLOOKUP(H2,$Z$1:$AA$17,2,FALSE)</f>
        <v>#N/A</v>
      </c>
      <c r="J2" s="248">
        <v>4</v>
      </c>
      <c r="K2" s="586">
        <f>SUM($J2:J$2)</f>
        <v>4</v>
      </c>
      <c r="M2" cm="1">
        <f t="array" ref="M2:V62">INDEX($A$2:$J$33,
       IFERROR(
           MATCH(_xlfn.SEQUENCE(MAX($K$2:$K$34))-1, $K$2:$K$34, 1) + 1,
           1
       ),
       _xlfn.SEQUENCE(, COLUMNS($A$2:$J$33)))</f>
        <v>20250402</v>
      </c>
      <c r="N2">
        <v>46016</v>
      </c>
      <c r="O2">
        <v>0</v>
      </c>
      <c r="P2">
        <v>6.125</v>
      </c>
      <c r="Q2" t="str">
        <v>HXi54s</v>
      </c>
      <c r="R2">
        <v>0</v>
      </c>
      <c r="S2" t="str">
        <v>LVL4</v>
      </c>
      <c r="T2">
        <v>2029409</v>
      </c>
      <c r="U2" t="e">
        <v>#N/A</v>
      </c>
      <c r="V2">
        <v>4</v>
      </c>
      <c r="Z2">
        <v>2017993</v>
      </c>
      <c r="AA2">
        <v>2021865</v>
      </c>
    </row>
    <row r="3" spans="1:27" ht="14.5" x14ac:dyDescent="0.25">
      <c r="A3" s="250">
        <v>20250402</v>
      </c>
      <c r="B3" s="250">
        <v>46016</v>
      </c>
      <c r="C3" s="250"/>
      <c r="D3" s="250">
        <v>8.375</v>
      </c>
      <c r="E3" s="250" t="s">
        <v>649</v>
      </c>
      <c r="F3" s="250"/>
      <c r="G3" s="747" t="s">
        <v>813</v>
      </c>
      <c r="H3" s="747">
        <v>1192119</v>
      </c>
      <c r="I3" s="276">
        <f t="shared" ref="I3:I33" si="0">VLOOKUP(H3,$Z$1:$AA$17,2,FALSE)</f>
        <v>1134878</v>
      </c>
      <c r="J3" s="248">
        <v>2</v>
      </c>
      <c r="K3" s="586">
        <f>SUM($J$2:J3)</f>
        <v>6</v>
      </c>
      <c r="M3">
        <v>20250402</v>
      </c>
      <c r="N3">
        <v>46016</v>
      </c>
      <c r="O3">
        <v>0</v>
      </c>
      <c r="P3">
        <v>6.125</v>
      </c>
      <c r="Q3" t="str">
        <v>HXi54s</v>
      </c>
      <c r="R3">
        <v>0</v>
      </c>
      <c r="S3" t="str">
        <v>LVL4</v>
      </c>
      <c r="T3">
        <v>2029409</v>
      </c>
      <c r="U3" t="e">
        <v>#N/A</v>
      </c>
      <c r="V3">
        <v>4</v>
      </c>
      <c r="Z3">
        <v>1198387</v>
      </c>
      <c r="AA3">
        <v>1160951</v>
      </c>
    </row>
    <row r="4" spans="1:27" ht="14.5" x14ac:dyDescent="0.25">
      <c r="A4" s="250">
        <v>20250402</v>
      </c>
      <c r="B4" s="250">
        <v>46016</v>
      </c>
      <c r="C4" s="250"/>
      <c r="D4" s="250">
        <v>8.375</v>
      </c>
      <c r="E4" s="250" t="s">
        <v>645</v>
      </c>
      <c r="F4" s="250"/>
      <c r="G4" s="747" t="s">
        <v>813</v>
      </c>
      <c r="H4" s="747">
        <v>1267027</v>
      </c>
      <c r="I4" s="276">
        <f t="shared" si="0"/>
        <v>1283630</v>
      </c>
      <c r="J4" s="248">
        <v>5</v>
      </c>
      <c r="K4" s="586">
        <f>SUM($J$2:J4)</f>
        <v>11</v>
      </c>
      <c r="M4">
        <v>20250402</v>
      </c>
      <c r="N4">
        <v>46016</v>
      </c>
      <c r="O4">
        <v>0</v>
      </c>
      <c r="P4">
        <v>6.125</v>
      </c>
      <c r="Q4" t="str">
        <v>HXi54s</v>
      </c>
      <c r="R4">
        <v>0</v>
      </c>
      <c r="S4" t="str">
        <v>LVL4</v>
      </c>
      <c r="T4">
        <v>2029409</v>
      </c>
      <c r="U4" t="e">
        <v>#N/A</v>
      </c>
      <c r="V4">
        <v>4</v>
      </c>
      <c r="Z4">
        <v>1283567</v>
      </c>
      <c r="AA4">
        <v>2020054</v>
      </c>
    </row>
    <row r="5" spans="1:27" ht="14.5" x14ac:dyDescent="0.25">
      <c r="A5" s="250">
        <v>20250402</v>
      </c>
      <c r="B5" s="250">
        <v>46016</v>
      </c>
      <c r="C5" s="250"/>
      <c r="D5" s="250">
        <v>17</v>
      </c>
      <c r="E5" s="250" t="s">
        <v>320</v>
      </c>
      <c r="F5" s="748"/>
      <c r="G5" s="747" t="s">
        <v>814</v>
      </c>
      <c r="H5" s="254">
        <v>1153090</v>
      </c>
      <c r="I5" s="276" t="e">
        <f t="shared" si="0"/>
        <v>#N/A</v>
      </c>
      <c r="J5" s="248">
        <v>2</v>
      </c>
      <c r="K5" s="586">
        <f>SUM($J$2:J5)</f>
        <v>13</v>
      </c>
      <c r="M5">
        <v>20250402</v>
      </c>
      <c r="N5">
        <v>46016</v>
      </c>
      <c r="O5">
        <v>0</v>
      </c>
      <c r="P5">
        <v>6.125</v>
      </c>
      <c r="Q5" t="str">
        <v>HXi54s</v>
      </c>
      <c r="R5">
        <v>0</v>
      </c>
      <c r="S5" t="str">
        <v>LVL4</v>
      </c>
      <c r="T5">
        <v>2029409</v>
      </c>
      <c r="U5" t="e">
        <v>#N/A</v>
      </c>
      <c r="V5">
        <v>4</v>
      </c>
      <c r="Z5">
        <v>2028515</v>
      </c>
      <c r="AA5" t="s">
        <v>786</v>
      </c>
    </row>
    <row r="6" spans="1:27" ht="14.5" x14ac:dyDescent="0.25">
      <c r="A6" s="250"/>
      <c r="B6" s="250"/>
      <c r="C6" s="250"/>
      <c r="D6" s="250"/>
      <c r="E6" s="250"/>
      <c r="F6" s="250"/>
      <c r="G6" s="250"/>
      <c r="H6" s="250"/>
      <c r="I6" s="276" t="e">
        <f t="shared" si="0"/>
        <v>#N/A</v>
      </c>
      <c r="J6" s="248">
        <v>1</v>
      </c>
      <c r="K6" s="586">
        <f>SUM($J$2:J6)</f>
        <v>14</v>
      </c>
      <c r="M6">
        <v>20250402</v>
      </c>
      <c r="N6">
        <v>46016</v>
      </c>
      <c r="O6">
        <v>0</v>
      </c>
      <c r="P6">
        <v>8.375</v>
      </c>
      <c r="Q6" t="str">
        <v>GT55WUH</v>
      </c>
      <c r="R6">
        <v>0</v>
      </c>
      <c r="S6" t="str">
        <v>LVL4</v>
      </c>
      <c r="T6">
        <v>1192119</v>
      </c>
      <c r="U6">
        <v>1134878</v>
      </c>
      <c r="V6">
        <v>2</v>
      </c>
      <c r="Z6">
        <v>1272920</v>
      </c>
      <c r="AA6">
        <v>1283482</v>
      </c>
    </row>
    <row r="7" spans="1:27" ht="14.5" x14ac:dyDescent="0.25">
      <c r="A7" s="250"/>
      <c r="B7" s="250"/>
      <c r="C7" s="250"/>
      <c r="D7" s="250"/>
      <c r="E7" s="250"/>
      <c r="F7" s="250"/>
      <c r="G7" s="747"/>
      <c r="H7" s="250"/>
      <c r="I7" s="276" t="e">
        <f t="shared" si="0"/>
        <v>#N/A</v>
      </c>
      <c r="J7" s="248">
        <v>1</v>
      </c>
      <c r="K7" s="586">
        <f>SUM($J$2:J7)</f>
        <v>15</v>
      </c>
      <c r="M7">
        <v>20250402</v>
      </c>
      <c r="N7">
        <v>46016</v>
      </c>
      <c r="O7">
        <v>0</v>
      </c>
      <c r="P7">
        <v>8.375</v>
      </c>
      <c r="Q7" t="str">
        <v>GT55WUH</v>
      </c>
      <c r="R7">
        <v>0</v>
      </c>
      <c r="S7" t="str">
        <v>LVL4</v>
      </c>
      <c r="T7">
        <v>1192119</v>
      </c>
      <c r="U7">
        <v>1134878</v>
      </c>
      <c r="V7">
        <v>2</v>
      </c>
      <c r="Z7">
        <v>1267027</v>
      </c>
      <c r="AA7">
        <v>1283630</v>
      </c>
    </row>
    <row r="8" spans="1:27" ht="14.5" x14ac:dyDescent="0.25">
      <c r="A8" s="250"/>
      <c r="B8" s="250"/>
      <c r="C8" s="250"/>
      <c r="D8" s="250"/>
      <c r="E8" s="250"/>
      <c r="F8" s="250"/>
      <c r="G8" s="250"/>
      <c r="H8" s="747"/>
      <c r="I8" s="276" t="e">
        <f t="shared" si="0"/>
        <v>#N/A</v>
      </c>
      <c r="J8" s="248">
        <v>1</v>
      </c>
      <c r="K8" s="586">
        <f>SUM($J$2:J8)</f>
        <v>16</v>
      </c>
      <c r="M8">
        <v>20250402</v>
      </c>
      <c r="N8">
        <v>46016</v>
      </c>
      <c r="O8">
        <v>0</v>
      </c>
      <c r="P8">
        <v>8.375</v>
      </c>
      <c r="Q8" t="str">
        <v>EM65D</v>
      </c>
      <c r="R8">
        <v>0</v>
      </c>
      <c r="S8" t="str">
        <v>LVL4</v>
      </c>
      <c r="T8">
        <v>1267027</v>
      </c>
      <c r="U8">
        <v>1283630</v>
      </c>
      <c r="V8">
        <v>5</v>
      </c>
      <c r="Z8">
        <v>1255451</v>
      </c>
      <c r="AA8">
        <v>1241180</v>
      </c>
    </row>
    <row r="9" spans="1:27" ht="14.5" x14ac:dyDescent="0.25">
      <c r="A9" s="250"/>
      <c r="B9" s="250"/>
      <c r="C9" s="250"/>
      <c r="D9" s="250"/>
      <c r="E9" s="250"/>
      <c r="F9" s="209"/>
      <c r="G9" s="250"/>
      <c r="H9" s="254"/>
      <c r="I9" s="276" t="e">
        <f t="shared" si="0"/>
        <v>#N/A</v>
      </c>
      <c r="J9" s="248">
        <v>1</v>
      </c>
      <c r="K9" s="586">
        <f>SUM($J$2:J9)</f>
        <v>17</v>
      </c>
      <c r="M9">
        <v>20250402</v>
      </c>
      <c r="N9">
        <v>46016</v>
      </c>
      <c r="O9">
        <v>0</v>
      </c>
      <c r="P9">
        <v>8.375</v>
      </c>
      <c r="Q9" t="str">
        <v>EM65D</v>
      </c>
      <c r="R9">
        <v>0</v>
      </c>
      <c r="S9" t="str">
        <v>LVL4</v>
      </c>
      <c r="T9">
        <v>1267027</v>
      </c>
      <c r="U9">
        <v>1283630</v>
      </c>
      <c r="V9">
        <v>5</v>
      </c>
      <c r="Z9">
        <v>2019988</v>
      </c>
      <c r="AA9">
        <v>1266749</v>
      </c>
    </row>
    <row r="10" spans="1:27" ht="14.5" x14ac:dyDescent="0.25">
      <c r="A10" s="250"/>
      <c r="B10" s="250"/>
      <c r="C10" s="250"/>
      <c r="D10" s="250"/>
      <c r="E10" s="250"/>
      <c r="F10" s="209"/>
      <c r="G10" s="749"/>
      <c r="H10" s="209"/>
      <c r="I10" s="276" t="e">
        <f t="shared" si="0"/>
        <v>#N/A</v>
      </c>
      <c r="J10" s="248">
        <v>2</v>
      </c>
      <c r="K10" s="586">
        <f>SUM($J$2:J10)</f>
        <v>19</v>
      </c>
      <c r="M10">
        <v>20250402</v>
      </c>
      <c r="N10">
        <v>46016</v>
      </c>
      <c r="O10">
        <v>0</v>
      </c>
      <c r="P10">
        <v>8.375</v>
      </c>
      <c r="Q10" t="str">
        <v>EM65D</v>
      </c>
      <c r="R10">
        <v>0</v>
      </c>
      <c r="S10" t="str">
        <v>LVL4</v>
      </c>
      <c r="T10">
        <v>1267027</v>
      </c>
      <c r="U10">
        <v>1283630</v>
      </c>
      <c r="V10">
        <v>5</v>
      </c>
      <c r="Z10">
        <v>2028159</v>
      </c>
      <c r="AA10" t="s">
        <v>789</v>
      </c>
    </row>
    <row r="11" spans="1:27" ht="14.5" x14ac:dyDescent="0.25">
      <c r="A11" s="250"/>
      <c r="B11" s="250"/>
      <c r="C11" s="250"/>
      <c r="D11" s="250"/>
      <c r="E11" s="250"/>
      <c r="F11" s="250"/>
      <c r="G11" s="250"/>
      <c r="H11" s="250"/>
      <c r="I11" s="276" t="e">
        <f t="shared" si="0"/>
        <v>#N/A</v>
      </c>
      <c r="J11" s="248">
        <v>1</v>
      </c>
      <c r="K11" s="586">
        <f>SUM($J$2:J11)</f>
        <v>20</v>
      </c>
      <c r="M11">
        <v>20250402</v>
      </c>
      <c r="N11">
        <v>46016</v>
      </c>
      <c r="O11">
        <v>0</v>
      </c>
      <c r="P11">
        <v>8.375</v>
      </c>
      <c r="Q11" t="str">
        <v>EM65D</v>
      </c>
      <c r="R11">
        <v>0</v>
      </c>
      <c r="S11" t="str">
        <v>LVL4</v>
      </c>
      <c r="T11">
        <v>1267027</v>
      </c>
      <c r="U11">
        <v>1283630</v>
      </c>
      <c r="V11">
        <v>5</v>
      </c>
      <c r="Z11">
        <v>2016920</v>
      </c>
      <c r="AA11">
        <v>1016454</v>
      </c>
    </row>
    <row r="12" spans="1:27" ht="14.5" x14ac:dyDescent="0.25">
      <c r="A12" s="248"/>
      <c r="B12" s="248"/>
      <c r="C12" s="248"/>
      <c r="D12" s="248"/>
      <c r="E12" s="248"/>
      <c r="F12" s="248"/>
      <c r="G12" s="248"/>
      <c r="H12" s="248"/>
      <c r="I12" s="276" t="e">
        <f t="shared" si="0"/>
        <v>#N/A</v>
      </c>
      <c r="J12" s="248">
        <v>1</v>
      </c>
      <c r="K12" s="586">
        <f>SUM($J$2:J12)</f>
        <v>21</v>
      </c>
      <c r="M12">
        <v>20250402</v>
      </c>
      <c r="N12">
        <v>46016</v>
      </c>
      <c r="O12">
        <v>0</v>
      </c>
      <c r="P12">
        <v>8.375</v>
      </c>
      <c r="Q12" t="str">
        <v>EM65D</v>
      </c>
      <c r="R12">
        <v>0</v>
      </c>
      <c r="S12" t="str">
        <v>LVL4</v>
      </c>
      <c r="T12">
        <v>1267027</v>
      </c>
      <c r="U12">
        <v>1283630</v>
      </c>
      <c r="V12">
        <v>5</v>
      </c>
      <c r="Z12">
        <v>2021067</v>
      </c>
      <c r="AA12" t="s">
        <v>791</v>
      </c>
    </row>
    <row r="13" spans="1:27" ht="14.5" x14ac:dyDescent="0.25">
      <c r="A13" s="248"/>
      <c r="B13" s="248"/>
      <c r="C13" s="248"/>
      <c r="D13" s="248"/>
      <c r="E13" s="248"/>
      <c r="F13" s="248"/>
      <c r="G13" s="248"/>
      <c r="H13" s="248"/>
      <c r="I13" s="276" t="e">
        <f t="shared" si="0"/>
        <v>#N/A</v>
      </c>
      <c r="J13" s="248">
        <v>1</v>
      </c>
      <c r="K13" s="586">
        <f>SUM($J$2:J13)</f>
        <v>22</v>
      </c>
      <c r="M13">
        <v>20250402</v>
      </c>
      <c r="N13">
        <v>46016</v>
      </c>
      <c r="O13">
        <v>0</v>
      </c>
      <c r="P13">
        <v>17</v>
      </c>
      <c r="Q13" t="str">
        <v>SFD75DH</v>
      </c>
      <c r="R13">
        <v>0</v>
      </c>
      <c r="S13" t="str">
        <v>LVL3</v>
      </c>
      <c r="T13">
        <v>1153090</v>
      </c>
      <c r="U13" t="e">
        <v>#N/A</v>
      </c>
      <c r="V13">
        <v>2</v>
      </c>
      <c r="Z13">
        <v>1145824</v>
      </c>
      <c r="AA13">
        <v>1137349</v>
      </c>
    </row>
    <row r="14" spans="1:27" ht="14.5" x14ac:dyDescent="0.25">
      <c r="A14" s="248"/>
      <c r="B14" s="248"/>
      <c r="C14" s="248"/>
      <c r="D14" s="248"/>
      <c r="E14" s="248"/>
      <c r="F14" s="248"/>
      <c r="G14" s="248"/>
      <c r="H14" s="248"/>
      <c r="I14" s="276" t="e">
        <f t="shared" si="0"/>
        <v>#N/A</v>
      </c>
      <c r="J14" s="248">
        <v>1</v>
      </c>
      <c r="K14" s="586">
        <f>SUM($J$2:J14)</f>
        <v>23</v>
      </c>
      <c r="M14">
        <v>20250402</v>
      </c>
      <c r="N14">
        <v>46016</v>
      </c>
      <c r="O14">
        <v>0</v>
      </c>
      <c r="P14">
        <v>17</v>
      </c>
      <c r="Q14" t="str">
        <v>SFD75DH</v>
      </c>
      <c r="R14">
        <v>0</v>
      </c>
      <c r="S14" t="str">
        <v>LVL3</v>
      </c>
      <c r="T14">
        <v>1153090</v>
      </c>
      <c r="U14" t="e">
        <v>#N/A</v>
      </c>
      <c r="V14">
        <v>2</v>
      </c>
      <c r="Z14">
        <v>1246020</v>
      </c>
      <c r="AA14">
        <v>2009246</v>
      </c>
    </row>
    <row r="15" spans="1:27" ht="14.5" x14ac:dyDescent="0.25">
      <c r="A15" s="248"/>
      <c r="B15" s="248"/>
      <c r="C15" s="248"/>
      <c r="D15" s="248"/>
      <c r="E15" s="248"/>
      <c r="F15" s="248"/>
      <c r="G15" s="248"/>
      <c r="H15" s="248"/>
      <c r="I15" s="276" t="e">
        <f t="shared" si="0"/>
        <v>#N/A</v>
      </c>
      <c r="J15" s="248">
        <v>1</v>
      </c>
      <c r="K15" s="586">
        <f>SUM($J$2:J15)</f>
        <v>24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e">
        <v>#N/A</v>
      </c>
      <c r="V15">
        <v>1</v>
      </c>
      <c r="Z15">
        <v>2022318</v>
      </c>
      <c r="AA15">
        <v>1276939</v>
      </c>
    </row>
    <row r="16" spans="1:27" ht="14.5" x14ac:dyDescent="0.25">
      <c r="A16" s="248"/>
      <c r="B16" s="248"/>
      <c r="C16" s="248"/>
      <c r="D16" s="248"/>
      <c r="E16" s="248"/>
      <c r="F16" s="248"/>
      <c r="G16" s="248"/>
      <c r="H16" s="248"/>
      <c r="I16" s="276" t="e">
        <f t="shared" si="0"/>
        <v>#N/A</v>
      </c>
      <c r="J16" s="248">
        <v>1</v>
      </c>
      <c r="K16" s="586">
        <f>SUM($J$2:J16)</f>
        <v>25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e">
        <v>#N/A</v>
      </c>
      <c r="V16">
        <v>1</v>
      </c>
      <c r="Z16">
        <v>1270865</v>
      </c>
      <c r="AA16">
        <v>2008912</v>
      </c>
    </row>
    <row r="17" spans="1:27" ht="14.5" x14ac:dyDescent="0.25">
      <c r="A17" s="248"/>
      <c r="B17" s="248"/>
      <c r="C17" s="248"/>
      <c r="D17" s="248"/>
      <c r="E17" s="248"/>
      <c r="F17" s="248"/>
      <c r="G17" s="248"/>
      <c r="H17" s="248"/>
      <c r="I17" s="276" t="e">
        <f t="shared" si="0"/>
        <v>#N/A</v>
      </c>
      <c r="J17" s="248">
        <v>1</v>
      </c>
      <c r="K17" s="586">
        <f>SUM($J$2:J17)</f>
        <v>26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e">
        <v>#N/A</v>
      </c>
      <c r="V17">
        <v>1</v>
      </c>
      <c r="Z17">
        <v>1192119</v>
      </c>
      <c r="AA17">
        <v>1134878</v>
      </c>
    </row>
    <row r="18" spans="1:27" ht="14.5" x14ac:dyDescent="0.25">
      <c r="A18" s="248"/>
      <c r="B18" s="248"/>
      <c r="C18" s="248"/>
      <c r="D18" s="248"/>
      <c r="E18" s="248"/>
      <c r="F18" s="248"/>
      <c r="G18" s="248"/>
      <c r="H18" s="248"/>
      <c r="I18" s="276" t="e">
        <f t="shared" si="0"/>
        <v>#N/A</v>
      </c>
      <c r="J18" s="248">
        <v>1</v>
      </c>
      <c r="K18" s="586">
        <f>SUM($J$2:J18)</f>
        <v>27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e">
        <v>#N/A</v>
      </c>
      <c r="V18">
        <v>1</v>
      </c>
    </row>
    <row r="19" spans="1:27" ht="14.5" x14ac:dyDescent="0.25">
      <c r="A19" s="248"/>
      <c r="B19" s="248"/>
      <c r="C19" s="248"/>
      <c r="D19" s="248"/>
      <c r="E19" s="248"/>
      <c r="F19" s="248"/>
      <c r="G19" s="248"/>
      <c r="H19" s="248"/>
      <c r="I19" s="276" t="e">
        <f t="shared" si="0"/>
        <v>#N/A</v>
      </c>
      <c r="J19" s="248">
        <v>1</v>
      </c>
      <c r="K19" s="586">
        <f>SUM($J$2:J19)</f>
        <v>28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e">
        <v>#N/A</v>
      </c>
      <c r="V19">
        <v>2</v>
      </c>
    </row>
    <row r="20" spans="1:27" ht="14.5" x14ac:dyDescent="0.25">
      <c r="A20" s="248"/>
      <c r="B20" s="248"/>
      <c r="C20" s="248"/>
      <c r="D20" s="248"/>
      <c r="E20" s="248"/>
      <c r="F20" s="248"/>
      <c r="G20" s="248"/>
      <c r="H20" s="248"/>
      <c r="I20" s="276" t="e">
        <f t="shared" si="0"/>
        <v>#N/A</v>
      </c>
      <c r="J20" s="248">
        <v>4</v>
      </c>
      <c r="K20" s="586">
        <f>SUM($J$2:J20)</f>
        <v>32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e">
        <v>#N/A</v>
      </c>
      <c r="V20">
        <v>2</v>
      </c>
    </row>
    <row r="21" spans="1:27" ht="14.5" x14ac:dyDescent="0.25">
      <c r="A21" s="248"/>
      <c r="B21" s="248"/>
      <c r="C21" s="248"/>
      <c r="D21" s="248"/>
      <c r="E21" s="248"/>
      <c r="F21" s="248"/>
      <c r="G21" s="248"/>
      <c r="H21" s="248"/>
      <c r="I21" s="276" t="e">
        <f t="shared" si="0"/>
        <v>#N/A</v>
      </c>
      <c r="J21" s="248">
        <v>5</v>
      </c>
      <c r="K21" s="586">
        <f>SUM($J$2:J21)</f>
        <v>37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e">
        <v>#N/A</v>
      </c>
      <c r="V21">
        <v>1</v>
      </c>
    </row>
    <row r="22" spans="1:27" ht="14.5" x14ac:dyDescent="0.25">
      <c r="A22" s="248"/>
      <c r="B22" s="248"/>
      <c r="C22" s="248"/>
      <c r="D22" s="248"/>
      <c r="E22" s="248"/>
      <c r="F22" s="248"/>
      <c r="G22" s="248"/>
      <c r="H22" s="248"/>
      <c r="I22" s="276" t="e">
        <f t="shared" si="0"/>
        <v>#N/A</v>
      </c>
      <c r="J22" s="248">
        <v>2</v>
      </c>
      <c r="K22" s="586">
        <f>SUM($J$2:J22)</f>
        <v>39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e">
        <v>#N/A</v>
      </c>
      <c r="V22">
        <v>1</v>
      </c>
    </row>
    <row r="23" spans="1:27" ht="14.5" x14ac:dyDescent="0.25">
      <c r="A23" s="248"/>
      <c r="B23" s="248"/>
      <c r="C23" s="248"/>
      <c r="D23" s="248"/>
      <c r="E23" s="248"/>
      <c r="F23" s="248"/>
      <c r="G23" s="248"/>
      <c r="H23" s="248"/>
      <c r="I23" s="276" t="e">
        <f t="shared" si="0"/>
        <v>#N/A</v>
      </c>
      <c r="J23" s="248">
        <v>5</v>
      </c>
      <c r="K23" s="586">
        <f>SUM($J$2:J23)</f>
        <v>44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e">
        <v>#N/A</v>
      </c>
      <c r="V23">
        <v>1</v>
      </c>
    </row>
    <row r="24" spans="1:27" ht="14.5" x14ac:dyDescent="0.25">
      <c r="A24" s="248"/>
      <c r="B24" s="248"/>
      <c r="C24" s="248"/>
      <c r="D24" s="248"/>
      <c r="E24" s="248"/>
      <c r="F24" s="248"/>
      <c r="G24" s="248"/>
      <c r="H24" s="248"/>
      <c r="I24" s="276" t="e">
        <f t="shared" si="0"/>
        <v>#N/A</v>
      </c>
      <c r="J24" s="248">
        <v>1</v>
      </c>
      <c r="K24" s="586">
        <f>SUM($J$2:J24)</f>
        <v>45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e">
        <v>#N/A</v>
      </c>
      <c r="V24">
        <v>1</v>
      </c>
    </row>
    <row r="25" spans="1:27" ht="14.5" x14ac:dyDescent="0.25">
      <c r="A25" s="248"/>
      <c r="B25" s="248"/>
      <c r="C25" s="248"/>
      <c r="D25" s="248"/>
      <c r="E25" s="248"/>
      <c r="F25" s="248"/>
      <c r="G25" s="248"/>
      <c r="H25" s="248"/>
      <c r="I25" s="276" t="e">
        <f t="shared" si="0"/>
        <v>#N/A</v>
      </c>
      <c r="J25" s="248">
        <v>2</v>
      </c>
      <c r="K25" s="586">
        <f>SUM($J$2:J25)</f>
        <v>47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e">
        <v>#N/A</v>
      </c>
      <c r="V25">
        <v>1</v>
      </c>
    </row>
    <row r="26" spans="1:27" ht="14.5" x14ac:dyDescent="0.25">
      <c r="A26" s="248"/>
      <c r="B26" s="248"/>
      <c r="C26" s="248"/>
      <c r="D26" s="248"/>
      <c r="E26" s="248"/>
      <c r="F26" s="248"/>
      <c r="G26" s="248"/>
      <c r="H26" s="248"/>
      <c r="I26" s="276" t="e">
        <f t="shared" si="0"/>
        <v>#N/A</v>
      </c>
      <c r="J26" s="248">
        <v>2</v>
      </c>
      <c r="K26" s="586">
        <f>SUM($J$2:J26)</f>
        <v>49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e">
        <v>#N/A</v>
      </c>
      <c r="V26">
        <v>1</v>
      </c>
    </row>
    <row r="27" spans="1:27" ht="14.5" x14ac:dyDescent="0.25">
      <c r="A27" s="248"/>
      <c r="B27" s="248"/>
      <c r="C27" s="248"/>
      <c r="D27" s="248"/>
      <c r="E27" s="248"/>
      <c r="F27" s="248"/>
      <c r="G27" s="248"/>
      <c r="H27" s="248"/>
      <c r="I27" s="276" t="e">
        <f t="shared" si="0"/>
        <v>#N/A</v>
      </c>
      <c r="J27" s="248">
        <v>1</v>
      </c>
      <c r="K27" s="586">
        <f>SUM($J$2:J27)</f>
        <v>50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e">
        <v>#N/A</v>
      </c>
      <c r="V27">
        <v>1</v>
      </c>
    </row>
    <row r="28" spans="1:27" ht="14.5" x14ac:dyDescent="0.25">
      <c r="A28" s="248"/>
      <c r="B28" s="248"/>
      <c r="C28" s="248"/>
      <c r="D28" s="248"/>
      <c r="E28" s="248"/>
      <c r="F28" s="248"/>
      <c r="G28" s="248"/>
      <c r="H28" s="248"/>
      <c r="I28" s="276" t="e">
        <f t="shared" si="0"/>
        <v>#N/A</v>
      </c>
      <c r="J28" s="248">
        <v>2</v>
      </c>
      <c r="K28" s="586">
        <f>SUM($J$2:J28)</f>
        <v>52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e">
        <v>#N/A</v>
      </c>
      <c r="V28">
        <v>1</v>
      </c>
    </row>
    <row r="29" spans="1:27" ht="14.5" x14ac:dyDescent="0.25">
      <c r="A29" s="248"/>
      <c r="B29" s="248"/>
      <c r="C29" s="248"/>
      <c r="D29" s="248"/>
      <c r="E29" s="248"/>
      <c r="F29" s="248"/>
      <c r="G29" s="248"/>
      <c r="H29" s="248"/>
      <c r="I29" s="276" t="e">
        <f t="shared" si="0"/>
        <v>#N/A</v>
      </c>
      <c r="J29" s="248">
        <v>5</v>
      </c>
      <c r="K29" s="586">
        <f>SUM($J$2:J29)</f>
        <v>57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e">
        <v>#N/A</v>
      </c>
      <c r="V29">
        <v>1</v>
      </c>
    </row>
    <row r="30" spans="1:27" ht="14.5" x14ac:dyDescent="0.25">
      <c r="A30" s="248"/>
      <c r="B30" s="248"/>
      <c r="C30" s="248"/>
      <c r="D30" s="248"/>
      <c r="E30" s="248"/>
      <c r="F30" s="248"/>
      <c r="G30" s="248"/>
      <c r="H30" s="248"/>
      <c r="I30" s="276" t="e">
        <f t="shared" si="0"/>
        <v>#N/A</v>
      </c>
      <c r="J30" s="248">
        <v>1</v>
      </c>
      <c r="K30" s="586">
        <f>SUM($J$2:J30)</f>
        <v>58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e">
        <v>#N/A</v>
      </c>
      <c r="V30">
        <v>4</v>
      </c>
    </row>
    <row r="31" spans="1:27" ht="14.5" x14ac:dyDescent="0.25">
      <c r="A31" s="248"/>
      <c r="B31" s="248"/>
      <c r="C31" s="248"/>
      <c r="D31" s="248"/>
      <c r="E31" s="248"/>
      <c r="F31" s="248"/>
      <c r="G31" s="248"/>
      <c r="H31" s="248"/>
      <c r="I31" s="276" t="e">
        <f t="shared" si="0"/>
        <v>#N/A</v>
      </c>
      <c r="J31" s="248">
        <v>1</v>
      </c>
      <c r="K31" s="586">
        <f>SUM($J$2:J31)</f>
        <v>59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e">
        <v>#N/A</v>
      </c>
      <c r="V31">
        <v>4</v>
      </c>
    </row>
    <row r="32" spans="1:27" ht="14.5" x14ac:dyDescent="0.25">
      <c r="A32" s="248"/>
      <c r="B32" s="248"/>
      <c r="C32" s="248"/>
      <c r="D32" s="248"/>
      <c r="E32" s="248"/>
      <c r="F32" s="248"/>
      <c r="G32" s="248"/>
      <c r="H32" s="248"/>
      <c r="I32" s="276" t="e">
        <f t="shared" si="0"/>
        <v>#N/A</v>
      </c>
      <c r="J32" s="248">
        <v>1</v>
      </c>
      <c r="K32" s="586">
        <f>SUM($J$2:J32)</f>
        <v>60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e">
        <v>#N/A</v>
      </c>
      <c r="V32">
        <v>4</v>
      </c>
    </row>
    <row r="33" spans="1:22" ht="14.5" x14ac:dyDescent="0.25">
      <c r="A33" s="248"/>
      <c r="B33" s="248"/>
      <c r="C33" s="248"/>
      <c r="D33" s="248"/>
      <c r="E33" s="248"/>
      <c r="F33" s="248"/>
      <c r="G33" s="248"/>
      <c r="H33" s="248"/>
      <c r="I33" s="276" t="e">
        <f t="shared" si="0"/>
        <v>#N/A</v>
      </c>
      <c r="J33" s="248">
        <v>1</v>
      </c>
      <c r="K33" s="586">
        <f>SUM($J$2:J33)</f>
        <v>61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e">
        <v>#N/A</v>
      </c>
      <c r="V33">
        <v>4</v>
      </c>
    </row>
    <row r="34" spans="1:22" x14ac:dyDescent="0.25"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e">
        <v>#N/A</v>
      </c>
      <c r="V34">
        <v>5</v>
      </c>
    </row>
    <row r="35" spans="1:22" x14ac:dyDescent="0.25"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e">
        <v>#N/A</v>
      </c>
      <c r="V35">
        <v>5</v>
      </c>
    </row>
    <row r="36" spans="1:22" x14ac:dyDescent="0.25"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e">
        <v>#N/A</v>
      </c>
      <c r="V36">
        <v>5</v>
      </c>
    </row>
    <row r="37" spans="1:22" x14ac:dyDescent="0.25"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e">
        <v>#N/A</v>
      </c>
      <c r="V37">
        <v>5</v>
      </c>
    </row>
    <row r="38" spans="1:22" x14ac:dyDescent="0.25"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e">
        <v>#N/A</v>
      </c>
      <c r="V38">
        <v>5</v>
      </c>
    </row>
    <row r="39" spans="1:22" x14ac:dyDescent="0.25"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e">
        <v>#N/A</v>
      </c>
      <c r="V39">
        <v>2</v>
      </c>
    </row>
    <row r="40" spans="1:22" x14ac:dyDescent="0.25"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e">
        <v>#N/A</v>
      </c>
      <c r="V40">
        <v>2</v>
      </c>
    </row>
    <row r="41" spans="1:22" x14ac:dyDescent="0.25"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e">
        <v>#N/A</v>
      </c>
      <c r="V41">
        <v>5</v>
      </c>
    </row>
    <row r="42" spans="1:22" x14ac:dyDescent="0.25"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e">
        <v>#N/A</v>
      </c>
      <c r="V42">
        <v>5</v>
      </c>
    </row>
    <row r="43" spans="1:22" x14ac:dyDescent="0.25"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e">
        <v>#N/A</v>
      </c>
      <c r="V43">
        <v>5</v>
      </c>
    </row>
    <row r="44" spans="1:22" x14ac:dyDescent="0.25"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e">
        <v>#N/A</v>
      </c>
      <c r="V44">
        <v>5</v>
      </c>
    </row>
    <row r="45" spans="1:22" x14ac:dyDescent="0.25"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e">
        <v>#N/A</v>
      </c>
      <c r="V45">
        <v>5</v>
      </c>
    </row>
    <row r="46" spans="1:22" x14ac:dyDescent="0.25"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e">
        <v>#N/A</v>
      </c>
      <c r="V46">
        <v>1</v>
      </c>
    </row>
    <row r="47" spans="1:22" x14ac:dyDescent="0.25"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e">
        <v>#N/A</v>
      </c>
      <c r="V47">
        <v>2</v>
      </c>
    </row>
    <row r="48" spans="1:22" x14ac:dyDescent="0.25"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e">
        <v>#N/A</v>
      </c>
      <c r="V48">
        <v>2</v>
      </c>
    </row>
    <row r="49" spans="13:22" x14ac:dyDescent="0.25"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e">
        <v>#N/A</v>
      </c>
      <c r="V49">
        <v>2</v>
      </c>
    </row>
    <row r="50" spans="13:22" x14ac:dyDescent="0.25"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e">
        <v>#N/A</v>
      </c>
      <c r="V50">
        <v>2</v>
      </c>
    </row>
    <row r="51" spans="13:22" x14ac:dyDescent="0.25"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e">
        <v>#N/A</v>
      </c>
      <c r="V51">
        <v>1</v>
      </c>
    </row>
    <row r="52" spans="13:22" x14ac:dyDescent="0.25"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e">
        <v>#N/A</v>
      </c>
      <c r="V52">
        <v>2</v>
      </c>
    </row>
    <row r="53" spans="13:22" x14ac:dyDescent="0.25"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e">
        <v>#N/A</v>
      </c>
      <c r="V53">
        <v>2</v>
      </c>
    </row>
    <row r="54" spans="13:22" x14ac:dyDescent="0.25"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e">
        <v>#N/A</v>
      </c>
      <c r="V54">
        <v>5</v>
      </c>
    </row>
    <row r="55" spans="13:22" x14ac:dyDescent="0.25"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e">
        <v>#N/A</v>
      </c>
      <c r="V55">
        <v>5</v>
      </c>
    </row>
    <row r="56" spans="13:22" x14ac:dyDescent="0.25"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e">
        <v>#N/A</v>
      </c>
      <c r="V56">
        <v>5</v>
      </c>
    </row>
    <row r="57" spans="13:22" x14ac:dyDescent="0.25"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e">
        <v>#N/A</v>
      </c>
      <c r="V57">
        <v>5</v>
      </c>
    </row>
    <row r="58" spans="13:22" x14ac:dyDescent="0.25"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e">
        <v>#N/A</v>
      </c>
      <c r="V58">
        <v>5</v>
      </c>
    </row>
    <row r="59" spans="13:22" x14ac:dyDescent="0.25"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e">
        <v>#N/A</v>
      </c>
      <c r="V59">
        <v>1</v>
      </c>
    </row>
    <row r="60" spans="13:22" x14ac:dyDescent="0.25"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e">
        <v>#N/A</v>
      </c>
      <c r="V60">
        <v>1</v>
      </c>
    </row>
    <row r="61" spans="13:22" x14ac:dyDescent="0.25"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e">
        <v>#N/A</v>
      </c>
      <c r="V61">
        <v>1</v>
      </c>
    </row>
    <row r="62" spans="13:22" x14ac:dyDescent="0.25"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e">
        <v>#N/A</v>
      </c>
      <c r="V62">
        <v>1</v>
      </c>
    </row>
  </sheetData>
  <conditionalFormatting sqref="M1">
    <cfRule type="duplicateValues" dxfId="376" priority="45"/>
    <cfRule type="duplicateValues" dxfId="375" priority="47"/>
    <cfRule type="duplicateValues" dxfId="374" priority="48"/>
  </conditionalFormatting>
  <conditionalFormatting sqref="M1:N1">
    <cfRule type="duplicateValues" dxfId="373" priority="46"/>
  </conditionalFormatting>
  <conditionalFormatting sqref="N1">
    <cfRule type="duplicateValues" dxfId="372" priority="36"/>
    <cfRule type="duplicateValues" dxfId="371" priority="37"/>
    <cfRule type="duplicateValues" dxfId="370" priority="38"/>
    <cfRule type="duplicateValues" dxfId="369" priority="43"/>
    <cfRule type="duplicateValues" dxfId="368" priority="44"/>
    <cfRule type="duplicateValues" dxfId="367" priority="49"/>
    <cfRule type="duplicateValues" dxfId="366" priority="50"/>
    <cfRule type="duplicateValues" dxfId="365" priority="51"/>
    <cfRule type="duplicateValues" dxfId="364" priority="52"/>
    <cfRule type="duplicateValues" dxfId="363" priority="53"/>
    <cfRule type="duplicateValues" dxfId="362" priority="54"/>
  </conditionalFormatting>
  <conditionalFormatting sqref="O1">
    <cfRule type="duplicateValues" dxfId="361" priority="1"/>
    <cfRule type="duplicateValues" dxfId="360" priority="2"/>
    <cfRule type="duplicateValues" dxfId="359" priority="3"/>
    <cfRule type="duplicateValues" dxfId="358" priority="4"/>
    <cfRule type="duplicateValues" dxfId="357" priority="5"/>
    <cfRule type="duplicateValues" dxfId="356" priority="6"/>
    <cfRule type="duplicateValues" dxfId="355" priority="7"/>
    <cfRule type="duplicateValues" dxfId="354" priority="8"/>
    <cfRule type="duplicateValues" dxfId="353" priority="9"/>
    <cfRule type="duplicateValues" dxfId="352" priority="10"/>
    <cfRule type="duplicateValues" dxfId="351" priority="11"/>
    <cfRule type="duplicateValues" dxfId="350" priority="12"/>
    <cfRule type="duplicateValues" dxfId="349" priority="13"/>
    <cfRule type="duplicateValues" dxfId="348" priority="14"/>
    <cfRule type="duplicateValues" dxfId="347" priority="15"/>
    <cfRule type="duplicateValues" dxfId="346" priority="16"/>
    <cfRule type="duplicateValues" dxfId="345" priority="17"/>
    <cfRule type="duplicateValues" dxfId="344" priority="18"/>
    <cfRule type="duplicateValues" dxfId="343" priority="19"/>
    <cfRule type="duplicateValues" dxfId="342" priority="20"/>
    <cfRule type="duplicateValues" dxfId="341" priority="21"/>
    <cfRule type="duplicateValues" dxfId="340" priority="22"/>
    <cfRule type="duplicateValues" dxfId="339" priority="23"/>
    <cfRule type="duplicateValues" dxfId="338" priority="24"/>
    <cfRule type="duplicateValues" dxfId="337" priority="25"/>
    <cfRule type="duplicateValues" dxfId="336" priority="26"/>
    <cfRule type="duplicateValues" dxfId="335" priority="27"/>
    <cfRule type="duplicateValues" dxfId="334" priority="55"/>
    <cfRule type="duplicateValues" dxfId="333" priority="56"/>
    <cfRule type="duplicateValues" dxfId="332" priority="57"/>
    <cfRule type="duplicateValues" dxfId="331" priority="58"/>
    <cfRule type="duplicateValues" dxfId="330" priority="59"/>
    <cfRule type="duplicateValues" dxfId="329" priority="60"/>
    <cfRule type="duplicateValues" dxfId="328" priority="61"/>
    <cfRule type="duplicateValues" dxfId="327" priority="62"/>
    <cfRule type="duplicateValues" dxfId="326" priority="63"/>
    <cfRule type="duplicateValues" dxfId="325" priority="64"/>
    <cfRule type="duplicateValues" dxfId="324" priority="65"/>
    <cfRule type="duplicateValues" dxfId="323" priority="66"/>
    <cfRule type="duplicateValues" dxfId="322" priority="67"/>
    <cfRule type="duplicateValues" dxfId="321" priority="68"/>
    <cfRule type="duplicateValues" dxfId="320" priority="69"/>
    <cfRule type="duplicateValues" dxfId="319" priority="70"/>
    <cfRule type="duplicateValues" dxfId="318" priority="71"/>
    <cfRule type="duplicateValues" dxfId="317" priority="72"/>
    <cfRule type="duplicateValues" dxfId="316" priority="73"/>
    <cfRule type="duplicateValues" dxfId="315" priority="74"/>
    <cfRule type="duplicateValues" dxfId="314" priority="75"/>
  </conditionalFormatting>
  <conditionalFormatting sqref="R1 T1">
    <cfRule type="duplicateValues" dxfId="313" priority="42"/>
  </conditionalFormatting>
  <conditionalFormatting sqref="R1">
    <cfRule type="duplicateValues" dxfId="312" priority="39"/>
    <cfRule type="duplicateValues" dxfId="311" priority="40"/>
    <cfRule type="duplicateValues" dxfId="310" priority="41"/>
  </conditionalFormatting>
  <conditionalFormatting sqref="S1">
    <cfRule type="duplicateValues" dxfId="309" priority="28"/>
    <cfRule type="duplicateValues" dxfId="308" priority="29"/>
    <cfRule type="duplicateValues" dxfId="307" priority="30"/>
    <cfRule type="duplicateValues" dxfId="306" priority="31"/>
  </conditionalFormatting>
  <conditionalFormatting sqref="U1">
    <cfRule type="duplicateValues" dxfId="305" priority="32"/>
    <cfRule type="duplicateValues" dxfId="304" priority="33"/>
    <cfRule type="duplicateValues" dxfId="303" priority="34"/>
    <cfRule type="duplicateValues" dxfId="302" priority="35"/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E75BA-859E-4AB7-BE4B-AF761C9A4392}">
  <dimension ref="A1:L479"/>
  <sheetViews>
    <sheetView zoomScale="70" zoomScaleNormal="70" workbookViewId="0">
      <selection activeCell="H17" sqref="H17"/>
    </sheetView>
  </sheetViews>
  <sheetFormatPr defaultRowHeight="15.5" x14ac:dyDescent="0.25"/>
  <cols>
    <col min="1" max="1" width="8.1796875" style="4" bestFit="1" customWidth="1"/>
    <col min="2" max="2" width="10.81640625" style="4" bestFit="1" customWidth="1"/>
    <col min="3" max="3" width="51.7265625" style="4" customWidth="1"/>
    <col min="4" max="4" width="13.26953125" style="4" customWidth="1"/>
    <col min="5" max="5" width="11.1796875" style="4" customWidth="1"/>
    <col min="6" max="6" width="15.453125" style="4" customWidth="1"/>
    <col min="7" max="7" width="36.7265625" style="4" customWidth="1"/>
    <col min="8" max="8" width="41.81640625" style="4" customWidth="1"/>
    <col min="9" max="10" width="22.54296875" style="4" customWidth="1"/>
    <col min="11" max="11" width="17.453125" style="4" customWidth="1"/>
    <col min="12" max="12" width="12.1796875" style="4" customWidth="1"/>
  </cols>
  <sheetData>
    <row r="1" spans="1:12" ht="21" x14ac:dyDescent="0.25">
      <c r="A1" s="112" t="s">
        <v>0</v>
      </c>
      <c r="B1" s="800" t="s">
        <v>518</v>
      </c>
      <c r="C1" s="800" t="s">
        <v>4175</v>
      </c>
      <c r="D1" s="800" t="s">
        <v>4176</v>
      </c>
      <c r="E1" s="800" t="s">
        <v>258</v>
      </c>
      <c r="F1" s="800" t="s">
        <v>5</v>
      </c>
      <c r="G1" s="800" t="s">
        <v>4177</v>
      </c>
      <c r="H1" s="112" t="s">
        <v>2</v>
      </c>
      <c r="I1" s="113" t="s">
        <v>3</v>
      </c>
      <c r="J1" s="113"/>
      <c r="K1" s="112" t="s">
        <v>4</v>
      </c>
      <c r="L1" s="113" t="s">
        <v>5</v>
      </c>
    </row>
    <row r="2" spans="1:12" x14ac:dyDescent="0.25">
      <c r="A2" s="2">
        <v>1</v>
      </c>
      <c r="B2" s="2">
        <v>802065</v>
      </c>
      <c r="C2" s="2" t="s">
        <v>4257</v>
      </c>
      <c r="D2" s="2" t="s">
        <v>27</v>
      </c>
      <c r="E2" s="2">
        <v>1313</v>
      </c>
      <c r="F2" s="2" t="s">
        <v>248</v>
      </c>
      <c r="G2" s="2" t="s">
        <v>28</v>
      </c>
      <c r="H2" s="2" t="s">
        <v>26</v>
      </c>
      <c r="I2" s="2">
        <v>1313</v>
      </c>
      <c r="J2" s="2">
        <f>E2-I2</f>
        <v>0</v>
      </c>
      <c r="K2" s="2" t="s">
        <v>27</v>
      </c>
      <c r="L2" s="2" t="s">
        <v>248</v>
      </c>
    </row>
    <row r="3" spans="1:12" x14ac:dyDescent="0.25">
      <c r="A3" s="2">
        <v>2</v>
      </c>
      <c r="B3" s="2">
        <v>179692</v>
      </c>
      <c r="C3" s="2" t="s">
        <v>4258</v>
      </c>
      <c r="D3" s="2" t="s">
        <v>4242</v>
      </c>
      <c r="E3" s="2">
        <v>1313</v>
      </c>
      <c r="F3" s="2" t="s">
        <v>253</v>
      </c>
      <c r="G3" s="2" t="s">
        <v>47</v>
      </c>
      <c r="H3" s="2" t="s">
        <v>26</v>
      </c>
      <c r="I3" s="2">
        <v>1313</v>
      </c>
      <c r="J3" s="2">
        <f t="shared" ref="J3:J66" si="0">E3-I3</f>
        <v>0</v>
      </c>
      <c r="K3" s="2" t="s">
        <v>4242</v>
      </c>
      <c r="L3" s="2" t="s">
        <v>253</v>
      </c>
    </row>
    <row r="4" spans="1:12" x14ac:dyDescent="0.25">
      <c r="A4" s="2">
        <v>3</v>
      </c>
      <c r="B4" s="2">
        <v>179694</v>
      </c>
      <c r="C4" s="2" t="s">
        <v>4259</v>
      </c>
      <c r="D4" s="2" t="s">
        <v>4242</v>
      </c>
      <c r="E4" s="2">
        <v>1308</v>
      </c>
      <c r="F4" s="2" t="s">
        <v>253</v>
      </c>
      <c r="G4" s="2" t="s">
        <v>47</v>
      </c>
      <c r="H4" s="2" t="s">
        <v>26</v>
      </c>
      <c r="I4" s="2">
        <v>1308</v>
      </c>
      <c r="J4" s="2">
        <f t="shared" si="0"/>
        <v>0</v>
      </c>
      <c r="K4" s="3" t="s">
        <v>4242</v>
      </c>
      <c r="L4" s="3" t="s">
        <v>253</v>
      </c>
    </row>
    <row r="5" spans="1:12" x14ac:dyDescent="0.25">
      <c r="A5" s="2">
        <v>4</v>
      </c>
      <c r="B5" s="2">
        <v>179734</v>
      </c>
      <c r="C5" s="2" t="s">
        <v>4260</v>
      </c>
      <c r="D5" s="2" t="s">
        <v>192</v>
      </c>
      <c r="E5" s="2" t="s">
        <v>38</v>
      </c>
      <c r="F5" s="2" t="s">
        <v>103</v>
      </c>
      <c r="G5" s="2" t="s">
        <v>36</v>
      </c>
      <c r="H5" s="2" t="s">
        <v>4251</v>
      </c>
      <c r="I5" s="2" t="s">
        <v>38</v>
      </c>
      <c r="J5" s="2" t="e">
        <f t="shared" si="0"/>
        <v>#VALUE!</v>
      </c>
      <c r="K5" s="3" t="s">
        <v>192</v>
      </c>
      <c r="L5" s="3" t="s">
        <v>103</v>
      </c>
    </row>
    <row r="6" spans="1:12" x14ac:dyDescent="0.25">
      <c r="A6" s="2">
        <v>5</v>
      </c>
      <c r="B6" s="2">
        <v>179790</v>
      </c>
      <c r="C6" s="2" t="s">
        <v>4261</v>
      </c>
      <c r="D6" s="2" t="s">
        <v>4242</v>
      </c>
      <c r="E6" s="2">
        <v>1613</v>
      </c>
      <c r="F6" s="2" t="s">
        <v>253</v>
      </c>
      <c r="G6" s="2" t="s">
        <v>47</v>
      </c>
      <c r="H6" s="2" t="s">
        <v>26</v>
      </c>
      <c r="I6" s="2">
        <v>1613</v>
      </c>
      <c r="J6" s="2">
        <f t="shared" si="0"/>
        <v>0</v>
      </c>
      <c r="K6" s="3" t="s">
        <v>4242</v>
      </c>
      <c r="L6" s="3" t="s">
        <v>253</v>
      </c>
    </row>
    <row r="7" spans="1:12" x14ac:dyDescent="0.25">
      <c r="A7" s="2">
        <v>6</v>
      </c>
      <c r="B7" s="2">
        <v>375538</v>
      </c>
      <c r="C7" s="2" t="s">
        <v>4262</v>
      </c>
      <c r="D7" s="2" t="s">
        <v>103</v>
      </c>
      <c r="E7" s="2" t="s">
        <v>38</v>
      </c>
      <c r="F7" s="2" t="s">
        <v>103</v>
      </c>
      <c r="G7" s="2" t="s">
        <v>36</v>
      </c>
      <c r="H7" s="459" t="s">
        <v>37</v>
      </c>
      <c r="I7" s="2" t="s">
        <v>38</v>
      </c>
      <c r="J7" s="2" t="e">
        <f t="shared" si="0"/>
        <v>#VALUE!</v>
      </c>
      <c r="K7" s="3" t="s">
        <v>103</v>
      </c>
      <c r="L7" s="3" t="s">
        <v>103</v>
      </c>
    </row>
    <row r="8" spans="1:12" x14ac:dyDescent="0.25">
      <c r="A8" s="2">
        <v>7</v>
      </c>
      <c r="B8" s="2">
        <v>399930</v>
      </c>
      <c r="C8" s="2" t="s">
        <v>4263</v>
      </c>
      <c r="D8" s="2" t="s">
        <v>44</v>
      </c>
      <c r="E8" s="2" t="s">
        <v>4247</v>
      </c>
      <c r="F8" s="2" t="s">
        <v>253</v>
      </c>
      <c r="G8" s="2" t="s">
        <v>28</v>
      </c>
      <c r="H8" s="2" t="s">
        <v>42</v>
      </c>
      <c r="I8" s="2" t="s">
        <v>4247</v>
      </c>
      <c r="J8" s="2" t="e">
        <f t="shared" si="0"/>
        <v>#VALUE!</v>
      </c>
      <c r="K8" s="3" t="s">
        <v>44</v>
      </c>
      <c r="L8" s="3" t="s">
        <v>253</v>
      </c>
    </row>
    <row r="9" spans="1:12" x14ac:dyDescent="0.25">
      <c r="A9" s="2">
        <v>8</v>
      </c>
      <c r="B9" s="2">
        <v>584832</v>
      </c>
      <c r="C9" s="2" t="s">
        <v>4264</v>
      </c>
      <c r="D9" s="2" t="s">
        <v>46</v>
      </c>
      <c r="E9" s="2">
        <v>1913</v>
      </c>
      <c r="F9" s="2" t="s">
        <v>248</v>
      </c>
      <c r="G9" s="2" t="s">
        <v>47</v>
      </c>
      <c r="H9" s="2" t="s">
        <v>26</v>
      </c>
      <c r="I9" s="2">
        <v>1913</v>
      </c>
      <c r="J9" s="2">
        <f t="shared" si="0"/>
        <v>0</v>
      </c>
      <c r="K9" s="3" t="s">
        <v>46</v>
      </c>
      <c r="L9" s="3" t="s">
        <v>248</v>
      </c>
    </row>
    <row r="10" spans="1:12" x14ac:dyDescent="0.25">
      <c r="A10" s="2">
        <v>9</v>
      </c>
      <c r="B10" s="2">
        <v>467367</v>
      </c>
      <c r="C10" s="2" t="s">
        <v>4265</v>
      </c>
      <c r="D10" s="2" t="s">
        <v>48</v>
      </c>
      <c r="E10" s="2">
        <v>1613</v>
      </c>
      <c r="F10" s="2" t="s">
        <v>253</v>
      </c>
      <c r="G10" s="2" t="s">
        <v>49</v>
      </c>
      <c r="H10" s="2" t="s">
        <v>26</v>
      </c>
      <c r="I10" s="2">
        <v>1613</v>
      </c>
      <c r="J10" s="2">
        <f t="shared" si="0"/>
        <v>0</v>
      </c>
      <c r="K10" s="2" t="s">
        <v>48</v>
      </c>
      <c r="L10" s="2" t="s">
        <v>253</v>
      </c>
    </row>
    <row r="11" spans="1:12" x14ac:dyDescent="0.25">
      <c r="A11" s="2">
        <v>10</v>
      </c>
      <c r="B11" s="2">
        <v>535656</v>
      </c>
      <c r="C11" s="2" t="s">
        <v>4266</v>
      </c>
      <c r="D11" s="2" t="s">
        <v>48</v>
      </c>
      <c r="E11" s="2">
        <v>1608</v>
      </c>
      <c r="F11" s="2" t="s">
        <v>248</v>
      </c>
      <c r="G11" s="2" t="s">
        <v>49</v>
      </c>
      <c r="H11" s="2" t="s">
        <v>26</v>
      </c>
      <c r="I11" s="2">
        <v>1608</v>
      </c>
      <c r="J11" s="2">
        <f t="shared" si="0"/>
        <v>0</v>
      </c>
      <c r="K11" s="2" t="s">
        <v>48</v>
      </c>
      <c r="L11" s="2" t="s">
        <v>248</v>
      </c>
    </row>
    <row r="12" spans="1:12" x14ac:dyDescent="0.25">
      <c r="A12" s="2">
        <v>11</v>
      </c>
      <c r="B12" s="2">
        <v>471108</v>
      </c>
      <c r="C12" s="2" t="s">
        <v>4267</v>
      </c>
      <c r="D12" s="2" t="s">
        <v>48</v>
      </c>
      <c r="E12" s="2">
        <v>1313</v>
      </c>
      <c r="F12" s="2" t="s">
        <v>248</v>
      </c>
      <c r="G12" s="2" t="s">
        <v>49</v>
      </c>
      <c r="H12" s="2" t="s">
        <v>26</v>
      </c>
      <c r="I12" s="2">
        <v>1313</v>
      </c>
      <c r="J12" s="2">
        <f t="shared" si="0"/>
        <v>0</v>
      </c>
      <c r="K12" s="2" t="s">
        <v>48</v>
      </c>
      <c r="L12" s="2" t="s">
        <v>248</v>
      </c>
    </row>
    <row r="13" spans="1:12" x14ac:dyDescent="0.25">
      <c r="A13" s="2">
        <v>12</v>
      </c>
      <c r="B13" s="2">
        <v>471109</v>
      </c>
      <c r="C13" s="2" t="s">
        <v>4268</v>
      </c>
      <c r="D13" s="2" t="s">
        <v>48</v>
      </c>
      <c r="E13" s="2">
        <v>1613</v>
      </c>
      <c r="F13" s="2" t="s">
        <v>248</v>
      </c>
      <c r="G13" s="2" t="s">
        <v>49</v>
      </c>
      <c r="H13" s="2" t="s">
        <v>26</v>
      </c>
      <c r="I13" s="2">
        <v>1613</v>
      </c>
      <c r="J13" s="2">
        <f t="shared" si="0"/>
        <v>0</v>
      </c>
      <c r="K13" s="2" t="s">
        <v>48</v>
      </c>
      <c r="L13" s="2" t="s">
        <v>248</v>
      </c>
    </row>
    <row r="14" spans="1:12" x14ac:dyDescent="0.25">
      <c r="A14" s="2">
        <v>13</v>
      </c>
      <c r="B14" s="2">
        <v>587493</v>
      </c>
      <c r="C14" s="2" t="s">
        <v>4269</v>
      </c>
      <c r="D14" s="2" t="s">
        <v>46</v>
      </c>
      <c r="E14" s="2">
        <v>1908</v>
      </c>
      <c r="F14" s="2" t="s">
        <v>253</v>
      </c>
      <c r="G14" s="2" t="s">
        <v>47</v>
      </c>
      <c r="H14" s="2" t="s">
        <v>26</v>
      </c>
      <c r="I14" s="2">
        <v>1908</v>
      </c>
      <c r="J14" s="2">
        <f t="shared" si="0"/>
        <v>0</v>
      </c>
      <c r="K14" s="2" t="s">
        <v>46</v>
      </c>
      <c r="L14" s="2" t="s">
        <v>253</v>
      </c>
    </row>
    <row r="15" spans="1:12" x14ac:dyDescent="0.25">
      <c r="A15" s="2">
        <v>14</v>
      </c>
      <c r="B15" s="2">
        <v>565884</v>
      </c>
      <c r="C15" s="2" t="s">
        <v>4438</v>
      </c>
      <c r="D15" s="2" t="s">
        <v>50</v>
      </c>
      <c r="E15" s="2">
        <v>1313</v>
      </c>
      <c r="F15" s="2" t="s">
        <v>253</v>
      </c>
      <c r="G15" s="2" t="s">
        <v>47</v>
      </c>
      <c r="H15" s="2" t="s">
        <v>26</v>
      </c>
      <c r="I15" s="2">
        <v>1313</v>
      </c>
      <c r="J15" s="2">
        <f t="shared" si="0"/>
        <v>0</v>
      </c>
      <c r="K15" s="2" t="s">
        <v>50</v>
      </c>
      <c r="L15" s="2" t="s">
        <v>253</v>
      </c>
    </row>
    <row r="16" spans="1:12" x14ac:dyDescent="0.25">
      <c r="A16" s="2">
        <v>15</v>
      </c>
      <c r="B16" s="2">
        <v>703670</v>
      </c>
      <c r="C16" s="2" t="s">
        <v>4270</v>
      </c>
      <c r="D16" s="2" t="s">
        <v>51</v>
      </c>
      <c r="E16" s="2">
        <v>1313</v>
      </c>
      <c r="F16" s="2" t="s">
        <v>248</v>
      </c>
      <c r="G16" s="2" t="s">
        <v>47</v>
      </c>
      <c r="H16" s="2" t="s">
        <v>26</v>
      </c>
      <c r="I16" s="2">
        <v>1313</v>
      </c>
      <c r="J16" s="2">
        <f t="shared" si="0"/>
        <v>0</v>
      </c>
      <c r="K16" s="2" t="s">
        <v>51</v>
      </c>
      <c r="L16" s="2" t="s">
        <v>248</v>
      </c>
    </row>
    <row r="17" spans="1:12" x14ac:dyDescent="0.25">
      <c r="A17" s="2">
        <v>16</v>
      </c>
      <c r="B17" s="2">
        <v>708305</v>
      </c>
      <c r="C17" s="2" t="s">
        <v>4271</v>
      </c>
      <c r="D17" s="2" t="s">
        <v>51</v>
      </c>
      <c r="E17" s="2">
        <v>1913</v>
      </c>
      <c r="F17" s="2" t="s">
        <v>248</v>
      </c>
      <c r="G17" s="2" t="s">
        <v>47</v>
      </c>
      <c r="H17" s="2" t="s">
        <v>26</v>
      </c>
      <c r="I17" s="2">
        <v>1913</v>
      </c>
      <c r="J17" s="2">
        <f t="shared" si="0"/>
        <v>0</v>
      </c>
      <c r="K17" s="2" t="s">
        <v>51</v>
      </c>
      <c r="L17" s="2" t="s">
        <v>248</v>
      </c>
    </row>
    <row r="18" spans="1:12" x14ac:dyDescent="0.25">
      <c r="A18" s="2">
        <v>17</v>
      </c>
      <c r="B18" s="2">
        <v>717749</v>
      </c>
      <c r="C18" s="2" t="s">
        <v>4439</v>
      </c>
      <c r="D18" s="2" t="s">
        <v>51</v>
      </c>
      <c r="E18" s="2">
        <v>1308</v>
      </c>
      <c r="F18" s="2" t="s">
        <v>248</v>
      </c>
      <c r="G18" s="2" t="s">
        <v>47</v>
      </c>
      <c r="H18" s="2" t="s">
        <v>26</v>
      </c>
      <c r="I18" s="2">
        <v>1308</v>
      </c>
      <c r="J18" s="2">
        <f t="shared" si="0"/>
        <v>0</v>
      </c>
      <c r="K18" s="2" t="s">
        <v>51</v>
      </c>
      <c r="L18" s="2" t="s">
        <v>248</v>
      </c>
    </row>
    <row r="19" spans="1:12" x14ac:dyDescent="0.25">
      <c r="A19" s="2">
        <v>18</v>
      </c>
      <c r="B19" s="2">
        <v>745171</v>
      </c>
      <c r="C19" s="2" t="s">
        <v>4272</v>
      </c>
      <c r="D19" s="2" t="s">
        <v>53</v>
      </c>
      <c r="E19" s="2">
        <v>1308</v>
      </c>
      <c r="F19" s="2" t="s">
        <v>248</v>
      </c>
      <c r="G19" s="2" t="s">
        <v>47</v>
      </c>
      <c r="H19" s="2" t="s">
        <v>26</v>
      </c>
      <c r="I19" s="2">
        <v>1308</v>
      </c>
      <c r="J19" s="2">
        <f t="shared" si="0"/>
        <v>0</v>
      </c>
      <c r="K19" s="2" t="s">
        <v>53</v>
      </c>
      <c r="L19" s="2" t="s">
        <v>248</v>
      </c>
    </row>
    <row r="20" spans="1:12" x14ac:dyDescent="0.25">
      <c r="A20" s="2">
        <v>19</v>
      </c>
      <c r="B20" s="2">
        <v>376826</v>
      </c>
      <c r="C20" s="2" t="e">
        <v>#N/A</v>
      </c>
      <c r="D20" s="2" t="e">
        <v>#N/A</v>
      </c>
      <c r="E20" s="2" t="e">
        <v>#N/A</v>
      </c>
      <c r="F20" s="2" t="e">
        <v>#N/A</v>
      </c>
      <c r="G20" s="806" t="e">
        <v>#N/A</v>
      </c>
      <c r="H20" s="5" t="s">
        <v>54</v>
      </c>
      <c r="I20" s="5" t="s">
        <v>55</v>
      </c>
      <c r="J20" s="2" t="e">
        <f t="shared" si="0"/>
        <v>#N/A</v>
      </c>
      <c r="K20" s="5" t="s">
        <v>56</v>
      </c>
      <c r="L20" s="5"/>
    </row>
    <row r="21" spans="1:12" x14ac:dyDescent="0.25">
      <c r="A21" s="2">
        <v>20</v>
      </c>
      <c r="B21" s="2">
        <v>621152</v>
      </c>
      <c r="C21" s="607" t="s">
        <v>4273</v>
      </c>
      <c r="D21" s="2" t="s">
        <v>103</v>
      </c>
      <c r="E21" s="2" t="s">
        <v>38</v>
      </c>
      <c r="F21" s="2" t="s">
        <v>103</v>
      </c>
      <c r="G21" s="2" t="s">
        <v>36</v>
      </c>
      <c r="H21" s="2" t="s">
        <v>58</v>
      </c>
      <c r="I21" s="2" t="s">
        <v>38</v>
      </c>
      <c r="J21" s="2" t="e">
        <f t="shared" si="0"/>
        <v>#VALUE!</v>
      </c>
      <c r="K21" s="2" t="s">
        <v>103</v>
      </c>
      <c r="L21" s="2" t="s">
        <v>103</v>
      </c>
    </row>
    <row r="22" spans="1:12" x14ac:dyDescent="0.25">
      <c r="A22" s="2">
        <v>21</v>
      </c>
      <c r="B22" s="2">
        <v>643435</v>
      </c>
      <c r="C22" s="2" t="s">
        <v>4274</v>
      </c>
      <c r="D22" s="2" t="s">
        <v>61</v>
      </c>
      <c r="E22" s="2">
        <v>1913</v>
      </c>
      <c r="F22" s="2" t="s">
        <v>253</v>
      </c>
      <c r="G22" s="2" t="s">
        <v>4275</v>
      </c>
      <c r="H22" s="2" t="s">
        <v>26</v>
      </c>
      <c r="I22" s="2">
        <v>1913</v>
      </c>
      <c r="J22" s="2">
        <f t="shared" si="0"/>
        <v>0</v>
      </c>
      <c r="K22" s="2" t="s">
        <v>61</v>
      </c>
      <c r="L22" s="2" t="s">
        <v>253</v>
      </c>
    </row>
    <row r="23" spans="1:12" x14ac:dyDescent="0.25">
      <c r="A23" s="2">
        <v>22</v>
      </c>
      <c r="B23" s="2">
        <v>638561</v>
      </c>
      <c r="C23" s="2" t="s">
        <v>4276</v>
      </c>
      <c r="D23" s="2" t="s">
        <v>61</v>
      </c>
      <c r="E23" s="2">
        <v>1613</v>
      </c>
      <c r="F23" s="2" t="s">
        <v>253</v>
      </c>
      <c r="G23" s="2" t="s">
        <v>4275</v>
      </c>
      <c r="H23" s="2" t="s">
        <v>26</v>
      </c>
      <c r="I23" s="2">
        <v>1613</v>
      </c>
      <c r="J23" s="2">
        <f t="shared" si="0"/>
        <v>0</v>
      </c>
      <c r="K23" s="2" t="s">
        <v>61</v>
      </c>
      <c r="L23" s="2" t="s">
        <v>253</v>
      </c>
    </row>
    <row r="24" spans="1:12" x14ac:dyDescent="0.25">
      <c r="A24" s="2">
        <v>23</v>
      </c>
      <c r="B24" s="2">
        <v>745576</v>
      </c>
      <c r="C24" s="2" t="s">
        <v>4277</v>
      </c>
      <c r="D24" s="2" t="s">
        <v>62</v>
      </c>
      <c r="E24" s="2">
        <v>1913</v>
      </c>
      <c r="F24" s="2" t="s">
        <v>253</v>
      </c>
      <c r="G24" s="2" t="s">
        <v>4275</v>
      </c>
      <c r="H24" s="2" t="s">
        <v>26</v>
      </c>
      <c r="I24" s="2">
        <v>1913</v>
      </c>
      <c r="J24" s="2">
        <f t="shared" si="0"/>
        <v>0</v>
      </c>
      <c r="K24" s="2" t="s">
        <v>62</v>
      </c>
      <c r="L24" s="2" t="s">
        <v>253</v>
      </c>
    </row>
    <row r="25" spans="1:12" x14ac:dyDescent="0.25">
      <c r="A25" s="2">
        <v>24</v>
      </c>
      <c r="B25" s="2">
        <v>729688</v>
      </c>
      <c r="C25" s="2" t="s">
        <v>4440</v>
      </c>
      <c r="D25" s="2" t="s">
        <v>62</v>
      </c>
      <c r="E25" s="2">
        <v>1308</v>
      </c>
      <c r="F25" s="2" t="s">
        <v>253</v>
      </c>
      <c r="G25" s="2" t="s">
        <v>4275</v>
      </c>
      <c r="H25" s="2" t="s">
        <v>26</v>
      </c>
      <c r="I25" s="2">
        <v>1308</v>
      </c>
      <c r="J25" s="2">
        <f t="shared" si="0"/>
        <v>0</v>
      </c>
      <c r="K25" s="2" t="s">
        <v>62</v>
      </c>
      <c r="L25" s="2" t="s">
        <v>253</v>
      </c>
    </row>
    <row r="26" spans="1:12" x14ac:dyDescent="0.25">
      <c r="A26" s="2">
        <v>25</v>
      </c>
      <c r="B26" s="2">
        <v>729691</v>
      </c>
      <c r="C26" s="2" t="s">
        <v>4278</v>
      </c>
      <c r="D26" s="2" t="s">
        <v>62</v>
      </c>
      <c r="E26" s="2">
        <v>1613</v>
      </c>
      <c r="F26" s="2" t="s">
        <v>253</v>
      </c>
      <c r="G26" s="2" t="s">
        <v>4275</v>
      </c>
      <c r="H26" s="2" t="s">
        <v>26</v>
      </c>
      <c r="I26" s="2">
        <v>1613</v>
      </c>
      <c r="J26" s="2">
        <f t="shared" si="0"/>
        <v>0</v>
      </c>
      <c r="K26" s="2" t="s">
        <v>62</v>
      </c>
      <c r="L26" s="2" t="s">
        <v>253</v>
      </c>
    </row>
    <row r="27" spans="1:12" x14ac:dyDescent="0.25">
      <c r="A27" s="2">
        <v>26</v>
      </c>
      <c r="B27" s="2">
        <v>643433</v>
      </c>
      <c r="C27" s="2" t="s">
        <v>4279</v>
      </c>
      <c r="D27" s="2" t="s">
        <v>61</v>
      </c>
      <c r="E27" s="2">
        <v>1913</v>
      </c>
      <c r="F27" s="2" t="s">
        <v>248</v>
      </c>
      <c r="G27" s="2" t="s">
        <v>4275</v>
      </c>
      <c r="H27" s="2" t="s">
        <v>26</v>
      </c>
      <c r="I27" s="2">
        <v>1913</v>
      </c>
      <c r="J27" s="2">
        <f t="shared" si="0"/>
        <v>0</v>
      </c>
      <c r="K27" s="2" t="s">
        <v>61</v>
      </c>
      <c r="L27" s="2" t="s">
        <v>248</v>
      </c>
    </row>
    <row r="28" spans="1:12" x14ac:dyDescent="0.25">
      <c r="A28" s="2">
        <v>27</v>
      </c>
      <c r="B28" s="2">
        <v>729687</v>
      </c>
      <c r="C28" s="2" t="s">
        <v>4280</v>
      </c>
      <c r="D28" s="2" t="s">
        <v>62</v>
      </c>
      <c r="E28" s="2">
        <v>1613</v>
      </c>
      <c r="F28" s="2" t="s">
        <v>248</v>
      </c>
      <c r="G28" s="2" t="s">
        <v>4275</v>
      </c>
      <c r="H28" s="2" t="s">
        <v>26</v>
      </c>
      <c r="I28" s="2">
        <v>1613</v>
      </c>
      <c r="J28" s="2">
        <f t="shared" si="0"/>
        <v>0</v>
      </c>
      <c r="K28" s="2" t="s">
        <v>62</v>
      </c>
      <c r="L28" s="2" t="s">
        <v>248</v>
      </c>
    </row>
    <row r="29" spans="1:12" x14ac:dyDescent="0.25">
      <c r="A29" s="2">
        <v>28</v>
      </c>
      <c r="B29" s="2">
        <v>177778</v>
      </c>
      <c r="C29" s="2" t="s">
        <v>4281</v>
      </c>
      <c r="D29" s="2" t="s">
        <v>51</v>
      </c>
      <c r="E29" s="2">
        <v>1303</v>
      </c>
      <c r="F29" s="2" t="s">
        <v>103</v>
      </c>
      <c r="G29" s="2" t="s">
        <v>47</v>
      </c>
      <c r="H29" s="2" t="s">
        <v>65</v>
      </c>
      <c r="I29" s="2">
        <v>1303</v>
      </c>
      <c r="J29" s="2">
        <f t="shared" si="0"/>
        <v>0</v>
      </c>
      <c r="K29" s="2" t="s">
        <v>51</v>
      </c>
      <c r="L29" s="2" t="s">
        <v>103</v>
      </c>
    </row>
    <row r="30" spans="1:12" x14ac:dyDescent="0.25">
      <c r="A30" s="2">
        <v>29</v>
      </c>
      <c r="B30" s="2">
        <v>638560</v>
      </c>
      <c r="C30" s="2" t="s">
        <v>4282</v>
      </c>
      <c r="D30" s="2" t="s">
        <v>61</v>
      </c>
      <c r="E30" s="2">
        <v>1313</v>
      </c>
      <c r="F30" s="2" t="s">
        <v>253</v>
      </c>
      <c r="G30" s="2" t="s">
        <v>4275</v>
      </c>
      <c r="H30" s="2" t="s">
        <v>26</v>
      </c>
      <c r="I30" s="2">
        <v>1313</v>
      </c>
      <c r="J30" s="2">
        <f t="shared" si="0"/>
        <v>0</v>
      </c>
      <c r="K30" s="2" t="s">
        <v>61</v>
      </c>
      <c r="L30" s="2" t="s">
        <v>253</v>
      </c>
    </row>
    <row r="31" spans="1:12" x14ac:dyDescent="0.25">
      <c r="A31" s="2">
        <v>30</v>
      </c>
      <c r="B31" s="2">
        <v>578502</v>
      </c>
      <c r="C31" s="2" t="s">
        <v>4283</v>
      </c>
      <c r="D31" s="2" t="s">
        <v>50</v>
      </c>
      <c r="E31" s="2">
        <v>1010</v>
      </c>
      <c r="F31" s="2" t="s">
        <v>253</v>
      </c>
      <c r="G31" s="2" t="s">
        <v>47</v>
      </c>
      <c r="H31" s="2" t="s">
        <v>26</v>
      </c>
      <c r="I31" s="2">
        <v>1010</v>
      </c>
      <c r="J31" s="2">
        <f t="shared" si="0"/>
        <v>0</v>
      </c>
      <c r="K31" s="2" t="s">
        <v>50</v>
      </c>
      <c r="L31" s="2" t="s">
        <v>253</v>
      </c>
    </row>
    <row r="32" spans="1:12" x14ac:dyDescent="0.25">
      <c r="A32" s="2">
        <v>31</v>
      </c>
      <c r="B32" s="2">
        <v>781580</v>
      </c>
      <c r="C32" s="2" t="s">
        <v>4441</v>
      </c>
      <c r="D32" s="2" t="s">
        <v>53</v>
      </c>
      <c r="E32" s="2">
        <v>1010</v>
      </c>
      <c r="F32" s="2" t="s">
        <v>253</v>
      </c>
      <c r="G32" s="2" t="s">
        <v>47</v>
      </c>
      <c r="H32" s="2" t="s">
        <v>26</v>
      </c>
      <c r="I32" s="2">
        <v>1010</v>
      </c>
      <c r="J32" s="2">
        <f t="shared" si="0"/>
        <v>0</v>
      </c>
      <c r="K32" s="2" t="s">
        <v>53</v>
      </c>
      <c r="L32" s="2" t="s">
        <v>253</v>
      </c>
    </row>
    <row r="33" spans="1:12" x14ac:dyDescent="0.25">
      <c r="A33" s="2">
        <v>32</v>
      </c>
      <c r="B33" s="2">
        <v>646938</v>
      </c>
      <c r="C33" s="2" t="s">
        <v>4284</v>
      </c>
      <c r="D33" s="2" t="s">
        <v>66</v>
      </c>
      <c r="E33" s="2">
        <v>1308</v>
      </c>
      <c r="F33" s="2" t="s">
        <v>248</v>
      </c>
      <c r="G33" s="2" t="s">
        <v>28</v>
      </c>
      <c r="H33" s="2" t="s">
        <v>26</v>
      </c>
      <c r="I33" s="2">
        <v>1308</v>
      </c>
      <c r="J33" s="2">
        <f t="shared" si="0"/>
        <v>0</v>
      </c>
      <c r="K33" s="2" t="s">
        <v>66</v>
      </c>
      <c r="L33" s="2" t="s">
        <v>248</v>
      </c>
    </row>
    <row r="34" spans="1:12" x14ac:dyDescent="0.25">
      <c r="A34" s="2">
        <v>33</v>
      </c>
      <c r="B34" s="2">
        <v>780654</v>
      </c>
      <c r="C34" s="2" t="s">
        <v>4442</v>
      </c>
      <c r="D34" s="2" t="s">
        <v>53</v>
      </c>
      <c r="E34" s="2">
        <v>1010</v>
      </c>
      <c r="F34" s="2" t="s">
        <v>248</v>
      </c>
      <c r="G34" s="2" t="s">
        <v>47</v>
      </c>
      <c r="H34" s="2" t="s">
        <v>26</v>
      </c>
      <c r="I34" s="2">
        <v>1010</v>
      </c>
      <c r="J34" s="2">
        <f t="shared" si="0"/>
        <v>0</v>
      </c>
      <c r="K34" s="2" t="s">
        <v>53</v>
      </c>
      <c r="L34" s="2" t="s">
        <v>248</v>
      </c>
    </row>
    <row r="35" spans="1:12" x14ac:dyDescent="0.25">
      <c r="A35" s="2">
        <v>34</v>
      </c>
      <c r="B35" s="2">
        <v>729434</v>
      </c>
      <c r="C35" s="2" t="s">
        <v>4443</v>
      </c>
      <c r="D35" s="2" t="s">
        <v>62</v>
      </c>
      <c r="E35" s="2">
        <v>1308</v>
      </c>
      <c r="F35" s="2" t="s">
        <v>248</v>
      </c>
      <c r="G35" s="2" t="s">
        <v>4275</v>
      </c>
      <c r="H35" s="2" t="s">
        <v>26</v>
      </c>
      <c r="I35" s="2">
        <v>1308</v>
      </c>
      <c r="J35" s="2">
        <f t="shared" si="0"/>
        <v>0</v>
      </c>
      <c r="K35" s="2" t="s">
        <v>62</v>
      </c>
      <c r="L35" s="2" t="s">
        <v>248</v>
      </c>
    </row>
    <row r="36" spans="1:12" x14ac:dyDescent="0.25">
      <c r="A36" s="2">
        <v>35</v>
      </c>
      <c r="B36" s="2">
        <v>802064</v>
      </c>
      <c r="C36" s="2" t="s">
        <v>4285</v>
      </c>
      <c r="D36" s="2" t="s">
        <v>27</v>
      </c>
      <c r="E36" s="2">
        <v>1308</v>
      </c>
      <c r="F36" s="2" t="s">
        <v>248</v>
      </c>
      <c r="G36" s="2" t="s">
        <v>28</v>
      </c>
      <c r="H36" s="2" t="s">
        <v>26</v>
      </c>
      <c r="I36" s="2">
        <v>1308</v>
      </c>
      <c r="J36" s="2">
        <f t="shared" si="0"/>
        <v>0</v>
      </c>
      <c r="K36" s="2" t="s">
        <v>27</v>
      </c>
      <c r="L36" s="2" t="s">
        <v>248</v>
      </c>
    </row>
    <row r="37" spans="1:12" x14ac:dyDescent="0.25">
      <c r="A37" s="2">
        <v>36</v>
      </c>
      <c r="B37" s="2">
        <v>717748</v>
      </c>
      <c r="C37" s="2" t="s">
        <v>4127</v>
      </c>
      <c r="D37" s="2" t="s">
        <v>51</v>
      </c>
      <c r="E37" s="2">
        <v>1010</v>
      </c>
      <c r="F37" s="2" t="s">
        <v>253</v>
      </c>
      <c r="G37" s="2" t="s">
        <v>47</v>
      </c>
      <c r="H37" s="2" t="s">
        <v>26</v>
      </c>
      <c r="I37" s="2">
        <v>1010</v>
      </c>
      <c r="J37" s="2">
        <f t="shared" si="0"/>
        <v>0</v>
      </c>
      <c r="K37" s="2" t="s">
        <v>51</v>
      </c>
      <c r="L37" s="2" t="s">
        <v>253</v>
      </c>
    </row>
    <row r="38" spans="1:12" x14ac:dyDescent="0.25">
      <c r="A38" s="2">
        <v>37</v>
      </c>
      <c r="B38" s="2">
        <v>752294</v>
      </c>
      <c r="C38" s="2" t="s">
        <v>4444</v>
      </c>
      <c r="D38" s="2" t="s">
        <v>62</v>
      </c>
      <c r="E38" s="2">
        <v>1010</v>
      </c>
      <c r="F38" s="2" t="s">
        <v>253</v>
      </c>
      <c r="G38" s="2" t="s">
        <v>4275</v>
      </c>
      <c r="H38" s="2" t="s">
        <v>26</v>
      </c>
      <c r="I38" s="2">
        <v>1010</v>
      </c>
      <c r="J38" s="2">
        <f t="shared" si="0"/>
        <v>0</v>
      </c>
      <c r="K38" s="2" t="s">
        <v>62</v>
      </c>
      <c r="L38" s="2" t="s">
        <v>253</v>
      </c>
    </row>
    <row r="39" spans="1:12" x14ac:dyDescent="0.25">
      <c r="A39" s="2">
        <v>38</v>
      </c>
      <c r="B39" s="2">
        <v>761304</v>
      </c>
      <c r="C39" s="2" t="s">
        <v>4286</v>
      </c>
      <c r="D39" s="2" t="s">
        <v>53</v>
      </c>
      <c r="E39" s="2" t="s">
        <v>911</v>
      </c>
      <c r="F39" s="2" t="s">
        <v>248</v>
      </c>
      <c r="G39" s="2" t="s">
        <v>47</v>
      </c>
      <c r="H39" s="5" t="s">
        <v>42</v>
      </c>
      <c r="I39" s="2" t="s">
        <v>911</v>
      </c>
      <c r="J39" s="2" t="e">
        <f t="shared" si="0"/>
        <v>#VALUE!</v>
      </c>
      <c r="K39" s="2" t="s">
        <v>53</v>
      </c>
      <c r="L39" s="2" t="s">
        <v>248</v>
      </c>
    </row>
    <row r="40" spans="1:12" x14ac:dyDescent="0.25">
      <c r="A40" s="2">
        <v>39</v>
      </c>
      <c r="B40" s="2">
        <v>770450</v>
      </c>
      <c r="C40" s="2" t="s">
        <v>4287</v>
      </c>
      <c r="D40" s="2" t="s">
        <v>53</v>
      </c>
      <c r="E40" s="2" t="s">
        <v>4248</v>
      </c>
      <c r="F40" s="2" t="s">
        <v>253</v>
      </c>
      <c r="G40" s="2" t="s">
        <v>47</v>
      </c>
      <c r="H40" s="2" t="s">
        <v>42</v>
      </c>
      <c r="I40" s="5" t="s">
        <v>4248</v>
      </c>
      <c r="J40" s="2" t="e">
        <f t="shared" si="0"/>
        <v>#VALUE!</v>
      </c>
      <c r="K40" s="5" t="s">
        <v>53</v>
      </c>
      <c r="L40" s="5" t="s">
        <v>253</v>
      </c>
    </row>
    <row r="41" spans="1:12" x14ac:dyDescent="0.25">
      <c r="A41" s="2">
        <v>40</v>
      </c>
      <c r="B41" s="2">
        <v>761246</v>
      </c>
      <c r="C41" s="2" t="s">
        <v>4288</v>
      </c>
      <c r="D41" s="2" t="s">
        <v>53</v>
      </c>
      <c r="E41" s="2" t="s">
        <v>4249</v>
      </c>
      <c r="F41" s="2" t="s">
        <v>253</v>
      </c>
      <c r="G41" s="2" t="s">
        <v>47</v>
      </c>
      <c r="H41" s="2" t="s">
        <v>69</v>
      </c>
      <c r="I41" s="5" t="s">
        <v>4249</v>
      </c>
      <c r="J41" s="2" t="e">
        <f t="shared" si="0"/>
        <v>#VALUE!</v>
      </c>
      <c r="K41" s="2" t="s">
        <v>53</v>
      </c>
      <c r="L41" s="2" t="s">
        <v>253</v>
      </c>
    </row>
    <row r="42" spans="1:12" x14ac:dyDescent="0.25">
      <c r="A42" s="2">
        <v>41</v>
      </c>
      <c r="B42" s="2">
        <v>745573</v>
      </c>
      <c r="C42" s="2" t="s">
        <v>4289</v>
      </c>
      <c r="D42" s="2" t="s">
        <v>62</v>
      </c>
      <c r="E42" s="2">
        <v>1913</v>
      </c>
      <c r="F42" s="2" t="s">
        <v>248</v>
      </c>
      <c r="G42" s="2" t="s">
        <v>4275</v>
      </c>
      <c r="H42" s="2" t="s">
        <v>26</v>
      </c>
      <c r="I42" s="2">
        <v>1913</v>
      </c>
      <c r="J42" s="2">
        <f t="shared" si="0"/>
        <v>0</v>
      </c>
      <c r="K42" s="2" t="s">
        <v>62</v>
      </c>
      <c r="L42" s="2" t="s">
        <v>248</v>
      </c>
    </row>
    <row r="43" spans="1:12" x14ac:dyDescent="0.25">
      <c r="A43" s="2">
        <v>42</v>
      </c>
      <c r="B43" s="2">
        <v>418525</v>
      </c>
      <c r="C43" s="2" t="s">
        <v>4290</v>
      </c>
      <c r="D43" s="2" t="s">
        <v>71</v>
      </c>
      <c r="E43" s="2">
        <v>1308</v>
      </c>
      <c r="F43" s="2" t="s">
        <v>103</v>
      </c>
      <c r="G43" s="2" t="s">
        <v>47</v>
      </c>
      <c r="H43" s="2" t="s">
        <v>65</v>
      </c>
      <c r="I43" s="2">
        <v>1308</v>
      </c>
      <c r="J43" s="2">
        <f t="shared" si="0"/>
        <v>0</v>
      </c>
      <c r="K43" s="2" t="s">
        <v>71</v>
      </c>
      <c r="L43" s="2" t="s">
        <v>103</v>
      </c>
    </row>
    <row r="44" spans="1:12" x14ac:dyDescent="0.25">
      <c r="A44" s="2">
        <v>43</v>
      </c>
      <c r="B44" s="2">
        <v>717751</v>
      </c>
      <c r="C44" s="2" t="s">
        <v>4291</v>
      </c>
      <c r="D44" s="2" t="s">
        <v>51</v>
      </c>
      <c r="E44" s="2">
        <v>1308</v>
      </c>
      <c r="F44" s="2" t="s">
        <v>253</v>
      </c>
      <c r="G44" s="2" t="s">
        <v>47</v>
      </c>
      <c r="H44" s="2" t="s">
        <v>26</v>
      </c>
      <c r="I44" s="2">
        <v>1308</v>
      </c>
      <c r="J44" s="2">
        <f t="shared" si="0"/>
        <v>0</v>
      </c>
      <c r="K44" s="2" t="s">
        <v>51</v>
      </c>
      <c r="L44" s="2" t="s">
        <v>253</v>
      </c>
    </row>
    <row r="45" spans="1:12" x14ac:dyDescent="0.25">
      <c r="A45" s="2">
        <v>44</v>
      </c>
      <c r="B45" s="2">
        <v>729435</v>
      </c>
      <c r="C45" s="2" t="s">
        <v>4445</v>
      </c>
      <c r="D45" s="2" t="s">
        <v>62</v>
      </c>
      <c r="E45" s="2">
        <v>1313</v>
      </c>
      <c r="F45" s="2" t="s">
        <v>248</v>
      </c>
      <c r="G45" s="2" t="s">
        <v>4275</v>
      </c>
      <c r="H45" s="2" t="s">
        <v>26</v>
      </c>
      <c r="I45" s="2">
        <v>1313</v>
      </c>
      <c r="J45" s="2">
        <f t="shared" si="0"/>
        <v>0</v>
      </c>
      <c r="K45" s="2" t="s">
        <v>62</v>
      </c>
      <c r="L45" s="2" t="s">
        <v>248</v>
      </c>
    </row>
    <row r="46" spans="1:12" x14ac:dyDescent="0.25">
      <c r="A46" s="2">
        <v>45</v>
      </c>
      <c r="B46" s="2">
        <v>729689</v>
      </c>
      <c r="C46" s="2" t="s">
        <v>4292</v>
      </c>
      <c r="D46" s="2" t="s">
        <v>62</v>
      </c>
      <c r="E46" s="2">
        <v>1313</v>
      </c>
      <c r="F46" s="2" t="s">
        <v>253</v>
      </c>
      <c r="G46" s="2" t="s">
        <v>4275</v>
      </c>
      <c r="H46" s="2" t="s">
        <v>26</v>
      </c>
      <c r="I46" s="2">
        <v>1313</v>
      </c>
      <c r="J46" s="2">
        <f t="shared" si="0"/>
        <v>0</v>
      </c>
      <c r="K46" s="2" t="s">
        <v>62</v>
      </c>
      <c r="L46" s="2" t="s">
        <v>253</v>
      </c>
    </row>
    <row r="47" spans="1:12" x14ac:dyDescent="0.25">
      <c r="A47" s="2">
        <v>46</v>
      </c>
      <c r="B47" s="2">
        <v>742473</v>
      </c>
      <c r="C47" s="2" t="s">
        <v>4293</v>
      </c>
      <c r="D47" s="2" t="s">
        <v>72</v>
      </c>
      <c r="E47" s="2">
        <v>1308</v>
      </c>
      <c r="F47" s="2" t="s">
        <v>248</v>
      </c>
      <c r="G47" s="2" t="s">
        <v>47</v>
      </c>
      <c r="H47" s="2" t="s">
        <v>26</v>
      </c>
      <c r="I47" s="2">
        <v>1308</v>
      </c>
      <c r="J47" s="2">
        <f t="shared" si="0"/>
        <v>0</v>
      </c>
      <c r="K47" s="2" t="s">
        <v>72</v>
      </c>
      <c r="L47" s="2" t="s">
        <v>248</v>
      </c>
    </row>
    <row r="48" spans="1:12" x14ac:dyDescent="0.25">
      <c r="A48" s="2">
        <v>47</v>
      </c>
      <c r="B48" s="2">
        <v>742617</v>
      </c>
      <c r="C48" s="2" t="s">
        <v>4294</v>
      </c>
      <c r="D48" s="2" t="s">
        <v>72</v>
      </c>
      <c r="E48" s="2">
        <v>1308</v>
      </c>
      <c r="F48" s="2" t="s">
        <v>253</v>
      </c>
      <c r="G48" s="2" t="s">
        <v>47</v>
      </c>
      <c r="H48" s="2" t="s">
        <v>26</v>
      </c>
      <c r="I48" s="2">
        <v>1308</v>
      </c>
      <c r="J48" s="2">
        <f t="shared" si="0"/>
        <v>0</v>
      </c>
      <c r="K48" s="2" t="s">
        <v>72</v>
      </c>
      <c r="L48" s="2" t="s">
        <v>253</v>
      </c>
    </row>
    <row r="49" spans="1:12" x14ac:dyDescent="0.25">
      <c r="A49" s="2">
        <v>48</v>
      </c>
      <c r="B49" s="2">
        <v>882800</v>
      </c>
      <c r="C49" s="2" t="s">
        <v>4131</v>
      </c>
      <c r="D49" s="2" t="s">
        <v>53</v>
      </c>
      <c r="E49" s="2" t="s">
        <v>73</v>
      </c>
      <c r="F49" s="2" t="s">
        <v>253</v>
      </c>
      <c r="G49" s="2" t="s">
        <v>47</v>
      </c>
      <c r="H49" s="2" t="s">
        <v>26</v>
      </c>
      <c r="I49" s="2" t="s">
        <v>73</v>
      </c>
      <c r="J49" s="2">
        <f t="shared" si="0"/>
        <v>0</v>
      </c>
      <c r="K49" s="2" t="s">
        <v>53</v>
      </c>
      <c r="L49" s="2" t="s">
        <v>253</v>
      </c>
    </row>
    <row r="50" spans="1:12" x14ac:dyDescent="0.25">
      <c r="A50" s="2">
        <v>49</v>
      </c>
      <c r="B50" s="2">
        <v>729690</v>
      </c>
      <c r="C50" s="2" t="s">
        <v>4446</v>
      </c>
      <c r="D50" s="2" t="s">
        <v>62</v>
      </c>
      <c r="E50" s="2">
        <v>1608</v>
      </c>
      <c r="F50" s="2" t="s">
        <v>253</v>
      </c>
      <c r="G50" s="2" t="s">
        <v>4275</v>
      </c>
      <c r="H50" s="2" t="s">
        <v>26</v>
      </c>
      <c r="I50" s="2">
        <v>1608</v>
      </c>
      <c r="J50" s="2">
        <f t="shared" si="0"/>
        <v>0</v>
      </c>
      <c r="K50" s="2" t="s">
        <v>62</v>
      </c>
      <c r="L50" s="2" t="s">
        <v>253</v>
      </c>
    </row>
    <row r="51" spans="1:12" x14ac:dyDescent="0.25">
      <c r="A51" s="2">
        <v>50</v>
      </c>
      <c r="B51" s="2">
        <v>1010264</v>
      </c>
      <c r="C51" s="2" t="s">
        <v>4295</v>
      </c>
      <c r="D51" s="2" t="s">
        <v>74</v>
      </c>
      <c r="E51" s="2">
        <v>1005</v>
      </c>
      <c r="F51" s="2" t="s">
        <v>248</v>
      </c>
      <c r="G51" s="2" t="s">
        <v>4275</v>
      </c>
      <c r="H51" s="2" t="s">
        <v>26</v>
      </c>
      <c r="I51" s="2">
        <v>1005</v>
      </c>
      <c r="J51" s="2">
        <f t="shared" si="0"/>
        <v>0</v>
      </c>
      <c r="K51" s="2" t="s">
        <v>74</v>
      </c>
      <c r="L51" s="2" t="s">
        <v>248</v>
      </c>
    </row>
    <row r="52" spans="1:12" x14ac:dyDescent="0.25">
      <c r="A52" s="2">
        <v>51</v>
      </c>
      <c r="B52" s="2">
        <v>930925</v>
      </c>
      <c r="C52" s="2" t="s">
        <v>4447</v>
      </c>
      <c r="D52" s="2" t="s">
        <v>74</v>
      </c>
      <c r="E52" s="2">
        <v>1010</v>
      </c>
      <c r="F52" s="2" t="s">
        <v>248</v>
      </c>
      <c r="G52" s="2" t="s">
        <v>4275</v>
      </c>
      <c r="H52" s="2" t="s">
        <v>26</v>
      </c>
      <c r="I52" s="2">
        <v>1010</v>
      </c>
      <c r="J52" s="2">
        <f t="shared" si="0"/>
        <v>0</v>
      </c>
      <c r="K52" s="2" t="s">
        <v>74</v>
      </c>
      <c r="L52" s="2" t="s">
        <v>248</v>
      </c>
    </row>
    <row r="53" spans="1:12" x14ac:dyDescent="0.25">
      <c r="A53" s="2">
        <v>52</v>
      </c>
      <c r="B53" s="2">
        <v>752563</v>
      </c>
      <c r="C53" s="2" t="s">
        <v>4448</v>
      </c>
      <c r="D53" s="2" t="s">
        <v>76</v>
      </c>
      <c r="E53" s="2">
        <v>1010</v>
      </c>
      <c r="F53" s="2" t="s">
        <v>253</v>
      </c>
      <c r="G53" s="2" t="s">
        <v>28</v>
      </c>
      <c r="H53" s="2" t="s">
        <v>26</v>
      </c>
      <c r="I53" s="2">
        <v>1010</v>
      </c>
      <c r="J53" s="2">
        <f t="shared" si="0"/>
        <v>0</v>
      </c>
      <c r="K53" s="2" t="s">
        <v>76</v>
      </c>
      <c r="L53" s="2" t="s">
        <v>253</v>
      </c>
    </row>
    <row r="54" spans="1:12" x14ac:dyDescent="0.25">
      <c r="A54" s="2">
        <v>53</v>
      </c>
      <c r="B54" s="2">
        <v>708306</v>
      </c>
      <c r="C54" s="2" t="s">
        <v>4296</v>
      </c>
      <c r="D54" s="2" t="s">
        <v>51</v>
      </c>
      <c r="E54" s="2">
        <v>1913</v>
      </c>
      <c r="F54" s="2" t="s">
        <v>253</v>
      </c>
      <c r="G54" s="2" t="s">
        <v>47</v>
      </c>
      <c r="H54" s="2" t="s">
        <v>26</v>
      </c>
      <c r="I54" s="2">
        <v>1913</v>
      </c>
      <c r="J54" s="2">
        <f t="shared" si="0"/>
        <v>0</v>
      </c>
      <c r="K54" s="2" t="s">
        <v>51</v>
      </c>
      <c r="L54" s="2" t="s">
        <v>253</v>
      </c>
    </row>
    <row r="55" spans="1:12" x14ac:dyDescent="0.25">
      <c r="A55" s="2">
        <v>54</v>
      </c>
      <c r="B55" s="2">
        <v>744015</v>
      </c>
      <c r="C55" s="2" t="s">
        <v>4449</v>
      </c>
      <c r="D55" s="2" t="s">
        <v>76</v>
      </c>
      <c r="E55" s="2">
        <v>1613</v>
      </c>
      <c r="F55" s="2" t="s">
        <v>253</v>
      </c>
      <c r="G55" s="2" t="s">
        <v>28</v>
      </c>
      <c r="H55" s="2" t="s">
        <v>26</v>
      </c>
      <c r="I55" s="2">
        <v>1613</v>
      </c>
      <c r="J55" s="2">
        <f t="shared" si="0"/>
        <v>0</v>
      </c>
      <c r="K55" s="2" t="s">
        <v>76</v>
      </c>
      <c r="L55" s="2" t="s">
        <v>253</v>
      </c>
    </row>
    <row r="56" spans="1:12" x14ac:dyDescent="0.25">
      <c r="A56" s="2">
        <v>55</v>
      </c>
      <c r="B56" s="2">
        <v>932725</v>
      </c>
      <c r="C56" s="807" t="s">
        <v>4450</v>
      </c>
      <c r="D56" s="807" t="s">
        <v>78</v>
      </c>
      <c r="E56" s="807">
        <v>1313</v>
      </c>
      <c r="F56" s="807" t="s">
        <v>248</v>
      </c>
      <c r="G56" s="807" t="s">
        <v>47</v>
      </c>
      <c r="H56" s="2" t="s">
        <v>26</v>
      </c>
      <c r="I56" s="2">
        <v>1313</v>
      </c>
      <c r="J56" s="2">
        <f t="shared" si="0"/>
        <v>0</v>
      </c>
      <c r="K56" s="2" t="s">
        <v>78</v>
      </c>
      <c r="L56" s="2" t="s">
        <v>248</v>
      </c>
    </row>
    <row r="57" spans="1:12" x14ac:dyDescent="0.25">
      <c r="A57" s="2">
        <v>56</v>
      </c>
      <c r="B57" s="2">
        <v>983094</v>
      </c>
      <c r="C57" s="2" t="s">
        <v>4451</v>
      </c>
      <c r="D57" s="2" t="s">
        <v>79</v>
      </c>
      <c r="E57" s="2">
        <v>1308</v>
      </c>
      <c r="F57" s="2" t="s">
        <v>253</v>
      </c>
      <c r="G57" s="2" t="s">
        <v>4275</v>
      </c>
      <c r="H57" s="2" t="s">
        <v>26</v>
      </c>
      <c r="I57" s="2">
        <v>1308</v>
      </c>
      <c r="J57" s="2">
        <f t="shared" si="0"/>
        <v>0</v>
      </c>
      <c r="K57" s="2" t="s">
        <v>79</v>
      </c>
      <c r="L57" s="2" t="s">
        <v>253</v>
      </c>
    </row>
    <row r="58" spans="1:12" x14ac:dyDescent="0.25">
      <c r="A58" s="2">
        <v>57</v>
      </c>
      <c r="B58" s="2">
        <v>752555</v>
      </c>
      <c r="C58" s="2" t="s">
        <v>4297</v>
      </c>
      <c r="D58" s="2" t="s">
        <v>76</v>
      </c>
      <c r="E58" s="2">
        <v>1313</v>
      </c>
      <c r="F58" s="2" t="s">
        <v>253</v>
      </c>
      <c r="G58" s="2" t="s">
        <v>28</v>
      </c>
      <c r="H58" s="2" t="s">
        <v>26</v>
      </c>
      <c r="I58" s="2">
        <v>1313</v>
      </c>
      <c r="J58" s="2">
        <f t="shared" si="0"/>
        <v>0</v>
      </c>
      <c r="K58" s="2" t="s">
        <v>76</v>
      </c>
      <c r="L58" s="2" t="s">
        <v>253</v>
      </c>
    </row>
    <row r="59" spans="1:12" x14ac:dyDescent="0.25">
      <c r="A59" s="2">
        <v>58</v>
      </c>
      <c r="B59" s="2">
        <v>647436</v>
      </c>
      <c r="C59" s="2" t="s">
        <v>4298</v>
      </c>
      <c r="D59" s="2" t="s">
        <v>51</v>
      </c>
      <c r="E59" s="2">
        <v>1613</v>
      </c>
      <c r="F59" s="2" t="s">
        <v>253</v>
      </c>
      <c r="G59" s="2" t="s">
        <v>47</v>
      </c>
      <c r="H59" s="2" t="s">
        <v>26</v>
      </c>
      <c r="I59" s="2">
        <v>1613</v>
      </c>
      <c r="J59" s="2">
        <f t="shared" si="0"/>
        <v>0</v>
      </c>
      <c r="K59" s="2" t="s">
        <v>51</v>
      </c>
      <c r="L59" s="2" t="s">
        <v>253</v>
      </c>
    </row>
    <row r="60" spans="1:12" x14ac:dyDescent="0.25">
      <c r="A60" s="2">
        <v>59</v>
      </c>
      <c r="B60" s="2">
        <v>871781</v>
      </c>
      <c r="C60" s="2" t="s">
        <v>4139</v>
      </c>
      <c r="D60" s="2" t="s">
        <v>51</v>
      </c>
      <c r="E60" s="2">
        <v>1313</v>
      </c>
      <c r="F60" s="2" t="s">
        <v>253</v>
      </c>
      <c r="G60" s="2" t="s">
        <v>47</v>
      </c>
      <c r="H60" s="2" t="s">
        <v>26</v>
      </c>
      <c r="I60" s="2">
        <v>1313</v>
      </c>
      <c r="J60" s="2">
        <f t="shared" si="0"/>
        <v>0</v>
      </c>
      <c r="K60" s="2" t="s">
        <v>51</v>
      </c>
      <c r="L60" s="2" t="s">
        <v>253</v>
      </c>
    </row>
    <row r="61" spans="1:12" x14ac:dyDescent="0.25">
      <c r="A61" s="2">
        <v>60</v>
      </c>
      <c r="B61" s="2">
        <v>625854</v>
      </c>
      <c r="C61" s="2" t="s">
        <v>4299</v>
      </c>
      <c r="D61" s="2" t="s">
        <v>192</v>
      </c>
      <c r="E61" s="2" t="s">
        <v>38</v>
      </c>
      <c r="F61" s="2" t="s">
        <v>103</v>
      </c>
      <c r="G61" s="2" t="s">
        <v>36</v>
      </c>
      <c r="H61" s="2" t="s">
        <v>81</v>
      </c>
      <c r="I61" s="2" t="s">
        <v>38</v>
      </c>
      <c r="J61" s="2" t="e">
        <f t="shared" si="0"/>
        <v>#VALUE!</v>
      </c>
      <c r="K61" s="2" t="s">
        <v>192</v>
      </c>
      <c r="L61" s="2" t="s">
        <v>103</v>
      </c>
    </row>
    <row r="62" spans="1:12" x14ac:dyDescent="0.25">
      <c r="A62" s="2">
        <v>61</v>
      </c>
      <c r="B62" s="2">
        <v>770451</v>
      </c>
      <c r="C62" s="2" t="s">
        <v>4300</v>
      </c>
      <c r="D62" s="2" t="s">
        <v>53</v>
      </c>
      <c r="E62" s="2" t="s">
        <v>4247</v>
      </c>
      <c r="F62" s="2" t="s">
        <v>253</v>
      </c>
      <c r="G62" s="2" t="s">
        <v>47</v>
      </c>
      <c r="H62" s="2" t="s">
        <v>42</v>
      </c>
      <c r="I62" s="2" t="s">
        <v>4247</v>
      </c>
      <c r="J62" s="2" t="e">
        <f t="shared" si="0"/>
        <v>#VALUE!</v>
      </c>
      <c r="K62" s="2" t="s">
        <v>53</v>
      </c>
      <c r="L62" s="2" t="s">
        <v>253</v>
      </c>
    </row>
    <row r="63" spans="1:12" x14ac:dyDescent="0.25">
      <c r="A63" s="2">
        <v>62</v>
      </c>
      <c r="B63" s="2">
        <v>755975</v>
      </c>
      <c r="C63" s="2" t="s">
        <v>4301</v>
      </c>
      <c r="D63" s="2" t="s">
        <v>53</v>
      </c>
      <c r="E63" s="2">
        <v>1913</v>
      </c>
      <c r="F63" s="2" t="s">
        <v>253</v>
      </c>
      <c r="G63" s="2" t="s">
        <v>47</v>
      </c>
      <c r="H63" s="2" t="s">
        <v>26</v>
      </c>
      <c r="I63" s="2">
        <v>1913</v>
      </c>
      <c r="J63" s="2">
        <f t="shared" si="0"/>
        <v>0</v>
      </c>
      <c r="K63" s="2" t="s">
        <v>53</v>
      </c>
      <c r="L63" s="2" t="s">
        <v>253</v>
      </c>
    </row>
    <row r="64" spans="1:12" x14ac:dyDescent="0.25">
      <c r="A64" s="2">
        <v>63</v>
      </c>
      <c r="B64" s="2">
        <v>745338</v>
      </c>
      <c r="C64" s="2" t="s">
        <v>4302</v>
      </c>
      <c r="D64" s="2" t="s">
        <v>53</v>
      </c>
      <c r="E64" s="2">
        <v>1613</v>
      </c>
      <c r="F64" s="2" t="s">
        <v>253</v>
      </c>
      <c r="G64" s="2" t="s">
        <v>47</v>
      </c>
      <c r="H64" s="2" t="s">
        <v>26</v>
      </c>
      <c r="I64" s="2">
        <v>1613</v>
      </c>
      <c r="J64" s="2">
        <f t="shared" si="0"/>
        <v>0</v>
      </c>
      <c r="K64" s="2" t="s">
        <v>53</v>
      </c>
      <c r="L64" s="2" t="s">
        <v>253</v>
      </c>
    </row>
    <row r="65" spans="1:12" x14ac:dyDescent="0.25">
      <c r="A65" s="2">
        <v>64</v>
      </c>
      <c r="B65" s="2">
        <v>642299</v>
      </c>
      <c r="C65" s="2" t="s">
        <v>4452</v>
      </c>
      <c r="D65" s="2" t="s">
        <v>66</v>
      </c>
      <c r="E65" s="2">
        <v>1308</v>
      </c>
      <c r="F65" s="2" t="s">
        <v>253</v>
      </c>
      <c r="G65" s="2" t="s">
        <v>28</v>
      </c>
      <c r="H65" s="2" t="s">
        <v>26</v>
      </c>
      <c r="I65" s="2">
        <v>1308</v>
      </c>
      <c r="J65" s="2">
        <f t="shared" si="0"/>
        <v>0</v>
      </c>
      <c r="K65" s="2" t="s">
        <v>66</v>
      </c>
      <c r="L65" s="2" t="s">
        <v>253</v>
      </c>
    </row>
    <row r="66" spans="1:12" x14ac:dyDescent="0.25">
      <c r="A66" s="2">
        <v>65</v>
      </c>
      <c r="B66" s="2">
        <v>661065</v>
      </c>
      <c r="C66" s="2" t="s">
        <v>4303</v>
      </c>
      <c r="D66" s="2" t="s">
        <v>4241</v>
      </c>
      <c r="E66" s="2">
        <v>1313</v>
      </c>
      <c r="F66" s="2" t="s">
        <v>253</v>
      </c>
      <c r="G66" s="2" t="s">
        <v>4275</v>
      </c>
      <c r="H66" s="2" t="s">
        <v>26</v>
      </c>
      <c r="I66" s="2">
        <v>1313</v>
      </c>
      <c r="J66" s="2">
        <f t="shared" si="0"/>
        <v>0</v>
      </c>
      <c r="K66" s="2" t="s">
        <v>4241</v>
      </c>
      <c r="L66" s="2" t="s">
        <v>253</v>
      </c>
    </row>
    <row r="67" spans="1:12" x14ac:dyDescent="0.25">
      <c r="A67" s="2">
        <v>66</v>
      </c>
      <c r="B67" s="2">
        <v>738227</v>
      </c>
      <c r="C67" s="2" t="s">
        <v>4453</v>
      </c>
      <c r="D67" s="2" t="s">
        <v>82</v>
      </c>
      <c r="E67" s="2">
        <v>1308</v>
      </c>
      <c r="F67" s="2" t="s">
        <v>253</v>
      </c>
      <c r="G67" s="806" t="e">
        <v>#N/A</v>
      </c>
      <c r="H67" s="2" t="s">
        <v>26</v>
      </c>
      <c r="I67" s="2">
        <v>1308</v>
      </c>
      <c r="J67" s="2">
        <f t="shared" ref="J67:J130" si="1">E67-I67</f>
        <v>0</v>
      </c>
      <c r="K67" s="2" t="s">
        <v>82</v>
      </c>
      <c r="L67" s="2" t="s">
        <v>253</v>
      </c>
    </row>
    <row r="68" spans="1:12" x14ac:dyDescent="0.25">
      <c r="A68" s="2">
        <v>67</v>
      </c>
      <c r="B68" s="2">
        <v>886466</v>
      </c>
      <c r="C68" s="2" t="s">
        <v>4454</v>
      </c>
      <c r="D68" s="2" t="s">
        <v>74</v>
      </c>
      <c r="E68" s="2">
        <v>1308</v>
      </c>
      <c r="F68" s="2" t="s">
        <v>253</v>
      </c>
      <c r="G68" s="2" t="s">
        <v>4275</v>
      </c>
      <c r="H68" s="2" t="s">
        <v>26</v>
      </c>
      <c r="I68" s="2">
        <v>1308</v>
      </c>
      <c r="J68" s="2">
        <f t="shared" si="1"/>
        <v>0</v>
      </c>
      <c r="K68" s="2" t="s">
        <v>74</v>
      </c>
      <c r="L68" s="2" t="s">
        <v>253</v>
      </c>
    </row>
    <row r="69" spans="1:12" x14ac:dyDescent="0.25">
      <c r="A69" s="2">
        <v>68</v>
      </c>
      <c r="B69" s="2">
        <v>887028</v>
      </c>
      <c r="C69" s="2" t="s">
        <v>4304</v>
      </c>
      <c r="D69" s="2" t="s">
        <v>74</v>
      </c>
      <c r="E69" s="2">
        <v>1313</v>
      </c>
      <c r="F69" s="2" t="s">
        <v>253</v>
      </c>
      <c r="G69" s="2" t="s">
        <v>4275</v>
      </c>
      <c r="H69" s="2" t="s">
        <v>26</v>
      </c>
      <c r="I69" s="2">
        <v>1313</v>
      </c>
      <c r="J69" s="2">
        <f t="shared" si="1"/>
        <v>0</v>
      </c>
      <c r="K69" s="2" t="s">
        <v>74</v>
      </c>
      <c r="L69" s="2" t="s">
        <v>253</v>
      </c>
    </row>
    <row r="70" spans="1:12" x14ac:dyDescent="0.25">
      <c r="A70" s="2">
        <v>69</v>
      </c>
      <c r="B70" s="2">
        <v>773384</v>
      </c>
      <c r="C70" s="2" t="s">
        <v>4129</v>
      </c>
      <c r="D70" s="2" t="s">
        <v>51</v>
      </c>
      <c r="E70" s="2">
        <v>1005</v>
      </c>
      <c r="F70" s="2" t="s">
        <v>253</v>
      </c>
      <c r="G70" s="2" t="s">
        <v>47</v>
      </c>
      <c r="H70" s="2" t="s">
        <v>26</v>
      </c>
      <c r="I70" s="2">
        <v>1005</v>
      </c>
      <c r="J70" s="2">
        <f t="shared" si="1"/>
        <v>0</v>
      </c>
      <c r="K70" s="2" t="s">
        <v>51</v>
      </c>
      <c r="L70" s="2" t="s">
        <v>253</v>
      </c>
    </row>
    <row r="71" spans="1:12" x14ac:dyDescent="0.25">
      <c r="A71" s="2">
        <v>70</v>
      </c>
      <c r="B71" s="2">
        <v>971055</v>
      </c>
      <c r="C71" s="2" t="s">
        <v>4305</v>
      </c>
      <c r="D71" s="2" t="s">
        <v>86</v>
      </c>
      <c r="E71" s="2" t="s">
        <v>4250</v>
      </c>
      <c r="F71" s="2" t="s">
        <v>253</v>
      </c>
      <c r="G71" s="2" t="s">
        <v>47</v>
      </c>
      <c r="H71" s="2" t="s">
        <v>85</v>
      </c>
      <c r="I71" s="2" t="s">
        <v>4250</v>
      </c>
      <c r="J71" s="2" t="e">
        <f t="shared" si="1"/>
        <v>#VALUE!</v>
      </c>
      <c r="K71" s="2" t="s">
        <v>86</v>
      </c>
      <c r="L71" s="2" t="s">
        <v>253</v>
      </c>
    </row>
    <row r="72" spans="1:12" x14ac:dyDescent="0.25">
      <c r="A72" s="2">
        <v>71</v>
      </c>
      <c r="B72" s="2">
        <v>1039036</v>
      </c>
      <c r="C72" s="2" t="s">
        <v>4306</v>
      </c>
      <c r="D72" s="2" t="s">
        <v>88</v>
      </c>
      <c r="E72" s="2">
        <v>1313</v>
      </c>
      <c r="F72" s="2" t="s">
        <v>253</v>
      </c>
      <c r="G72" s="2" t="s">
        <v>4275</v>
      </c>
      <c r="H72" s="2" t="s">
        <v>26</v>
      </c>
      <c r="I72" s="2">
        <v>1313</v>
      </c>
      <c r="J72" s="2">
        <f t="shared" si="1"/>
        <v>0</v>
      </c>
      <c r="K72" s="2" t="s">
        <v>88</v>
      </c>
      <c r="L72" s="2" t="s">
        <v>253</v>
      </c>
    </row>
    <row r="73" spans="1:12" x14ac:dyDescent="0.25">
      <c r="A73" s="2">
        <v>72</v>
      </c>
      <c r="B73" s="2">
        <v>1039034</v>
      </c>
      <c r="C73" s="2" t="s">
        <v>4455</v>
      </c>
      <c r="D73" s="2" t="s">
        <v>88</v>
      </c>
      <c r="E73" s="2">
        <v>1308</v>
      </c>
      <c r="F73" s="2" t="s">
        <v>253</v>
      </c>
      <c r="G73" s="2" t="s">
        <v>4275</v>
      </c>
      <c r="H73" s="2" t="s">
        <v>26</v>
      </c>
      <c r="I73" s="2">
        <v>1308</v>
      </c>
      <c r="J73" s="2">
        <f t="shared" si="1"/>
        <v>0</v>
      </c>
      <c r="K73" s="2" t="s">
        <v>88</v>
      </c>
      <c r="L73" s="2" t="s">
        <v>253</v>
      </c>
    </row>
    <row r="74" spans="1:12" x14ac:dyDescent="0.25">
      <c r="A74" s="2">
        <v>73</v>
      </c>
      <c r="B74" s="2">
        <v>1017002</v>
      </c>
      <c r="C74" s="607" t="s">
        <v>4307</v>
      </c>
      <c r="D74" s="607" t="s">
        <v>103</v>
      </c>
      <c r="E74" s="2">
        <v>1313</v>
      </c>
      <c r="F74" s="2" t="s">
        <v>103</v>
      </c>
      <c r="G74" s="2" t="s">
        <v>36</v>
      </c>
      <c r="H74" s="12" t="s">
        <v>90</v>
      </c>
      <c r="I74" s="2">
        <v>1313</v>
      </c>
      <c r="J74" s="2">
        <f t="shared" si="1"/>
        <v>0</v>
      </c>
      <c r="K74" s="2" t="s">
        <v>103</v>
      </c>
      <c r="L74" s="2" t="s">
        <v>103</v>
      </c>
    </row>
    <row r="75" spans="1:12" x14ac:dyDescent="0.25">
      <c r="A75" s="2">
        <v>74</v>
      </c>
      <c r="B75" s="2">
        <v>1039060</v>
      </c>
      <c r="C75" s="2" t="s">
        <v>4308</v>
      </c>
      <c r="D75" s="2" t="s">
        <v>88</v>
      </c>
      <c r="E75" s="2">
        <v>1613</v>
      </c>
      <c r="F75" s="2" t="s">
        <v>253</v>
      </c>
      <c r="G75" s="2" t="s">
        <v>4275</v>
      </c>
      <c r="H75" s="2" t="s">
        <v>26</v>
      </c>
      <c r="I75" s="2">
        <v>1613</v>
      </c>
      <c r="J75" s="2">
        <f t="shared" si="1"/>
        <v>0</v>
      </c>
      <c r="K75" s="2" t="s">
        <v>88</v>
      </c>
      <c r="L75" s="2" t="s">
        <v>253</v>
      </c>
    </row>
    <row r="76" spans="1:12" x14ac:dyDescent="0.25">
      <c r="A76" s="2">
        <v>75</v>
      </c>
      <c r="B76" s="2">
        <v>1039058</v>
      </c>
      <c r="C76" s="2" t="s">
        <v>4309</v>
      </c>
      <c r="D76" s="2" t="s">
        <v>88</v>
      </c>
      <c r="E76" s="2">
        <v>1608</v>
      </c>
      <c r="F76" s="2" t="s">
        <v>253</v>
      </c>
      <c r="G76" s="2" t="s">
        <v>4275</v>
      </c>
      <c r="H76" s="2" t="s">
        <v>26</v>
      </c>
      <c r="I76" s="2">
        <v>1608</v>
      </c>
      <c r="J76" s="2">
        <f t="shared" si="1"/>
        <v>0</v>
      </c>
      <c r="K76" s="2" t="s">
        <v>88</v>
      </c>
      <c r="L76" s="2" t="s">
        <v>253</v>
      </c>
    </row>
    <row r="77" spans="1:12" x14ac:dyDescent="0.25">
      <c r="A77" s="2">
        <v>76</v>
      </c>
      <c r="B77" s="2">
        <v>1014885</v>
      </c>
      <c r="C77" s="2" t="s">
        <v>4456</v>
      </c>
      <c r="D77" s="2" t="s">
        <v>91</v>
      </c>
      <c r="E77" s="2">
        <v>1308</v>
      </c>
      <c r="F77" s="2" t="s">
        <v>253</v>
      </c>
      <c r="G77" s="2" t="s">
        <v>4275</v>
      </c>
      <c r="H77" s="2" t="s">
        <v>26</v>
      </c>
      <c r="I77" s="2">
        <v>1308</v>
      </c>
      <c r="J77" s="2">
        <f t="shared" si="1"/>
        <v>0</v>
      </c>
      <c r="K77" s="2" t="s">
        <v>91</v>
      </c>
      <c r="L77" s="2" t="s">
        <v>253</v>
      </c>
    </row>
    <row r="78" spans="1:12" x14ac:dyDescent="0.25">
      <c r="A78" s="2">
        <v>77</v>
      </c>
      <c r="B78" s="2">
        <v>1014939</v>
      </c>
      <c r="C78" s="2" t="s">
        <v>4310</v>
      </c>
      <c r="D78" s="2" t="s">
        <v>91</v>
      </c>
      <c r="E78" s="2">
        <v>1608</v>
      </c>
      <c r="F78" s="2" t="s">
        <v>253</v>
      </c>
      <c r="G78" s="2" t="s">
        <v>4275</v>
      </c>
      <c r="H78" s="2" t="s">
        <v>26</v>
      </c>
      <c r="I78" s="2">
        <v>1608</v>
      </c>
      <c r="J78" s="2">
        <f t="shared" si="1"/>
        <v>0</v>
      </c>
      <c r="K78" s="2" t="s">
        <v>91</v>
      </c>
      <c r="L78" s="2" t="s">
        <v>253</v>
      </c>
    </row>
    <row r="79" spans="1:12" x14ac:dyDescent="0.25">
      <c r="A79" s="2">
        <v>78</v>
      </c>
      <c r="B79" s="2">
        <v>646941</v>
      </c>
      <c r="C79" s="2" t="s">
        <v>4457</v>
      </c>
      <c r="D79" s="2" t="s">
        <v>66</v>
      </c>
      <c r="E79" s="2">
        <v>1613</v>
      </c>
      <c r="F79" s="2" t="s">
        <v>248</v>
      </c>
      <c r="G79" s="2" t="s">
        <v>28</v>
      </c>
      <c r="H79" s="2" t="s">
        <v>26</v>
      </c>
      <c r="I79" s="2">
        <v>1613</v>
      </c>
      <c r="J79" s="2">
        <f t="shared" si="1"/>
        <v>0</v>
      </c>
      <c r="K79" s="2" t="s">
        <v>66</v>
      </c>
      <c r="L79" s="2" t="s">
        <v>248</v>
      </c>
    </row>
    <row r="80" spans="1:12" x14ac:dyDescent="0.25">
      <c r="A80" s="2">
        <v>79</v>
      </c>
      <c r="B80" s="2">
        <v>647464</v>
      </c>
      <c r="C80" s="2" t="s">
        <v>4311</v>
      </c>
      <c r="D80" s="2" t="s">
        <v>66</v>
      </c>
      <c r="E80" s="2" t="s">
        <v>4248</v>
      </c>
      <c r="F80" s="2" t="s">
        <v>253</v>
      </c>
      <c r="G80" s="2" t="s">
        <v>28</v>
      </c>
      <c r="H80" s="2" t="s">
        <v>42</v>
      </c>
      <c r="I80" s="2" t="s">
        <v>4248</v>
      </c>
      <c r="J80" s="2" t="e">
        <f t="shared" si="1"/>
        <v>#VALUE!</v>
      </c>
      <c r="K80" s="2" t="s">
        <v>66</v>
      </c>
      <c r="L80" s="2" t="s">
        <v>253</v>
      </c>
    </row>
    <row r="81" spans="1:12" x14ac:dyDescent="0.25">
      <c r="A81" s="2">
        <v>80</v>
      </c>
      <c r="B81" s="2">
        <v>647467</v>
      </c>
      <c r="C81" s="2" t="s">
        <v>4312</v>
      </c>
      <c r="D81" s="2" t="s">
        <v>66</v>
      </c>
      <c r="E81" s="2" t="s">
        <v>4249</v>
      </c>
      <c r="F81" s="2" t="s">
        <v>253</v>
      </c>
      <c r="G81" s="2" t="s">
        <v>28</v>
      </c>
      <c r="H81" s="2" t="s">
        <v>69</v>
      </c>
      <c r="I81" s="2" t="s">
        <v>4249</v>
      </c>
      <c r="J81" s="2" t="e">
        <f t="shared" si="1"/>
        <v>#VALUE!</v>
      </c>
      <c r="K81" s="2" t="s">
        <v>66</v>
      </c>
      <c r="L81" s="2" t="s">
        <v>253</v>
      </c>
    </row>
    <row r="82" spans="1:12" x14ac:dyDescent="0.25">
      <c r="A82" s="2">
        <v>81</v>
      </c>
      <c r="B82" s="2">
        <v>907609</v>
      </c>
      <c r="C82" s="2" t="s">
        <v>4313</v>
      </c>
      <c r="D82" s="2" t="s">
        <v>92</v>
      </c>
      <c r="E82" s="2">
        <v>1313</v>
      </c>
      <c r="F82" s="2" t="s">
        <v>248</v>
      </c>
      <c r="G82" s="2" t="s">
        <v>4314</v>
      </c>
      <c r="H82" s="2" t="s">
        <v>26</v>
      </c>
      <c r="I82" s="2">
        <v>1313</v>
      </c>
      <c r="J82" s="2">
        <f t="shared" si="1"/>
        <v>0</v>
      </c>
      <c r="K82" s="2" t="s">
        <v>92</v>
      </c>
      <c r="L82" s="2" t="s">
        <v>248</v>
      </c>
    </row>
    <row r="83" spans="1:12" x14ac:dyDescent="0.25">
      <c r="A83" s="2">
        <v>82</v>
      </c>
      <c r="B83" s="2">
        <v>638559</v>
      </c>
      <c r="C83" s="2" t="s">
        <v>4315</v>
      </c>
      <c r="D83" s="2" t="s">
        <v>61</v>
      </c>
      <c r="E83" s="2">
        <v>1308</v>
      </c>
      <c r="F83" s="2" t="s">
        <v>253</v>
      </c>
      <c r="G83" s="2" t="s">
        <v>4275</v>
      </c>
      <c r="H83" s="2" t="s">
        <v>26</v>
      </c>
      <c r="I83" s="2">
        <v>1308</v>
      </c>
      <c r="J83" s="2">
        <f t="shared" si="1"/>
        <v>0</v>
      </c>
      <c r="K83" s="2" t="s">
        <v>61</v>
      </c>
      <c r="L83" s="2" t="s">
        <v>253</v>
      </c>
    </row>
    <row r="84" spans="1:12" x14ac:dyDescent="0.25">
      <c r="A84" s="2">
        <v>83</v>
      </c>
      <c r="B84" s="2">
        <v>773383</v>
      </c>
      <c r="C84" s="2" t="s">
        <v>4316</v>
      </c>
      <c r="D84" s="2" t="s">
        <v>51</v>
      </c>
      <c r="E84" s="2">
        <v>1005</v>
      </c>
      <c r="F84" s="2" t="s">
        <v>248</v>
      </c>
      <c r="G84" s="2" t="s">
        <v>47</v>
      </c>
      <c r="H84" s="2" t="s">
        <v>26</v>
      </c>
      <c r="I84" s="2">
        <v>1005</v>
      </c>
      <c r="J84" s="2">
        <f t="shared" si="1"/>
        <v>0</v>
      </c>
      <c r="K84" s="2" t="s">
        <v>51</v>
      </c>
      <c r="L84" s="2" t="s">
        <v>248</v>
      </c>
    </row>
    <row r="85" spans="1:12" x14ac:dyDescent="0.25">
      <c r="A85" s="2">
        <v>84</v>
      </c>
      <c r="B85" s="2">
        <v>1027339</v>
      </c>
      <c r="C85" s="607" t="s">
        <v>4317</v>
      </c>
      <c r="D85" s="607" t="s">
        <v>4243</v>
      </c>
      <c r="E85" s="2">
        <v>1608</v>
      </c>
      <c r="F85" s="2" t="s">
        <v>248</v>
      </c>
      <c r="G85" s="2" t="s">
        <v>4318</v>
      </c>
      <c r="H85" s="2" t="s">
        <v>94</v>
      </c>
      <c r="I85" s="2">
        <v>1608</v>
      </c>
      <c r="J85" s="2">
        <f t="shared" si="1"/>
        <v>0</v>
      </c>
      <c r="K85" s="2" t="s">
        <v>4243</v>
      </c>
      <c r="L85" s="2" t="s">
        <v>248</v>
      </c>
    </row>
    <row r="86" spans="1:12" x14ac:dyDescent="0.25">
      <c r="A86" s="2">
        <v>85</v>
      </c>
      <c r="B86" s="2">
        <v>853552</v>
      </c>
      <c r="C86" s="2" t="s">
        <v>4319</v>
      </c>
      <c r="D86" s="2" t="s">
        <v>92</v>
      </c>
      <c r="E86" s="2">
        <v>1913</v>
      </c>
      <c r="F86" s="2" t="s">
        <v>253</v>
      </c>
      <c r="G86" s="2" t="s">
        <v>4314</v>
      </c>
      <c r="H86" s="2" t="s">
        <v>26</v>
      </c>
      <c r="I86" s="2">
        <v>1913</v>
      </c>
      <c r="J86" s="2">
        <f t="shared" si="1"/>
        <v>0</v>
      </c>
      <c r="K86" s="2" t="s">
        <v>92</v>
      </c>
      <c r="L86" s="2" t="s">
        <v>253</v>
      </c>
    </row>
    <row r="87" spans="1:12" x14ac:dyDescent="0.25">
      <c r="A87" s="2">
        <v>86</v>
      </c>
      <c r="B87" s="2">
        <v>1039064</v>
      </c>
      <c r="C87" s="2" t="s">
        <v>4320</v>
      </c>
      <c r="D87" s="2" t="s">
        <v>88</v>
      </c>
      <c r="E87" s="2">
        <v>1913</v>
      </c>
      <c r="F87" s="2" t="s">
        <v>253</v>
      </c>
      <c r="G87" s="2" t="s">
        <v>4275</v>
      </c>
      <c r="H87" s="2" t="s">
        <v>26</v>
      </c>
      <c r="I87" s="2">
        <v>1913</v>
      </c>
      <c r="J87" s="2">
        <f t="shared" si="1"/>
        <v>0</v>
      </c>
      <c r="K87" s="2" t="s">
        <v>88</v>
      </c>
      <c r="L87" s="2" t="s">
        <v>253</v>
      </c>
    </row>
    <row r="88" spans="1:12" x14ac:dyDescent="0.25">
      <c r="A88" s="2">
        <v>87</v>
      </c>
      <c r="B88" s="2">
        <v>983150</v>
      </c>
      <c r="C88" s="2" t="s">
        <v>4321</v>
      </c>
      <c r="D88" s="2" t="s">
        <v>79</v>
      </c>
      <c r="E88" s="2">
        <v>1613</v>
      </c>
      <c r="F88" s="2" t="s">
        <v>253</v>
      </c>
      <c r="G88" s="2" t="s">
        <v>4275</v>
      </c>
      <c r="H88" s="2" t="s">
        <v>26</v>
      </c>
      <c r="I88" s="2">
        <v>1613</v>
      </c>
      <c r="J88" s="2">
        <f t="shared" si="1"/>
        <v>0</v>
      </c>
      <c r="K88" s="2" t="s">
        <v>79</v>
      </c>
      <c r="L88" s="2" t="s">
        <v>253</v>
      </c>
    </row>
    <row r="89" spans="1:12" x14ac:dyDescent="0.25">
      <c r="A89" s="2">
        <v>88</v>
      </c>
      <c r="B89" s="2">
        <v>983096</v>
      </c>
      <c r="C89" s="2" t="s">
        <v>4322</v>
      </c>
      <c r="D89" s="2" t="s">
        <v>79</v>
      </c>
      <c r="E89" s="2">
        <v>1313</v>
      </c>
      <c r="F89" s="2" t="s">
        <v>253</v>
      </c>
      <c r="G89" s="2" t="s">
        <v>4275</v>
      </c>
      <c r="H89" s="2" t="s">
        <v>26</v>
      </c>
      <c r="I89" s="2">
        <v>1313</v>
      </c>
      <c r="J89" s="2">
        <f t="shared" si="1"/>
        <v>0</v>
      </c>
      <c r="K89" s="2" t="s">
        <v>79</v>
      </c>
      <c r="L89" s="2" t="s">
        <v>253</v>
      </c>
    </row>
    <row r="90" spans="1:12" x14ac:dyDescent="0.25">
      <c r="A90" s="2">
        <v>89</v>
      </c>
      <c r="B90" s="2">
        <v>983152</v>
      </c>
      <c r="C90" s="2" t="s">
        <v>4323</v>
      </c>
      <c r="D90" s="2" t="s">
        <v>79</v>
      </c>
      <c r="E90" s="2">
        <v>1913</v>
      </c>
      <c r="F90" s="2" t="s">
        <v>253</v>
      </c>
      <c r="G90" s="2" t="s">
        <v>4275</v>
      </c>
      <c r="H90" s="2" t="s">
        <v>26</v>
      </c>
      <c r="I90" s="2">
        <v>1913</v>
      </c>
      <c r="J90" s="2">
        <f t="shared" si="1"/>
        <v>0</v>
      </c>
      <c r="K90" s="2" t="s">
        <v>79</v>
      </c>
      <c r="L90" s="2" t="s">
        <v>253</v>
      </c>
    </row>
    <row r="91" spans="1:12" x14ac:dyDescent="0.25">
      <c r="A91" s="2">
        <v>90</v>
      </c>
      <c r="B91" s="2">
        <v>853551</v>
      </c>
      <c r="C91" s="2" t="s">
        <v>4324</v>
      </c>
      <c r="D91" s="2" t="s">
        <v>92</v>
      </c>
      <c r="E91" s="2">
        <v>1613</v>
      </c>
      <c r="F91" s="2" t="s">
        <v>253</v>
      </c>
      <c r="G91" s="2" t="s">
        <v>4314</v>
      </c>
      <c r="H91" s="2" t="s">
        <v>26</v>
      </c>
      <c r="I91" s="2">
        <v>1613</v>
      </c>
      <c r="J91" s="2">
        <f t="shared" si="1"/>
        <v>0</v>
      </c>
      <c r="K91" s="2" t="s">
        <v>92</v>
      </c>
      <c r="L91" s="2" t="s">
        <v>253</v>
      </c>
    </row>
    <row r="92" spans="1:12" x14ac:dyDescent="0.25">
      <c r="A92" s="2">
        <v>91</v>
      </c>
      <c r="B92" s="2">
        <v>717747</v>
      </c>
      <c r="C92" s="2" t="s">
        <v>4458</v>
      </c>
      <c r="D92" s="2" t="s">
        <v>51</v>
      </c>
      <c r="E92" s="2">
        <v>1010</v>
      </c>
      <c r="F92" s="2" t="s">
        <v>248</v>
      </c>
      <c r="G92" s="2" t="s">
        <v>47</v>
      </c>
      <c r="H92" s="2" t="s">
        <v>26</v>
      </c>
      <c r="I92" s="2">
        <v>1010</v>
      </c>
      <c r="J92" s="2">
        <f t="shared" si="1"/>
        <v>0</v>
      </c>
      <c r="K92" s="2" t="s">
        <v>51</v>
      </c>
      <c r="L92" s="2" t="s">
        <v>248</v>
      </c>
    </row>
    <row r="93" spans="1:12" x14ac:dyDescent="0.25">
      <c r="A93" s="2">
        <v>92</v>
      </c>
      <c r="B93" s="2">
        <v>768848</v>
      </c>
      <c r="C93" s="2" t="s">
        <v>4325</v>
      </c>
      <c r="D93" s="2" t="s">
        <v>62</v>
      </c>
      <c r="E93" s="2" t="s">
        <v>73</v>
      </c>
      <c r="F93" s="2" t="s">
        <v>248</v>
      </c>
      <c r="G93" s="2" t="s">
        <v>4275</v>
      </c>
      <c r="H93" s="2" t="s">
        <v>26</v>
      </c>
      <c r="I93" s="14" t="s">
        <v>73</v>
      </c>
      <c r="J93" s="2">
        <f t="shared" si="1"/>
        <v>0</v>
      </c>
      <c r="K93" s="2" t="s">
        <v>62</v>
      </c>
      <c r="L93" s="2" t="s">
        <v>248</v>
      </c>
    </row>
    <row r="94" spans="1:12" x14ac:dyDescent="0.25">
      <c r="A94" s="2">
        <v>93</v>
      </c>
      <c r="B94" s="2">
        <v>785001</v>
      </c>
      <c r="C94" s="2" t="s">
        <v>4326</v>
      </c>
      <c r="D94" s="2" t="s">
        <v>27</v>
      </c>
      <c r="E94" s="2">
        <v>1313</v>
      </c>
      <c r="F94" s="2" t="s">
        <v>253</v>
      </c>
      <c r="G94" s="2" t="s">
        <v>28</v>
      </c>
      <c r="H94" s="2" t="s">
        <v>26</v>
      </c>
      <c r="I94" s="2">
        <v>1313</v>
      </c>
      <c r="J94" s="2">
        <f t="shared" si="1"/>
        <v>0</v>
      </c>
      <c r="K94" s="2" t="s">
        <v>27</v>
      </c>
      <c r="L94" s="2" t="s">
        <v>253</v>
      </c>
    </row>
    <row r="95" spans="1:12" x14ac:dyDescent="0.25">
      <c r="A95" s="2">
        <v>94</v>
      </c>
      <c r="B95" s="2">
        <v>932807</v>
      </c>
      <c r="C95" s="807" t="s">
        <v>4459</v>
      </c>
      <c r="D95" s="807" t="s">
        <v>98</v>
      </c>
      <c r="E95" s="807">
        <v>1313</v>
      </c>
      <c r="F95" s="807" t="s">
        <v>248</v>
      </c>
      <c r="G95" s="807" t="s">
        <v>47</v>
      </c>
      <c r="H95" s="2" t="s">
        <v>26</v>
      </c>
      <c r="I95" s="2">
        <v>1313</v>
      </c>
      <c r="J95" s="2">
        <f t="shared" si="1"/>
        <v>0</v>
      </c>
      <c r="K95" s="2" t="s">
        <v>98</v>
      </c>
      <c r="L95" s="2" t="s">
        <v>248</v>
      </c>
    </row>
    <row r="96" spans="1:12" x14ac:dyDescent="0.25">
      <c r="A96" s="2">
        <v>95</v>
      </c>
      <c r="B96" s="2">
        <v>703671</v>
      </c>
      <c r="C96" s="2" t="s">
        <v>4327</v>
      </c>
      <c r="D96" s="2" t="s">
        <v>51</v>
      </c>
      <c r="E96" s="2">
        <v>1613</v>
      </c>
      <c r="F96" s="2" t="s">
        <v>248</v>
      </c>
      <c r="G96" s="2" t="s">
        <v>47</v>
      </c>
      <c r="H96" s="2" t="s">
        <v>26</v>
      </c>
      <c r="I96" s="2">
        <v>1613</v>
      </c>
      <c r="J96" s="2">
        <f t="shared" si="1"/>
        <v>0</v>
      </c>
      <c r="K96" s="2" t="s">
        <v>51</v>
      </c>
      <c r="L96" s="2" t="s">
        <v>248</v>
      </c>
    </row>
    <row r="97" spans="1:12" x14ac:dyDescent="0.25">
      <c r="A97" s="2">
        <v>96</v>
      </c>
      <c r="B97" s="2">
        <v>932811</v>
      </c>
      <c r="C97" s="807" t="s">
        <v>4460</v>
      </c>
      <c r="D97" s="807" t="s">
        <v>98</v>
      </c>
      <c r="E97" s="807">
        <v>1613</v>
      </c>
      <c r="F97" s="807" t="s">
        <v>248</v>
      </c>
      <c r="G97" s="807" t="s">
        <v>47</v>
      </c>
      <c r="H97" s="2" t="s">
        <v>26</v>
      </c>
      <c r="I97" s="2">
        <v>1613</v>
      </c>
      <c r="J97" s="2">
        <f t="shared" si="1"/>
        <v>0</v>
      </c>
      <c r="K97" s="2" t="s">
        <v>98</v>
      </c>
      <c r="L97" s="2" t="s">
        <v>248</v>
      </c>
    </row>
    <row r="98" spans="1:12" x14ac:dyDescent="0.25">
      <c r="A98" s="2">
        <v>97</v>
      </c>
      <c r="B98" s="2">
        <v>410851</v>
      </c>
      <c r="C98" s="2" t="s">
        <v>4328</v>
      </c>
      <c r="D98" s="2" t="s">
        <v>71</v>
      </c>
      <c r="E98" s="2">
        <v>1308</v>
      </c>
      <c r="F98" s="2" t="s">
        <v>103</v>
      </c>
      <c r="G98" s="2" t="s">
        <v>47</v>
      </c>
      <c r="H98" s="2" t="s">
        <v>99</v>
      </c>
      <c r="I98" s="2">
        <v>1308</v>
      </c>
      <c r="J98" s="2">
        <f t="shared" si="1"/>
        <v>0</v>
      </c>
      <c r="K98" s="2" t="s">
        <v>71</v>
      </c>
      <c r="L98" s="2" t="s">
        <v>103</v>
      </c>
    </row>
    <row r="99" spans="1:12" x14ac:dyDescent="0.25">
      <c r="A99" s="2">
        <v>98</v>
      </c>
      <c r="B99" s="2">
        <v>802063</v>
      </c>
      <c r="C99" s="2" t="s">
        <v>4461</v>
      </c>
      <c r="D99" s="2" t="s">
        <v>27</v>
      </c>
      <c r="E99" s="2">
        <v>1613</v>
      </c>
      <c r="F99" s="2" t="s">
        <v>248</v>
      </c>
      <c r="G99" s="2" t="s">
        <v>28</v>
      </c>
      <c r="H99" s="2" t="s">
        <v>26</v>
      </c>
      <c r="I99" s="2">
        <v>1613</v>
      </c>
      <c r="J99" s="2">
        <f t="shared" si="1"/>
        <v>0</v>
      </c>
      <c r="K99" s="2" t="s">
        <v>27</v>
      </c>
      <c r="L99" s="2" t="s">
        <v>248</v>
      </c>
    </row>
    <row r="100" spans="1:12" x14ac:dyDescent="0.25">
      <c r="A100" s="2">
        <v>99</v>
      </c>
      <c r="B100" s="2">
        <v>794672</v>
      </c>
      <c r="C100" s="2" t="s">
        <v>4329</v>
      </c>
      <c r="D100" s="2" t="s">
        <v>27</v>
      </c>
      <c r="E100" s="2">
        <v>1913</v>
      </c>
      <c r="F100" s="2" t="s">
        <v>253</v>
      </c>
      <c r="G100" s="2" t="s">
        <v>28</v>
      </c>
      <c r="H100" s="2" t="s">
        <v>26</v>
      </c>
      <c r="I100" s="2">
        <v>1913</v>
      </c>
      <c r="J100" s="2">
        <f t="shared" si="1"/>
        <v>0</v>
      </c>
      <c r="K100" s="2" t="s">
        <v>27</v>
      </c>
      <c r="L100" s="2" t="s">
        <v>253</v>
      </c>
    </row>
    <row r="101" spans="1:12" x14ac:dyDescent="0.25">
      <c r="A101" s="2">
        <v>100</v>
      </c>
      <c r="B101" s="2">
        <v>755889</v>
      </c>
      <c r="C101" s="2" t="s">
        <v>4330</v>
      </c>
      <c r="D101" s="2" t="s">
        <v>53</v>
      </c>
      <c r="E101" s="2" t="s">
        <v>4249</v>
      </c>
      <c r="F101" s="2" t="s">
        <v>248</v>
      </c>
      <c r="G101" s="2" t="s">
        <v>47</v>
      </c>
      <c r="H101" s="2" t="s">
        <v>69</v>
      </c>
      <c r="I101" s="2" t="s">
        <v>4249</v>
      </c>
      <c r="J101" s="2" t="e">
        <f t="shared" si="1"/>
        <v>#VALUE!</v>
      </c>
      <c r="K101" s="2" t="s">
        <v>53</v>
      </c>
      <c r="L101" s="2" t="s">
        <v>248</v>
      </c>
    </row>
    <row r="102" spans="1:12" x14ac:dyDescent="0.25">
      <c r="A102" s="2">
        <v>101</v>
      </c>
      <c r="B102" s="2">
        <v>853550</v>
      </c>
      <c r="C102" s="2" t="s">
        <v>4331</v>
      </c>
      <c r="D102" s="2" t="s">
        <v>92</v>
      </c>
      <c r="E102" s="2">
        <v>1313</v>
      </c>
      <c r="F102" s="2" t="s">
        <v>253</v>
      </c>
      <c r="G102" s="2" t="s">
        <v>4314</v>
      </c>
      <c r="H102" s="2" t="s">
        <v>26</v>
      </c>
      <c r="I102" s="2">
        <v>1313</v>
      </c>
      <c r="J102" s="2">
        <f t="shared" si="1"/>
        <v>0</v>
      </c>
      <c r="K102" s="2" t="s">
        <v>92</v>
      </c>
      <c r="L102" s="2" t="s">
        <v>253</v>
      </c>
    </row>
    <row r="103" spans="1:12" x14ac:dyDescent="0.25">
      <c r="A103" s="2">
        <v>102</v>
      </c>
      <c r="B103" s="2">
        <v>933120</v>
      </c>
      <c r="C103" s="807" t="s">
        <v>4462</v>
      </c>
      <c r="D103" s="807" t="s">
        <v>78</v>
      </c>
      <c r="E103" s="807">
        <v>1613</v>
      </c>
      <c r="F103" s="807" t="s">
        <v>253</v>
      </c>
      <c r="G103" s="807" t="s">
        <v>47</v>
      </c>
      <c r="H103" s="2" t="s">
        <v>26</v>
      </c>
      <c r="I103" s="2">
        <v>1613</v>
      </c>
      <c r="J103" s="2">
        <f t="shared" si="1"/>
        <v>0</v>
      </c>
      <c r="K103" s="2" t="s">
        <v>78</v>
      </c>
      <c r="L103" s="2" t="s">
        <v>253</v>
      </c>
    </row>
    <row r="104" spans="1:12" x14ac:dyDescent="0.25">
      <c r="A104" s="2">
        <v>103</v>
      </c>
      <c r="B104" s="2">
        <v>971093</v>
      </c>
      <c r="C104" s="2" t="s">
        <v>4332</v>
      </c>
      <c r="D104" s="2" t="s">
        <v>86</v>
      </c>
      <c r="E104" s="2" t="s">
        <v>4249</v>
      </c>
      <c r="F104" s="2" t="s">
        <v>253</v>
      </c>
      <c r="G104" s="2" t="s">
        <v>47</v>
      </c>
      <c r="H104" s="2" t="s">
        <v>69</v>
      </c>
      <c r="I104" s="2" t="s">
        <v>4249</v>
      </c>
      <c r="J104" s="2" t="e">
        <f t="shared" si="1"/>
        <v>#VALUE!</v>
      </c>
      <c r="K104" s="2" t="s">
        <v>86</v>
      </c>
      <c r="L104" s="2" t="s">
        <v>253</v>
      </c>
    </row>
    <row r="105" spans="1:12" x14ac:dyDescent="0.25">
      <c r="A105" s="2">
        <v>104</v>
      </c>
      <c r="B105" s="2">
        <v>1086351</v>
      </c>
      <c r="C105" s="2" t="s">
        <v>4333</v>
      </c>
      <c r="D105" s="2" t="s">
        <v>100</v>
      </c>
      <c r="E105" s="2">
        <v>1316</v>
      </c>
      <c r="F105" s="2" t="s">
        <v>103</v>
      </c>
      <c r="G105" s="2" t="s">
        <v>36</v>
      </c>
      <c r="H105" s="2" t="s">
        <v>26</v>
      </c>
      <c r="I105" s="2">
        <v>1316</v>
      </c>
      <c r="J105" s="2">
        <f t="shared" si="1"/>
        <v>0</v>
      </c>
      <c r="K105" s="2" t="s">
        <v>100</v>
      </c>
      <c r="L105" s="2" t="s">
        <v>103</v>
      </c>
    </row>
    <row r="106" spans="1:12" x14ac:dyDescent="0.25">
      <c r="A106" s="2">
        <v>105</v>
      </c>
      <c r="B106" s="2">
        <v>632948</v>
      </c>
      <c r="C106" s="2">
        <v>1313</v>
      </c>
      <c r="D106" s="2" t="e">
        <v>#N/A</v>
      </c>
      <c r="E106" s="2" t="e">
        <v>#N/A</v>
      </c>
      <c r="F106" s="2" t="e">
        <v>#N/A</v>
      </c>
      <c r="G106" s="806" t="e">
        <v>#N/A</v>
      </c>
      <c r="H106" s="2" t="s">
        <v>102</v>
      </c>
      <c r="I106" s="5">
        <v>1313</v>
      </c>
      <c r="J106" s="2" t="e">
        <f t="shared" si="1"/>
        <v>#N/A</v>
      </c>
      <c r="K106" s="5" t="s">
        <v>103</v>
      </c>
      <c r="L106" s="5" t="s">
        <v>103</v>
      </c>
    </row>
    <row r="107" spans="1:12" x14ac:dyDescent="0.25">
      <c r="A107" s="2">
        <v>106</v>
      </c>
      <c r="B107" s="2">
        <v>647435</v>
      </c>
      <c r="C107" s="2" t="s">
        <v>4137</v>
      </c>
      <c r="D107" s="2" t="s">
        <v>51</v>
      </c>
      <c r="E107" s="2">
        <v>1608</v>
      </c>
      <c r="F107" s="2" t="s">
        <v>253</v>
      </c>
      <c r="G107" s="2" t="s">
        <v>47</v>
      </c>
      <c r="H107" s="2" t="s">
        <v>26</v>
      </c>
      <c r="I107" s="2">
        <v>1608</v>
      </c>
      <c r="J107" s="2">
        <f t="shared" si="1"/>
        <v>0</v>
      </c>
      <c r="K107" s="2" t="s">
        <v>51</v>
      </c>
      <c r="L107" s="2" t="s">
        <v>253</v>
      </c>
    </row>
    <row r="108" spans="1:12" x14ac:dyDescent="0.25">
      <c r="A108" s="2">
        <v>107</v>
      </c>
      <c r="B108" s="2">
        <v>983148</v>
      </c>
      <c r="C108" s="2" t="s">
        <v>4463</v>
      </c>
      <c r="D108" s="2" t="s">
        <v>79</v>
      </c>
      <c r="E108" s="2">
        <v>1608</v>
      </c>
      <c r="F108" s="2" t="s">
        <v>253</v>
      </c>
      <c r="G108" s="2" t="s">
        <v>4275</v>
      </c>
      <c r="H108" s="2" t="s">
        <v>26</v>
      </c>
      <c r="I108" s="2">
        <v>1608</v>
      </c>
      <c r="J108" s="2">
        <f t="shared" si="1"/>
        <v>0</v>
      </c>
      <c r="K108" s="2" t="s">
        <v>79</v>
      </c>
      <c r="L108" s="2" t="s">
        <v>253</v>
      </c>
    </row>
    <row r="109" spans="1:12" x14ac:dyDescent="0.25">
      <c r="A109" s="2">
        <v>108</v>
      </c>
      <c r="B109" s="2">
        <v>738228</v>
      </c>
      <c r="C109" s="2" t="s">
        <v>4334</v>
      </c>
      <c r="D109" s="2" t="s">
        <v>4241</v>
      </c>
      <c r="E109" s="2">
        <v>1608</v>
      </c>
      <c r="F109" s="2" t="s">
        <v>253</v>
      </c>
      <c r="G109" s="2" t="s">
        <v>4275</v>
      </c>
      <c r="H109" s="2" t="s">
        <v>26</v>
      </c>
      <c r="I109" s="2">
        <v>1608</v>
      </c>
      <c r="J109" s="2">
        <f t="shared" si="1"/>
        <v>0</v>
      </c>
      <c r="K109" s="2" t="s">
        <v>4241</v>
      </c>
      <c r="L109" s="2" t="s">
        <v>253</v>
      </c>
    </row>
    <row r="110" spans="1:12" x14ac:dyDescent="0.25">
      <c r="A110" s="2">
        <v>109</v>
      </c>
      <c r="B110" s="2">
        <v>661066</v>
      </c>
      <c r="C110" s="2" t="s">
        <v>4335</v>
      </c>
      <c r="D110" s="2" t="s">
        <v>145</v>
      </c>
      <c r="E110" s="2">
        <v>1613</v>
      </c>
      <c r="F110" s="2" t="s">
        <v>253</v>
      </c>
      <c r="G110" s="2" t="s">
        <v>4336</v>
      </c>
      <c r="H110" s="2" t="s">
        <v>26</v>
      </c>
      <c r="I110" s="2">
        <v>1613</v>
      </c>
      <c r="J110" s="2">
        <f t="shared" si="1"/>
        <v>0</v>
      </c>
      <c r="K110" s="2" t="s">
        <v>145</v>
      </c>
      <c r="L110" s="2" t="s">
        <v>253</v>
      </c>
    </row>
    <row r="111" spans="1:12" x14ac:dyDescent="0.25">
      <c r="A111" s="2">
        <v>110</v>
      </c>
      <c r="B111" s="2">
        <v>1104743</v>
      </c>
      <c r="C111" s="2" t="s">
        <v>4488</v>
      </c>
      <c r="D111" s="2" t="s">
        <v>145</v>
      </c>
      <c r="E111" s="2">
        <v>1308</v>
      </c>
      <c r="F111" s="2" t="s">
        <v>109</v>
      </c>
      <c r="G111" s="2" t="s">
        <v>4336</v>
      </c>
      <c r="H111" s="2" t="s">
        <v>26</v>
      </c>
      <c r="I111" s="2">
        <v>1308</v>
      </c>
      <c r="J111" s="2">
        <f t="shared" si="1"/>
        <v>0</v>
      </c>
      <c r="K111" s="3" t="s">
        <v>108</v>
      </c>
      <c r="L111" s="3" t="s">
        <v>109</v>
      </c>
    </row>
    <row r="112" spans="1:12" x14ac:dyDescent="0.25">
      <c r="A112" s="2">
        <v>111</v>
      </c>
      <c r="B112" s="2">
        <v>1100696</v>
      </c>
      <c r="C112" s="2" t="s">
        <v>4337</v>
      </c>
      <c r="D112" s="2" t="s">
        <v>111</v>
      </c>
      <c r="E112" s="2">
        <v>1313</v>
      </c>
      <c r="F112" s="2" t="s">
        <v>248</v>
      </c>
      <c r="G112" s="2" t="s">
        <v>4314</v>
      </c>
      <c r="H112" s="2" t="s">
        <v>26</v>
      </c>
      <c r="I112" s="2">
        <v>1313</v>
      </c>
      <c r="J112" s="2">
        <f t="shared" si="1"/>
        <v>0</v>
      </c>
      <c r="K112" s="2" t="s">
        <v>111</v>
      </c>
      <c r="L112" s="2" t="s">
        <v>248</v>
      </c>
    </row>
    <row r="113" spans="1:12" x14ac:dyDescent="0.25">
      <c r="A113" s="2">
        <v>112</v>
      </c>
      <c r="B113" s="2">
        <v>1100745</v>
      </c>
      <c r="C113" s="2" t="s">
        <v>4464</v>
      </c>
      <c r="D113" s="2" t="s">
        <v>111</v>
      </c>
      <c r="E113" s="2">
        <v>1913</v>
      </c>
      <c r="F113" s="2" t="s">
        <v>253</v>
      </c>
      <c r="G113" s="2" t="s">
        <v>4314</v>
      </c>
      <c r="H113" s="2" t="s">
        <v>26</v>
      </c>
      <c r="I113" s="2">
        <v>1913</v>
      </c>
      <c r="J113" s="2">
        <f t="shared" si="1"/>
        <v>0</v>
      </c>
      <c r="K113" s="2" t="s">
        <v>111</v>
      </c>
      <c r="L113" s="2" t="s">
        <v>253</v>
      </c>
    </row>
    <row r="114" spans="1:12" x14ac:dyDescent="0.25">
      <c r="A114" s="2">
        <v>113</v>
      </c>
      <c r="B114" s="2">
        <v>1130198</v>
      </c>
      <c r="C114" s="2" t="s">
        <v>4338</v>
      </c>
      <c r="D114" s="2" t="s">
        <v>114</v>
      </c>
      <c r="E114" s="2">
        <v>1613</v>
      </c>
      <c r="F114" s="2" t="s">
        <v>253</v>
      </c>
      <c r="G114" s="2" t="s">
        <v>4275</v>
      </c>
      <c r="H114" s="2" t="s">
        <v>26</v>
      </c>
      <c r="I114" s="2">
        <v>1613</v>
      </c>
      <c r="J114" s="2">
        <f t="shared" si="1"/>
        <v>0</v>
      </c>
      <c r="K114" s="2" t="s">
        <v>114</v>
      </c>
      <c r="L114" s="2" t="s">
        <v>253</v>
      </c>
    </row>
    <row r="115" spans="1:12" x14ac:dyDescent="0.25">
      <c r="A115" s="2">
        <v>114</v>
      </c>
      <c r="B115" s="2">
        <v>1130196</v>
      </c>
      <c r="C115" s="2" t="s">
        <v>4465</v>
      </c>
      <c r="D115" s="2" t="s">
        <v>114</v>
      </c>
      <c r="E115" s="2">
        <v>1313</v>
      </c>
      <c r="F115" s="2" t="s">
        <v>253</v>
      </c>
      <c r="G115" s="2" t="s">
        <v>4275</v>
      </c>
      <c r="H115" s="2" t="s">
        <v>26</v>
      </c>
      <c r="I115" s="2">
        <v>1313</v>
      </c>
      <c r="J115" s="2">
        <f t="shared" si="1"/>
        <v>0</v>
      </c>
      <c r="K115" s="2" t="s">
        <v>114</v>
      </c>
      <c r="L115" s="2" t="s">
        <v>253</v>
      </c>
    </row>
    <row r="116" spans="1:12" x14ac:dyDescent="0.25">
      <c r="A116" s="2">
        <v>115</v>
      </c>
      <c r="B116" s="2">
        <v>752583</v>
      </c>
      <c r="C116" s="2" t="s">
        <v>4339</v>
      </c>
      <c r="D116" s="2" t="s">
        <v>76</v>
      </c>
      <c r="E116" s="2">
        <v>1913</v>
      </c>
      <c r="F116" s="2" t="s">
        <v>253</v>
      </c>
      <c r="G116" s="2" t="s">
        <v>28</v>
      </c>
      <c r="H116" s="2" t="s">
        <v>26</v>
      </c>
      <c r="I116" s="2">
        <v>1913</v>
      </c>
      <c r="J116" s="2">
        <f t="shared" si="1"/>
        <v>0</v>
      </c>
      <c r="K116" s="2" t="s">
        <v>76</v>
      </c>
      <c r="L116" s="2" t="s">
        <v>253</v>
      </c>
    </row>
    <row r="117" spans="1:12" x14ac:dyDescent="0.25">
      <c r="A117" s="2">
        <v>116</v>
      </c>
      <c r="B117" s="2">
        <v>1100741</v>
      </c>
      <c r="C117" s="2" t="s">
        <v>4340</v>
      </c>
      <c r="D117" s="2" t="s">
        <v>111</v>
      </c>
      <c r="E117" s="2">
        <v>1613</v>
      </c>
      <c r="F117" s="2" t="s">
        <v>253</v>
      </c>
      <c r="G117" s="2" t="s">
        <v>4314</v>
      </c>
      <c r="H117" s="2" t="s">
        <v>26</v>
      </c>
      <c r="I117" s="2">
        <v>1613</v>
      </c>
      <c r="J117" s="2">
        <f t="shared" si="1"/>
        <v>0</v>
      </c>
      <c r="K117" s="2" t="s">
        <v>111</v>
      </c>
      <c r="L117" s="2" t="s">
        <v>253</v>
      </c>
    </row>
    <row r="118" spans="1:12" x14ac:dyDescent="0.25">
      <c r="A118" s="2">
        <v>117</v>
      </c>
      <c r="B118" s="2">
        <v>1014941</v>
      </c>
      <c r="C118" s="2" t="s">
        <v>4341</v>
      </c>
      <c r="D118" s="2" t="s">
        <v>91</v>
      </c>
      <c r="E118" s="2">
        <v>1613</v>
      </c>
      <c r="F118" s="2" t="s">
        <v>253</v>
      </c>
      <c r="G118" s="2" t="s">
        <v>4275</v>
      </c>
      <c r="H118" s="2" t="s">
        <v>26</v>
      </c>
      <c r="I118" s="2">
        <v>1613</v>
      </c>
      <c r="J118" s="2">
        <f t="shared" si="1"/>
        <v>0</v>
      </c>
      <c r="K118" s="2" t="s">
        <v>91</v>
      </c>
      <c r="L118" s="2" t="s">
        <v>253</v>
      </c>
    </row>
    <row r="119" spans="1:12" x14ac:dyDescent="0.25">
      <c r="A119" s="2">
        <v>118</v>
      </c>
      <c r="B119" s="2">
        <v>1130200</v>
      </c>
      <c r="C119" s="2" t="s">
        <v>4342</v>
      </c>
      <c r="D119" s="2" t="s">
        <v>114</v>
      </c>
      <c r="E119" s="2">
        <v>1913</v>
      </c>
      <c r="F119" s="2" t="s">
        <v>253</v>
      </c>
      <c r="G119" s="2" t="s">
        <v>4275</v>
      </c>
      <c r="H119" s="2" t="s">
        <v>26</v>
      </c>
      <c r="I119" s="2">
        <v>1913</v>
      </c>
      <c r="J119" s="2">
        <f t="shared" si="1"/>
        <v>0</v>
      </c>
      <c r="K119" s="2" t="s">
        <v>114</v>
      </c>
      <c r="L119" s="2" t="s">
        <v>253</v>
      </c>
    </row>
    <row r="120" spans="1:12" x14ac:dyDescent="0.25">
      <c r="A120" s="2">
        <v>119</v>
      </c>
      <c r="B120" s="2">
        <v>1144821</v>
      </c>
      <c r="C120" s="2" t="s">
        <v>4343</v>
      </c>
      <c r="D120" s="2" t="s">
        <v>4240</v>
      </c>
      <c r="E120" s="2">
        <v>1613</v>
      </c>
      <c r="F120" s="2" t="s">
        <v>253</v>
      </c>
      <c r="G120" s="2" t="s">
        <v>4275</v>
      </c>
      <c r="H120" s="2" t="s">
        <v>26</v>
      </c>
      <c r="I120" s="2">
        <v>1613</v>
      </c>
      <c r="J120" s="2">
        <f t="shared" si="1"/>
        <v>0</v>
      </c>
      <c r="K120" s="2" t="s">
        <v>4240</v>
      </c>
      <c r="L120" s="2" t="s">
        <v>253</v>
      </c>
    </row>
    <row r="121" spans="1:12" x14ac:dyDescent="0.25">
      <c r="A121" s="2">
        <v>120</v>
      </c>
      <c r="B121" s="2">
        <v>1134752</v>
      </c>
      <c r="C121" s="2" t="s">
        <v>4344</v>
      </c>
      <c r="D121" s="2" t="s">
        <v>114</v>
      </c>
      <c r="E121" s="2">
        <v>1308</v>
      </c>
      <c r="F121" s="2" t="s">
        <v>253</v>
      </c>
      <c r="G121" s="2" t="s">
        <v>4275</v>
      </c>
      <c r="H121" s="2" t="s">
        <v>26</v>
      </c>
      <c r="I121" s="2">
        <v>1308</v>
      </c>
      <c r="J121" s="2">
        <f t="shared" si="1"/>
        <v>0</v>
      </c>
      <c r="K121" s="2" t="s">
        <v>114</v>
      </c>
      <c r="L121" s="2" t="s">
        <v>253</v>
      </c>
    </row>
    <row r="122" spans="1:12" x14ac:dyDescent="0.25">
      <c r="A122" s="2">
        <v>121</v>
      </c>
      <c r="B122" s="2">
        <v>1130197</v>
      </c>
      <c r="C122" s="2" t="s">
        <v>4466</v>
      </c>
      <c r="D122" s="2" t="s">
        <v>114</v>
      </c>
      <c r="E122" s="2">
        <v>1608</v>
      </c>
      <c r="F122" s="2" t="s">
        <v>253</v>
      </c>
      <c r="G122" s="2" t="s">
        <v>4275</v>
      </c>
      <c r="H122" s="2" t="s">
        <v>26</v>
      </c>
      <c r="I122" s="2">
        <v>1608</v>
      </c>
      <c r="J122" s="2">
        <f t="shared" si="1"/>
        <v>0</v>
      </c>
      <c r="K122" s="2" t="s">
        <v>114</v>
      </c>
      <c r="L122" s="2" t="s">
        <v>253</v>
      </c>
    </row>
    <row r="123" spans="1:12" x14ac:dyDescent="0.25">
      <c r="A123" s="2">
        <v>122</v>
      </c>
      <c r="B123" s="2">
        <v>1130204</v>
      </c>
      <c r="C123" s="2" t="s">
        <v>4345</v>
      </c>
      <c r="D123" s="2" t="s">
        <v>114</v>
      </c>
      <c r="E123" s="2" t="s">
        <v>4248</v>
      </c>
      <c r="F123" s="2" t="s">
        <v>253</v>
      </c>
      <c r="G123" s="2" t="s">
        <v>4275</v>
      </c>
      <c r="H123" s="3" t="s">
        <v>42</v>
      </c>
      <c r="I123" s="2" t="s">
        <v>4248</v>
      </c>
      <c r="J123" s="2" t="e">
        <f t="shared" si="1"/>
        <v>#VALUE!</v>
      </c>
      <c r="K123" s="2" t="s">
        <v>114</v>
      </c>
      <c r="L123" s="2" t="s">
        <v>253</v>
      </c>
    </row>
    <row r="124" spans="1:12" x14ac:dyDescent="0.25">
      <c r="A124" s="2">
        <v>123</v>
      </c>
      <c r="B124" s="2">
        <v>971088</v>
      </c>
      <c r="C124" s="2" t="s">
        <v>4346</v>
      </c>
      <c r="D124" s="2" t="s">
        <v>86</v>
      </c>
      <c r="E124" s="2" t="s">
        <v>911</v>
      </c>
      <c r="F124" s="2" t="s">
        <v>253</v>
      </c>
      <c r="G124" s="2" t="s">
        <v>47</v>
      </c>
      <c r="H124" s="2" t="s">
        <v>42</v>
      </c>
      <c r="I124" s="2" t="s">
        <v>911</v>
      </c>
      <c r="J124" s="2" t="e">
        <f t="shared" si="1"/>
        <v>#VALUE!</v>
      </c>
      <c r="K124" s="2" t="s">
        <v>86</v>
      </c>
      <c r="L124" s="2" t="s">
        <v>253</v>
      </c>
    </row>
    <row r="125" spans="1:12" x14ac:dyDescent="0.25">
      <c r="A125" s="2">
        <v>124</v>
      </c>
      <c r="B125" s="2">
        <v>1039033</v>
      </c>
      <c r="C125" s="2" t="s">
        <v>4467</v>
      </c>
      <c r="D125" s="2" t="s">
        <v>88</v>
      </c>
      <c r="E125" s="2">
        <v>1308</v>
      </c>
      <c r="F125" s="2" t="s">
        <v>248</v>
      </c>
      <c r="G125" s="2" t="s">
        <v>4275</v>
      </c>
      <c r="H125" s="2" t="s">
        <v>26</v>
      </c>
      <c r="I125" s="2">
        <v>1308</v>
      </c>
      <c r="J125" s="2">
        <f t="shared" si="1"/>
        <v>0</v>
      </c>
      <c r="K125" s="2" t="s">
        <v>88</v>
      </c>
      <c r="L125" s="2" t="s">
        <v>248</v>
      </c>
    </row>
    <row r="126" spans="1:12" x14ac:dyDescent="0.25">
      <c r="A126" s="2">
        <v>125</v>
      </c>
      <c r="B126" s="2">
        <v>1144818</v>
      </c>
      <c r="C126" s="2" t="s">
        <v>4347</v>
      </c>
      <c r="D126" s="2" t="s">
        <v>4240</v>
      </c>
      <c r="E126" s="2">
        <v>1308</v>
      </c>
      <c r="F126" s="2" t="s">
        <v>253</v>
      </c>
      <c r="G126" s="2" t="s">
        <v>4275</v>
      </c>
      <c r="H126" s="2" t="s">
        <v>26</v>
      </c>
      <c r="I126" s="2">
        <v>1308</v>
      </c>
      <c r="J126" s="2">
        <f t="shared" si="1"/>
        <v>0</v>
      </c>
      <c r="K126" s="2" t="s">
        <v>4240</v>
      </c>
      <c r="L126" s="2" t="s">
        <v>253</v>
      </c>
    </row>
    <row r="127" spans="1:12" x14ac:dyDescent="0.25">
      <c r="A127" s="2">
        <v>126</v>
      </c>
      <c r="B127" s="2">
        <v>1144820</v>
      </c>
      <c r="C127" s="2" t="s">
        <v>4348</v>
      </c>
      <c r="D127" s="2" t="s">
        <v>4240</v>
      </c>
      <c r="E127" s="2">
        <v>1608</v>
      </c>
      <c r="F127" s="2" t="s">
        <v>253</v>
      </c>
      <c r="G127" s="2" t="s">
        <v>4275</v>
      </c>
      <c r="H127" s="2" t="s">
        <v>26</v>
      </c>
      <c r="I127" s="3">
        <v>1608</v>
      </c>
      <c r="J127" s="2">
        <f t="shared" si="1"/>
        <v>0</v>
      </c>
      <c r="K127" s="2" t="s">
        <v>4240</v>
      </c>
      <c r="L127" s="2" t="s">
        <v>253</v>
      </c>
    </row>
    <row r="128" spans="1:12" x14ac:dyDescent="0.25">
      <c r="A128" s="2">
        <v>127</v>
      </c>
      <c r="B128" s="2">
        <v>1144689</v>
      </c>
      <c r="C128" s="2" t="s">
        <v>4468</v>
      </c>
      <c r="D128" s="2" t="s">
        <v>4240</v>
      </c>
      <c r="E128" s="2">
        <v>1308</v>
      </c>
      <c r="F128" s="2" t="s">
        <v>248</v>
      </c>
      <c r="G128" s="2" t="s">
        <v>4275</v>
      </c>
      <c r="H128" s="2" t="s">
        <v>26</v>
      </c>
      <c r="I128" s="2">
        <v>1308</v>
      </c>
      <c r="J128" s="2">
        <f t="shared" si="1"/>
        <v>0</v>
      </c>
      <c r="K128" s="2" t="s">
        <v>116</v>
      </c>
      <c r="L128" s="2" t="s">
        <v>248</v>
      </c>
    </row>
    <row r="129" spans="1:12" x14ac:dyDescent="0.25">
      <c r="A129" s="2">
        <v>128</v>
      </c>
      <c r="B129" s="2">
        <v>1039035</v>
      </c>
      <c r="C129" s="2" t="s">
        <v>4349</v>
      </c>
      <c r="D129" s="2" t="s">
        <v>88</v>
      </c>
      <c r="E129" s="2">
        <v>1313</v>
      </c>
      <c r="F129" s="2" t="s">
        <v>248</v>
      </c>
      <c r="G129" s="2" t="s">
        <v>4275</v>
      </c>
      <c r="H129" s="2" t="s">
        <v>26</v>
      </c>
      <c r="I129" s="2">
        <v>1313</v>
      </c>
      <c r="J129" s="2">
        <f t="shared" si="1"/>
        <v>0</v>
      </c>
      <c r="K129" s="2" t="s">
        <v>88</v>
      </c>
      <c r="L129" s="2" t="s">
        <v>248</v>
      </c>
    </row>
    <row r="130" spans="1:12" x14ac:dyDescent="0.25">
      <c r="A130" s="2">
        <v>129</v>
      </c>
      <c r="B130" s="2">
        <v>1104083</v>
      </c>
      <c r="C130" s="807" t="s">
        <v>4469</v>
      </c>
      <c r="D130" s="807" t="s">
        <v>123</v>
      </c>
      <c r="E130" s="807">
        <v>1313</v>
      </c>
      <c r="F130" s="807" t="s">
        <v>248</v>
      </c>
      <c r="G130" s="2" t="s">
        <v>4360</v>
      </c>
      <c r="H130" s="2" t="s">
        <v>122</v>
      </c>
      <c r="I130" s="5">
        <v>1313</v>
      </c>
      <c r="J130" s="2">
        <f t="shared" si="1"/>
        <v>0</v>
      </c>
      <c r="K130" s="5" t="s">
        <v>123</v>
      </c>
      <c r="L130" s="5" t="s">
        <v>248</v>
      </c>
    </row>
    <row r="131" spans="1:12" x14ac:dyDescent="0.25">
      <c r="A131" s="2">
        <v>130</v>
      </c>
      <c r="B131" s="2">
        <v>1136984</v>
      </c>
      <c r="C131" s="2" t="s">
        <v>4350</v>
      </c>
      <c r="D131" s="2" t="s">
        <v>125</v>
      </c>
      <c r="E131" s="2">
        <v>1313</v>
      </c>
      <c r="F131" s="2" t="s">
        <v>248</v>
      </c>
      <c r="G131" s="2" t="s">
        <v>4318</v>
      </c>
      <c r="H131" s="2" t="s">
        <v>124</v>
      </c>
      <c r="I131" s="2">
        <v>1313</v>
      </c>
      <c r="J131" s="2">
        <f t="shared" ref="J131:J194" si="2">E131-I131</f>
        <v>0</v>
      </c>
      <c r="K131" s="2" t="s">
        <v>125</v>
      </c>
      <c r="L131" s="2" t="s">
        <v>248</v>
      </c>
    </row>
    <row r="132" spans="1:12" x14ac:dyDescent="0.25">
      <c r="A132" s="2">
        <v>131</v>
      </c>
      <c r="B132" s="2">
        <v>1039029</v>
      </c>
      <c r="C132" s="2" t="s">
        <v>4470</v>
      </c>
      <c r="D132" s="2" t="s">
        <v>88</v>
      </c>
      <c r="E132" s="2">
        <v>1010</v>
      </c>
      <c r="F132" s="2" t="s">
        <v>248</v>
      </c>
      <c r="G132" s="2" t="s">
        <v>4275</v>
      </c>
      <c r="H132" s="2" t="s">
        <v>26</v>
      </c>
      <c r="I132" s="2">
        <v>1010</v>
      </c>
      <c r="J132" s="2">
        <f t="shared" si="2"/>
        <v>0</v>
      </c>
      <c r="K132" s="2" t="s">
        <v>88</v>
      </c>
      <c r="L132" s="2" t="s">
        <v>248</v>
      </c>
    </row>
    <row r="133" spans="1:12" x14ac:dyDescent="0.25">
      <c r="A133" s="2">
        <v>132</v>
      </c>
      <c r="B133" s="2">
        <v>976348</v>
      </c>
      <c r="C133" s="2" t="s">
        <v>4351</v>
      </c>
      <c r="D133" s="2" t="s">
        <v>4241</v>
      </c>
      <c r="E133" s="2">
        <v>1308</v>
      </c>
      <c r="F133" s="2" t="s">
        <v>248</v>
      </c>
      <c r="G133" s="2" t="s">
        <v>4275</v>
      </c>
      <c r="H133" s="2" t="s">
        <v>26</v>
      </c>
      <c r="I133" s="2">
        <v>1308</v>
      </c>
      <c r="J133" s="2">
        <f t="shared" si="2"/>
        <v>0</v>
      </c>
      <c r="K133" s="2" t="s">
        <v>4241</v>
      </c>
      <c r="L133" s="2" t="s">
        <v>248</v>
      </c>
    </row>
    <row r="134" spans="1:12" x14ac:dyDescent="0.25">
      <c r="A134" s="2">
        <v>133</v>
      </c>
      <c r="B134" s="2">
        <v>409593</v>
      </c>
      <c r="C134" s="2" t="s">
        <v>4352</v>
      </c>
      <c r="D134" s="2" t="s">
        <v>44</v>
      </c>
      <c r="E134" s="2">
        <v>1608</v>
      </c>
      <c r="F134" s="2" t="s">
        <v>248</v>
      </c>
      <c r="G134" s="2" t="s">
        <v>28</v>
      </c>
      <c r="H134" s="2" t="s">
        <v>26</v>
      </c>
      <c r="I134" s="2">
        <v>1608</v>
      </c>
      <c r="J134" s="2">
        <f t="shared" si="2"/>
        <v>0</v>
      </c>
      <c r="K134" s="2" t="s">
        <v>44</v>
      </c>
      <c r="L134" s="2" t="s">
        <v>248</v>
      </c>
    </row>
    <row r="135" spans="1:12" x14ac:dyDescent="0.25">
      <c r="A135" s="2">
        <v>134</v>
      </c>
      <c r="B135" s="2">
        <v>397470</v>
      </c>
      <c r="C135" s="2" t="s">
        <v>4353</v>
      </c>
      <c r="D135" s="2" t="s">
        <v>4242</v>
      </c>
      <c r="E135" s="2">
        <v>1608</v>
      </c>
      <c r="F135" s="2" t="s">
        <v>248</v>
      </c>
      <c r="G135" s="2" t="s">
        <v>47</v>
      </c>
      <c r="H135" s="2" t="s">
        <v>26</v>
      </c>
      <c r="I135" s="2">
        <v>1608</v>
      </c>
      <c r="J135" s="2">
        <f t="shared" si="2"/>
        <v>0</v>
      </c>
      <c r="K135" s="2" t="s">
        <v>4242</v>
      </c>
      <c r="L135" s="2" t="s">
        <v>248</v>
      </c>
    </row>
    <row r="136" spans="1:12" x14ac:dyDescent="0.25">
      <c r="A136" s="2">
        <v>135</v>
      </c>
      <c r="B136" s="2">
        <v>1145493</v>
      </c>
      <c r="C136" s="2" t="s">
        <v>4354</v>
      </c>
      <c r="D136" s="2" t="s">
        <v>130</v>
      </c>
      <c r="E136" s="2">
        <v>1313</v>
      </c>
      <c r="F136" s="2" t="s">
        <v>248</v>
      </c>
      <c r="G136" s="2" t="s">
        <v>4314</v>
      </c>
      <c r="H136" s="2" t="s">
        <v>26</v>
      </c>
      <c r="I136" s="2">
        <v>1313</v>
      </c>
      <c r="J136" s="2">
        <f t="shared" si="2"/>
        <v>0</v>
      </c>
      <c r="K136" s="2" t="s">
        <v>130</v>
      </c>
      <c r="L136" s="2" t="s">
        <v>248</v>
      </c>
    </row>
    <row r="137" spans="1:12" x14ac:dyDescent="0.25">
      <c r="A137" s="2">
        <v>136</v>
      </c>
      <c r="B137" s="2">
        <v>1050785</v>
      </c>
      <c r="C137" s="2" t="s">
        <v>4355</v>
      </c>
      <c r="D137" s="2" t="s">
        <v>88</v>
      </c>
      <c r="E137" s="2">
        <v>1005</v>
      </c>
      <c r="F137" s="2" t="s">
        <v>248</v>
      </c>
      <c r="G137" s="2" t="s">
        <v>4275</v>
      </c>
      <c r="H137" s="2" t="s">
        <v>26</v>
      </c>
      <c r="I137" s="2">
        <v>1005</v>
      </c>
      <c r="J137" s="2">
        <f t="shared" si="2"/>
        <v>0</v>
      </c>
      <c r="K137" s="2" t="s">
        <v>88</v>
      </c>
      <c r="L137" s="2" t="s">
        <v>248</v>
      </c>
    </row>
    <row r="138" spans="1:12" x14ac:dyDescent="0.25">
      <c r="A138" s="2">
        <v>137</v>
      </c>
      <c r="B138" s="2">
        <v>874583</v>
      </c>
      <c r="C138" s="2" t="s">
        <v>4356</v>
      </c>
      <c r="D138" s="2" t="s">
        <v>76</v>
      </c>
      <c r="E138" s="2">
        <v>1313</v>
      </c>
      <c r="F138" s="2" t="s">
        <v>248</v>
      </c>
      <c r="G138" s="2" t="s">
        <v>28</v>
      </c>
      <c r="H138" s="2" t="s">
        <v>26</v>
      </c>
      <c r="I138" s="2">
        <v>1313</v>
      </c>
      <c r="J138" s="2">
        <f t="shared" si="2"/>
        <v>0</v>
      </c>
      <c r="K138" s="2" t="s">
        <v>76</v>
      </c>
      <c r="L138" s="2" t="s">
        <v>248</v>
      </c>
    </row>
    <row r="139" spans="1:12" x14ac:dyDescent="0.25">
      <c r="A139" s="2">
        <v>138</v>
      </c>
      <c r="B139" s="2">
        <v>1014950</v>
      </c>
      <c r="C139" s="2" t="s">
        <v>4471</v>
      </c>
      <c r="D139" s="2" t="s">
        <v>91</v>
      </c>
      <c r="E139" s="2">
        <v>1313</v>
      </c>
      <c r="F139" s="2" t="s">
        <v>248</v>
      </c>
      <c r="G139" s="2" t="s">
        <v>4275</v>
      </c>
      <c r="H139" s="2" t="s">
        <v>26</v>
      </c>
      <c r="I139" s="2">
        <v>1313</v>
      </c>
      <c r="J139" s="2">
        <f t="shared" si="2"/>
        <v>0</v>
      </c>
      <c r="K139" s="2" t="s">
        <v>91</v>
      </c>
      <c r="L139" s="2" t="s">
        <v>248</v>
      </c>
    </row>
    <row r="140" spans="1:12" x14ac:dyDescent="0.25">
      <c r="A140" s="2">
        <v>139</v>
      </c>
      <c r="B140" s="2">
        <v>1118470</v>
      </c>
      <c r="C140" s="2" t="s">
        <v>4357</v>
      </c>
      <c r="D140" s="2" t="s">
        <v>132</v>
      </c>
      <c r="E140" s="2">
        <v>1313</v>
      </c>
      <c r="F140" s="2" t="s">
        <v>248</v>
      </c>
      <c r="G140" s="2" t="s">
        <v>49</v>
      </c>
      <c r="H140" s="2" t="s">
        <v>26</v>
      </c>
      <c r="I140" s="2">
        <v>1313</v>
      </c>
      <c r="J140" s="2">
        <f t="shared" si="2"/>
        <v>0</v>
      </c>
      <c r="K140" s="2" t="s">
        <v>132</v>
      </c>
      <c r="L140" s="2" t="s">
        <v>248</v>
      </c>
    </row>
    <row r="141" spans="1:12" x14ac:dyDescent="0.25">
      <c r="A141" s="2">
        <v>140</v>
      </c>
      <c r="B141" s="2">
        <v>1118517</v>
      </c>
      <c r="C141" s="2" t="s">
        <v>4358</v>
      </c>
      <c r="D141" s="2" t="s">
        <v>133</v>
      </c>
      <c r="E141" s="2">
        <v>1313</v>
      </c>
      <c r="F141" s="2" t="s">
        <v>248</v>
      </c>
      <c r="G141" s="2" t="s">
        <v>4275</v>
      </c>
      <c r="H141" s="2" t="s">
        <v>26</v>
      </c>
      <c r="I141" s="2">
        <v>1313</v>
      </c>
      <c r="J141" s="2">
        <f t="shared" si="2"/>
        <v>0</v>
      </c>
      <c r="K141" s="2" t="s">
        <v>133</v>
      </c>
      <c r="L141" s="2" t="s">
        <v>248</v>
      </c>
    </row>
    <row r="142" spans="1:12" x14ac:dyDescent="0.25">
      <c r="A142" s="2">
        <v>141</v>
      </c>
      <c r="B142" s="2">
        <v>1123324</v>
      </c>
      <c r="C142" s="807" t="s">
        <v>4469</v>
      </c>
      <c r="D142" s="807" t="s">
        <v>123</v>
      </c>
      <c r="E142" s="807">
        <v>1313</v>
      </c>
      <c r="F142" s="807" t="s">
        <v>248</v>
      </c>
      <c r="G142" s="2" t="s">
        <v>4360</v>
      </c>
      <c r="H142" s="2" t="s">
        <v>122</v>
      </c>
      <c r="I142" s="2">
        <v>1313</v>
      </c>
      <c r="J142" s="2">
        <f t="shared" si="2"/>
        <v>0</v>
      </c>
      <c r="K142" s="2" t="s">
        <v>134</v>
      </c>
      <c r="L142" s="2" t="s">
        <v>248</v>
      </c>
    </row>
    <row r="143" spans="1:12" x14ac:dyDescent="0.25">
      <c r="A143" s="2">
        <v>142</v>
      </c>
      <c r="B143" s="2">
        <v>1137793</v>
      </c>
      <c r="C143" s="807" t="s">
        <v>4359</v>
      </c>
      <c r="D143" s="807" t="s">
        <v>123</v>
      </c>
      <c r="E143" s="807">
        <v>1313</v>
      </c>
      <c r="F143" s="807" t="s">
        <v>248</v>
      </c>
      <c r="G143" s="2" t="s">
        <v>4360</v>
      </c>
      <c r="H143" s="2" t="s">
        <v>122</v>
      </c>
      <c r="I143" s="2">
        <v>1313</v>
      </c>
      <c r="J143" s="2">
        <f t="shared" si="2"/>
        <v>0</v>
      </c>
      <c r="K143" s="2" t="s">
        <v>123</v>
      </c>
      <c r="L143" s="2" t="s">
        <v>248</v>
      </c>
    </row>
    <row r="144" spans="1:12" x14ac:dyDescent="0.25">
      <c r="A144" s="2">
        <v>143</v>
      </c>
      <c r="B144" s="2">
        <v>1104744</v>
      </c>
      <c r="C144" s="2" t="s">
        <v>4489</v>
      </c>
      <c r="D144" s="2" t="s">
        <v>145</v>
      </c>
      <c r="E144" s="2">
        <v>1608</v>
      </c>
      <c r="F144" s="2" t="s">
        <v>109</v>
      </c>
      <c r="G144" s="2" t="s">
        <v>4336</v>
      </c>
      <c r="H144" s="2" t="s">
        <v>26</v>
      </c>
      <c r="I144" s="2">
        <v>1608</v>
      </c>
      <c r="J144" s="2">
        <f t="shared" si="2"/>
        <v>0</v>
      </c>
      <c r="K144" s="2" t="s">
        <v>127</v>
      </c>
      <c r="L144" s="3" t="s">
        <v>109</v>
      </c>
    </row>
    <row r="145" spans="1:12" x14ac:dyDescent="0.25">
      <c r="A145" s="2">
        <v>144</v>
      </c>
      <c r="B145" s="2">
        <v>643738</v>
      </c>
      <c r="C145" s="2" t="s">
        <v>4361</v>
      </c>
      <c r="D145" s="2" t="s">
        <v>61</v>
      </c>
      <c r="E145" s="2">
        <v>1608</v>
      </c>
      <c r="F145" s="2" t="s">
        <v>253</v>
      </c>
      <c r="G145" s="2" t="s">
        <v>4275</v>
      </c>
      <c r="H145" s="2" t="s">
        <v>26</v>
      </c>
      <c r="I145" s="2">
        <v>1608</v>
      </c>
      <c r="J145" s="2">
        <f t="shared" si="2"/>
        <v>0</v>
      </c>
      <c r="K145" s="2" t="s">
        <v>61</v>
      </c>
      <c r="L145" s="2" t="s">
        <v>253</v>
      </c>
    </row>
    <row r="146" spans="1:12" x14ac:dyDescent="0.25">
      <c r="A146" s="2">
        <v>145</v>
      </c>
      <c r="B146" s="2">
        <v>1130219</v>
      </c>
      <c r="C146" s="2" t="s">
        <v>4362</v>
      </c>
      <c r="D146" s="2" t="s">
        <v>114</v>
      </c>
      <c r="E146" s="2">
        <v>1313</v>
      </c>
      <c r="F146" s="2" t="s">
        <v>248</v>
      </c>
      <c r="G146" s="2" t="s">
        <v>4275</v>
      </c>
      <c r="H146" s="2" t="s">
        <v>26</v>
      </c>
      <c r="I146" s="2">
        <v>1313</v>
      </c>
      <c r="J146" s="2">
        <f t="shared" si="2"/>
        <v>0</v>
      </c>
      <c r="K146" s="2" t="s">
        <v>114</v>
      </c>
      <c r="L146" s="2" t="s">
        <v>248</v>
      </c>
    </row>
    <row r="147" spans="1:12" x14ac:dyDescent="0.25">
      <c r="A147" s="2">
        <v>146</v>
      </c>
      <c r="B147" s="2">
        <v>1101509</v>
      </c>
      <c r="C147" s="2" t="s">
        <v>4472</v>
      </c>
      <c r="D147" s="2" t="e">
        <v>#N/A</v>
      </c>
      <c r="E147" s="2" t="e">
        <v>#N/A</v>
      </c>
      <c r="F147" s="2" t="e">
        <v>#N/A</v>
      </c>
      <c r="G147" s="2" t="s">
        <v>36</v>
      </c>
      <c r="H147" s="2" t="s">
        <v>136</v>
      </c>
      <c r="I147" s="2" t="s">
        <v>137</v>
      </c>
      <c r="J147" s="2" t="e">
        <f t="shared" si="2"/>
        <v>#N/A</v>
      </c>
      <c r="K147" s="2" t="s">
        <v>35</v>
      </c>
      <c r="L147" s="2" t="s">
        <v>103</v>
      </c>
    </row>
    <row r="148" spans="1:12" x14ac:dyDescent="0.25">
      <c r="A148" s="2">
        <v>147</v>
      </c>
      <c r="B148" s="2">
        <v>1100755</v>
      </c>
      <c r="C148" s="2" t="s">
        <v>4363</v>
      </c>
      <c r="D148" s="2" t="s">
        <v>133</v>
      </c>
      <c r="E148" s="2">
        <v>1613</v>
      </c>
      <c r="F148" s="2" t="s">
        <v>253</v>
      </c>
      <c r="G148" s="2" t="s">
        <v>4275</v>
      </c>
      <c r="H148" s="2" t="s">
        <v>26</v>
      </c>
      <c r="I148" s="2">
        <v>1613</v>
      </c>
      <c r="J148" s="2">
        <f t="shared" si="2"/>
        <v>0</v>
      </c>
      <c r="K148" s="2" t="s">
        <v>133</v>
      </c>
      <c r="L148" s="2" t="s">
        <v>253</v>
      </c>
    </row>
    <row r="149" spans="1:12" x14ac:dyDescent="0.25">
      <c r="A149" s="2">
        <v>148</v>
      </c>
      <c r="B149" s="2">
        <v>1146740</v>
      </c>
      <c r="C149" s="2" t="s">
        <v>4473</v>
      </c>
      <c r="D149" s="2" t="s">
        <v>111</v>
      </c>
      <c r="E149" s="2">
        <v>1313</v>
      </c>
      <c r="F149" s="808">
        <v>22190</v>
      </c>
      <c r="G149" s="2" t="s">
        <v>4314</v>
      </c>
      <c r="H149" s="2" t="s">
        <v>26</v>
      </c>
      <c r="I149" s="2">
        <v>1313</v>
      </c>
      <c r="J149" s="2">
        <f t="shared" si="2"/>
        <v>0</v>
      </c>
      <c r="K149" s="2" t="s">
        <v>111</v>
      </c>
      <c r="L149" s="350" t="s">
        <v>138</v>
      </c>
    </row>
    <row r="150" spans="1:12" x14ac:dyDescent="0.25">
      <c r="A150" s="2">
        <v>149</v>
      </c>
      <c r="B150" s="2">
        <v>1130217</v>
      </c>
      <c r="C150" s="2" t="s">
        <v>4364</v>
      </c>
      <c r="D150" s="2" t="s">
        <v>114</v>
      </c>
      <c r="E150" s="2">
        <v>1010</v>
      </c>
      <c r="F150" s="2" t="s">
        <v>248</v>
      </c>
      <c r="G150" s="2" t="s">
        <v>4275</v>
      </c>
      <c r="H150" s="2" t="s">
        <v>26</v>
      </c>
      <c r="I150" s="2">
        <v>1010</v>
      </c>
      <c r="J150" s="2">
        <f t="shared" si="2"/>
        <v>0</v>
      </c>
      <c r="K150" s="3" t="s">
        <v>114</v>
      </c>
      <c r="L150" s="2" t="s">
        <v>248</v>
      </c>
    </row>
    <row r="151" spans="1:12" x14ac:dyDescent="0.25">
      <c r="A151" s="2">
        <v>150</v>
      </c>
      <c r="B151" s="2">
        <v>179733</v>
      </c>
      <c r="C151" s="2" t="s">
        <v>4365</v>
      </c>
      <c r="D151" s="2" t="s">
        <v>192</v>
      </c>
      <c r="E151" s="2" t="s">
        <v>38</v>
      </c>
      <c r="F151" s="2" t="s">
        <v>103</v>
      </c>
      <c r="G151" s="2" t="s">
        <v>36</v>
      </c>
      <c r="H151" s="2" t="s">
        <v>33</v>
      </c>
      <c r="I151" s="2" t="s">
        <v>38</v>
      </c>
      <c r="J151" s="2" t="e">
        <f t="shared" si="2"/>
        <v>#VALUE!</v>
      </c>
      <c r="K151" s="2" t="s">
        <v>192</v>
      </c>
      <c r="L151" s="2" t="s">
        <v>103</v>
      </c>
    </row>
    <row r="152" spans="1:12" x14ac:dyDescent="0.25">
      <c r="A152" s="2">
        <v>151</v>
      </c>
      <c r="B152" s="2">
        <v>649901</v>
      </c>
      <c r="C152" s="2" t="s">
        <v>137</v>
      </c>
      <c r="D152" s="2" t="e">
        <v>#N/A</v>
      </c>
      <c r="E152" s="2" t="e">
        <v>#N/A</v>
      </c>
      <c r="F152" s="2" t="e">
        <v>#N/A</v>
      </c>
      <c r="G152" s="2" t="s">
        <v>36</v>
      </c>
      <c r="H152" s="2" t="s">
        <v>81</v>
      </c>
      <c r="I152" s="2" t="s">
        <v>137</v>
      </c>
      <c r="J152" s="2" t="e">
        <f t="shared" si="2"/>
        <v>#N/A</v>
      </c>
      <c r="K152" s="2" t="s">
        <v>35</v>
      </c>
      <c r="L152" s="2" t="s">
        <v>103</v>
      </c>
    </row>
    <row r="153" spans="1:12" x14ac:dyDescent="0.25">
      <c r="A153" s="2">
        <v>152</v>
      </c>
      <c r="B153" s="2">
        <v>1129936</v>
      </c>
      <c r="C153" s="2" t="s">
        <v>4366</v>
      </c>
      <c r="D153" s="2" t="s">
        <v>114</v>
      </c>
      <c r="E153" s="2">
        <v>1005</v>
      </c>
      <c r="F153" s="2" t="s">
        <v>248</v>
      </c>
      <c r="G153" s="2" t="s">
        <v>4275</v>
      </c>
      <c r="H153" s="2" t="s">
        <v>26</v>
      </c>
      <c r="I153" s="2">
        <v>1005</v>
      </c>
      <c r="J153" s="2">
        <f t="shared" si="2"/>
        <v>0</v>
      </c>
      <c r="K153" s="2" t="s">
        <v>114</v>
      </c>
      <c r="L153" s="2" t="s">
        <v>248</v>
      </c>
    </row>
    <row r="154" spans="1:12" x14ac:dyDescent="0.25">
      <c r="A154" s="2">
        <v>153</v>
      </c>
      <c r="B154" s="2">
        <v>774371</v>
      </c>
      <c r="C154" s="2" t="s">
        <v>4479</v>
      </c>
      <c r="D154" s="2" t="s">
        <v>53</v>
      </c>
      <c r="E154" s="2" t="s">
        <v>911</v>
      </c>
      <c r="F154" s="2" t="s">
        <v>253</v>
      </c>
      <c r="G154" s="2" t="s">
        <v>47</v>
      </c>
      <c r="H154" s="2" t="s">
        <v>42</v>
      </c>
      <c r="I154" s="2" t="s">
        <v>38</v>
      </c>
      <c r="J154" s="2" t="e">
        <f t="shared" si="2"/>
        <v>#VALUE!</v>
      </c>
      <c r="K154" s="2" t="s">
        <v>53</v>
      </c>
      <c r="L154" s="2" t="s">
        <v>253</v>
      </c>
    </row>
    <row r="155" spans="1:12" x14ac:dyDescent="0.25">
      <c r="A155" s="2">
        <v>154</v>
      </c>
      <c r="B155" s="2">
        <v>1078371</v>
      </c>
      <c r="C155" s="2" t="s">
        <v>4367</v>
      </c>
      <c r="D155" s="2" t="s">
        <v>143</v>
      </c>
      <c r="E155" s="2" t="s">
        <v>38</v>
      </c>
      <c r="F155" s="2" t="s">
        <v>103</v>
      </c>
      <c r="G155" s="2" t="s">
        <v>36</v>
      </c>
      <c r="H155" s="2" t="s">
        <v>142</v>
      </c>
      <c r="I155" s="2" t="s">
        <v>38</v>
      </c>
      <c r="J155" s="2" t="e">
        <f t="shared" si="2"/>
        <v>#VALUE!</v>
      </c>
      <c r="K155" s="2" t="s">
        <v>143</v>
      </c>
      <c r="L155" s="2" t="s">
        <v>103</v>
      </c>
    </row>
    <row r="156" spans="1:12" x14ac:dyDescent="0.25">
      <c r="A156" s="2">
        <v>155</v>
      </c>
      <c r="B156" s="2">
        <v>1181761</v>
      </c>
      <c r="C156" s="2" t="s">
        <v>4368</v>
      </c>
      <c r="D156" s="2" t="s">
        <v>145</v>
      </c>
      <c r="E156" s="2">
        <v>1608</v>
      </c>
      <c r="F156" s="2" t="s">
        <v>253</v>
      </c>
      <c r="G156" s="2" t="s">
        <v>4336</v>
      </c>
      <c r="H156" s="2" t="s">
        <v>26</v>
      </c>
      <c r="I156" s="2">
        <v>1608</v>
      </c>
      <c r="J156" s="2">
        <f t="shared" si="2"/>
        <v>0</v>
      </c>
      <c r="K156" s="3" t="s">
        <v>145</v>
      </c>
      <c r="L156" s="3" t="s">
        <v>253</v>
      </c>
    </row>
    <row r="157" spans="1:12" x14ac:dyDescent="0.25">
      <c r="A157" s="2">
        <v>156</v>
      </c>
      <c r="B157" s="2">
        <v>1176639</v>
      </c>
      <c r="C157" s="2" t="s">
        <v>4480</v>
      </c>
      <c r="D157" s="2" t="s">
        <v>145</v>
      </c>
      <c r="E157" s="2">
        <v>1308</v>
      </c>
      <c r="F157" s="2" t="s">
        <v>253</v>
      </c>
      <c r="G157" s="2" t="s">
        <v>4336</v>
      </c>
      <c r="H157" s="2" t="s">
        <v>26</v>
      </c>
      <c r="I157" s="2">
        <v>1308</v>
      </c>
      <c r="J157" s="2">
        <f t="shared" si="2"/>
        <v>0</v>
      </c>
      <c r="K157" s="3" t="s">
        <v>145</v>
      </c>
      <c r="L157" s="3" t="s">
        <v>253</v>
      </c>
    </row>
    <row r="158" spans="1:12" x14ac:dyDescent="0.25">
      <c r="A158" s="2">
        <v>157</v>
      </c>
      <c r="B158" s="2">
        <v>1039057</v>
      </c>
      <c r="C158" s="2" t="s">
        <v>4369</v>
      </c>
      <c r="D158" s="2" t="s">
        <v>88</v>
      </c>
      <c r="E158" s="2">
        <v>1608</v>
      </c>
      <c r="F158" s="2" t="s">
        <v>248</v>
      </c>
      <c r="G158" s="2" t="s">
        <v>4275</v>
      </c>
      <c r="H158" s="2" t="s">
        <v>26</v>
      </c>
      <c r="I158" s="2">
        <v>1608</v>
      </c>
      <c r="J158" s="2">
        <f t="shared" si="2"/>
        <v>0</v>
      </c>
      <c r="K158" s="2" t="s">
        <v>88</v>
      </c>
      <c r="L158" s="3" t="s">
        <v>248</v>
      </c>
    </row>
    <row r="159" spans="1:12" x14ac:dyDescent="0.25">
      <c r="A159" s="2">
        <v>158</v>
      </c>
      <c r="B159" s="2">
        <v>976360</v>
      </c>
      <c r="C159" s="2" t="s">
        <v>4370</v>
      </c>
      <c r="D159" s="2" t="s">
        <v>4244</v>
      </c>
      <c r="E159" s="2">
        <v>1608</v>
      </c>
      <c r="F159" s="2" t="s">
        <v>248</v>
      </c>
      <c r="G159" s="2" t="s">
        <v>49</v>
      </c>
      <c r="H159" s="2" t="s">
        <v>26</v>
      </c>
      <c r="I159" s="2">
        <v>1608</v>
      </c>
      <c r="J159" s="2">
        <f t="shared" si="2"/>
        <v>0</v>
      </c>
      <c r="K159" s="2" t="s">
        <v>4244</v>
      </c>
      <c r="L159" s="2" t="s">
        <v>248</v>
      </c>
    </row>
    <row r="160" spans="1:12" x14ac:dyDescent="0.25">
      <c r="A160" s="2">
        <v>159</v>
      </c>
      <c r="B160" s="3">
        <v>1130193</v>
      </c>
      <c r="C160" s="2" t="s">
        <v>4481</v>
      </c>
      <c r="D160" s="2" t="s">
        <v>114</v>
      </c>
      <c r="E160" s="2">
        <v>1005</v>
      </c>
      <c r="F160" s="2" t="s">
        <v>253</v>
      </c>
      <c r="G160" s="2" t="s">
        <v>4275</v>
      </c>
      <c r="H160" s="3" t="s">
        <v>26</v>
      </c>
      <c r="I160" s="3">
        <v>1005</v>
      </c>
      <c r="J160" s="2">
        <f t="shared" si="2"/>
        <v>0</v>
      </c>
      <c r="K160" s="3" t="s">
        <v>114</v>
      </c>
      <c r="L160" s="3" t="s">
        <v>253</v>
      </c>
    </row>
    <row r="161" spans="1:12" x14ac:dyDescent="0.25">
      <c r="A161" s="2">
        <v>160</v>
      </c>
      <c r="B161" s="3">
        <v>1130223</v>
      </c>
      <c r="C161" s="2" t="s">
        <v>4371</v>
      </c>
      <c r="D161" s="2" t="s">
        <v>114</v>
      </c>
      <c r="E161" s="2">
        <v>1913</v>
      </c>
      <c r="F161" s="2" t="s">
        <v>248</v>
      </c>
      <c r="G161" s="2" t="s">
        <v>4275</v>
      </c>
      <c r="H161" s="3" t="s">
        <v>26</v>
      </c>
      <c r="I161" s="3">
        <v>1913</v>
      </c>
      <c r="J161" s="2">
        <f t="shared" si="2"/>
        <v>0</v>
      </c>
      <c r="K161" s="3" t="s">
        <v>114</v>
      </c>
      <c r="L161" s="292" t="s">
        <v>248</v>
      </c>
    </row>
    <row r="162" spans="1:12" x14ac:dyDescent="0.25">
      <c r="A162" s="2">
        <v>161</v>
      </c>
      <c r="B162" s="3">
        <v>1130221</v>
      </c>
      <c r="C162" s="2" t="s">
        <v>4372</v>
      </c>
      <c r="D162" s="2" t="s">
        <v>114</v>
      </c>
      <c r="E162" s="2">
        <v>1613</v>
      </c>
      <c r="F162" s="2" t="s">
        <v>248</v>
      </c>
      <c r="G162" s="2" t="s">
        <v>4275</v>
      </c>
      <c r="H162" s="3" t="s">
        <v>26</v>
      </c>
      <c r="I162" s="3">
        <v>1613</v>
      </c>
      <c r="J162" s="2">
        <f t="shared" si="2"/>
        <v>0</v>
      </c>
      <c r="K162" s="3" t="s">
        <v>114</v>
      </c>
      <c r="L162" s="292" t="s">
        <v>248</v>
      </c>
    </row>
    <row r="163" spans="1:12" x14ac:dyDescent="0.25">
      <c r="A163" s="2">
        <v>162</v>
      </c>
      <c r="B163" s="3">
        <v>1130206</v>
      </c>
      <c r="C163" s="2" t="s">
        <v>4373</v>
      </c>
      <c r="D163" s="2" t="s">
        <v>114</v>
      </c>
      <c r="E163" s="2" t="s">
        <v>4247</v>
      </c>
      <c r="F163" s="2" t="s">
        <v>253</v>
      </c>
      <c r="G163" s="2" t="s">
        <v>4275</v>
      </c>
      <c r="H163" s="3" t="s">
        <v>42</v>
      </c>
      <c r="I163" s="3" t="s">
        <v>4247</v>
      </c>
      <c r="J163" s="2" t="e">
        <f t="shared" si="2"/>
        <v>#VALUE!</v>
      </c>
      <c r="K163" s="3" t="s">
        <v>114</v>
      </c>
      <c r="L163" s="3" t="s">
        <v>253</v>
      </c>
    </row>
    <row r="164" spans="1:12" x14ac:dyDescent="0.25">
      <c r="A164" s="2">
        <v>163</v>
      </c>
      <c r="B164" s="3">
        <v>1104086</v>
      </c>
      <c r="C164" s="2" t="s">
        <v>4482</v>
      </c>
      <c r="D164" s="2" t="s">
        <v>123</v>
      </c>
      <c r="E164" s="2">
        <v>1613</v>
      </c>
      <c r="F164" s="2" t="s">
        <v>253</v>
      </c>
      <c r="G164" s="2" t="s">
        <v>4360</v>
      </c>
      <c r="H164" s="3" t="s">
        <v>122</v>
      </c>
      <c r="I164" s="3">
        <v>1613</v>
      </c>
      <c r="J164" s="2">
        <f t="shared" si="2"/>
        <v>0</v>
      </c>
      <c r="K164" s="3" t="s">
        <v>123</v>
      </c>
      <c r="L164" s="3" t="s">
        <v>253</v>
      </c>
    </row>
    <row r="165" spans="1:12" x14ac:dyDescent="0.25">
      <c r="A165" s="2">
        <v>164</v>
      </c>
      <c r="B165" s="3">
        <v>1022971</v>
      </c>
      <c r="C165" s="2" t="s">
        <v>4374</v>
      </c>
      <c r="D165" s="2" t="s">
        <v>95</v>
      </c>
      <c r="E165" s="2">
        <v>1613</v>
      </c>
      <c r="F165" s="2" t="s">
        <v>248</v>
      </c>
      <c r="G165" s="2" t="s">
        <v>4318</v>
      </c>
      <c r="H165" s="3" t="s">
        <v>94</v>
      </c>
      <c r="I165" s="3">
        <v>1613</v>
      </c>
      <c r="J165" s="2">
        <f t="shared" si="2"/>
        <v>0</v>
      </c>
      <c r="K165" s="3" t="s">
        <v>95</v>
      </c>
      <c r="L165" s="292" t="s">
        <v>248</v>
      </c>
    </row>
    <row r="166" spans="1:12" x14ac:dyDescent="0.25">
      <c r="A166" s="2">
        <v>165</v>
      </c>
      <c r="B166" s="3">
        <v>1134751</v>
      </c>
      <c r="C166" s="2" t="s">
        <v>4490</v>
      </c>
      <c r="D166" s="2" t="s">
        <v>114</v>
      </c>
      <c r="E166" s="2">
        <v>1308</v>
      </c>
      <c r="F166" s="2" t="s">
        <v>248</v>
      </c>
      <c r="G166" s="2" t="s">
        <v>4275</v>
      </c>
      <c r="H166" s="3" t="s">
        <v>26</v>
      </c>
      <c r="I166" s="3">
        <v>1308</v>
      </c>
      <c r="J166" s="2">
        <f t="shared" si="2"/>
        <v>0</v>
      </c>
      <c r="K166" s="3" t="s">
        <v>114</v>
      </c>
      <c r="L166" s="292" t="s">
        <v>248</v>
      </c>
    </row>
    <row r="167" spans="1:12" x14ac:dyDescent="0.25">
      <c r="A167" s="2">
        <v>166</v>
      </c>
      <c r="B167" s="3">
        <v>1078348</v>
      </c>
      <c r="C167" s="2" t="s">
        <v>4375</v>
      </c>
      <c r="D167" s="2" t="s">
        <v>149</v>
      </c>
      <c r="E167" s="2" t="s">
        <v>38</v>
      </c>
      <c r="F167" s="2" t="s">
        <v>103</v>
      </c>
      <c r="G167" s="2" t="s">
        <v>36</v>
      </c>
      <c r="H167" s="3" t="s">
        <v>142</v>
      </c>
      <c r="I167" s="3" t="s">
        <v>38</v>
      </c>
      <c r="J167" s="2" t="e">
        <f t="shared" si="2"/>
        <v>#VALUE!</v>
      </c>
      <c r="K167" s="3" t="s">
        <v>149</v>
      </c>
      <c r="L167" s="292" t="s">
        <v>103</v>
      </c>
    </row>
    <row r="168" spans="1:12" x14ac:dyDescent="0.25">
      <c r="A168" s="2">
        <v>167</v>
      </c>
      <c r="B168" s="3">
        <v>562195</v>
      </c>
      <c r="C168" s="2" t="s">
        <v>4483</v>
      </c>
      <c r="D168" s="2" t="e">
        <v>#N/A</v>
      </c>
      <c r="E168" s="2" t="e">
        <v>#N/A</v>
      </c>
      <c r="F168" s="2" t="e">
        <v>#N/A</v>
      </c>
      <c r="G168" s="2" t="s">
        <v>36</v>
      </c>
      <c r="H168" s="3" t="s">
        <v>150</v>
      </c>
      <c r="I168" s="3" t="s">
        <v>141</v>
      </c>
      <c r="J168" s="2" t="e">
        <f t="shared" si="2"/>
        <v>#N/A</v>
      </c>
      <c r="K168" s="3" t="s">
        <v>151</v>
      </c>
      <c r="L168" s="292" t="s">
        <v>40</v>
      </c>
    </row>
    <row r="169" spans="1:12" x14ac:dyDescent="0.25">
      <c r="A169" s="2">
        <v>168</v>
      </c>
      <c r="B169" s="3">
        <v>1078377</v>
      </c>
      <c r="C169" s="2" t="s">
        <v>4376</v>
      </c>
      <c r="D169" s="2" t="s">
        <v>149</v>
      </c>
      <c r="E169" s="2" t="s">
        <v>38</v>
      </c>
      <c r="F169" s="2" t="s">
        <v>103</v>
      </c>
      <c r="G169" s="2" t="s">
        <v>36</v>
      </c>
      <c r="H169" s="459" t="s">
        <v>37</v>
      </c>
      <c r="I169" s="3" t="s">
        <v>38</v>
      </c>
      <c r="J169" s="2" t="e">
        <f t="shared" si="2"/>
        <v>#VALUE!</v>
      </c>
      <c r="K169" s="3" t="s">
        <v>149</v>
      </c>
      <c r="L169" s="292" t="s">
        <v>103</v>
      </c>
    </row>
    <row r="170" spans="1:12" x14ac:dyDescent="0.25">
      <c r="A170" s="2">
        <v>169</v>
      </c>
      <c r="B170" s="3">
        <v>1176641</v>
      </c>
      <c r="C170" s="2" t="s">
        <v>4335</v>
      </c>
      <c r="D170" s="2" t="s">
        <v>145</v>
      </c>
      <c r="E170" s="2">
        <v>1613</v>
      </c>
      <c r="F170" s="2" t="s">
        <v>253</v>
      </c>
      <c r="G170" s="2" t="s">
        <v>4336</v>
      </c>
      <c r="H170" s="3" t="s">
        <v>26</v>
      </c>
      <c r="I170" s="3">
        <v>1613</v>
      </c>
      <c r="J170" s="2">
        <f t="shared" si="2"/>
        <v>0</v>
      </c>
      <c r="K170" s="3" t="s">
        <v>145</v>
      </c>
      <c r="L170" s="3" t="s">
        <v>253</v>
      </c>
    </row>
    <row r="171" spans="1:12" x14ac:dyDescent="0.25">
      <c r="A171" s="2">
        <v>170</v>
      </c>
      <c r="B171" s="3">
        <v>1162516</v>
      </c>
      <c r="C171" s="2" t="s">
        <v>4379</v>
      </c>
      <c r="D171" s="2" t="s">
        <v>153</v>
      </c>
      <c r="E171" s="2">
        <v>1308</v>
      </c>
      <c r="F171" s="2" t="s">
        <v>253</v>
      </c>
      <c r="G171" s="2" t="s">
        <v>4336</v>
      </c>
      <c r="H171" s="3" t="s">
        <v>26</v>
      </c>
      <c r="I171" s="3">
        <v>1308</v>
      </c>
      <c r="J171" s="2">
        <f t="shared" si="2"/>
        <v>0</v>
      </c>
      <c r="K171" s="3" t="s">
        <v>153</v>
      </c>
      <c r="L171" s="3" t="s">
        <v>253</v>
      </c>
    </row>
    <row r="172" spans="1:12" x14ac:dyDescent="0.25">
      <c r="A172" s="2">
        <v>171</v>
      </c>
      <c r="B172" s="3">
        <v>1162518</v>
      </c>
      <c r="C172" s="2" t="s">
        <v>4381</v>
      </c>
      <c r="D172" s="2" t="s">
        <v>153</v>
      </c>
      <c r="E172" s="2">
        <v>1608</v>
      </c>
      <c r="F172" s="2" t="s">
        <v>253</v>
      </c>
      <c r="G172" s="2" t="s">
        <v>4336</v>
      </c>
      <c r="H172" s="3" t="s">
        <v>26</v>
      </c>
      <c r="I172" s="3">
        <v>1608</v>
      </c>
      <c r="J172" s="2">
        <f t="shared" si="2"/>
        <v>0</v>
      </c>
      <c r="K172" s="3" t="s">
        <v>153</v>
      </c>
      <c r="L172" s="3" t="s">
        <v>253</v>
      </c>
    </row>
    <row r="173" spans="1:12" x14ac:dyDescent="0.25">
      <c r="A173" s="2">
        <v>172</v>
      </c>
      <c r="B173" s="3">
        <v>1100759</v>
      </c>
      <c r="C173" s="2" t="s">
        <v>4377</v>
      </c>
      <c r="D173" s="2" t="s">
        <v>133</v>
      </c>
      <c r="E173" s="2">
        <v>1913</v>
      </c>
      <c r="F173" s="2" t="s">
        <v>253</v>
      </c>
      <c r="G173" s="2" t="s">
        <v>4275</v>
      </c>
      <c r="H173" s="3" t="s">
        <v>26</v>
      </c>
      <c r="I173" s="3">
        <v>1913</v>
      </c>
      <c r="J173" s="2">
        <f t="shared" si="2"/>
        <v>0</v>
      </c>
      <c r="K173" s="3" t="s">
        <v>133</v>
      </c>
      <c r="L173" s="3" t="s">
        <v>253</v>
      </c>
    </row>
    <row r="174" spans="1:12" x14ac:dyDescent="0.25">
      <c r="A174" s="2">
        <v>173</v>
      </c>
      <c r="B174" s="3">
        <v>1163820</v>
      </c>
      <c r="C174" s="2" t="s">
        <v>4378</v>
      </c>
      <c r="D174" s="2" t="s">
        <v>154</v>
      </c>
      <c r="E174" s="2">
        <v>1613</v>
      </c>
      <c r="F174" s="2" t="s">
        <v>253</v>
      </c>
      <c r="G174" s="2" t="s">
        <v>49</v>
      </c>
      <c r="H174" s="3" t="s">
        <v>26</v>
      </c>
      <c r="I174" s="3">
        <v>1613</v>
      </c>
      <c r="J174" s="2">
        <f t="shared" si="2"/>
        <v>0</v>
      </c>
      <c r="K174" s="3" t="s">
        <v>154</v>
      </c>
      <c r="L174" s="292" t="s">
        <v>253</v>
      </c>
    </row>
    <row r="175" spans="1:12" x14ac:dyDescent="0.25">
      <c r="A175" s="2">
        <v>174</v>
      </c>
      <c r="B175" s="3">
        <v>1162508</v>
      </c>
      <c r="C175" s="2" t="s">
        <v>4379</v>
      </c>
      <c r="D175" s="2" t="s">
        <v>153</v>
      </c>
      <c r="E175" s="2">
        <v>1308</v>
      </c>
      <c r="F175" s="2" t="s">
        <v>253</v>
      </c>
      <c r="G175" s="2" t="s">
        <v>4336</v>
      </c>
      <c r="H175" s="3" t="s">
        <v>26</v>
      </c>
      <c r="I175" s="3">
        <v>1308</v>
      </c>
      <c r="J175" s="2">
        <f t="shared" si="2"/>
        <v>0</v>
      </c>
      <c r="K175" s="3" t="s">
        <v>153</v>
      </c>
      <c r="L175" s="3" t="s">
        <v>253</v>
      </c>
    </row>
    <row r="176" spans="1:12" x14ac:dyDescent="0.25">
      <c r="A176" s="2">
        <v>175</v>
      </c>
      <c r="B176" s="3">
        <v>1100751</v>
      </c>
      <c r="C176" s="2" t="s">
        <v>4380</v>
      </c>
      <c r="D176" s="2" t="s">
        <v>133</v>
      </c>
      <c r="E176" s="2">
        <v>1313</v>
      </c>
      <c r="F176" s="2" t="s">
        <v>253</v>
      </c>
      <c r="G176" s="2" t="s">
        <v>4275</v>
      </c>
      <c r="H176" s="3" t="s">
        <v>26</v>
      </c>
      <c r="I176" s="3">
        <v>1313</v>
      </c>
      <c r="J176" s="2">
        <f t="shared" si="2"/>
        <v>0</v>
      </c>
      <c r="K176" s="3" t="s">
        <v>133</v>
      </c>
      <c r="L176" s="3" t="s">
        <v>253</v>
      </c>
    </row>
    <row r="177" spans="1:12" x14ac:dyDescent="0.25">
      <c r="A177" s="2">
        <v>176</v>
      </c>
      <c r="B177" s="3">
        <v>1162510</v>
      </c>
      <c r="C177" s="2" t="s">
        <v>4381</v>
      </c>
      <c r="D177" s="2" t="s">
        <v>153</v>
      </c>
      <c r="E177" s="2">
        <v>1608</v>
      </c>
      <c r="F177" s="2" t="s">
        <v>253</v>
      </c>
      <c r="G177" s="2" t="s">
        <v>4336</v>
      </c>
      <c r="H177" s="3" t="s">
        <v>26</v>
      </c>
      <c r="I177" s="3">
        <v>1608</v>
      </c>
      <c r="J177" s="2">
        <f t="shared" si="2"/>
        <v>0</v>
      </c>
      <c r="K177" s="3" t="s">
        <v>153</v>
      </c>
      <c r="L177" s="3" t="s">
        <v>253</v>
      </c>
    </row>
    <row r="178" spans="1:12" x14ac:dyDescent="0.25">
      <c r="A178" s="2">
        <v>177</v>
      </c>
      <c r="B178" s="3">
        <v>1161587</v>
      </c>
      <c r="C178" s="2" t="s">
        <v>4484</v>
      </c>
      <c r="D178" s="2" t="s">
        <v>156</v>
      </c>
      <c r="E178" s="2" t="s">
        <v>38</v>
      </c>
      <c r="F178" s="2" t="s">
        <v>103</v>
      </c>
      <c r="G178" s="2" t="s">
        <v>36</v>
      </c>
      <c r="H178" s="459" t="s">
        <v>37</v>
      </c>
      <c r="I178" s="647" t="s">
        <v>155</v>
      </c>
      <c r="J178" s="2" t="e">
        <f t="shared" si="2"/>
        <v>#VALUE!</v>
      </c>
      <c r="K178" s="3" t="s">
        <v>156</v>
      </c>
      <c r="L178" s="292" t="s">
        <v>151</v>
      </c>
    </row>
    <row r="179" spans="1:12" x14ac:dyDescent="0.25">
      <c r="A179" s="2">
        <v>178</v>
      </c>
      <c r="B179" s="3">
        <v>1209410</v>
      </c>
      <c r="C179" s="2" t="s">
        <v>4382</v>
      </c>
      <c r="D179" s="2" t="s">
        <v>157</v>
      </c>
      <c r="E179" s="2">
        <v>1613</v>
      </c>
      <c r="F179" s="2" t="s">
        <v>109</v>
      </c>
      <c r="G179" s="2" t="s">
        <v>4383</v>
      </c>
      <c r="H179" s="3" t="s">
        <v>94</v>
      </c>
      <c r="I179" s="3">
        <v>1613</v>
      </c>
      <c r="J179" s="2">
        <f t="shared" si="2"/>
        <v>0</v>
      </c>
      <c r="K179" s="3" t="s">
        <v>157</v>
      </c>
      <c r="L179" s="292" t="s">
        <v>109</v>
      </c>
    </row>
    <row r="180" spans="1:12" x14ac:dyDescent="0.25">
      <c r="A180" s="2">
        <v>179</v>
      </c>
      <c r="B180" s="3">
        <v>1177229</v>
      </c>
      <c r="C180" s="2" t="s">
        <v>3540</v>
      </c>
      <c r="D180" s="2" t="s">
        <v>114</v>
      </c>
      <c r="E180" s="2">
        <v>1010</v>
      </c>
      <c r="F180" s="2" t="s">
        <v>109</v>
      </c>
      <c r="G180" s="2" t="s">
        <v>4275</v>
      </c>
      <c r="H180" s="3" t="s">
        <v>26</v>
      </c>
      <c r="I180" s="3">
        <v>1010</v>
      </c>
      <c r="J180" s="2">
        <f t="shared" si="2"/>
        <v>0</v>
      </c>
      <c r="K180" s="3" t="s">
        <v>114</v>
      </c>
      <c r="L180" s="292" t="s">
        <v>109</v>
      </c>
    </row>
    <row r="181" spans="1:12" x14ac:dyDescent="0.25">
      <c r="A181" s="2">
        <v>180</v>
      </c>
      <c r="B181" s="3">
        <v>1209332</v>
      </c>
      <c r="C181" s="2" t="s">
        <v>3550</v>
      </c>
      <c r="D181" s="2" t="s">
        <v>160</v>
      </c>
      <c r="E181" s="2">
        <v>1313</v>
      </c>
      <c r="F181" s="2" t="s">
        <v>109</v>
      </c>
      <c r="G181" s="2" t="s">
        <v>4384</v>
      </c>
      <c r="H181" s="3" t="s">
        <v>159</v>
      </c>
      <c r="I181" s="3">
        <v>1313</v>
      </c>
      <c r="J181" s="2">
        <f t="shared" si="2"/>
        <v>0</v>
      </c>
      <c r="K181" s="3" t="s">
        <v>160</v>
      </c>
      <c r="L181" s="292" t="s">
        <v>109</v>
      </c>
    </row>
    <row r="182" spans="1:12" x14ac:dyDescent="0.25">
      <c r="A182" s="2">
        <v>181</v>
      </c>
      <c r="B182" s="3">
        <v>1100694</v>
      </c>
      <c r="C182" s="2" t="s">
        <v>4385</v>
      </c>
      <c r="D182" s="2" t="s">
        <v>111</v>
      </c>
      <c r="E182" s="2">
        <v>1308</v>
      </c>
      <c r="F182" s="2" t="s">
        <v>248</v>
      </c>
      <c r="G182" s="2" t="s">
        <v>4314</v>
      </c>
      <c r="H182" s="3" t="s">
        <v>26</v>
      </c>
      <c r="I182" s="3">
        <v>1308</v>
      </c>
      <c r="J182" s="2">
        <f t="shared" si="2"/>
        <v>0</v>
      </c>
      <c r="K182" s="3" t="s">
        <v>111</v>
      </c>
      <c r="L182" s="292" t="s">
        <v>248</v>
      </c>
    </row>
    <row r="183" spans="1:12" x14ac:dyDescent="0.25">
      <c r="A183" s="2">
        <v>182</v>
      </c>
      <c r="B183" s="3">
        <v>1199265</v>
      </c>
      <c r="C183" s="2" t="s">
        <v>3551</v>
      </c>
      <c r="D183" s="2" t="s">
        <v>139</v>
      </c>
      <c r="E183" s="2">
        <v>1613</v>
      </c>
      <c r="F183" s="2" t="s">
        <v>253</v>
      </c>
      <c r="G183" s="2" t="s">
        <v>4275</v>
      </c>
      <c r="H183" s="3" t="s">
        <v>26</v>
      </c>
      <c r="I183" s="3">
        <v>1613</v>
      </c>
      <c r="J183" s="2">
        <f t="shared" si="2"/>
        <v>0</v>
      </c>
      <c r="K183" s="3" t="s">
        <v>139</v>
      </c>
      <c r="L183" s="3" t="s">
        <v>253</v>
      </c>
    </row>
    <row r="184" spans="1:12" x14ac:dyDescent="0.25">
      <c r="A184" s="2">
        <v>183</v>
      </c>
      <c r="B184" s="3">
        <v>1199266</v>
      </c>
      <c r="C184" s="2" t="s">
        <v>4485</v>
      </c>
      <c r="D184" s="2" t="s">
        <v>139</v>
      </c>
      <c r="E184" s="2">
        <v>1913</v>
      </c>
      <c r="F184" s="2" t="s">
        <v>253</v>
      </c>
      <c r="G184" s="2" t="s">
        <v>4275</v>
      </c>
      <c r="H184" s="3" t="s">
        <v>26</v>
      </c>
      <c r="I184" s="3">
        <v>1913</v>
      </c>
      <c r="J184" s="2">
        <f t="shared" si="2"/>
        <v>0</v>
      </c>
      <c r="K184" s="3" t="s">
        <v>162</v>
      </c>
      <c r="L184" s="3" t="s">
        <v>253</v>
      </c>
    </row>
    <row r="185" spans="1:12" x14ac:dyDescent="0.25">
      <c r="A185" s="2">
        <v>184</v>
      </c>
      <c r="B185" s="3">
        <v>1145491</v>
      </c>
      <c r="C185" s="2" t="s">
        <v>4238</v>
      </c>
      <c r="D185" s="2" t="s">
        <v>130</v>
      </c>
      <c r="E185" s="2">
        <v>1308</v>
      </c>
      <c r="F185" s="2" t="s">
        <v>248</v>
      </c>
      <c r="G185" s="2" t="s">
        <v>4314</v>
      </c>
      <c r="H185" s="3" t="s">
        <v>26</v>
      </c>
      <c r="I185" s="3">
        <v>1308</v>
      </c>
      <c r="J185" s="2">
        <f t="shared" si="2"/>
        <v>0</v>
      </c>
      <c r="K185" s="3" t="s">
        <v>130</v>
      </c>
      <c r="L185" s="292" t="s">
        <v>248</v>
      </c>
    </row>
    <row r="186" spans="1:12" x14ac:dyDescent="0.25">
      <c r="A186" s="2">
        <v>185</v>
      </c>
      <c r="B186" s="3">
        <v>1100740</v>
      </c>
      <c r="C186" s="2" t="s">
        <v>4486</v>
      </c>
      <c r="D186" s="2" t="s">
        <v>111</v>
      </c>
      <c r="E186" s="2">
        <v>1613</v>
      </c>
      <c r="F186" s="2" t="s">
        <v>248</v>
      </c>
      <c r="G186" s="2" t="s">
        <v>4314</v>
      </c>
      <c r="H186" s="3" t="s">
        <v>26</v>
      </c>
      <c r="I186" s="3">
        <v>1613</v>
      </c>
      <c r="J186" s="2">
        <f t="shared" si="2"/>
        <v>0</v>
      </c>
      <c r="K186" s="3" t="s">
        <v>111</v>
      </c>
      <c r="L186" s="292" t="s">
        <v>248</v>
      </c>
    </row>
    <row r="187" spans="1:12" x14ac:dyDescent="0.25">
      <c r="A187" s="2">
        <v>186</v>
      </c>
      <c r="B187" s="3">
        <v>1165840</v>
      </c>
      <c r="C187" s="2" t="s">
        <v>3593</v>
      </c>
      <c r="D187" s="2" t="s">
        <v>163</v>
      </c>
      <c r="E187" s="2">
        <v>1613</v>
      </c>
      <c r="F187" s="2" t="s">
        <v>109</v>
      </c>
      <c r="G187" s="2" t="s">
        <v>4314</v>
      </c>
      <c r="H187" s="3" t="s">
        <v>26</v>
      </c>
      <c r="I187" s="3">
        <v>1613</v>
      </c>
      <c r="J187" s="2">
        <f t="shared" si="2"/>
        <v>0</v>
      </c>
      <c r="K187" s="3" t="s">
        <v>163</v>
      </c>
      <c r="L187" s="292" t="s">
        <v>109</v>
      </c>
    </row>
    <row r="188" spans="1:12" x14ac:dyDescent="0.25">
      <c r="A188" s="2">
        <v>187</v>
      </c>
      <c r="B188" s="3">
        <v>1133896</v>
      </c>
      <c r="C188" s="2" t="s">
        <v>3573</v>
      </c>
      <c r="D188" s="2" t="s">
        <v>111</v>
      </c>
      <c r="E188" s="2">
        <v>1613</v>
      </c>
      <c r="F188" s="2" t="s">
        <v>109</v>
      </c>
      <c r="G188" s="2" t="s">
        <v>4314</v>
      </c>
      <c r="H188" s="3" t="s">
        <v>26</v>
      </c>
      <c r="I188" s="3">
        <v>1613</v>
      </c>
      <c r="J188" s="2">
        <f t="shared" si="2"/>
        <v>0</v>
      </c>
      <c r="K188" s="3" t="s">
        <v>111</v>
      </c>
      <c r="L188" s="292" t="s">
        <v>109</v>
      </c>
    </row>
    <row r="189" spans="1:12" x14ac:dyDescent="0.25">
      <c r="A189" s="2">
        <v>188</v>
      </c>
      <c r="B189" s="3">
        <v>1130194</v>
      </c>
      <c r="C189" s="2" t="s">
        <v>1386</v>
      </c>
      <c r="D189" s="2" t="s">
        <v>114</v>
      </c>
      <c r="E189" s="2">
        <v>1010</v>
      </c>
      <c r="F189" s="2" t="s">
        <v>253</v>
      </c>
      <c r="G189" s="2" t="s">
        <v>4275</v>
      </c>
      <c r="H189" s="3" t="s">
        <v>26</v>
      </c>
      <c r="I189" s="3">
        <v>1010</v>
      </c>
      <c r="J189" s="2">
        <f t="shared" si="2"/>
        <v>0</v>
      </c>
      <c r="K189" s="3" t="s">
        <v>114</v>
      </c>
      <c r="L189" s="292" t="s">
        <v>253</v>
      </c>
    </row>
    <row r="190" spans="1:12" x14ac:dyDescent="0.25">
      <c r="A190" s="2">
        <v>189</v>
      </c>
      <c r="B190" s="3">
        <v>1217988</v>
      </c>
      <c r="C190" s="2" t="s">
        <v>3554</v>
      </c>
      <c r="D190" s="2" t="s">
        <v>165</v>
      </c>
      <c r="E190" s="2">
        <v>1313</v>
      </c>
      <c r="F190" s="2" t="s">
        <v>248</v>
      </c>
      <c r="G190" s="2" t="s">
        <v>4318</v>
      </c>
      <c r="H190" s="3" t="s">
        <v>124</v>
      </c>
      <c r="I190" s="3">
        <v>1313</v>
      </c>
      <c r="J190" s="2">
        <f t="shared" si="2"/>
        <v>0</v>
      </c>
      <c r="K190" s="3" t="s">
        <v>165</v>
      </c>
      <c r="L190" s="292" t="s">
        <v>248</v>
      </c>
    </row>
    <row r="191" spans="1:12" x14ac:dyDescent="0.25">
      <c r="A191" s="2">
        <v>190</v>
      </c>
      <c r="B191" s="258">
        <v>1209333</v>
      </c>
      <c r="C191" s="2" t="s">
        <v>3556</v>
      </c>
      <c r="D191" s="2" t="s">
        <v>160</v>
      </c>
      <c r="E191" s="2">
        <v>1613</v>
      </c>
      <c r="F191" s="2" t="s">
        <v>109</v>
      </c>
      <c r="G191" s="2" t="s">
        <v>4384</v>
      </c>
      <c r="H191" s="3" t="s">
        <v>159</v>
      </c>
      <c r="I191" s="258">
        <v>1613</v>
      </c>
      <c r="J191" s="2">
        <f t="shared" si="2"/>
        <v>0</v>
      </c>
      <c r="K191" s="3" t="s">
        <v>160</v>
      </c>
      <c r="L191" s="292" t="s">
        <v>109</v>
      </c>
    </row>
    <row r="192" spans="1:12" x14ac:dyDescent="0.25">
      <c r="A192" s="45">
        <v>191</v>
      </c>
      <c r="B192" s="461">
        <v>1050703</v>
      </c>
      <c r="C192" s="2" t="s">
        <v>4386</v>
      </c>
      <c r="D192" s="2" t="s">
        <v>149</v>
      </c>
      <c r="E192" s="2" t="s">
        <v>38</v>
      </c>
      <c r="F192" s="2" t="s">
        <v>103</v>
      </c>
      <c r="G192" s="2" t="s">
        <v>36</v>
      </c>
      <c r="H192" s="459" t="s">
        <v>37</v>
      </c>
      <c r="I192" s="461" t="s">
        <v>38</v>
      </c>
      <c r="J192" s="2" t="e">
        <f t="shared" si="2"/>
        <v>#VALUE!</v>
      </c>
      <c r="K192" s="459" t="s">
        <v>149</v>
      </c>
      <c r="L192" s="349" t="s">
        <v>103</v>
      </c>
    </row>
    <row r="193" spans="1:12" x14ac:dyDescent="0.25">
      <c r="A193" s="2">
        <v>192</v>
      </c>
      <c r="B193" s="258">
        <v>1233855</v>
      </c>
      <c r="C193" s="2" t="s">
        <v>3558</v>
      </c>
      <c r="D193" s="2" t="s">
        <v>168</v>
      </c>
      <c r="E193" s="2">
        <v>1613</v>
      </c>
      <c r="F193" s="2" t="s">
        <v>109</v>
      </c>
      <c r="G193" s="2" t="s">
        <v>169</v>
      </c>
      <c r="H193" s="3" t="s">
        <v>26</v>
      </c>
      <c r="I193" s="258">
        <v>1613</v>
      </c>
      <c r="J193" s="2">
        <f t="shared" si="2"/>
        <v>0</v>
      </c>
      <c r="K193" s="3" t="s">
        <v>168</v>
      </c>
      <c r="L193" s="292" t="s">
        <v>109</v>
      </c>
    </row>
    <row r="194" spans="1:12" x14ac:dyDescent="0.25">
      <c r="A194" s="2">
        <v>193</v>
      </c>
      <c r="B194" s="258">
        <v>1208601</v>
      </c>
      <c r="C194" s="2" t="s">
        <v>3560</v>
      </c>
      <c r="D194" s="2" t="s">
        <v>111</v>
      </c>
      <c r="E194" s="2">
        <v>1613</v>
      </c>
      <c r="F194" s="2" t="s">
        <v>170</v>
      </c>
      <c r="G194" s="2" t="s">
        <v>4314</v>
      </c>
      <c r="H194" s="3" t="s">
        <v>26</v>
      </c>
      <c r="I194" s="258">
        <v>1613</v>
      </c>
      <c r="J194" s="2">
        <f t="shared" si="2"/>
        <v>0</v>
      </c>
      <c r="K194" s="3" t="s">
        <v>111</v>
      </c>
      <c r="L194" s="292" t="s">
        <v>170</v>
      </c>
    </row>
    <row r="195" spans="1:12" x14ac:dyDescent="0.25">
      <c r="A195" s="2">
        <v>194</v>
      </c>
      <c r="B195" s="258">
        <v>1235963</v>
      </c>
      <c r="C195" s="2" t="s">
        <v>3561</v>
      </c>
      <c r="D195" s="2" t="s">
        <v>173</v>
      </c>
      <c r="E195" s="2">
        <v>1613</v>
      </c>
      <c r="F195" s="2" t="s">
        <v>109</v>
      </c>
      <c r="G195" s="2" t="s">
        <v>4387</v>
      </c>
      <c r="H195" s="3" t="s">
        <v>172</v>
      </c>
      <c r="I195" s="258">
        <v>1613</v>
      </c>
      <c r="J195" s="2">
        <f t="shared" ref="J195:J258" si="3">E195-I195</f>
        <v>0</v>
      </c>
      <c r="K195" s="3" t="s">
        <v>173</v>
      </c>
      <c r="L195" s="292" t="s">
        <v>109</v>
      </c>
    </row>
    <row r="196" spans="1:12" x14ac:dyDescent="0.25">
      <c r="A196" s="2">
        <v>195</v>
      </c>
      <c r="B196" s="258">
        <v>1152018</v>
      </c>
      <c r="C196" s="2" t="s">
        <v>4487</v>
      </c>
      <c r="D196" s="2" t="s">
        <v>111</v>
      </c>
      <c r="E196" s="2">
        <v>1313</v>
      </c>
      <c r="F196" s="2" t="s">
        <v>170</v>
      </c>
      <c r="G196" s="2" t="s">
        <v>4314</v>
      </c>
      <c r="H196" s="3" t="s">
        <v>26</v>
      </c>
      <c r="I196" s="258">
        <v>1313</v>
      </c>
      <c r="J196" s="2">
        <f t="shared" si="3"/>
        <v>0</v>
      </c>
      <c r="K196" s="3" t="s">
        <v>111</v>
      </c>
      <c r="L196" s="292" t="s">
        <v>170</v>
      </c>
    </row>
    <row r="197" spans="1:12" x14ac:dyDescent="0.25">
      <c r="A197" s="2">
        <v>196</v>
      </c>
      <c r="B197" s="258">
        <v>1219562</v>
      </c>
      <c r="C197" s="2" t="s">
        <v>3564</v>
      </c>
      <c r="D197" s="2" t="s">
        <v>174</v>
      </c>
      <c r="E197" s="2">
        <v>1613</v>
      </c>
      <c r="F197" s="2" t="s">
        <v>109</v>
      </c>
      <c r="G197" s="2" t="s">
        <v>4388</v>
      </c>
      <c r="H197" s="3" t="s">
        <v>172</v>
      </c>
      <c r="I197" s="258">
        <v>1613</v>
      </c>
      <c r="J197" s="2">
        <f t="shared" si="3"/>
        <v>0</v>
      </c>
      <c r="K197" s="3" t="s">
        <v>174</v>
      </c>
      <c r="L197" s="292" t="s">
        <v>109</v>
      </c>
    </row>
    <row r="198" spans="1:12" x14ac:dyDescent="0.25">
      <c r="A198" s="2">
        <v>197</v>
      </c>
      <c r="B198" s="258">
        <v>1219561</v>
      </c>
      <c r="C198" s="2" t="s">
        <v>3565</v>
      </c>
      <c r="D198" s="2" t="s">
        <v>174</v>
      </c>
      <c r="E198" s="2">
        <v>1313</v>
      </c>
      <c r="F198" s="2" t="s">
        <v>109</v>
      </c>
      <c r="G198" s="2" t="s">
        <v>4388</v>
      </c>
      <c r="H198" s="3" t="s">
        <v>172</v>
      </c>
      <c r="I198" s="258">
        <v>1313</v>
      </c>
      <c r="J198" s="2">
        <f t="shared" si="3"/>
        <v>0</v>
      </c>
      <c r="K198" s="3" t="s">
        <v>174</v>
      </c>
      <c r="L198" s="292" t="s">
        <v>109</v>
      </c>
    </row>
    <row r="199" spans="1:12" x14ac:dyDescent="0.25">
      <c r="A199" s="2">
        <v>198</v>
      </c>
      <c r="B199" s="3">
        <v>1223172</v>
      </c>
      <c r="C199" s="2" t="s">
        <v>4389</v>
      </c>
      <c r="D199" s="2" t="s">
        <v>174</v>
      </c>
      <c r="E199" s="2">
        <v>1913</v>
      </c>
      <c r="F199" s="2" t="s">
        <v>109</v>
      </c>
      <c r="G199" s="2" t="s">
        <v>4388</v>
      </c>
      <c r="H199" s="3" t="s">
        <v>172</v>
      </c>
      <c r="I199" s="258">
        <v>1913</v>
      </c>
      <c r="J199" s="2">
        <f t="shared" si="3"/>
        <v>0</v>
      </c>
      <c r="K199" s="3" t="s">
        <v>174</v>
      </c>
      <c r="L199" s="3" t="s">
        <v>109</v>
      </c>
    </row>
    <row r="200" spans="1:12" x14ac:dyDescent="0.25">
      <c r="A200" s="2">
        <v>199</v>
      </c>
      <c r="B200" s="258">
        <v>1234679</v>
      </c>
      <c r="C200" s="2" t="s">
        <v>3567</v>
      </c>
      <c r="D200" s="2" t="s">
        <v>176</v>
      </c>
      <c r="E200" s="2">
        <v>1613</v>
      </c>
      <c r="F200" s="2" t="s">
        <v>109</v>
      </c>
      <c r="G200" s="2" t="s">
        <v>4390</v>
      </c>
      <c r="H200" s="3" t="s">
        <v>172</v>
      </c>
      <c r="I200" s="646">
        <v>1613</v>
      </c>
      <c r="J200" s="2">
        <f t="shared" si="3"/>
        <v>0</v>
      </c>
      <c r="K200" s="459" t="s">
        <v>176</v>
      </c>
      <c r="L200" s="349" t="s">
        <v>109</v>
      </c>
    </row>
    <row r="201" spans="1:12" x14ac:dyDescent="0.25">
      <c r="A201" s="2">
        <v>200</v>
      </c>
      <c r="B201" s="258">
        <v>1226868</v>
      </c>
      <c r="C201" s="2" t="s">
        <v>3568</v>
      </c>
      <c r="D201" s="2" t="s">
        <v>160</v>
      </c>
      <c r="E201" s="2">
        <v>1010</v>
      </c>
      <c r="F201" s="2" t="s">
        <v>109</v>
      </c>
      <c r="G201" s="2" t="s">
        <v>4384</v>
      </c>
      <c r="H201" s="3" t="s">
        <v>159</v>
      </c>
      <c r="I201" s="258">
        <v>1010</v>
      </c>
      <c r="J201" s="2">
        <f t="shared" si="3"/>
        <v>0</v>
      </c>
      <c r="K201" s="3" t="s">
        <v>160</v>
      </c>
      <c r="L201" s="292" t="s">
        <v>109</v>
      </c>
    </row>
    <row r="202" spans="1:12" x14ac:dyDescent="0.25">
      <c r="A202" s="2">
        <v>201</v>
      </c>
      <c r="B202" s="258">
        <v>1146737</v>
      </c>
      <c r="C202" s="2" t="s">
        <v>3569</v>
      </c>
      <c r="D202" s="2" t="s">
        <v>111</v>
      </c>
      <c r="E202" s="2">
        <v>1613</v>
      </c>
      <c r="F202" s="2" t="s">
        <v>177</v>
      </c>
      <c r="G202" s="2" t="s">
        <v>4314</v>
      </c>
      <c r="H202" s="3" t="s">
        <v>26</v>
      </c>
      <c r="I202" s="258">
        <v>1613</v>
      </c>
      <c r="J202" s="2">
        <f t="shared" si="3"/>
        <v>0</v>
      </c>
      <c r="K202" s="462" t="s">
        <v>111</v>
      </c>
      <c r="L202" s="350" t="s">
        <v>177</v>
      </c>
    </row>
    <row r="203" spans="1:12" x14ac:dyDescent="0.25">
      <c r="A203" s="2">
        <v>205</v>
      </c>
      <c r="B203" s="258">
        <v>1141583</v>
      </c>
      <c r="C203" s="2" t="s">
        <v>4391</v>
      </c>
      <c r="D203" s="2" t="s">
        <v>178</v>
      </c>
      <c r="E203" s="2">
        <v>1613</v>
      </c>
      <c r="F203" s="2" t="s">
        <v>109</v>
      </c>
      <c r="G203" s="2" t="s">
        <v>4314</v>
      </c>
      <c r="H203" s="3" t="s">
        <v>26</v>
      </c>
      <c r="I203" s="258">
        <v>1613</v>
      </c>
      <c r="J203" s="2">
        <f t="shared" si="3"/>
        <v>0</v>
      </c>
      <c r="K203" s="3" t="s">
        <v>178</v>
      </c>
      <c r="L203" s="292" t="s">
        <v>109</v>
      </c>
    </row>
    <row r="204" spans="1:12" x14ac:dyDescent="0.25">
      <c r="A204" s="2">
        <v>206</v>
      </c>
      <c r="B204" s="258">
        <v>1146742</v>
      </c>
      <c r="C204" s="2" t="s">
        <v>3620</v>
      </c>
      <c r="D204" s="2" t="s">
        <v>111</v>
      </c>
      <c r="E204" s="2">
        <v>1913</v>
      </c>
      <c r="F204" s="2" t="s">
        <v>170</v>
      </c>
      <c r="G204" s="2" t="s">
        <v>4314</v>
      </c>
      <c r="H204" s="3" t="s">
        <v>26</v>
      </c>
      <c r="I204" s="460">
        <v>1913</v>
      </c>
      <c r="J204" s="2">
        <f t="shared" si="3"/>
        <v>0</v>
      </c>
      <c r="K204" s="3" t="s">
        <v>111</v>
      </c>
      <c r="L204" s="292" t="s">
        <v>170</v>
      </c>
    </row>
    <row r="205" spans="1:12" x14ac:dyDescent="0.25">
      <c r="A205" s="2">
        <v>207</v>
      </c>
      <c r="B205" s="258">
        <v>1244299</v>
      </c>
      <c r="C205" s="2" t="s">
        <v>4392</v>
      </c>
      <c r="D205" s="2" t="s">
        <v>180</v>
      </c>
      <c r="E205" s="2">
        <v>1313</v>
      </c>
      <c r="F205" s="2" t="s">
        <v>109</v>
      </c>
      <c r="G205" s="2" t="s">
        <v>4393</v>
      </c>
      <c r="H205" s="3" t="s">
        <v>179</v>
      </c>
      <c r="I205" s="460">
        <v>1313</v>
      </c>
      <c r="J205" s="2">
        <f t="shared" si="3"/>
        <v>0</v>
      </c>
      <c r="K205" s="3" t="s">
        <v>180</v>
      </c>
      <c r="L205" s="292" t="s">
        <v>109</v>
      </c>
    </row>
    <row r="206" spans="1:12" x14ac:dyDescent="0.25">
      <c r="A206" s="2">
        <v>208</v>
      </c>
      <c r="B206" s="258">
        <v>1112229</v>
      </c>
      <c r="C206" s="2" t="s">
        <v>3576</v>
      </c>
      <c r="D206" s="2" t="s">
        <v>178</v>
      </c>
      <c r="E206" s="2">
        <v>1613</v>
      </c>
      <c r="F206" s="2" t="s">
        <v>253</v>
      </c>
      <c r="G206" s="2" t="s">
        <v>4314</v>
      </c>
      <c r="H206" s="3" t="s">
        <v>26</v>
      </c>
      <c r="I206" s="460">
        <v>1613</v>
      </c>
      <c r="J206" s="2">
        <f t="shared" si="3"/>
        <v>0</v>
      </c>
      <c r="K206" s="3" t="s">
        <v>178</v>
      </c>
      <c r="L206" s="292" t="s">
        <v>253</v>
      </c>
    </row>
    <row r="207" spans="1:12" x14ac:dyDescent="0.25">
      <c r="A207" s="3">
        <v>209</v>
      </c>
      <c r="B207" s="258">
        <v>1228501</v>
      </c>
      <c r="C207" s="2" t="s">
        <v>882</v>
      </c>
      <c r="D207" s="2" t="s">
        <v>4245</v>
      </c>
      <c r="E207" s="2">
        <v>1618</v>
      </c>
      <c r="F207" s="2" t="s">
        <v>103</v>
      </c>
      <c r="G207" s="2" t="s">
        <v>32</v>
      </c>
      <c r="H207" s="3" t="s">
        <v>182</v>
      </c>
      <c r="I207" s="460">
        <v>1618</v>
      </c>
      <c r="J207" s="2">
        <f t="shared" si="3"/>
        <v>0</v>
      </c>
      <c r="K207" s="3" t="s">
        <v>4245</v>
      </c>
      <c r="L207" s="292" t="s">
        <v>103</v>
      </c>
    </row>
    <row r="208" spans="1:12" x14ac:dyDescent="0.25">
      <c r="A208" s="3">
        <v>210</v>
      </c>
      <c r="B208" s="258">
        <v>1228502</v>
      </c>
      <c r="C208" s="607" t="s">
        <v>4394</v>
      </c>
      <c r="D208" s="607" t="s">
        <v>114</v>
      </c>
      <c r="E208" s="2">
        <v>1618</v>
      </c>
      <c r="F208" s="2" t="s">
        <v>109</v>
      </c>
      <c r="G208" s="2" t="s">
        <v>4395</v>
      </c>
      <c r="H208" s="3" t="s">
        <v>185</v>
      </c>
      <c r="I208" s="460">
        <v>1618</v>
      </c>
      <c r="J208" s="2">
        <f t="shared" si="3"/>
        <v>0</v>
      </c>
      <c r="K208" s="3" t="s">
        <v>114</v>
      </c>
      <c r="L208" s="292" t="s">
        <v>109</v>
      </c>
    </row>
    <row r="209" spans="1:12" x14ac:dyDescent="0.25">
      <c r="A209" s="3">
        <v>211</v>
      </c>
      <c r="B209" s="258">
        <v>1261319</v>
      </c>
      <c r="C209" s="2" t="s">
        <v>3580</v>
      </c>
      <c r="D209" s="2" t="s">
        <v>145</v>
      </c>
      <c r="E209" s="2">
        <v>1308</v>
      </c>
      <c r="F209" s="2" t="s">
        <v>170</v>
      </c>
      <c r="G209" s="2" t="s">
        <v>4336</v>
      </c>
      <c r="H209" s="3" t="s">
        <v>26</v>
      </c>
      <c r="I209" s="460">
        <v>1308</v>
      </c>
      <c r="J209" s="2">
        <f t="shared" si="3"/>
        <v>0</v>
      </c>
      <c r="K209" s="3" t="s">
        <v>145</v>
      </c>
      <c r="L209" s="292" t="s">
        <v>170</v>
      </c>
    </row>
    <row r="210" spans="1:12" x14ac:dyDescent="0.25">
      <c r="A210" s="3">
        <v>212</v>
      </c>
      <c r="B210" s="258">
        <v>1238831</v>
      </c>
      <c r="C210" s="2" t="s">
        <v>3581</v>
      </c>
      <c r="D210" s="2" t="s">
        <v>111</v>
      </c>
      <c r="E210" s="2">
        <v>1313</v>
      </c>
      <c r="F210" s="2" t="s">
        <v>186</v>
      </c>
      <c r="G210" s="2" t="s">
        <v>4314</v>
      </c>
      <c r="H210" s="3" t="s">
        <v>26</v>
      </c>
      <c r="I210" s="460">
        <v>1313</v>
      </c>
      <c r="J210" s="2">
        <f t="shared" si="3"/>
        <v>0</v>
      </c>
      <c r="K210" s="3" t="s">
        <v>111</v>
      </c>
      <c r="L210" s="292" t="s">
        <v>186</v>
      </c>
    </row>
    <row r="211" spans="1:12" x14ac:dyDescent="0.25">
      <c r="A211" s="3">
        <v>213</v>
      </c>
      <c r="B211" s="258">
        <v>1261320</v>
      </c>
      <c r="C211" s="2" t="s">
        <v>3582</v>
      </c>
      <c r="D211" s="2" t="s">
        <v>145</v>
      </c>
      <c r="E211" s="2">
        <v>1313</v>
      </c>
      <c r="F211" s="2" t="s">
        <v>170</v>
      </c>
      <c r="G211" s="2" t="s">
        <v>4336</v>
      </c>
      <c r="H211" s="3" t="s">
        <v>26</v>
      </c>
      <c r="I211" s="460">
        <v>1313</v>
      </c>
      <c r="J211" s="2">
        <f t="shared" si="3"/>
        <v>0</v>
      </c>
      <c r="K211" s="3" t="s">
        <v>145</v>
      </c>
      <c r="L211" s="292" t="s">
        <v>170</v>
      </c>
    </row>
    <row r="212" spans="1:12" x14ac:dyDescent="0.25">
      <c r="A212" s="3">
        <v>214</v>
      </c>
      <c r="B212" s="258">
        <v>1175118</v>
      </c>
      <c r="C212" s="2" t="s">
        <v>3583</v>
      </c>
      <c r="D212" s="2" t="s">
        <v>178</v>
      </c>
      <c r="E212" s="2">
        <v>1613</v>
      </c>
      <c r="F212" s="2" t="s">
        <v>177</v>
      </c>
      <c r="G212" s="2" t="s">
        <v>4314</v>
      </c>
      <c r="H212" s="3" t="s">
        <v>26</v>
      </c>
      <c r="I212" s="460">
        <v>1613</v>
      </c>
      <c r="J212" s="2">
        <f t="shared" si="3"/>
        <v>0</v>
      </c>
      <c r="K212" s="3" t="s">
        <v>178</v>
      </c>
      <c r="L212" s="292" t="s">
        <v>177</v>
      </c>
    </row>
    <row r="213" spans="1:12" x14ac:dyDescent="0.25">
      <c r="A213" s="3">
        <v>215</v>
      </c>
      <c r="B213" s="258">
        <v>1238832</v>
      </c>
      <c r="C213" s="2" t="s">
        <v>3577</v>
      </c>
      <c r="D213" s="2" t="s">
        <v>111</v>
      </c>
      <c r="E213" s="2">
        <v>1613</v>
      </c>
      <c r="F213" s="2" t="s">
        <v>186</v>
      </c>
      <c r="G213" s="2" t="s">
        <v>4314</v>
      </c>
      <c r="H213" s="3" t="s">
        <v>26</v>
      </c>
      <c r="I213" s="460">
        <v>1613</v>
      </c>
      <c r="J213" s="2">
        <f t="shared" si="3"/>
        <v>0</v>
      </c>
      <c r="K213" s="3" t="s">
        <v>111</v>
      </c>
      <c r="L213" s="292" t="s">
        <v>186</v>
      </c>
    </row>
    <row r="214" spans="1:12" x14ac:dyDescent="0.25">
      <c r="A214" s="3">
        <v>216</v>
      </c>
      <c r="B214" s="258">
        <v>1261321</v>
      </c>
      <c r="C214" s="2" t="s">
        <v>3584</v>
      </c>
      <c r="D214" s="2" t="s">
        <v>145</v>
      </c>
      <c r="E214" s="2">
        <v>1613</v>
      </c>
      <c r="F214" s="2" t="s">
        <v>170</v>
      </c>
      <c r="G214" s="2" t="s">
        <v>4336</v>
      </c>
      <c r="H214" s="3" t="s">
        <v>26</v>
      </c>
      <c r="I214" s="460">
        <v>1613</v>
      </c>
      <c r="J214" s="2">
        <f t="shared" si="3"/>
        <v>0</v>
      </c>
      <c r="K214" s="3" t="s">
        <v>145</v>
      </c>
      <c r="L214" s="292" t="s">
        <v>170</v>
      </c>
    </row>
    <row r="215" spans="1:12" x14ac:dyDescent="0.25">
      <c r="A215" s="3">
        <v>217</v>
      </c>
      <c r="B215" s="258">
        <v>1228503</v>
      </c>
      <c r="C215" s="2" t="s">
        <v>188</v>
      </c>
      <c r="D215" s="2" t="s">
        <v>103</v>
      </c>
      <c r="E215" s="2" t="s">
        <v>103</v>
      </c>
      <c r="F215" s="2" t="s">
        <v>103</v>
      </c>
      <c r="G215" s="2" t="s">
        <v>32</v>
      </c>
      <c r="H215" s="3" t="s">
        <v>188</v>
      </c>
      <c r="I215" s="460">
        <v>1618</v>
      </c>
      <c r="J215" s="2" t="e">
        <f t="shared" si="3"/>
        <v>#VALUE!</v>
      </c>
      <c r="K215" s="3" t="s">
        <v>114</v>
      </c>
      <c r="L215" s="292" t="s">
        <v>170</v>
      </c>
    </row>
    <row r="216" spans="1:12" x14ac:dyDescent="0.25">
      <c r="A216" s="3">
        <v>218</v>
      </c>
      <c r="B216" s="258">
        <v>1220554</v>
      </c>
      <c r="C216" s="2" t="s">
        <v>190</v>
      </c>
      <c r="D216" s="2" t="s">
        <v>103</v>
      </c>
      <c r="E216" s="2" t="s">
        <v>103</v>
      </c>
      <c r="F216" s="2" t="s">
        <v>103</v>
      </c>
      <c r="G216" s="2" t="s">
        <v>32</v>
      </c>
      <c r="H216" s="3" t="s">
        <v>190</v>
      </c>
      <c r="I216" s="460">
        <v>1618</v>
      </c>
      <c r="J216" s="2" t="e">
        <f t="shared" si="3"/>
        <v>#VALUE!</v>
      </c>
      <c r="K216" s="3" t="s">
        <v>114</v>
      </c>
      <c r="L216" s="292" t="s">
        <v>170</v>
      </c>
    </row>
    <row r="217" spans="1:12" x14ac:dyDescent="0.25">
      <c r="A217" s="3">
        <v>219</v>
      </c>
      <c r="B217" s="258">
        <v>1234189</v>
      </c>
      <c r="C217" s="2" t="s">
        <v>4396</v>
      </c>
      <c r="D217" s="2" t="s">
        <v>192</v>
      </c>
      <c r="E217" s="2" t="s">
        <v>38</v>
      </c>
      <c r="F217" s="2" t="s">
        <v>103</v>
      </c>
      <c r="G217" s="2" t="s">
        <v>36</v>
      </c>
      <c r="H217" s="3" t="s">
        <v>81</v>
      </c>
      <c r="I217" s="460" t="s">
        <v>38</v>
      </c>
      <c r="J217" s="2" t="e">
        <f t="shared" si="3"/>
        <v>#VALUE!</v>
      </c>
      <c r="K217" s="3" t="s">
        <v>192</v>
      </c>
      <c r="L217" s="292" t="s">
        <v>103</v>
      </c>
    </row>
    <row r="218" spans="1:12" x14ac:dyDescent="0.25">
      <c r="A218" s="3">
        <v>220</v>
      </c>
      <c r="B218" s="258">
        <v>1231982</v>
      </c>
      <c r="C218" s="2" t="s">
        <v>3588</v>
      </c>
      <c r="D218" s="2" t="s">
        <v>193</v>
      </c>
      <c r="E218" s="2">
        <v>1613</v>
      </c>
      <c r="F218" s="2" t="s">
        <v>109</v>
      </c>
      <c r="G218" s="2" t="s">
        <v>4395</v>
      </c>
      <c r="H218" s="3" t="s">
        <v>26</v>
      </c>
      <c r="I218" s="460">
        <v>1613</v>
      </c>
      <c r="J218" s="2">
        <f t="shared" si="3"/>
        <v>0</v>
      </c>
      <c r="K218" s="3" t="s">
        <v>193</v>
      </c>
      <c r="L218" s="292" t="s">
        <v>109</v>
      </c>
    </row>
    <row r="219" spans="1:12" x14ac:dyDescent="0.25">
      <c r="A219" s="3">
        <v>221</v>
      </c>
      <c r="B219" s="258">
        <v>1142711</v>
      </c>
      <c r="C219" s="2" t="s">
        <v>3589</v>
      </c>
      <c r="D219" s="2" t="s">
        <v>133</v>
      </c>
      <c r="E219" s="2">
        <v>1613</v>
      </c>
      <c r="F219" s="2" t="s">
        <v>109</v>
      </c>
      <c r="G219" s="2" t="s">
        <v>4275</v>
      </c>
      <c r="H219" s="3" t="s">
        <v>26</v>
      </c>
      <c r="I219" s="460">
        <v>1613</v>
      </c>
      <c r="J219" s="2">
        <f t="shared" si="3"/>
        <v>0</v>
      </c>
      <c r="K219" s="3" t="s">
        <v>133</v>
      </c>
      <c r="L219" s="292" t="s">
        <v>109</v>
      </c>
    </row>
    <row r="220" spans="1:12" x14ac:dyDescent="0.25">
      <c r="A220" s="24">
        <v>222</v>
      </c>
      <c r="B220" s="258">
        <v>1263281</v>
      </c>
      <c r="C220" s="2" t="s">
        <v>3590</v>
      </c>
      <c r="D220" s="2" t="s">
        <v>178</v>
      </c>
      <c r="E220" s="2">
        <v>1613</v>
      </c>
      <c r="F220" s="2" t="s">
        <v>170</v>
      </c>
      <c r="G220" s="2" t="s">
        <v>4314</v>
      </c>
      <c r="H220" s="3" t="s">
        <v>26</v>
      </c>
      <c r="I220" s="460">
        <v>1613</v>
      </c>
      <c r="J220" s="2">
        <f t="shared" si="3"/>
        <v>0</v>
      </c>
      <c r="K220" s="3" t="s">
        <v>178</v>
      </c>
      <c r="L220" s="292" t="s">
        <v>170</v>
      </c>
    </row>
    <row r="221" spans="1:12" x14ac:dyDescent="0.25">
      <c r="A221" s="24">
        <v>223</v>
      </c>
      <c r="B221" s="258">
        <v>1200972</v>
      </c>
      <c r="C221" s="2" t="s">
        <v>4397</v>
      </c>
      <c r="D221" s="2" t="s">
        <v>192</v>
      </c>
      <c r="E221" s="2" t="s">
        <v>266</v>
      </c>
      <c r="F221" s="2" t="s">
        <v>103</v>
      </c>
      <c r="G221" s="2" t="s">
        <v>36</v>
      </c>
      <c r="H221" s="3" t="s">
        <v>81</v>
      </c>
      <c r="I221" s="460" t="s">
        <v>266</v>
      </c>
      <c r="J221" s="2" t="e">
        <f t="shared" si="3"/>
        <v>#VALUE!</v>
      </c>
      <c r="K221" s="3" t="s">
        <v>192</v>
      </c>
      <c r="L221" s="292" t="s">
        <v>103</v>
      </c>
    </row>
    <row r="222" spans="1:12" x14ac:dyDescent="0.25">
      <c r="A222" s="2">
        <v>225</v>
      </c>
      <c r="B222" s="258">
        <v>1146346</v>
      </c>
      <c r="C222" s="2" t="s">
        <v>3595</v>
      </c>
      <c r="D222" s="2" t="s">
        <v>111</v>
      </c>
      <c r="E222" s="2">
        <v>1313</v>
      </c>
      <c r="F222" s="2" t="s">
        <v>177</v>
      </c>
      <c r="G222" s="2" t="s">
        <v>4314</v>
      </c>
      <c r="H222" s="3" t="s">
        <v>26</v>
      </c>
      <c r="I222" s="292">
        <v>1313</v>
      </c>
      <c r="J222" s="2">
        <f t="shared" si="3"/>
        <v>0</v>
      </c>
      <c r="K222" s="292" t="s">
        <v>111</v>
      </c>
      <c r="L222" s="292" t="s">
        <v>177</v>
      </c>
    </row>
    <row r="223" spans="1:12" x14ac:dyDescent="0.25">
      <c r="A223" s="2">
        <v>226</v>
      </c>
      <c r="B223" s="258">
        <v>1271790</v>
      </c>
      <c r="C223" s="2" t="s">
        <v>4398</v>
      </c>
      <c r="D223" s="2" t="s">
        <v>195</v>
      </c>
      <c r="E223" s="2">
        <v>1613</v>
      </c>
      <c r="F223" s="2" t="s">
        <v>177</v>
      </c>
      <c r="G223" s="2" t="s">
        <v>4399</v>
      </c>
      <c r="H223" s="3" t="s">
        <v>26</v>
      </c>
      <c r="I223" s="460">
        <v>1613</v>
      </c>
      <c r="J223" s="2">
        <f t="shared" si="3"/>
        <v>0</v>
      </c>
      <c r="K223" s="292" t="s">
        <v>195</v>
      </c>
      <c r="L223" s="292" t="s">
        <v>177</v>
      </c>
    </row>
    <row r="224" spans="1:12" x14ac:dyDescent="0.25">
      <c r="A224" s="2">
        <v>227</v>
      </c>
      <c r="B224" s="258">
        <v>1220688</v>
      </c>
      <c r="C224" s="2" t="s">
        <v>3597</v>
      </c>
      <c r="D224" s="2" t="s">
        <v>145</v>
      </c>
      <c r="E224" s="2">
        <v>1005</v>
      </c>
      <c r="F224" s="2" t="s">
        <v>170</v>
      </c>
      <c r="G224" s="2" t="s">
        <v>4336</v>
      </c>
      <c r="H224" s="3" t="s">
        <v>26</v>
      </c>
      <c r="I224" s="460">
        <v>1005</v>
      </c>
      <c r="J224" s="2">
        <f t="shared" si="3"/>
        <v>0</v>
      </c>
      <c r="K224" s="292" t="s">
        <v>145</v>
      </c>
      <c r="L224" s="292" t="s">
        <v>170</v>
      </c>
    </row>
    <row r="225" spans="1:12" x14ac:dyDescent="0.25">
      <c r="A225" s="2">
        <v>228</v>
      </c>
      <c r="B225" s="258">
        <v>1244957</v>
      </c>
      <c r="C225" s="2" t="s">
        <v>3598</v>
      </c>
      <c r="D225" s="2" t="s">
        <v>111</v>
      </c>
      <c r="E225" s="2">
        <v>1613</v>
      </c>
      <c r="F225" s="2" t="s">
        <v>197</v>
      </c>
      <c r="G225" s="2" t="s">
        <v>4314</v>
      </c>
      <c r="H225" s="3" t="s">
        <v>26</v>
      </c>
      <c r="I225" s="460">
        <v>1613</v>
      </c>
      <c r="J225" s="2">
        <f t="shared" si="3"/>
        <v>0</v>
      </c>
      <c r="K225" s="292" t="s">
        <v>111</v>
      </c>
      <c r="L225" s="292" t="s">
        <v>197</v>
      </c>
    </row>
    <row r="226" spans="1:12" x14ac:dyDescent="0.25">
      <c r="A226" s="2">
        <v>229</v>
      </c>
      <c r="B226" s="258">
        <v>1126402</v>
      </c>
      <c r="C226" s="2" t="s">
        <v>4135</v>
      </c>
      <c r="D226" s="2" t="s">
        <v>133</v>
      </c>
      <c r="E226" s="2">
        <v>1613</v>
      </c>
      <c r="F226" s="2" t="s">
        <v>177</v>
      </c>
      <c r="G226" s="2" t="s">
        <v>4275</v>
      </c>
      <c r="H226" s="3" t="s">
        <v>26</v>
      </c>
      <c r="I226" s="460">
        <v>1613</v>
      </c>
      <c r="J226" s="2">
        <f t="shared" si="3"/>
        <v>0</v>
      </c>
      <c r="K226" s="292" t="s">
        <v>133</v>
      </c>
      <c r="L226" s="292" t="s">
        <v>177</v>
      </c>
    </row>
    <row r="227" spans="1:12" x14ac:dyDescent="0.25">
      <c r="A227" s="2">
        <v>230</v>
      </c>
      <c r="B227" s="258">
        <v>1250971</v>
      </c>
      <c r="C227" s="2" t="s">
        <v>3601</v>
      </c>
      <c r="D227" s="2" t="s">
        <v>176</v>
      </c>
      <c r="E227" s="2">
        <v>1913</v>
      </c>
      <c r="F227" s="2" t="s">
        <v>109</v>
      </c>
      <c r="G227" s="2" t="s">
        <v>4390</v>
      </c>
      <c r="H227" s="3" t="s">
        <v>172</v>
      </c>
      <c r="I227" s="460">
        <v>1913</v>
      </c>
      <c r="J227" s="2">
        <f t="shared" si="3"/>
        <v>0</v>
      </c>
      <c r="K227" s="292" t="s">
        <v>176</v>
      </c>
      <c r="L227" s="292" t="s">
        <v>109</v>
      </c>
    </row>
    <row r="228" spans="1:12" x14ac:dyDescent="0.25">
      <c r="A228" s="2">
        <v>231</v>
      </c>
      <c r="B228" s="258">
        <v>1266910</v>
      </c>
      <c r="C228" s="2" t="s">
        <v>4400</v>
      </c>
      <c r="D228" s="2" t="s">
        <v>199</v>
      </c>
      <c r="E228" s="2">
        <v>1313</v>
      </c>
      <c r="F228" s="2" t="s">
        <v>109</v>
      </c>
      <c r="G228" s="2" t="s">
        <v>4401</v>
      </c>
      <c r="H228" s="3" t="s">
        <v>198</v>
      </c>
      <c r="I228" s="460">
        <v>1313</v>
      </c>
      <c r="J228" s="2">
        <f t="shared" si="3"/>
        <v>0</v>
      </c>
      <c r="K228" s="292" t="s">
        <v>199</v>
      </c>
      <c r="L228" s="292" t="s">
        <v>109</v>
      </c>
    </row>
    <row r="229" spans="1:12" x14ac:dyDescent="0.25">
      <c r="A229" s="2">
        <v>232</v>
      </c>
      <c r="B229" s="258">
        <v>1255773</v>
      </c>
      <c r="C229" s="2" t="s">
        <v>4478</v>
      </c>
      <c r="D229" s="2" t="s">
        <v>153</v>
      </c>
      <c r="E229" s="2">
        <v>1613</v>
      </c>
      <c r="F229" s="2" t="s">
        <v>170</v>
      </c>
      <c r="G229" s="2" t="s">
        <v>4336</v>
      </c>
      <c r="H229" s="3" t="s">
        <v>26</v>
      </c>
      <c r="I229" s="460">
        <v>1613</v>
      </c>
      <c r="J229" s="2">
        <f t="shared" si="3"/>
        <v>0</v>
      </c>
      <c r="K229" s="292" t="s">
        <v>153</v>
      </c>
      <c r="L229" s="292" t="s">
        <v>170</v>
      </c>
    </row>
    <row r="230" spans="1:12" x14ac:dyDescent="0.25">
      <c r="A230" s="2">
        <v>233</v>
      </c>
      <c r="B230" s="258">
        <v>653400</v>
      </c>
      <c r="C230" s="2" t="s">
        <v>4402</v>
      </c>
      <c r="D230" s="2" t="s">
        <v>965</v>
      </c>
      <c r="E230" s="2" t="s">
        <v>38</v>
      </c>
      <c r="F230" s="2" t="s">
        <v>103</v>
      </c>
      <c r="G230" s="2" t="s">
        <v>36</v>
      </c>
      <c r="H230" s="3" t="s">
        <v>81</v>
      </c>
      <c r="I230" s="460" t="s">
        <v>38</v>
      </c>
      <c r="J230" s="2" t="e">
        <f t="shared" si="3"/>
        <v>#VALUE!</v>
      </c>
      <c r="K230" s="292" t="s">
        <v>965</v>
      </c>
      <c r="L230" s="292" t="s">
        <v>103</v>
      </c>
    </row>
    <row r="231" spans="1:12" x14ac:dyDescent="0.25">
      <c r="A231" s="2">
        <v>234</v>
      </c>
      <c r="B231" s="258">
        <v>1201518</v>
      </c>
      <c r="C231" s="2" t="s">
        <v>4403</v>
      </c>
      <c r="D231" s="2" t="s">
        <v>965</v>
      </c>
      <c r="E231" s="2" t="s">
        <v>201</v>
      </c>
      <c r="F231" s="2" t="s">
        <v>103</v>
      </c>
      <c r="G231" s="2" t="s">
        <v>36</v>
      </c>
      <c r="H231" s="3" t="s">
        <v>81</v>
      </c>
      <c r="I231" s="460" t="s">
        <v>201</v>
      </c>
      <c r="J231" s="2" t="e">
        <f t="shared" si="3"/>
        <v>#VALUE!</v>
      </c>
      <c r="K231" s="292" t="s">
        <v>965</v>
      </c>
      <c r="L231" s="292" t="s">
        <v>103</v>
      </c>
    </row>
    <row r="232" spans="1:12" x14ac:dyDescent="0.25">
      <c r="A232" s="2">
        <v>236</v>
      </c>
      <c r="B232" s="258">
        <v>1261615</v>
      </c>
      <c r="C232" s="2" t="s">
        <v>3607</v>
      </c>
      <c r="D232" s="2" t="s">
        <v>202</v>
      </c>
      <c r="E232" s="2">
        <v>1613</v>
      </c>
      <c r="F232" s="2" t="s">
        <v>109</v>
      </c>
      <c r="G232" s="2" t="s">
        <v>4390</v>
      </c>
      <c r="H232" s="3" t="s">
        <v>172</v>
      </c>
      <c r="I232" s="460">
        <v>1613</v>
      </c>
      <c r="J232" s="2">
        <f t="shared" si="3"/>
        <v>0</v>
      </c>
      <c r="K232" s="292" t="s">
        <v>202</v>
      </c>
      <c r="L232" s="292" t="s">
        <v>109</v>
      </c>
    </row>
    <row r="233" spans="1:12" x14ac:dyDescent="0.25">
      <c r="A233" s="2">
        <v>237</v>
      </c>
      <c r="B233" s="258">
        <v>1100739</v>
      </c>
      <c r="C233" s="2" t="s">
        <v>4404</v>
      </c>
      <c r="D233" s="2" t="s">
        <v>111</v>
      </c>
      <c r="E233" s="2">
        <v>1608</v>
      </c>
      <c r="F233" s="2" t="s">
        <v>253</v>
      </c>
      <c r="G233" s="2" t="s">
        <v>4314</v>
      </c>
      <c r="H233" s="3" t="s">
        <v>26</v>
      </c>
      <c r="I233" s="460">
        <v>1608</v>
      </c>
      <c r="J233" s="2">
        <f t="shared" si="3"/>
        <v>0</v>
      </c>
      <c r="K233" s="292" t="s">
        <v>111</v>
      </c>
      <c r="L233" s="292" t="s">
        <v>253</v>
      </c>
    </row>
    <row r="234" spans="1:12" x14ac:dyDescent="0.25">
      <c r="A234" s="2">
        <v>238</v>
      </c>
      <c r="B234" s="258">
        <v>1180935</v>
      </c>
      <c r="C234" s="2" t="s">
        <v>4477</v>
      </c>
      <c r="D234" s="2" t="s">
        <v>103</v>
      </c>
      <c r="E234" s="2" t="s">
        <v>103</v>
      </c>
      <c r="F234" s="2" t="s">
        <v>103</v>
      </c>
      <c r="G234" s="2" t="s">
        <v>32</v>
      </c>
      <c r="H234" s="3" t="s">
        <v>203</v>
      </c>
      <c r="I234" s="460">
        <v>1313</v>
      </c>
      <c r="J234" s="2" t="e">
        <f t="shared" si="3"/>
        <v>#VALUE!</v>
      </c>
      <c r="K234" s="292" t="s">
        <v>204</v>
      </c>
      <c r="L234" s="292" t="s">
        <v>103</v>
      </c>
    </row>
    <row r="235" spans="1:12" x14ac:dyDescent="0.25">
      <c r="A235" s="2">
        <v>239</v>
      </c>
      <c r="B235" s="258">
        <v>1199247</v>
      </c>
      <c r="C235" s="2" t="s">
        <v>4179</v>
      </c>
      <c r="D235" s="2" t="s">
        <v>139</v>
      </c>
      <c r="E235" s="2">
        <v>1010</v>
      </c>
      <c r="F235" s="2" t="s">
        <v>248</v>
      </c>
      <c r="G235" s="2" t="s">
        <v>4314</v>
      </c>
      <c r="H235" s="3" t="s">
        <v>26</v>
      </c>
      <c r="I235" s="460">
        <v>1010</v>
      </c>
      <c r="J235" s="2">
        <f t="shared" si="3"/>
        <v>0</v>
      </c>
      <c r="K235" s="292" t="s">
        <v>139</v>
      </c>
      <c r="L235" s="292" t="s">
        <v>248</v>
      </c>
    </row>
    <row r="236" spans="1:12" x14ac:dyDescent="0.25">
      <c r="A236" s="2">
        <v>240</v>
      </c>
      <c r="B236" s="258">
        <v>1187118</v>
      </c>
      <c r="C236" s="2" t="s">
        <v>4476</v>
      </c>
      <c r="D236" s="2" t="s">
        <v>205</v>
      </c>
      <c r="E236" s="2">
        <v>1613</v>
      </c>
      <c r="F236" s="2" t="s">
        <v>253</v>
      </c>
      <c r="G236" s="2" t="s">
        <v>4412</v>
      </c>
      <c r="H236" s="3" t="s">
        <v>122</v>
      </c>
      <c r="I236" s="460">
        <v>1613</v>
      </c>
      <c r="J236" s="2">
        <f t="shared" si="3"/>
        <v>0</v>
      </c>
      <c r="K236" s="292" t="s">
        <v>205</v>
      </c>
      <c r="L236" s="292" t="s">
        <v>253</v>
      </c>
    </row>
    <row r="237" spans="1:12" x14ac:dyDescent="0.25">
      <c r="A237" s="2">
        <v>241</v>
      </c>
      <c r="B237" s="258">
        <v>1100753</v>
      </c>
      <c r="C237" s="2" t="s">
        <v>4148</v>
      </c>
      <c r="D237" s="2" t="s">
        <v>133</v>
      </c>
      <c r="E237" s="2">
        <v>1608</v>
      </c>
      <c r="F237" s="2" t="s">
        <v>253</v>
      </c>
      <c r="G237" s="2" t="s">
        <v>4275</v>
      </c>
      <c r="H237" s="3" t="s">
        <v>26</v>
      </c>
      <c r="I237" s="460">
        <v>1608</v>
      </c>
      <c r="J237" s="2">
        <f t="shared" si="3"/>
        <v>0</v>
      </c>
      <c r="K237" s="292" t="s">
        <v>133</v>
      </c>
      <c r="L237" s="292" t="s">
        <v>253</v>
      </c>
    </row>
    <row r="238" spans="1:12" x14ac:dyDescent="0.25">
      <c r="A238" s="2">
        <v>242</v>
      </c>
      <c r="B238" s="258">
        <v>1282370</v>
      </c>
      <c r="C238" s="2" t="s">
        <v>4405</v>
      </c>
      <c r="D238" s="2" t="s">
        <v>1016</v>
      </c>
      <c r="E238" s="2">
        <v>1613</v>
      </c>
      <c r="F238" s="2" t="s">
        <v>170</v>
      </c>
      <c r="G238" s="2" t="s">
        <v>4406</v>
      </c>
      <c r="H238" s="3" t="s">
        <v>94</v>
      </c>
      <c r="I238" s="460">
        <v>1613</v>
      </c>
      <c r="J238" s="2">
        <f t="shared" si="3"/>
        <v>0</v>
      </c>
      <c r="K238" s="292" t="s">
        <v>207</v>
      </c>
      <c r="L238" s="292" t="s">
        <v>170</v>
      </c>
    </row>
    <row r="239" spans="1:12" x14ac:dyDescent="0.25">
      <c r="A239" s="2">
        <v>243</v>
      </c>
      <c r="B239" s="258">
        <v>1272309</v>
      </c>
      <c r="C239" s="2" t="s">
        <v>3613</v>
      </c>
      <c r="D239" s="2" t="s">
        <v>209</v>
      </c>
      <c r="E239" s="2">
        <v>1313</v>
      </c>
      <c r="F239" s="2" t="s">
        <v>109</v>
      </c>
      <c r="G239" s="2" t="s">
        <v>4407</v>
      </c>
      <c r="H239" s="3" t="s">
        <v>179</v>
      </c>
      <c r="I239" s="460">
        <v>1313</v>
      </c>
      <c r="J239" s="2">
        <f t="shared" si="3"/>
        <v>0</v>
      </c>
      <c r="K239" s="292" t="s">
        <v>209</v>
      </c>
      <c r="L239" s="292" t="s">
        <v>109</v>
      </c>
    </row>
    <row r="240" spans="1:12" x14ac:dyDescent="0.25">
      <c r="A240" s="2">
        <v>244</v>
      </c>
      <c r="B240" s="258">
        <v>1263823</v>
      </c>
      <c r="C240" s="2" t="s">
        <v>959</v>
      </c>
      <c r="D240" s="2" t="s">
        <v>210</v>
      </c>
      <c r="E240" s="2">
        <v>1613</v>
      </c>
      <c r="F240" s="2" t="s">
        <v>109</v>
      </c>
      <c r="G240" s="2" t="s">
        <v>4401</v>
      </c>
      <c r="H240" s="3" t="s">
        <v>172</v>
      </c>
      <c r="I240" s="460">
        <v>1613</v>
      </c>
      <c r="J240" s="2">
        <f t="shared" si="3"/>
        <v>0</v>
      </c>
      <c r="K240" s="292" t="s">
        <v>210</v>
      </c>
      <c r="L240" s="292" t="s">
        <v>109</v>
      </c>
    </row>
    <row r="241" spans="1:12" x14ac:dyDescent="0.25">
      <c r="A241" s="2">
        <v>245</v>
      </c>
      <c r="B241" s="258">
        <v>1199261</v>
      </c>
      <c r="C241" s="2" t="s">
        <v>4408</v>
      </c>
      <c r="D241" s="2" t="s">
        <v>139</v>
      </c>
      <c r="E241" s="2">
        <v>1010</v>
      </c>
      <c r="F241" s="2" t="s">
        <v>253</v>
      </c>
      <c r="G241" s="2" t="s">
        <v>4314</v>
      </c>
      <c r="H241" s="3" t="s">
        <v>26</v>
      </c>
      <c r="I241" s="460">
        <v>1010</v>
      </c>
      <c r="J241" s="2">
        <f t="shared" si="3"/>
        <v>0</v>
      </c>
      <c r="K241" s="292" t="s">
        <v>139</v>
      </c>
      <c r="L241" s="292" t="s">
        <v>253</v>
      </c>
    </row>
    <row r="242" spans="1:12" x14ac:dyDescent="0.25">
      <c r="A242" s="2">
        <v>246</v>
      </c>
      <c r="B242" s="258">
        <v>1230916</v>
      </c>
      <c r="C242" s="2" t="s">
        <v>4409</v>
      </c>
      <c r="D242" s="2" t="s">
        <v>139</v>
      </c>
      <c r="E242" s="2">
        <v>1005</v>
      </c>
      <c r="F242" s="2" t="s">
        <v>253</v>
      </c>
      <c r="G242" s="2" t="s">
        <v>4395</v>
      </c>
      <c r="H242" s="3" t="s">
        <v>26</v>
      </c>
      <c r="I242" s="460">
        <v>1005</v>
      </c>
      <c r="J242" s="2">
        <f t="shared" si="3"/>
        <v>0</v>
      </c>
      <c r="K242" s="292" t="s">
        <v>139</v>
      </c>
      <c r="L242" s="292" t="s">
        <v>253</v>
      </c>
    </row>
    <row r="243" spans="1:12" x14ac:dyDescent="0.25">
      <c r="A243" s="2">
        <v>247</v>
      </c>
      <c r="B243" s="258">
        <v>1288721</v>
      </c>
      <c r="C243" s="2" t="s">
        <v>4410</v>
      </c>
      <c r="D243" s="2" t="s">
        <v>211</v>
      </c>
      <c r="E243" s="2">
        <v>1613</v>
      </c>
      <c r="F243" s="2" t="s">
        <v>177</v>
      </c>
      <c r="G243" s="2" t="s">
        <v>4411</v>
      </c>
      <c r="H243" s="3" t="s">
        <v>26</v>
      </c>
      <c r="I243" s="460">
        <v>1613</v>
      </c>
      <c r="J243" s="2">
        <f t="shared" si="3"/>
        <v>0</v>
      </c>
      <c r="K243" s="292" t="s">
        <v>211</v>
      </c>
      <c r="L243" s="292" t="s">
        <v>177</v>
      </c>
    </row>
    <row r="244" spans="1:12" x14ac:dyDescent="0.25">
      <c r="A244" s="2">
        <v>248</v>
      </c>
      <c r="B244" s="258">
        <v>1282746</v>
      </c>
      <c r="C244" s="2" t="s">
        <v>4475</v>
      </c>
      <c r="D244" s="2" t="s">
        <v>202</v>
      </c>
      <c r="E244" s="2">
        <v>1913</v>
      </c>
      <c r="F244" s="2" t="s">
        <v>109</v>
      </c>
      <c r="G244" s="2" t="s">
        <v>4390</v>
      </c>
      <c r="H244" s="3" t="s">
        <v>172</v>
      </c>
      <c r="I244" s="460">
        <v>1913</v>
      </c>
      <c r="J244" s="2">
        <f t="shared" si="3"/>
        <v>0</v>
      </c>
      <c r="K244" s="292" t="s">
        <v>202</v>
      </c>
      <c r="L244" s="292" t="s">
        <v>109</v>
      </c>
    </row>
    <row r="245" spans="1:12" x14ac:dyDescent="0.25">
      <c r="A245" s="2">
        <v>249</v>
      </c>
      <c r="B245" s="258">
        <v>1263929</v>
      </c>
      <c r="C245" s="2" t="s">
        <v>3619</v>
      </c>
      <c r="D245" s="2" t="s">
        <v>212</v>
      </c>
      <c r="E245" s="2">
        <v>1613</v>
      </c>
      <c r="F245" s="2" t="s">
        <v>177</v>
      </c>
      <c r="G245" s="2" t="s">
        <v>169</v>
      </c>
      <c r="H245" s="3" t="s">
        <v>26</v>
      </c>
      <c r="I245" s="460">
        <v>1613</v>
      </c>
      <c r="J245" s="2">
        <f t="shared" si="3"/>
        <v>0</v>
      </c>
      <c r="K245" s="292" t="s">
        <v>212</v>
      </c>
      <c r="L245" s="292" t="s">
        <v>177</v>
      </c>
    </row>
    <row r="246" spans="1:12" x14ac:dyDescent="0.25">
      <c r="A246" s="2">
        <v>250</v>
      </c>
      <c r="B246" s="258">
        <v>1186963</v>
      </c>
      <c r="C246" s="2" t="s">
        <v>963</v>
      </c>
      <c r="D246" s="2" t="s">
        <v>205</v>
      </c>
      <c r="E246" s="2">
        <v>1313</v>
      </c>
      <c r="F246" s="2" t="s">
        <v>248</v>
      </c>
      <c r="G246" s="2" t="s">
        <v>4412</v>
      </c>
      <c r="H246" s="3" t="s">
        <v>122</v>
      </c>
      <c r="I246" s="460">
        <v>1313</v>
      </c>
      <c r="J246" s="2">
        <f t="shared" si="3"/>
        <v>0</v>
      </c>
      <c r="K246" s="292" t="s">
        <v>205</v>
      </c>
      <c r="L246" s="292" t="s">
        <v>248</v>
      </c>
    </row>
    <row r="247" spans="1:12" x14ac:dyDescent="0.25">
      <c r="A247" s="2">
        <v>251</v>
      </c>
      <c r="B247" s="258">
        <v>1288783</v>
      </c>
      <c r="C247" s="2" t="s">
        <v>3621</v>
      </c>
      <c r="D247" s="2" t="s">
        <v>214</v>
      </c>
      <c r="E247" s="2">
        <v>1613</v>
      </c>
      <c r="F247" s="2" t="s">
        <v>177</v>
      </c>
      <c r="G247" s="2" t="s">
        <v>4399</v>
      </c>
      <c r="H247" s="3" t="s">
        <v>26</v>
      </c>
      <c r="I247" s="460">
        <v>1613</v>
      </c>
      <c r="J247" s="2">
        <f t="shared" si="3"/>
        <v>0</v>
      </c>
      <c r="K247" s="292" t="s">
        <v>214</v>
      </c>
      <c r="L247" s="292" t="s">
        <v>177</v>
      </c>
    </row>
    <row r="248" spans="1:12" x14ac:dyDescent="0.25">
      <c r="A248" s="2">
        <v>252</v>
      </c>
      <c r="B248" s="258">
        <v>2002243</v>
      </c>
      <c r="C248" s="2" t="s">
        <v>3622</v>
      </c>
      <c r="D248" s="2" t="s">
        <v>215</v>
      </c>
      <c r="E248" s="2">
        <v>1308</v>
      </c>
      <c r="F248" s="2" t="s">
        <v>170</v>
      </c>
      <c r="G248" s="2" t="s">
        <v>4336</v>
      </c>
      <c r="H248" s="3" t="s">
        <v>26</v>
      </c>
      <c r="I248" s="460">
        <v>1308</v>
      </c>
      <c r="J248" s="2">
        <f t="shared" si="3"/>
        <v>0</v>
      </c>
      <c r="K248" s="292" t="s">
        <v>215</v>
      </c>
      <c r="L248" s="292" t="s">
        <v>170</v>
      </c>
    </row>
    <row r="249" spans="1:12" x14ac:dyDescent="0.25">
      <c r="A249" s="2">
        <v>253</v>
      </c>
      <c r="B249" s="258">
        <v>1266417</v>
      </c>
      <c r="C249" s="2" t="s">
        <v>3623</v>
      </c>
      <c r="D249" s="2" t="s">
        <v>217</v>
      </c>
      <c r="E249" s="2">
        <v>1313</v>
      </c>
      <c r="F249" s="2" t="s">
        <v>109</v>
      </c>
      <c r="G249" s="2" t="s">
        <v>4401</v>
      </c>
      <c r="H249" s="3" t="s">
        <v>216</v>
      </c>
      <c r="I249" s="460">
        <v>1313</v>
      </c>
      <c r="J249" s="2">
        <f t="shared" si="3"/>
        <v>0</v>
      </c>
      <c r="K249" s="292" t="s">
        <v>217</v>
      </c>
      <c r="L249" s="292" t="s">
        <v>109</v>
      </c>
    </row>
    <row r="250" spans="1:12" x14ac:dyDescent="0.25">
      <c r="A250" s="2">
        <v>254</v>
      </c>
      <c r="B250" s="258">
        <v>1296685</v>
      </c>
      <c r="C250" s="2" t="s">
        <v>3624</v>
      </c>
      <c r="D250" s="2" t="s">
        <v>218</v>
      </c>
      <c r="E250" s="2">
        <v>1613</v>
      </c>
      <c r="F250" s="2" t="s">
        <v>109</v>
      </c>
      <c r="G250" s="2" t="s">
        <v>4401</v>
      </c>
      <c r="H250" s="3" t="s">
        <v>172</v>
      </c>
      <c r="I250" s="460">
        <v>1613</v>
      </c>
      <c r="J250" s="2">
        <f t="shared" si="3"/>
        <v>0</v>
      </c>
      <c r="K250" s="292" t="s">
        <v>218</v>
      </c>
      <c r="L250" s="292" t="s">
        <v>109</v>
      </c>
    </row>
    <row r="251" spans="1:12" x14ac:dyDescent="0.25">
      <c r="A251" s="2">
        <v>255</v>
      </c>
      <c r="B251" s="258">
        <v>1290837</v>
      </c>
      <c r="C251" s="2" t="s">
        <v>3625</v>
      </c>
      <c r="D251" s="2" t="s">
        <v>219</v>
      </c>
      <c r="E251" s="2">
        <v>1613</v>
      </c>
      <c r="F251" s="2" t="s">
        <v>109</v>
      </c>
      <c r="G251" s="2" t="s">
        <v>4390</v>
      </c>
      <c r="H251" s="3" t="s">
        <v>172</v>
      </c>
      <c r="I251" s="460">
        <v>1613</v>
      </c>
      <c r="J251" s="2">
        <f t="shared" si="3"/>
        <v>0</v>
      </c>
      <c r="K251" s="292" t="s">
        <v>219</v>
      </c>
      <c r="L251" s="292" t="s">
        <v>109</v>
      </c>
    </row>
    <row r="252" spans="1:12" x14ac:dyDescent="0.25">
      <c r="A252" s="2">
        <v>256</v>
      </c>
      <c r="B252" s="258">
        <v>2002235</v>
      </c>
      <c r="C252" s="2" t="s">
        <v>3626</v>
      </c>
      <c r="D252" s="2" t="s">
        <v>221</v>
      </c>
      <c r="E252" s="2">
        <v>1613</v>
      </c>
      <c r="F252" s="2" t="s">
        <v>177</v>
      </c>
      <c r="G252" s="806" t="e">
        <v>#N/A</v>
      </c>
      <c r="H252" s="3" t="s">
        <v>26</v>
      </c>
      <c r="I252" s="460">
        <v>1613</v>
      </c>
      <c r="J252" s="2">
        <f t="shared" si="3"/>
        <v>0</v>
      </c>
      <c r="K252" s="292" t="s">
        <v>221</v>
      </c>
      <c r="L252" s="292" t="s">
        <v>177</v>
      </c>
    </row>
    <row r="253" spans="1:12" x14ac:dyDescent="0.25">
      <c r="A253" s="2">
        <v>257</v>
      </c>
      <c r="B253" s="258">
        <v>1272937</v>
      </c>
      <c r="C253" s="2" t="s">
        <v>3628</v>
      </c>
      <c r="D253" s="2" t="s">
        <v>222</v>
      </c>
      <c r="E253" s="2">
        <v>1313</v>
      </c>
      <c r="F253" s="2" t="s">
        <v>177</v>
      </c>
      <c r="G253" s="2" t="s">
        <v>4399</v>
      </c>
      <c r="H253" s="3" t="s">
        <v>26</v>
      </c>
      <c r="I253" s="460">
        <v>1313</v>
      </c>
      <c r="J253" s="2">
        <f t="shared" si="3"/>
        <v>0</v>
      </c>
      <c r="K253" s="292" t="s">
        <v>222</v>
      </c>
      <c r="L253" s="292" t="s">
        <v>177</v>
      </c>
    </row>
    <row r="254" spans="1:12" x14ac:dyDescent="0.25">
      <c r="A254" s="2">
        <v>258</v>
      </c>
      <c r="B254" s="258">
        <v>1282369</v>
      </c>
      <c r="C254" s="2" t="s">
        <v>3629</v>
      </c>
      <c r="D254" s="2" t="s">
        <v>1016</v>
      </c>
      <c r="E254" s="2">
        <v>1313</v>
      </c>
      <c r="F254" s="2" t="s">
        <v>170</v>
      </c>
      <c r="G254" s="2" t="s">
        <v>4406</v>
      </c>
      <c r="H254" s="3" t="s">
        <v>94</v>
      </c>
      <c r="I254" s="460">
        <v>1313</v>
      </c>
      <c r="J254" s="2">
        <f t="shared" si="3"/>
        <v>0</v>
      </c>
      <c r="K254" s="292" t="s">
        <v>207</v>
      </c>
      <c r="L254" s="292" t="s">
        <v>170</v>
      </c>
    </row>
    <row r="255" spans="1:12" x14ac:dyDescent="0.25">
      <c r="A255" s="2">
        <v>259</v>
      </c>
      <c r="B255" s="250">
        <v>1162285</v>
      </c>
      <c r="C255" s="2" t="s">
        <v>3630</v>
      </c>
      <c r="D255" s="2" t="s">
        <v>153</v>
      </c>
      <c r="E255" s="2">
        <v>1313</v>
      </c>
      <c r="F255" s="2" t="s">
        <v>109</v>
      </c>
      <c r="G255" s="2" t="s">
        <v>4336</v>
      </c>
      <c r="H255" s="3" t="s">
        <v>26</v>
      </c>
      <c r="I255" s="605">
        <v>1313</v>
      </c>
      <c r="J255" s="2">
        <f t="shared" si="3"/>
        <v>0</v>
      </c>
      <c r="K255" s="606" t="s">
        <v>153</v>
      </c>
      <c r="L255" s="606" t="s">
        <v>109</v>
      </c>
    </row>
    <row r="256" spans="1:12" x14ac:dyDescent="0.25">
      <c r="A256" s="2">
        <v>260</v>
      </c>
      <c r="B256" s="250">
        <v>1255772</v>
      </c>
      <c r="C256" s="2" t="s">
        <v>3631</v>
      </c>
      <c r="D256" s="2" t="s">
        <v>153</v>
      </c>
      <c r="E256" s="2">
        <v>1313</v>
      </c>
      <c r="F256" s="2" t="s">
        <v>170</v>
      </c>
      <c r="G256" s="2" t="s">
        <v>4336</v>
      </c>
      <c r="H256" s="3" t="s">
        <v>26</v>
      </c>
      <c r="I256" s="605">
        <v>1313</v>
      </c>
      <c r="J256" s="2">
        <f t="shared" si="3"/>
        <v>0</v>
      </c>
      <c r="K256" s="606" t="s">
        <v>153</v>
      </c>
      <c r="L256" s="606" t="s">
        <v>170</v>
      </c>
    </row>
    <row r="257" spans="1:12" x14ac:dyDescent="0.25">
      <c r="A257" s="2">
        <v>261</v>
      </c>
      <c r="B257" s="250">
        <v>1136983</v>
      </c>
      <c r="C257" s="2" t="s">
        <v>3632</v>
      </c>
      <c r="D257" s="2" t="s">
        <v>125</v>
      </c>
      <c r="E257" s="2">
        <v>1308</v>
      </c>
      <c r="F257" s="2" t="s">
        <v>248</v>
      </c>
      <c r="G257" s="2" t="s">
        <v>4318</v>
      </c>
      <c r="H257" s="3" t="s">
        <v>124</v>
      </c>
      <c r="I257" s="605">
        <v>1308</v>
      </c>
      <c r="J257" s="2">
        <f t="shared" si="3"/>
        <v>0</v>
      </c>
      <c r="K257" s="606" t="s">
        <v>125</v>
      </c>
      <c r="L257" s="292" t="s">
        <v>248</v>
      </c>
    </row>
    <row r="258" spans="1:12" x14ac:dyDescent="0.25">
      <c r="A258" s="2">
        <v>262</v>
      </c>
      <c r="B258" s="250">
        <v>2004484</v>
      </c>
      <c r="C258" s="2" t="s">
        <v>3633</v>
      </c>
      <c r="D258" s="2" t="s">
        <v>225</v>
      </c>
      <c r="E258" s="2">
        <v>1308</v>
      </c>
      <c r="F258" s="2" t="s">
        <v>170</v>
      </c>
      <c r="G258" s="2" t="s">
        <v>4336</v>
      </c>
      <c r="H258" s="3" t="s">
        <v>26</v>
      </c>
      <c r="I258" s="605">
        <v>1308</v>
      </c>
      <c r="J258" s="2">
        <f t="shared" si="3"/>
        <v>0</v>
      </c>
      <c r="K258" s="606" t="s">
        <v>225</v>
      </c>
      <c r="L258" s="606" t="s">
        <v>170</v>
      </c>
    </row>
    <row r="259" spans="1:12" x14ac:dyDescent="0.25">
      <c r="A259" s="2">
        <v>263</v>
      </c>
      <c r="B259" s="250">
        <v>2000450</v>
      </c>
      <c r="C259" s="2" t="s">
        <v>4413</v>
      </c>
      <c r="D259" s="2" t="s">
        <v>226</v>
      </c>
      <c r="E259" s="2">
        <v>1313</v>
      </c>
      <c r="F259" s="2" t="s">
        <v>170</v>
      </c>
      <c r="G259" s="2" t="s">
        <v>4414</v>
      </c>
      <c r="H259" s="3" t="s">
        <v>94</v>
      </c>
      <c r="I259" s="605">
        <v>1313</v>
      </c>
      <c r="J259" s="2">
        <f t="shared" ref="J259:J303" si="4">E259-I259</f>
        <v>0</v>
      </c>
      <c r="K259" s="606" t="s">
        <v>226</v>
      </c>
      <c r="L259" s="606" t="s">
        <v>170</v>
      </c>
    </row>
    <row r="260" spans="1:12" x14ac:dyDescent="0.25">
      <c r="A260" s="2">
        <v>264</v>
      </c>
      <c r="B260" s="250">
        <v>2007571</v>
      </c>
      <c r="C260" s="2" t="s">
        <v>3635</v>
      </c>
      <c r="D260" s="2" t="s">
        <v>221</v>
      </c>
      <c r="E260" s="2">
        <v>1913</v>
      </c>
      <c r="F260" s="2" t="s">
        <v>177</v>
      </c>
      <c r="G260" s="806" t="e">
        <v>#N/A</v>
      </c>
      <c r="H260" s="3" t="s">
        <v>26</v>
      </c>
      <c r="I260" s="605">
        <v>1913</v>
      </c>
      <c r="J260" s="2">
        <f t="shared" si="4"/>
        <v>0</v>
      </c>
      <c r="K260" s="606" t="s">
        <v>221</v>
      </c>
      <c r="L260" s="606" t="s">
        <v>177</v>
      </c>
    </row>
    <row r="261" spans="1:12" x14ac:dyDescent="0.25">
      <c r="A261" s="2">
        <v>265</v>
      </c>
      <c r="B261" s="250">
        <v>2002299</v>
      </c>
      <c r="C261" s="2" t="s">
        <v>3637</v>
      </c>
      <c r="D261" s="2" t="s">
        <v>225</v>
      </c>
      <c r="E261" s="2">
        <v>1613</v>
      </c>
      <c r="F261" s="2" t="s">
        <v>170</v>
      </c>
      <c r="G261" s="2" t="s">
        <v>4336</v>
      </c>
      <c r="H261" s="3" t="s">
        <v>26</v>
      </c>
      <c r="I261" s="460">
        <v>1613</v>
      </c>
      <c r="J261" s="2">
        <f t="shared" si="4"/>
        <v>0</v>
      </c>
      <c r="K261" s="292" t="s">
        <v>225</v>
      </c>
      <c r="L261" s="292" t="s">
        <v>170</v>
      </c>
    </row>
    <row r="262" spans="1:12" x14ac:dyDescent="0.25">
      <c r="A262" s="2">
        <v>267</v>
      </c>
      <c r="B262" s="250">
        <v>2001155</v>
      </c>
      <c r="C262" s="2" t="s">
        <v>3639</v>
      </c>
      <c r="D262" s="2" t="s">
        <v>227</v>
      </c>
      <c r="E262" s="2">
        <v>1313</v>
      </c>
      <c r="F262" s="2" t="s">
        <v>170</v>
      </c>
      <c r="G262" s="2" t="s">
        <v>4407</v>
      </c>
      <c r="H262" s="3" t="s">
        <v>179</v>
      </c>
      <c r="I262" s="460">
        <v>1313</v>
      </c>
      <c r="J262" s="2">
        <f t="shared" si="4"/>
        <v>0</v>
      </c>
      <c r="K262" s="292" t="s">
        <v>227</v>
      </c>
      <c r="L262" s="292" t="s">
        <v>170</v>
      </c>
    </row>
    <row r="263" spans="1:12" x14ac:dyDescent="0.25">
      <c r="A263" s="2">
        <v>268</v>
      </c>
      <c r="B263" s="250">
        <v>2001060</v>
      </c>
      <c r="C263" s="2" t="s">
        <v>3638</v>
      </c>
      <c r="D263" s="2" t="s">
        <v>227</v>
      </c>
      <c r="E263" s="2">
        <v>1613</v>
      </c>
      <c r="F263" s="2" t="s">
        <v>170</v>
      </c>
      <c r="G263" s="2" t="s">
        <v>4407</v>
      </c>
      <c r="H263" s="3" t="s">
        <v>179</v>
      </c>
      <c r="I263" s="460">
        <v>1613</v>
      </c>
      <c r="J263" s="2">
        <f t="shared" si="4"/>
        <v>0</v>
      </c>
      <c r="K263" s="292" t="s">
        <v>227</v>
      </c>
      <c r="L263" s="292" t="s">
        <v>170</v>
      </c>
    </row>
    <row r="264" spans="1:12" x14ac:dyDescent="0.25">
      <c r="A264" s="2">
        <v>269</v>
      </c>
      <c r="B264" s="250">
        <v>2013726</v>
      </c>
      <c r="C264" s="2" t="s">
        <v>2977</v>
      </c>
      <c r="D264" s="2" t="s">
        <v>228</v>
      </c>
      <c r="E264" s="2">
        <v>1913</v>
      </c>
      <c r="F264" s="2" t="s">
        <v>177</v>
      </c>
      <c r="G264" s="2" t="s">
        <v>4395</v>
      </c>
      <c r="H264" s="3" t="s">
        <v>26</v>
      </c>
      <c r="I264" s="460">
        <v>1913</v>
      </c>
      <c r="J264" s="2">
        <f t="shared" si="4"/>
        <v>0</v>
      </c>
      <c r="K264" s="292" t="s">
        <v>228</v>
      </c>
      <c r="L264" s="292" t="s">
        <v>177</v>
      </c>
    </row>
    <row r="265" spans="1:12" x14ac:dyDescent="0.25">
      <c r="A265" s="2">
        <v>270</v>
      </c>
      <c r="B265" s="250">
        <v>1274176</v>
      </c>
      <c r="C265" s="2" t="s">
        <v>3641</v>
      </c>
      <c r="D265" s="2" t="s">
        <v>228</v>
      </c>
      <c r="E265" s="2">
        <v>1613</v>
      </c>
      <c r="F265" s="2" t="s">
        <v>177</v>
      </c>
      <c r="G265" s="2" t="s">
        <v>4395</v>
      </c>
      <c r="H265" s="3" t="s">
        <v>26</v>
      </c>
      <c r="I265" s="460">
        <v>1613</v>
      </c>
      <c r="J265" s="2">
        <f t="shared" si="4"/>
        <v>0</v>
      </c>
      <c r="K265" s="292" t="s">
        <v>228</v>
      </c>
      <c r="L265" s="292" t="s">
        <v>177</v>
      </c>
    </row>
    <row r="266" spans="1:12" x14ac:dyDescent="0.25">
      <c r="A266" s="2">
        <v>271</v>
      </c>
      <c r="B266" s="250">
        <v>1293118</v>
      </c>
      <c r="C266" s="2" t="s">
        <v>4133</v>
      </c>
      <c r="D266" s="2" t="s">
        <v>230</v>
      </c>
      <c r="E266" s="2" t="s">
        <v>73</v>
      </c>
      <c r="F266" s="2" t="s">
        <v>253</v>
      </c>
      <c r="G266" s="2" t="s">
        <v>28</v>
      </c>
      <c r="H266" s="3" t="s">
        <v>26</v>
      </c>
      <c r="I266" s="3" t="s">
        <v>73</v>
      </c>
      <c r="J266" s="2">
        <f t="shared" si="4"/>
        <v>0</v>
      </c>
      <c r="K266" s="292" t="s">
        <v>230</v>
      </c>
      <c r="L266" s="292" t="s">
        <v>253</v>
      </c>
    </row>
    <row r="267" spans="1:12" x14ac:dyDescent="0.25">
      <c r="A267" s="2">
        <v>272</v>
      </c>
      <c r="B267" s="250">
        <v>1192901</v>
      </c>
      <c r="C267" s="2" t="s">
        <v>4415</v>
      </c>
      <c r="D267" s="2" t="s">
        <v>192</v>
      </c>
      <c r="E267" s="2" t="s">
        <v>201</v>
      </c>
      <c r="F267" s="2" t="s">
        <v>103</v>
      </c>
      <c r="G267" s="2" t="s">
        <v>36</v>
      </c>
      <c r="H267" s="3" t="s">
        <v>81</v>
      </c>
      <c r="I267" s="460" t="s">
        <v>201</v>
      </c>
      <c r="J267" s="2" t="e">
        <f t="shared" si="4"/>
        <v>#VALUE!</v>
      </c>
      <c r="K267" s="292" t="s">
        <v>192</v>
      </c>
      <c r="L267" s="292" t="s">
        <v>103</v>
      </c>
    </row>
    <row r="268" spans="1:12" x14ac:dyDescent="0.25">
      <c r="A268" s="2">
        <v>273</v>
      </c>
      <c r="B268" s="250">
        <v>2002244</v>
      </c>
      <c r="C268" s="2" t="s">
        <v>4474</v>
      </c>
      <c r="D268" s="2" t="s">
        <v>215</v>
      </c>
      <c r="E268" s="2">
        <v>1313</v>
      </c>
      <c r="F268" s="2" t="s">
        <v>170</v>
      </c>
      <c r="G268" s="2" t="s">
        <v>4336</v>
      </c>
      <c r="H268" s="3" t="s">
        <v>26</v>
      </c>
      <c r="I268" s="460">
        <v>1313</v>
      </c>
      <c r="J268" s="2">
        <f t="shared" si="4"/>
        <v>0</v>
      </c>
      <c r="K268" s="292" t="s">
        <v>215</v>
      </c>
      <c r="L268" s="292" t="s">
        <v>234</v>
      </c>
    </row>
    <row r="269" spans="1:12" x14ac:dyDescent="0.25">
      <c r="A269" s="2">
        <v>274</v>
      </c>
      <c r="B269" s="250">
        <v>1146345</v>
      </c>
      <c r="C269" s="2" t="s">
        <v>3645</v>
      </c>
      <c r="D269" s="2" t="s">
        <v>111</v>
      </c>
      <c r="E269" s="2">
        <v>1308</v>
      </c>
      <c r="F269" s="2" t="s">
        <v>177</v>
      </c>
      <c r="G269" s="2" t="s">
        <v>4314</v>
      </c>
      <c r="H269" s="3" t="s">
        <v>26</v>
      </c>
      <c r="I269" s="460">
        <v>1308</v>
      </c>
      <c r="J269" s="2">
        <f t="shared" si="4"/>
        <v>0</v>
      </c>
      <c r="K269" s="292" t="s">
        <v>111</v>
      </c>
      <c r="L269" s="292" t="s">
        <v>177</v>
      </c>
    </row>
    <row r="270" spans="1:12" x14ac:dyDescent="0.25">
      <c r="A270" s="250">
        <v>275</v>
      </c>
      <c r="B270" s="250">
        <v>2002245</v>
      </c>
      <c r="C270" s="2" t="s">
        <v>3646</v>
      </c>
      <c r="D270" s="2" t="s">
        <v>215</v>
      </c>
      <c r="E270" s="2">
        <v>1613</v>
      </c>
      <c r="F270" s="2" t="s">
        <v>170</v>
      </c>
      <c r="G270" s="2" t="s">
        <v>4336</v>
      </c>
      <c r="H270" s="3" t="s">
        <v>26</v>
      </c>
      <c r="I270" s="460">
        <v>1613</v>
      </c>
      <c r="J270" s="2">
        <f t="shared" si="4"/>
        <v>0</v>
      </c>
      <c r="K270" s="460" t="s">
        <v>215</v>
      </c>
      <c r="L270" s="460" t="s">
        <v>170</v>
      </c>
    </row>
    <row r="271" spans="1:12" x14ac:dyDescent="0.25">
      <c r="A271" s="250">
        <v>276</v>
      </c>
      <c r="B271" s="250">
        <v>2002126</v>
      </c>
      <c r="C271" s="2" t="s">
        <v>3647</v>
      </c>
      <c r="D271" s="2" t="s">
        <v>235</v>
      </c>
      <c r="E271" s="2">
        <v>1613</v>
      </c>
      <c r="F271" s="2" t="s">
        <v>170</v>
      </c>
      <c r="G271" s="2" t="s">
        <v>169</v>
      </c>
      <c r="H271" s="3" t="s">
        <v>26</v>
      </c>
      <c r="I271" s="460">
        <v>1613</v>
      </c>
      <c r="J271" s="2">
        <f t="shared" si="4"/>
        <v>0</v>
      </c>
      <c r="K271" s="460" t="s">
        <v>235</v>
      </c>
      <c r="L271" s="460" t="s">
        <v>170</v>
      </c>
    </row>
    <row r="272" spans="1:12" x14ac:dyDescent="0.25">
      <c r="A272" s="636">
        <v>277</v>
      </c>
      <c r="B272" s="250">
        <v>1291852</v>
      </c>
      <c r="C272" s="2" t="s">
        <v>4416</v>
      </c>
      <c r="D272" s="2" t="s">
        <v>237</v>
      </c>
      <c r="E272" s="2">
        <v>1613</v>
      </c>
      <c r="F272" s="2" t="s">
        <v>109</v>
      </c>
      <c r="G272" s="2" t="s">
        <v>4387</v>
      </c>
      <c r="H272" s="637" t="s">
        <v>172</v>
      </c>
      <c r="I272" s="460">
        <v>1613</v>
      </c>
      <c r="J272" s="2">
        <f t="shared" si="4"/>
        <v>0</v>
      </c>
      <c r="K272" s="460" t="s">
        <v>237</v>
      </c>
      <c r="L272" s="606" t="s">
        <v>109</v>
      </c>
    </row>
    <row r="273" spans="1:12" x14ac:dyDescent="0.25">
      <c r="A273" s="636">
        <v>278</v>
      </c>
      <c r="B273" s="250">
        <v>1291870</v>
      </c>
      <c r="C273" s="2" t="s">
        <v>3648</v>
      </c>
      <c r="D273" s="2" t="s">
        <v>235</v>
      </c>
      <c r="E273" s="2">
        <v>1613</v>
      </c>
      <c r="F273" s="2" t="s">
        <v>177</v>
      </c>
      <c r="G273" s="2" t="s">
        <v>169</v>
      </c>
      <c r="H273" s="637" t="s">
        <v>26</v>
      </c>
      <c r="I273" s="460">
        <v>1613</v>
      </c>
      <c r="J273" s="2">
        <f t="shared" si="4"/>
        <v>0</v>
      </c>
      <c r="K273" s="460" t="s">
        <v>235</v>
      </c>
      <c r="L273" s="460" t="s">
        <v>177</v>
      </c>
    </row>
    <row r="274" spans="1:12" x14ac:dyDescent="0.25">
      <c r="A274" s="636">
        <v>279</v>
      </c>
      <c r="B274" s="209">
        <v>2008253</v>
      </c>
      <c r="C274" s="2" t="s">
        <v>3649</v>
      </c>
      <c r="D274" s="2" t="s">
        <v>225</v>
      </c>
      <c r="E274" s="2">
        <v>1313</v>
      </c>
      <c r="F274" s="2" t="s">
        <v>109</v>
      </c>
      <c r="G274" s="2" t="s">
        <v>4336</v>
      </c>
      <c r="H274" s="637" t="s">
        <v>26</v>
      </c>
      <c r="I274" s="460">
        <v>1313</v>
      </c>
      <c r="J274" s="2">
        <f t="shared" si="4"/>
        <v>0</v>
      </c>
      <c r="K274" s="460" t="s">
        <v>225</v>
      </c>
      <c r="L274" s="460" t="s">
        <v>109</v>
      </c>
    </row>
    <row r="275" spans="1:12" x14ac:dyDescent="0.25">
      <c r="A275" s="636">
        <v>280</v>
      </c>
      <c r="B275" s="209">
        <v>1292498</v>
      </c>
      <c r="C275" s="2" t="s">
        <v>3650</v>
      </c>
      <c r="D275" s="2" t="s">
        <v>238</v>
      </c>
      <c r="E275" s="2">
        <v>1613</v>
      </c>
      <c r="F275" s="2" t="s">
        <v>170</v>
      </c>
      <c r="G275" s="2" t="s">
        <v>4417</v>
      </c>
      <c r="H275" s="637" t="s">
        <v>94</v>
      </c>
      <c r="I275" s="460">
        <v>1613</v>
      </c>
      <c r="J275" s="2">
        <f t="shared" si="4"/>
        <v>0</v>
      </c>
      <c r="K275" s="460" t="s">
        <v>238</v>
      </c>
      <c r="L275" s="460" t="s">
        <v>170</v>
      </c>
    </row>
    <row r="276" spans="1:12" x14ac:dyDescent="0.25">
      <c r="A276" s="636">
        <v>281</v>
      </c>
      <c r="B276" s="209">
        <v>1247589</v>
      </c>
      <c r="C276" s="2" t="s">
        <v>3652</v>
      </c>
      <c r="D276" s="2" t="s">
        <v>239</v>
      </c>
      <c r="E276" s="2">
        <v>1313</v>
      </c>
      <c r="F276" s="2" t="s">
        <v>109</v>
      </c>
      <c r="G276" s="2" t="s">
        <v>4383</v>
      </c>
      <c r="H276" s="637" t="s">
        <v>94</v>
      </c>
      <c r="I276" s="460">
        <v>1313</v>
      </c>
      <c r="J276" s="2">
        <f t="shared" si="4"/>
        <v>0</v>
      </c>
      <c r="K276" s="292" t="s">
        <v>239</v>
      </c>
      <c r="L276" s="292" t="s">
        <v>109</v>
      </c>
    </row>
    <row r="277" spans="1:12" x14ac:dyDescent="0.25">
      <c r="A277" s="636">
        <v>282</v>
      </c>
      <c r="B277" s="209">
        <v>2002186</v>
      </c>
      <c r="C277" s="2" t="s">
        <v>3653</v>
      </c>
      <c r="D277" s="2" t="s">
        <v>225</v>
      </c>
      <c r="E277" s="2">
        <v>1313</v>
      </c>
      <c r="F277" s="2" t="s">
        <v>170</v>
      </c>
      <c r="G277" s="2" t="s">
        <v>4336</v>
      </c>
      <c r="H277" s="3" t="s">
        <v>26</v>
      </c>
      <c r="I277" s="460">
        <v>1313</v>
      </c>
      <c r="J277" s="2">
        <f t="shared" si="4"/>
        <v>0</v>
      </c>
      <c r="K277" s="292" t="s">
        <v>225</v>
      </c>
      <c r="L277" s="292" t="s">
        <v>170</v>
      </c>
    </row>
    <row r="278" spans="1:12" x14ac:dyDescent="0.25">
      <c r="A278" s="636">
        <v>283</v>
      </c>
      <c r="B278" s="209">
        <v>2020817</v>
      </c>
      <c r="C278" s="2" t="s">
        <v>4418</v>
      </c>
      <c r="D278" s="2" t="s">
        <v>235</v>
      </c>
      <c r="E278" s="2">
        <v>1913</v>
      </c>
      <c r="F278" s="2" t="s">
        <v>177</v>
      </c>
      <c r="G278" s="2" t="s">
        <v>169</v>
      </c>
      <c r="H278" s="637" t="s">
        <v>26</v>
      </c>
      <c r="I278" s="460">
        <v>1913</v>
      </c>
      <c r="J278" s="2">
        <f t="shared" si="4"/>
        <v>0</v>
      </c>
      <c r="K278" s="292" t="s">
        <v>235</v>
      </c>
      <c r="L278" s="292" t="s">
        <v>177</v>
      </c>
    </row>
    <row r="279" spans="1:12" x14ac:dyDescent="0.25">
      <c r="A279" s="636">
        <v>284</v>
      </c>
      <c r="B279" s="209">
        <v>1146738</v>
      </c>
      <c r="C279" s="2" t="s">
        <v>3656</v>
      </c>
      <c r="D279" s="2" t="s">
        <v>111</v>
      </c>
      <c r="E279" s="2">
        <v>1913</v>
      </c>
      <c r="F279" s="2" t="s">
        <v>177</v>
      </c>
      <c r="G279" s="2" t="s">
        <v>4314</v>
      </c>
      <c r="H279" s="637" t="s">
        <v>26</v>
      </c>
      <c r="I279" s="605">
        <v>1913</v>
      </c>
      <c r="J279" s="2">
        <f t="shared" si="4"/>
        <v>0</v>
      </c>
      <c r="K279" s="606" t="s">
        <v>111</v>
      </c>
      <c r="L279" s="606" t="s">
        <v>177</v>
      </c>
    </row>
    <row r="280" spans="1:12" x14ac:dyDescent="0.25">
      <c r="A280" s="636">
        <v>285</v>
      </c>
      <c r="B280" s="209">
        <v>1192902</v>
      </c>
      <c r="C280" s="2" t="s">
        <v>4419</v>
      </c>
      <c r="D280" s="2" t="s">
        <v>4114</v>
      </c>
      <c r="E280" s="2">
        <v>1218</v>
      </c>
      <c r="F280" s="2" t="s">
        <v>103</v>
      </c>
      <c r="G280" s="2" t="s">
        <v>36</v>
      </c>
      <c r="H280" s="3" t="s">
        <v>241</v>
      </c>
      <c r="I280" s="605">
        <v>1218</v>
      </c>
      <c r="J280" s="2">
        <f t="shared" si="4"/>
        <v>0</v>
      </c>
      <c r="K280" s="606" t="s">
        <v>4114</v>
      </c>
      <c r="L280" s="606" t="s">
        <v>103</v>
      </c>
    </row>
    <row r="281" spans="1:12" x14ac:dyDescent="0.25">
      <c r="A281" s="636">
        <v>286</v>
      </c>
      <c r="B281" s="209">
        <v>1126400</v>
      </c>
      <c r="C281" s="2" t="s">
        <v>3658</v>
      </c>
      <c r="D281" s="2" t="s">
        <v>133</v>
      </c>
      <c r="E281" s="2">
        <v>1313</v>
      </c>
      <c r="F281" s="2" t="s">
        <v>177</v>
      </c>
      <c r="G281" s="2" t="s">
        <v>4275</v>
      </c>
      <c r="H281" s="3" t="s">
        <v>26</v>
      </c>
      <c r="I281" s="605">
        <v>1313</v>
      </c>
      <c r="J281" s="2">
        <f t="shared" si="4"/>
        <v>0</v>
      </c>
      <c r="K281" s="606" t="s">
        <v>133</v>
      </c>
      <c r="L281" s="606" t="s">
        <v>177</v>
      </c>
    </row>
    <row r="282" spans="1:12" x14ac:dyDescent="0.25">
      <c r="A282" s="250">
        <v>287</v>
      </c>
      <c r="B282" s="209">
        <v>2017131</v>
      </c>
      <c r="C282" s="2" t="s">
        <v>4420</v>
      </c>
      <c r="D282" s="2" t="s">
        <v>4246</v>
      </c>
      <c r="E282" s="2">
        <v>1313</v>
      </c>
      <c r="F282" s="2" t="s">
        <v>170</v>
      </c>
      <c r="G282" s="2" t="s">
        <v>4407</v>
      </c>
      <c r="H282" s="3" t="s">
        <v>26</v>
      </c>
      <c r="I282" s="606">
        <v>1313</v>
      </c>
      <c r="J282" s="2">
        <f t="shared" si="4"/>
        <v>0</v>
      </c>
      <c r="K282" s="606" t="s">
        <v>4246</v>
      </c>
      <c r="L282" s="606" t="s">
        <v>170</v>
      </c>
    </row>
    <row r="283" spans="1:12" x14ac:dyDescent="0.25">
      <c r="A283" s="250">
        <v>288</v>
      </c>
      <c r="B283" s="209">
        <v>1126398</v>
      </c>
      <c r="C283" s="2" t="s">
        <v>3662</v>
      </c>
      <c r="D283" s="2" t="s">
        <v>133</v>
      </c>
      <c r="E283" s="2">
        <v>1308</v>
      </c>
      <c r="F283" s="2" t="s">
        <v>177</v>
      </c>
      <c r="G283" s="2" t="s">
        <v>4275</v>
      </c>
      <c r="H283" s="3" t="s">
        <v>26</v>
      </c>
      <c r="I283" s="605">
        <v>1308</v>
      </c>
      <c r="J283" s="2">
        <f t="shared" si="4"/>
        <v>0</v>
      </c>
      <c r="K283" s="606" t="s">
        <v>133</v>
      </c>
      <c r="L283" s="606" t="s">
        <v>177</v>
      </c>
    </row>
    <row r="284" spans="1:12" x14ac:dyDescent="0.25">
      <c r="A284" s="250">
        <v>289</v>
      </c>
      <c r="B284" s="209">
        <v>1220479</v>
      </c>
      <c r="C284" s="2" t="s">
        <v>4421</v>
      </c>
      <c r="D284" s="2" t="s">
        <v>244</v>
      </c>
      <c r="E284" s="2">
        <v>1613</v>
      </c>
      <c r="F284" s="2" t="s">
        <v>253</v>
      </c>
      <c r="G284" s="2" t="s">
        <v>4412</v>
      </c>
      <c r="H284" s="3" t="s">
        <v>122</v>
      </c>
      <c r="I284" s="605">
        <v>1613</v>
      </c>
      <c r="J284" s="2">
        <f t="shared" si="4"/>
        <v>0</v>
      </c>
      <c r="K284" s="606" t="s">
        <v>244</v>
      </c>
      <c r="L284" s="292" t="s">
        <v>253</v>
      </c>
    </row>
    <row r="285" spans="1:12" x14ac:dyDescent="0.25">
      <c r="A285" s="250">
        <v>290</v>
      </c>
      <c r="B285" s="209">
        <v>1172481</v>
      </c>
      <c r="C285" s="2" t="s">
        <v>4422</v>
      </c>
      <c r="D285" s="2" t="s">
        <v>965</v>
      </c>
      <c r="E285" s="2" t="s">
        <v>38</v>
      </c>
      <c r="F285" s="2" t="s">
        <v>103</v>
      </c>
      <c r="G285" s="2" t="s">
        <v>36</v>
      </c>
      <c r="H285" s="3" t="s">
        <v>81</v>
      </c>
      <c r="I285" s="605" t="s">
        <v>245</v>
      </c>
      <c r="J285" s="2" t="e">
        <f t="shared" si="4"/>
        <v>#VALUE!</v>
      </c>
      <c r="K285" s="292" t="s">
        <v>965</v>
      </c>
      <c r="L285" s="292" t="s">
        <v>103</v>
      </c>
    </row>
    <row r="286" spans="1:12" x14ac:dyDescent="0.25">
      <c r="A286" s="250">
        <v>291</v>
      </c>
      <c r="B286" s="209">
        <v>2022731</v>
      </c>
      <c r="C286" s="2" t="s">
        <v>3665</v>
      </c>
      <c r="D286" s="2" t="s">
        <v>218</v>
      </c>
      <c r="E286" s="2">
        <v>1613</v>
      </c>
      <c r="F286" s="2" t="s">
        <v>170</v>
      </c>
      <c r="G286" s="2" t="s">
        <v>4401</v>
      </c>
      <c r="H286" s="3" t="s">
        <v>172</v>
      </c>
      <c r="I286" s="605">
        <v>1613</v>
      </c>
      <c r="J286" s="2">
        <f t="shared" si="4"/>
        <v>0</v>
      </c>
      <c r="K286" s="606" t="s">
        <v>218</v>
      </c>
      <c r="L286" s="292" t="s">
        <v>170</v>
      </c>
    </row>
    <row r="287" spans="1:12" x14ac:dyDescent="0.25">
      <c r="A287" s="250">
        <v>292</v>
      </c>
      <c r="B287" s="209">
        <v>1100749</v>
      </c>
      <c r="C287" s="2" t="s">
        <v>4423</v>
      </c>
      <c r="D287" s="2" t="s">
        <v>133</v>
      </c>
      <c r="E287" s="2">
        <v>1308</v>
      </c>
      <c r="F287" s="2" t="s">
        <v>253</v>
      </c>
      <c r="G287" s="2" t="s">
        <v>4275</v>
      </c>
      <c r="H287" s="3" t="s">
        <v>26</v>
      </c>
      <c r="I287" s="605">
        <v>1308</v>
      </c>
      <c r="J287" s="2">
        <f t="shared" si="4"/>
        <v>0</v>
      </c>
      <c r="K287" s="606" t="s">
        <v>133</v>
      </c>
      <c r="L287" s="292" t="s">
        <v>253</v>
      </c>
    </row>
    <row r="288" spans="1:12" x14ac:dyDescent="0.25">
      <c r="A288" s="250">
        <v>293</v>
      </c>
      <c r="B288" s="209">
        <v>2024742</v>
      </c>
      <c r="C288" s="2" t="s">
        <v>3668</v>
      </c>
      <c r="D288" s="2" t="s">
        <v>133</v>
      </c>
      <c r="E288" s="2">
        <v>1608</v>
      </c>
      <c r="F288" s="2" t="s">
        <v>170</v>
      </c>
      <c r="G288" s="2" t="s">
        <v>4275</v>
      </c>
      <c r="H288" s="3" t="s">
        <v>26</v>
      </c>
      <c r="I288" s="605">
        <v>1608</v>
      </c>
      <c r="J288" s="2">
        <f t="shared" si="4"/>
        <v>0</v>
      </c>
      <c r="K288" s="606" t="s">
        <v>133</v>
      </c>
      <c r="L288" s="292" t="s">
        <v>170</v>
      </c>
    </row>
    <row r="289" spans="1:12" x14ac:dyDescent="0.25">
      <c r="A289" s="250">
        <v>294</v>
      </c>
      <c r="B289" s="209">
        <v>2013427</v>
      </c>
      <c r="C289" s="2" t="s">
        <v>4424</v>
      </c>
      <c r="D289" s="2" t="s">
        <v>192</v>
      </c>
      <c r="E289" s="2">
        <v>1218</v>
      </c>
      <c r="F289" s="2" t="s">
        <v>103</v>
      </c>
      <c r="G289" s="2" t="s">
        <v>36</v>
      </c>
      <c r="H289" s="3" t="s">
        <v>81</v>
      </c>
      <c r="I289" s="605">
        <v>1218</v>
      </c>
      <c r="J289" s="2">
        <f t="shared" si="4"/>
        <v>0</v>
      </c>
      <c r="K289" s="606" t="s">
        <v>192</v>
      </c>
      <c r="L289" s="292" t="s">
        <v>103</v>
      </c>
    </row>
    <row r="290" spans="1:12" x14ac:dyDescent="0.25">
      <c r="A290" s="250">
        <v>295</v>
      </c>
      <c r="B290" s="209">
        <v>2023242</v>
      </c>
      <c r="C290" s="2" t="s">
        <v>3670</v>
      </c>
      <c r="D290" s="2" t="s">
        <v>133</v>
      </c>
      <c r="E290" s="2">
        <v>1613</v>
      </c>
      <c r="F290" s="2" t="s">
        <v>170</v>
      </c>
      <c r="G290" s="2" t="s">
        <v>4275</v>
      </c>
      <c r="H290" s="3" t="s">
        <v>26</v>
      </c>
      <c r="I290" s="605">
        <v>1613</v>
      </c>
      <c r="J290" s="2">
        <f t="shared" si="4"/>
        <v>0</v>
      </c>
      <c r="K290" s="606" t="s">
        <v>133</v>
      </c>
      <c r="L290" s="292" t="s">
        <v>170</v>
      </c>
    </row>
    <row r="291" spans="1:12" x14ac:dyDescent="0.25">
      <c r="A291" s="250">
        <v>296</v>
      </c>
      <c r="B291" s="209">
        <v>1126404</v>
      </c>
      <c r="C291" s="2" t="s">
        <v>3671</v>
      </c>
      <c r="D291" s="2" t="s">
        <v>133</v>
      </c>
      <c r="E291" s="2">
        <v>1913</v>
      </c>
      <c r="F291" s="2" t="s">
        <v>177</v>
      </c>
      <c r="G291" s="2" t="s">
        <v>4275</v>
      </c>
      <c r="H291" s="3" t="s">
        <v>26</v>
      </c>
      <c r="I291" s="605">
        <v>1913</v>
      </c>
      <c r="J291" s="2">
        <f t="shared" si="4"/>
        <v>0</v>
      </c>
      <c r="K291" s="606" t="s">
        <v>133</v>
      </c>
      <c r="L291" s="292" t="s">
        <v>177</v>
      </c>
    </row>
    <row r="292" spans="1:12" x14ac:dyDescent="0.25">
      <c r="A292" s="250">
        <v>297</v>
      </c>
      <c r="B292" s="209">
        <v>1220334</v>
      </c>
      <c r="C292" s="2" t="s">
        <v>4086</v>
      </c>
      <c r="D292" s="2" t="s">
        <v>244</v>
      </c>
      <c r="E292" s="2">
        <v>1313</v>
      </c>
      <c r="F292" s="2" t="s">
        <v>248</v>
      </c>
      <c r="G292" s="2" t="s">
        <v>4412</v>
      </c>
      <c r="H292" s="3" t="s">
        <v>122</v>
      </c>
      <c r="I292" s="605">
        <v>1313</v>
      </c>
      <c r="J292" s="2">
        <f t="shared" si="4"/>
        <v>0</v>
      </c>
      <c r="K292" s="606" t="s">
        <v>244</v>
      </c>
      <c r="L292" s="292" t="s">
        <v>248</v>
      </c>
    </row>
    <row r="293" spans="1:12" x14ac:dyDescent="0.25">
      <c r="A293" s="250">
        <v>298</v>
      </c>
      <c r="B293" s="209">
        <v>2024642</v>
      </c>
      <c r="C293" s="2" t="s">
        <v>4087</v>
      </c>
      <c r="D293" s="2" t="s">
        <v>249</v>
      </c>
      <c r="E293" s="2">
        <v>1613</v>
      </c>
      <c r="F293" s="2" t="s">
        <v>177</v>
      </c>
      <c r="G293" s="2" t="s">
        <v>4399</v>
      </c>
      <c r="H293" s="3" t="s">
        <v>26</v>
      </c>
      <c r="I293" s="605">
        <v>1613</v>
      </c>
      <c r="J293" s="2">
        <f t="shared" si="4"/>
        <v>0</v>
      </c>
      <c r="K293" s="606" t="s">
        <v>249</v>
      </c>
      <c r="L293" s="292" t="s">
        <v>177</v>
      </c>
    </row>
    <row r="294" spans="1:12" x14ac:dyDescent="0.25">
      <c r="A294" s="250">
        <v>299</v>
      </c>
      <c r="B294" s="209">
        <v>1244960</v>
      </c>
      <c r="C294" s="2" t="s">
        <v>4088</v>
      </c>
      <c r="D294" s="2" t="s">
        <v>250</v>
      </c>
      <c r="E294" s="2">
        <v>1613</v>
      </c>
      <c r="F294" s="2" t="s">
        <v>170</v>
      </c>
      <c r="G294" s="2" t="s">
        <v>4314</v>
      </c>
      <c r="H294" s="3" t="s">
        <v>26</v>
      </c>
      <c r="I294" s="605">
        <v>1613</v>
      </c>
      <c r="J294" s="2">
        <f t="shared" si="4"/>
        <v>0</v>
      </c>
      <c r="K294" s="606" t="s">
        <v>250</v>
      </c>
      <c r="L294" s="292" t="s">
        <v>170</v>
      </c>
    </row>
    <row r="295" spans="1:12" x14ac:dyDescent="0.25">
      <c r="A295" s="250">
        <v>300</v>
      </c>
      <c r="B295" s="209">
        <v>2028302</v>
      </c>
      <c r="C295" s="2" t="s">
        <v>4089</v>
      </c>
      <c r="D295" s="2" t="s">
        <v>251</v>
      </c>
      <c r="E295" s="2">
        <v>1313</v>
      </c>
      <c r="F295" s="2" t="s">
        <v>170</v>
      </c>
      <c r="G295" s="2" t="s">
        <v>4336</v>
      </c>
      <c r="H295" s="3" t="s">
        <v>26</v>
      </c>
      <c r="I295" s="605">
        <v>1313</v>
      </c>
      <c r="J295" s="2">
        <f t="shared" si="4"/>
        <v>0</v>
      </c>
      <c r="K295" s="606" t="s">
        <v>251</v>
      </c>
      <c r="L295" s="292" t="s">
        <v>170</v>
      </c>
    </row>
    <row r="296" spans="1:12" x14ac:dyDescent="0.25">
      <c r="A296" s="250">
        <v>301</v>
      </c>
      <c r="B296" s="209">
        <v>2028303</v>
      </c>
      <c r="C296" s="2" t="s">
        <v>4090</v>
      </c>
      <c r="D296" s="2" t="s">
        <v>251</v>
      </c>
      <c r="E296" s="2">
        <v>1613</v>
      </c>
      <c r="F296" s="2" t="s">
        <v>170</v>
      </c>
      <c r="G296" s="2" t="s">
        <v>4336</v>
      </c>
      <c r="H296" s="3" t="s">
        <v>26</v>
      </c>
      <c r="I296" s="605">
        <v>1613</v>
      </c>
      <c r="J296" s="2">
        <f t="shared" si="4"/>
        <v>0</v>
      </c>
      <c r="K296" s="606" t="s">
        <v>251</v>
      </c>
      <c r="L296" s="292" t="s">
        <v>170</v>
      </c>
    </row>
    <row r="297" spans="1:12" x14ac:dyDescent="0.25">
      <c r="A297" s="250">
        <v>302</v>
      </c>
      <c r="B297" s="209">
        <v>2023674</v>
      </c>
      <c r="C297" s="2" t="s">
        <v>4091</v>
      </c>
      <c r="D297" s="2" t="s">
        <v>250</v>
      </c>
      <c r="E297" s="2">
        <v>1313</v>
      </c>
      <c r="F297" s="2" t="s">
        <v>177</v>
      </c>
      <c r="G297" s="2" t="s">
        <v>4314</v>
      </c>
      <c r="H297" s="3" t="s">
        <v>26</v>
      </c>
      <c r="I297" s="605">
        <v>1313</v>
      </c>
      <c r="J297" s="2">
        <f t="shared" si="4"/>
        <v>0</v>
      </c>
      <c r="K297" s="606" t="s">
        <v>250</v>
      </c>
      <c r="L297" s="292" t="s">
        <v>177</v>
      </c>
    </row>
    <row r="298" spans="1:12" x14ac:dyDescent="0.25">
      <c r="A298" s="250">
        <v>303</v>
      </c>
      <c r="B298" s="209">
        <v>2029244</v>
      </c>
      <c r="C298" s="2" t="s">
        <v>4092</v>
      </c>
      <c r="D298" s="2" t="s">
        <v>252</v>
      </c>
      <c r="E298" s="2">
        <v>1313</v>
      </c>
      <c r="F298" s="2" t="s">
        <v>177</v>
      </c>
      <c r="G298" s="2" t="s">
        <v>4411</v>
      </c>
      <c r="H298" s="3" t="s">
        <v>26</v>
      </c>
      <c r="I298" s="605">
        <v>1313</v>
      </c>
      <c r="J298" s="2">
        <f t="shared" si="4"/>
        <v>0</v>
      </c>
      <c r="K298" s="606" t="s">
        <v>252</v>
      </c>
      <c r="L298" s="292" t="s">
        <v>177</v>
      </c>
    </row>
    <row r="299" spans="1:12" x14ac:dyDescent="0.25">
      <c r="A299" s="250">
        <v>304</v>
      </c>
      <c r="B299" s="209">
        <v>1187117</v>
      </c>
      <c r="C299" s="2" t="s">
        <v>4093</v>
      </c>
      <c r="D299" s="2" t="s">
        <v>205</v>
      </c>
      <c r="E299" s="2">
        <v>1313</v>
      </c>
      <c r="F299" s="2" t="s">
        <v>253</v>
      </c>
      <c r="G299" s="2" t="s">
        <v>4412</v>
      </c>
      <c r="H299" s="3" t="s">
        <v>122</v>
      </c>
      <c r="I299" s="605">
        <v>1313</v>
      </c>
      <c r="J299" s="2">
        <f t="shared" si="4"/>
        <v>0</v>
      </c>
      <c r="K299" s="606" t="s">
        <v>205</v>
      </c>
      <c r="L299" s="292" t="s">
        <v>253</v>
      </c>
    </row>
    <row r="300" spans="1:12" x14ac:dyDescent="0.25">
      <c r="A300" s="250">
        <v>305</v>
      </c>
      <c r="B300" s="209">
        <v>2024640</v>
      </c>
      <c r="C300" s="2" t="s">
        <v>4116</v>
      </c>
      <c r="D300" s="2" t="s">
        <v>254</v>
      </c>
      <c r="E300" s="2">
        <v>1613</v>
      </c>
      <c r="F300" s="2" t="s">
        <v>177</v>
      </c>
      <c r="G300" s="2" t="s">
        <v>169</v>
      </c>
      <c r="H300" s="3" t="s">
        <v>26</v>
      </c>
      <c r="I300" s="605">
        <v>1613</v>
      </c>
      <c r="J300" s="2">
        <f t="shared" si="4"/>
        <v>0</v>
      </c>
      <c r="K300" s="605" t="s">
        <v>254</v>
      </c>
      <c r="L300" s="605" t="s">
        <v>177</v>
      </c>
    </row>
    <row r="301" spans="1:12" x14ac:dyDescent="0.25">
      <c r="A301" s="250">
        <v>306</v>
      </c>
      <c r="B301" s="209">
        <v>2001657</v>
      </c>
      <c r="C301" s="2" t="s">
        <v>4094</v>
      </c>
      <c r="D301" s="2" t="s">
        <v>227</v>
      </c>
      <c r="E301" s="2">
        <v>1613</v>
      </c>
      <c r="F301" s="2" t="s">
        <v>109</v>
      </c>
      <c r="G301" s="2" t="s">
        <v>4407</v>
      </c>
      <c r="H301" s="3"/>
      <c r="I301" s="605">
        <v>1613</v>
      </c>
      <c r="J301" s="2">
        <f t="shared" si="4"/>
        <v>0</v>
      </c>
      <c r="K301" s="606" t="s">
        <v>227</v>
      </c>
      <c r="L301" s="292" t="s">
        <v>109</v>
      </c>
    </row>
    <row r="302" spans="1:12" x14ac:dyDescent="0.25">
      <c r="A302" s="250">
        <v>307</v>
      </c>
      <c r="B302" s="209">
        <v>1142710</v>
      </c>
      <c r="C302" s="2" t="s">
        <v>4095</v>
      </c>
      <c r="D302" s="2" t="s">
        <v>133</v>
      </c>
      <c r="E302" s="2">
        <v>1608</v>
      </c>
      <c r="F302" s="2" t="s">
        <v>109</v>
      </c>
      <c r="G302" s="2" t="s">
        <v>4275</v>
      </c>
      <c r="H302" s="3"/>
      <c r="I302" s="605">
        <v>1608</v>
      </c>
      <c r="J302" s="2">
        <f t="shared" si="4"/>
        <v>0</v>
      </c>
      <c r="K302" s="606" t="s">
        <v>133</v>
      </c>
      <c r="L302" s="292" t="s">
        <v>109</v>
      </c>
    </row>
    <row r="303" spans="1:12" x14ac:dyDescent="0.25">
      <c r="A303" s="250">
        <v>308</v>
      </c>
      <c r="G303" s="2"/>
      <c r="H303" s="3"/>
      <c r="I303" s="605"/>
      <c r="J303" s="2">
        <f t="shared" si="4"/>
        <v>0</v>
      </c>
      <c r="K303" s="606"/>
      <c r="L303" s="292"/>
    </row>
    <row r="304" spans="1:12" x14ac:dyDescent="0.25">
      <c r="A304"/>
    </row>
    <row r="305" spans="1:12" x14ac:dyDescent="0.25">
      <c r="A305"/>
      <c r="H305"/>
      <c r="I305"/>
      <c r="J305"/>
      <c r="K305"/>
      <c r="L305"/>
    </row>
    <row r="313" spans="1:12" x14ac:dyDescent="0.25">
      <c r="B313"/>
      <c r="C313" s="28"/>
      <c r="D313"/>
      <c r="E313"/>
      <c r="F313"/>
    </row>
    <row r="314" spans="1:12" ht="12.5" x14ac:dyDescent="0.25">
      <c r="A314"/>
      <c r="B314"/>
      <c r="C314" s="28"/>
      <c r="D314"/>
      <c r="E314"/>
      <c r="F314"/>
      <c r="G314"/>
      <c r="H314"/>
      <c r="I314"/>
      <c r="J314"/>
      <c r="K314"/>
      <c r="L314"/>
    </row>
    <row r="315" spans="1:12" ht="12.5" x14ac:dyDescent="0.25">
      <c r="A315"/>
      <c r="B315"/>
      <c r="C315" s="28"/>
      <c r="D315"/>
      <c r="E315"/>
      <c r="F315"/>
      <c r="G315"/>
      <c r="H315"/>
      <c r="I315"/>
      <c r="J315"/>
      <c r="K315"/>
      <c r="L315"/>
    </row>
    <row r="316" spans="1:12" ht="12.5" x14ac:dyDescent="0.25">
      <c r="A316"/>
      <c r="B316"/>
      <c r="C316" s="28"/>
      <c r="D316"/>
      <c r="E316"/>
      <c r="F316"/>
      <c r="G316"/>
      <c r="H316"/>
      <c r="I316"/>
      <c r="J316"/>
      <c r="K316"/>
      <c r="L316"/>
    </row>
    <row r="317" spans="1:12" ht="12.5" x14ac:dyDescent="0.25">
      <c r="A317"/>
      <c r="B317"/>
      <c r="C317" s="28"/>
      <c r="D317"/>
      <c r="E317"/>
      <c r="F317"/>
      <c r="G317"/>
      <c r="H317"/>
      <c r="I317"/>
      <c r="J317"/>
      <c r="K317"/>
      <c r="L317"/>
    </row>
    <row r="318" spans="1:12" ht="12.5" x14ac:dyDescent="0.25">
      <c r="A318"/>
      <c r="B318"/>
      <c r="C318" s="28"/>
      <c r="D318"/>
      <c r="E318"/>
      <c r="F318"/>
      <c r="G318"/>
      <c r="H318"/>
      <c r="I318"/>
      <c r="J318"/>
      <c r="K318"/>
      <c r="L318"/>
    </row>
    <row r="319" spans="1:12" ht="12.5" x14ac:dyDescent="0.25">
      <c r="A319"/>
      <c r="B319"/>
      <c r="C319" s="28"/>
      <c r="D319"/>
      <c r="E319"/>
      <c r="F319"/>
      <c r="G319"/>
      <c r="H319"/>
      <c r="I319"/>
      <c r="J319"/>
      <c r="K319"/>
      <c r="L319"/>
    </row>
    <row r="320" spans="1:12" ht="12.5" x14ac:dyDescent="0.25">
      <c r="A320"/>
      <c r="B320"/>
      <c r="C320" s="28"/>
      <c r="D320"/>
      <c r="E320"/>
      <c r="F320"/>
      <c r="G320"/>
      <c r="H320"/>
      <c r="I320"/>
      <c r="J320"/>
      <c r="K320"/>
      <c r="L320"/>
    </row>
    <row r="321" spans="3:3" customFormat="1" ht="12.5" x14ac:dyDescent="0.25">
      <c r="C321" s="28"/>
    </row>
    <row r="322" spans="3:3" customFormat="1" ht="12.5" x14ac:dyDescent="0.25">
      <c r="C322" s="28"/>
    </row>
    <row r="323" spans="3:3" customFormat="1" ht="12.5" x14ac:dyDescent="0.25">
      <c r="C323" s="28"/>
    </row>
    <row r="324" spans="3:3" customFormat="1" ht="12.5" x14ac:dyDescent="0.25">
      <c r="C324" s="28"/>
    </row>
    <row r="325" spans="3:3" customFormat="1" ht="12.5" x14ac:dyDescent="0.25">
      <c r="C325" s="28"/>
    </row>
    <row r="326" spans="3:3" customFormat="1" ht="12.5" x14ac:dyDescent="0.25">
      <c r="C326" s="28"/>
    </row>
    <row r="327" spans="3:3" customFormat="1" ht="12.5" x14ac:dyDescent="0.25">
      <c r="C327" s="28"/>
    </row>
    <row r="328" spans="3:3" customFormat="1" ht="12.5" x14ac:dyDescent="0.25">
      <c r="C328" s="28"/>
    </row>
    <row r="329" spans="3:3" customFormat="1" ht="12.5" x14ac:dyDescent="0.25">
      <c r="C329" s="28"/>
    </row>
    <row r="330" spans="3:3" customFormat="1" ht="12.5" x14ac:dyDescent="0.25">
      <c r="C330" s="28"/>
    </row>
    <row r="331" spans="3:3" customFormat="1" ht="12.5" x14ac:dyDescent="0.25">
      <c r="C331" s="28"/>
    </row>
    <row r="332" spans="3:3" customFormat="1" ht="12.5" x14ac:dyDescent="0.25">
      <c r="C332" s="28"/>
    </row>
    <row r="333" spans="3:3" customFormat="1" ht="12.5" x14ac:dyDescent="0.25">
      <c r="C333" s="28"/>
    </row>
    <row r="334" spans="3:3" customFormat="1" ht="12.5" x14ac:dyDescent="0.25">
      <c r="C334" s="28"/>
    </row>
    <row r="335" spans="3:3" customFormat="1" ht="12.5" x14ac:dyDescent="0.25">
      <c r="C335" s="28"/>
    </row>
    <row r="336" spans="3:3" customFormat="1" ht="12.5" x14ac:dyDescent="0.25">
      <c r="C336" s="28"/>
    </row>
    <row r="337" spans="3:3" customFormat="1" ht="12.5" x14ac:dyDescent="0.25">
      <c r="C337" s="28"/>
    </row>
    <row r="338" spans="3:3" customFormat="1" ht="12.5" x14ac:dyDescent="0.25">
      <c r="C338" s="28"/>
    </row>
    <row r="339" spans="3:3" customFormat="1" ht="12.5" x14ac:dyDescent="0.25">
      <c r="C339" s="28"/>
    </row>
    <row r="340" spans="3:3" customFormat="1" ht="12.5" x14ac:dyDescent="0.25">
      <c r="C340" s="28"/>
    </row>
    <row r="341" spans="3:3" customFormat="1" ht="12.5" x14ac:dyDescent="0.25">
      <c r="C341" s="28"/>
    </row>
    <row r="342" spans="3:3" customFormat="1" ht="12.5" x14ac:dyDescent="0.25">
      <c r="C342" s="28"/>
    </row>
    <row r="343" spans="3:3" customFormat="1" ht="12.5" x14ac:dyDescent="0.25">
      <c r="C343" s="28"/>
    </row>
    <row r="344" spans="3:3" customFormat="1" ht="12.5" x14ac:dyDescent="0.25">
      <c r="C344" s="28"/>
    </row>
    <row r="345" spans="3:3" customFormat="1" ht="12.5" x14ac:dyDescent="0.25">
      <c r="C345" s="28"/>
    </row>
    <row r="346" spans="3:3" customFormat="1" ht="12.5" x14ac:dyDescent="0.25">
      <c r="C346" s="28"/>
    </row>
    <row r="347" spans="3:3" customFormat="1" ht="12.5" x14ac:dyDescent="0.25">
      <c r="C347" s="28"/>
    </row>
    <row r="348" spans="3:3" customFormat="1" ht="12.5" x14ac:dyDescent="0.25">
      <c r="C348" s="28"/>
    </row>
    <row r="349" spans="3:3" customFormat="1" ht="12.5" x14ac:dyDescent="0.25">
      <c r="C349" s="28"/>
    </row>
    <row r="350" spans="3:3" customFormat="1" ht="12.5" x14ac:dyDescent="0.25">
      <c r="C350" s="28"/>
    </row>
    <row r="351" spans="3:3" customFormat="1" ht="12.5" x14ac:dyDescent="0.25">
      <c r="C351" s="28"/>
    </row>
    <row r="352" spans="3:3" customFormat="1" ht="12.5" x14ac:dyDescent="0.25">
      <c r="C352" s="28"/>
    </row>
    <row r="353" spans="3:3" customFormat="1" ht="12.5" x14ac:dyDescent="0.25">
      <c r="C353" s="28"/>
    </row>
    <row r="354" spans="3:3" customFormat="1" ht="12.5" x14ac:dyDescent="0.25">
      <c r="C354" s="28"/>
    </row>
    <row r="355" spans="3:3" customFormat="1" ht="12.5" x14ac:dyDescent="0.25">
      <c r="C355" s="28"/>
    </row>
    <row r="356" spans="3:3" customFormat="1" ht="12.5" x14ac:dyDescent="0.25">
      <c r="C356" s="28"/>
    </row>
    <row r="357" spans="3:3" customFormat="1" ht="12.5" x14ac:dyDescent="0.25">
      <c r="C357" s="28"/>
    </row>
    <row r="358" spans="3:3" customFormat="1" ht="12.5" x14ac:dyDescent="0.25">
      <c r="C358" s="28"/>
    </row>
    <row r="359" spans="3:3" customFormat="1" ht="12.5" x14ac:dyDescent="0.25">
      <c r="C359" s="28"/>
    </row>
    <row r="360" spans="3:3" customFormat="1" ht="12.5" x14ac:dyDescent="0.25">
      <c r="C360" s="28"/>
    </row>
    <row r="361" spans="3:3" customFormat="1" ht="12.5" x14ac:dyDescent="0.25">
      <c r="C361" s="28"/>
    </row>
    <row r="362" spans="3:3" customFormat="1" ht="12.5" x14ac:dyDescent="0.25">
      <c r="C362" s="28"/>
    </row>
    <row r="363" spans="3:3" customFormat="1" ht="12.5" x14ac:dyDescent="0.25">
      <c r="C363" s="28"/>
    </row>
    <row r="364" spans="3:3" customFormat="1" ht="12.5" x14ac:dyDescent="0.25">
      <c r="C364" s="28"/>
    </row>
    <row r="365" spans="3:3" customFormat="1" ht="12.5" x14ac:dyDescent="0.25">
      <c r="C365" s="28"/>
    </row>
    <row r="366" spans="3:3" customFormat="1" ht="12.5" x14ac:dyDescent="0.25">
      <c r="C366" s="28"/>
    </row>
    <row r="367" spans="3:3" customFormat="1" ht="12.5" x14ac:dyDescent="0.25">
      <c r="C367" s="28"/>
    </row>
    <row r="368" spans="3:3" customFormat="1" ht="12.5" x14ac:dyDescent="0.25">
      <c r="C368" s="28"/>
    </row>
    <row r="369" spans="3:3" customFormat="1" ht="12.5" x14ac:dyDescent="0.25">
      <c r="C369" s="28"/>
    </row>
    <row r="370" spans="3:3" customFormat="1" ht="12.5" x14ac:dyDescent="0.25">
      <c r="C370" s="28"/>
    </row>
    <row r="371" spans="3:3" customFormat="1" ht="12.5" x14ac:dyDescent="0.25">
      <c r="C371" s="28"/>
    </row>
    <row r="372" spans="3:3" customFormat="1" ht="12.5" x14ac:dyDescent="0.25">
      <c r="C372" s="28"/>
    </row>
    <row r="373" spans="3:3" customFormat="1" ht="12.5" x14ac:dyDescent="0.25">
      <c r="C373" s="28"/>
    </row>
    <row r="374" spans="3:3" customFormat="1" ht="12.5" x14ac:dyDescent="0.25">
      <c r="C374" s="28"/>
    </row>
    <row r="375" spans="3:3" customFormat="1" ht="12.5" x14ac:dyDescent="0.25">
      <c r="C375" s="28"/>
    </row>
    <row r="376" spans="3:3" customFormat="1" ht="12.5" x14ac:dyDescent="0.25">
      <c r="C376" s="28"/>
    </row>
    <row r="377" spans="3:3" customFormat="1" ht="12.5" x14ac:dyDescent="0.25">
      <c r="C377" s="28"/>
    </row>
    <row r="378" spans="3:3" customFormat="1" ht="12.5" x14ac:dyDescent="0.25">
      <c r="C378" s="28"/>
    </row>
    <row r="379" spans="3:3" customFormat="1" ht="12.5" x14ac:dyDescent="0.25">
      <c r="C379" s="28"/>
    </row>
    <row r="380" spans="3:3" customFormat="1" ht="12.5" x14ac:dyDescent="0.25">
      <c r="C380" s="28"/>
    </row>
    <row r="381" spans="3:3" customFormat="1" ht="12.5" x14ac:dyDescent="0.25">
      <c r="C381" s="28"/>
    </row>
    <row r="382" spans="3:3" customFormat="1" ht="12.5" x14ac:dyDescent="0.25">
      <c r="C382" s="28"/>
    </row>
    <row r="383" spans="3:3" customFormat="1" ht="12.5" x14ac:dyDescent="0.25">
      <c r="C383" s="28"/>
    </row>
    <row r="384" spans="3:3" customFormat="1" ht="12.5" x14ac:dyDescent="0.25">
      <c r="C384" s="28"/>
    </row>
    <row r="385" spans="3:3" customFormat="1" ht="12.5" x14ac:dyDescent="0.25">
      <c r="C385" s="28"/>
    </row>
    <row r="386" spans="3:3" customFormat="1" ht="12.5" x14ac:dyDescent="0.25">
      <c r="C386" s="28"/>
    </row>
    <row r="387" spans="3:3" customFormat="1" ht="12.5" x14ac:dyDescent="0.25">
      <c r="C387" s="28"/>
    </row>
    <row r="388" spans="3:3" customFormat="1" ht="12.5" x14ac:dyDescent="0.25">
      <c r="C388" s="28"/>
    </row>
    <row r="389" spans="3:3" customFormat="1" ht="12.5" x14ac:dyDescent="0.25">
      <c r="C389" s="28"/>
    </row>
    <row r="390" spans="3:3" customFormat="1" ht="12.5" x14ac:dyDescent="0.25">
      <c r="C390" s="28"/>
    </row>
    <row r="391" spans="3:3" customFormat="1" ht="12.5" x14ac:dyDescent="0.25">
      <c r="C391" s="28"/>
    </row>
    <row r="392" spans="3:3" customFormat="1" ht="12.5" x14ac:dyDescent="0.25">
      <c r="C392" s="28"/>
    </row>
    <row r="393" spans="3:3" customFormat="1" ht="12.5" x14ac:dyDescent="0.25">
      <c r="C393" s="28"/>
    </row>
    <row r="394" spans="3:3" customFormat="1" ht="12.5" x14ac:dyDescent="0.25">
      <c r="C394" s="28"/>
    </row>
    <row r="395" spans="3:3" customFormat="1" ht="12.5" x14ac:dyDescent="0.25">
      <c r="C395" s="28"/>
    </row>
    <row r="396" spans="3:3" customFormat="1" ht="12.5" x14ac:dyDescent="0.25">
      <c r="C396" s="28"/>
    </row>
    <row r="397" spans="3:3" customFormat="1" ht="12.5" x14ac:dyDescent="0.25">
      <c r="C397" s="28"/>
    </row>
    <row r="398" spans="3:3" customFormat="1" ht="12.5" x14ac:dyDescent="0.25">
      <c r="C398" s="28"/>
    </row>
    <row r="399" spans="3:3" customFormat="1" ht="12.5" x14ac:dyDescent="0.25">
      <c r="C399" s="28"/>
    </row>
    <row r="400" spans="3:3" customFormat="1" ht="12.5" x14ac:dyDescent="0.25">
      <c r="C400" s="28"/>
    </row>
    <row r="401" spans="3:3" customFormat="1" ht="12.5" x14ac:dyDescent="0.25">
      <c r="C401" s="28"/>
    </row>
    <row r="402" spans="3:3" customFormat="1" ht="12.5" x14ac:dyDescent="0.25">
      <c r="C402" s="28"/>
    </row>
    <row r="403" spans="3:3" customFormat="1" ht="12.5" x14ac:dyDescent="0.25">
      <c r="C403" s="28"/>
    </row>
    <row r="404" spans="3:3" customFormat="1" ht="12.5" x14ac:dyDescent="0.25">
      <c r="C404" s="28"/>
    </row>
    <row r="405" spans="3:3" customFormat="1" ht="12.5" x14ac:dyDescent="0.25">
      <c r="C405" s="28"/>
    </row>
    <row r="406" spans="3:3" customFormat="1" ht="12.5" x14ac:dyDescent="0.25">
      <c r="C406" s="28"/>
    </row>
    <row r="407" spans="3:3" customFormat="1" ht="12.5" x14ac:dyDescent="0.25">
      <c r="C407" s="28"/>
    </row>
    <row r="408" spans="3:3" customFormat="1" ht="12.5" x14ac:dyDescent="0.25">
      <c r="C408" s="28"/>
    </row>
    <row r="409" spans="3:3" customFormat="1" ht="12.5" x14ac:dyDescent="0.25">
      <c r="C409" s="28"/>
    </row>
    <row r="410" spans="3:3" customFormat="1" ht="12.5" x14ac:dyDescent="0.25">
      <c r="C410" s="28"/>
    </row>
    <row r="411" spans="3:3" customFormat="1" ht="12.5" x14ac:dyDescent="0.25">
      <c r="C411" s="28"/>
    </row>
    <row r="412" spans="3:3" customFormat="1" ht="12.5" x14ac:dyDescent="0.25">
      <c r="C412" s="28"/>
    </row>
    <row r="413" spans="3:3" customFormat="1" ht="12.5" x14ac:dyDescent="0.25">
      <c r="C413" s="28"/>
    </row>
    <row r="414" spans="3:3" customFormat="1" ht="12.5" x14ac:dyDescent="0.25">
      <c r="C414" s="28"/>
    </row>
    <row r="415" spans="3:3" customFormat="1" ht="12.5" x14ac:dyDescent="0.25">
      <c r="C415" s="28"/>
    </row>
    <row r="416" spans="3:3" customFormat="1" ht="12.5" x14ac:dyDescent="0.25">
      <c r="C416" s="28"/>
    </row>
    <row r="417" spans="3:3" customFormat="1" ht="12.5" x14ac:dyDescent="0.25">
      <c r="C417" s="28"/>
    </row>
    <row r="418" spans="3:3" customFormat="1" ht="12.5" x14ac:dyDescent="0.25">
      <c r="C418" s="28"/>
    </row>
    <row r="419" spans="3:3" customFormat="1" ht="12.5" x14ac:dyDescent="0.25">
      <c r="C419" s="28"/>
    </row>
    <row r="420" spans="3:3" customFormat="1" ht="12.5" x14ac:dyDescent="0.25">
      <c r="C420" s="28"/>
    </row>
    <row r="421" spans="3:3" customFormat="1" ht="12.5" x14ac:dyDescent="0.25">
      <c r="C421" s="28"/>
    </row>
    <row r="422" spans="3:3" customFormat="1" ht="12.5" x14ac:dyDescent="0.25">
      <c r="C422" s="28"/>
    </row>
    <row r="423" spans="3:3" customFormat="1" ht="12.5" x14ac:dyDescent="0.25">
      <c r="C423" s="28"/>
    </row>
    <row r="424" spans="3:3" customFormat="1" ht="12.5" x14ac:dyDescent="0.25">
      <c r="C424" s="28"/>
    </row>
    <row r="425" spans="3:3" customFormat="1" ht="12.5" x14ac:dyDescent="0.25">
      <c r="C425" s="28"/>
    </row>
    <row r="426" spans="3:3" customFormat="1" ht="12.5" x14ac:dyDescent="0.25">
      <c r="C426" s="28"/>
    </row>
    <row r="427" spans="3:3" customFormat="1" ht="12.5" x14ac:dyDescent="0.25">
      <c r="C427" s="28"/>
    </row>
    <row r="428" spans="3:3" customFormat="1" ht="12.5" x14ac:dyDescent="0.25">
      <c r="C428" s="28"/>
    </row>
    <row r="429" spans="3:3" customFormat="1" ht="12.5" x14ac:dyDescent="0.25">
      <c r="C429" s="28"/>
    </row>
    <row r="430" spans="3:3" customFormat="1" ht="12.5" x14ac:dyDescent="0.25">
      <c r="C430" s="28"/>
    </row>
    <row r="431" spans="3:3" customFormat="1" ht="12.5" x14ac:dyDescent="0.25">
      <c r="C431" s="28"/>
    </row>
    <row r="432" spans="3:3" customFormat="1" ht="12.5" x14ac:dyDescent="0.25">
      <c r="C432" s="28"/>
    </row>
    <row r="433" spans="3:3" customFormat="1" ht="12.5" x14ac:dyDescent="0.25">
      <c r="C433" s="28"/>
    </row>
    <row r="434" spans="3:3" customFormat="1" ht="12.5" x14ac:dyDescent="0.25">
      <c r="C434" s="28"/>
    </row>
    <row r="435" spans="3:3" customFormat="1" ht="12.5" x14ac:dyDescent="0.25">
      <c r="C435" s="28"/>
    </row>
    <row r="436" spans="3:3" customFormat="1" ht="12.5" x14ac:dyDescent="0.25">
      <c r="C436" s="28"/>
    </row>
    <row r="437" spans="3:3" customFormat="1" ht="12.5" x14ac:dyDescent="0.25">
      <c r="C437" s="28"/>
    </row>
    <row r="438" spans="3:3" customFormat="1" ht="12.5" x14ac:dyDescent="0.25">
      <c r="C438" s="28"/>
    </row>
    <row r="439" spans="3:3" customFormat="1" ht="12.5" x14ac:dyDescent="0.25">
      <c r="C439" s="28"/>
    </row>
    <row r="440" spans="3:3" customFormat="1" ht="12.5" x14ac:dyDescent="0.25">
      <c r="C440" s="28"/>
    </row>
    <row r="441" spans="3:3" customFormat="1" ht="12.5" x14ac:dyDescent="0.25">
      <c r="C441" s="28"/>
    </row>
    <row r="442" spans="3:3" customFormat="1" ht="12.5" x14ac:dyDescent="0.25">
      <c r="C442" s="28"/>
    </row>
    <row r="443" spans="3:3" customFormat="1" ht="12.5" x14ac:dyDescent="0.25">
      <c r="C443" s="28"/>
    </row>
    <row r="444" spans="3:3" customFormat="1" ht="12.5" x14ac:dyDescent="0.25">
      <c r="C444" s="28"/>
    </row>
    <row r="445" spans="3:3" customFormat="1" ht="12.5" x14ac:dyDescent="0.25">
      <c r="C445" s="28"/>
    </row>
    <row r="446" spans="3:3" customFormat="1" ht="12.5" x14ac:dyDescent="0.25">
      <c r="C446" s="28"/>
    </row>
    <row r="447" spans="3:3" customFormat="1" ht="12.5" x14ac:dyDescent="0.25">
      <c r="C447" s="28"/>
    </row>
    <row r="448" spans="3:3" customFormat="1" ht="12.5" x14ac:dyDescent="0.25">
      <c r="C448" s="28"/>
    </row>
    <row r="449" spans="3:3" customFormat="1" ht="12.5" x14ac:dyDescent="0.25">
      <c r="C449" s="28"/>
    </row>
    <row r="450" spans="3:3" customFormat="1" ht="12.5" x14ac:dyDescent="0.25">
      <c r="C450" s="28"/>
    </row>
    <row r="451" spans="3:3" customFormat="1" ht="12.5" x14ac:dyDescent="0.25">
      <c r="C451" s="28"/>
    </row>
    <row r="452" spans="3:3" customFormat="1" ht="12.5" x14ac:dyDescent="0.25">
      <c r="C452" s="28"/>
    </row>
    <row r="453" spans="3:3" customFormat="1" ht="12.5" x14ac:dyDescent="0.25">
      <c r="C453" s="28"/>
    </row>
    <row r="454" spans="3:3" customFormat="1" ht="12.5" x14ac:dyDescent="0.25">
      <c r="C454" s="28"/>
    </row>
    <row r="455" spans="3:3" customFormat="1" ht="12.5" x14ac:dyDescent="0.25">
      <c r="C455" s="28"/>
    </row>
    <row r="456" spans="3:3" customFormat="1" ht="12.5" x14ac:dyDescent="0.25">
      <c r="C456" s="28"/>
    </row>
    <row r="457" spans="3:3" customFormat="1" ht="12.5" x14ac:dyDescent="0.25">
      <c r="C457" s="28"/>
    </row>
    <row r="458" spans="3:3" customFormat="1" ht="12.5" x14ac:dyDescent="0.25">
      <c r="C458" s="28"/>
    </row>
    <row r="459" spans="3:3" customFormat="1" ht="12.5" x14ac:dyDescent="0.25">
      <c r="C459" s="28"/>
    </row>
    <row r="460" spans="3:3" customFormat="1" ht="12.5" x14ac:dyDescent="0.25">
      <c r="C460" s="28"/>
    </row>
    <row r="461" spans="3:3" customFormat="1" ht="12.5" x14ac:dyDescent="0.25">
      <c r="C461" s="28"/>
    </row>
    <row r="462" spans="3:3" customFormat="1" ht="12.5" x14ac:dyDescent="0.25">
      <c r="C462" s="28"/>
    </row>
    <row r="463" spans="3:3" customFormat="1" ht="12.5" x14ac:dyDescent="0.25">
      <c r="C463" s="28"/>
    </row>
    <row r="464" spans="3:3" customFormat="1" ht="12.5" x14ac:dyDescent="0.25">
      <c r="C464" s="28"/>
    </row>
    <row r="465" spans="1:12" customFormat="1" ht="12.5" x14ac:dyDescent="0.25">
      <c r="C465" s="28"/>
    </row>
    <row r="466" spans="1:12" customFormat="1" ht="12.5" x14ac:dyDescent="0.25">
      <c r="C466" s="28"/>
    </row>
    <row r="467" spans="1:12" customFormat="1" ht="12.5" x14ac:dyDescent="0.25">
      <c r="C467" s="28"/>
    </row>
    <row r="468" spans="1:12" customFormat="1" ht="12.5" x14ac:dyDescent="0.25">
      <c r="C468" s="28"/>
    </row>
    <row r="469" spans="1:12" customFormat="1" ht="12.5" x14ac:dyDescent="0.25">
      <c r="C469" s="28"/>
    </row>
    <row r="470" spans="1:12" customFormat="1" ht="12.5" x14ac:dyDescent="0.25">
      <c r="C470" s="28"/>
    </row>
    <row r="471" spans="1:12" customFormat="1" ht="12.5" x14ac:dyDescent="0.25">
      <c r="C471" s="28"/>
    </row>
    <row r="472" spans="1:12" customFormat="1" ht="12.5" x14ac:dyDescent="0.25">
      <c r="C472" s="28"/>
    </row>
    <row r="473" spans="1:12" customFormat="1" ht="12.5" x14ac:dyDescent="0.25">
      <c r="C473" s="28"/>
    </row>
    <row r="474" spans="1:12" customFormat="1" ht="12.5" x14ac:dyDescent="0.25">
      <c r="C474" s="28"/>
    </row>
    <row r="475" spans="1:12" customFormat="1" ht="12.5" x14ac:dyDescent="0.25">
      <c r="C475" s="28"/>
    </row>
    <row r="476" spans="1:12" customFormat="1" ht="12.5" x14ac:dyDescent="0.25">
      <c r="C476" s="28"/>
    </row>
    <row r="477" spans="1:12" customFormat="1" ht="12.5" x14ac:dyDescent="0.25">
      <c r="C477" s="28"/>
    </row>
    <row r="478" spans="1:12" customFormat="1" ht="12.5" x14ac:dyDescent="0.25">
      <c r="C478" s="28"/>
    </row>
    <row r="479" spans="1:12" x14ac:dyDescent="0.25">
      <c r="A479"/>
      <c r="G479"/>
      <c r="H479"/>
      <c r="I479"/>
      <c r="J479"/>
      <c r="K479"/>
      <c r="L479"/>
    </row>
  </sheetData>
  <conditionalFormatting sqref="A2:A269">
    <cfRule type="duplicateValues" dxfId="301" priority="24"/>
  </conditionalFormatting>
  <conditionalFormatting sqref="A270:A303">
    <cfRule type="duplicateValues" dxfId="300" priority="8"/>
    <cfRule type="duplicateValues" dxfId="299" priority="9"/>
    <cfRule type="duplicateValues" dxfId="298" priority="10"/>
    <cfRule type="duplicateValues" dxfId="297" priority="11"/>
    <cfRule type="duplicateValues" dxfId="296" priority="12"/>
    <cfRule type="duplicateValues" dxfId="295" priority="13"/>
    <cfRule type="duplicateValues" dxfId="294" priority="14"/>
    <cfRule type="duplicateValues" dxfId="293" priority="15"/>
    <cfRule type="duplicateValues" dxfId="292" priority="16"/>
    <cfRule type="duplicateValues" dxfId="291" priority="17"/>
    <cfRule type="duplicateValues" dxfId="290" priority="18"/>
    <cfRule type="duplicateValues" dxfId="289" priority="19"/>
    <cfRule type="duplicateValues" dxfId="288" priority="20"/>
    <cfRule type="duplicateValues" dxfId="287" priority="21"/>
    <cfRule type="duplicateValues" dxfId="286" priority="22"/>
  </conditionalFormatting>
  <conditionalFormatting sqref="A309 A480:A1048576 A1">
    <cfRule type="duplicateValues" dxfId="285" priority="23"/>
  </conditionalFormatting>
  <conditionalFormatting sqref="B1:B314 B321:B1048576">
    <cfRule type="duplicateValues" dxfId="284" priority="1"/>
  </conditionalFormatting>
  <conditionalFormatting sqref="B479:B1048576 B1:B312">
    <cfRule type="duplicateValues" dxfId="283" priority="2"/>
    <cfRule type="duplicateValues" dxfId="282" priority="3"/>
    <cfRule type="duplicateValues" dxfId="281" priority="4"/>
    <cfRule type="duplicateValues" dxfId="280" priority="5"/>
    <cfRule type="duplicateValues" dxfId="279" priority="6"/>
    <cfRule type="duplicateValues" dxfId="278" priority="7"/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7">
    <tabColor rgb="FFA7F030"/>
  </sheetPr>
  <dimension ref="A1:AC135"/>
  <sheetViews>
    <sheetView zoomScale="80" zoomScaleNormal="80" workbookViewId="0">
      <pane ySplit="2" topLeftCell="A18" activePane="bottomLeft" state="frozen"/>
      <selection activeCell="V1" sqref="V1"/>
      <selection pane="bottomLeft" activeCell="C31" sqref="C31"/>
    </sheetView>
  </sheetViews>
  <sheetFormatPr defaultRowHeight="12.5" x14ac:dyDescent="0.25"/>
  <cols>
    <col min="1" max="1" width="11" style="19" bestFit="1" customWidth="1"/>
    <col min="2" max="2" width="8.54296875" style="19" bestFit="1" customWidth="1"/>
    <col min="3" max="3" width="9.7265625" style="19" bestFit="1" customWidth="1"/>
    <col min="4" max="4" width="10.453125" style="19" bestFit="1" customWidth="1"/>
    <col min="5" max="18" width="9.26953125" style="19"/>
    <col min="19" max="19" width="10.7265625" style="19" customWidth="1"/>
    <col min="20" max="20" width="14.54296875" style="19" bestFit="1" customWidth="1"/>
    <col min="21" max="21" width="12.7265625" style="19" bestFit="1" customWidth="1"/>
    <col min="22" max="22" width="7.7265625" style="19" bestFit="1" customWidth="1"/>
    <col min="23" max="23" width="9.26953125" style="19"/>
    <col min="24" max="24" width="15.26953125" style="19" bestFit="1" customWidth="1"/>
    <col min="25" max="25" width="18.26953125" style="19" bestFit="1" customWidth="1"/>
    <col min="26" max="27" width="18.26953125" style="19" customWidth="1"/>
  </cols>
  <sheetData>
    <row r="1" spans="1:29" ht="13" thickBot="1" x14ac:dyDescent="0.3">
      <c r="A1" s="845" t="s">
        <v>3750</v>
      </c>
      <c r="B1" s="845"/>
      <c r="C1" s="845"/>
      <c r="D1" s="845"/>
      <c r="E1" s="845" t="s">
        <v>3751</v>
      </c>
      <c r="F1" s="845"/>
      <c r="G1" s="845"/>
      <c r="H1" s="845"/>
      <c r="I1" s="845"/>
      <c r="J1" s="845"/>
      <c r="K1" s="845"/>
      <c r="L1" s="845"/>
      <c r="T1" s="846" t="s">
        <v>3752</v>
      </c>
      <c r="U1" s="846"/>
      <c r="V1" s="846"/>
      <c r="W1" s="846"/>
      <c r="X1" s="846"/>
      <c r="Y1" s="846"/>
      <c r="Z1" s="846" t="s">
        <v>3753</v>
      </c>
      <c r="AA1" s="846"/>
      <c r="AB1" s="846"/>
      <c r="AC1" s="19"/>
    </row>
    <row r="2" spans="1:29" ht="93" x14ac:dyDescent="0.25">
      <c r="A2" s="376" t="s">
        <v>3754</v>
      </c>
      <c r="B2" s="428" t="s">
        <v>3755</v>
      </c>
      <c r="C2" s="376" t="s">
        <v>3756</v>
      </c>
      <c r="D2" s="377" t="s">
        <v>3757</v>
      </c>
      <c r="E2" s="378" t="s">
        <v>1055</v>
      </c>
      <c r="F2" s="378" t="s">
        <v>9</v>
      </c>
      <c r="G2" s="378" t="s">
        <v>1056</v>
      </c>
      <c r="H2" s="378" t="s">
        <v>1057</v>
      </c>
      <c r="I2" s="379" t="s">
        <v>1052</v>
      </c>
      <c r="J2" s="379" t="s">
        <v>1053</v>
      </c>
      <c r="K2" s="379" t="s">
        <v>13</v>
      </c>
      <c r="L2" s="380" t="s">
        <v>3758</v>
      </c>
      <c r="M2" s="120" t="s">
        <v>3759</v>
      </c>
      <c r="N2" s="120" t="s">
        <v>3760</v>
      </c>
      <c r="O2" s="120" t="s">
        <v>3761</v>
      </c>
      <c r="P2" s="121" t="s">
        <v>3762</v>
      </c>
      <c r="Q2" s="121" t="s">
        <v>3763</v>
      </c>
      <c r="R2" s="121" t="s">
        <v>3764</v>
      </c>
      <c r="S2" s="427" t="s">
        <v>3765</v>
      </c>
      <c r="T2" s="381" t="s">
        <v>851</v>
      </c>
      <c r="U2" s="382" t="s">
        <v>854</v>
      </c>
      <c r="V2" s="382" t="s">
        <v>855</v>
      </c>
      <c r="W2" s="382" t="s">
        <v>3766</v>
      </c>
      <c r="X2" s="382" t="s">
        <v>3767</v>
      </c>
      <c r="Y2" s="382" t="s">
        <v>3768</v>
      </c>
      <c r="Z2" s="382" t="s">
        <v>3750</v>
      </c>
      <c r="AA2" s="382" t="s">
        <v>3769</v>
      </c>
      <c r="AB2" s="382" t="s">
        <v>3770</v>
      </c>
      <c r="AC2" s="382" t="s">
        <v>519</v>
      </c>
    </row>
    <row r="3" spans="1:29" x14ac:dyDescent="0.25">
      <c r="A3" s="383">
        <v>45251</v>
      </c>
      <c r="B3" s="20">
        <v>157</v>
      </c>
      <c r="C3" s="20">
        <v>0</v>
      </c>
      <c r="D3" s="20"/>
      <c r="E3" s="20">
        <v>385</v>
      </c>
      <c r="F3" s="20">
        <v>279</v>
      </c>
      <c r="G3" s="20">
        <v>42</v>
      </c>
      <c r="H3" s="20">
        <v>915</v>
      </c>
      <c r="I3" s="20">
        <v>11005</v>
      </c>
      <c r="J3" s="20">
        <v>3098</v>
      </c>
      <c r="K3" s="20">
        <v>14488</v>
      </c>
      <c r="L3" s="20">
        <v>14809</v>
      </c>
      <c r="M3" s="20">
        <v>12900</v>
      </c>
      <c r="N3" s="20">
        <v>0</v>
      </c>
      <c r="O3" s="20">
        <v>0</v>
      </c>
      <c r="P3" s="20">
        <v>3026</v>
      </c>
      <c r="Q3" s="20">
        <v>0</v>
      </c>
      <c r="R3" s="20">
        <v>5</v>
      </c>
      <c r="S3" s="20">
        <v>12900</v>
      </c>
      <c r="T3" s="20">
        <v>9357</v>
      </c>
      <c r="U3" s="20">
        <v>6326</v>
      </c>
      <c r="V3" s="20">
        <v>3031</v>
      </c>
      <c r="W3" s="20">
        <v>0</v>
      </c>
      <c r="X3" s="20">
        <v>0</v>
      </c>
      <c r="Y3" s="20">
        <v>0</v>
      </c>
      <c r="Z3" s="20"/>
      <c r="AA3" s="20"/>
      <c r="AB3" s="248"/>
      <c r="AC3" s="248"/>
    </row>
    <row r="4" spans="1:29" x14ac:dyDescent="0.25">
      <c r="A4" s="383">
        <v>45258</v>
      </c>
      <c r="B4" s="20">
        <v>147</v>
      </c>
      <c r="C4" s="20">
        <v>0</v>
      </c>
      <c r="D4" s="20">
        <v>10</v>
      </c>
      <c r="E4" s="20">
        <v>385</v>
      </c>
      <c r="F4" s="20">
        <v>279</v>
      </c>
      <c r="G4" s="20">
        <v>42</v>
      </c>
      <c r="H4" s="20">
        <v>911</v>
      </c>
      <c r="I4" s="20">
        <v>11357</v>
      </c>
      <c r="J4" s="20">
        <v>3096</v>
      </c>
      <c r="K4" s="20">
        <v>14838</v>
      </c>
      <c r="L4" s="20">
        <v>15159</v>
      </c>
      <c r="M4" s="20">
        <v>12355</v>
      </c>
      <c r="N4" s="20">
        <v>0</v>
      </c>
      <c r="O4" s="20">
        <v>0</v>
      </c>
      <c r="P4" s="20">
        <v>2158</v>
      </c>
      <c r="Q4" s="20">
        <v>0</v>
      </c>
      <c r="R4" s="20">
        <v>5</v>
      </c>
      <c r="S4" s="20">
        <v>12355</v>
      </c>
      <c r="T4" s="20">
        <v>9337</v>
      </c>
      <c r="U4" s="20">
        <f>7099+75</f>
        <v>7174</v>
      </c>
      <c r="V4" s="20">
        <v>2238</v>
      </c>
      <c r="W4" s="20">
        <v>773</v>
      </c>
      <c r="X4" s="20">
        <v>548</v>
      </c>
      <c r="Y4" s="20">
        <v>4</v>
      </c>
      <c r="Z4" s="20"/>
      <c r="AA4" s="248"/>
      <c r="AB4" s="248"/>
      <c r="AC4" s="248"/>
    </row>
    <row r="5" spans="1:29" x14ac:dyDescent="0.25">
      <c r="A5" s="383">
        <v>45260</v>
      </c>
      <c r="B5" s="20">
        <v>166</v>
      </c>
      <c r="C5" s="20">
        <v>25</v>
      </c>
      <c r="D5" s="20">
        <v>6</v>
      </c>
      <c r="E5" s="20">
        <v>385</v>
      </c>
      <c r="F5" s="20">
        <v>279</v>
      </c>
      <c r="G5" s="20">
        <v>42</v>
      </c>
      <c r="H5" s="20">
        <v>910</v>
      </c>
      <c r="I5" s="20">
        <v>11321</v>
      </c>
      <c r="J5" s="20">
        <v>3096</v>
      </c>
      <c r="K5" s="20">
        <v>14802</v>
      </c>
      <c r="L5" s="20">
        <v>15123</v>
      </c>
      <c r="M5" s="20">
        <v>14268</v>
      </c>
      <c r="N5" s="20">
        <v>0</v>
      </c>
      <c r="O5" s="20">
        <v>0</v>
      </c>
      <c r="P5" s="20">
        <v>3408</v>
      </c>
      <c r="Q5" s="20">
        <v>0</v>
      </c>
      <c r="R5" s="20">
        <v>5</v>
      </c>
      <c r="S5" s="20">
        <v>13722</v>
      </c>
      <c r="T5" s="20">
        <v>11338</v>
      </c>
      <c r="U5" s="20">
        <v>7684</v>
      </c>
      <c r="V5" s="20">
        <v>3654</v>
      </c>
      <c r="W5" s="20">
        <v>510</v>
      </c>
      <c r="X5" s="20">
        <v>546</v>
      </c>
      <c r="Y5" s="20">
        <v>1</v>
      </c>
      <c r="Z5" s="20" t="str">
        <f t="shared" ref="Z5:Z12" si="0">IF(B5=B4+C5-D5,"CORRECT","WRONG")</f>
        <v>CORRECT</v>
      </c>
      <c r="AA5" s="248" t="str">
        <f t="shared" ref="AA5:AA12" si="1">IF(L5=L4+W5-X5,"CORRECT","WRONG")</f>
        <v>CORRECT</v>
      </c>
      <c r="AB5" s="248" t="str">
        <f t="shared" ref="AB5:AB12" si="2">IF(H5=H4-Y5,"CORRECT","WRONG")</f>
        <v>CORRECT</v>
      </c>
      <c r="AC5" s="248"/>
    </row>
    <row r="6" spans="1:29" x14ac:dyDescent="0.25">
      <c r="A6" s="383">
        <v>45267</v>
      </c>
      <c r="B6" s="20">
        <v>167</v>
      </c>
      <c r="C6" s="20">
        <v>6</v>
      </c>
      <c r="D6" s="20">
        <v>5</v>
      </c>
      <c r="E6" s="20">
        <v>385</v>
      </c>
      <c r="F6" s="20">
        <v>279</v>
      </c>
      <c r="G6" s="20">
        <v>42</v>
      </c>
      <c r="H6" s="20">
        <v>887</v>
      </c>
      <c r="I6" s="20">
        <v>11075</v>
      </c>
      <c r="J6" s="20">
        <v>3089</v>
      </c>
      <c r="K6" s="20">
        <v>14549</v>
      </c>
      <c r="L6" s="20">
        <v>14870</v>
      </c>
      <c r="M6" s="20">
        <v>14753</v>
      </c>
      <c r="N6" s="20">
        <v>0</v>
      </c>
      <c r="O6" s="20">
        <v>0</v>
      </c>
      <c r="P6" s="20">
        <v>4322</v>
      </c>
      <c r="Q6" s="20">
        <v>0</v>
      </c>
      <c r="R6" s="20">
        <v>5</v>
      </c>
      <c r="S6" s="20">
        <v>14753</v>
      </c>
      <c r="T6" s="20">
        <v>12276</v>
      </c>
      <c r="U6" s="20">
        <v>7949</v>
      </c>
      <c r="V6" s="20">
        <v>4327</v>
      </c>
      <c r="W6" s="20">
        <v>265</v>
      </c>
      <c r="X6" s="20">
        <v>518</v>
      </c>
      <c r="Y6" s="20">
        <v>23</v>
      </c>
      <c r="Z6" s="20" t="str">
        <f t="shared" si="0"/>
        <v>CORRECT</v>
      </c>
      <c r="AA6" s="248" t="str">
        <f t="shared" si="1"/>
        <v>CORRECT</v>
      </c>
      <c r="AB6" s="248" t="str">
        <f>IF(H6=H5-Y6,"CORRECT","WRONG")</f>
        <v>CORRECT</v>
      </c>
      <c r="AC6" s="248"/>
    </row>
    <row r="7" spans="1:29" x14ac:dyDescent="0.25">
      <c r="A7" s="383">
        <v>45272</v>
      </c>
      <c r="B7" s="20">
        <v>164</v>
      </c>
      <c r="C7" s="20">
        <v>0</v>
      </c>
      <c r="D7" s="20">
        <v>3</v>
      </c>
      <c r="E7" s="20">
        <v>385</v>
      </c>
      <c r="F7" s="20">
        <v>279</v>
      </c>
      <c r="G7" s="20">
        <v>42</v>
      </c>
      <c r="H7" s="20">
        <v>887</v>
      </c>
      <c r="I7" s="20">
        <v>11192</v>
      </c>
      <c r="J7" s="20">
        <v>3089</v>
      </c>
      <c r="K7" s="20">
        <v>14666</v>
      </c>
      <c r="L7" s="20">
        <v>14987</v>
      </c>
      <c r="M7" s="20">
        <v>14530</v>
      </c>
      <c r="N7" s="20">
        <v>0</v>
      </c>
      <c r="O7" s="20">
        <v>0</v>
      </c>
      <c r="P7" s="20">
        <v>3982</v>
      </c>
      <c r="Q7" s="20">
        <v>0</v>
      </c>
      <c r="R7" s="20">
        <v>5</v>
      </c>
      <c r="S7" s="20">
        <v>14530</v>
      </c>
      <c r="T7" s="20">
        <v>12276</v>
      </c>
      <c r="U7" s="20">
        <v>8289</v>
      </c>
      <c r="V7" s="20">
        <v>3987</v>
      </c>
      <c r="W7" s="20">
        <f>34+100+6+25+175</f>
        <v>340</v>
      </c>
      <c r="X7" s="20">
        <v>223</v>
      </c>
      <c r="Y7" s="20">
        <v>0</v>
      </c>
      <c r="Z7" s="20" t="str">
        <f t="shared" si="0"/>
        <v>CORRECT</v>
      </c>
      <c r="AA7" s="248" t="str">
        <f t="shared" si="1"/>
        <v>CORRECT</v>
      </c>
      <c r="AB7" s="248" t="str">
        <f t="shared" si="2"/>
        <v>CORRECT</v>
      </c>
      <c r="AC7" s="248"/>
    </row>
    <row r="8" spans="1:29" x14ac:dyDescent="0.25">
      <c r="A8" s="383">
        <v>45273</v>
      </c>
      <c r="B8" s="20">
        <v>161</v>
      </c>
      <c r="C8" s="20">
        <v>0</v>
      </c>
      <c r="D8" s="20">
        <v>3</v>
      </c>
      <c r="E8" s="20">
        <v>380</v>
      </c>
      <c r="F8" s="20">
        <v>279</v>
      </c>
      <c r="G8" s="20">
        <v>42</v>
      </c>
      <c r="H8" s="20">
        <v>877</v>
      </c>
      <c r="I8" s="20">
        <v>11131</v>
      </c>
      <c r="J8" s="20">
        <v>3086</v>
      </c>
      <c r="K8" s="20">
        <v>14597</v>
      </c>
      <c r="L8" s="20">
        <v>14918</v>
      </c>
      <c r="M8" s="20">
        <v>14302</v>
      </c>
      <c r="N8" s="20">
        <v>0</v>
      </c>
      <c r="O8" s="20">
        <v>0</v>
      </c>
      <c r="P8" s="20">
        <v>3807</v>
      </c>
      <c r="Q8" s="20">
        <v>0</v>
      </c>
      <c r="R8" s="20">
        <v>5</v>
      </c>
      <c r="S8" s="20">
        <v>14302</v>
      </c>
      <c r="T8" s="20">
        <v>12276</v>
      </c>
      <c r="U8" s="20">
        <v>8464</v>
      </c>
      <c r="V8" s="20">
        <v>3812</v>
      </c>
      <c r="W8" s="20">
        <v>175</v>
      </c>
      <c r="X8" s="20">
        <v>244</v>
      </c>
      <c r="Y8" s="20">
        <v>10</v>
      </c>
      <c r="Z8" s="20" t="str">
        <f t="shared" si="0"/>
        <v>CORRECT</v>
      </c>
      <c r="AA8" s="248" t="str">
        <f t="shared" si="1"/>
        <v>CORRECT</v>
      </c>
      <c r="AB8" s="248" t="str">
        <f t="shared" si="2"/>
        <v>CORRECT</v>
      </c>
      <c r="AC8" s="248"/>
    </row>
    <row r="9" spans="1:29" x14ac:dyDescent="0.25">
      <c r="A9" s="383">
        <v>45280</v>
      </c>
      <c r="B9" s="20">
        <v>166</v>
      </c>
      <c r="C9" s="20">
        <v>13</v>
      </c>
      <c r="D9" s="20">
        <v>8</v>
      </c>
      <c r="E9" s="20">
        <v>380</v>
      </c>
      <c r="F9" s="20">
        <v>279</v>
      </c>
      <c r="G9" s="20">
        <v>42</v>
      </c>
      <c r="H9" s="20">
        <v>876</v>
      </c>
      <c r="I9" s="20">
        <v>10262</v>
      </c>
      <c r="J9" s="20">
        <v>3085</v>
      </c>
      <c r="K9" s="20">
        <v>13727</v>
      </c>
      <c r="L9" s="20">
        <v>14048</v>
      </c>
      <c r="M9" s="20">
        <v>14860</v>
      </c>
      <c r="N9" s="20">
        <v>0</v>
      </c>
      <c r="O9" s="20">
        <v>0</v>
      </c>
      <c r="P9" s="20">
        <v>4811</v>
      </c>
      <c r="Q9" s="20">
        <v>0</v>
      </c>
      <c r="R9" s="20">
        <v>5</v>
      </c>
      <c r="S9" s="20">
        <v>14860</v>
      </c>
      <c r="T9" s="20">
        <v>13280</v>
      </c>
      <c r="U9" s="20">
        <v>8464</v>
      </c>
      <c r="V9" s="20">
        <v>4816</v>
      </c>
      <c r="W9" s="20">
        <v>0</v>
      </c>
      <c r="X9" s="20">
        <v>870</v>
      </c>
      <c r="Y9" s="20">
        <v>1</v>
      </c>
      <c r="Z9" s="20" t="str">
        <f t="shared" si="0"/>
        <v>CORRECT</v>
      </c>
      <c r="AA9" s="248" t="str">
        <f t="shared" si="1"/>
        <v>CORRECT</v>
      </c>
      <c r="AB9" s="248" t="str">
        <f t="shared" si="2"/>
        <v>CORRECT</v>
      </c>
      <c r="AC9" s="248"/>
    </row>
    <row r="10" spans="1:29" x14ac:dyDescent="0.25">
      <c r="A10" s="383">
        <v>45288</v>
      </c>
      <c r="B10" s="20">
        <v>200</v>
      </c>
      <c r="C10" s="20">
        <v>43</v>
      </c>
      <c r="D10" s="20">
        <v>9</v>
      </c>
      <c r="E10" s="20">
        <v>380</v>
      </c>
      <c r="F10" s="20">
        <v>279</v>
      </c>
      <c r="G10" s="20">
        <v>42</v>
      </c>
      <c r="H10" s="20">
        <v>879</v>
      </c>
      <c r="I10" s="20">
        <v>11558</v>
      </c>
      <c r="J10" s="20">
        <v>3079</v>
      </c>
      <c r="K10" s="20">
        <v>15017</v>
      </c>
      <c r="L10" s="20">
        <v>15338</v>
      </c>
      <c r="M10" s="20">
        <v>17487</v>
      </c>
      <c r="N10" s="20">
        <v>0</v>
      </c>
      <c r="O10" s="20">
        <v>0</v>
      </c>
      <c r="P10" s="20">
        <v>5443</v>
      </c>
      <c r="Q10" s="20">
        <v>0</v>
      </c>
      <c r="R10" s="20">
        <v>5</v>
      </c>
      <c r="S10" s="20">
        <v>17487</v>
      </c>
      <c r="T10" s="20">
        <v>16145</v>
      </c>
      <c r="U10" s="20">
        <v>10697</v>
      </c>
      <c r="V10" s="20">
        <v>5448</v>
      </c>
      <c r="W10" s="20">
        <v>2233</v>
      </c>
      <c r="X10" s="20">
        <v>943</v>
      </c>
      <c r="Y10" s="20">
        <f>9-12</f>
        <v>-3</v>
      </c>
      <c r="Z10" s="20" t="str">
        <f t="shared" si="0"/>
        <v>CORRECT</v>
      </c>
      <c r="AA10" s="248" t="str">
        <f t="shared" si="1"/>
        <v>CORRECT</v>
      </c>
      <c r="AB10" s="248" t="str">
        <f t="shared" si="2"/>
        <v>CORRECT</v>
      </c>
      <c r="AC10" s="248"/>
    </row>
    <row r="11" spans="1:29" x14ac:dyDescent="0.25">
      <c r="A11" s="383">
        <v>44930</v>
      </c>
      <c r="B11" s="20">
        <v>190</v>
      </c>
      <c r="C11" s="20">
        <v>0</v>
      </c>
      <c r="D11" s="20">
        <v>10</v>
      </c>
      <c r="E11" s="20">
        <v>380</v>
      </c>
      <c r="F11" s="20">
        <v>279</v>
      </c>
      <c r="G11" s="20">
        <v>42</v>
      </c>
      <c r="H11" s="20">
        <v>867</v>
      </c>
      <c r="I11" s="20">
        <v>10830</v>
      </c>
      <c r="J11" s="20">
        <v>3076</v>
      </c>
      <c r="K11" s="20">
        <v>14286</v>
      </c>
      <c r="L11" s="20">
        <v>14607</v>
      </c>
      <c r="M11" s="20">
        <v>16850</v>
      </c>
      <c r="N11" s="20">
        <v>0</v>
      </c>
      <c r="O11" s="20">
        <v>0</v>
      </c>
      <c r="P11" s="20">
        <v>5443</v>
      </c>
      <c r="Q11" s="20">
        <v>0</v>
      </c>
      <c r="R11" s="20">
        <v>5</v>
      </c>
      <c r="S11" s="20">
        <v>16850</v>
      </c>
      <c r="T11" s="20">
        <v>16145</v>
      </c>
      <c r="U11" s="20">
        <v>10697</v>
      </c>
      <c r="V11" s="20">
        <v>5448</v>
      </c>
      <c r="W11" s="20">
        <v>0</v>
      </c>
      <c r="X11" s="20">
        <v>731</v>
      </c>
      <c r="Y11" s="20">
        <v>12</v>
      </c>
      <c r="Z11" s="20" t="str">
        <f>IF(B11=B10+C11-D11,"CORRECT","WRONG")</f>
        <v>CORRECT</v>
      </c>
      <c r="AA11" s="248" t="str">
        <f>IF(L11=L10+W11-X11,"CORRECT","WRONG")</f>
        <v>CORRECT</v>
      </c>
      <c r="AB11" s="248" t="str">
        <f>IF(H11=H10-Y11,"CORRECT","WRONG")</f>
        <v>CORRECT</v>
      </c>
      <c r="AC11" s="248"/>
    </row>
    <row r="12" spans="1:29" x14ac:dyDescent="0.25">
      <c r="A12" s="383">
        <v>45299</v>
      </c>
      <c r="B12" s="20">
        <v>188</v>
      </c>
      <c r="C12" s="20">
        <v>0</v>
      </c>
      <c r="D12" s="20">
        <v>2</v>
      </c>
      <c r="E12" s="20">
        <v>380</v>
      </c>
      <c r="F12" s="20">
        <v>279</v>
      </c>
      <c r="G12" s="20">
        <v>42</v>
      </c>
      <c r="H12" s="20">
        <v>863</v>
      </c>
      <c r="I12" s="20">
        <v>10694</v>
      </c>
      <c r="J12" s="20">
        <v>3075</v>
      </c>
      <c r="K12" s="20">
        <v>14149</v>
      </c>
      <c r="L12" s="20">
        <v>14470</v>
      </c>
      <c r="M12" s="20">
        <v>16730</v>
      </c>
      <c r="N12" s="20">
        <v>0</v>
      </c>
      <c r="O12" s="20">
        <v>0</v>
      </c>
      <c r="P12" s="20">
        <v>5443</v>
      </c>
      <c r="Q12" s="20">
        <v>0</v>
      </c>
      <c r="R12" s="20">
        <v>5</v>
      </c>
      <c r="S12" s="20">
        <v>16730</v>
      </c>
      <c r="T12" s="20">
        <v>16145</v>
      </c>
      <c r="U12" s="20">
        <v>10697</v>
      </c>
      <c r="V12" s="20">
        <v>5448</v>
      </c>
      <c r="W12" s="20">
        <v>0</v>
      </c>
      <c r="X12" s="20">
        <v>137</v>
      </c>
      <c r="Y12" s="20">
        <v>4</v>
      </c>
      <c r="Z12" s="20" t="str">
        <f t="shared" si="0"/>
        <v>CORRECT</v>
      </c>
      <c r="AA12" s="248" t="str">
        <f t="shared" si="1"/>
        <v>CORRECT</v>
      </c>
      <c r="AB12" s="248" t="str">
        <f t="shared" si="2"/>
        <v>CORRECT</v>
      </c>
      <c r="AC12" s="248"/>
    </row>
    <row r="13" spans="1:29" x14ac:dyDescent="0.25">
      <c r="A13" s="383">
        <v>45302</v>
      </c>
      <c r="B13" s="20">
        <v>180</v>
      </c>
      <c r="C13" s="20">
        <v>0</v>
      </c>
      <c r="D13" s="20">
        <v>8</v>
      </c>
      <c r="E13" s="20">
        <v>380</v>
      </c>
      <c r="F13" s="20">
        <v>279</v>
      </c>
      <c r="G13" s="20">
        <v>42</v>
      </c>
      <c r="H13" s="20">
        <v>860</v>
      </c>
      <c r="I13" s="20">
        <v>10171</v>
      </c>
      <c r="J13" s="20">
        <v>3073</v>
      </c>
      <c r="K13" s="20">
        <v>13640</v>
      </c>
      <c r="L13" s="20">
        <v>13945</v>
      </c>
      <c r="M13" s="20">
        <v>16165</v>
      </c>
      <c r="N13" s="20">
        <v>0</v>
      </c>
      <c r="O13" s="20">
        <v>0</v>
      </c>
      <c r="P13" s="20">
        <v>5443</v>
      </c>
      <c r="Q13" s="20">
        <v>0</v>
      </c>
      <c r="R13" s="20">
        <v>5</v>
      </c>
      <c r="S13" s="20">
        <v>16165</v>
      </c>
      <c r="T13" s="20">
        <v>16145</v>
      </c>
      <c r="U13" s="20">
        <v>10697</v>
      </c>
      <c r="V13" s="20">
        <v>5448</v>
      </c>
      <c r="W13" s="20">
        <v>0</v>
      </c>
      <c r="X13" s="20">
        <f>525</f>
        <v>525</v>
      </c>
      <c r="Y13" s="20">
        <v>3</v>
      </c>
      <c r="Z13" s="20" t="str">
        <f t="shared" ref="Z13" si="3">IF(B13=B12+C13-D13,"CORRECT","WRONG")</f>
        <v>CORRECT</v>
      </c>
      <c r="AA13" s="248" t="str">
        <f t="shared" ref="AA13" si="4">IF(L13=L12+W13-X13,"CORRECT","WRONG")</f>
        <v>CORRECT</v>
      </c>
      <c r="AB13" s="248" t="str">
        <f t="shared" ref="AB13" si="5">IF(H13=H12-Y13,"CORRECT","WRONG")</f>
        <v>CORRECT</v>
      </c>
      <c r="AC13" s="248"/>
    </row>
    <row r="14" spans="1:29" x14ac:dyDescent="0.25">
      <c r="A14" s="383">
        <v>45306</v>
      </c>
      <c r="B14" s="20">
        <v>194</v>
      </c>
      <c r="C14" s="20">
        <v>17</v>
      </c>
      <c r="D14" s="20">
        <v>3</v>
      </c>
      <c r="E14" s="20">
        <v>380</v>
      </c>
      <c r="F14" s="20">
        <v>279</v>
      </c>
      <c r="G14" s="20">
        <v>42</v>
      </c>
      <c r="H14" s="20">
        <v>855</v>
      </c>
      <c r="I14" s="20">
        <v>10268</v>
      </c>
      <c r="J14" s="20">
        <v>3073</v>
      </c>
      <c r="K14" s="20">
        <v>13721</v>
      </c>
      <c r="L14" s="20">
        <v>14042</v>
      </c>
      <c r="M14" s="20">
        <v>17162</v>
      </c>
      <c r="N14" s="20">
        <v>0</v>
      </c>
      <c r="O14" s="20">
        <v>0</v>
      </c>
      <c r="P14" s="20">
        <v>6363</v>
      </c>
      <c r="Q14" s="20">
        <v>0</v>
      </c>
      <c r="R14" s="20">
        <v>5</v>
      </c>
      <c r="S14" s="20">
        <v>17162</v>
      </c>
      <c r="T14" s="20">
        <v>17340</v>
      </c>
      <c r="U14" s="20">
        <v>10972</v>
      </c>
      <c r="V14" s="20">
        <v>6368</v>
      </c>
      <c r="W14" s="20">
        <v>275</v>
      </c>
      <c r="X14" s="20">
        <v>178</v>
      </c>
      <c r="Y14" s="20">
        <v>5</v>
      </c>
      <c r="Z14" s="20" t="str">
        <f>IF(A14="","",IF(B14=B13+C14-D14,"CORRECT","WRONG"))</f>
        <v>CORRECT</v>
      </c>
      <c r="AA14" s="248" t="str">
        <f>IF(A14="","",IF(L14=L13+W14-X14,"CORRECT","WRONG"))</f>
        <v>CORRECT</v>
      </c>
      <c r="AB14" s="248" t="str">
        <f>IF(A14="","",IF(H14=H13-Y14,"CORRECT","WRONG"))</f>
        <v>CORRECT</v>
      </c>
      <c r="AC14" s="248"/>
    </row>
    <row r="15" spans="1:29" x14ac:dyDescent="0.25">
      <c r="A15" s="383">
        <v>45309</v>
      </c>
      <c r="B15" s="20">
        <v>191</v>
      </c>
      <c r="C15" s="20">
        <v>0</v>
      </c>
      <c r="D15" s="20">
        <v>3</v>
      </c>
      <c r="E15" s="20">
        <v>380</v>
      </c>
      <c r="F15" s="20">
        <v>279</v>
      </c>
      <c r="G15" s="20">
        <v>42</v>
      </c>
      <c r="H15" s="20">
        <v>851</v>
      </c>
      <c r="I15" s="20">
        <v>11262</v>
      </c>
      <c r="J15" s="20">
        <v>3070</v>
      </c>
      <c r="K15" s="20">
        <v>14712</v>
      </c>
      <c r="L15" s="20">
        <v>15033</v>
      </c>
      <c r="M15" s="20">
        <v>16647</v>
      </c>
      <c r="N15" s="20">
        <v>0</v>
      </c>
      <c r="O15" s="20">
        <v>0</v>
      </c>
      <c r="P15" s="20">
        <v>4854</v>
      </c>
      <c r="Q15" s="20">
        <v>0</v>
      </c>
      <c r="R15" s="20">
        <v>5</v>
      </c>
      <c r="S15" s="20">
        <v>16647</v>
      </c>
      <c r="T15" s="20">
        <v>17340</v>
      </c>
      <c r="U15" s="20">
        <v>12481</v>
      </c>
      <c r="V15" s="20">
        <v>4859</v>
      </c>
      <c r="W15" s="20">
        <v>1509</v>
      </c>
      <c r="X15" s="20">
        <v>518</v>
      </c>
      <c r="Y15" s="20">
        <v>4</v>
      </c>
      <c r="Z15" s="20" t="str">
        <f t="shared" ref="Z15:Z20" si="6">IF(A15="","",IF(B15=B14+C15-D15,"CORRECT","WRONG"))</f>
        <v>CORRECT</v>
      </c>
      <c r="AA15" s="248" t="str">
        <f t="shared" ref="AA15:AA20" si="7">IF(A15="","",IF(L15=L14+W15-X15,"CORRECT","WRONG"))</f>
        <v>CORRECT</v>
      </c>
      <c r="AB15" s="248" t="str">
        <f t="shared" ref="AB15:AB20" si="8">IF(A15="","",IF(H15=H14-Y15,"CORRECT","WRONG"))</f>
        <v>CORRECT</v>
      </c>
      <c r="AC15" s="248"/>
    </row>
    <row r="16" spans="1:29" x14ac:dyDescent="0.25">
      <c r="A16" s="383">
        <v>45315</v>
      </c>
      <c r="B16" s="20">
        <v>184</v>
      </c>
      <c r="C16" s="20">
        <v>0</v>
      </c>
      <c r="D16" s="20">
        <v>7</v>
      </c>
      <c r="E16" s="20">
        <v>380</v>
      </c>
      <c r="F16" s="20">
        <v>279</v>
      </c>
      <c r="G16" s="20">
        <v>42</v>
      </c>
      <c r="H16" s="20">
        <v>851</v>
      </c>
      <c r="I16" s="20">
        <v>10704</v>
      </c>
      <c r="J16" s="20">
        <v>3070</v>
      </c>
      <c r="K16" s="20">
        <v>14154</v>
      </c>
      <c r="L16" s="20">
        <v>14475</v>
      </c>
      <c r="M16" s="20">
        <v>16102</v>
      </c>
      <c r="N16" s="20">
        <v>0</v>
      </c>
      <c r="O16" s="20">
        <v>0</v>
      </c>
      <c r="P16" s="20">
        <v>4854</v>
      </c>
      <c r="Q16" s="20">
        <v>0</v>
      </c>
      <c r="R16" s="20">
        <v>5</v>
      </c>
      <c r="S16" s="20">
        <v>16102</v>
      </c>
      <c r="T16" s="20">
        <v>17340</v>
      </c>
      <c r="U16" s="20">
        <v>12481</v>
      </c>
      <c r="V16" s="20">
        <v>4859</v>
      </c>
      <c r="W16" s="20">
        <v>0</v>
      </c>
      <c r="X16" s="20">
        <v>558</v>
      </c>
      <c r="Y16" s="20">
        <v>0</v>
      </c>
      <c r="Z16" s="20" t="str">
        <f t="shared" si="6"/>
        <v>CORRECT</v>
      </c>
      <c r="AA16" s="248" t="str">
        <f t="shared" si="7"/>
        <v>CORRECT</v>
      </c>
      <c r="AB16" s="248" t="str">
        <f t="shared" si="8"/>
        <v>CORRECT</v>
      </c>
      <c r="AC16" s="248"/>
    </row>
    <row r="17" spans="1:29" x14ac:dyDescent="0.25">
      <c r="A17" s="383">
        <v>45326</v>
      </c>
      <c r="B17" s="20">
        <v>214</v>
      </c>
      <c r="C17" s="20">
        <v>45</v>
      </c>
      <c r="D17" s="20">
        <v>15</v>
      </c>
      <c r="E17" s="20">
        <v>380</v>
      </c>
      <c r="F17" s="20">
        <v>279</v>
      </c>
      <c r="G17" s="20">
        <v>42</v>
      </c>
      <c r="H17" s="20">
        <v>837</v>
      </c>
      <c r="I17" s="20">
        <v>9281</v>
      </c>
      <c r="J17" s="20">
        <v>3053</v>
      </c>
      <c r="K17" s="20">
        <v>12714</v>
      </c>
      <c r="L17" s="20">
        <v>13035</v>
      </c>
      <c r="M17" s="20">
        <v>18836</v>
      </c>
      <c r="N17" s="20">
        <v>0</v>
      </c>
      <c r="O17" s="20">
        <v>0</v>
      </c>
      <c r="P17" s="20">
        <v>8934</v>
      </c>
      <c r="Q17" s="20">
        <v>0</v>
      </c>
      <c r="R17" s="20">
        <v>5</v>
      </c>
      <c r="S17" s="20">
        <v>18836</v>
      </c>
      <c r="T17" s="20">
        <v>21560</v>
      </c>
      <c r="U17" s="20">
        <v>12621</v>
      </c>
      <c r="V17" s="20">
        <v>8939</v>
      </c>
      <c r="W17" s="20">
        <v>140</v>
      </c>
      <c r="X17" s="20">
        <v>1580</v>
      </c>
      <c r="Y17" s="20">
        <v>14</v>
      </c>
      <c r="Z17" s="20" t="str">
        <f t="shared" si="6"/>
        <v>CORRECT</v>
      </c>
      <c r="AA17" s="248" t="str">
        <f t="shared" si="7"/>
        <v>CORRECT</v>
      </c>
      <c r="AB17" s="248" t="str">
        <f t="shared" si="8"/>
        <v>CORRECT</v>
      </c>
      <c r="AC17" s="248"/>
    </row>
    <row r="18" spans="1:29" x14ac:dyDescent="0.25">
      <c r="A18" s="383">
        <v>45333</v>
      </c>
      <c r="B18" s="20">
        <v>202</v>
      </c>
      <c r="C18" s="20">
        <v>4</v>
      </c>
      <c r="D18" s="20">
        <v>16</v>
      </c>
      <c r="E18" s="20">
        <v>368</v>
      </c>
      <c r="F18" s="20">
        <v>279</v>
      </c>
      <c r="G18" s="20">
        <v>42</v>
      </c>
      <c r="H18" s="20">
        <v>837</v>
      </c>
      <c r="I18" s="20">
        <v>8126</v>
      </c>
      <c r="J18" s="20">
        <v>3019</v>
      </c>
      <c r="K18" s="20">
        <v>11513</v>
      </c>
      <c r="L18" s="20">
        <v>11834</v>
      </c>
      <c r="M18" s="20">
        <v>17755</v>
      </c>
      <c r="N18" s="20">
        <v>0</v>
      </c>
      <c r="O18" s="20">
        <v>0</v>
      </c>
      <c r="P18" s="20">
        <v>9272</v>
      </c>
      <c r="Q18" s="20">
        <v>25</v>
      </c>
      <c r="R18" s="20">
        <v>5</v>
      </c>
      <c r="S18" s="20">
        <v>17755</v>
      </c>
      <c r="T18" s="20">
        <v>21993</v>
      </c>
      <c r="U18" s="20">
        <v>12621</v>
      </c>
      <c r="V18" s="20">
        <v>9372</v>
      </c>
      <c r="W18" s="20">
        <v>0</v>
      </c>
      <c r="X18" s="20">
        <f>1189+12</f>
        <v>1201</v>
      </c>
      <c r="Y18" s="20">
        <v>0</v>
      </c>
      <c r="Z18" s="20" t="str">
        <f t="shared" si="6"/>
        <v>CORRECT</v>
      </c>
      <c r="AA18" s="248" t="str">
        <f t="shared" si="7"/>
        <v>CORRECT</v>
      </c>
      <c r="AB18" s="248" t="str">
        <f t="shared" si="8"/>
        <v>CORRECT</v>
      </c>
      <c r="AC18" s="248"/>
    </row>
    <row r="19" spans="1:29" x14ac:dyDescent="0.25">
      <c r="A19" s="383">
        <v>45336</v>
      </c>
      <c r="B19" s="20">
        <v>198</v>
      </c>
      <c r="C19" s="20">
        <v>2</v>
      </c>
      <c r="D19" s="20">
        <v>6</v>
      </c>
      <c r="E19" s="20">
        <v>368</v>
      </c>
      <c r="F19" s="20">
        <v>279</v>
      </c>
      <c r="G19" s="20">
        <v>42</v>
      </c>
      <c r="H19" s="20">
        <v>832</v>
      </c>
      <c r="I19" s="20">
        <v>9242</v>
      </c>
      <c r="J19" s="20">
        <v>2987</v>
      </c>
      <c r="K19" s="20">
        <v>12597</v>
      </c>
      <c r="L19" s="20">
        <v>12918</v>
      </c>
      <c r="M19" s="20">
        <v>17415</v>
      </c>
      <c r="N19" s="20">
        <v>0</v>
      </c>
      <c r="O19" s="20">
        <v>0</v>
      </c>
      <c r="P19" s="20">
        <v>7690</v>
      </c>
      <c r="Q19" s="20">
        <v>25</v>
      </c>
      <c r="R19" s="20">
        <v>5</v>
      </c>
      <c r="S19" s="20">
        <v>17415</v>
      </c>
      <c r="T19" s="20">
        <v>21993</v>
      </c>
      <c r="U19" s="20">
        <v>14273</v>
      </c>
      <c r="V19" s="20">
        <v>7720</v>
      </c>
      <c r="W19" s="20">
        <v>1652</v>
      </c>
      <c r="X19" s="20">
        <v>568</v>
      </c>
      <c r="Y19" s="20">
        <v>5</v>
      </c>
      <c r="Z19" s="20" t="str">
        <f t="shared" si="6"/>
        <v>CORRECT</v>
      </c>
      <c r="AA19" s="248" t="str">
        <f t="shared" si="7"/>
        <v>CORRECT</v>
      </c>
      <c r="AB19" s="248" t="str">
        <f t="shared" si="8"/>
        <v>CORRECT</v>
      </c>
      <c r="AC19" s="248"/>
    </row>
    <row r="20" spans="1:29" x14ac:dyDescent="0.25">
      <c r="A20" s="383">
        <v>45343</v>
      </c>
      <c r="B20" s="20">
        <v>185</v>
      </c>
      <c r="C20" s="20">
        <v>0</v>
      </c>
      <c r="D20" s="20">
        <v>13</v>
      </c>
      <c r="E20" s="20">
        <v>368</v>
      </c>
      <c r="F20" s="20">
        <v>279</v>
      </c>
      <c r="G20" s="20">
        <v>42</v>
      </c>
      <c r="H20" s="20">
        <v>830</v>
      </c>
      <c r="I20" s="20">
        <v>9786</v>
      </c>
      <c r="J20" s="20">
        <v>2965</v>
      </c>
      <c r="K20" s="20">
        <v>13119</v>
      </c>
      <c r="L20" s="20">
        <v>13440</v>
      </c>
      <c r="M20" s="20">
        <v>15975</v>
      </c>
      <c r="N20" s="20">
        <v>0</v>
      </c>
      <c r="O20" s="20">
        <v>0</v>
      </c>
      <c r="P20" s="20">
        <v>6190</v>
      </c>
      <c r="Q20" s="20">
        <v>25</v>
      </c>
      <c r="R20" s="20">
        <v>5</v>
      </c>
      <c r="S20" s="20">
        <v>22468</v>
      </c>
      <c r="T20" s="20">
        <v>22468</v>
      </c>
      <c r="U20" s="20">
        <v>16248</v>
      </c>
      <c r="V20" s="20">
        <v>6220</v>
      </c>
      <c r="W20" s="20">
        <v>1975</v>
      </c>
      <c r="X20" s="20">
        <v>1453</v>
      </c>
      <c r="Y20" s="20">
        <v>2</v>
      </c>
      <c r="Z20" s="20" t="str">
        <f t="shared" si="6"/>
        <v>CORRECT</v>
      </c>
      <c r="AA20" s="248" t="str">
        <f t="shared" si="7"/>
        <v>CORRECT</v>
      </c>
      <c r="AB20" s="248" t="str">
        <f t="shared" si="8"/>
        <v>CORRECT</v>
      </c>
      <c r="AC20" s="248"/>
    </row>
    <row r="21" spans="1:29" x14ac:dyDescent="0.25">
      <c r="A21" s="383">
        <v>45350</v>
      </c>
      <c r="B21" s="20">
        <v>215</v>
      </c>
      <c r="C21" s="20">
        <v>40</v>
      </c>
      <c r="D21" s="20">
        <v>10</v>
      </c>
      <c r="E21" s="20">
        <v>401</v>
      </c>
      <c r="F21" s="20">
        <v>279</v>
      </c>
      <c r="G21" s="20">
        <v>42</v>
      </c>
      <c r="H21" s="20">
        <v>864</v>
      </c>
      <c r="I21" s="20">
        <v>9563</v>
      </c>
      <c r="J21" s="20">
        <v>2965</v>
      </c>
      <c r="K21" s="20">
        <v>12929</v>
      </c>
      <c r="L21" s="20">
        <v>13250</v>
      </c>
      <c r="M21" s="20">
        <v>18627</v>
      </c>
      <c r="N21" s="20">
        <v>0</v>
      </c>
      <c r="O21" s="20">
        <v>0</v>
      </c>
      <c r="P21" s="20">
        <v>9066</v>
      </c>
      <c r="Q21" s="20">
        <v>25</v>
      </c>
      <c r="R21" s="20">
        <v>5</v>
      </c>
      <c r="S21" s="20">
        <v>18627</v>
      </c>
      <c r="T21" s="20">
        <v>25816</v>
      </c>
      <c r="U21" s="20">
        <v>16640</v>
      </c>
      <c r="V21" s="20">
        <v>9176</v>
      </c>
      <c r="W21" s="20">
        <v>392</v>
      </c>
      <c r="X21" s="20">
        <f>615-33</f>
        <v>582</v>
      </c>
      <c r="Y21" s="20">
        <f>15-49</f>
        <v>-34</v>
      </c>
      <c r="Z21" s="20" t="str">
        <f t="shared" ref="Z21:Z33" si="9">IF(A21="","",IF(B21=B20+C21-D21,"CORRECT","WRONG"))</f>
        <v>CORRECT</v>
      </c>
      <c r="AA21" s="248" t="str">
        <f t="shared" ref="AA21:AA33" si="10">IF(A21="","",IF(L21=L20+W21-X21,"CORRECT","WRONG"))</f>
        <v>CORRECT</v>
      </c>
      <c r="AB21" s="248" t="str">
        <f t="shared" ref="AB21:AB33" si="11">IF(A21="","",IF(H21=H20-Y21,"CORRECT","WRONG"))</f>
        <v>CORRECT</v>
      </c>
      <c r="AC21" s="248"/>
    </row>
    <row r="22" spans="1:29" x14ac:dyDescent="0.25">
      <c r="A22" s="383">
        <v>45356</v>
      </c>
      <c r="B22" s="20">
        <v>209</v>
      </c>
      <c r="C22" s="20">
        <v>0</v>
      </c>
      <c r="D22" s="20">
        <v>6</v>
      </c>
      <c r="E22" s="20">
        <v>370</v>
      </c>
      <c r="F22" s="20">
        <v>279</v>
      </c>
      <c r="G22" s="20">
        <v>42</v>
      </c>
      <c r="H22" s="20">
        <v>864</v>
      </c>
      <c r="I22" s="20">
        <v>9092</v>
      </c>
      <c r="J22" s="20">
        <v>2930</v>
      </c>
      <c r="K22" s="20">
        <v>12392</v>
      </c>
      <c r="L22" s="20">
        <v>12713</v>
      </c>
      <c r="M22" s="20">
        <v>18065</v>
      </c>
      <c r="N22" s="20">
        <v>0</v>
      </c>
      <c r="O22" s="20">
        <v>0</v>
      </c>
      <c r="P22" s="20">
        <v>9044</v>
      </c>
      <c r="Q22" s="20">
        <v>25</v>
      </c>
      <c r="R22" s="20">
        <v>5</v>
      </c>
      <c r="S22" s="20">
        <v>18065</v>
      </c>
      <c r="T22" s="20">
        <f>25816+10</f>
        <v>25826</v>
      </c>
      <c r="U22" s="20">
        <v>16672</v>
      </c>
      <c r="V22" s="20">
        <v>9154</v>
      </c>
      <c r="W22" s="20">
        <v>32</v>
      </c>
      <c r="X22" s="20">
        <f>538+31</f>
        <v>569</v>
      </c>
      <c r="Y22" s="20">
        <v>0</v>
      </c>
      <c r="Z22" s="20" t="str">
        <f t="shared" si="9"/>
        <v>CORRECT</v>
      </c>
      <c r="AA22" s="248" t="str">
        <f t="shared" si="10"/>
        <v>CORRECT</v>
      </c>
      <c r="AB22" s="248" t="str">
        <f t="shared" si="11"/>
        <v>CORRECT</v>
      </c>
      <c r="AC22" s="248"/>
    </row>
    <row r="23" spans="1:29" x14ac:dyDescent="0.25">
      <c r="A23" s="383">
        <v>45371</v>
      </c>
      <c r="B23" s="20">
        <v>210</v>
      </c>
      <c r="C23" s="20">
        <v>14</v>
      </c>
      <c r="D23" s="20">
        <v>13</v>
      </c>
      <c r="E23" s="20">
        <v>370</v>
      </c>
      <c r="F23" s="20">
        <v>268</v>
      </c>
      <c r="G23" s="20">
        <v>42</v>
      </c>
      <c r="H23" s="20">
        <v>833</v>
      </c>
      <c r="I23" s="20">
        <v>9874</v>
      </c>
      <c r="J23" s="20">
        <v>2925</v>
      </c>
      <c r="K23" s="20">
        <v>13169</v>
      </c>
      <c r="L23" s="20">
        <v>13479</v>
      </c>
      <c r="M23" s="20">
        <v>17859</v>
      </c>
      <c r="N23" s="20">
        <v>0</v>
      </c>
      <c r="O23" s="20">
        <v>0</v>
      </c>
      <c r="P23" s="20">
        <v>7920</v>
      </c>
      <c r="Q23" s="20">
        <v>25</v>
      </c>
      <c r="R23" s="20">
        <v>5</v>
      </c>
      <c r="S23" s="20">
        <v>17859</v>
      </c>
      <c r="T23" s="20">
        <v>26859</v>
      </c>
      <c r="U23" s="20">
        <v>18829</v>
      </c>
      <c r="V23" s="20">
        <v>8030</v>
      </c>
      <c r="W23" s="20">
        <v>2157</v>
      </c>
      <c r="X23" s="20">
        <f>1380+11</f>
        <v>1391</v>
      </c>
      <c r="Y23" s="20">
        <v>31</v>
      </c>
      <c r="Z23" s="20" t="str">
        <f t="shared" si="9"/>
        <v>CORRECT</v>
      </c>
      <c r="AA23" s="248" t="str">
        <f>IF(A23="","",IF(L23=L22+W23-X23,"CORRECT","WRONG"))</f>
        <v>CORRECT</v>
      </c>
      <c r="AB23" s="248" t="str">
        <f t="shared" si="11"/>
        <v>CORRECT</v>
      </c>
      <c r="AC23" s="248"/>
    </row>
    <row r="24" spans="1:29" x14ac:dyDescent="0.25">
      <c r="A24" s="383">
        <v>45376</v>
      </c>
      <c r="B24" s="20">
        <v>202</v>
      </c>
      <c r="C24" s="20">
        <v>0</v>
      </c>
      <c r="D24" s="20">
        <v>8</v>
      </c>
      <c r="E24" s="20">
        <v>370</v>
      </c>
      <c r="F24" s="20">
        <v>268</v>
      </c>
      <c r="G24" s="20">
        <v>42</v>
      </c>
      <c r="H24" s="20">
        <v>826</v>
      </c>
      <c r="I24" s="20">
        <v>9392</v>
      </c>
      <c r="J24" s="20">
        <v>2923</v>
      </c>
      <c r="K24" s="20">
        <v>12685</v>
      </c>
      <c r="L24" s="20">
        <v>12995</v>
      </c>
      <c r="M24" s="20">
        <v>17549</v>
      </c>
      <c r="N24" s="20">
        <v>0</v>
      </c>
      <c r="O24" s="20">
        <v>0</v>
      </c>
      <c r="P24" s="20">
        <v>7920</v>
      </c>
      <c r="Q24" s="20">
        <v>25</v>
      </c>
      <c r="R24" s="20">
        <v>5</v>
      </c>
      <c r="S24" s="20">
        <v>17549</v>
      </c>
      <c r="T24" s="20">
        <v>26859</v>
      </c>
      <c r="U24" s="20">
        <v>18829</v>
      </c>
      <c r="V24" s="20">
        <v>8030</v>
      </c>
      <c r="W24" s="20">
        <v>0</v>
      </c>
      <c r="X24" s="20">
        <v>484</v>
      </c>
      <c r="Y24" s="20">
        <v>7</v>
      </c>
      <c r="Z24" s="20" t="str">
        <f t="shared" si="9"/>
        <v>CORRECT</v>
      </c>
      <c r="AA24" s="248" t="str">
        <f t="shared" si="10"/>
        <v>CORRECT</v>
      </c>
      <c r="AB24" s="248" t="str">
        <f t="shared" si="11"/>
        <v>CORRECT</v>
      </c>
      <c r="AC24" s="248"/>
    </row>
    <row r="25" spans="1:29" x14ac:dyDescent="0.25">
      <c r="A25" s="383">
        <v>45399</v>
      </c>
      <c r="B25" s="20">
        <v>215</v>
      </c>
      <c r="C25" s="20">
        <v>36</v>
      </c>
      <c r="D25" s="20">
        <v>23</v>
      </c>
      <c r="E25" s="20">
        <v>370</v>
      </c>
      <c r="F25" s="20">
        <v>268</v>
      </c>
      <c r="G25" s="20">
        <v>42</v>
      </c>
      <c r="H25" s="20">
        <v>830</v>
      </c>
      <c r="I25" s="20">
        <v>9224</v>
      </c>
      <c r="J25" s="20">
        <v>2901</v>
      </c>
      <c r="K25" s="20">
        <v>12495</v>
      </c>
      <c r="L25" s="20">
        <v>12805</v>
      </c>
      <c r="M25" s="20">
        <v>18271</v>
      </c>
      <c r="N25" s="20">
        <v>0</v>
      </c>
      <c r="O25" s="20">
        <v>0</v>
      </c>
      <c r="P25" s="20">
        <v>9551</v>
      </c>
      <c r="Q25" s="20">
        <v>25</v>
      </c>
      <c r="R25" s="20">
        <v>5</v>
      </c>
      <c r="S25" s="20">
        <v>18271</v>
      </c>
      <c r="T25" s="20">
        <v>29759</v>
      </c>
      <c r="U25" s="20">
        <v>20178</v>
      </c>
      <c r="V25" s="20">
        <v>9581</v>
      </c>
      <c r="W25" s="20">
        <f>1349</f>
        <v>1349</v>
      </c>
      <c r="X25" s="20">
        <v>1539</v>
      </c>
      <c r="Y25" s="20">
        <f>16-20</f>
        <v>-4</v>
      </c>
      <c r="Z25" s="20" t="str">
        <f t="shared" si="9"/>
        <v>CORRECT</v>
      </c>
      <c r="AA25" s="248" t="str">
        <f>IF(A25="","",IF(L25=L24+W25-X25,"CORRECT","WRONG"))</f>
        <v>CORRECT</v>
      </c>
      <c r="AB25" s="248" t="str">
        <f t="shared" si="11"/>
        <v>CORRECT</v>
      </c>
      <c r="AC25" s="248" t="str">
        <f>IF(A25="","",IF(V25=P25+Q25+R25,"CORRECT","WRONG"))</f>
        <v>CORRECT</v>
      </c>
    </row>
    <row r="26" spans="1:29" x14ac:dyDescent="0.25">
      <c r="A26" s="383">
        <v>45437</v>
      </c>
      <c r="B26" s="20">
        <v>205</v>
      </c>
      <c r="C26" s="20">
        <v>10</v>
      </c>
      <c r="D26" s="20">
        <v>20</v>
      </c>
      <c r="E26" s="20">
        <v>387</v>
      </c>
      <c r="F26" s="20">
        <v>268</v>
      </c>
      <c r="G26" s="20">
        <v>42</v>
      </c>
      <c r="H26" s="20">
        <v>823</v>
      </c>
      <c r="I26" s="20">
        <v>12473</v>
      </c>
      <c r="J26" s="20">
        <v>2795</v>
      </c>
      <c r="K26" s="20">
        <v>15655</v>
      </c>
      <c r="L26" s="20">
        <v>15965</v>
      </c>
      <c r="M26" s="20">
        <v>17509</v>
      </c>
      <c r="N26" s="20">
        <v>0</v>
      </c>
      <c r="O26" s="20">
        <v>0</v>
      </c>
      <c r="P26" s="20">
        <v>4822</v>
      </c>
      <c r="Q26" s="20">
        <v>0</v>
      </c>
      <c r="R26" s="20">
        <v>5</v>
      </c>
      <c r="S26" s="20">
        <v>17509</v>
      </c>
      <c r="T26" s="20">
        <v>29749</v>
      </c>
      <c r="U26" s="20">
        <v>24922</v>
      </c>
      <c r="V26" s="20">
        <v>4827</v>
      </c>
      <c r="W26" s="20">
        <v>4744</v>
      </c>
      <c r="X26" s="20">
        <v>1584</v>
      </c>
      <c r="Y26" s="20">
        <v>7</v>
      </c>
      <c r="Z26" s="20" t="str">
        <f t="shared" si="9"/>
        <v>CORRECT</v>
      </c>
      <c r="AA26" s="248" t="str">
        <f t="shared" si="10"/>
        <v>CORRECT</v>
      </c>
      <c r="AB26" s="248" t="str">
        <f t="shared" si="11"/>
        <v>CORRECT</v>
      </c>
      <c r="AC26" s="248" t="str">
        <f t="shared" ref="AC26:AC33" si="12">IF(A26="","",IF(V26=P26+Q26+R26,"CORRECT","WRONG"))</f>
        <v>CORRECT</v>
      </c>
    </row>
    <row r="27" spans="1:29" x14ac:dyDescent="0.25">
      <c r="A27" s="383">
        <v>45420</v>
      </c>
      <c r="B27" s="20">
        <v>198</v>
      </c>
      <c r="C27" s="20">
        <v>15</v>
      </c>
      <c r="D27" s="20">
        <v>22</v>
      </c>
      <c r="E27" s="20">
        <v>433</v>
      </c>
      <c r="F27" s="20">
        <v>268</v>
      </c>
      <c r="G27" s="20">
        <v>42</v>
      </c>
      <c r="H27" s="20">
        <v>844</v>
      </c>
      <c r="I27" s="20">
        <v>13746</v>
      </c>
      <c r="J27" s="20">
        <v>2790</v>
      </c>
      <c r="K27" s="20">
        <v>16969</v>
      </c>
      <c r="L27" s="20">
        <v>17279</v>
      </c>
      <c r="M27" s="20">
        <v>16828</v>
      </c>
      <c r="N27" s="20">
        <v>0</v>
      </c>
      <c r="O27" s="20">
        <v>0</v>
      </c>
      <c r="P27" s="20">
        <v>2457</v>
      </c>
      <c r="Q27" s="20">
        <v>0</v>
      </c>
      <c r="R27" s="20">
        <v>5</v>
      </c>
      <c r="S27" s="20">
        <v>16828</v>
      </c>
      <c r="T27" s="20">
        <v>30353</v>
      </c>
      <c r="U27" s="20">
        <v>27891</v>
      </c>
      <c r="V27" s="20">
        <v>2462</v>
      </c>
      <c r="W27" s="20">
        <f>2909+60</f>
        <v>2969</v>
      </c>
      <c r="X27" s="20">
        <f>1701-17-17-16+4</f>
        <v>1655</v>
      </c>
      <c r="Y27" s="20">
        <f>16-37</f>
        <v>-21</v>
      </c>
      <c r="Z27" s="20" t="str">
        <f t="shared" si="9"/>
        <v>CORRECT</v>
      </c>
      <c r="AA27" s="248" t="str">
        <f t="shared" si="10"/>
        <v>CORRECT</v>
      </c>
      <c r="AB27" s="248" t="str">
        <f t="shared" si="11"/>
        <v>CORRECT</v>
      </c>
      <c r="AC27" s="248" t="str">
        <f t="shared" si="12"/>
        <v>CORRECT</v>
      </c>
    </row>
    <row r="28" spans="1:29" x14ac:dyDescent="0.25">
      <c r="A28" s="383">
        <v>45432</v>
      </c>
      <c r="B28" s="20">
        <v>193</v>
      </c>
      <c r="C28" s="20">
        <v>15</v>
      </c>
      <c r="D28" s="20">
        <v>20</v>
      </c>
      <c r="E28" s="20">
        <v>433</v>
      </c>
      <c r="F28" s="20">
        <v>268</v>
      </c>
      <c r="G28" s="20">
        <v>42</v>
      </c>
      <c r="H28" s="20">
        <v>807</v>
      </c>
      <c r="I28" s="20">
        <v>12664</v>
      </c>
      <c r="J28" s="20">
        <v>2745</v>
      </c>
      <c r="K28" s="20">
        <v>15842</v>
      </c>
      <c r="L28" s="20">
        <v>16152</v>
      </c>
      <c r="M28" s="20">
        <v>16099</v>
      </c>
      <c r="N28" s="20">
        <v>0</v>
      </c>
      <c r="O28" s="20">
        <v>0</v>
      </c>
      <c r="P28" s="20">
        <v>2063</v>
      </c>
      <c r="Q28" s="20">
        <v>0</v>
      </c>
      <c r="R28" s="20">
        <v>5</v>
      </c>
      <c r="S28" s="20">
        <v>16019</v>
      </c>
      <c r="T28" s="20">
        <v>30353</v>
      </c>
      <c r="U28" s="20">
        <v>28285</v>
      </c>
      <c r="V28" s="20">
        <v>2068</v>
      </c>
      <c r="W28" s="20">
        <v>394</v>
      </c>
      <c r="X28" s="20">
        <v>1521</v>
      </c>
      <c r="Y28" s="20">
        <f>37</f>
        <v>37</v>
      </c>
      <c r="Z28" s="20" t="str">
        <f t="shared" si="9"/>
        <v>CORRECT</v>
      </c>
      <c r="AA28" s="248" t="str">
        <f t="shared" si="10"/>
        <v>CORRECT</v>
      </c>
      <c r="AB28" s="248" t="str">
        <f t="shared" si="11"/>
        <v>CORRECT</v>
      </c>
      <c r="AC28" s="248" t="str">
        <f t="shared" si="12"/>
        <v>CORRECT</v>
      </c>
    </row>
    <row r="29" spans="1:29" x14ac:dyDescent="0.25">
      <c r="A29" s="383">
        <v>45438</v>
      </c>
      <c r="B29" s="20">
        <v>184</v>
      </c>
      <c r="C29" s="20">
        <v>0</v>
      </c>
      <c r="D29" s="20">
        <v>9</v>
      </c>
      <c r="E29" s="20">
        <v>433</v>
      </c>
      <c r="F29" s="20">
        <v>268</v>
      </c>
      <c r="G29" s="20">
        <v>42</v>
      </c>
      <c r="H29" s="20">
        <v>826</v>
      </c>
      <c r="I29" s="20">
        <v>12902</v>
      </c>
      <c r="J29" s="20">
        <v>2662</v>
      </c>
      <c r="K29" s="20">
        <v>15997</v>
      </c>
      <c r="L29" s="20">
        <v>16307</v>
      </c>
      <c r="M29" s="20">
        <v>15562</v>
      </c>
      <c r="N29" s="20">
        <v>0</v>
      </c>
      <c r="O29" s="20">
        <v>0</v>
      </c>
      <c r="P29" s="20">
        <v>1190</v>
      </c>
      <c r="Q29" s="20">
        <v>0</v>
      </c>
      <c r="R29" s="20">
        <v>5</v>
      </c>
      <c r="S29" s="20">
        <v>15562</v>
      </c>
      <c r="T29" s="20">
        <v>30353</v>
      </c>
      <c r="U29" s="20">
        <v>29158</v>
      </c>
      <c r="V29" s="20">
        <v>1195</v>
      </c>
      <c r="W29" s="20">
        <v>873</v>
      </c>
      <c r="X29" s="20">
        <v>718</v>
      </c>
      <c r="Y29" s="20">
        <f>10-29</f>
        <v>-19</v>
      </c>
      <c r="Z29" s="20" t="str">
        <f t="shared" si="9"/>
        <v>CORRECT</v>
      </c>
      <c r="AA29" s="248" t="str">
        <f t="shared" si="10"/>
        <v>CORRECT</v>
      </c>
      <c r="AB29" s="248" t="str">
        <f t="shared" si="11"/>
        <v>CORRECT</v>
      </c>
      <c r="AC29" s="248" t="str">
        <f t="shared" si="12"/>
        <v>CORRECT</v>
      </c>
    </row>
    <row r="30" spans="1:29" x14ac:dyDescent="0.25">
      <c r="A30" s="383">
        <v>45448</v>
      </c>
      <c r="B30" s="20">
        <v>201</v>
      </c>
      <c r="C30" s="20">
        <v>37</v>
      </c>
      <c r="D30" s="20">
        <v>20</v>
      </c>
      <c r="E30" s="20">
        <v>433</v>
      </c>
      <c r="F30" s="20">
        <v>268</v>
      </c>
      <c r="G30" s="20">
        <v>42</v>
      </c>
      <c r="H30" s="20">
        <v>894</v>
      </c>
      <c r="I30" s="20">
        <v>10825</v>
      </c>
      <c r="J30" s="20">
        <v>2713</v>
      </c>
      <c r="K30" s="20">
        <v>13971</v>
      </c>
      <c r="L30" s="20">
        <v>14281</v>
      </c>
      <c r="M30" s="20">
        <v>16055</v>
      </c>
      <c r="N30" s="20">
        <v>0</v>
      </c>
      <c r="O30" s="20">
        <v>0</v>
      </c>
      <c r="P30" s="20">
        <v>3405</v>
      </c>
      <c r="Q30" s="20">
        <v>0</v>
      </c>
      <c r="R30" s="20">
        <v>5</v>
      </c>
      <c r="S30" s="20">
        <v>16055</v>
      </c>
      <c r="T30" s="20">
        <v>32701</v>
      </c>
      <c r="U30" s="20">
        <v>29291</v>
      </c>
      <c r="V30" s="20">
        <v>3410</v>
      </c>
      <c r="W30" s="20">
        <v>133</v>
      </c>
      <c r="X30" s="20">
        <v>2159</v>
      </c>
      <c r="Y30" s="20">
        <f>34-102</f>
        <v>-68</v>
      </c>
      <c r="Z30" s="20" t="str">
        <f t="shared" si="9"/>
        <v>CORRECT</v>
      </c>
      <c r="AA30" s="248" t="str">
        <f t="shared" si="10"/>
        <v>CORRECT</v>
      </c>
      <c r="AB30" s="248" t="str">
        <f t="shared" si="11"/>
        <v>CORRECT</v>
      </c>
      <c r="AC30" s="248" t="str">
        <f t="shared" si="12"/>
        <v>CORRECT</v>
      </c>
    </row>
    <row r="31" spans="1:29" x14ac:dyDescent="0.25">
      <c r="A31" s="383">
        <v>45470</v>
      </c>
      <c r="B31" s="20">
        <v>175</v>
      </c>
      <c r="C31" s="20">
        <v>8</v>
      </c>
      <c r="D31" s="20">
        <v>34</v>
      </c>
      <c r="E31" s="20">
        <v>430</v>
      </c>
      <c r="F31" s="20">
        <v>958</v>
      </c>
      <c r="G31" s="20">
        <v>42</v>
      </c>
      <c r="H31" s="20">
        <v>859</v>
      </c>
      <c r="I31" s="20">
        <v>9206</v>
      </c>
      <c r="J31" s="20">
        <v>2671</v>
      </c>
      <c r="K31" s="20">
        <v>12307</v>
      </c>
      <c r="L31" s="20">
        <v>13307</v>
      </c>
      <c r="M31" s="20">
        <v>14802</v>
      </c>
      <c r="N31" s="20">
        <v>0</v>
      </c>
      <c r="O31" s="20">
        <v>0</v>
      </c>
      <c r="P31" s="20">
        <v>2564</v>
      </c>
      <c r="Q31" s="20">
        <v>0</v>
      </c>
      <c r="R31" s="20">
        <v>5</v>
      </c>
      <c r="S31" s="20">
        <v>14254</v>
      </c>
      <c r="T31" s="20">
        <v>32742</v>
      </c>
      <c r="U31" s="20">
        <v>30173</v>
      </c>
      <c r="V31" s="20">
        <v>2569</v>
      </c>
      <c r="W31" s="20">
        <f>814+11</f>
        <v>825</v>
      </c>
      <c r="X31" s="20">
        <f>2486-178-512+3</f>
        <v>1799</v>
      </c>
      <c r="Y31" s="20">
        <f>49-14</f>
        <v>35</v>
      </c>
      <c r="Z31" s="20" t="str">
        <f t="shared" si="9"/>
        <v>CORRECT</v>
      </c>
      <c r="AA31" s="248" t="str">
        <f>IF(A31="","",IF(L31=L30+W31-X31,"CORRECT","WRONG"))</f>
        <v>CORRECT</v>
      </c>
      <c r="AB31" s="248" t="str">
        <f t="shared" si="11"/>
        <v>CORRECT</v>
      </c>
      <c r="AC31" s="248" t="str">
        <f t="shared" si="12"/>
        <v>CORRECT</v>
      </c>
    </row>
    <row r="32" spans="1:29" x14ac:dyDescent="0.25">
      <c r="A32" s="383">
        <v>45488</v>
      </c>
      <c r="B32" s="20">
        <v>169</v>
      </c>
      <c r="C32" s="20">
        <v>19</v>
      </c>
      <c r="D32" s="20">
        <v>25</v>
      </c>
      <c r="E32" s="20">
        <v>400</v>
      </c>
      <c r="F32" s="20">
        <v>958</v>
      </c>
      <c r="G32" s="20">
        <v>42</v>
      </c>
      <c r="H32" s="20">
        <v>791</v>
      </c>
      <c r="I32" s="20">
        <v>8680</v>
      </c>
      <c r="J32" s="20">
        <v>2626</v>
      </c>
      <c r="K32" s="20">
        <v>11706</v>
      </c>
      <c r="L32" s="20">
        <v>12706</v>
      </c>
      <c r="M32" s="20">
        <v>13702</v>
      </c>
      <c r="N32" s="20">
        <v>0</v>
      </c>
      <c r="O32" s="20">
        <v>0</v>
      </c>
      <c r="P32" s="20">
        <v>2185</v>
      </c>
      <c r="Q32" s="20">
        <v>0</v>
      </c>
      <c r="R32" s="20">
        <v>5</v>
      </c>
      <c r="S32" s="20">
        <v>13702</v>
      </c>
      <c r="T32" s="20">
        <v>34087</v>
      </c>
      <c r="U32" s="20">
        <v>31897</v>
      </c>
      <c r="V32" s="20">
        <v>2190</v>
      </c>
      <c r="W32" s="20">
        <f>1711+70</f>
        <v>1781</v>
      </c>
      <c r="X32" s="20">
        <f>2352+16+14</f>
        <v>2382</v>
      </c>
      <c r="Y32" s="20">
        <v>68</v>
      </c>
      <c r="Z32" s="20" t="str">
        <f t="shared" si="9"/>
        <v>CORRECT</v>
      </c>
      <c r="AA32" s="248" t="str">
        <f>IF(A32="","",IF(L32=L31+W32-X32,"CORRECT","WRONG"))</f>
        <v>CORRECT</v>
      </c>
      <c r="AB32" s="248" t="str">
        <f t="shared" si="11"/>
        <v>CORRECT</v>
      </c>
      <c r="AC32" s="248" t="str">
        <f t="shared" si="12"/>
        <v>CORRECT</v>
      </c>
    </row>
    <row r="33" spans="1:29" x14ac:dyDescent="0.25">
      <c r="A33" s="20" t="s">
        <v>3771</v>
      </c>
      <c r="B33" s="20">
        <v>157</v>
      </c>
      <c r="C33" s="20">
        <v>0</v>
      </c>
      <c r="D33" s="20">
        <v>12</v>
      </c>
      <c r="E33" s="20">
        <v>400</v>
      </c>
      <c r="F33" s="20">
        <v>958</v>
      </c>
      <c r="G33" s="20">
        <v>42</v>
      </c>
      <c r="H33" s="20">
        <v>778</v>
      </c>
      <c r="I33" s="20">
        <v>8112</v>
      </c>
      <c r="J33" s="20">
        <v>2449</v>
      </c>
      <c r="K33" s="20">
        <v>10961</v>
      </c>
      <c r="L33" s="20">
        <v>11961</v>
      </c>
      <c r="M33" s="20">
        <v>12464</v>
      </c>
      <c r="N33" s="20">
        <v>0</v>
      </c>
      <c r="O33" s="20">
        <v>0</v>
      </c>
      <c r="P33" s="20">
        <v>1728</v>
      </c>
      <c r="Q33" s="20">
        <v>0</v>
      </c>
      <c r="R33" s="20">
        <v>5</v>
      </c>
      <c r="S33" s="20">
        <v>12464</v>
      </c>
      <c r="T33" s="20">
        <v>34087</v>
      </c>
      <c r="U33" s="20">
        <v>32354</v>
      </c>
      <c r="V33" s="20">
        <v>1733</v>
      </c>
      <c r="W33" s="20">
        <v>457</v>
      </c>
      <c r="X33" s="20">
        <v>1202</v>
      </c>
      <c r="Y33" s="20">
        <v>13</v>
      </c>
      <c r="Z33" s="20" t="str">
        <f t="shared" si="9"/>
        <v>CORRECT</v>
      </c>
      <c r="AA33" s="248" t="str">
        <f t="shared" si="10"/>
        <v>CORRECT</v>
      </c>
      <c r="AB33" s="248" t="str">
        <f t="shared" si="11"/>
        <v>CORRECT</v>
      </c>
      <c r="AC33" s="248" t="str">
        <f t="shared" si="12"/>
        <v>CORRECT</v>
      </c>
    </row>
    <row r="34" spans="1:29" x14ac:dyDescent="0.25">
      <c r="A34" s="383">
        <v>45522</v>
      </c>
      <c r="B34" s="20">
        <v>152</v>
      </c>
      <c r="C34" s="20">
        <v>26</v>
      </c>
      <c r="D34" s="20">
        <v>31</v>
      </c>
      <c r="E34" s="20">
        <v>370</v>
      </c>
      <c r="F34" s="20">
        <v>958</v>
      </c>
      <c r="G34" s="20">
        <v>42</v>
      </c>
      <c r="H34" s="20">
        <v>770</v>
      </c>
      <c r="I34" s="20">
        <v>7138</v>
      </c>
      <c r="J34" s="20">
        <v>2181</v>
      </c>
      <c r="K34" s="20">
        <v>9689</v>
      </c>
      <c r="L34" s="20">
        <v>10689</v>
      </c>
      <c r="M34" s="20">
        <v>12303</v>
      </c>
      <c r="N34" s="20">
        <v>0</v>
      </c>
      <c r="O34" s="20">
        <v>0</v>
      </c>
      <c r="P34" s="20">
        <v>2263</v>
      </c>
      <c r="Q34" s="20">
        <v>0</v>
      </c>
      <c r="R34" s="20">
        <v>5</v>
      </c>
      <c r="S34" s="20">
        <v>12303</v>
      </c>
      <c r="T34" s="20">
        <v>35949</v>
      </c>
      <c r="U34" s="20">
        <v>33681</v>
      </c>
      <c r="V34" s="20">
        <v>2268</v>
      </c>
      <c r="W34" s="20">
        <v>1327</v>
      </c>
      <c r="X34" s="20">
        <f>2569+30</f>
        <v>2599</v>
      </c>
      <c r="Y34" s="20">
        <f>34-26</f>
        <v>8</v>
      </c>
      <c r="Z34" s="20" t="str">
        <f t="shared" ref="Z34:Z52" si="13">IF(A34="","",IF(B34=B33+C34-D34,"CORRECT","WRONG"))</f>
        <v>CORRECT</v>
      </c>
      <c r="AA34" s="248" t="str">
        <f t="shared" ref="AA34:AA52" si="14">IF(A34="","",IF(L34=L33+W34-X34,"CORRECT","WRONG"))</f>
        <v>CORRECT</v>
      </c>
      <c r="AB34" s="248" t="str">
        <f t="shared" ref="AB34:AB52" si="15">IF(A34="","",IF(H34=H33-Y34,"CORRECT","WRONG"))</f>
        <v>CORRECT</v>
      </c>
      <c r="AC34" s="248" t="str">
        <f>IF(A34="","",IF(V34=P34+Q34+R34,"CORRECT","WRONG"))</f>
        <v>CORRECT</v>
      </c>
    </row>
    <row r="35" spans="1:29" x14ac:dyDescent="0.25">
      <c r="A35" s="383">
        <v>45523</v>
      </c>
      <c r="B35" s="20">
        <v>147</v>
      </c>
      <c r="C35" s="20">
        <v>0</v>
      </c>
      <c r="D35" s="20">
        <v>5</v>
      </c>
      <c r="E35" s="20">
        <v>370</v>
      </c>
      <c r="F35" s="20">
        <v>958</v>
      </c>
      <c r="G35" s="20">
        <v>42</v>
      </c>
      <c r="H35" s="20">
        <v>770</v>
      </c>
      <c r="I35" s="20">
        <v>6793</v>
      </c>
      <c r="J35" s="20">
        <v>2181</v>
      </c>
      <c r="K35" s="20">
        <v>9344</v>
      </c>
      <c r="L35" s="20">
        <v>10344</v>
      </c>
      <c r="M35" s="20">
        <v>12003</v>
      </c>
      <c r="N35" s="20">
        <v>0</v>
      </c>
      <c r="O35" s="20">
        <v>0</v>
      </c>
      <c r="P35" s="20">
        <v>2261</v>
      </c>
      <c r="Q35" s="20">
        <v>0</v>
      </c>
      <c r="R35" s="20">
        <v>5</v>
      </c>
      <c r="S35" s="20">
        <v>12003</v>
      </c>
      <c r="T35" s="20">
        <v>35949</v>
      </c>
      <c r="U35" s="20">
        <v>33683</v>
      </c>
      <c r="V35" s="20">
        <v>2266</v>
      </c>
      <c r="W35" s="20">
        <v>2</v>
      </c>
      <c r="X35" s="20">
        <v>347</v>
      </c>
      <c r="Y35" s="20">
        <v>0</v>
      </c>
      <c r="Z35" s="20" t="str">
        <f t="shared" si="13"/>
        <v>CORRECT</v>
      </c>
      <c r="AA35" s="248" t="str">
        <f t="shared" si="14"/>
        <v>CORRECT</v>
      </c>
      <c r="AB35" s="248" t="str">
        <f t="shared" si="15"/>
        <v>CORRECT</v>
      </c>
      <c r="AC35" s="248" t="str">
        <f t="shared" ref="AC35:AC52" si="16">IF(A35="","",IF(V35=P35+Q35+R35,"CORRECT","WRONG"))</f>
        <v>CORRECT</v>
      </c>
    </row>
    <row r="36" spans="1:29" x14ac:dyDescent="0.25">
      <c r="A36" s="383">
        <v>45536</v>
      </c>
      <c r="B36" s="20">
        <v>135</v>
      </c>
      <c r="C36" s="20">
        <v>0</v>
      </c>
      <c r="D36" s="20">
        <v>12</v>
      </c>
      <c r="E36" s="20">
        <v>853</v>
      </c>
      <c r="F36" s="20">
        <v>898</v>
      </c>
      <c r="G36" s="20">
        <v>43</v>
      </c>
      <c r="H36" s="20">
        <v>786</v>
      </c>
      <c r="I36" s="20">
        <v>6131</v>
      </c>
      <c r="J36" s="20">
        <v>2117</v>
      </c>
      <c r="K36" s="20">
        <v>9101</v>
      </c>
      <c r="L36" s="20">
        <v>10042</v>
      </c>
      <c r="M36" s="20">
        <v>11090</v>
      </c>
      <c r="N36" s="20">
        <v>0</v>
      </c>
      <c r="O36" s="20">
        <v>0</v>
      </c>
      <c r="P36" s="20">
        <v>2776</v>
      </c>
      <c r="Q36" s="20">
        <v>0</v>
      </c>
      <c r="R36" s="20">
        <v>5</v>
      </c>
      <c r="S36" s="20">
        <v>11090</v>
      </c>
      <c r="T36" s="20">
        <v>36649</v>
      </c>
      <c r="U36" s="20">
        <v>33868</v>
      </c>
      <c r="V36" s="20">
        <v>2781</v>
      </c>
      <c r="W36" s="20">
        <f>28+30+35+59+33</f>
        <v>185</v>
      </c>
      <c r="X36" s="20">
        <f>883+71-425-11-1-27-31</f>
        <v>459</v>
      </c>
      <c r="Y36" s="20">
        <f>12-28</f>
        <v>-16</v>
      </c>
      <c r="Z36" s="20" t="str">
        <f t="shared" si="13"/>
        <v>CORRECT</v>
      </c>
      <c r="AA36" s="248" t="str">
        <f t="shared" si="14"/>
        <v>WRONG</v>
      </c>
      <c r="AB36" s="248" t="str">
        <f t="shared" si="15"/>
        <v>CORRECT</v>
      </c>
      <c r="AC36" s="248" t="str">
        <f t="shared" si="16"/>
        <v>CORRECT</v>
      </c>
    </row>
    <row r="37" spans="1:29" x14ac:dyDescent="0.25">
      <c r="A37" s="383">
        <v>45564</v>
      </c>
      <c r="B37" s="20">
        <v>147</v>
      </c>
      <c r="C37" s="20">
        <v>19</v>
      </c>
      <c r="D37" s="20">
        <v>7</v>
      </c>
      <c r="E37" s="20">
        <v>1404</v>
      </c>
      <c r="F37" s="20">
        <v>262</v>
      </c>
      <c r="G37" s="20">
        <v>42</v>
      </c>
      <c r="H37" s="20">
        <v>720</v>
      </c>
      <c r="I37" s="20">
        <v>7583</v>
      </c>
      <c r="J37" s="20">
        <v>2128</v>
      </c>
      <c r="K37" s="20">
        <v>11115</v>
      </c>
      <c r="L37" s="20">
        <v>11419</v>
      </c>
      <c r="M37" s="20">
        <v>11776</v>
      </c>
      <c r="N37" s="20">
        <v>0</v>
      </c>
      <c r="O37" s="20">
        <v>0</v>
      </c>
      <c r="P37" s="20">
        <v>3372</v>
      </c>
      <c r="Q37" s="20">
        <v>0</v>
      </c>
      <c r="R37" s="20">
        <v>5</v>
      </c>
      <c r="S37" s="20">
        <v>11776</v>
      </c>
      <c r="T37" s="20">
        <v>39078</v>
      </c>
      <c r="U37" s="20">
        <v>35701</v>
      </c>
      <c r="V37" s="20">
        <v>3377</v>
      </c>
      <c r="W37" s="20">
        <v>1752</v>
      </c>
      <c r="X37" s="20">
        <v>400</v>
      </c>
      <c r="Y37" s="20">
        <f>72-10</f>
        <v>62</v>
      </c>
      <c r="Z37" s="20" t="str">
        <f t="shared" si="13"/>
        <v>CORRECT</v>
      </c>
      <c r="AA37" s="248" t="str">
        <f t="shared" si="14"/>
        <v>WRONG</v>
      </c>
      <c r="AB37" s="248" t="str">
        <f>IF(A37="","",IF(H37=H36-Y37,"CORRECT","WRONG"))</f>
        <v>WRONG</v>
      </c>
      <c r="AC37" s="248" t="str">
        <f t="shared" si="16"/>
        <v>CORRECT</v>
      </c>
    </row>
    <row r="38" spans="1:29" x14ac:dyDescent="0.25">
      <c r="A38" s="383">
        <v>45582</v>
      </c>
      <c r="B38" s="20">
        <v>156</v>
      </c>
      <c r="C38" s="20">
        <v>22</v>
      </c>
      <c r="D38" s="20">
        <v>13</v>
      </c>
      <c r="E38" s="20">
        <v>1391</v>
      </c>
      <c r="F38" s="20">
        <v>262</v>
      </c>
      <c r="G38" s="20">
        <v>42</v>
      </c>
      <c r="H38" s="20">
        <v>701</v>
      </c>
      <c r="I38" s="20">
        <v>8734</v>
      </c>
      <c r="J38" s="20">
        <v>2064</v>
      </c>
      <c r="K38" s="20">
        <v>12189</v>
      </c>
      <c r="L38" s="20">
        <v>12493</v>
      </c>
      <c r="M38" s="20">
        <v>12283</v>
      </c>
      <c r="N38" s="20">
        <v>0</v>
      </c>
      <c r="O38" s="20">
        <v>0</v>
      </c>
      <c r="P38" s="20">
        <v>2516</v>
      </c>
      <c r="Q38" s="20">
        <v>0</v>
      </c>
      <c r="R38" s="20">
        <v>5</v>
      </c>
      <c r="S38" s="20">
        <v>12283</v>
      </c>
      <c r="T38" s="20">
        <v>40141</v>
      </c>
      <c r="U38" s="20">
        <v>37620</v>
      </c>
      <c r="V38" s="20">
        <v>2521</v>
      </c>
      <c r="W38" s="541">
        <v>1911</v>
      </c>
      <c r="X38" s="20">
        <f>832+4+9</f>
        <v>845</v>
      </c>
      <c r="Y38" s="20">
        <v>19</v>
      </c>
      <c r="Z38" s="20" t="str">
        <f t="shared" si="13"/>
        <v>CORRECT</v>
      </c>
      <c r="AA38" s="248" t="str">
        <f>IF(A38="","",IF(L38=L37+W38-X38,"CORRECT","WRONG"))</f>
        <v>WRONG</v>
      </c>
      <c r="AB38" s="248" t="str">
        <f t="shared" si="15"/>
        <v>CORRECT</v>
      </c>
      <c r="AC38" s="248" t="str">
        <f t="shared" si="16"/>
        <v>CORRECT</v>
      </c>
    </row>
    <row r="39" spans="1:29" x14ac:dyDescent="0.25">
      <c r="A39" s="383">
        <v>45593</v>
      </c>
      <c r="B39" s="20">
        <v>148</v>
      </c>
      <c r="C39" s="20">
        <v>0</v>
      </c>
      <c r="D39" s="20">
        <v>8</v>
      </c>
      <c r="E39" s="20">
        <v>1349</v>
      </c>
      <c r="F39" s="20">
        <v>268</v>
      </c>
      <c r="G39" s="20">
        <v>42</v>
      </c>
      <c r="H39" s="20">
        <v>722</v>
      </c>
      <c r="I39" s="20">
        <v>9250</v>
      </c>
      <c r="J39" s="20">
        <v>1957</v>
      </c>
      <c r="K39" s="20">
        <v>12599</v>
      </c>
      <c r="L39" s="20">
        <v>12919</v>
      </c>
      <c r="M39" s="20">
        <v>11848</v>
      </c>
      <c r="N39" s="20">
        <v>0</v>
      </c>
      <c r="O39" s="20">
        <v>0</v>
      </c>
      <c r="P39" s="20">
        <v>1591</v>
      </c>
      <c r="Q39" s="20">
        <v>0</v>
      </c>
      <c r="R39" s="20">
        <v>5</v>
      </c>
      <c r="S39" s="20">
        <v>11848</v>
      </c>
      <c r="T39" s="20">
        <v>40191</v>
      </c>
      <c r="U39" s="20">
        <v>38595</v>
      </c>
      <c r="V39" s="20">
        <v>1596</v>
      </c>
      <c r="W39" s="20">
        <v>975</v>
      </c>
      <c r="X39" s="20">
        <v>550</v>
      </c>
      <c r="Y39" s="20">
        <f>12-33</f>
        <v>-21</v>
      </c>
      <c r="Z39" s="20" t="str">
        <f t="shared" si="13"/>
        <v>CORRECT</v>
      </c>
      <c r="AA39" s="248" t="str">
        <f>IF(A39="","",IF(L39=L38+W39-X39,"CORRECT","WRONG"))</f>
        <v>WRONG</v>
      </c>
      <c r="AB39" s="248" t="str">
        <f t="shared" si="15"/>
        <v>CORRECT</v>
      </c>
      <c r="AC39" s="248" t="str">
        <f t="shared" si="16"/>
        <v>CORRECT</v>
      </c>
    </row>
    <row r="40" spans="1:29" x14ac:dyDescent="0.2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>
        <f>L36+W37-X37</f>
        <v>11394</v>
      </c>
      <c r="M40" s="20"/>
      <c r="N40" s="20"/>
      <c r="O40" s="20"/>
      <c r="P40" s="20"/>
      <c r="Q40" s="20"/>
      <c r="R40" s="20"/>
      <c r="S40" s="20"/>
      <c r="T40" s="20">
        <f>T38-T37</f>
        <v>1063</v>
      </c>
      <c r="U40" s="540">
        <f>U38-U37</f>
        <v>1919</v>
      </c>
      <c r="V40" s="20"/>
      <c r="W40" s="20"/>
      <c r="X40" s="20"/>
      <c r="Y40" s="20"/>
      <c r="Z40" s="20" t="str">
        <f t="shared" si="13"/>
        <v/>
      </c>
      <c r="AA40" s="248" t="str">
        <f t="shared" si="14"/>
        <v/>
      </c>
      <c r="AB40" s="248" t="str">
        <f t="shared" si="15"/>
        <v/>
      </c>
      <c r="AC40" s="248" t="str">
        <f t="shared" si="16"/>
        <v/>
      </c>
    </row>
    <row r="41" spans="1:29" x14ac:dyDescent="0.25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77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 t="str">
        <f t="shared" si="13"/>
        <v/>
      </c>
      <c r="AA41" s="248" t="str">
        <f t="shared" si="14"/>
        <v/>
      </c>
      <c r="AB41" s="248" t="str">
        <f t="shared" si="15"/>
        <v/>
      </c>
      <c r="AC41" s="248" t="str">
        <f t="shared" si="16"/>
        <v/>
      </c>
    </row>
    <row r="42" spans="1:29" x14ac:dyDescent="0.25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77">
        <f>L40-L37</f>
        <v>-25</v>
      </c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 t="str">
        <f t="shared" si="13"/>
        <v/>
      </c>
      <c r="AA42" s="248" t="str">
        <f t="shared" si="14"/>
        <v/>
      </c>
      <c r="AB42" s="248" t="str">
        <f t="shared" si="15"/>
        <v/>
      </c>
      <c r="AC42" s="248" t="str">
        <f t="shared" si="16"/>
        <v/>
      </c>
    </row>
    <row r="43" spans="1:29" x14ac:dyDescent="0.25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 t="str">
        <f t="shared" si="13"/>
        <v/>
      </c>
      <c r="AA43" s="248" t="str">
        <f t="shared" si="14"/>
        <v/>
      </c>
      <c r="AB43" s="248" t="str">
        <f t="shared" si="15"/>
        <v/>
      </c>
      <c r="AC43" s="248" t="str">
        <f t="shared" si="16"/>
        <v/>
      </c>
    </row>
    <row r="44" spans="1:29" x14ac:dyDescent="0.25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540">
        <f>L37+W38-X38</f>
        <v>12485</v>
      </c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 t="str">
        <f t="shared" si="13"/>
        <v/>
      </c>
      <c r="AA44" s="248" t="str">
        <f t="shared" si="14"/>
        <v/>
      </c>
      <c r="AB44" s="248" t="str">
        <f t="shared" si="15"/>
        <v/>
      </c>
      <c r="AC44" s="248" t="str">
        <f t="shared" si="16"/>
        <v/>
      </c>
    </row>
    <row r="45" spans="1:29" x14ac:dyDescent="0.25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540">
        <f>L44-L38</f>
        <v>-8</v>
      </c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 t="str">
        <f t="shared" si="13"/>
        <v/>
      </c>
      <c r="AA45" s="248" t="str">
        <f t="shared" si="14"/>
        <v/>
      </c>
      <c r="AB45" s="248" t="str">
        <f t="shared" si="15"/>
        <v/>
      </c>
      <c r="AC45" s="248" t="str">
        <f t="shared" si="16"/>
        <v/>
      </c>
    </row>
    <row r="46" spans="1:29" x14ac:dyDescent="0.25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 t="str">
        <f t="shared" si="13"/>
        <v/>
      </c>
      <c r="AA46" s="248" t="str">
        <f t="shared" si="14"/>
        <v/>
      </c>
      <c r="AB46" s="248" t="str">
        <f t="shared" si="15"/>
        <v/>
      </c>
      <c r="AC46" s="248" t="str">
        <f t="shared" si="16"/>
        <v/>
      </c>
    </row>
    <row r="47" spans="1:29" x14ac:dyDescent="0.25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 t="str">
        <f t="shared" si="13"/>
        <v/>
      </c>
      <c r="AA47" s="248" t="str">
        <f t="shared" si="14"/>
        <v/>
      </c>
      <c r="AB47" s="248" t="str">
        <f t="shared" si="15"/>
        <v/>
      </c>
      <c r="AC47" s="248" t="str">
        <f t="shared" si="16"/>
        <v/>
      </c>
    </row>
    <row r="48" spans="1:29" x14ac:dyDescent="0.25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 t="str">
        <f t="shared" si="13"/>
        <v/>
      </c>
      <c r="AA48" s="248" t="str">
        <f t="shared" si="14"/>
        <v/>
      </c>
      <c r="AB48" s="248" t="str">
        <f t="shared" si="15"/>
        <v/>
      </c>
      <c r="AC48" s="248" t="str">
        <f t="shared" si="16"/>
        <v/>
      </c>
    </row>
    <row r="49" spans="1:29" x14ac:dyDescent="0.25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 t="str">
        <f t="shared" si="13"/>
        <v/>
      </c>
      <c r="AA49" s="248" t="str">
        <f t="shared" si="14"/>
        <v/>
      </c>
      <c r="AB49" s="248" t="str">
        <f t="shared" si="15"/>
        <v/>
      </c>
      <c r="AC49" s="248" t="str">
        <f t="shared" si="16"/>
        <v/>
      </c>
    </row>
    <row r="50" spans="1:29" x14ac:dyDescent="0.25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 t="str">
        <f t="shared" si="13"/>
        <v/>
      </c>
      <c r="AA50" s="248" t="str">
        <f t="shared" si="14"/>
        <v/>
      </c>
      <c r="AB50" s="248" t="str">
        <f t="shared" si="15"/>
        <v/>
      </c>
      <c r="AC50" s="248" t="str">
        <f t="shared" si="16"/>
        <v/>
      </c>
    </row>
    <row r="51" spans="1:29" x14ac:dyDescent="0.25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 t="str">
        <f t="shared" si="13"/>
        <v/>
      </c>
      <c r="AA51" s="248" t="str">
        <f t="shared" si="14"/>
        <v/>
      </c>
      <c r="AB51" s="248" t="str">
        <f t="shared" si="15"/>
        <v/>
      </c>
      <c r="AC51" s="248" t="str">
        <f t="shared" si="16"/>
        <v/>
      </c>
    </row>
    <row r="52" spans="1:29" x14ac:dyDescent="0.25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 t="str">
        <f t="shared" si="13"/>
        <v/>
      </c>
      <c r="AA52" s="248" t="str">
        <f t="shared" si="14"/>
        <v/>
      </c>
      <c r="AB52" s="248" t="str">
        <f t="shared" si="15"/>
        <v/>
      </c>
      <c r="AC52" s="248" t="str">
        <f t="shared" si="16"/>
        <v/>
      </c>
    </row>
    <row r="133" spans="6:6" x14ac:dyDescent="0.25">
      <c r="F133" s="590">
        <v>45658</v>
      </c>
    </row>
    <row r="135" spans="6:6" x14ac:dyDescent="0.25">
      <c r="F135" s="21" t="s">
        <v>3772</v>
      </c>
    </row>
  </sheetData>
  <mergeCells count="4">
    <mergeCell ref="E1:L1"/>
    <mergeCell ref="A1:D1"/>
    <mergeCell ref="T1:Y1"/>
    <mergeCell ref="Z1:AB1"/>
  </mergeCell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8">
    <tabColor theme="8" tint="-0.249977111117893"/>
  </sheetPr>
  <dimension ref="A1:M71"/>
  <sheetViews>
    <sheetView topLeftCell="A6" zoomScale="90" zoomScaleNormal="90" workbookViewId="0">
      <selection activeCell="C39" sqref="C39"/>
    </sheetView>
  </sheetViews>
  <sheetFormatPr defaultColWidth="9.26953125" defaultRowHeight="12.5" x14ac:dyDescent="0.25"/>
  <cols>
    <col min="1" max="1" width="45.26953125" style="19" bestFit="1" customWidth="1"/>
    <col min="2" max="2" width="18.26953125" style="175" bestFit="1" customWidth="1"/>
    <col min="3" max="4" width="11.54296875" style="175" customWidth="1"/>
    <col min="5" max="5" width="13.26953125" style="19" bestFit="1" customWidth="1"/>
    <col min="6" max="6" width="11.54296875" style="19" bestFit="1" customWidth="1"/>
    <col min="7" max="7" width="45.7265625" style="19" customWidth="1"/>
    <col min="8" max="8" width="17.26953125" style="19" bestFit="1" customWidth="1"/>
    <col min="9" max="9" width="51.26953125" style="21" bestFit="1" customWidth="1"/>
    <col min="10" max="10" width="11.26953125" style="19" bestFit="1" customWidth="1"/>
    <col min="11" max="11" width="19" style="19" bestFit="1" customWidth="1"/>
    <col min="12" max="12" width="11" style="19" bestFit="1" customWidth="1"/>
    <col min="13" max="13" width="45.7265625" style="19" customWidth="1"/>
    <col min="14" max="14" width="12.54296875" style="19" bestFit="1" customWidth="1"/>
    <col min="15" max="16384" width="9.26953125" style="19"/>
  </cols>
  <sheetData>
    <row r="1" spans="1:13" ht="13.5" thickBot="1" x14ac:dyDescent="0.3">
      <c r="A1" s="836" t="s">
        <v>512</v>
      </c>
      <c r="B1" s="837"/>
      <c r="C1" s="837"/>
      <c r="D1" s="838"/>
      <c r="G1" s="839" t="s">
        <v>3773</v>
      </c>
      <c r="H1" s="840"/>
      <c r="I1" s="840"/>
      <c r="J1" s="840"/>
      <c r="K1" s="840"/>
      <c r="L1" s="840"/>
      <c r="M1" s="840"/>
    </row>
    <row r="2" spans="1:13" ht="13.5" thickBot="1" x14ac:dyDescent="0.3">
      <c r="A2" s="163" t="s">
        <v>514</v>
      </c>
      <c r="B2" s="171" t="s">
        <v>515</v>
      </c>
      <c r="C2" s="180" t="s">
        <v>516</v>
      </c>
      <c r="D2" s="180" t="s">
        <v>517</v>
      </c>
      <c r="G2" s="252" t="s">
        <v>7</v>
      </c>
      <c r="H2" s="252"/>
      <c r="I2" s="252" t="s">
        <v>514</v>
      </c>
      <c r="J2" s="253" t="s">
        <v>518</v>
      </c>
      <c r="K2" s="253" t="s">
        <v>516</v>
      </c>
      <c r="L2" s="253" t="s">
        <v>519</v>
      </c>
      <c r="M2" s="252" t="s">
        <v>19</v>
      </c>
    </row>
    <row r="3" spans="1:13" ht="14.65" customHeight="1" x14ac:dyDescent="0.25">
      <c r="A3" s="167" t="s">
        <v>520</v>
      </c>
      <c r="B3" s="172">
        <v>1193589</v>
      </c>
      <c r="C3" s="181">
        <v>3</v>
      </c>
      <c r="D3" s="181">
        <v>0</v>
      </c>
      <c r="G3" s="254" t="s">
        <v>521</v>
      </c>
      <c r="H3" s="254"/>
      <c r="I3" s="255" t="s">
        <v>522</v>
      </c>
      <c r="J3" s="256">
        <v>101607524</v>
      </c>
      <c r="K3" s="209"/>
      <c r="L3" s="209">
        <v>0</v>
      </c>
      <c r="M3" s="254"/>
    </row>
    <row r="4" spans="1:13" ht="14.5" x14ac:dyDescent="0.25">
      <c r="A4" s="165" t="s">
        <v>523</v>
      </c>
      <c r="B4" s="173">
        <v>1193590</v>
      </c>
      <c r="C4" s="182">
        <v>3</v>
      </c>
      <c r="D4" s="182">
        <v>0</v>
      </c>
      <c r="G4" s="254"/>
      <c r="H4" s="254"/>
      <c r="I4" s="255" t="s">
        <v>524</v>
      </c>
      <c r="J4" s="256">
        <v>103091324</v>
      </c>
      <c r="K4" s="257"/>
      <c r="L4" s="257">
        <v>0</v>
      </c>
      <c r="M4" s="254"/>
    </row>
    <row r="5" spans="1:13" ht="14.5" x14ac:dyDescent="0.25">
      <c r="A5" s="165" t="s">
        <v>525</v>
      </c>
      <c r="B5" s="173">
        <v>1094254</v>
      </c>
      <c r="C5" s="182">
        <v>14</v>
      </c>
      <c r="D5" s="182">
        <v>0</v>
      </c>
      <c r="G5" s="254"/>
      <c r="H5" s="254"/>
      <c r="I5" s="255" t="s">
        <v>526</v>
      </c>
      <c r="J5" s="256">
        <v>133969</v>
      </c>
      <c r="K5" s="209"/>
      <c r="L5" s="209">
        <v>0</v>
      </c>
      <c r="M5" s="254"/>
    </row>
    <row r="6" spans="1:13" ht="14.5" x14ac:dyDescent="0.25">
      <c r="A6" s="165" t="s">
        <v>527</v>
      </c>
      <c r="B6" s="173">
        <v>1094187</v>
      </c>
      <c r="C6" s="182">
        <v>10</v>
      </c>
      <c r="D6" s="182">
        <v>0</v>
      </c>
      <c r="G6" s="254"/>
      <c r="H6" s="254"/>
      <c r="I6" s="255" t="s">
        <v>528</v>
      </c>
      <c r="J6" s="256">
        <v>1212460</v>
      </c>
      <c r="K6" s="293">
        <v>2</v>
      </c>
      <c r="L6" s="258">
        <v>0</v>
      </c>
      <c r="M6" s="254"/>
    </row>
    <row r="7" spans="1:13" ht="14.5" x14ac:dyDescent="0.25">
      <c r="A7" s="165" t="s">
        <v>529</v>
      </c>
      <c r="B7" s="173">
        <v>1094188</v>
      </c>
      <c r="C7" s="182">
        <v>8</v>
      </c>
      <c r="D7" s="182">
        <v>0</v>
      </c>
      <c r="G7" s="20"/>
      <c r="H7" s="20"/>
      <c r="I7" s="259" t="s">
        <v>597</v>
      </c>
      <c r="J7" s="259">
        <v>101370523</v>
      </c>
      <c r="K7" s="276">
        <v>1</v>
      </c>
      <c r="L7" s="20">
        <v>0</v>
      </c>
      <c r="M7" s="20"/>
    </row>
    <row r="8" spans="1:13" ht="15" thickBot="1" x14ac:dyDescent="0.3">
      <c r="A8" s="166" t="s">
        <v>531</v>
      </c>
      <c r="B8" s="174">
        <v>1094189</v>
      </c>
      <c r="C8" s="183">
        <v>11</v>
      </c>
      <c r="D8" s="183">
        <v>0</v>
      </c>
      <c r="G8" s="254"/>
      <c r="H8" s="254"/>
      <c r="I8" s="255" t="s">
        <v>530</v>
      </c>
      <c r="J8" s="256">
        <v>101934183</v>
      </c>
      <c r="K8" s="276">
        <v>1</v>
      </c>
      <c r="L8" s="209">
        <v>0</v>
      </c>
      <c r="M8" s="254"/>
    </row>
    <row r="9" spans="1:13" ht="14.5" x14ac:dyDescent="0.25">
      <c r="G9" s="254"/>
      <c r="H9" s="254"/>
      <c r="I9" s="255" t="s">
        <v>532</v>
      </c>
      <c r="J9" s="256">
        <v>1075545</v>
      </c>
      <c r="K9" s="209"/>
      <c r="L9" s="209">
        <v>0</v>
      </c>
      <c r="M9" s="254"/>
    </row>
    <row r="10" spans="1:13" x14ac:dyDescent="0.25">
      <c r="G10" s="20" t="s">
        <v>3774</v>
      </c>
      <c r="H10" s="259" t="s">
        <v>3775</v>
      </c>
      <c r="I10" s="259" t="s">
        <v>3776</v>
      </c>
      <c r="J10" s="259">
        <v>1202251</v>
      </c>
      <c r="K10" s="20"/>
      <c r="L10" s="20">
        <v>0</v>
      </c>
      <c r="M10" s="20"/>
    </row>
    <row r="11" spans="1:13" ht="13" thickBot="1" x14ac:dyDescent="0.3">
      <c r="G11" s="20"/>
      <c r="H11" s="259" t="s">
        <v>3775</v>
      </c>
      <c r="I11" s="259" t="s">
        <v>3777</v>
      </c>
      <c r="J11" s="259">
        <v>120137823</v>
      </c>
      <c r="K11" s="20"/>
      <c r="L11" s="20">
        <v>0</v>
      </c>
      <c r="M11" s="20"/>
    </row>
    <row r="12" spans="1:13" ht="13.5" thickBot="1" x14ac:dyDescent="0.3">
      <c r="A12" s="836" t="s">
        <v>537</v>
      </c>
      <c r="B12" s="837"/>
      <c r="C12" s="837"/>
      <c r="D12" s="838"/>
      <c r="G12" s="20"/>
      <c r="H12" s="259" t="s">
        <v>3775</v>
      </c>
      <c r="I12" s="259" t="s">
        <v>3778</v>
      </c>
      <c r="J12" s="259">
        <v>1224813</v>
      </c>
      <c r="K12" s="20"/>
      <c r="L12" s="20">
        <v>0</v>
      </c>
      <c r="M12" s="20"/>
    </row>
    <row r="13" spans="1:13" ht="13.5" thickBot="1" x14ac:dyDescent="0.3">
      <c r="A13" s="163" t="s">
        <v>514</v>
      </c>
      <c r="B13" s="171" t="s">
        <v>515</v>
      </c>
      <c r="C13" s="180" t="s">
        <v>516</v>
      </c>
      <c r="D13" s="180" t="s">
        <v>517</v>
      </c>
      <c r="G13" s="20"/>
      <c r="H13" s="259" t="s">
        <v>3775</v>
      </c>
      <c r="I13" s="259" t="s">
        <v>3779</v>
      </c>
      <c r="J13" s="259">
        <v>1225585</v>
      </c>
      <c r="K13" s="20"/>
      <c r="L13" s="20">
        <v>0</v>
      </c>
      <c r="M13" s="20"/>
    </row>
    <row r="14" spans="1:13" ht="14.5" x14ac:dyDescent="0.25">
      <c r="A14" s="170" t="s">
        <v>541</v>
      </c>
      <c r="B14" s="176">
        <v>1178422</v>
      </c>
      <c r="C14" s="176">
        <v>15</v>
      </c>
      <c r="D14" s="184">
        <v>0</v>
      </c>
      <c r="G14" s="254" t="s">
        <v>533</v>
      </c>
      <c r="H14" s="254"/>
      <c r="I14" s="260" t="s">
        <v>534</v>
      </c>
      <c r="J14" s="260">
        <v>103023185</v>
      </c>
      <c r="K14" s="276">
        <v>9</v>
      </c>
      <c r="L14" s="209">
        <v>0</v>
      </c>
      <c r="M14" s="254"/>
    </row>
    <row r="15" spans="1:13" ht="14.5" x14ac:dyDescent="0.25">
      <c r="A15" s="168" t="s">
        <v>544</v>
      </c>
      <c r="B15" s="177">
        <v>1112138</v>
      </c>
      <c r="C15" s="185">
        <v>12</v>
      </c>
      <c r="D15" s="185">
        <v>0</v>
      </c>
      <c r="G15" s="254"/>
      <c r="H15" s="254"/>
      <c r="I15" s="260" t="s">
        <v>536</v>
      </c>
      <c r="J15" s="260">
        <v>103056801</v>
      </c>
      <c r="K15" s="209">
        <v>0</v>
      </c>
      <c r="L15" s="209">
        <v>0</v>
      </c>
      <c r="M15" s="254"/>
    </row>
    <row r="16" spans="1:13" ht="14.5" x14ac:dyDescent="0.25">
      <c r="A16" s="169" t="s">
        <v>546</v>
      </c>
      <c r="B16" s="178">
        <v>1120863</v>
      </c>
      <c r="C16" s="186">
        <v>27</v>
      </c>
      <c r="D16" s="186">
        <v>0</v>
      </c>
      <c r="G16" s="254"/>
      <c r="H16" s="254"/>
      <c r="I16" s="260" t="s">
        <v>538</v>
      </c>
      <c r="J16" s="260">
        <v>103056798</v>
      </c>
      <c r="K16" s="209">
        <v>0</v>
      </c>
      <c r="L16" s="209">
        <v>0</v>
      </c>
      <c r="M16" s="254"/>
    </row>
    <row r="17" spans="1:13" ht="14.5" x14ac:dyDescent="0.25">
      <c r="A17" s="165" t="s">
        <v>549</v>
      </c>
      <c r="B17" s="173">
        <v>103056800</v>
      </c>
      <c r="C17" s="182">
        <v>1</v>
      </c>
      <c r="D17" s="182">
        <v>0</v>
      </c>
      <c r="G17" s="254"/>
      <c r="H17" s="254"/>
      <c r="I17" s="261" t="s">
        <v>539</v>
      </c>
      <c r="J17" s="260">
        <v>103090835</v>
      </c>
      <c r="K17" s="276">
        <v>3</v>
      </c>
      <c r="L17" s="209">
        <v>0</v>
      </c>
      <c r="M17" s="254"/>
    </row>
    <row r="18" spans="1:13" ht="15" customHeight="1" thickBot="1" x14ac:dyDescent="0.3">
      <c r="G18" s="254"/>
      <c r="H18" s="254"/>
      <c r="I18" s="261" t="s">
        <v>542</v>
      </c>
      <c r="J18" s="260">
        <v>103070603</v>
      </c>
      <c r="K18" s="276">
        <v>5</v>
      </c>
      <c r="L18" s="209">
        <v>0</v>
      </c>
      <c r="M18" s="254"/>
    </row>
    <row r="19" spans="1:13" ht="15" thickBot="1" x14ac:dyDescent="0.3">
      <c r="A19" s="836" t="s">
        <v>554</v>
      </c>
      <c r="B19" s="837"/>
      <c r="C19" s="837"/>
      <c r="D19" s="838"/>
      <c r="G19" s="254"/>
      <c r="H19" s="254"/>
      <c r="I19" s="260" t="s">
        <v>545</v>
      </c>
      <c r="J19" s="260">
        <v>1215422</v>
      </c>
      <c r="K19" s="209">
        <v>10</v>
      </c>
      <c r="L19" s="209">
        <v>0</v>
      </c>
      <c r="M19" s="254"/>
    </row>
    <row r="20" spans="1:13" ht="15" thickBot="1" x14ac:dyDescent="0.3">
      <c r="A20" s="163" t="s">
        <v>514</v>
      </c>
      <c r="B20" s="171" t="s">
        <v>515</v>
      </c>
      <c r="C20" s="180" t="s">
        <v>516</v>
      </c>
      <c r="D20" s="180" t="s">
        <v>517</v>
      </c>
      <c r="G20" s="254"/>
      <c r="H20" s="254"/>
      <c r="I20" s="260" t="s">
        <v>547</v>
      </c>
      <c r="J20" s="260">
        <v>1217273</v>
      </c>
      <c r="K20" s="276">
        <v>44</v>
      </c>
      <c r="L20" s="209">
        <v>0</v>
      </c>
      <c r="M20" s="254"/>
    </row>
    <row r="21" spans="1:13" ht="15" thickBot="1" x14ac:dyDescent="0.3">
      <c r="A21" s="167" t="s">
        <v>558</v>
      </c>
      <c r="B21" s="172">
        <v>1091913</v>
      </c>
      <c r="C21" s="181">
        <v>2</v>
      </c>
      <c r="D21" s="181">
        <v>0</v>
      </c>
      <c r="G21" s="254"/>
      <c r="H21" s="254"/>
      <c r="I21" s="260" t="s">
        <v>550</v>
      </c>
      <c r="J21" s="260">
        <v>1212027</v>
      </c>
      <c r="K21" s="209">
        <v>1</v>
      </c>
      <c r="L21" s="209">
        <v>0</v>
      </c>
      <c r="M21" s="254"/>
    </row>
    <row r="22" spans="1:13" ht="14.5" x14ac:dyDescent="0.25">
      <c r="A22" s="167" t="s">
        <v>558</v>
      </c>
      <c r="B22" s="177">
        <v>1091634</v>
      </c>
      <c r="C22" s="185">
        <v>2</v>
      </c>
      <c r="D22" s="185">
        <v>0</v>
      </c>
      <c r="G22" s="254" t="s">
        <v>551</v>
      </c>
      <c r="H22" s="254"/>
      <c r="I22" s="262" t="s">
        <v>552</v>
      </c>
      <c r="J22" s="262">
        <v>103056799</v>
      </c>
      <c r="K22" s="276">
        <v>1</v>
      </c>
      <c r="L22" s="209">
        <v>0</v>
      </c>
      <c r="M22" s="254"/>
    </row>
    <row r="23" spans="1:13" ht="14.5" x14ac:dyDescent="0.25">
      <c r="A23" s="165" t="s">
        <v>561</v>
      </c>
      <c r="B23" s="173">
        <v>1090681</v>
      </c>
      <c r="C23" s="182">
        <v>70</v>
      </c>
      <c r="D23" s="182">
        <v>0</v>
      </c>
      <c r="G23" s="254"/>
      <c r="H23" s="254"/>
      <c r="I23" s="262" t="s">
        <v>555</v>
      </c>
      <c r="J23" s="262">
        <v>103098383</v>
      </c>
      <c r="K23" s="209" t="s">
        <v>556</v>
      </c>
      <c r="L23" s="209">
        <v>0</v>
      </c>
      <c r="M23" s="254"/>
    </row>
    <row r="24" spans="1:13" ht="15" thickBot="1" x14ac:dyDescent="0.3">
      <c r="A24" s="165" t="s">
        <v>563</v>
      </c>
      <c r="B24" s="173">
        <v>1078098</v>
      </c>
      <c r="C24" s="182">
        <v>7</v>
      </c>
      <c r="D24" s="182">
        <v>0</v>
      </c>
      <c r="G24" s="254"/>
      <c r="H24" s="254"/>
      <c r="I24" s="262" t="s">
        <v>557</v>
      </c>
      <c r="J24" s="262">
        <v>103098384</v>
      </c>
      <c r="K24" s="276">
        <v>1</v>
      </c>
      <c r="L24" s="209">
        <v>0</v>
      </c>
      <c r="M24" s="254"/>
    </row>
    <row r="25" spans="1:13" ht="15" thickBot="1" x14ac:dyDescent="0.3">
      <c r="A25" s="164" t="s">
        <v>573</v>
      </c>
      <c r="B25" s="179">
        <v>1175976</v>
      </c>
      <c r="C25" s="187">
        <v>16</v>
      </c>
      <c r="D25" s="187">
        <v>0</v>
      </c>
      <c r="G25" s="254"/>
      <c r="H25" s="254"/>
      <c r="I25" s="262" t="s">
        <v>559</v>
      </c>
      <c r="J25" s="262">
        <v>1212028</v>
      </c>
      <c r="K25" s="209">
        <v>1</v>
      </c>
      <c r="L25" s="209">
        <v>0</v>
      </c>
      <c r="M25" s="254"/>
    </row>
    <row r="26" spans="1:13" ht="15" thickBot="1" x14ac:dyDescent="0.3">
      <c r="A26" s="166" t="s">
        <v>565</v>
      </c>
      <c r="B26" s="174">
        <v>1076681</v>
      </c>
      <c r="C26" s="183">
        <v>35</v>
      </c>
      <c r="D26" s="183">
        <v>0</v>
      </c>
      <c r="G26" s="254"/>
      <c r="H26" s="254"/>
      <c r="I26" s="262" t="s">
        <v>560</v>
      </c>
      <c r="J26" s="262">
        <v>1213653</v>
      </c>
      <c r="K26" s="209">
        <v>1</v>
      </c>
      <c r="L26" s="209">
        <v>0</v>
      </c>
      <c r="M26" s="254"/>
    </row>
    <row r="27" spans="1:13" ht="15" customHeight="1" thickBot="1" x14ac:dyDescent="0.3">
      <c r="A27" s="166" t="s">
        <v>3780</v>
      </c>
      <c r="B27" s="174">
        <v>1094469</v>
      </c>
      <c r="C27" s="183">
        <v>10</v>
      </c>
      <c r="D27" s="183">
        <v>0</v>
      </c>
      <c r="G27" s="254"/>
      <c r="H27" s="254"/>
      <c r="I27" s="262" t="s">
        <v>562</v>
      </c>
      <c r="J27" s="262">
        <v>1213654</v>
      </c>
      <c r="K27" s="209">
        <v>1</v>
      </c>
      <c r="L27" s="209">
        <v>0</v>
      </c>
      <c r="M27" s="254"/>
    </row>
    <row r="28" spans="1:13" ht="14.5" x14ac:dyDescent="0.25">
      <c r="G28" s="254"/>
      <c r="H28" s="254"/>
      <c r="I28" s="262" t="s">
        <v>564</v>
      </c>
      <c r="J28" s="262">
        <v>1214345</v>
      </c>
      <c r="K28" s="209">
        <v>1</v>
      </c>
      <c r="L28" s="209">
        <v>0</v>
      </c>
      <c r="M28" s="254"/>
    </row>
    <row r="29" spans="1:13" ht="15" thickBot="1" x14ac:dyDescent="0.3">
      <c r="A29" s="110"/>
      <c r="C29" s="19"/>
      <c r="D29" s="19"/>
      <c r="G29" s="254" t="s">
        <v>3781</v>
      </c>
      <c r="H29" s="263" t="s">
        <v>3782</v>
      </c>
      <c r="I29" s="264" t="s">
        <v>574</v>
      </c>
      <c r="J29" s="264">
        <v>1120863</v>
      </c>
      <c r="K29" s="276">
        <f>23+100</f>
        <v>123</v>
      </c>
      <c r="L29" s="209">
        <v>0</v>
      </c>
      <c r="M29" s="254"/>
    </row>
    <row r="30" spans="1:13" ht="15" thickBot="1" x14ac:dyDescent="0.3">
      <c r="A30" s="836" t="s">
        <v>3783</v>
      </c>
      <c r="B30" s="837"/>
      <c r="C30" s="837"/>
      <c r="D30" s="838"/>
      <c r="G30" s="254"/>
      <c r="H30" s="263" t="s">
        <v>3782</v>
      </c>
      <c r="I30" s="265" t="s">
        <v>572</v>
      </c>
      <c r="J30" s="265">
        <v>102966914</v>
      </c>
      <c r="K30" s="276">
        <v>21</v>
      </c>
      <c r="L30" s="209">
        <v>0</v>
      </c>
      <c r="M30" s="254"/>
    </row>
    <row r="31" spans="1:13" ht="15" customHeight="1" thickBot="1" x14ac:dyDescent="0.3">
      <c r="A31" s="164" t="s">
        <v>575</v>
      </c>
      <c r="B31" s="179">
        <v>1175975</v>
      </c>
      <c r="C31" s="187">
        <v>28</v>
      </c>
      <c r="D31" s="187">
        <v>0</v>
      </c>
      <c r="G31" s="20"/>
      <c r="H31" s="482" t="s">
        <v>3782</v>
      </c>
      <c r="I31" s="483" t="s">
        <v>567</v>
      </c>
      <c r="J31" s="483">
        <v>103008219</v>
      </c>
      <c r="K31" s="484">
        <v>4</v>
      </c>
      <c r="L31" s="209">
        <v>0</v>
      </c>
      <c r="M31" s="20"/>
    </row>
    <row r="32" spans="1:13" ht="14.5" x14ac:dyDescent="0.25">
      <c r="A32" s="110"/>
      <c r="C32" s="19"/>
      <c r="D32" s="19"/>
      <c r="G32" s="254"/>
      <c r="H32" s="263" t="s">
        <v>3782</v>
      </c>
      <c r="I32" s="265" t="s">
        <v>568</v>
      </c>
      <c r="J32" s="265">
        <v>103023184</v>
      </c>
      <c r="K32" s="276">
        <v>18</v>
      </c>
      <c r="L32" s="209">
        <v>0</v>
      </c>
      <c r="M32" s="254"/>
    </row>
    <row r="33" spans="1:13" ht="15" thickBot="1" x14ac:dyDescent="0.3">
      <c r="G33" s="20"/>
      <c r="H33" s="485" t="s">
        <v>3782</v>
      </c>
      <c r="I33" s="486" t="s">
        <v>595</v>
      </c>
      <c r="J33" s="486">
        <v>102964486</v>
      </c>
      <c r="K33" s="487">
        <v>3</v>
      </c>
      <c r="L33" s="20">
        <v>0</v>
      </c>
      <c r="M33" s="20"/>
    </row>
    <row r="34" spans="1:13" ht="15" thickBot="1" x14ac:dyDescent="0.3">
      <c r="A34" s="836" t="s">
        <v>579</v>
      </c>
      <c r="B34" s="837"/>
      <c r="C34" s="837"/>
      <c r="D34" s="838"/>
      <c r="G34" s="254"/>
      <c r="H34" s="263"/>
      <c r="I34" s="265" t="s">
        <v>571</v>
      </c>
      <c r="J34" s="265">
        <v>102964488</v>
      </c>
      <c r="K34" s="209"/>
      <c r="L34" s="209">
        <v>0</v>
      </c>
      <c r="M34" s="254"/>
    </row>
    <row r="35" spans="1:13" ht="15" thickBot="1" x14ac:dyDescent="0.3">
      <c r="A35" s="163" t="s">
        <v>514</v>
      </c>
      <c r="B35" s="171" t="s">
        <v>515</v>
      </c>
      <c r="C35" s="180" t="s">
        <v>516</v>
      </c>
      <c r="D35" s="180" t="s">
        <v>517</v>
      </c>
      <c r="G35" s="254"/>
      <c r="H35" s="263" t="s">
        <v>3784</v>
      </c>
      <c r="I35" s="265" t="s">
        <v>577</v>
      </c>
      <c r="J35" s="265">
        <v>103097996</v>
      </c>
      <c r="K35" s="276">
        <v>9</v>
      </c>
      <c r="L35" s="209">
        <v>0</v>
      </c>
      <c r="M35" s="254"/>
    </row>
    <row r="36" spans="1:13" ht="15" thickBot="1" x14ac:dyDescent="0.3">
      <c r="A36" s="267"/>
      <c r="B36" s="268"/>
      <c r="C36" s="269"/>
      <c r="D36" s="269"/>
      <c r="G36" s="20"/>
      <c r="H36" s="263" t="s">
        <v>3784</v>
      </c>
      <c r="I36" s="266" t="s">
        <v>596</v>
      </c>
      <c r="J36" s="266">
        <v>1172846</v>
      </c>
      <c r="K36" s="277">
        <v>14</v>
      </c>
      <c r="L36" s="20">
        <v>0</v>
      </c>
      <c r="M36" s="20"/>
    </row>
    <row r="37" spans="1:13" ht="15" customHeight="1" thickBot="1" x14ac:dyDescent="0.3">
      <c r="A37" s="164" t="s">
        <v>582</v>
      </c>
      <c r="B37" s="179" t="s">
        <v>583</v>
      </c>
      <c r="C37" s="187">
        <v>0</v>
      </c>
      <c r="D37" s="187"/>
      <c r="G37" s="254"/>
      <c r="H37" s="263" t="s">
        <v>3784</v>
      </c>
      <c r="I37" s="265" t="s">
        <v>578</v>
      </c>
      <c r="J37" s="265">
        <v>103025674</v>
      </c>
      <c r="K37" s="276">
        <v>8</v>
      </c>
      <c r="L37" s="209">
        <v>0</v>
      </c>
      <c r="M37" s="254"/>
    </row>
    <row r="38" spans="1:13" ht="15" thickBot="1" x14ac:dyDescent="0.3">
      <c r="A38" s="210" t="s">
        <v>586</v>
      </c>
      <c r="B38" s="187" t="s">
        <v>583</v>
      </c>
      <c r="C38" s="187">
        <v>231</v>
      </c>
      <c r="D38" s="211"/>
      <c r="G38" s="254"/>
      <c r="H38" s="263" t="s">
        <v>3784</v>
      </c>
      <c r="I38" s="265" t="s">
        <v>580</v>
      </c>
      <c r="J38" s="265">
        <v>103066646</v>
      </c>
      <c r="K38" s="276">
        <v>12</v>
      </c>
      <c r="L38" s="209">
        <v>0</v>
      </c>
      <c r="M38" s="254"/>
    </row>
    <row r="39" spans="1:13" ht="15" thickBot="1" x14ac:dyDescent="0.3">
      <c r="A39" s="210" t="s">
        <v>588</v>
      </c>
      <c r="B39" s="187" t="s">
        <v>583</v>
      </c>
      <c r="C39" s="187">
        <v>200</v>
      </c>
      <c r="D39" s="211"/>
      <c r="G39" s="254"/>
      <c r="H39" s="263" t="s">
        <v>3784</v>
      </c>
      <c r="I39" s="265" t="s">
        <v>581</v>
      </c>
      <c r="J39" s="265">
        <v>1220339</v>
      </c>
      <c r="K39" s="209">
        <v>15</v>
      </c>
      <c r="L39" s="209">
        <v>0</v>
      </c>
      <c r="M39" s="254"/>
    </row>
    <row r="40" spans="1:13" ht="15" thickBot="1" x14ac:dyDescent="0.3">
      <c r="A40" s="210"/>
      <c r="B40" s="187"/>
      <c r="C40" s="187"/>
      <c r="D40" s="187"/>
      <c r="G40" s="254" t="s">
        <v>3781</v>
      </c>
      <c r="H40" s="485" t="s">
        <v>3785</v>
      </c>
      <c r="I40" s="488" t="s">
        <v>3786</v>
      </c>
      <c r="J40" s="488">
        <v>103120492</v>
      </c>
      <c r="K40" s="487">
        <f>4+10</f>
        <v>14</v>
      </c>
      <c r="L40" s="209">
        <v>5</v>
      </c>
      <c r="M40" s="254" t="s">
        <v>3787</v>
      </c>
    </row>
    <row r="41" spans="1:13" ht="15" thickBot="1" x14ac:dyDescent="0.3">
      <c r="A41" s="836" t="s">
        <v>590</v>
      </c>
      <c r="B41" s="837"/>
      <c r="C41" s="837"/>
      <c r="D41" s="838"/>
      <c r="G41" s="20"/>
      <c r="H41" s="270" t="s">
        <v>3785</v>
      </c>
      <c r="I41" s="271" t="s">
        <v>585</v>
      </c>
      <c r="J41" s="271">
        <v>103113535</v>
      </c>
      <c r="K41" s="209"/>
      <c r="L41" s="209">
        <v>0</v>
      </c>
      <c r="M41" s="20"/>
    </row>
    <row r="42" spans="1:13" ht="15" thickBot="1" x14ac:dyDescent="0.3">
      <c r="A42" s="163" t="s">
        <v>514</v>
      </c>
      <c r="B42" s="171" t="s">
        <v>515</v>
      </c>
      <c r="C42" s="180" t="s">
        <v>516</v>
      </c>
      <c r="D42" s="180" t="s">
        <v>517</v>
      </c>
      <c r="G42" s="254"/>
      <c r="H42" s="270"/>
      <c r="I42" s="272" t="s">
        <v>587</v>
      </c>
      <c r="J42" s="272">
        <v>103100511</v>
      </c>
      <c r="K42" s="276">
        <v>1</v>
      </c>
      <c r="L42" s="209">
        <v>0</v>
      </c>
      <c r="M42" s="254"/>
    </row>
    <row r="43" spans="1:13" ht="15" thickBot="1" x14ac:dyDescent="0.3">
      <c r="A43" s="164" t="s">
        <v>593</v>
      </c>
      <c r="B43" s="179" t="s">
        <v>583</v>
      </c>
      <c r="C43" s="187">
        <v>15</v>
      </c>
      <c r="D43" s="187"/>
      <c r="G43" s="254"/>
      <c r="H43" s="270" t="s">
        <v>3785</v>
      </c>
      <c r="I43" s="271" t="s">
        <v>3788</v>
      </c>
      <c r="J43" s="271">
        <v>103137210</v>
      </c>
      <c r="K43" s="276">
        <v>6</v>
      </c>
      <c r="L43" s="209">
        <v>0</v>
      </c>
      <c r="M43" s="254"/>
    </row>
    <row r="44" spans="1:13" ht="14.5" x14ac:dyDescent="0.25">
      <c r="A44" s="833"/>
      <c r="B44" s="833"/>
      <c r="C44" s="833"/>
      <c r="D44" s="833"/>
      <c r="G44" s="254"/>
      <c r="H44" s="485"/>
      <c r="I44" s="488" t="s">
        <v>3788</v>
      </c>
      <c r="J44" s="488">
        <v>103100510</v>
      </c>
      <c r="K44" s="487">
        <v>1</v>
      </c>
      <c r="L44" s="209">
        <v>0</v>
      </c>
      <c r="M44" s="254"/>
    </row>
    <row r="45" spans="1:13" ht="14.5" x14ac:dyDescent="0.25">
      <c r="A45" s="237"/>
      <c r="B45" s="238"/>
      <c r="C45" s="238"/>
      <c r="D45" s="238"/>
      <c r="G45" s="254"/>
      <c r="H45" s="270" t="s">
        <v>3785</v>
      </c>
      <c r="I45" s="271" t="s">
        <v>3789</v>
      </c>
      <c r="J45" s="271">
        <v>1201130</v>
      </c>
      <c r="K45" s="276">
        <v>16</v>
      </c>
      <c r="L45" s="209">
        <v>0</v>
      </c>
      <c r="M45" s="254"/>
    </row>
    <row r="46" spans="1:13" ht="14.5" x14ac:dyDescent="0.25">
      <c r="A46" s="110"/>
      <c r="G46" s="254"/>
      <c r="H46" s="270" t="s">
        <v>3785</v>
      </c>
      <c r="I46" s="271" t="s">
        <v>592</v>
      </c>
      <c r="J46" s="271">
        <v>103097998</v>
      </c>
      <c r="K46" s="276">
        <f>4+5</f>
        <v>9</v>
      </c>
      <c r="L46" s="209">
        <v>0</v>
      </c>
      <c r="M46" s="254"/>
    </row>
    <row r="47" spans="1:13" ht="14.5" x14ac:dyDescent="0.25">
      <c r="A47" s="110"/>
      <c r="G47" s="254"/>
      <c r="H47" s="270" t="s">
        <v>3785</v>
      </c>
      <c r="I47" s="271" t="s">
        <v>594</v>
      </c>
      <c r="J47" s="271">
        <v>1220340</v>
      </c>
      <c r="K47" s="276">
        <v>12</v>
      </c>
      <c r="L47" s="209">
        <v>0</v>
      </c>
      <c r="M47" s="254"/>
    </row>
    <row r="48" spans="1:13" ht="14.5" x14ac:dyDescent="0.25">
      <c r="A48" s="110"/>
      <c r="G48" s="20"/>
      <c r="H48" s="270" t="s">
        <v>3785</v>
      </c>
      <c r="I48" s="273" t="s">
        <v>3790</v>
      </c>
      <c r="J48" s="273">
        <v>103138818</v>
      </c>
      <c r="K48" s="277">
        <v>5</v>
      </c>
      <c r="L48" s="20">
        <v>0</v>
      </c>
      <c r="M48" s="20"/>
    </row>
    <row r="49" spans="1:13" ht="14.5" x14ac:dyDescent="0.25">
      <c r="A49" s="833"/>
      <c r="B49" s="833"/>
      <c r="C49" s="833"/>
      <c r="D49" s="833"/>
      <c r="G49" s="20"/>
      <c r="H49" s="270" t="s">
        <v>3785</v>
      </c>
      <c r="I49" s="273" t="s">
        <v>3791</v>
      </c>
      <c r="J49" s="273">
        <v>103154370</v>
      </c>
      <c r="K49" s="277">
        <v>8</v>
      </c>
      <c r="L49" s="20">
        <v>0</v>
      </c>
      <c r="M49" s="20"/>
    </row>
    <row r="50" spans="1:13" ht="14.5" x14ac:dyDescent="0.25">
      <c r="A50" s="237"/>
      <c r="B50" s="238"/>
      <c r="C50" s="238"/>
      <c r="D50" s="238"/>
      <c r="G50" s="20"/>
      <c r="H50" s="270" t="s">
        <v>3785</v>
      </c>
      <c r="I50" s="273" t="s">
        <v>3792</v>
      </c>
      <c r="J50" s="273">
        <v>103154369</v>
      </c>
      <c r="K50" s="277">
        <v>8</v>
      </c>
      <c r="L50" s="20">
        <v>0</v>
      </c>
      <c r="M50" s="20"/>
    </row>
    <row r="51" spans="1:13" ht="14.5" x14ac:dyDescent="0.25">
      <c r="A51" s="110"/>
      <c r="G51" s="20"/>
      <c r="H51" s="270" t="s">
        <v>3785</v>
      </c>
      <c r="I51" s="273" t="s">
        <v>3793</v>
      </c>
      <c r="J51" s="273">
        <v>1239760</v>
      </c>
      <c r="K51" s="277">
        <v>5</v>
      </c>
      <c r="L51" s="20">
        <v>0</v>
      </c>
      <c r="M51" s="20"/>
    </row>
    <row r="52" spans="1:13" ht="14.5" x14ac:dyDescent="0.25">
      <c r="G52" s="20"/>
      <c r="H52" s="270" t="s">
        <v>3785</v>
      </c>
      <c r="I52" s="273" t="s">
        <v>3794</v>
      </c>
      <c r="J52" s="273">
        <v>1239761</v>
      </c>
      <c r="K52" s="277">
        <v>5</v>
      </c>
      <c r="L52" s="20">
        <v>0</v>
      </c>
      <c r="M52" s="20"/>
    </row>
    <row r="53" spans="1:13" ht="14.5" x14ac:dyDescent="0.25">
      <c r="G53" s="20"/>
      <c r="H53" s="485"/>
      <c r="I53" s="478" t="s">
        <v>3795</v>
      </c>
      <c r="J53" s="478">
        <v>103098000</v>
      </c>
      <c r="K53" s="478">
        <f>3+5</f>
        <v>8</v>
      </c>
      <c r="L53" s="20">
        <v>0</v>
      </c>
      <c r="M53" s="20"/>
    </row>
    <row r="54" spans="1:13" ht="14.5" x14ac:dyDescent="0.25">
      <c r="G54" s="20"/>
      <c r="H54" s="270"/>
      <c r="I54" s="273" t="s">
        <v>3796</v>
      </c>
      <c r="J54" s="273">
        <v>102843794</v>
      </c>
      <c r="K54" s="277">
        <f>13+10</f>
        <v>23</v>
      </c>
      <c r="L54" s="20"/>
      <c r="M54" s="474" t="s">
        <v>3797</v>
      </c>
    </row>
    <row r="55" spans="1:13" x14ac:dyDescent="0.25">
      <c r="G55" s="20"/>
      <c r="H55" s="478"/>
      <c r="I55" s="243" t="s">
        <v>3798</v>
      </c>
      <c r="J55" s="20">
        <v>12901040</v>
      </c>
      <c r="K55" s="20">
        <v>3</v>
      </c>
      <c r="L55" s="20">
        <v>0</v>
      </c>
      <c r="M55" s="20" t="s">
        <v>3799</v>
      </c>
    </row>
    <row r="56" spans="1:13" ht="14.5" x14ac:dyDescent="0.25">
      <c r="G56" s="20"/>
      <c r="H56" s="270"/>
      <c r="I56" s="273" t="s">
        <v>3800</v>
      </c>
      <c r="J56" s="273">
        <v>103097997</v>
      </c>
      <c r="K56" s="277">
        <v>10</v>
      </c>
      <c r="L56" s="20"/>
      <c r="M56" s="474"/>
    </row>
    <row r="63" spans="1:13" ht="13" thickBot="1" x14ac:dyDescent="0.3"/>
    <row r="64" spans="1:13" ht="15" thickBot="1" x14ac:dyDescent="0.3">
      <c r="A64" s="452" t="s">
        <v>3801</v>
      </c>
      <c r="B64" s="453" t="s">
        <v>3802</v>
      </c>
      <c r="C64" s="453" t="s">
        <v>619</v>
      </c>
      <c r="D64" s="453" t="s">
        <v>514</v>
      </c>
      <c r="E64" s="453" t="s">
        <v>4</v>
      </c>
      <c r="F64" s="453" t="s">
        <v>3803</v>
      </c>
      <c r="G64" s="453" t="s">
        <v>3804</v>
      </c>
      <c r="H64" s="453" t="s">
        <v>3805</v>
      </c>
      <c r="I64" s="453" t="s">
        <v>19</v>
      </c>
      <c r="M64" s="453"/>
    </row>
    <row r="65" spans="1:9" ht="15" thickBot="1" x14ac:dyDescent="0.3">
      <c r="A65" s="130">
        <v>1</v>
      </c>
      <c r="B65" s="129">
        <v>102966914</v>
      </c>
      <c r="C65" s="454">
        <v>28</v>
      </c>
      <c r="D65" s="129" t="s">
        <v>3806</v>
      </c>
      <c r="E65" s="129" t="s">
        <v>3807</v>
      </c>
      <c r="F65" s="455">
        <v>44750</v>
      </c>
      <c r="G65" s="129"/>
      <c r="H65" s="129" t="s">
        <v>3808</v>
      </c>
      <c r="I65" s="129"/>
    </row>
    <row r="66" spans="1:9" ht="15" thickBot="1" x14ac:dyDescent="0.3">
      <c r="A66" s="130">
        <v>2</v>
      </c>
      <c r="B66" s="129">
        <v>102966914</v>
      </c>
      <c r="C66" s="454">
        <v>2</v>
      </c>
      <c r="D66" s="129" t="s">
        <v>3806</v>
      </c>
      <c r="E66" s="129" t="s">
        <v>3807</v>
      </c>
      <c r="F66" s="455">
        <v>44530</v>
      </c>
      <c r="G66" s="129"/>
      <c r="H66" s="129" t="s">
        <v>3809</v>
      </c>
      <c r="I66" s="129" t="s">
        <v>3810</v>
      </c>
    </row>
    <row r="67" spans="1:9" ht="15" thickBot="1" x14ac:dyDescent="0.3">
      <c r="A67" s="130">
        <v>3</v>
      </c>
      <c r="B67" s="129">
        <v>102966914</v>
      </c>
      <c r="C67" s="454">
        <v>16</v>
      </c>
      <c r="D67" s="129" t="s">
        <v>3806</v>
      </c>
      <c r="E67" s="129" t="s">
        <v>3807</v>
      </c>
      <c r="F67" s="455">
        <v>44519</v>
      </c>
      <c r="G67" s="129"/>
      <c r="H67" s="129" t="s">
        <v>3811</v>
      </c>
      <c r="I67" s="129" t="s">
        <v>3810</v>
      </c>
    </row>
    <row r="68" spans="1:9" ht="15" thickBot="1" x14ac:dyDescent="0.3">
      <c r="A68" s="130">
        <v>4</v>
      </c>
      <c r="B68" s="129">
        <v>24593272</v>
      </c>
      <c r="C68" s="454">
        <v>4</v>
      </c>
      <c r="D68" s="129" t="s">
        <v>3806</v>
      </c>
      <c r="E68" s="129" t="s">
        <v>3807</v>
      </c>
      <c r="F68" s="455">
        <v>44379</v>
      </c>
      <c r="G68" s="129"/>
      <c r="H68" s="129" t="s">
        <v>3812</v>
      </c>
      <c r="I68" s="129" t="s">
        <v>3810</v>
      </c>
    </row>
    <row r="69" spans="1:9" ht="15" thickBot="1" x14ac:dyDescent="0.3">
      <c r="A69" s="130">
        <v>5</v>
      </c>
      <c r="B69" s="129">
        <v>102966914</v>
      </c>
      <c r="C69" s="454">
        <v>16</v>
      </c>
      <c r="D69" s="129" t="s">
        <v>3806</v>
      </c>
      <c r="E69" s="129" t="s">
        <v>3807</v>
      </c>
      <c r="F69" s="455">
        <v>44414</v>
      </c>
      <c r="G69" s="129"/>
      <c r="H69" s="129" t="s">
        <v>3813</v>
      </c>
      <c r="I69" s="129" t="s">
        <v>3810</v>
      </c>
    </row>
    <row r="70" spans="1:9" ht="15" thickBot="1" x14ac:dyDescent="0.3">
      <c r="A70" s="130">
        <v>6</v>
      </c>
      <c r="B70" s="129">
        <v>103120492</v>
      </c>
      <c r="C70" s="454">
        <v>4</v>
      </c>
      <c r="D70" s="129" t="s">
        <v>3806</v>
      </c>
      <c r="E70" s="129" t="s">
        <v>3814</v>
      </c>
      <c r="F70" s="455">
        <v>44910</v>
      </c>
      <c r="G70" s="455">
        <v>45275</v>
      </c>
      <c r="H70" s="129" t="s">
        <v>3815</v>
      </c>
      <c r="I70" s="129"/>
    </row>
    <row r="71" spans="1:9" ht="15" thickBot="1" x14ac:dyDescent="0.3">
      <c r="A71" s="130">
        <v>7</v>
      </c>
      <c r="B71" s="129">
        <v>103012466</v>
      </c>
      <c r="C71" s="454">
        <v>6</v>
      </c>
      <c r="D71" s="129" t="s">
        <v>3806</v>
      </c>
      <c r="E71" s="129" t="s">
        <v>3816</v>
      </c>
      <c r="F71" s="455">
        <v>44412</v>
      </c>
      <c r="G71" s="455">
        <v>44781</v>
      </c>
      <c r="H71" s="129" t="s">
        <v>3817</v>
      </c>
      <c r="I71" s="129"/>
    </row>
  </sheetData>
  <autoFilter ref="G2:M55" xr:uid="{00000000-0009-0000-0000-00000C000000}"/>
  <mergeCells count="9">
    <mergeCell ref="G1:M1"/>
    <mergeCell ref="A41:D41"/>
    <mergeCell ref="A44:D44"/>
    <mergeCell ref="A49:D49"/>
    <mergeCell ref="A1:D1"/>
    <mergeCell ref="A12:D12"/>
    <mergeCell ref="A19:D19"/>
    <mergeCell ref="A30:D30"/>
    <mergeCell ref="A34:D34"/>
  </mergeCells>
  <conditionalFormatting sqref="J2:J35">
    <cfRule type="duplicateValues" dxfId="277" priority="4"/>
  </conditionalFormatting>
  <conditionalFormatting sqref="J36:J38 J40:J54">
    <cfRule type="duplicateValues" dxfId="276" priority="3"/>
  </conditionalFormatting>
  <conditionalFormatting sqref="J39">
    <cfRule type="duplicateValues" dxfId="275" priority="2"/>
  </conditionalFormatting>
  <conditionalFormatting sqref="J55">
    <cfRule type="duplicateValues" dxfId="274" priority="5"/>
  </conditionalFormatting>
  <conditionalFormatting sqref="J56">
    <cfRule type="duplicateValues" dxfId="273" priority="1"/>
  </conditionalFormatting>
  <conditionalFormatting sqref="J57:J1048576">
    <cfRule type="duplicateValues" dxfId="272" priority="9"/>
  </conditionalFormatting>
  <pageMargins left="0.25" right="0.25" top="0.25" bottom="0.25" header="0.05" footer="0.05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AI614"/>
  <sheetViews>
    <sheetView topLeftCell="D583" zoomScale="90" zoomScaleNormal="90" workbookViewId="0">
      <selection activeCell="L587" sqref="L587"/>
    </sheetView>
  </sheetViews>
  <sheetFormatPr defaultRowHeight="12.5" x14ac:dyDescent="0.25"/>
  <cols>
    <col min="1" max="1" width="9.453125" bestFit="1" customWidth="1"/>
    <col min="2" max="2" width="6.26953125" bestFit="1" customWidth="1"/>
    <col min="3" max="3" width="11.26953125" bestFit="1" customWidth="1"/>
    <col min="4" max="4" width="8" bestFit="1" customWidth="1"/>
    <col min="5" max="5" width="9" bestFit="1" customWidth="1"/>
    <col min="6" max="6" width="6.7265625" bestFit="1" customWidth="1"/>
    <col min="7" max="7" width="27.54296875" bestFit="1" customWidth="1"/>
    <col min="8" max="8" width="13.7265625" bestFit="1" customWidth="1"/>
    <col min="9" max="9" width="9.54296875" bestFit="1" customWidth="1"/>
    <col min="10" max="10" width="8.7265625" bestFit="1" customWidth="1"/>
    <col min="11" max="11" width="16.453125" bestFit="1" customWidth="1"/>
    <col min="12" max="12" width="13.453125" bestFit="1" customWidth="1"/>
    <col min="13" max="14" width="13.7265625" bestFit="1" customWidth="1"/>
    <col min="15" max="15" width="9.54296875" bestFit="1" customWidth="1"/>
    <col min="16" max="16" width="12.7265625" bestFit="1" customWidth="1"/>
    <col min="17" max="17" width="30.7265625" bestFit="1" customWidth="1"/>
    <col min="18" max="18" width="30.26953125" bestFit="1" customWidth="1"/>
    <col min="19" max="19" width="12.26953125" bestFit="1" customWidth="1"/>
    <col min="20" max="20" width="16.54296875" bestFit="1" customWidth="1"/>
    <col min="21" max="21" width="14.26953125" bestFit="1" customWidth="1"/>
    <col min="22" max="22" width="23.81640625" bestFit="1" customWidth="1"/>
    <col min="23" max="23" width="23.81640625" customWidth="1"/>
    <col min="24" max="24" width="43.26953125" bestFit="1" customWidth="1"/>
    <col min="25" max="25" width="36" bestFit="1" customWidth="1"/>
    <col min="26" max="26" width="39" bestFit="1" customWidth="1"/>
    <col min="27" max="27" width="10.26953125" bestFit="1" customWidth="1"/>
    <col min="28" max="28" width="12.26953125" bestFit="1" customWidth="1"/>
  </cols>
  <sheetData>
    <row r="1" spans="1:18" ht="15" customHeight="1" thickBot="1" x14ac:dyDescent="0.3">
      <c r="A1" s="332" t="s">
        <v>3818</v>
      </c>
      <c r="B1" s="151" t="s">
        <v>258</v>
      </c>
      <c r="C1" s="151" t="s">
        <v>4</v>
      </c>
      <c r="D1" s="151" t="s">
        <v>260</v>
      </c>
      <c r="E1" s="151" t="s">
        <v>261</v>
      </c>
      <c r="F1" s="151" t="s">
        <v>3819</v>
      </c>
      <c r="G1" s="151" t="s">
        <v>19</v>
      </c>
    </row>
    <row r="2" spans="1:18" ht="15" customHeight="1" thickBot="1" x14ac:dyDescent="0.3">
      <c r="A2" s="332" t="s">
        <v>3820</v>
      </c>
      <c r="B2" s="333">
        <v>6.125</v>
      </c>
      <c r="C2" s="151" t="s">
        <v>621</v>
      </c>
      <c r="D2" s="152">
        <v>1146317</v>
      </c>
      <c r="E2" s="152">
        <v>13567176</v>
      </c>
      <c r="F2" s="151" t="s">
        <v>3821</v>
      </c>
      <c r="G2" s="152">
        <v>3965522</v>
      </c>
    </row>
    <row r="3" spans="1:18" ht="15" customHeight="1" thickBot="1" x14ac:dyDescent="0.3">
      <c r="A3" s="332" t="s">
        <v>3820</v>
      </c>
      <c r="B3" s="333">
        <v>6.125</v>
      </c>
      <c r="C3" s="151" t="s">
        <v>621</v>
      </c>
      <c r="D3" s="152">
        <v>1146317</v>
      </c>
      <c r="E3" s="152">
        <v>13567178</v>
      </c>
      <c r="F3" s="151" t="s">
        <v>3821</v>
      </c>
      <c r="G3" s="151" t="s">
        <v>3822</v>
      </c>
      <c r="K3" s="147" t="s">
        <v>3823</v>
      </c>
    </row>
    <row r="4" spans="1:18" ht="15" customHeight="1" thickBot="1" x14ac:dyDescent="0.3">
      <c r="A4" s="332" t="s">
        <v>3820</v>
      </c>
      <c r="B4" s="152">
        <v>12</v>
      </c>
      <c r="C4" s="151" t="s">
        <v>272</v>
      </c>
      <c r="D4" s="152">
        <v>1188197</v>
      </c>
      <c r="E4" s="152">
        <v>13616543</v>
      </c>
      <c r="F4" s="151" t="s">
        <v>3824</v>
      </c>
      <c r="G4" s="151" t="s">
        <v>3825</v>
      </c>
      <c r="K4" s="125" t="s">
        <v>258</v>
      </c>
      <c r="L4" s="126" t="s">
        <v>4</v>
      </c>
      <c r="M4" s="126" t="s">
        <v>300</v>
      </c>
      <c r="N4" s="126" t="s">
        <v>301</v>
      </c>
      <c r="O4" s="126" t="s">
        <v>302</v>
      </c>
      <c r="P4" s="126" t="s">
        <v>303</v>
      </c>
      <c r="Q4" s="126" t="s">
        <v>3826</v>
      </c>
      <c r="R4" s="126" t="s">
        <v>3827</v>
      </c>
    </row>
    <row r="5" spans="1:18" ht="15" customHeight="1" thickBot="1" x14ac:dyDescent="0.3">
      <c r="A5" s="332" t="s">
        <v>3820</v>
      </c>
      <c r="B5" s="333">
        <v>8.5</v>
      </c>
      <c r="C5" s="151" t="s">
        <v>3828</v>
      </c>
      <c r="D5" s="152">
        <v>1191006</v>
      </c>
      <c r="E5" s="152">
        <v>13771567</v>
      </c>
      <c r="F5" s="151" t="s">
        <v>3829</v>
      </c>
      <c r="G5" s="152">
        <v>31159702</v>
      </c>
      <c r="K5" s="127" t="s">
        <v>631</v>
      </c>
      <c r="L5" s="128" t="s">
        <v>645</v>
      </c>
      <c r="M5" s="128">
        <v>1262047</v>
      </c>
      <c r="N5" s="128">
        <v>1235768</v>
      </c>
      <c r="O5" s="128">
        <v>5</v>
      </c>
      <c r="P5" s="128" t="s">
        <v>646</v>
      </c>
      <c r="Q5" s="128" t="s">
        <v>103</v>
      </c>
      <c r="R5" s="242"/>
    </row>
    <row r="6" spans="1:18" ht="15" customHeight="1" thickBot="1" x14ac:dyDescent="0.35">
      <c r="A6" s="332" t="s">
        <v>3820</v>
      </c>
      <c r="B6" s="333">
        <v>3.75</v>
      </c>
      <c r="C6" s="151" t="s">
        <v>628</v>
      </c>
      <c r="D6" s="152">
        <v>1223029</v>
      </c>
      <c r="E6" s="152">
        <v>13778370</v>
      </c>
      <c r="F6" s="151" t="s">
        <v>3830</v>
      </c>
      <c r="G6" s="151" t="s">
        <v>629</v>
      </c>
      <c r="K6" s="127" t="s">
        <v>309</v>
      </c>
      <c r="L6" s="128" t="s">
        <v>256</v>
      </c>
      <c r="M6" s="128">
        <v>1198387</v>
      </c>
      <c r="N6" s="128">
        <v>1160951</v>
      </c>
      <c r="O6" s="128">
        <v>2</v>
      </c>
      <c r="P6" s="128" t="s">
        <v>646</v>
      </c>
      <c r="Q6" s="129" t="s">
        <v>103</v>
      </c>
      <c r="R6" s="334"/>
    </row>
    <row r="7" spans="1:18" ht="15" customHeight="1" thickBot="1" x14ac:dyDescent="0.3">
      <c r="A7" s="332" t="s">
        <v>3820</v>
      </c>
      <c r="B7" s="333">
        <v>3.75</v>
      </c>
      <c r="C7" s="151" t="s">
        <v>628</v>
      </c>
      <c r="D7" s="152">
        <v>1223029</v>
      </c>
      <c r="E7" s="152">
        <v>13778371</v>
      </c>
      <c r="F7" s="151" t="s">
        <v>3830</v>
      </c>
      <c r="G7" s="151" t="s">
        <v>629</v>
      </c>
      <c r="K7" s="127" t="s">
        <v>624</v>
      </c>
      <c r="L7" s="128" t="s">
        <v>275</v>
      </c>
      <c r="M7" s="128">
        <v>1158011</v>
      </c>
      <c r="N7" s="128" t="s">
        <v>3720</v>
      </c>
      <c r="O7" s="128">
        <v>2</v>
      </c>
      <c r="P7" s="128" t="s">
        <v>646</v>
      </c>
      <c r="Q7" s="129" t="s">
        <v>103</v>
      </c>
      <c r="R7" s="242"/>
    </row>
    <row r="8" spans="1:18" ht="15" customHeight="1" thickBot="1" x14ac:dyDescent="0.3">
      <c r="A8" s="332" t="s">
        <v>3820</v>
      </c>
      <c r="B8" s="333">
        <v>3.75</v>
      </c>
      <c r="C8" s="151" t="s">
        <v>628</v>
      </c>
      <c r="D8" s="152">
        <v>1223029</v>
      </c>
      <c r="E8" s="152">
        <v>13778372</v>
      </c>
      <c r="F8" s="151" t="s">
        <v>3830</v>
      </c>
      <c r="G8" s="151" t="s">
        <v>629</v>
      </c>
      <c r="K8" s="127" t="s">
        <v>315</v>
      </c>
      <c r="L8" s="128" t="s">
        <v>284</v>
      </c>
      <c r="M8" s="128">
        <v>1234376</v>
      </c>
      <c r="N8" s="128">
        <v>1249569</v>
      </c>
      <c r="O8" s="128">
        <v>2</v>
      </c>
      <c r="P8" s="128" t="s">
        <v>648</v>
      </c>
      <c r="Q8" s="128">
        <v>179838</v>
      </c>
      <c r="R8" s="129" t="s">
        <v>678</v>
      </c>
    </row>
    <row r="9" spans="1:18" ht="15" customHeight="1" thickBot="1" x14ac:dyDescent="0.35">
      <c r="A9" s="332" t="s">
        <v>3820</v>
      </c>
      <c r="B9" s="333">
        <v>8.375</v>
      </c>
      <c r="C9" s="151" t="s">
        <v>272</v>
      </c>
      <c r="D9" s="152">
        <v>1141517</v>
      </c>
      <c r="E9" s="152">
        <v>13791101</v>
      </c>
      <c r="F9" s="151"/>
      <c r="G9" s="151" t="s">
        <v>3831</v>
      </c>
      <c r="K9" s="127" t="s">
        <v>316</v>
      </c>
      <c r="L9" s="128" t="s">
        <v>292</v>
      </c>
      <c r="M9" s="128">
        <v>1258119</v>
      </c>
      <c r="N9" s="128">
        <v>1254482</v>
      </c>
      <c r="O9" s="128">
        <v>5</v>
      </c>
      <c r="P9" s="128" t="s">
        <v>646</v>
      </c>
      <c r="Q9" s="128" t="s">
        <v>103</v>
      </c>
      <c r="R9" s="334"/>
    </row>
    <row r="10" spans="1:18" ht="15" customHeight="1" thickBot="1" x14ac:dyDescent="0.3">
      <c r="A10" s="332" t="s">
        <v>3820</v>
      </c>
      <c r="B10" s="333">
        <v>6.125</v>
      </c>
      <c r="C10" s="151" t="s">
        <v>653</v>
      </c>
      <c r="D10" s="152">
        <v>1150007</v>
      </c>
      <c r="E10" s="152">
        <v>13807907</v>
      </c>
      <c r="F10" s="151"/>
      <c r="G10" s="152">
        <v>41174282</v>
      </c>
      <c r="K10" s="127" t="s">
        <v>316</v>
      </c>
      <c r="L10" s="128" t="s">
        <v>291</v>
      </c>
      <c r="M10" s="128">
        <v>1228782</v>
      </c>
      <c r="N10" s="128">
        <v>1058252</v>
      </c>
      <c r="O10" s="128">
        <v>3</v>
      </c>
      <c r="P10" s="128" t="s">
        <v>648</v>
      </c>
      <c r="Q10" s="128">
        <v>179849</v>
      </c>
      <c r="R10" s="128" t="s">
        <v>3832</v>
      </c>
    </row>
    <row r="11" spans="1:18" ht="15" customHeight="1" thickBot="1" x14ac:dyDescent="0.3">
      <c r="A11" s="332" t="s">
        <v>3820</v>
      </c>
      <c r="B11" s="333">
        <v>8.375</v>
      </c>
      <c r="C11" s="151" t="s">
        <v>272</v>
      </c>
      <c r="D11" s="152">
        <v>1141517</v>
      </c>
      <c r="E11" s="152">
        <v>13807909</v>
      </c>
      <c r="F11" s="151"/>
      <c r="G11" s="151" t="s">
        <v>3831</v>
      </c>
      <c r="K11" s="127" t="s">
        <v>316</v>
      </c>
      <c r="L11" s="128" t="s">
        <v>290</v>
      </c>
      <c r="M11" s="128">
        <v>1229187</v>
      </c>
      <c r="N11" s="128">
        <v>1092722</v>
      </c>
      <c r="O11" s="128">
        <v>4</v>
      </c>
      <c r="P11" s="128" t="s">
        <v>648</v>
      </c>
      <c r="Q11" s="128">
        <v>179849</v>
      </c>
      <c r="R11" s="128" t="s">
        <v>3832</v>
      </c>
    </row>
    <row r="12" spans="1:18" ht="15" customHeight="1" thickBot="1" x14ac:dyDescent="0.3">
      <c r="A12" s="332" t="s">
        <v>3820</v>
      </c>
      <c r="B12" s="333">
        <v>5.875</v>
      </c>
      <c r="C12" s="151" t="s">
        <v>632</v>
      </c>
      <c r="D12" s="152">
        <v>1227237</v>
      </c>
      <c r="E12" s="152">
        <v>13807925</v>
      </c>
      <c r="F12" s="151"/>
      <c r="G12" s="152">
        <v>31138943</v>
      </c>
    </row>
    <row r="13" spans="1:18" ht="15" customHeight="1" thickBot="1" x14ac:dyDescent="0.3">
      <c r="A13" s="332" t="s">
        <v>3820</v>
      </c>
      <c r="B13" s="333">
        <v>6.125</v>
      </c>
      <c r="C13" s="151" t="s">
        <v>633</v>
      </c>
      <c r="D13" s="152">
        <v>1212881</v>
      </c>
      <c r="E13" s="152">
        <v>13807932</v>
      </c>
      <c r="F13" s="151"/>
      <c r="G13" s="151" t="s">
        <v>3833</v>
      </c>
    </row>
    <row r="14" spans="1:18" ht="15" customHeight="1" thickBot="1" x14ac:dyDescent="0.3">
      <c r="A14" s="332" t="s">
        <v>3820</v>
      </c>
      <c r="B14" s="333">
        <v>6.125</v>
      </c>
      <c r="C14" s="151" t="s">
        <v>633</v>
      </c>
      <c r="D14" s="152">
        <v>1229062</v>
      </c>
      <c r="E14" s="152">
        <v>13824398</v>
      </c>
      <c r="F14" s="151"/>
      <c r="G14" s="151" t="s">
        <v>3834</v>
      </c>
    </row>
    <row r="15" spans="1:18" ht="15" customHeight="1" thickBot="1" x14ac:dyDescent="0.3">
      <c r="A15" s="332" t="s">
        <v>3820</v>
      </c>
      <c r="B15" s="333">
        <v>8.5</v>
      </c>
      <c r="C15" s="151" t="s">
        <v>625</v>
      </c>
      <c r="D15" s="152">
        <v>1188084</v>
      </c>
      <c r="E15" s="152">
        <v>13832564</v>
      </c>
      <c r="F15" s="151"/>
      <c r="G15" s="152">
        <v>3959209</v>
      </c>
      <c r="K15" s="127" t="s">
        <v>631</v>
      </c>
      <c r="L15" s="128" t="s">
        <v>645</v>
      </c>
      <c r="N15" s="128" t="s">
        <v>646</v>
      </c>
      <c r="O15" s="128">
        <v>1262047</v>
      </c>
      <c r="P15" s="128">
        <v>1235768</v>
      </c>
      <c r="Q15" s="128">
        <v>1</v>
      </c>
    </row>
    <row r="16" spans="1:18" ht="15" customHeight="1" thickBot="1" x14ac:dyDescent="0.3">
      <c r="A16" s="332" t="s">
        <v>3820</v>
      </c>
      <c r="B16" s="333">
        <v>8.5</v>
      </c>
      <c r="C16" s="151" t="s">
        <v>625</v>
      </c>
      <c r="D16" s="152">
        <v>1188084</v>
      </c>
      <c r="E16" s="152">
        <v>13844445</v>
      </c>
      <c r="F16" s="151"/>
      <c r="G16" s="152">
        <v>3959209</v>
      </c>
      <c r="K16" s="127" t="s">
        <v>631</v>
      </c>
      <c r="L16" s="128" t="s">
        <v>645</v>
      </c>
      <c r="N16" s="128" t="s">
        <v>646</v>
      </c>
      <c r="O16" s="128">
        <v>1262047</v>
      </c>
      <c r="P16" s="128">
        <v>1235768</v>
      </c>
      <c r="Q16" s="128">
        <v>1</v>
      </c>
    </row>
    <row r="17" spans="1:17" ht="15" customHeight="1" thickBot="1" x14ac:dyDescent="0.3">
      <c r="A17" s="332" t="s">
        <v>3820</v>
      </c>
      <c r="B17" s="152">
        <v>17</v>
      </c>
      <c r="C17" s="151" t="s">
        <v>320</v>
      </c>
      <c r="D17" s="152">
        <v>1153090</v>
      </c>
      <c r="E17" s="152">
        <v>13845747</v>
      </c>
      <c r="F17" s="151"/>
      <c r="G17" s="152">
        <v>31162267</v>
      </c>
      <c r="K17" s="127" t="s">
        <v>631</v>
      </c>
      <c r="L17" s="128" t="s">
        <v>645</v>
      </c>
      <c r="N17" s="128" t="s">
        <v>646</v>
      </c>
      <c r="O17" s="128">
        <v>1262047</v>
      </c>
      <c r="P17" s="128">
        <v>1235768</v>
      </c>
      <c r="Q17" s="128">
        <v>1</v>
      </c>
    </row>
    <row r="18" spans="1:17" ht="15" customHeight="1" thickBot="1" x14ac:dyDescent="0.3">
      <c r="A18" s="332" t="s">
        <v>3820</v>
      </c>
      <c r="B18" s="333">
        <v>8.375</v>
      </c>
      <c r="C18" s="151" t="s">
        <v>314</v>
      </c>
      <c r="D18" s="152">
        <v>1145826</v>
      </c>
      <c r="E18" s="152">
        <v>13862294</v>
      </c>
      <c r="F18" s="151" t="s">
        <v>3835</v>
      </c>
      <c r="G18" s="152">
        <v>31176919</v>
      </c>
      <c r="K18" s="127" t="s">
        <v>631</v>
      </c>
      <c r="L18" s="128" t="s">
        <v>645</v>
      </c>
      <c r="N18" s="128" t="s">
        <v>646</v>
      </c>
      <c r="O18" s="128">
        <v>1262047</v>
      </c>
      <c r="P18" s="128">
        <v>1235768</v>
      </c>
      <c r="Q18" s="128">
        <v>1</v>
      </c>
    </row>
    <row r="19" spans="1:17" ht="15" customHeight="1" thickBot="1" x14ac:dyDescent="0.3">
      <c r="A19" s="332" t="s">
        <v>3820</v>
      </c>
      <c r="B19" s="152">
        <v>16</v>
      </c>
      <c r="C19" s="151" t="s">
        <v>317</v>
      </c>
      <c r="D19" s="152">
        <v>1197910</v>
      </c>
      <c r="E19" s="152">
        <v>13863503</v>
      </c>
      <c r="F19" s="151"/>
      <c r="G19" s="151" t="s">
        <v>3836</v>
      </c>
      <c r="K19" s="127" t="s">
        <v>631</v>
      </c>
      <c r="L19" s="128" t="s">
        <v>645</v>
      </c>
      <c r="N19" s="128" t="s">
        <v>646</v>
      </c>
      <c r="O19" s="128">
        <v>1262047</v>
      </c>
      <c r="P19" s="128">
        <v>1235768</v>
      </c>
      <c r="Q19" s="128">
        <v>1</v>
      </c>
    </row>
    <row r="20" spans="1:17" ht="15" customHeight="1" thickBot="1" x14ac:dyDescent="0.3">
      <c r="A20" s="332" t="s">
        <v>3820</v>
      </c>
      <c r="B20" s="152">
        <v>16</v>
      </c>
      <c r="C20" s="151" t="s">
        <v>317</v>
      </c>
      <c r="D20" s="152">
        <v>1197910</v>
      </c>
      <c r="E20" s="152">
        <v>13864100</v>
      </c>
      <c r="F20" s="151"/>
      <c r="G20" s="151" t="s">
        <v>3836</v>
      </c>
      <c r="K20" s="127" t="s">
        <v>309</v>
      </c>
      <c r="L20" s="128" t="s">
        <v>256</v>
      </c>
      <c r="N20" s="128" t="s">
        <v>646</v>
      </c>
      <c r="O20" s="128">
        <v>1198387</v>
      </c>
      <c r="P20" s="128">
        <v>1160951</v>
      </c>
      <c r="Q20" s="128">
        <v>1</v>
      </c>
    </row>
    <row r="21" spans="1:17" ht="15" customHeight="1" thickBot="1" x14ac:dyDescent="0.3">
      <c r="A21" s="332" t="s">
        <v>3820</v>
      </c>
      <c r="B21" s="152">
        <v>16</v>
      </c>
      <c r="C21" s="151" t="s">
        <v>317</v>
      </c>
      <c r="D21" s="152">
        <v>1197910</v>
      </c>
      <c r="E21" s="152">
        <v>13869680</v>
      </c>
      <c r="F21" s="151"/>
      <c r="G21" s="152">
        <v>31190973</v>
      </c>
      <c r="K21" s="127" t="s">
        <v>309</v>
      </c>
      <c r="L21" s="128" t="s">
        <v>256</v>
      </c>
      <c r="N21" s="128" t="s">
        <v>646</v>
      </c>
      <c r="O21" s="128">
        <v>1198387</v>
      </c>
      <c r="P21" s="128">
        <v>1160951</v>
      </c>
      <c r="Q21" s="128">
        <v>1</v>
      </c>
    </row>
    <row r="22" spans="1:17" ht="15" customHeight="1" thickBot="1" x14ac:dyDescent="0.3">
      <c r="A22" s="332" t="s">
        <v>3820</v>
      </c>
      <c r="B22" s="333">
        <v>8.375</v>
      </c>
      <c r="C22" s="151" t="s">
        <v>314</v>
      </c>
      <c r="D22" s="152">
        <v>1145826</v>
      </c>
      <c r="E22" s="152">
        <v>13870631</v>
      </c>
      <c r="F22" s="151" t="s">
        <v>3835</v>
      </c>
      <c r="G22" s="152">
        <v>31176919</v>
      </c>
      <c r="K22" s="127" t="s">
        <v>624</v>
      </c>
      <c r="L22" s="128" t="s">
        <v>275</v>
      </c>
      <c r="N22" s="128" t="s">
        <v>646</v>
      </c>
      <c r="O22" s="128">
        <v>1158011</v>
      </c>
      <c r="P22" s="128" t="s">
        <v>3720</v>
      </c>
      <c r="Q22" s="128">
        <v>1</v>
      </c>
    </row>
    <row r="23" spans="1:17" ht="15" customHeight="1" thickBot="1" x14ac:dyDescent="0.3">
      <c r="A23" s="332" t="s">
        <v>3820</v>
      </c>
      <c r="B23" s="333">
        <v>8.375</v>
      </c>
      <c r="C23" s="151" t="s">
        <v>314</v>
      </c>
      <c r="D23" s="152">
        <v>1145826</v>
      </c>
      <c r="E23" s="152">
        <v>13870632</v>
      </c>
      <c r="F23" s="151" t="s">
        <v>3835</v>
      </c>
      <c r="G23" s="152">
        <v>31061407</v>
      </c>
      <c r="K23" s="127" t="s">
        <v>624</v>
      </c>
      <c r="L23" s="128" t="s">
        <v>275</v>
      </c>
      <c r="N23" s="128" t="s">
        <v>646</v>
      </c>
      <c r="O23" s="128">
        <v>1158011</v>
      </c>
      <c r="P23" s="128" t="s">
        <v>3720</v>
      </c>
      <c r="Q23" s="128">
        <v>1</v>
      </c>
    </row>
    <row r="24" spans="1:17" ht="15" customHeight="1" thickBot="1" x14ac:dyDescent="0.3">
      <c r="A24" s="332" t="s">
        <v>3820</v>
      </c>
      <c r="B24" s="333">
        <v>8.375</v>
      </c>
      <c r="C24" s="151" t="s">
        <v>314</v>
      </c>
      <c r="D24" s="152">
        <v>1145826</v>
      </c>
      <c r="E24" s="152">
        <v>13870633</v>
      </c>
      <c r="F24" s="151" t="s">
        <v>3835</v>
      </c>
      <c r="G24" s="152">
        <v>31176919</v>
      </c>
      <c r="K24" s="127" t="s">
        <v>315</v>
      </c>
      <c r="L24" s="128" t="s">
        <v>284</v>
      </c>
      <c r="N24" s="128" t="s">
        <v>648</v>
      </c>
      <c r="O24" s="128">
        <v>1234376</v>
      </c>
      <c r="P24" s="128">
        <v>1249569</v>
      </c>
      <c r="Q24" s="128">
        <v>1</v>
      </c>
    </row>
    <row r="25" spans="1:17" ht="15" customHeight="1" thickBot="1" x14ac:dyDescent="0.3">
      <c r="A25" s="332" t="s">
        <v>3820</v>
      </c>
      <c r="B25" s="333">
        <v>8.375</v>
      </c>
      <c r="C25" s="151" t="s">
        <v>314</v>
      </c>
      <c r="D25" s="152">
        <v>1145826</v>
      </c>
      <c r="E25" s="152">
        <v>13870634</v>
      </c>
      <c r="F25" s="151" t="s">
        <v>3835</v>
      </c>
      <c r="G25" s="152">
        <v>31176919</v>
      </c>
      <c r="K25" s="127" t="s">
        <v>315</v>
      </c>
      <c r="L25" s="128" t="s">
        <v>284</v>
      </c>
      <c r="N25" s="128" t="s">
        <v>648</v>
      </c>
      <c r="O25" s="128">
        <v>1234376</v>
      </c>
      <c r="P25" s="128">
        <v>1249569</v>
      </c>
      <c r="Q25" s="128">
        <v>1</v>
      </c>
    </row>
    <row r="26" spans="1:17" ht="15" customHeight="1" thickBot="1" x14ac:dyDescent="0.3">
      <c r="A26" s="332" t="s">
        <v>3820</v>
      </c>
      <c r="B26" s="333">
        <v>8.375</v>
      </c>
      <c r="C26" s="151" t="s">
        <v>314</v>
      </c>
      <c r="D26" s="152">
        <v>1145826</v>
      </c>
      <c r="E26" s="152">
        <v>13870635</v>
      </c>
      <c r="F26" s="151" t="s">
        <v>3835</v>
      </c>
      <c r="G26" s="152">
        <v>31061407</v>
      </c>
      <c r="K26" s="127" t="s">
        <v>316</v>
      </c>
      <c r="L26" s="128" t="s">
        <v>292</v>
      </c>
      <c r="N26" s="128" t="s">
        <v>646</v>
      </c>
      <c r="O26" s="128">
        <v>1258119</v>
      </c>
      <c r="P26" s="128">
        <v>1254482</v>
      </c>
      <c r="Q26" s="128">
        <v>1</v>
      </c>
    </row>
    <row r="27" spans="1:17" ht="15" customHeight="1" thickBot="1" x14ac:dyDescent="0.3">
      <c r="A27" s="332" t="s">
        <v>3820</v>
      </c>
      <c r="B27" s="152">
        <v>16</v>
      </c>
      <c r="C27" s="151" t="s">
        <v>317</v>
      </c>
      <c r="D27" s="152">
        <v>1197910</v>
      </c>
      <c r="E27" s="152">
        <v>13875924</v>
      </c>
      <c r="F27" s="151"/>
      <c r="G27" s="152">
        <v>31190973</v>
      </c>
      <c r="K27" s="127" t="s">
        <v>316</v>
      </c>
      <c r="L27" s="128" t="s">
        <v>292</v>
      </c>
      <c r="N27" s="128" t="s">
        <v>646</v>
      </c>
      <c r="O27" s="128">
        <v>1258119</v>
      </c>
      <c r="P27" s="128">
        <v>1254482</v>
      </c>
      <c r="Q27" s="128">
        <v>1</v>
      </c>
    </row>
    <row r="28" spans="1:17" ht="15" customHeight="1" thickBot="1" x14ac:dyDescent="0.3">
      <c r="A28" s="332" t="s">
        <v>3820</v>
      </c>
      <c r="B28" s="152">
        <v>16</v>
      </c>
      <c r="C28" s="151" t="s">
        <v>317</v>
      </c>
      <c r="D28" s="152">
        <v>1197910</v>
      </c>
      <c r="E28" s="152">
        <v>13876158</v>
      </c>
      <c r="F28" s="151"/>
      <c r="G28" s="152">
        <v>31190973</v>
      </c>
      <c r="K28" s="127" t="s">
        <v>316</v>
      </c>
      <c r="L28" s="128" t="s">
        <v>292</v>
      </c>
      <c r="N28" s="128" t="s">
        <v>646</v>
      </c>
      <c r="O28" s="128">
        <v>1258119</v>
      </c>
      <c r="P28" s="128">
        <v>1254482</v>
      </c>
      <c r="Q28" s="128">
        <v>1</v>
      </c>
    </row>
    <row r="29" spans="1:17" ht="15" customHeight="1" thickBot="1" x14ac:dyDescent="0.3">
      <c r="A29" s="332" t="s">
        <v>3820</v>
      </c>
      <c r="B29" s="333">
        <v>5.875</v>
      </c>
      <c r="C29" s="151" t="s">
        <v>632</v>
      </c>
      <c r="D29" s="152">
        <v>1227237</v>
      </c>
      <c r="E29" s="152">
        <v>13884767</v>
      </c>
      <c r="F29" s="151"/>
      <c r="G29" s="152">
        <v>31138943</v>
      </c>
      <c r="K29" s="127" t="s">
        <v>316</v>
      </c>
      <c r="L29" s="128" t="s">
        <v>292</v>
      </c>
      <c r="N29" s="128" t="s">
        <v>646</v>
      </c>
      <c r="O29" s="128">
        <v>1258119</v>
      </c>
      <c r="P29" s="128">
        <v>1254482</v>
      </c>
      <c r="Q29" s="128">
        <v>1</v>
      </c>
    </row>
    <row r="30" spans="1:17" ht="15" customHeight="1" thickBot="1" x14ac:dyDescent="0.3">
      <c r="A30" s="332" t="s">
        <v>3820</v>
      </c>
      <c r="B30" s="333">
        <v>5.875</v>
      </c>
      <c r="C30" s="151" t="s">
        <v>632</v>
      </c>
      <c r="D30" s="152">
        <v>1227237</v>
      </c>
      <c r="E30" s="152">
        <v>13884768</v>
      </c>
      <c r="F30" s="151"/>
      <c r="G30" s="152">
        <v>31138943</v>
      </c>
      <c r="K30" s="127" t="s">
        <v>316</v>
      </c>
      <c r="L30" s="128" t="s">
        <v>292</v>
      </c>
      <c r="N30" s="128" t="s">
        <v>646</v>
      </c>
      <c r="O30" s="128">
        <v>1258119</v>
      </c>
      <c r="P30" s="128">
        <v>1254482</v>
      </c>
      <c r="Q30" s="128">
        <v>1</v>
      </c>
    </row>
    <row r="31" spans="1:17" ht="15" customHeight="1" thickBot="1" x14ac:dyDescent="0.3">
      <c r="A31" s="332" t="s">
        <v>3820</v>
      </c>
      <c r="B31" s="333">
        <v>5.875</v>
      </c>
      <c r="C31" s="151" t="s">
        <v>632</v>
      </c>
      <c r="D31" s="152">
        <v>1227237</v>
      </c>
      <c r="E31" s="152">
        <v>13884769</v>
      </c>
      <c r="F31" s="151"/>
      <c r="G31" s="152">
        <v>31138943</v>
      </c>
      <c r="K31" s="127" t="s">
        <v>316</v>
      </c>
      <c r="L31" s="128" t="s">
        <v>291</v>
      </c>
      <c r="N31" s="128" t="s">
        <v>648</v>
      </c>
      <c r="O31" s="128">
        <v>1228782</v>
      </c>
      <c r="P31" s="128">
        <v>1058252</v>
      </c>
      <c r="Q31" s="128">
        <v>1</v>
      </c>
    </row>
    <row r="32" spans="1:17" ht="15" customHeight="1" thickBot="1" x14ac:dyDescent="0.3">
      <c r="A32" s="332" t="s">
        <v>3820</v>
      </c>
      <c r="B32" s="333">
        <v>8.375</v>
      </c>
      <c r="C32" s="151" t="s">
        <v>272</v>
      </c>
      <c r="D32" s="152">
        <v>1141517</v>
      </c>
      <c r="E32" s="152">
        <v>13884772</v>
      </c>
      <c r="F32" s="151"/>
      <c r="G32" s="151" t="s">
        <v>3831</v>
      </c>
      <c r="K32" s="127" t="s">
        <v>316</v>
      </c>
      <c r="L32" s="128" t="s">
        <v>291</v>
      </c>
      <c r="N32" s="128" t="s">
        <v>648</v>
      </c>
      <c r="O32" s="128">
        <v>1228782</v>
      </c>
      <c r="P32" s="128">
        <v>1058252</v>
      </c>
      <c r="Q32" s="128">
        <v>1</v>
      </c>
    </row>
    <row r="33" spans="1:17" ht="15" customHeight="1" thickBot="1" x14ac:dyDescent="0.3">
      <c r="K33" s="127" t="s">
        <v>316</v>
      </c>
      <c r="L33" s="128" t="s">
        <v>291</v>
      </c>
      <c r="N33" s="128" t="s">
        <v>648</v>
      </c>
      <c r="O33" s="128">
        <v>1228782</v>
      </c>
      <c r="P33" s="128">
        <v>1058252</v>
      </c>
      <c r="Q33" s="128">
        <v>1</v>
      </c>
    </row>
    <row r="34" spans="1:17" ht="15" customHeight="1" thickBot="1" x14ac:dyDescent="0.3">
      <c r="A34" s="332" t="s">
        <v>3820</v>
      </c>
      <c r="B34" s="333">
        <v>8.5</v>
      </c>
      <c r="C34" s="151" t="s">
        <v>282</v>
      </c>
      <c r="D34" s="152">
        <v>1228723</v>
      </c>
      <c r="E34" s="152">
        <v>13885235</v>
      </c>
      <c r="F34" s="151"/>
      <c r="G34" s="152">
        <v>31135558</v>
      </c>
      <c r="K34" s="127" t="s">
        <v>316</v>
      </c>
      <c r="L34" s="128" t="s">
        <v>290</v>
      </c>
      <c r="N34" s="128" t="s">
        <v>648</v>
      </c>
      <c r="O34" s="128">
        <v>1229187</v>
      </c>
      <c r="P34" s="128">
        <v>1092722</v>
      </c>
      <c r="Q34" s="128">
        <v>1</v>
      </c>
    </row>
    <row r="35" spans="1:17" ht="15" customHeight="1" thickBot="1" x14ac:dyDescent="0.3">
      <c r="A35" s="332" t="s">
        <v>3820</v>
      </c>
      <c r="B35" s="333">
        <v>8.5</v>
      </c>
      <c r="C35" s="151" t="s">
        <v>282</v>
      </c>
      <c r="D35" s="152">
        <v>1228723</v>
      </c>
      <c r="E35" s="152">
        <v>13885236</v>
      </c>
      <c r="F35" s="151" t="s">
        <v>3835</v>
      </c>
      <c r="G35" s="152">
        <v>31135558</v>
      </c>
      <c r="K35" s="127" t="s">
        <v>316</v>
      </c>
      <c r="L35" s="128" t="s">
        <v>290</v>
      </c>
      <c r="N35" s="128" t="s">
        <v>648</v>
      </c>
      <c r="O35" s="128">
        <v>1229187</v>
      </c>
      <c r="P35" s="128">
        <v>1092722</v>
      </c>
      <c r="Q35" s="128">
        <v>1</v>
      </c>
    </row>
    <row r="36" spans="1:17" ht="15" customHeight="1" thickBot="1" x14ac:dyDescent="0.3">
      <c r="A36" s="332" t="s">
        <v>3820</v>
      </c>
      <c r="B36" s="333">
        <v>5.875</v>
      </c>
      <c r="C36" s="151" t="s">
        <v>632</v>
      </c>
      <c r="D36" s="152">
        <v>1227237</v>
      </c>
      <c r="E36" s="152">
        <v>13885438</v>
      </c>
      <c r="F36" s="151"/>
      <c r="G36" s="152">
        <v>31138943</v>
      </c>
      <c r="K36" s="127" t="s">
        <v>316</v>
      </c>
      <c r="L36" s="128" t="s">
        <v>290</v>
      </c>
      <c r="N36" s="128" t="s">
        <v>648</v>
      </c>
      <c r="O36" s="128">
        <v>1229187</v>
      </c>
      <c r="P36" s="128">
        <v>1092722</v>
      </c>
      <c r="Q36" s="128">
        <v>1</v>
      </c>
    </row>
    <row r="37" spans="1:17" ht="15" customHeight="1" thickBot="1" x14ac:dyDescent="0.3">
      <c r="A37" s="332" t="s">
        <v>3820</v>
      </c>
      <c r="B37" s="333">
        <v>8.375</v>
      </c>
      <c r="C37" s="151" t="s">
        <v>272</v>
      </c>
      <c r="D37" s="152">
        <v>1141517</v>
      </c>
      <c r="E37" s="152">
        <v>13885444</v>
      </c>
      <c r="F37" s="151"/>
      <c r="G37" s="151" t="s">
        <v>3831</v>
      </c>
      <c r="K37" s="127" t="s">
        <v>316</v>
      </c>
      <c r="L37" s="128" t="s">
        <v>290</v>
      </c>
      <c r="N37" s="128" t="s">
        <v>648</v>
      </c>
      <c r="O37" s="128">
        <v>1229187</v>
      </c>
      <c r="P37" s="128">
        <v>1092722</v>
      </c>
      <c r="Q37" s="128">
        <v>1</v>
      </c>
    </row>
    <row r="38" spans="1:17" ht="15" customHeight="1" thickBot="1" x14ac:dyDescent="0.3">
      <c r="A38" s="332" t="s">
        <v>3820</v>
      </c>
      <c r="B38" s="333">
        <v>8.375</v>
      </c>
      <c r="C38" s="151" t="s">
        <v>272</v>
      </c>
      <c r="D38" s="152">
        <v>1141517</v>
      </c>
      <c r="E38" s="152">
        <v>13885445</v>
      </c>
      <c r="F38" s="151"/>
      <c r="G38" s="151" t="s">
        <v>3831</v>
      </c>
    </row>
    <row r="39" spans="1:17" ht="15" customHeight="1" x14ac:dyDescent="0.25"/>
    <row r="40" spans="1:17" ht="15" customHeight="1" thickBot="1" x14ac:dyDescent="0.3">
      <c r="A40" s="332" t="s">
        <v>3820</v>
      </c>
      <c r="B40" s="333">
        <v>8.5</v>
      </c>
      <c r="C40" s="151" t="s">
        <v>282</v>
      </c>
      <c r="D40" s="152">
        <v>1228723</v>
      </c>
      <c r="E40" s="152">
        <v>13885447</v>
      </c>
      <c r="F40" s="151"/>
      <c r="G40" s="152">
        <v>31135558</v>
      </c>
    </row>
    <row r="41" spans="1:17" ht="15" customHeight="1" thickBot="1" x14ac:dyDescent="0.3">
      <c r="A41" s="332" t="s">
        <v>3820</v>
      </c>
      <c r="B41" s="333">
        <v>8.5</v>
      </c>
      <c r="C41" s="151" t="s">
        <v>282</v>
      </c>
      <c r="D41" s="152">
        <v>1228723</v>
      </c>
      <c r="E41" s="152">
        <v>13885448</v>
      </c>
      <c r="F41" s="151"/>
      <c r="G41" s="152">
        <v>31135558</v>
      </c>
    </row>
    <row r="42" spans="1:17" ht="15" customHeight="1" thickBot="1" x14ac:dyDescent="0.3">
      <c r="A42" s="332" t="s">
        <v>3820</v>
      </c>
      <c r="B42" s="152">
        <v>12</v>
      </c>
      <c r="C42" s="151" t="s">
        <v>3837</v>
      </c>
      <c r="D42" s="152">
        <v>1146009</v>
      </c>
      <c r="E42" s="152">
        <v>13886502</v>
      </c>
      <c r="F42" s="151"/>
      <c r="G42" s="152">
        <v>31020531</v>
      </c>
    </row>
    <row r="43" spans="1:17" ht="15" customHeight="1" thickBot="1" x14ac:dyDescent="0.3">
      <c r="A43" s="332" t="s">
        <v>3820</v>
      </c>
      <c r="B43" s="152">
        <v>16</v>
      </c>
      <c r="C43" s="151" t="s">
        <v>318</v>
      </c>
      <c r="D43" s="152">
        <v>1145823</v>
      </c>
      <c r="E43" s="152">
        <v>13888896</v>
      </c>
      <c r="F43" s="151"/>
      <c r="G43" s="152">
        <v>31033011</v>
      </c>
    </row>
    <row r="44" spans="1:17" ht="15" customHeight="1" thickBot="1" x14ac:dyDescent="0.3">
      <c r="A44" s="332" t="s">
        <v>3820</v>
      </c>
      <c r="B44" s="152">
        <v>16</v>
      </c>
      <c r="C44" s="151" t="s">
        <v>318</v>
      </c>
      <c r="D44" s="152">
        <v>1145823</v>
      </c>
      <c r="E44" s="152">
        <v>13888897</v>
      </c>
      <c r="F44" s="151"/>
      <c r="G44" s="152">
        <v>31033011</v>
      </c>
      <c r="K44" s="248" t="s">
        <v>3838</v>
      </c>
      <c r="L44" s="248"/>
      <c r="M44" s="248"/>
      <c r="N44" s="248"/>
      <c r="O44" s="248"/>
    </row>
    <row r="45" spans="1:17" ht="15" customHeight="1" thickBot="1" x14ac:dyDescent="0.3">
      <c r="A45" s="332" t="s">
        <v>3820</v>
      </c>
      <c r="B45" s="152">
        <v>16</v>
      </c>
      <c r="C45" s="151" t="s">
        <v>318</v>
      </c>
      <c r="D45" s="152">
        <v>1145823</v>
      </c>
      <c r="E45" s="152">
        <v>13889235</v>
      </c>
      <c r="F45" s="151"/>
      <c r="G45" s="152">
        <v>31033011</v>
      </c>
      <c r="K45" s="248" t="s">
        <v>316</v>
      </c>
      <c r="L45" s="248" t="s">
        <v>288</v>
      </c>
      <c r="M45" s="248">
        <v>1238258</v>
      </c>
      <c r="N45" s="248">
        <v>1</v>
      </c>
      <c r="O45" s="248" t="s">
        <v>681</v>
      </c>
    </row>
    <row r="46" spans="1:17" ht="15" customHeight="1" thickBot="1" x14ac:dyDescent="0.3">
      <c r="A46" s="332" t="s">
        <v>3820</v>
      </c>
      <c r="B46" s="152">
        <v>17</v>
      </c>
      <c r="C46" s="151" t="s">
        <v>665</v>
      </c>
      <c r="D46" s="152">
        <v>1231398</v>
      </c>
      <c r="E46" s="152">
        <v>13893309</v>
      </c>
      <c r="F46" s="151"/>
      <c r="G46" s="152">
        <v>31207425</v>
      </c>
      <c r="K46" s="248" t="s">
        <v>315</v>
      </c>
      <c r="L46" s="248" t="s">
        <v>654</v>
      </c>
      <c r="M46" s="248">
        <v>1239239</v>
      </c>
      <c r="N46" s="248">
        <v>1</v>
      </c>
      <c r="O46" s="248" t="s">
        <v>681</v>
      </c>
    </row>
    <row r="47" spans="1:17" ht="15" customHeight="1" thickBot="1" x14ac:dyDescent="0.3">
      <c r="A47" s="332" t="s">
        <v>3820</v>
      </c>
      <c r="B47" s="333">
        <v>5.875</v>
      </c>
      <c r="C47" s="151" t="s">
        <v>632</v>
      </c>
      <c r="D47" s="152">
        <v>1227237</v>
      </c>
      <c r="E47" s="152">
        <v>13899511</v>
      </c>
      <c r="F47" s="151"/>
      <c r="G47" s="152">
        <v>31138943</v>
      </c>
      <c r="K47" s="248" t="s">
        <v>313</v>
      </c>
      <c r="L47" s="248" t="s">
        <v>271</v>
      </c>
      <c r="M47" s="248">
        <v>1239176</v>
      </c>
      <c r="N47" s="248">
        <v>1</v>
      </c>
      <c r="O47" s="248" t="s">
        <v>681</v>
      </c>
    </row>
    <row r="48" spans="1:17" ht="15" customHeight="1" thickBot="1" x14ac:dyDescent="0.3">
      <c r="A48" s="332" t="s">
        <v>3820</v>
      </c>
      <c r="B48" s="333">
        <v>8.5</v>
      </c>
      <c r="C48" s="151" t="s">
        <v>625</v>
      </c>
      <c r="D48" s="152">
        <v>1188084</v>
      </c>
      <c r="E48" s="152">
        <v>13899518</v>
      </c>
      <c r="F48" s="151"/>
      <c r="G48" s="152">
        <v>3959209</v>
      </c>
      <c r="K48" s="248" t="s">
        <v>313</v>
      </c>
      <c r="L48" s="248" t="s">
        <v>3839</v>
      </c>
      <c r="M48" s="248">
        <v>1158011</v>
      </c>
      <c r="N48" s="248">
        <v>1</v>
      </c>
      <c r="O48" s="248" t="s">
        <v>681</v>
      </c>
    </row>
    <row r="49" spans="1:18" ht="15" customHeight="1" thickBot="1" x14ac:dyDescent="0.3">
      <c r="A49" s="332" t="s">
        <v>3820</v>
      </c>
      <c r="B49" s="333">
        <v>12.25</v>
      </c>
      <c r="C49" s="151" t="s">
        <v>746</v>
      </c>
      <c r="D49" s="152">
        <v>1220553</v>
      </c>
      <c r="E49" s="152">
        <v>13899525</v>
      </c>
      <c r="F49" s="151"/>
      <c r="G49" s="151" t="s">
        <v>3840</v>
      </c>
      <c r="K49" s="248" t="s">
        <v>313</v>
      </c>
      <c r="L49" s="248" t="s">
        <v>3839</v>
      </c>
      <c r="M49" s="248">
        <v>1158011</v>
      </c>
      <c r="N49" s="248">
        <v>1</v>
      </c>
      <c r="O49" s="248" t="s">
        <v>681</v>
      </c>
    </row>
    <row r="50" spans="1:18" ht="15" customHeight="1" thickBot="1" x14ac:dyDescent="0.3">
      <c r="A50" s="332" t="s">
        <v>3820</v>
      </c>
      <c r="B50" s="333">
        <v>8.5</v>
      </c>
      <c r="C50" s="151" t="s">
        <v>625</v>
      </c>
      <c r="D50" s="152">
        <v>1188084</v>
      </c>
      <c r="E50" s="152">
        <v>13901164</v>
      </c>
      <c r="F50" s="151"/>
      <c r="G50" s="152">
        <v>3959209</v>
      </c>
      <c r="K50" s="248" t="s">
        <v>313</v>
      </c>
      <c r="L50" s="248" t="s">
        <v>3839</v>
      </c>
      <c r="M50" s="248">
        <v>1158011</v>
      </c>
      <c r="N50" s="248">
        <v>1</v>
      </c>
      <c r="O50" s="248" t="s">
        <v>681</v>
      </c>
    </row>
    <row r="51" spans="1:18" ht="15" customHeight="1" thickBot="1" x14ac:dyDescent="0.3">
      <c r="A51" s="332" t="s">
        <v>3820</v>
      </c>
      <c r="B51" s="152">
        <v>16</v>
      </c>
      <c r="C51" s="151" t="s">
        <v>317</v>
      </c>
      <c r="D51" s="152">
        <v>1197910</v>
      </c>
      <c r="E51" s="152">
        <v>13901738</v>
      </c>
      <c r="F51" s="151"/>
      <c r="G51" s="152">
        <v>31190973</v>
      </c>
    </row>
    <row r="52" spans="1:18" ht="15" customHeight="1" thickBot="1" x14ac:dyDescent="0.3">
      <c r="A52" s="332" t="s">
        <v>3820</v>
      </c>
      <c r="B52" s="152">
        <v>17</v>
      </c>
      <c r="C52" s="151" t="s">
        <v>665</v>
      </c>
      <c r="D52" s="152">
        <v>1231398</v>
      </c>
      <c r="E52" s="152">
        <v>13901739</v>
      </c>
      <c r="F52" s="151"/>
      <c r="G52" s="152">
        <v>31207425</v>
      </c>
      <c r="K52" t="s">
        <v>3841</v>
      </c>
    </row>
    <row r="53" spans="1:18" ht="15" customHeight="1" thickBot="1" x14ac:dyDescent="0.3">
      <c r="A53" s="332" t="s">
        <v>3820</v>
      </c>
      <c r="B53" s="152">
        <v>16</v>
      </c>
      <c r="C53" s="151" t="s">
        <v>317</v>
      </c>
      <c r="D53" s="152">
        <v>1197910</v>
      </c>
      <c r="E53" s="152">
        <v>13902285</v>
      </c>
      <c r="F53" s="151"/>
      <c r="G53" s="152">
        <v>31190973</v>
      </c>
      <c r="K53" s="125" t="s">
        <v>258</v>
      </c>
      <c r="L53" s="126" t="s">
        <v>4</v>
      </c>
      <c r="M53" s="126" t="s">
        <v>300</v>
      </c>
      <c r="N53" s="126" t="s">
        <v>301</v>
      </c>
      <c r="O53" s="126" t="s">
        <v>302</v>
      </c>
      <c r="P53" s="126" t="s">
        <v>3842</v>
      </c>
      <c r="Q53" s="126" t="s">
        <v>3826</v>
      </c>
      <c r="R53" s="126" t="s">
        <v>3827</v>
      </c>
    </row>
    <row r="54" spans="1:18" ht="15" customHeight="1" thickBot="1" x14ac:dyDescent="0.3">
      <c r="A54" s="332" t="s">
        <v>3820</v>
      </c>
      <c r="B54" s="333">
        <v>12.25</v>
      </c>
      <c r="C54" s="151" t="s">
        <v>638</v>
      </c>
      <c r="D54" s="152">
        <v>1112857</v>
      </c>
      <c r="E54" s="152">
        <v>13903294</v>
      </c>
      <c r="F54" s="151"/>
      <c r="G54" s="152">
        <v>31142907</v>
      </c>
      <c r="K54" s="127" t="s">
        <v>624</v>
      </c>
      <c r="L54" s="128" t="s">
        <v>275</v>
      </c>
      <c r="M54" s="128">
        <v>1158011</v>
      </c>
      <c r="N54" s="128" t="s">
        <v>3720</v>
      </c>
      <c r="O54" s="128">
        <v>5</v>
      </c>
      <c r="P54" s="128" t="s">
        <v>646</v>
      </c>
      <c r="Q54" s="129" t="s">
        <v>103</v>
      </c>
      <c r="R54" s="129"/>
    </row>
    <row r="55" spans="1:18" ht="15" customHeight="1" thickBot="1" x14ac:dyDescent="0.3">
      <c r="A55" s="332" t="s">
        <v>3820</v>
      </c>
      <c r="B55" s="152">
        <v>16</v>
      </c>
      <c r="C55" s="151" t="s">
        <v>318</v>
      </c>
      <c r="D55" s="152">
        <v>1145823</v>
      </c>
      <c r="E55" s="152">
        <v>13903295</v>
      </c>
      <c r="F55" s="151"/>
      <c r="G55" s="152">
        <v>31033011</v>
      </c>
      <c r="K55" s="130" t="s">
        <v>624</v>
      </c>
      <c r="L55" s="129" t="s">
        <v>281</v>
      </c>
      <c r="M55" s="129">
        <v>1267809</v>
      </c>
      <c r="N55" s="129">
        <v>1263805</v>
      </c>
      <c r="O55" s="129">
        <v>3</v>
      </c>
      <c r="P55" s="129" t="s">
        <v>646</v>
      </c>
      <c r="Q55" s="129" t="s">
        <v>103</v>
      </c>
      <c r="R55" s="151"/>
    </row>
    <row r="56" spans="1:18" ht="15" customHeight="1" thickBot="1" x14ac:dyDescent="0.3">
      <c r="A56" s="332" t="s">
        <v>3820</v>
      </c>
      <c r="B56" s="152">
        <v>16</v>
      </c>
      <c r="C56" s="151" t="s">
        <v>317</v>
      </c>
      <c r="D56" s="152">
        <v>1197910</v>
      </c>
      <c r="E56" s="152">
        <v>13905842</v>
      </c>
      <c r="F56" s="151"/>
      <c r="G56" s="152">
        <v>31190973</v>
      </c>
      <c r="K56" s="127" t="s">
        <v>315</v>
      </c>
      <c r="L56" s="128" t="s">
        <v>286</v>
      </c>
      <c r="M56" s="128">
        <v>1245350</v>
      </c>
      <c r="N56" s="128" t="s">
        <v>3843</v>
      </c>
      <c r="O56" s="128">
        <v>2</v>
      </c>
      <c r="P56" s="128" t="s">
        <v>648</v>
      </c>
      <c r="Q56" s="129">
        <v>179838</v>
      </c>
      <c r="R56" s="129" t="s">
        <v>678</v>
      </c>
    </row>
    <row r="57" spans="1:18" ht="15" customHeight="1" thickBot="1" x14ac:dyDescent="0.3">
      <c r="A57" s="332" t="s">
        <v>3820</v>
      </c>
      <c r="B57" s="333">
        <v>12.25</v>
      </c>
      <c r="C57" s="151" t="s">
        <v>638</v>
      </c>
      <c r="D57" s="152">
        <v>1112857</v>
      </c>
      <c r="E57" s="152">
        <v>13910643</v>
      </c>
      <c r="F57" s="151"/>
      <c r="G57" s="152">
        <v>31142907</v>
      </c>
      <c r="K57" s="130" t="s">
        <v>637</v>
      </c>
      <c r="L57" s="129" t="s">
        <v>287</v>
      </c>
      <c r="M57" s="129">
        <v>1267122</v>
      </c>
      <c r="N57" s="129">
        <v>1257458</v>
      </c>
      <c r="O57" s="129">
        <v>3</v>
      </c>
      <c r="P57" s="129" t="s">
        <v>646</v>
      </c>
      <c r="Q57" s="129" t="s">
        <v>103</v>
      </c>
      <c r="R57" s="151"/>
    </row>
    <row r="58" spans="1:18" ht="15" customHeight="1" thickBot="1" x14ac:dyDescent="0.3">
      <c r="A58" s="332" t="s">
        <v>3820</v>
      </c>
      <c r="B58" s="152">
        <v>16</v>
      </c>
      <c r="C58" s="151" t="s">
        <v>317</v>
      </c>
      <c r="D58" s="152">
        <v>1197910</v>
      </c>
      <c r="E58" s="152">
        <v>13910882</v>
      </c>
      <c r="F58" s="151"/>
      <c r="G58" s="152">
        <v>31190973</v>
      </c>
    </row>
    <row r="59" spans="1:18" ht="15" customHeight="1" thickBot="1" x14ac:dyDescent="0.3">
      <c r="A59" s="332" t="s">
        <v>3820</v>
      </c>
      <c r="B59" s="152">
        <v>16</v>
      </c>
      <c r="C59" s="151" t="s">
        <v>317</v>
      </c>
      <c r="D59" s="152">
        <v>1197910</v>
      </c>
      <c r="E59" s="152">
        <v>13910883</v>
      </c>
      <c r="F59" s="151"/>
      <c r="G59" s="152">
        <v>31190973</v>
      </c>
    </row>
    <row r="60" spans="1:18" ht="15" customHeight="1" thickBot="1" x14ac:dyDescent="0.3">
      <c r="A60" s="332" t="s">
        <v>3820</v>
      </c>
      <c r="B60" s="333">
        <v>12.25</v>
      </c>
      <c r="C60" s="151" t="s">
        <v>638</v>
      </c>
      <c r="D60" s="152">
        <v>1112857</v>
      </c>
      <c r="E60" s="152">
        <v>13911473</v>
      </c>
      <c r="F60" s="151"/>
      <c r="G60" s="152">
        <v>31142907</v>
      </c>
      <c r="K60" s="124" t="s">
        <v>3844</v>
      </c>
    </row>
    <row r="61" spans="1:18" ht="15" customHeight="1" thickBot="1" x14ac:dyDescent="0.3">
      <c r="A61" s="332" t="s">
        <v>3820</v>
      </c>
      <c r="B61" s="333">
        <v>12.25</v>
      </c>
      <c r="C61" s="151" t="s">
        <v>638</v>
      </c>
      <c r="D61" s="152">
        <v>1112857</v>
      </c>
      <c r="E61" s="152">
        <v>13911474</v>
      </c>
      <c r="F61" s="151"/>
      <c r="G61" s="152">
        <v>31142907</v>
      </c>
      <c r="K61" s="125" t="s">
        <v>258</v>
      </c>
      <c r="L61" s="126" t="s">
        <v>4</v>
      </c>
      <c r="M61" s="126" t="s">
        <v>300</v>
      </c>
      <c r="N61" s="126" t="s">
        <v>301</v>
      </c>
      <c r="O61" s="126" t="s">
        <v>302</v>
      </c>
      <c r="P61" s="126" t="s">
        <v>3826</v>
      </c>
      <c r="Q61" s="126" t="s">
        <v>3827</v>
      </c>
    </row>
    <row r="62" spans="1:18" ht="15" customHeight="1" thickBot="1" x14ac:dyDescent="0.3">
      <c r="A62" s="332" t="s">
        <v>3820</v>
      </c>
      <c r="B62" s="152">
        <v>12</v>
      </c>
      <c r="C62" s="151" t="s">
        <v>3837</v>
      </c>
      <c r="D62" s="152">
        <v>1146009</v>
      </c>
      <c r="E62" s="152">
        <v>13912279</v>
      </c>
      <c r="F62" s="151"/>
      <c r="G62" s="152">
        <v>31020531</v>
      </c>
      <c r="K62" s="127" t="s">
        <v>631</v>
      </c>
      <c r="L62" s="128" t="s">
        <v>645</v>
      </c>
      <c r="M62" s="128">
        <v>1262047</v>
      </c>
      <c r="N62" s="128">
        <v>1235768</v>
      </c>
      <c r="O62" s="128">
        <v>5</v>
      </c>
      <c r="P62" s="128" t="s">
        <v>103</v>
      </c>
      <c r="Q62" s="128"/>
    </row>
    <row r="63" spans="1:18" ht="15" customHeight="1" thickBot="1" x14ac:dyDescent="0.35">
      <c r="A63" s="332" t="s">
        <v>3820</v>
      </c>
      <c r="B63" s="152">
        <v>12</v>
      </c>
      <c r="C63" s="151" t="s">
        <v>3837</v>
      </c>
      <c r="D63" s="152">
        <v>1146009</v>
      </c>
      <c r="E63" s="152">
        <v>13913122</v>
      </c>
      <c r="F63" s="151"/>
      <c r="G63" s="152">
        <v>31020531</v>
      </c>
      <c r="K63" s="127" t="s">
        <v>309</v>
      </c>
      <c r="L63" s="128" t="s">
        <v>256</v>
      </c>
      <c r="M63" s="128">
        <v>1198387</v>
      </c>
      <c r="N63" s="128">
        <v>1160951</v>
      </c>
      <c r="O63" s="128">
        <v>7</v>
      </c>
      <c r="P63" s="129" t="s">
        <v>103</v>
      </c>
      <c r="Q63" s="334"/>
    </row>
    <row r="64" spans="1:18" ht="15" customHeight="1" thickBot="1" x14ac:dyDescent="0.3">
      <c r="A64" s="332" t="s">
        <v>3820</v>
      </c>
      <c r="B64" s="333">
        <v>12.25</v>
      </c>
      <c r="C64" s="151" t="s">
        <v>638</v>
      </c>
      <c r="D64" s="152">
        <v>1112857</v>
      </c>
      <c r="E64" s="152">
        <v>13913123</v>
      </c>
      <c r="F64" s="151"/>
      <c r="G64" s="152">
        <v>31142907</v>
      </c>
      <c r="K64" s="127" t="s">
        <v>624</v>
      </c>
      <c r="L64" s="128" t="s">
        <v>275</v>
      </c>
      <c r="M64" s="128">
        <v>1158011</v>
      </c>
      <c r="N64" s="128" t="s">
        <v>3845</v>
      </c>
      <c r="O64" s="128">
        <v>5</v>
      </c>
      <c r="P64" s="129" t="s">
        <v>103</v>
      </c>
      <c r="Q64" s="242"/>
    </row>
    <row r="65" spans="1:18" ht="15" customHeight="1" thickBot="1" x14ac:dyDescent="0.3">
      <c r="A65" s="332" t="s">
        <v>3820</v>
      </c>
      <c r="B65" s="333">
        <v>12.25</v>
      </c>
      <c r="C65" s="151" t="s">
        <v>638</v>
      </c>
      <c r="D65" s="152">
        <v>1112857</v>
      </c>
      <c r="E65" s="152">
        <v>13914967</v>
      </c>
      <c r="F65" s="151"/>
      <c r="G65" s="152">
        <v>31142907</v>
      </c>
      <c r="K65" s="127" t="s">
        <v>315</v>
      </c>
      <c r="L65" s="128" t="s">
        <v>286</v>
      </c>
      <c r="M65" s="128">
        <v>1245350</v>
      </c>
      <c r="N65" s="128" t="s">
        <v>3846</v>
      </c>
      <c r="O65" s="128">
        <v>3</v>
      </c>
      <c r="P65" s="129">
        <v>179838</v>
      </c>
      <c r="Q65" s="129" t="s">
        <v>678</v>
      </c>
    </row>
    <row r="66" spans="1:18" ht="15" customHeight="1" thickBot="1" x14ac:dyDescent="0.3">
      <c r="A66" s="332" t="s">
        <v>3820</v>
      </c>
      <c r="B66" s="333">
        <v>12.25</v>
      </c>
      <c r="C66" s="151" t="s">
        <v>638</v>
      </c>
      <c r="D66" s="152">
        <v>1112857</v>
      </c>
      <c r="E66" s="152">
        <v>13914968</v>
      </c>
      <c r="F66" s="151"/>
      <c r="G66" s="152">
        <v>31142907</v>
      </c>
      <c r="K66" s="127" t="s">
        <v>315</v>
      </c>
      <c r="L66" s="128" t="s">
        <v>284</v>
      </c>
      <c r="M66" s="128">
        <v>1234376</v>
      </c>
      <c r="N66" s="128">
        <v>1249569</v>
      </c>
      <c r="O66" s="128">
        <v>5</v>
      </c>
      <c r="P66" s="128">
        <v>179838</v>
      </c>
      <c r="Q66" s="129" t="s">
        <v>678</v>
      </c>
    </row>
    <row r="67" spans="1:18" ht="15" customHeight="1" thickBot="1" x14ac:dyDescent="0.3">
      <c r="A67" s="332" t="s">
        <v>3820</v>
      </c>
      <c r="B67" s="152">
        <v>12</v>
      </c>
      <c r="C67" s="151" t="s">
        <v>284</v>
      </c>
      <c r="D67" s="152">
        <v>1234376</v>
      </c>
      <c r="E67" s="152">
        <v>13915698</v>
      </c>
      <c r="F67" s="151"/>
      <c r="G67" s="152">
        <v>31249569</v>
      </c>
      <c r="K67" s="127" t="s">
        <v>316</v>
      </c>
      <c r="L67" s="128" t="s">
        <v>291</v>
      </c>
      <c r="M67" s="129">
        <v>1228782</v>
      </c>
      <c r="N67" s="128">
        <v>1058252</v>
      </c>
      <c r="O67" s="128">
        <v>3</v>
      </c>
      <c r="P67" s="128">
        <v>179849</v>
      </c>
      <c r="Q67" s="128" t="s">
        <v>3832</v>
      </c>
    </row>
    <row r="68" spans="1:18" ht="15" customHeight="1" thickBot="1" x14ac:dyDescent="0.3">
      <c r="A68" s="332" t="s">
        <v>3820</v>
      </c>
      <c r="B68" s="333">
        <v>12.25</v>
      </c>
      <c r="C68" s="151" t="s">
        <v>638</v>
      </c>
      <c r="D68" s="152">
        <v>1112857</v>
      </c>
      <c r="E68" s="152">
        <v>13917051</v>
      </c>
      <c r="F68" s="151"/>
      <c r="G68" s="152">
        <v>31142907</v>
      </c>
    </row>
    <row r="69" spans="1:18" ht="15" customHeight="1" thickBot="1" x14ac:dyDescent="0.3">
      <c r="A69" s="332" t="s">
        <v>3820</v>
      </c>
      <c r="B69" s="333">
        <v>12.25</v>
      </c>
      <c r="C69" s="151" t="s">
        <v>638</v>
      </c>
      <c r="D69" s="152">
        <v>1112857</v>
      </c>
      <c r="E69" s="152">
        <v>13917052</v>
      </c>
      <c r="F69" s="151"/>
      <c r="G69" s="152">
        <v>31142907</v>
      </c>
      <c r="K69" s="208" t="s">
        <v>3847</v>
      </c>
    </row>
    <row r="70" spans="1:18" ht="15" customHeight="1" thickBot="1" x14ac:dyDescent="0.3">
      <c r="A70" s="332" t="s">
        <v>3820</v>
      </c>
      <c r="B70" s="152">
        <v>12</v>
      </c>
      <c r="C70" s="151" t="s">
        <v>284</v>
      </c>
      <c r="D70" s="152">
        <v>1234376</v>
      </c>
      <c r="E70" s="152">
        <v>13917849</v>
      </c>
      <c r="F70" s="151"/>
      <c r="G70" s="152">
        <v>31249569</v>
      </c>
      <c r="J70" t="s">
        <v>338</v>
      </c>
      <c r="K70" s="125" t="s">
        <v>258</v>
      </c>
      <c r="L70" s="126" t="s">
        <v>4</v>
      </c>
      <c r="M70" s="126" t="s">
        <v>300</v>
      </c>
      <c r="N70" s="126" t="s">
        <v>301</v>
      </c>
      <c r="O70" s="126" t="s">
        <v>302</v>
      </c>
    </row>
    <row r="71" spans="1:18" ht="15" customHeight="1" thickBot="1" x14ac:dyDescent="0.3">
      <c r="A71" s="332" t="s">
        <v>3820</v>
      </c>
      <c r="B71" s="333">
        <v>12.25</v>
      </c>
      <c r="C71" s="151" t="s">
        <v>638</v>
      </c>
      <c r="D71" s="152">
        <v>1112857</v>
      </c>
      <c r="E71" s="152">
        <v>13918075</v>
      </c>
      <c r="F71" s="151"/>
      <c r="G71" s="152">
        <v>31142907</v>
      </c>
      <c r="J71" s="357" t="s">
        <v>3848</v>
      </c>
      <c r="K71" s="358">
        <v>8.5</v>
      </c>
      <c r="L71" s="359" t="s">
        <v>274</v>
      </c>
      <c r="M71" s="360">
        <v>1269498</v>
      </c>
      <c r="N71" s="360" t="s">
        <v>3849</v>
      </c>
      <c r="O71" s="358">
        <v>1</v>
      </c>
    </row>
    <row r="72" spans="1:18" ht="15" customHeight="1" thickBot="1" x14ac:dyDescent="0.3">
      <c r="A72" s="332" t="s">
        <v>3820</v>
      </c>
      <c r="B72" s="152">
        <v>16</v>
      </c>
      <c r="C72" s="151" t="s">
        <v>317</v>
      </c>
      <c r="D72" s="152">
        <v>1197910</v>
      </c>
      <c r="E72" s="152">
        <v>13918077</v>
      </c>
      <c r="F72" s="151"/>
      <c r="G72" s="152">
        <v>31190973</v>
      </c>
    </row>
    <row r="73" spans="1:18" ht="15" customHeight="1" thickBot="1" x14ac:dyDescent="0.3">
      <c r="A73" s="332" t="s">
        <v>3820</v>
      </c>
      <c r="B73" s="152">
        <v>16</v>
      </c>
      <c r="C73" s="151" t="s">
        <v>317</v>
      </c>
      <c r="D73" s="152">
        <v>1197910</v>
      </c>
      <c r="E73" s="152">
        <v>13924726</v>
      </c>
      <c r="F73" s="151"/>
      <c r="G73" s="152">
        <v>31190973</v>
      </c>
    </row>
    <row r="74" spans="1:18" ht="15" customHeight="1" thickBot="1" x14ac:dyDescent="0.3">
      <c r="A74" s="332" t="s">
        <v>3820</v>
      </c>
      <c r="B74" s="152">
        <v>16</v>
      </c>
      <c r="C74" s="151" t="s">
        <v>317</v>
      </c>
      <c r="D74" s="152">
        <v>1197910</v>
      </c>
      <c r="E74" s="152">
        <v>13925589</v>
      </c>
      <c r="F74" s="151"/>
      <c r="G74" s="152">
        <v>31190973</v>
      </c>
      <c r="K74" s="124" t="s">
        <v>3850</v>
      </c>
    </row>
    <row r="75" spans="1:18" ht="15" customHeight="1" thickBot="1" x14ac:dyDescent="0.3">
      <c r="A75" s="332" t="s">
        <v>3820</v>
      </c>
      <c r="B75" s="152">
        <v>16</v>
      </c>
      <c r="C75" s="151" t="s">
        <v>320</v>
      </c>
      <c r="D75" s="152">
        <v>1221158</v>
      </c>
      <c r="E75" s="152">
        <v>13925619</v>
      </c>
      <c r="F75" s="151"/>
      <c r="G75" s="151" t="s">
        <v>3851</v>
      </c>
      <c r="K75" s="125" t="s">
        <v>258</v>
      </c>
      <c r="L75" s="126" t="s">
        <v>4</v>
      </c>
      <c r="M75" s="126" t="s">
        <v>300</v>
      </c>
      <c r="N75" s="126" t="s">
        <v>301</v>
      </c>
      <c r="O75" s="126" t="s">
        <v>619</v>
      </c>
    </row>
    <row r="76" spans="1:18" ht="15" customHeight="1" thickBot="1" x14ac:dyDescent="0.3">
      <c r="A76" s="332" t="s">
        <v>3820</v>
      </c>
      <c r="B76" s="152">
        <v>16</v>
      </c>
      <c r="C76" s="151" t="s">
        <v>317</v>
      </c>
      <c r="D76" s="152">
        <v>1197910</v>
      </c>
      <c r="E76" s="152">
        <v>13925705</v>
      </c>
      <c r="F76" s="151"/>
      <c r="G76" s="152">
        <v>31190973</v>
      </c>
      <c r="K76" s="127" t="s">
        <v>631</v>
      </c>
      <c r="L76" s="128" t="s">
        <v>645</v>
      </c>
      <c r="M76" s="128">
        <v>1262047</v>
      </c>
      <c r="N76" s="128">
        <v>1235768</v>
      </c>
      <c r="O76" s="206">
        <v>10</v>
      </c>
    </row>
    <row r="77" spans="1:18" ht="15" customHeight="1" thickBot="1" x14ac:dyDescent="0.3">
      <c r="A77" s="332" t="s">
        <v>3820</v>
      </c>
      <c r="B77" s="333">
        <v>12.25</v>
      </c>
      <c r="C77" s="151" t="s">
        <v>638</v>
      </c>
      <c r="D77" s="152">
        <v>1112857</v>
      </c>
      <c r="E77" s="152">
        <v>13939970</v>
      </c>
      <c r="F77" s="151"/>
      <c r="G77" s="152">
        <v>31142907</v>
      </c>
    </row>
    <row r="78" spans="1:18" ht="15" customHeight="1" thickBot="1" x14ac:dyDescent="0.3">
      <c r="A78" s="332" t="s">
        <v>3820</v>
      </c>
      <c r="B78" s="152">
        <v>16</v>
      </c>
      <c r="C78" s="151" t="s">
        <v>318</v>
      </c>
      <c r="D78" s="152">
        <v>1145823</v>
      </c>
      <c r="E78" s="152">
        <v>13939972</v>
      </c>
      <c r="F78" s="151"/>
      <c r="G78" s="152">
        <v>31033011</v>
      </c>
    </row>
    <row r="79" spans="1:18" ht="15" customHeight="1" thickBot="1" x14ac:dyDescent="0.3">
      <c r="A79" s="332" t="s">
        <v>3820</v>
      </c>
      <c r="B79" s="152">
        <v>16</v>
      </c>
      <c r="C79" s="151" t="s">
        <v>318</v>
      </c>
      <c r="D79" s="152">
        <v>1145823</v>
      </c>
      <c r="E79" s="152">
        <v>13939973</v>
      </c>
      <c r="F79" s="151"/>
      <c r="G79" s="152">
        <v>31033011</v>
      </c>
      <c r="K79" s="124" t="s">
        <v>3852</v>
      </c>
    </row>
    <row r="80" spans="1:18" ht="15" customHeight="1" thickBot="1" x14ac:dyDescent="0.3">
      <c r="A80" s="332" t="s">
        <v>3820</v>
      </c>
      <c r="B80" s="333">
        <v>3.625</v>
      </c>
      <c r="C80" s="151" t="s">
        <v>636</v>
      </c>
      <c r="D80" s="152">
        <v>1231285</v>
      </c>
      <c r="E80" s="152">
        <v>13955543</v>
      </c>
      <c r="F80" s="151"/>
      <c r="G80" s="152">
        <v>41261733</v>
      </c>
      <c r="K80" s="125" t="s">
        <v>258</v>
      </c>
      <c r="L80" s="126" t="s">
        <v>4</v>
      </c>
      <c r="M80" s="126" t="s">
        <v>3853</v>
      </c>
      <c r="N80" s="126" t="s">
        <v>301</v>
      </c>
      <c r="O80" s="126" t="s">
        <v>302</v>
      </c>
      <c r="P80" s="126" t="s">
        <v>3854</v>
      </c>
      <c r="Q80" s="126" t="s">
        <v>3855</v>
      </c>
      <c r="R80" s="126" t="s">
        <v>3856</v>
      </c>
    </row>
    <row r="81" spans="1:21" ht="15" customHeight="1" thickBot="1" x14ac:dyDescent="0.3">
      <c r="K81" s="127" t="s">
        <v>304</v>
      </c>
      <c r="L81" s="128" t="s">
        <v>666</v>
      </c>
      <c r="M81" s="128">
        <v>1270617</v>
      </c>
      <c r="N81" s="430">
        <v>1216970</v>
      </c>
      <c r="O81" s="128">
        <v>5</v>
      </c>
      <c r="P81" s="206">
        <v>4</v>
      </c>
      <c r="Q81" s="206" t="s">
        <v>103</v>
      </c>
      <c r="R81" s="424" t="s">
        <v>3857</v>
      </c>
    </row>
    <row r="82" spans="1:21" ht="15" customHeight="1" thickBot="1" x14ac:dyDescent="0.3">
      <c r="A82" s="332" t="s">
        <v>3820</v>
      </c>
      <c r="B82" s="333">
        <v>3.625</v>
      </c>
      <c r="C82" s="151" t="s">
        <v>636</v>
      </c>
      <c r="D82" s="152">
        <v>1231285</v>
      </c>
      <c r="E82" s="152">
        <v>13970777</v>
      </c>
      <c r="F82" s="151"/>
      <c r="G82" s="152">
        <v>41261733</v>
      </c>
      <c r="K82" s="127" t="s">
        <v>631</v>
      </c>
      <c r="L82" s="128" t="s">
        <v>645</v>
      </c>
      <c r="M82" s="128">
        <v>1262047</v>
      </c>
      <c r="N82" s="128">
        <v>1235768</v>
      </c>
      <c r="O82" s="128">
        <v>5</v>
      </c>
      <c r="P82" s="206">
        <v>4</v>
      </c>
      <c r="Q82" s="206" t="s">
        <v>103</v>
      </c>
      <c r="R82" s="206" t="s">
        <v>3858</v>
      </c>
    </row>
    <row r="83" spans="1:21" ht="15" customHeight="1" thickBot="1" x14ac:dyDescent="0.3">
      <c r="K83" s="127" t="s">
        <v>624</v>
      </c>
      <c r="L83" s="128" t="s">
        <v>275</v>
      </c>
      <c r="M83" s="128">
        <v>1158011</v>
      </c>
      <c r="N83" s="128" t="s">
        <v>3845</v>
      </c>
      <c r="O83" s="128">
        <v>5</v>
      </c>
      <c r="P83" s="206">
        <v>4</v>
      </c>
      <c r="Q83" s="206" t="s">
        <v>103</v>
      </c>
      <c r="R83" s="206" t="s">
        <v>3858</v>
      </c>
    </row>
    <row r="84" spans="1:21" ht="15" customHeight="1" thickBot="1" x14ac:dyDescent="0.3">
      <c r="K84" s="127" t="s">
        <v>315</v>
      </c>
      <c r="L84" s="128" t="s">
        <v>284</v>
      </c>
      <c r="M84" s="128">
        <v>1234376</v>
      </c>
      <c r="N84" s="128">
        <v>1249569</v>
      </c>
      <c r="O84" s="128">
        <v>2</v>
      </c>
      <c r="P84" s="206">
        <v>3</v>
      </c>
      <c r="Q84" s="206">
        <v>179838</v>
      </c>
      <c r="R84" s="206" t="s">
        <v>3858</v>
      </c>
    </row>
    <row r="85" spans="1:21" ht="15" customHeight="1" thickBot="1" x14ac:dyDescent="0.3">
      <c r="A85" s="332" t="s">
        <v>3820</v>
      </c>
      <c r="B85" s="333">
        <v>8.5</v>
      </c>
      <c r="C85" s="151" t="s">
        <v>640</v>
      </c>
      <c r="D85" s="152">
        <v>1255267</v>
      </c>
      <c r="E85" s="152">
        <v>13994929</v>
      </c>
      <c r="F85" s="151"/>
      <c r="G85" s="152">
        <v>41255267</v>
      </c>
      <c r="K85" s="127" t="s">
        <v>316</v>
      </c>
      <c r="L85" s="128" t="s">
        <v>320</v>
      </c>
      <c r="M85" s="128">
        <v>1221158</v>
      </c>
      <c r="N85" s="430">
        <v>1252168</v>
      </c>
      <c r="O85" s="128">
        <v>2</v>
      </c>
      <c r="P85" s="206">
        <v>3</v>
      </c>
      <c r="Q85" s="206">
        <v>179850</v>
      </c>
      <c r="R85" s="424" t="s">
        <v>3857</v>
      </c>
    </row>
    <row r="86" spans="1:21" ht="15" customHeight="1" thickBot="1" x14ac:dyDescent="0.3">
      <c r="A86" s="332" t="s">
        <v>3820</v>
      </c>
      <c r="B86" s="152">
        <v>16</v>
      </c>
      <c r="C86" s="151" t="s">
        <v>642</v>
      </c>
      <c r="D86" s="152">
        <v>1255451</v>
      </c>
      <c r="E86" s="152">
        <v>13999833</v>
      </c>
      <c r="F86" s="151"/>
      <c r="G86" s="151">
        <v>41241180</v>
      </c>
      <c r="K86" s="127" t="s">
        <v>316</v>
      </c>
      <c r="L86" s="128" t="s">
        <v>291</v>
      </c>
      <c r="M86" s="128">
        <v>1228782</v>
      </c>
      <c r="N86" s="128">
        <v>1058252</v>
      </c>
      <c r="O86" s="128">
        <v>1</v>
      </c>
      <c r="P86" s="206">
        <v>3</v>
      </c>
      <c r="Q86" s="206">
        <v>179849</v>
      </c>
      <c r="R86" s="206" t="s">
        <v>3858</v>
      </c>
    </row>
    <row r="87" spans="1:21" ht="15" customHeight="1" thickBot="1" x14ac:dyDescent="0.3">
      <c r="A87" s="332" t="s">
        <v>3820</v>
      </c>
      <c r="B87" s="152">
        <v>16</v>
      </c>
      <c r="C87" s="151" t="s">
        <v>642</v>
      </c>
      <c r="D87" s="152">
        <v>1255451</v>
      </c>
      <c r="E87" s="152">
        <v>13999834</v>
      </c>
      <c r="F87" s="151"/>
      <c r="G87" s="151">
        <v>41241180</v>
      </c>
      <c r="K87" s="127" t="s">
        <v>316</v>
      </c>
      <c r="L87" s="128" t="s">
        <v>290</v>
      </c>
      <c r="M87" s="128">
        <v>1229187</v>
      </c>
      <c r="N87" s="128">
        <v>1268728</v>
      </c>
      <c r="O87" s="128">
        <v>5</v>
      </c>
      <c r="P87" s="206">
        <v>3</v>
      </c>
      <c r="Q87" s="425">
        <v>179849</v>
      </c>
      <c r="R87" s="425" t="s">
        <v>3858</v>
      </c>
    </row>
    <row r="88" spans="1:21" ht="15" customHeight="1" thickBot="1" x14ac:dyDescent="0.3">
      <c r="A88" s="332" t="s">
        <v>3820</v>
      </c>
      <c r="B88" s="152">
        <v>16</v>
      </c>
      <c r="C88" s="151" t="s">
        <v>642</v>
      </c>
      <c r="D88" s="152">
        <v>1255451</v>
      </c>
      <c r="E88" s="152">
        <v>13999835</v>
      </c>
      <c r="F88" s="151"/>
      <c r="G88" s="151">
        <v>41241180</v>
      </c>
    </row>
    <row r="89" spans="1:21" ht="15" customHeight="1" thickBot="1" x14ac:dyDescent="0.3">
      <c r="A89" s="332" t="s">
        <v>3820</v>
      </c>
      <c r="B89" s="152">
        <v>16</v>
      </c>
      <c r="C89" s="151" t="s">
        <v>642</v>
      </c>
      <c r="D89" s="152">
        <v>1255451</v>
      </c>
      <c r="E89" s="152">
        <v>13999836</v>
      </c>
      <c r="F89" s="151"/>
      <c r="G89" s="151">
        <v>41241180</v>
      </c>
      <c r="K89" s="300">
        <v>45265</v>
      </c>
    </row>
    <row r="90" spans="1:21" ht="15" customHeight="1" thickBot="1" x14ac:dyDescent="0.3">
      <c r="A90" s="332" t="s">
        <v>3820</v>
      </c>
      <c r="B90" s="152">
        <v>16</v>
      </c>
      <c r="C90" s="151" t="s">
        <v>642</v>
      </c>
      <c r="D90" s="152">
        <v>1255451</v>
      </c>
      <c r="E90" s="152">
        <v>13999837</v>
      </c>
      <c r="F90" s="151"/>
      <c r="G90" s="151">
        <v>41241180</v>
      </c>
      <c r="K90" s="125" t="s">
        <v>258</v>
      </c>
      <c r="L90" s="126" t="s">
        <v>4</v>
      </c>
      <c r="M90" s="126" t="s">
        <v>300</v>
      </c>
      <c r="N90" s="126" t="s">
        <v>301</v>
      </c>
      <c r="O90" s="126" t="s">
        <v>302</v>
      </c>
      <c r="P90" s="126" t="s">
        <v>3826</v>
      </c>
      <c r="Q90" s="126" t="s">
        <v>3827</v>
      </c>
    </row>
    <row r="91" spans="1:21" ht="15" customHeight="1" thickBot="1" x14ac:dyDescent="0.3">
      <c r="A91" s="332" t="s">
        <v>3820</v>
      </c>
      <c r="B91" s="333">
        <v>3.625</v>
      </c>
      <c r="C91" s="151" t="s">
        <v>636</v>
      </c>
      <c r="D91" s="152">
        <v>1228690</v>
      </c>
      <c r="E91" s="152">
        <v>14012904</v>
      </c>
      <c r="F91" s="151"/>
      <c r="G91" s="152">
        <v>3960723</v>
      </c>
      <c r="K91" s="127" t="s">
        <v>316</v>
      </c>
      <c r="L91" s="128" t="s">
        <v>290</v>
      </c>
      <c r="M91" s="128">
        <v>1229187</v>
      </c>
      <c r="N91" s="128">
        <v>1268728</v>
      </c>
      <c r="O91" s="128">
        <v>5</v>
      </c>
      <c r="P91" s="129">
        <v>179849</v>
      </c>
      <c r="Q91" s="129" t="s">
        <v>3859</v>
      </c>
    </row>
    <row r="92" spans="1:21" ht="15" customHeight="1" x14ac:dyDescent="0.25"/>
    <row r="93" spans="1:21" ht="15" customHeight="1" thickBot="1" x14ac:dyDescent="0.3">
      <c r="A93" s="332" t="s">
        <v>3820</v>
      </c>
      <c r="B93" s="333">
        <v>3.875</v>
      </c>
      <c r="C93" s="151" t="s">
        <v>308</v>
      </c>
      <c r="D93" s="152">
        <v>1224225</v>
      </c>
      <c r="E93" s="152">
        <v>14012920</v>
      </c>
      <c r="F93" s="151"/>
      <c r="G93" s="152">
        <v>41252149</v>
      </c>
      <c r="K93" s="300">
        <v>45267</v>
      </c>
    </row>
    <row r="94" spans="1:21" ht="15" customHeight="1" thickBot="1" x14ac:dyDescent="0.3">
      <c r="K94" s="125" t="s">
        <v>258</v>
      </c>
      <c r="L94" s="126" t="s">
        <v>4</v>
      </c>
      <c r="M94" s="126" t="s">
        <v>3860</v>
      </c>
      <c r="N94" s="126" t="s">
        <v>301</v>
      </c>
      <c r="O94" s="126" t="s">
        <v>302</v>
      </c>
      <c r="P94" s="126" t="s">
        <v>3826</v>
      </c>
      <c r="Q94" s="126" t="s">
        <v>3827</v>
      </c>
    </row>
    <row r="95" spans="1:21" ht="15" customHeight="1" thickBot="1" x14ac:dyDescent="0.3">
      <c r="A95" s="332" t="s">
        <v>3820</v>
      </c>
      <c r="B95" s="333">
        <v>3.875</v>
      </c>
      <c r="C95" s="151" t="s">
        <v>308</v>
      </c>
      <c r="D95" s="152">
        <v>1224225</v>
      </c>
      <c r="E95" s="152">
        <v>14012924</v>
      </c>
      <c r="F95" s="151"/>
      <c r="G95" s="152">
        <v>41252149</v>
      </c>
      <c r="J95" t="s">
        <v>3861</v>
      </c>
      <c r="K95" s="127">
        <v>12.25</v>
      </c>
      <c r="L95" s="128" t="s">
        <v>673</v>
      </c>
      <c r="M95" s="128">
        <v>1270865</v>
      </c>
      <c r="N95" s="128"/>
      <c r="O95" s="128">
        <v>1</v>
      </c>
      <c r="P95" s="129"/>
      <c r="Q95" s="129"/>
      <c r="U95">
        <v>1</v>
      </c>
    </row>
    <row r="96" spans="1:21" ht="15" customHeight="1" thickBot="1" x14ac:dyDescent="0.3">
      <c r="A96" s="332" t="s">
        <v>3820</v>
      </c>
      <c r="B96" s="333">
        <v>6.125</v>
      </c>
      <c r="C96" s="151" t="s">
        <v>311</v>
      </c>
      <c r="D96" s="152">
        <v>1145824</v>
      </c>
      <c r="E96" s="152">
        <v>14023083</v>
      </c>
      <c r="F96" s="151"/>
      <c r="G96" s="152">
        <v>31137349</v>
      </c>
      <c r="U96">
        <v>5</v>
      </c>
    </row>
    <row r="97" spans="1:21" ht="15" customHeight="1" thickBot="1" x14ac:dyDescent="0.3">
      <c r="A97" s="332" t="s">
        <v>3820</v>
      </c>
      <c r="B97" s="333">
        <v>6.125</v>
      </c>
      <c r="C97" s="151" t="s">
        <v>311</v>
      </c>
      <c r="D97" s="152">
        <v>1145824</v>
      </c>
      <c r="E97" s="152">
        <v>14023084</v>
      </c>
      <c r="F97" s="151"/>
      <c r="G97" s="152">
        <v>31137349</v>
      </c>
      <c r="U97">
        <v>2</v>
      </c>
    </row>
    <row r="98" spans="1:21" ht="15" customHeight="1" thickBot="1" x14ac:dyDescent="0.3">
      <c r="A98" s="332" t="s">
        <v>3820</v>
      </c>
      <c r="B98" s="333">
        <v>6.125</v>
      </c>
      <c r="C98" s="151" t="s">
        <v>311</v>
      </c>
      <c r="D98" s="152">
        <v>1145824</v>
      </c>
      <c r="E98" s="152">
        <v>14023085</v>
      </c>
      <c r="F98" s="151"/>
      <c r="G98" s="152">
        <v>31137349</v>
      </c>
      <c r="K98" s="147" t="s">
        <v>3862</v>
      </c>
      <c r="U98">
        <v>5</v>
      </c>
    </row>
    <row r="99" spans="1:21" ht="15" customHeight="1" thickBot="1" x14ac:dyDescent="0.3">
      <c r="A99" s="332" t="s">
        <v>3820</v>
      </c>
      <c r="B99" s="333">
        <v>6.125</v>
      </c>
      <c r="C99" s="151" t="s">
        <v>311</v>
      </c>
      <c r="D99" s="152">
        <v>1145824</v>
      </c>
      <c r="E99" s="152">
        <v>14023086</v>
      </c>
      <c r="F99" s="151"/>
      <c r="G99" s="152">
        <v>31137349</v>
      </c>
      <c r="K99" s="125" t="s">
        <v>258</v>
      </c>
      <c r="L99" s="126" t="s">
        <v>262</v>
      </c>
      <c r="M99" s="126" t="s">
        <v>300</v>
      </c>
      <c r="N99" s="126" t="s">
        <v>301</v>
      </c>
      <c r="O99" s="126" t="s">
        <v>302</v>
      </c>
      <c r="P99" s="126" t="s">
        <v>3826</v>
      </c>
      <c r="Q99" s="126" t="s">
        <v>3827</v>
      </c>
      <c r="R99" s="126" t="s">
        <v>3863</v>
      </c>
      <c r="S99" s="468" t="s">
        <v>3854</v>
      </c>
      <c r="U99">
        <v>5</v>
      </c>
    </row>
    <row r="100" spans="1:21" ht="15" customHeight="1" thickBot="1" x14ac:dyDescent="0.3">
      <c r="A100" s="332" t="s">
        <v>3820</v>
      </c>
      <c r="B100" s="333">
        <v>6.125</v>
      </c>
      <c r="C100" s="151" t="s">
        <v>311</v>
      </c>
      <c r="D100" s="152">
        <v>1257983</v>
      </c>
      <c r="E100" s="152">
        <v>14026886</v>
      </c>
      <c r="F100" s="151"/>
      <c r="G100" s="152">
        <v>7</v>
      </c>
      <c r="K100" s="851" t="s">
        <v>624</v>
      </c>
      <c r="L100" s="851" t="s">
        <v>663</v>
      </c>
      <c r="M100" s="851">
        <v>1269498</v>
      </c>
      <c r="N100" s="851" t="s">
        <v>3849</v>
      </c>
      <c r="O100" s="851">
        <v>1</v>
      </c>
      <c r="P100" s="849" t="s">
        <v>103</v>
      </c>
      <c r="Q100" s="847"/>
      <c r="R100" s="456" t="s">
        <v>3864</v>
      </c>
      <c r="S100" s="849" t="s">
        <v>681</v>
      </c>
      <c r="U100">
        <v>2</v>
      </c>
    </row>
    <row r="101" spans="1:21" ht="15" customHeight="1" thickBot="1" x14ac:dyDescent="0.3">
      <c r="A101" s="332" t="s">
        <v>3820</v>
      </c>
      <c r="B101" s="333">
        <v>6.125</v>
      </c>
      <c r="C101" s="151" t="s">
        <v>311</v>
      </c>
      <c r="D101" s="152">
        <v>1257983</v>
      </c>
      <c r="E101" s="152">
        <v>14026887</v>
      </c>
      <c r="F101" s="151"/>
      <c r="G101" s="152">
        <v>7</v>
      </c>
      <c r="K101" s="852"/>
      <c r="L101" s="852"/>
      <c r="M101" s="852"/>
      <c r="N101" s="852"/>
      <c r="O101" s="852"/>
      <c r="P101" s="850"/>
      <c r="Q101" s="848"/>
      <c r="R101" s="457" t="s">
        <v>3865</v>
      </c>
      <c r="S101" s="850"/>
      <c r="U101">
        <v>1</v>
      </c>
    </row>
    <row r="102" spans="1:21" ht="15" customHeight="1" thickBot="1" x14ac:dyDescent="0.3">
      <c r="A102" s="332" t="s">
        <v>3820</v>
      </c>
      <c r="B102" s="333">
        <v>6.125</v>
      </c>
      <c r="C102" s="151" t="s">
        <v>311</v>
      </c>
      <c r="D102" s="152">
        <v>1257983</v>
      </c>
      <c r="E102" s="152">
        <v>14026888</v>
      </c>
      <c r="F102" s="151"/>
      <c r="G102" s="152">
        <v>7</v>
      </c>
      <c r="K102" s="127" t="s">
        <v>315</v>
      </c>
      <c r="L102" s="128" t="s">
        <v>286</v>
      </c>
      <c r="M102" s="128">
        <v>1245350</v>
      </c>
      <c r="N102" s="128">
        <v>1269308</v>
      </c>
      <c r="O102" s="128">
        <v>5</v>
      </c>
      <c r="P102" s="129">
        <v>179838</v>
      </c>
      <c r="Q102" s="129" t="s">
        <v>678</v>
      </c>
      <c r="R102" s="425"/>
      <c r="S102" s="129" t="s">
        <v>676</v>
      </c>
      <c r="U102">
        <v>5</v>
      </c>
    </row>
    <row r="103" spans="1:21" ht="15" customHeight="1" thickBot="1" x14ac:dyDescent="0.3">
      <c r="A103" s="332" t="s">
        <v>3820</v>
      </c>
      <c r="B103" s="333">
        <v>6.125</v>
      </c>
      <c r="C103" s="151" t="s">
        <v>311</v>
      </c>
      <c r="D103" s="152">
        <v>1257983</v>
      </c>
      <c r="E103" s="152">
        <v>14026889</v>
      </c>
      <c r="F103" s="151"/>
      <c r="G103" s="152">
        <v>7</v>
      </c>
      <c r="K103" s="127" t="s">
        <v>315</v>
      </c>
      <c r="L103" s="128" t="s">
        <v>682</v>
      </c>
      <c r="M103" s="128">
        <v>1270578</v>
      </c>
      <c r="N103" s="128">
        <v>1251627</v>
      </c>
      <c r="O103" s="128">
        <v>4</v>
      </c>
      <c r="P103" s="128">
        <v>179838</v>
      </c>
      <c r="Q103" s="129" t="s">
        <v>678</v>
      </c>
      <c r="R103" s="425"/>
      <c r="S103" s="129" t="s">
        <v>676</v>
      </c>
    </row>
    <row r="104" spans="1:21" ht="15" customHeight="1" thickBot="1" x14ac:dyDescent="0.3">
      <c r="A104" s="332" t="s">
        <v>3820</v>
      </c>
      <c r="B104" s="333">
        <v>8.375</v>
      </c>
      <c r="C104" s="151" t="s">
        <v>272</v>
      </c>
      <c r="D104" s="152">
        <v>1257898</v>
      </c>
      <c r="E104" s="152">
        <v>14026890</v>
      </c>
      <c r="F104" s="151"/>
      <c r="G104" s="152">
        <v>7</v>
      </c>
      <c r="K104" s="127" t="s">
        <v>316</v>
      </c>
      <c r="L104" s="128" t="s">
        <v>320</v>
      </c>
      <c r="M104" s="128">
        <v>1221158</v>
      </c>
      <c r="N104" s="128">
        <v>1252168</v>
      </c>
      <c r="O104" s="128">
        <v>3</v>
      </c>
      <c r="P104" s="128">
        <v>179850</v>
      </c>
      <c r="Q104" s="128" t="s">
        <v>3866</v>
      </c>
      <c r="R104" s="457" t="s">
        <v>3864</v>
      </c>
      <c r="S104" s="128" t="s">
        <v>676</v>
      </c>
    </row>
    <row r="105" spans="1:21" ht="15" customHeight="1" thickBot="1" x14ac:dyDescent="0.3">
      <c r="A105" s="332" t="s">
        <v>3820</v>
      </c>
      <c r="B105" s="152">
        <v>12</v>
      </c>
      <c r="C105" s="151" t="s">
        <v>314</v>
      </c>
      <c r="D105" s="152">
        <v>1257899</v>
      </c>
      <c r="E105" s="152">
        <v>14026891</v>
      </c>
      <c r="F105" s="151"/>
      <c r="G105" s="152">
        <v>7</v>
      </c>
    </row>
    <row r="106" spans="1:21" ht="15" customHeight="1" thickBot="1" x14ac:dyDescent="0.3">
      <c r="A106" s="332" t="s">
        <v>3820</v>
      </c>
      <c r="B106" s="152">
        <v>12</v>
      </c>
      <c r="C106" s="151" t="s">
        <v>314</v>
      </c>
      <c r="D106" s="152">
        <v>1257899</v>
      </c>
      <c r="E106" s="152">
        <v>14026892</v>
      </c>
      <c r="F106" s="151"/>
      <c r="G106" s="152">
        <v>7</v>
      </c>
    </row>
    <row r="107" spans="1:21" ht="15" customHeight="1" thickBot="1" x14ac:dyDescent="0.3">
      <c r="A107" s="332" t="s">
        <v>3820</v>
      </c>
      <c r="B107" s="333">
        <v>3.625</v>
      </c>
      <c r="C107" s="151" t="s">
        <v>636</v>
      </c>
      <c r="D107" s="152">
        <v>1228848</v>
      </c>
      <c r="E107" s="152">
        <v>14035946</v>
      </c>
      <c r="F107" s="151"/>
      <c r="G107" s="152">
        <v>31016454</v>
      </c>
    </row>
    <row r="108" spans="1:21" ht="15" customHeight="1" thickBot="1" x14ac:dyDescent="0.3">
      <c r="A108" s="332" t="s">
        <v>3820</v>
      </c>
      <c r="B108" s="333">
        <v>3.625</v>
      </c>
      <c r="C108" s="151" t="s">
        <v>636</v>
      </c>
      <c r="D108" s="152">
        <v>1228848</v>
      </c>
      <c r="E108" s="152">
        <v>14035947</v>
      </c>
      <c r="F108" s="151"/>
      <c r="G108" s="152">
        <v>31016454</v>
      </c>
      <c r="K108" s="147" t="s">
        <v>3867</v>
      </c>
    </row>
    <row r="109" spans="1:21" ht="15" customHeight="1" thickBot="1" x14ac:dyDescent="0.3">
      <c r="A109" s="332" t="s">
        <v>3820</v>
      </c>
      <c r="B109" s="333">
        <v>3.625</v>
      </c>
      <c r="C109" s="151" t="s">
        <v>636</v>
      </c>
      <c r="D109" s="152">
        <v>1228848</v>
      </c>
      <c r="E109" s="152">
        <v>14035948</v>
      </c>
      <c r="F109" s="151"/>
      <c r="G109" s="152">
        <v>31016454</v>
      </c>
      <c r="K109" s="125" t="s">
        <v>258</v>
      </c>
      <c r="L109" s="126" t="s">
        <v>4</v>
      </c>
      <c r="M109" s="126" t="s">
        <v>300</v>
      </c>
      <c r="N109" s="126" t="s">
        <v>301</v>
      </c>
      <c r="O109" s="126" t="s">
        <v>302</v>
      </c>
      <c r="P109" s="126" t="s">
        <v>3826</v>
      </c>
      <c r="Q109" s="126" t="s">
        <v>3827</v>
      </c>
      <c r="R109" s="126" t="s">
        <v>3863</v>
      </c>
      <c r="S109" s="468" t="s">
        <v>3854</v>
      </c>
    </row>
    <row r="110" spans="1:21" ht="15" customHeight="1" thickBot="1" x14ac:dyDescent="0.3">
      <c r="A110" s="332" t="s">
        <v>3820</v>
      </c>
      <c r="B110" s="333">
        <v>3.625</v>
      </c>
      <c r="C110" s="151" t="s">
        <v>636</v>
      </c>
      <c r="D110" s="152">
        <v>1228848</v>
      </c>
      <c r="E110" s="152">
        <v>14036249</v>
      </c>
      <c r="F110" s="151"/>
      <c r="G110" s="152">
        <v>31016454</v>
      </c>
      <c r="K110" s="127" t="s">
        <v>304</v>
      </c>
      <c r="L110" s="128" t="s">
        <v>630</v>
      </c>
      <c r="M110" s="128">
        <v>1228690</v>
      </c>
      <c r="N110" s="128">
        <v>960723</v>
      </c>
      <c r="O110" s="128">
        <v>4</v>
      </c>
      <c r="P110" s="128">
        <v>330432</v>
      </c>
      <c r="Q110" s="215" t="s">
        <v>3868</v>
      </c>
      <c r="R110" s="206"/>
      <c r="S110" s="128" t="s">
        <v>676</v>
      </c>
    </row>
    <row r="111" spans="1:21" ht="15" customHeight="1" thickBot="1" x14ac:dyDescent="0.3">
      <c r="A111" s="332" t="s">
        <v>3820</v>
      </c>
      <c r="B111" s="333">
        <v>3.625</v>
      </c>
      <c r="C111" s="151" t="s">
        <v>636</v>
      </c>
      <c r="D111" s="152">
        <v>1228848</v>
      </c>
      <c r="E111" s="152">
        <v>14036250</v>
      </c>
      <c r="F111" s="151"/>
      <c r="G111" s="152">
        <v>31016454</v>
      </c>
      <c r="K111" s="127" t="s">
        <v>304</v>
      </c>
      <c r="L111" s="128" t="s">
        <v>666</v>
      </c>
      <c r="M111" s="128">
        <v>1270617</v>
      </c>
      <c r="N111" s="128">
        <v>1216970</v>
      </c>
      <c r="O111" s="128">
        <v>7</v>
      </c>
      <c r="P111" s="128" t="s">
        <v>103</v>
      </c>
      <c r="Q111" s="128"/>
      <c r="R111" s="206"/>
      <c r="S111" s="128" t="s">
        <v>681</v>
      </c>
    </row>
    <row r="112" spans="1:21" ht="15" customHeight="1" thickBot="1" x14ac:dyDescent="0.3">
      <c r="A112" s="332" t="s">
        <v>3820</v>
      </c>
      <c r="B112" s="333">
        <v>3.625</v>
      </c>
      <c r="C112" s="151" t="s">
        <v>636</v>
      </c>
      <c r="D112" s="152">
        <v>1228848</v>
      </c>
      <c r="E112" s="152">
        <v>14036251</v>
      </c>
      <c r="F112" s="151"/>
      <c r="G112" s="152">
        <v>31016454</v>
      </c>
      <c r="K112" s="127" t="s">
        <v>631</v>
      </c>
      <c r="L112" s="128" t="s">
        <v>645</v>
      </c>
      <c r="M112" s="128">
        <v>1262047</v>
      </c>
      <c r="N112" s="128">
        <v>1235768</v>
      </c>
      <c r="O112" s="128">
        <v>7</v>
      </c>
      <c r="P112" s="128" t="s">
        <v>103</v>
      </c>
      <c r="Q112" s="242"/>
      <c r="R112" s="206"/>
      <c r="S112" s="128" t="s">
        <v>681</v>
      </c>
    </row>
    <row r="113" spans="1:19" ht="15" customHeight="1" thickBot="1" x14ac:dyDescent="0.35">
      <c r="A113" s="332" t="s">
        <v>3820</v>
      </c>
      <c r="B113" s="333">
        <v>3.625</v>
      </c>
      <c r="C113" s="151" t="s">
        <v>636</v>
      </c>
      <c r="D113" s="152">
        <v>1228848</v>
      </c>
      <c r="E113" s="152">
        <v>14036252</v>
      </c>
      <c r="F113" s="151"/>
      <c r="G113" s="152">
        <v>31016454</v>
      </c>
      <c r="K113" s="127" t="s">
        <v>309</v>
      </c>
      <c r="L113" s="128" t="s">
        <v>256</v>
      </c>
      <c r="M113" s="128">
        <v>1198387</v>
      </c>
      <c r="N113" s="128">
        <v>1160951</v>
      </c>
      <c r="O113" s="128">
        <v>3</v>
      </c>
      <c r="P113" s="129" t="s">
        <v>103</v>
      </c>
      <c r="Q113" s="334"/>
      <c r="R113" s="206"/>
      <c r="S113" s="128" t="s">
        <v>681</v>
      </c>
    </row>
    <row r="114" spans="1:19" ht="15" customHeight="1" thickBot="1" x14ac:dyDescent="0.3">
      <c r="A114" s="332" t="s">
        <v>3820</v>
      </c>
      <c r="B114" s="333">
        <v>3.625</v>
      </c>
      <c r="C114" s="151" t="s">
        <v>636</v>
      </c>
      <c r="D114" s="152">
        <v>1228690</v>
      </c>
      <c r="E114" s="152">
        <v>14036253</v>
      </c>
      <c r="F114" s="151"/>
      <c r="G114" s="152">
        <v>3960723</v>
      </c>
      <c r="K114" s="466" t="s">
        <v>624</v>
      </c>
      <c r="L114" s="466" t="s">
        <v>275</v>
      </c>
      <c r="M114" s="466">
        <v>1158011</v>
      </c>
      <c r="N114" s="466">
        <v>1267829</v>
      </c>
      <c r="O114" s="466">
        <v>3</v>
      </c>
      <c r="P114" s="465" t="s">
        <v>103</v>
      </c>
      <c r="Q114" s="463"/>
      <c r="R114" s="456" t="s">
        <v>680</v>
      </c>
      <c r="S114" s="466" t="s">
        <v>681</v>
      </c>
    </row>
    <row r="115" spans="1:19" ht="15" customHeight="1" thickBot="1" x14ac:dyDescent="0.3">
      <c r="A115" s="332" t="s">
        <v>3820</v>
      </c>
      <c r="B115" s="333">
        <v>3.625</v>
      </c>
      <c r="C115" s="151" t="s">
        <v>636</v>
      </c>
      <c r="D115" s="152">
        <v>1228690</v>
      </c>
      <c r="E115" s="152">
        <v>14036254</v>
      </c>
      <c r="F115" s="151"/>
      <c r="G115" s="152">
        <v>3960723</v>
      </c>
      <c r="K115" s="214"/>
      <c r="L115" s="214"/>
      <c r="M115" s="214"/>
      <c r="N115" s="214"/>
      <c r="O115" s="214"/>
      <c r="P115" s="332"/>
      <c r="Q115" s="464"/>
      <c r="R115" s="457" t="s">
        <v>3865</v>
      </c>
      <c r="S115" s="214"/>
    </row>
    <row r="116" spans="1:19" ht="15" customHeight="1" thickBot="1" x14ac:dyDescent="0.3">
      <c r="A116" s="332" t="s">
        <v>3820</v>
      </c>
      <c r="B116" s="333">
        <v>3.625</v>
      </c>
      <c r="C116" s="151" t="s">
        <v>636</v>
      </c>
      <c r="D116" s="152">
        <v>1228690</v>
      </c>
      <c r="E116" s="152">
        <v>14036255</v>
      </c>
      <c r="F116" s="151"/>
      <c r="G116" s="152">
        <v>3960723</v>
      </c>
      <c r="K116" s="466" t="s">
        <v>624</v>
      </c>
      <c r="L116" s="466" t="s">
        <v>663</v>
      </c>
      <c r="M116" s="466">
        <v>1269498</v>
      </c>
      <c r="N116" s="466" t="s">
        <v>3849</v>
      </c>
      <c r="O116" s="466">
        <v>3</v>
      </c>
      <c r="P116" s="465" t="s">
        <v>103</v>
      </c>
      <c r="Q116" s="463"/>
      <c r="R116" s="456" t="s">
        <v>680</v>
      </c>
      <c r="S116" s="466" t="s">
        <v>681</v>
      </c>
    </row>
    <row r="117" spans="1:19" ht="15" customHeight="1" thickBot="1" x14ac:dyDescent="0.3">
      <c r="A117" s="332" t="s">
        <v>3820</v>
      </c>
      <c r="B117" s="333">
        <v>3.625</v>
      </c>
      <c r="C117" s="151" t="s">
        <v>636</v>
      </c>
      <c r="D117" s="152">
        <v>1228690</v>
      </c>
      <c r="E117" s="152">
        <v>14036256</v>
      </c>
      <c r="F117" s="151"/>
      <c r="G117" s="152">
        <v>3960723</v>
      </c>
      <c r="K117" s="214"/>
      <c r="L117" s="214"/>
      <c r="M117" s="214"/>
      <c r="N117" s="214"/>
      <c r="O117" s="214"/>
      <c r="P117" s="332"/>
      <c r="Q117" s="464"/>
      <c r="R117" s="457" t="s">
        <v>3865</v>
      </c>
      <c r="S117" s="214"/>
    </row>
    <row r="118" spans="1:19" ht="15" customHeight="1" thickBot="1" x14ac:dyDescent="0.3">
      <c r="A118" s="332" t="s">
        <v>3820</v>
      </c>
      <c r="B118" s="333">
        <v>3.625</v>
      </c>
      <c r="C118" s="151" t="s">
        <v>636</v>
      </c>
      <c r="D118" s="152">
        <v>1228690</v>
      </c>
      <c r="E118" s="152">
        <v>14036257</v>
      </c>
      <c r="F118" s="151"/>
      <c r="G118" s="152">
        <v>3960723</v>
      </c>
      <c r="K118" s="127" t="s">
        <v>315</v>
      </c>
      <c r="L118" s="128" t="s">
        <v>701</v>
      </c>
      <c r="M118" s="206">
        <v>1228896</v>
      </c>
      <c r="N118" s="128">
        <v>1095217</v>
      </c>
      <c r="O118" s="128">
        <v>3</v>
      </c>
      <c r="P118" s="128">
        <v>179838</v>
      </c>
      <c r="Q118" s="128" t="s">
        <v>678</v>
      </c>
      <c r="R118" s="206"/>
      <c r="S118" s="128" t="s">
        <v>676</v>
      </c>
    </row>
    <row r="119" spans="1:19" ht="15" customHeight="1" thickBot="1" x14ac:dyDescent="0.3">
      <c r="A119" s="332" t="s">
        <v>3820</v>
      </c>
      <c r="B119" s="333">
        <v>3.625</v>
      </c>
      <c r="C119" s="151" t="s">
        <v>636</v>
      </c>
      <c r="D119" s="152">
        <v>1228690</v>
      </c>
      <c r="E119" s="152">
        <v>14036258</v>
      </c>
      <c r="F119" s="151"/>
      <c r="G119" s="152">
        <v>3960723</v>
      </c>
      <c r="K119" s="127" t="s">
        <v>315</v>
      </c>
      <c r="L119" s="128" t="s">
        <v>682</v>
      </c>
      <c r="M119" s="128">
        <v>1270578</v>
      </c>
      <c r="N119" s="128">
        <v>1251627</v>
      </c>
      <c r="O119" s="128">
        <v>4</v>
      </c>
      <c r="P119" s="128">
        <v>179838</v>
      </c>
      <c r="Q119" s="129" t="s">
        <v>678</v>
      </c>
      <c r="R119" s="206"/>
      <c r="S119" s="128" t="s">
        <v>676</v>
      </c>
    </row>
    <row r="120" spans="1:19" ht="15" customHeight="1" thickBot="1" x14ac:dyDescent="0.3">
      <c r="A120" s="332" t="s">
        <v>3820</v>
      </c>
      <c r="B120" s="333">
        <v>3.625</v>
      </c>
      <c r="C120" s="151" t="s">
        <v>636</v>
      </c>
      <c r="D120" s="152">
        <v>1228690</v>
      </c>
      <c r="E120" s="152">
        <v>14036259</v>
      </c>
      <c r="F120" s="151"/>
      <c r="G120" s="152">
        <v>3960723</v>
      </c>
      <c r="K120" s="130" t="s">
        <v>637</v>
      </c>
      <c r="L120" s="129" t="s">
        <v>287</v>
      </c>
      <c r="M120" s="129">
        <v>1267122</v>
      </c>
      <c r="N120" s="129">
        <v>1257458</v>
      </c>
      <c r="O120" s="129">
        <v>2</v>
      </c>
      <c r="P120" s="129" t="s">
        <v>103</v>
      </c>
      <c r="Q120" s="151"/>
      <c r="R120" s="206"/>
      <c r="S120" s="128" t="s">
        <v>681</v>
      </c>
    </row>
    <row r="121" spans="1:19" ht="15" customHeight="1" thickBot="1" x14ac:dyDescent="0.3">
      <c r="A121" s="332" t="s">
        <v>3820</v>
      </c>
      <c r="B121" s="333">
        <v>3.625</v>
      </c>
      <c r="C121" s="151" t="s">
        <v>636</v>
      </c>
      <c r="D121" s="152">
        <v>1228690</v>
      </c>
      <c r="E121" s="152">
        <v>14036260</v>
      </c>
      <c r="F121" s="151"/>
      <c r="G121" s="152">
        <v>3960723</v>
      </c>
      <c r="K121" s="127" t="s">
        <v>316</v>
      </c>
      <c r="L121" s="128" t="s">
        <v>290</v>
      </c>
      <c r="M121" s="128">
        <v>1229187</v>
      </c>
      <c r="N121" s="128">
        <v>1268728</v>
      </c>
      <c r="O121" s="128">
        <v>3</v>
      </c>
      <c r="P121" s="129">
        <v>179849</v>
      </c>
      <c r="Q121" s="129" t="s">
        <v>3859</v>
      </c>
      <c r="R121" s="206"/>
      <c r="S121" s="128" t="s">
        <v>676</v>
      </c>
    </row>
    <row r="122" spans="1:19" ht="15" customHeight="1" thickBot="1" x14ac:dyDescent="0.3">
      <c r="A122" s="332" t="s">
        <v>3820</v>
      </c>
      <c r="B122" s="333">
        <v>3.625</v>
      </c>
      <c r="C122" s="151" t="s">
        <v>636</v>
      </c>
      <c r="D122" s="152">
        <v>1228690</v>
      </c>
      <c r="E122" s="152">
        <v>14036261</v>
      </c>
      <c r="F122" s="151"/>
      <c r="G122" s="152">
        <v>3960723</v>
      </c>
      <c r="K122" s="127" t="s">
        <v>316</v>
      </c>
      <c r="L122" s="128" t="s">
        <v>318</v>
      </c>
      <c r="M122" s="128">
        <v>1145823</v>
      </c>
      <c r="N122" s="128">
        <v>1033011</v>
      </c>
      <c r="O122" s="128">
        <v>4</v>
      </c>
      <c r="P122" s="128">
        <v>179849</v>
      </c>
      <c r="Q122" s="128" t="s">
        <v>3832</v>
      </c>
      <c r="R122" s="206"/>
      <c r="S122" s="128" t="s">
        <v>676</v>
      </c>
    </row>
    <row r="123" spans="1:19" ht="15" customHeight="1" thickBot="1" x14ac:dyDescent="0.3">
      <c r="A123" s="332" t="s">
        <v>3820</v>
      </c>
      <c r="B123" s="333">
        <v>3.625</v>
      </c>
      <c r="C123" s="151" t="s">
        <v>636</v>
      </c>
      <c r="D123" s="152">
        <v>1228690</v>
      </c>
      <c r="E123" s="152">
        <v>14036262</v>
      </c>
      <c r="F123" s="151"/>
      <c r="G123" s="152">
        <v>3960723</v>
      </c>
    </row>
    <row r="124" spans="1:19" ht="15" customHeight="1" thickBot="1" x14ac:dyDescent="0.3">
      <c r="A124" s="332" t="s">
        <v>3820</v>
      </c>
      <c r="B124" s="333">
        <v>6.125</v>
      </c>
      <c r="C124" s="151" t="s">
        <v>311</v>
      </c>
      <c r="D124" s="152">
        <v>1145824</v>
      </c>
      <c r="E124" s="152">
        <v>14036263</v>
      </c>
      <c r="F124" s="151"/>
      <c r="G124" s="152">
        <v>31137349</v>
      </c>
    </row>
    <row r="125" spans="1:19" ht="15" customHeight="1" thickBot="1" x14ac:dyDescent="0.3">
      <c r="A125" s="332" t="s">
        <v>3820</v>
      </c>
      <c r="B125" s="333">
        <v>6.125</v>
      </c>
      <c r="C125" s="151" t="s">
        <v>311</v>
      </c>
      <c r="D125" s="152">
        <v>1145824</v>
      </c>
      <c r="E125" s="152">
        <v>14036264</v>
      </c>
      <c r="F125" s="151"/>
      <c r="G125" s="152">
        <v>31137349</v>
      </c>
    </row>
    <row r="126" spans="1:19" ht="15" customHeight="1" thickBot="1" x14ac:dyDescent="0.3">
      <c r="A126" s="332" t="s">
        <v>3820</v>
      </c>
      <c r="B126" s="333">
        <v>6.125</v>
      </c>
      <c r="C126" s="151" t="s">
        <v>312</v>
      </c>
      <c r="D126" s="152">
        <v>1145877</v>
      </c>
      <c r="E126" s="152">
        <v>14036265</v>
      </c>
      <c r="F126" s="151"/>
      <c r="G126" s="152">
        <v>31137348</v>
      </c>
      <c r="K126" s="147" t="s">
        <v>3869</v>
      </c>
    </row>
    <row r="127" spans="1:19" ht="15" customHeight="1" thickBot="1" x14ac:dyDescent="0.3">
      <c r="A127" s="332" t="s">
        <v>3820</v>
      </c>
      <c r="B127" s="333">
        <v>6.125</v>
      </c>
      <c r="C127" s="151" t="s">
        <v>312</v>
      </c>
      <c r="D127" s="152">
        <v>1145877</v>
      </c>
      <c r="E127" s="152">
        <v>14036266</v>
      </c>
      <c r="F127" s="151"/>
      <c r="G127" s="152">
        <v>31137348</v>
      </c>
      <c r="K127" s="125" t="s">
        <v>258</v>
      </c>
      <c r="L127" s="126" t="s">
        <v>4</v>
      </c>
      <c r="M127" s="126" t="s">
        <v>3853</v>
      </c>
      <c r="N127" s="126" t="s">
        <v>301</v>
      </c>
      <c r="O127" s="126" t="s">
        <v>302</v>
      </c>
      <c r="P127" s="126" t="s">
        <v>3870</v>
      </c>
      <c r="Q127" s="126" t="s">
        <v>3863</v>
      </c>
    </row>
    <row r="128" spans="1:19" ht="15" customHeight="1" thickBot="1" x14ac:dyDescent="0.3">
      <c r="A128" s="332" t="s">
        <v>3820</v>
      </c>
      <c r="B128" s="333">
        <v>6.125</v>
      </c>
      <c r="C128" s="151" t="s">
        <v>256</v>
      </c>
      <c r="D128" s="152">
        <v>1198387</v>
      </c>
      <c r="E128" s="152">
        <v>14036267</v>
      </c>
      <c r="F128" s="151"/>
      <c r="G128" s="152">
        <v>41160951</v>
      </c>
      <c r="K128" s="127" t="s">
        <v>304</v>
      </c>
      <c r="L128" s="128" t="s">
        <v>666</v>
      </c>
      <c r="M128" s="128">
        <v>1270617</v>
      </c>
      <c r="N128" s="128">
        <v>1216970</v>
      </c>
      <c r="O128" s="128">
        <v>5</v>
      </c>
      <c r="P128" s="206" t="s">
        <v>681</v>
      </c>
      <c r="Q128" s="206"/>
    </row>
    <row r="129" spans="1:19" ht="15" thickBot="1" x14ac:dyDescent="0.3">
      <c r="A129" s="332" t="s">
        <v>3820</v>
      </c>
      <c r="B129" s="333">
        <v>6.125</v>
      </c>
      <c r="C129" s="151" t="s">
        <v>256</v>
      </c>
      <c r="D129" s="152">
        <v>1198387</v>
      </c>
      <c r="E129" s="152">
        <v>14036268</v>
      </c>
      <c r="F129" s="151"/>
      <c r="G129" s="152">
        <v>41160951</v>
      </c>
      <c r="K129" s="127" t="s">
        <v>624</v>
      </c>
      <c r="L129" s="128" t="s">
        <v>275</v>
      </c>
      <c r="M129" s="128">
        <v>1158011</v>
      </c>
      <c r="N129" s="128">
        <v>1267829</v>
      </c>
      <c r="O129" s="128">
        <v>7</v>
      </c>
      <c r="P129" s="206" t="s">
        <v>681</v>
      </c>
      <c r="Q129" s="206"/>
    </row>
    <row r="130" spans="1:19" ht="15" thickBot="1" x14ac:dyDescent="0.3">
      <c r="A130" s="332" t="s">
        <v>3820</v>
      </c>
      <c r="B130" s="333">
        <v>6.125</v>
      </c>
      <c r="C130" s="151" t="s">
        <v>256</v>
      </c>
      <c r="D130" s="152">
        <v>1198387</v>
      </c>
      <c r="E130" s="152">
        <v>14036269</v>
      </c>
      <c r="F130" s="151"/>
      <c r="G130" s="152">
        <v>41160951</v>
      </c>
      <c r="K130" s="127" t="s">
        <v>315</v>
      </c>
      <c r="L130" s="128" t="s">
        <v>286</v>
      </c>
      <c r="M130" s="128">
        <v>1245350</v>
      </c>
      <c r="N130" s="128">
        <v>1269308</v>
      </c>
      <c r="O130" s="128">
        <v>3</v>
      </c>
      <c r="P130" s="206" t="s">
        <v>676</v>
      </c>
      <c r="Q130" s="206"/>
    </row>
    <row r="131" spans="1:19" ht="15" thickBot="1" x14ac:dyDescent="0.3">
      <c r="K131" s="127" t="s">
        <v>316</v>
      </c>
      <c r="L131" s="128" t="s">
        <v>696</v>
      </c>
      <c r="M131" s="128">
        <v>1239257</v>
      </c>
      <c r="N131" s="128" t="s">
        <v>3871</v>
      </c>
      <c r="O131" s="128">
        <v>2</v>
      </c>
      <c r="P131" s="206" t="s">
        <v>681</v>
      </c>
      <c r="Q131" s="206" t="s">
        <v>3872</v>
      </c>
    </row>
    <row r="132" spans="1:19" ht="15" thickBot="1" x14ac:dyDescent="0.3">
      <c r="A132" s="332" t="s">
        <v>3820</v>
      </c>
      <c r="B132" s="152">
        <v>12</v>
      </c>
      <c r="C132" s="151" t="s">
        <v>314</v>
      </c>
      <c r="D132" s="152">
        <v>1228748</v>
      </c>
      <c r="E132" s="152">
        <v>14036275</v>
      </c>
      <c r="F132" s="151"/>
      <c r="G132" s="152">
        <v>31134806</v>
      </c>
    </row>
    <row r="133" spans="1:19" ht="15" thickBot="1" x14ac:dyDescent="0.3">
      <c r="A133" s="332" t="s">
        <v>3820</v>
      </c>
      <c r="B133" s="152">
        <v>12</v>
      </c>
      <c r="C133" s="151" t="s">
        <v>314</v>
      </c>
      <c r="D133" s="152">
        <v>1228748</v>
      </c>
      <c r="E133" s="152">
        <v>14036276</v>
      </c>
      <c r="F133" s="151"/>
      <c r="G133" s="152">
        <v>31134806</v>
      </c>
    </row>
    <row r="134" spans="1:19" ht="16" thickBot="1" x14ac:dyDescent="0.35">
      <c r="A134" s="332" t="s">
        <v>3820</v>
      </c>
      <c r="B134" s="333">
        <v>6.125</v>
      </c>
      <c r="C134" s="151" t="s">
        <v>679</v>
      </c>
      <c r="D134" s="152">
        <v>1259957</v>
      </c>
      <c r="E134" s="152">
        <v>14036277</v>
      </c>
      <c r="F134" s="334"/>
      <c r="G134" s="152">
        <v>3965522</v>
      </c>
      <c r="K134" s="124" t="s">
        <v>3873</v>
      </c>
    </row>
    <row r="135" spans="1:19" ht="15" thickBot="1" x14ac:dyDescent="0.3">
      <c r="J135" t="s">
        <v>3874</v>
      </c>
      <c r="K135" s="125" t="s">
        <v>258</v>
      </c>
      <c r="L135" s="126" t="s">
        <v>4</v>
      </c>
      <c r="M135" s="126" t="s">
        <v>300</v>
      </c>
      <c r="N135" s="126" t="s">
        <v>301</v>
      </c>
      <c r="O135" s="126" t="s">
        <v>302</v>
      </c>
      <c r="P135" s="126" t="s">
        <v>3826</v>
      </c>
      <c r="Q135" s="126" t="s">
        <v>3827</v>
      </c>
      <c r="R135" s="126" t="s">
        <v>3870</v>
      </c>
      <c r="S135" s="468" t="s">
        <v>3863</v>
      </c>
    </row>
    <row r="136" spans="1:19" ht="15" thickBot="1" x14ac:dyDescent="0.3">
      <c r="A136" s="332" t="s">
        <v>3820</v>
      </c>
      <c r="B136" s="333">
        <v>6.125</v>
      </c>
      <c r="C136" s="151" t="s">
        <v>256</v>
      </c>
      <c r="D136" s="152">
        <v>1198387</v>
      </c>
      <c r="E136" s="152">
        <v>14042322</v>
      </c>
      <c r="F136" s="151"/>
      <c r="G136" s="152">
        <v>41160951</v>
      </c>
      <c r="K136" s="127" t="s">
        <v>304</v>
      </c>
      <c r="L136" s="128" t="s">
        <v>666</v>
      </c>
      <c r="M136" s="128">
        <v>1270617</v>
      </c>
      <c r="N136" s="128">
        <v>1216970</v>
      </c>
      <c r="O136" s="128">
        <v>5</v>
      </c>
      <c r="P136" s="128" t="s">
        <v>103</v>
      </c>
      <c r="Q136" s="128"/>
      <c r="R136" s="128" t="s">
        <v>681</v>
      </c>
      <c r="S136" s="128"/>
    </row>
    <row r="137" spans="1:19" ht="15" thickBot="1" x14ac:dyDescent="0.3">
      <c r="A137" s="332" t="s">
        <v>3820</v>
      </c>
      <c r="B137" s="333">
        <v>6.125</v>
      </c>
      <c r="C137" s="151" t="s">
        <v>256</v>
      </c>
      <c r="D137" s="152">
        <v>1198387</v>
      </c>
      <c r="E137" s="152">
        <v>14042323</v>
      </c>
      <c r="F137" s="151"/>
      <c r="G137" s="152">
        <v>41160951</v>
      </c>
      <c r="K137" s="127" t="s">
        <v>627</v>
      </c>
      <c r="L137" s="128" t="s">
        <v>670</v>
      </c>
      <c r="M137" s="128">
        <v>1223749</v>
      </c>
      <c r="N137" s="128">
        <v>1224750</v>
      </c>
      <c r="O137" s="128">
        <v>3</v>
      </c>
      <c r="P137" s="128">
        <v>179833</v>
      </c>
      <c r="Q137" s="128" t="s">
        <v>3875</v>
      </c>
      <c r="R137" s="128" t="s">
        <v>676</v>
      </c>
      <c r="S137" s="151" t="s">
        <v>3864</v>
      </c>
    </row>
    <row r="138" spans="1:19" ht="15" thickBot="1" x14ac:dyDescent="0.3">
      <c r="A138" s="332" t="s">
        <v>3820</v>
      </c>
      <c r="B138" s="333">
        <v>3.625</v>
      </c>
      <c r="C138" s="151" t="s">
        <v>636</v>
      </c>
      <c r="D138" s="152">
        <v>1228848</v>
      </c>
      <c r="E138" s="152">
        <v>14056715</v>
      </c>
      <c r="F138" s="151"/>
      <c r="G138" s="152">
        <v>31016454</v>
      </c>
      <c r="K138" s="127" t="s">
        <v>631</v>
      </c>
      <c r="L138" s="128" t="s">
        <v>645</v>
      </c>
      <c r="M138" s="128">
        <v>1262047</v>
      </c>
      <c r="N138" s="128">
        <v>1235768</v>
      </c>
      <c r="O138" s="128">
        <v>7</v>
      </c>
      <c r="P138" s="128" t="s">
        <v>103</v>
      </c>
      <c r="Q138" s="242"/>
      <c r="R138" s="128" t="s">
        <v>681</v>
      </c>
      <c r="S138" s="128"/>
    </row>
    <row r="139" spans="1:19" ht="15" thickBot="1" x14ac:dyDescent="0.3">
      <c r="A139" s="332" t="s">
        <v>3820</v>
      </c>
      <c r="B139" s="333">
        <v>3.625</v>
      </c>
      <c r="C139" s="151" t="s">
        <v>636</v>
      </c>
      <c r="D139" s="152">
        <v>1228848</v>
      </c>
      <c r="E139" s="152">
        <v>14056716</v>
      </c>
      <c r="F139" s="151"/>
      <c r="G139" s="152">
        <v>31016454</v>
      </c>
      <c r="K139" s="127" t="s">
        <v>309</v>
      </c>
      <c r="L139" s="128" t="s">
        <v>311</v>
      </c>
      <c r="M139" s="128">
        <v>1145824</v>
      </c>
      <c r="N139" s="128">
        <v>1137349</v>
      </c>
      <c r="O139" s="128">
        <v>1</v>
      </c>
      <c r="P139" s="129">
        <v>179835</v>
      </c>
      <c r="Q139" s="151" t="s">
        <v>3876</v>
      </c>
      <c r="R139" s="129" t="s">
        <v>676</v>
      </c>
      <c r="S139" s="129"/>
    </row>
    <row r="140" spans="1:19" ht="15" thickBot="1" x14ac:dyDescent="0.3">
      <c r="A140" s="332" t="s">
        <v>3820</v>
      </c>
      <c r="B140" s="333">
        <v>3.625</v>
      </c>
      <c r="C140" s="151" t="s">
        <v>636</v>
      </c>
      <c r="D140" s="152">
        <v>1228848</v>
      </c>
      <c r="E140" s="152">
        <v>14056717</v>
      </c>
      <c r="F140" s="151"/>
      <c r="G140" s="152">
        <v>31016454</v>
      </c>
      <c r="K140" s="127" t="s">
        <v>624</v>
      </c>
      <c r="L140" s="128" t="s">
        <v>275</v>
      </c>
      <c r="M140" s="128">
        <v>1158011</v>
      </c>
      <c r="N140" s="128">
        <v>1267829</v>
      </c>
      <c r="O140" s="128">
        <v>7</v>
      </c>
      <c r="P140" s="129" t="s">
        <v>103</v>
      </c>
      <c r="Q140" s="242"/>
      <c r="R140" s="128" t="s">
        <v>681</v>
      </c>
      <c r="S140" s="151" t="s">
        <v>3877</v>
      </c>
    </row>
    <row r="141" spans="1:19" ht="15" thickBot="1" x14ac:dyDescent="0.3">
      <c r="A141" s="332" t="s">
        <v>3820</v>
      </c>
      <c r="B141" s="333">
        <v>3.625</v>
      </c>
      <c r="C141" s="151" t="s">
        <v>636</v>
      </c>
      <c r="D141" s="152">
        <v>1228848</v>
      </c>
      <c r="E141" s="152">
        <v>14056718</v>
      </c>
      <c r="F141" s="151"/>
      <c r="G141" s="152">
        <v>31016454</v>
      </c>
      <c r="K141" s="127" t="s">
        <v>315</v>
      </c>
      <c r="L141" s="128" t="s">
        <v>701</v>
      </c>
      <c r="M141" s="206">
        <v>1228896</v>
      </c>
      <c r="N141" s="128">
        <v>1095217</v>
      </c>
      <c r="O141" s="128">
        <v>2</v>
      </c>
      <c r="P141" s="128">
        <v>179838</v>
      </c>
      <c r="Q141" s="128" t="s">
        <v>678</v>
      </c>
      <c r="R141" s="128" t="s">
        <v>676</v>
      </c>
      <c r="S141" s="128"/>
    </row>
    <row r="142" spans="1:19" ht="15" thickBot="1" x14ac:dyDescent="0.3">
      <c r="A142" s="147" t="s">
        <v>3878</v>
      </c>
      <c r="K142" s="127" t="s">
        <v>315</v>
      </c>
      <c r="L142" s="128" t="s">
        <v>284</v>
      </c>
      <c r="M142" s="128">
        <v>1234376</v>
      </c>
      <c r="N142" s="128">
        <v>1249569</v>
      </c>
      <c r="O142" s="128">
        <v>3</v>
      </c>
      <c r="P142" s="128">
        <v>179838</v>
      </c>
      <c r="Q142" s="129" t="s">
        <v>678</v>
      </c>
      <c r="R142" s="206" t="s">
        <v>676</v>
      </c>
      <c r="S142" s="128"/>
    </row>
    <row r="143" spans="1:19" ht="15" thickBot="1" x14ac:dyDescent="0.3">
      <c r="A143" s="154" t="s">
        <v>3879</v>
      </c>
      <c r="B143" s="155" t="s">
        <v>325</v>
      </c>
      <c r="C143" s="155" t="s">
        <v>326</v>
      </c>
      <c r="D143" s="155" t="s">
        <v>518</v>
      </c>
      <c r="E143" s="155" t="s">
        <v>3747</v>
      </c>
      <c r="K143" s="127" t="s">
        <v>315</v>
      </c>
      <c r="L143" s="128" t="s">
        <v>684</v>
      </c>
      <c r="M143" s="128">
        <v>1245431</v>
      </c>
      <c r="N143" s="128">
        <v>1251098</v>
      </c>
      <c r="O143" s="128">
        <v>5</v>
      </c>
      <c r="P143" s="128">
        <v>179838</v>
      </c>
      <c r="Q143" s="128" t="s">
        <v>678</v>
      </c>
      <c r="R143" s="128" t="s">
        <v>676</v>
      </c>
      <c r="S143" s="128"/>
    </row>
    <row r="144" spans="1:19" ht="15" thickBot="1" x14ac:dyDescent="0.3">
      <c r="A144" s="335" t="s">
        <v>3880</v>
      </c>
      <c r="B144" s="157">
        <v>8.5</v>
      </c>
      <c r="C144" s="158" t="s">
        <v>274</v>
      </c>
      <c r="D144" s="158">
        <v>1158011</v>
      </c>
      <c r="E144" s="158">
        <v>4</v>
      </c>
      <c r="K144" s="127" t="s">
        <v>315</v>
      </c>
      <c r="L144" s="128" t="s">
        <v>682</v>
      </c>
      <c r="M144" s="128">
        <v>1270578</v>
      </c>
      <c r="N144" s="128">
        <v>1251627</v>
      </c>
      <c r="O144" s="128">
        <v>2</v>
      </c>
      <c r="P144" s="128">
        <v>179838</v>
      </c>
      <c r="Q144" s="129" t="s">
        <v>678</v>
      </c>
      <c r="R144" s="128" t="s">
        <v>676</v>
      </c>
      <c r="S144" s="128"/>
    </row>
    <row r="145" spans="1:19" ht="15" thickBot="1" x14ac:dyDescent="0.3">
      <c r="A145" s="156" t="s">
        <v>3881</v>
      </c>
      <c r="B145" s="158" t="s">
        <v>3882</v>
      </c>
      <c r="C145" s="158" t="s">
        <v>290</v>
      </c>
      <c r="D145" s="158">
        <v>1228782</v>
      </c>
      <c r="E145" s="158">
        <v>3</v>
      </c>
      <c r="K145" s="127" t="s">
        <v>316</v>
      </c>
      <c r="L145" s="128" t="s">
        <v>290</v>
      </c>
      <c r="M145" s="128">
        <v>1229187</v>
      </c>
      <c r="N145" s="128">
        <v>1268728</v>
      </c>
      <c r="O145" s="128">
        <v>10</v>
      </c>
      <c r="P145" s="129">
        <v>179849</v>
      </c>
      <c r="Q145" s="129" t="s">
        <v>3859</v>
      </c>
      <c r="R145" s="128" t="s">
        <v>676</v>
      </c>
      <c r="S145" s="128"/>
    </row>
    <row r="146" spans="1:19" ht="13" thickBot="1" x14ac:dyDescent="0.3">
      <c r="A146" s="335" t="s">
        <v>3883</v>
      </c>
      <c r="B146" s="157">
        <v>3.625</v>
      </c>
      <c r="C146" s="158" t="s">
        <v>636</v>
      </c>
      <c r="D146" s="158">
        <v>1228848</v>
      </c>
      <c r="E146" s="158">
        <v>3</v>
      </c>
    </row>
    <row r="147" spans="1:19" ht="13" thickBot="1" x14ac:dyDescent="0.3">
      <c r="A147" s="156" t="s">
        <v>3884</v>
      </c>
      <c r="B147" s="158" t="s">
        <v>3882</v>
      </c>
      <c r="C147" s="158" t="s">
        <v>290</v>
      </c>
      <c r="D147" s="158">
        <v>1229187</v>
      </c>
      <c r="E147" s="158">
        <v>3</v>
      </c>
    </row>
    <row r="148" spans="1:19" ht="13" thickBot="1" x14ac:dyDescent="0.3">
      <c r="A148" s="156" t="s">
        <v>3885</v>
      </c>
      <c r="B148" s="158" t="s">
        <v>3689</v>
      </c>
      <c r="C148" s="158" t="s">
        <v>284</v>
      </c>
      <c r="D148" s="158">
        <v>1234376</v>
      </c>
      <c r="E148" s="158">
        <v>3</v>
      </c>
    </row>
    <row r="149" spans="1:19" ht="16" thickBot="1" x14ac:dyDescent="0.3">
      <c r="A149" s="335">
        <v>6</v>
      </c>
      <c r="B149" s="158" t="s">
        <v>3689</v>
      </c>
      <c r="C149" s="158" t="s">
        <v>286</v>
      </c>
      <c r="D149" s="158">
        <v>1245350</v>
      </c>
      <c r="E149" s="158">
        <v>3</v>
      </c>
      <c r="K149" s="124" t="s">
        <v>299</v>
      </c>
    </row>
    <row r="150" spans="1:19" ht="15" thickBot="1" x14ac:dyDescent="0.3">
      <c r="A150" s="156" t="s">
        <v>3886</v>
      </c>
      <c r="B150" s="157">
        <v>5.875</v>
      </c>
      <c r="C150" s="158" t="s">
        <v>645</v>
      </c>
      <c r="D150" s="158">
        <v>1262047</v>
      </c>
      <c r="E150" s="158">
        <v>4</v>
      </c>
      <c r="K150" s="147"/>
    </row>
    <row r="151" spans="1:19" ht="15" thickBot="1" x14ac:dyDescent="0.3">
      <c r="K151" s="125" t="s">
        <v>258</v>
      </c>
      <c r="L151" s="126" t="s">
        <v>4</v>
      </c>
      <c r="M151" s="126" t="s">
        <v>300</v>
      </c>
      <c r="N151" s="126" t="s">
        <v>301</v>
      </c>
      <c r="O151" s="126" t="s">
        <v>302</v>
      </c>
      <c r="P151" s="126" t="s">
        <v>3887</v>
      </c>
      <c r="Q151" s="126" t="s">
        <v>3855</v>
      </c>
      <c r="R151" s="126" t="s">
        <v>3870</v>
      </c>
      <c r="S151" s="126" t="s">
        <v>3863</v>
      </c>
    </row>
    <row r="152" spans="1:19" ht="15" thickBot="1" x14ac:dyDescent="0.3">
      <c r="K152" s="472" t="s">
        <v>313</v>
      </c>
      <c r="L152" s="201" t="s">
        <v>645</v>
      </c>
      <c r="M152" s="201">
        <v>1262047</v>
      </c>
      <c r="N152" s="201" t="s">
        <v>3888</v>
      </c>
      <c r="O152" s="201">
        <v>1</v>
      </c>
      <c r="P152" s="201">
        <v>27</v>
      </c>
      <c r="Q152" s="203" t="s">
        <v>103</v>
      </c>
      <c r="R152" s="203" t="s">
        <v>681</v>
      </c>
      <c r="S152" s="202"/>
    </row>
    <row r="153" spans="1:19" ht="15" thickBot="1" x14ac:dyDescent="0.3">
      <c r="K153" s="472" t="s">
        <v>313</v>
      </c>
      <c r="L153" s="201" t="s">
        <v>703</v>
      </c>
      <c r="M153" s="201">
        <v>1272920</v>
      </c>
      <c r="N153" s="201" t="s">
        <v>3889</v>
      </c>
      <c r="O153" s="201">
        <v>1</v>
      </c>
      <c r="P153" s="201">
        <v>24</v>
      </c>
      <c r="Q153" s="203" t="s">
        <v>103</v>
      </c>
      <c r="R153" s="203" t="s">
        <v>681</v>
      </c>
      <c r="S153" s="202"/>
    </row>
    <row r="154" spans="1:19" ht="15" thickBot="1" x14ac:dyDescent="0.3">
      <c r="E154">
        <v>13915698</v>
      </c>
      <c r="K154" s="472" t="s">
        <v>637</v>
      </c>
      <c r="L154" s="201" t="s">
        <v>287</v>
      </c>
      <c r="M154" s="201">
        <v>1267122</v>
      </c>
      <c r="N154" s="201">
        <v>1257458</v>
      </c>
      <c r="O154" s="201">
        <v>2</v>
      </c>
      <c r="P154" s="201">
        <v>60</v>
      </c>
      <c r="Q154" s="203" t="s">
        <v>103</v>
      </c>
      <c r="R154" s="203" t="s">
        <v>681</v>
      </c>
      <c r="S154" s="203"/>
    </row>
    <row r="155" spans="1:19" x14ac:dyDescent="0.25">
      <c r="E155">
        <v>13917849</v>
      </c>
    </row>
    <row r="156" spans="1:19" x14ac:dyDescent="0.25">
      <c r="E156">
        <v>14056705</v>
      </c>
    </row>
    <row r="157" spans="1:19" ht="15.5" x14ac:dyDescent="0.25">
      <c r="E157">
        <v>14056706</v>
      </c>
      <c r="K157" s="124" t="s">
        <v>299</v>
      </c>
      <c r="L157" t="s">
        <v>3890</v>
      </c>
    </row>
    <row r="158" spans="1:19" ht="15" thickBot="1" x14ac:dyDescent="0.3">
      <c r="K158" s="147"/>
    </row>
    <row r="159" spans="1:19" ht="29.5" thickBot="1" x14ac:dyDescent="0.3">
      <c r="K159" s="125" t="s">
        <v>258</v>
      </c>
      <c r="L159" s="126" t="s">
        <v>4</v>
      </c>
      <c r="M159" s="126" t="s">
        <v>3853</v>
      </c>
      <c r="N159" s="126" t="s">
        <v>301</v>
      </c>
      <c r="O159" s="126" t="s">
        <v>302</v>
      </c>
      <c r="P159" s="126" t="s">
        <v>3855</v>
      </c>
      <c r="Q159" s="126" t="s">
        <v>3827</v>
      </c>
      <c r="R159" s="126" t="s">
        <v>3854</v>
      </c>
      <c r="S159" s="126" t="s">
        <v>3863</v>
      </c>
    </row>
    <row r="160" spans="1:19" ht="15" thickBot="1" x14ac:dyDescent="0.3">
      <c r="K160" s="127" t="s">
        <v>304</v>
      </c>
      <c r="L160" s="128" t="s">
        <v>636</v>
      </c>
      <c r="M160" s="128">
        <v>1228848</v>
      </c>
      <c r="N160" s="128">
        <v>1016454</v>
      </c>
      <c r="O160" s="128">
        <v>3</v>
      </c>
      <c r="P160" s="128">
        <v>179833</v>
      </c>
      <c r="Q160" s="215" t="s">
        <v>3891</v>
      </c>
      <c r="R160" s="128" t="s">
        <v>676</v>
      </c>
      <c r="S160" s="206"/>
    </row>
    <row r="161" spans="1:19" ht="15" thickBot="1" x14ac:dyDescent="0.3">
      <c r="K161" s="127" t="s">
        <v>304</v>
      </c>
      <c r="L161" s="128" t="s">
        <v>630</v>
      </c>
      <c r="M161" s="128">
        <v>1228690</v>
      </c>
      <c r="N161" s="128">
        <v>960723</v>
      </c>
      <c r="O161" s="128">
        <v>2</v>
      </c>
      <c r="P161" s="128">
        <v>330432</v>
      </c>
      <c r="Q161" s="215" t="s">
        <v>3868</v>
      </c>
      <c r="R161" s="128" t="s">
        <v>676</v>
      </c>
      <c r="S161" s="206"/>
    </row>
    <row r="162" spans="1:19" ht="15" thickBot="1" x14ac:dyDescent="0.35">
      <c r="K162" s="127" t="s">
        <v>631</v>
      </c>
      <c r="L162" s="128" t="s">
        <v>645</v>
      </c>
      <c r="M162" s="128">
        <v>1262047</v>
      </c>
      <c r="N162" s="128">
        <v>1235768</v>
      </c>
      <c r="O162" s="128">
        <v>7</v>
      </c>
      <c r="P162" s="128" t="s">
        <v>103</v>
      </c>
      <c r="Q162" s="334"/>
      <c r="R162" s="206" t="s">
        <v>681</v>
      </c>
      <c r="S162" s="206"/>
    </row>
    <row r="163" spans="1:19" ht="15" thickBot="1" x14ac:dyDescent="0.35">
      <c r="K163" s="127" t="s">
        <v>309</v>
      </c>
      <c r="L163" s="128" t="s">
        <v>256</v>
      </c>
      <c r="M163" s="128">
        <v>1198387</v>
      </c>
      <c r="N163" s="128">
        <v>1160951</v>
      </c>
      <c r="O163" s="128">
        <v>2</v>
      </c>
      <c r="P163" s="129" t="s">
        <v>103</v>
      </c>
      <c r="Q163" s="334"/>
      <c r="R163" s="128" t="s">
        <v>681</v>
      </c>
      <c r="S163" s="206"/>
    </row>
    <row r="164" spans="1:19" ht="15" thickBot="1" x14ac:dyDescent="0.3">
      <c r="K164" s="127" t="s">
        <v>313</v>
      </c>
      <c r="L164" s="128" t="s">
        <v>639</v>
      </c>
      <c r="M164" s="128">
        <v>1160847</v>
      </c>
      <c r="N164" s="128">
        <v>1083599</v>
      </c>
      <c r="O164" s="128">
        <v>1</v>
      </c>
      <c r="P164" s="129" t="s">
        <v>3892</v>
      </c>
      <c r="Q164" s="151" t="s">
        <v>3893</v>
      </c>
      <c r="R164" s="128" t="s">
        <v>714</v>
      </c>
      <c r="S164" s="206"/>
    </row>
    <row r="165" spans="1:19" ht="29.5" thickBot="1" x14ac:dyDescent="0.3">
      <c r="K165" s="127" t="s">
        <v>313</v>
      </c>
      <c r="L165" s="128" t="s">
        <v>647</v>
      </c>
      <c r="M165" s="128">
        <v>1245357</v>
      </c>
      <c r="N165" s="128" t="s">
        <v>716</v>
      </c>
      <c r="O165" s="128">
        <v>2</v>
      </c>
      <c r="P165" s="129">
        <v>179836</v>
      </c>
      <c r="Q165" s="151" t="s">
        <v>3894</v>
      </c>
      <c r="R165" s="129" t="s">
        <v>676</v>
      </c>
      <c r="S165" s="425" t="s">
        <v>3895</v>
      </c>
    </row>
    <row r="166" spans="1:19" ht="29.5" thickBot="1" x14ac:dyDescent="0.3">
      <c r="A166" s="152">
        <v>13999833</v>
      </c>
      <c r="B166" s="152">
        <v>16</v>
      </c>
      <c r="C166" s="151" t="s">
        <v>642</v>
      </c>
      <c r="D166" s="152">
        <v>1255451</v>
      </c>
      <c r="F166" s="151"/>
      <c r="G166" s="151">
        <v>41241180</v>
      </c>
      <c r="K166" s="127" t="s">
        <v>624</v>
      </c>
      <c r="L166" s="128" t="s">
        <v>640</v>
      </c>
      <c r="M166" s="128">
        <v>1255267</v>
      </c>
      <c r="N166" s="128" t="s">
        <v>641</v>
      </c>
      <c r="O166" s="128">
        <v>1</v>
      </c>
      <c r="P166" s="128" t="s">
        <v>103</v>
      </c>
      <c r="Q166" s="215"/>
      <c r="R166" s="206" t="s">
        <v>681</v>
      </c>
      <c r="S166" s="206" t="s">
        <v>3895</v>
      </c>
    </row>
    <row r="167" spans="1:19" ht="29.5" thickBot="1" x14ac:dyDescent="0.3">
      <c r="A167" s="152">
        <v>13999834</v>
      </c>
      <c r="B167" s="152">
        <v>16</v>
      </c>
      <c r="C167" s="151" t="s">
        <v>642</v>
      </c>
      <c r="D167" s="152">
        <v>1255451</v>
      </c>
      <c r="F167" s="151"/>
      <c r="G167" s="151">
        <v>41241180</v>
      </c>
      <c r="K167" s="130" t="s">
        <v>624</v>
      </c>
      <c r="L167" s="129" t="s">
        <v>281</v>
      </c>
      <c r="M167" s="129">
        <v>1267809</v>
      </c>
      <c r="N167" s="129">
        <v>1263805</v>
      </c>
      <c r="O167" s="129">
        <v>2</v>
      </c>
      <c r="P167" s="129" t="s">
        <v>103</v>
      </c>
      <c r="Q167" s="151"/>
      <c r="R167" s="128" t="s">
        <v>681</v>
      </c>
      <c r="S167" s="206" t="s">
        <v>3895</v>
      </c>
    </row>
    <row r="168" spans="1:19" ht="15" thickBot="1" x14ac:dyDescent="0.3">
      <c r="A168" s="152">
        <v>13999835</v>
      </c>
      <c r="B168" s="152">
        <v>16</v>
      </c>
      <c r="C168" s="151" t="s">
        <v>642</v>
      </c>
      <c r="D168" s="152">
        <v>1255451</v>
      </c>
      <c r="F168" s="151"/>
      <c r="G168" s="151">
        <v>41241180</v>
      </c>
      <c r="K168" s="127" t="s">
        <v>315</v>
      </c>
      <c r="L168" s="128" t="s">
        <v>284</v>
      </c>
      <c r="M168" s="128">
        <v>1234376</v>
      </c>
      <c r="N168" s="128">
        <v>1249569</v>
      </c>
      <c r="O168" s="128">
        <v>6</v>
      </c>
      <c r="P168" s="128">
        <v>179838</v>
      </c>
      <c r="Q168" s="151" t="s">
        <v>678</v>
      </c>
      <c r="R168" s="206" t="s">
        <v>3896</v>
      </c>
      <c r="S168" s="206"/>
    </row>
    <row r="169" spans="1:19" ht="15" thickBot="1" x14ac:dyDescent="0.3">
      <c r="A169" s="152">
        <v>13999836</v>
      </c>
      <c r="B169" s="152">
        <v>16</v>
      </c>
      <c r="C169" s="151" t="s">
        <v>642</v>
      </c>
      <c r="D169" s="152">
        <v>1255451</v>
      </c>
      <c r="F169" s="151"/>
      <c r="G169" s="151">
        <v>41241180</v>
      </c>
      <c r="K169" s="127" t="s">
        <v>315</v>
      </c>
      <c r="L169" s="128" t="s">
        <v>286</v>
      </c>
      <c r="M169" s="128">
        <v>1245350</v>
      </c>
      <c r="N169" s="128">
        <v>1269308</v>
      </c>
      <c r="O169" s="128">
        <v>7</v>
      </c>
      <c r="P169" s="129">
        <v>179838</v>
      </c>
      <c r="Q169" s="151" t="s">
        <v>678</v>
      </c>
      <c r="R169" s="128" t="s">
        <v>676</v>
      </c>
      <c r="S169" s="206"/>
    </row>
    <row r="170" spans="1:19" ht="29.5" thickBot="1" x14ac:dyDescent="0.3">
      <c r="A170" s="152">
        <v>13999837</v>
      </c>
      <c r="B170" s="152">
        <v>16</v>
      </c>
      <c r="C170" s="151" t="s">
        <v>642</v>
      </c>
      <c r="D170" s="152">
        <v>1255451</v>
      </c>
      <c r="F170" s="151"/>
      <c r="G170" s="151">
        <v>41241180</v>
      </c>
      <c r="K170" s="130" t="s">
        <v>637</v>
      </c>
      <c r="L170" s="129" t="s">
        <v>287</v>
      </c>
      <c r="M170" s="129">
        <v>1267122</v>
      </c>
      <c r="N170" s="129">
        <v>1257458</v>
      </c>
      <c r="O170" s="129">
        <v>3</v>
      </c>
      <c r="P170" s="129" t="s">
        <v>103</v>
      </c>
      <c r="Q170" s="151"/>
      <c r="R170" s="128" t="s">
        <v>681</v>
      </c>
      <c r="S170" s="206" t="s">
        <v>3895</v>
      </c>
    </row>
    <row r="171" spans="1:19" ht="15" thickBot="1" x14ac:dyDescent="0.3">
      <c r="A171" s="152">
        <v>14026886</v>
      </c>
      <c r="B171" s="333">
        <v>6.125</v>
      </c>
      <c r="C171" s="151" t="s">
        <v>311</v>
      </c>
      <c r="D171" s="152">
        <v>1257983</v>
      </c>
      <c r="F171" s="151"/>
      <c r="G171" s="152">
        <v>7</v>
      </c>
      <c r="K171" s="127" t="s">
        <v>316</v>
      </c>
      <c r="L171" s="128" t="s">
        <v>290</v>
      </c>
      <c r="M171" s="128">
        <v>1229187</v>
      </c>
      <c r="N171" s="128">
        <v>1268728</v>
      </c>
      <c r="O171" s="128">
        <v>3</v>
      </c>
      <c r="P171" s="129">
        <v>179849</v>
      </c>
      <c r="Q171" s="151" t="s">
        <v>3859</v>
      </c>
      <c r="R171" s="128" t="s">
        <v>676</v>
      </c>
      <c r="S171" s="206"/>
    </row>
    <row r="172" spans="1:19" ht="15" thickBot="1" x14ac:dyDescent="0.3">
      <c r="A172" s="152">
        <v>14026887</v>
      </c>
      <c r="B172" s="333">
        <v>6.125</v>
      </c>
      <c r="C172" s="151" t="s">
        <v>311</v>
      </c>
      <c r="D172" s="152">
        <v>1257983</v>
      </c>
      <c r="F172" s="151"/>
      <c r="G172" s="152">
        <v>7</v>
      </c>
      <c r="K172" s="127" t="s">
        <v>316</v>
      </c>
      <c r="L172" s="128" t="s">
        <v>292</v>
      </c>
      <c r="M172" s="128">
        <v>1258119</v>
      </c>
      <c r="N172" s="128">
        <v>1254482</v>
      </c>
      <c r="O172" s="128">
        <v>1</v>
      </c>
      <c r="P172" s="128" t="s">
        <v>103</v>
      </c>
      <c r="Q172" s="215"/>
      <c r="R172" s="206" t="s">
        <v>681</v>
      </c>
      <c r="S172" s="206"/>
    </row>
    <row r="173" spans="1:19" ht="15" thickBot="1" x14ac:dyDescent="0.3">
      <c r="A173" s="152">
        <v>14026888</v>
      </c>
      <c r="B173" s="333">
        <v>6.125</v>
      </c>
      <c r="C173" s="151" t="s">
        <v>311</v>
      </c>
      <c r="D173" s="152">
        <v>1257983</v>
      </c>
      <c r="F173" s="151"/>
      <c r="G173" s="152">
        <v>7</v>
      </c>
    </row>
    <row r="174" spans="1:19" ht="16" thickBot="1" x14ac:dyDescent="0.3">
      <c r="A174" s="152">
        <v>14026889</v>
      </c>
      <c r="B174" s="333">
        <v>6.125</v>
      </c>
      <c r="C174" s="151" t="s">
        <v>311</v>
      </c>
      <c r="D174" s="152">
        <v>1257983</v>
      </c>
      <c r="F174" s="151"/>
      <c r="G174" s="152">
        <v>7</v>
      </c>
      <c r="K174" s="147" t="s">
        <v>3897</v>
      </c>
      <c r="L174" t="s">
        <v>3898</v>
      </c>
    </row>
    <row r="175" spans="1:19" ht="15" thickBot="1" x14ac:dyDescent="0.3">
      <c r="A175" s="152">
        <v>14026890</v>
      </c>
      <c r="B175" s="333">
        <v>8.375</v>
      </c>
      <c r="C175" s="151" t="s">
        <v>272</v>
      </c>
      <c r="D175" s="152">
        <v>1257898</v>
      </c>
      <c r="F175" s="151"/>
      <c r="G175" s="152">
        <v>7</v>
      </c>
      <c r="K175" s="147"/>
    </row>
    <row r="176" spans="1:19" ht="15" thickBot="1" x14ac:dyDescent="0.3">
      <c r="A176" s="152">
        <v>14026891</v>
      </c>
      <c r="B176" s="152">
        <v>12</v>
      </c>
      <c r="C176" s="151" t="s">
        <v>314</v>
      </c>
      <c r="D176" s="152">
        <v>1257899</v>
      </c>
      <c r="F176" s="151"/>
      <c r="G176" s="152">
        <v>7</v>
      </c>
      <c r="K176" s="125" t="s">
        <v>258</v>
      </c>
      <c r="L176" s="126" t="s">
        <v>4</v>
      </c>
      <c r="M176" s="126" t="s">
        <v>300</v>
      </c>
      <c r="N176" s="126" t="s">
        <v>301</v>
      </c>
      <c r="O176" s="126" t="s">
        <v>302</v>
      </c>
      <c r="P176" s="126" t="s">
        <v>3863</v>
      </c>
      <c r="Q176" s="126" t="s">
        <v>3856</v>
      </c>
    </row>
    <row r="177" spans="1:18" ht="15" thickBot="1" x14ac:dyDescent="0.3">
      <c r="A177" s="152">
        <v>14026892</v>
      </c>
      <c r="B177" s="152">
        <v>12</v>
      </c>
      <c r="C177" s="151" t="s">
        <v>314</v>
      </c>
      <c r="D177" s="152">
        <v>1257899</v>
      </c>
      <c r="F177" s="151"/>
      <c r="G177" s="152">
        <v>7</v>
      </c>
      <c r="K177" s="127" t="s">
        <v>631</v>
      </c>
      <c r="L177" s="128" t="s">
        <v>645</v>
      </c>
      <c r="M177" s="128">
        <v>1262047</v>
      </c>
      <c r="N177" s="128">
        <v>1235768</v>
      </c>
      <c r="O177" s="128">
        <v>5</v>
      </c>
      <c r="P177" s="206" t="s">
        <v>681</v>
      </c>
      <c r="Q177" s="206" t="s">
        <v>3899</v>
      </c>
    </row>
    <row r="178" spans="1:18" ht="15" thickBot="1" x14ac:dyDescent="0.3">
      <c r="A178" s="152">
        <v>14036265</v>
      </c>
      <c r="B178" s="333">
        <v>6.125</v>
      </c>
      <c r="C178" s="151" t="s">
        <v>312</v>
      </c>
      <c r="D178" s="152">
        <v>1145877</v>
      </c>
      <c r="F178" s="151"/>
      <c r="G178" s="152">
        <v>31137348</v>
      </c>
      <c r="K178" s="127" t="s">
        <v>313</v>
      </c>
      <c r="L178" s="128" t="s">
        <v>649</v>
      </c>
      <c r="M178" s="128">
        <v>1192119</v>
      </c>
      <c r="N178" s="128">
        <v>1134878</v>
      </c>
      <c r="O178" s="128">
        <v>1</v>
      </c>
      <c r="P178" s="128" t="s">
        <v>725</v>
      </c>
      <c r="Q178" s="206" t="s">
        <v>3899</v>
      </c>
    </row>
    <row r="179" spans="1:18" ht="15" thickBot="1" x14ac:dyDescent="0.3">
      <c r="A179" s="152">
        <v>14036267</v>
      </c>
      <c r="B179" s="333">
        <v>6.125</v>
      </c>
      <c r="C179" s="151" t="s">
        <v>256</v>
      </c>
      <c r="D179" s="152">
        <v>1198387</v>
      </c>
      <c r="F179" s="151"/>
      <c r="G179" s="152">
        <v>41160951</v>
      </c>
      <c r="K179" s="127" t="s">
        <v>313</v>
      </c>
      <c r="L179" s="128" t="s">
        <v>726</v>
      </c>
      <c r="M179" s="128">
        <v>1239176</v>
      </c>
      <c r="N179" s="128" t="s">
        <v>269</v>
      </c>
      <c r="O179" s="128">
        <v>1</v>
      </c>
      <c r="P179" s="425" t="s">
        <v>681</v>
      </c>
      <c r="Q179" s="425" t="s">
        <v>3899</v>
      </c>
    </row>
    <row r="180" spans="1:18" ht="15" thickBot="1" x14ac:dyDescent="0.3">
      <c r="A180" s="152">
        <v>14036268</v>
      </c>
      <c r="B180" s="333">
        <v>6.125</v>
      </c>
      <c r="C180" s="151" t="s">
        <v>256</v>
      </c>
      <c r="D180" s="152">
        <v>1198387</v>
      </c>
      <c r="F180" s="151"/>
      <c r="G180" s="152">
        <v>41160951</v>
      </c>
      <c r="K180" s="127" t="s">
        <v>624</v>
      </c>
      <c r="L180" s="128" t="s">
        <v>663</v>
      </c>
      <c r="M180" s="128">
        <v>1269498</v>
      </c>
      <c r="N180" s="128">
        <v>1276939</v>
      </c>
      <c r="O180" s="128">
        <v>3</v>
      </c>
      <c r="P180" s="128" t="s">
        <v>681</v>
      </c>
      <c r="Q180" s="206" t="s">
        <v>3899</v>
      </c>
    </row>
    <row r="181" spans="1:18" ht="15" thickBot="1" x14ac:dyDescent="0.3">
      <c r="A181" s="152">
        <v>14036269</v>
      </c>
      <c r="B181" s="333">
        <v>6.125</v>
      </c>
      <c r="C181" s="151" t="s">
        <v>256</v>
      </c>
      <c r="D181" s="152">
        <v>1198387</v>
      </c>
      <c r="F181" s="151"/>
      <c r="G181" s="152">
        <v>41160951</v>
      </c>
      <c r="K181" s="127" t="s">
        <v>315</v>
      </c>
      <c r="L181" s="128" t="s">
        <v>728</v>
      </c>
      <c r="M181" s="128">
        <v>1239239</v>
      </c>
      <c r="N181" s="128" t="s">
        <v>729</v>
      </c>
      <c r="O181" s="128">
        <v>2</v>
      </c>
      <c r="P181" s="128" t="s">
        <v>681</v>
      </c>
      <c r="Q181" s="206" t="s">
        <v>3899</v>
      </c>
    </row>
    <row r="182" spans="1:18" ht="15" thickBot="1" x14ac:dyDescent="0.35">
      <c r="A182" s="339">
        <v>14036277</v>
      </c>
      <c r="B182" s="337">
        <v>6.125</v>
      </c>
      <c r="C182" s="338" t="s">
        <v>679</v>
      </c>
      <c r="D182" s="339">
        <v>1259957</v>
      </c>
      <c r="F182" s="340"/>
      <c r="G182" s="339">
        <v>3965522</v>
      </c>
      <c r="K182" s="127" t="s">
        <v>316</v>
      </c>
      <c r="L182" s="128" t="s">
        <v>731</v>
      </c>
      <c r="M182" s="128">
        <v>1239258</v>
      </c>
      <c r="N182" s="128" t="s">
        <v>652</v>
      </c>
      <c r="O182" s="128">
        <v>2</v>
      </c>
      <c r="P182" s="206" t="s">
        <v>681</v>
      </c>
      <c r="Q182" s="206" t="s">
        <v>3899</v>
      </c>
    </row>
    <row r="183" spans="1:18" ht="15" thickBot="1" x14ac:dyDescent="0.3">
      <c r="A183" s="339">
        <v>14056715</v>
      </c>
      <c r="B183" s="337">
        <v>3.625</v>
      </c>
      <c r="C183" s="338" t="s">
        <v>636</v>
      </c>
      <c r="D183" s="339">
        <v>1228848</v>
      </c>
      <c r="F183" s="338"/>
      <c r="G183" s="339">
        <v>31016454</v>
      </c>
    </row>
    <row r="184" spans="1:18" ht="15" thickBot="1" x14ac:dyDescent="0.3">
      <c r="A184" s="339">
        <v>14056716</v>
      </c>
      <c r="B184" s="337">
        <v>3.625</v>
      </c>
      <c r="C184" s="338" t="s">
        <v>636</v>
      </c>
      <c r="D184" s="339">
        <v>1228848</v>
      </c>
      <c r="F184" s="338"/>
      <c r="G184" s="339">
        <v>31016454</v>
      </c>
      <c r="K184" s="208"/>
    </row>
    <row r="185" spans="1:18" ht="15" thickBot="1" x14ac:dyDescent="0.4">
      <c r="A185" s="339">
        <v>14056717</v>
      </c>
      <c r="B185" s="337">
        <v>3.625</v>
      </c>
      <c r="C185" s="338" t="s">
        <v>636</v>
      </c>
      <c r="D185" s="339">
        <v>1228848</v>
      </c>
      <c r="F185" s="338"/>
      <c r="G185" s="339">
        <v>31016454</v>
      </c>
      <c r="K185" s="147" t="s">
        <v>3900</v>
      </c>
      <c r="L185" s="458" t="s">
        <v>3901</v>
      </c>
    </row>
    <row r="186" spans="1:18" ht="15" thickBot="1" x14ac:dyDescent="0.3">
      <c r="A186" s="339">
        <v>14056718</v>
      </c>
      <c r="B186" s="337">
        <v>3.625</v>
      </c>
      <c r="C186" s="338" t="s">
        <v>636</v>
      </c>
      <c r="D186" s="339">
        <v>1228848</v>
      </c>
      <c r="F186" s="338"/>
      <c r="G186" s="339">
        <v>31016454</v>
      </c>
      <c r="K186" s="247" t="s">
        <v>3902</v>
      </c>
    </row>
    <row r="187" spans="1:18" ht="15" thickBot="1" x14ac:dyDescent="0.3">
      <c r="K187" s="125" t="s">
        <v>518</v>
      </c>
      <c r="L187" s="126" t="s">
        <v>258</v>
      </c>
      <c r="M187" s="126" t="s">
        <v>3903</v>
      </c>
      <c r="N187" s="126" t="s">
        <v>3904</v>
      </c>
      <c r="O187" s="126" t="s">
        <v>3905</v>
      </c>
      <c r="P187" s="126" t="s">
        <v>3854</v>
      </c>
      <c r="Q187" s="126" t="s">
        <v>3863</v>
      </c>
    </row>
    <row r="188" spans="1:18" ht="15" thickBot="1" x14ac:dyDescent="0.3">
      <c r="A188" s="154" t="s">
        <v>3879</v>
      </c>
      <c r="B188" s="155" t="s">
        <v>325</v>
      </c>
      <c r="C188" s="155" t="s">
        <v>326</v>
      </c>
      <c r="D188" s="155" t="s">
        <v>518</v>
      </c>
      <c r="E188" s="155" t="s">
        <v>3747</v>
      </c>
      <c r="K188" s="491">
        <v>1269498</v>
      </c>
      <c r="L188" s="492">
        <v>8.5</v>
      </c>
      <c r="M188" s="492" t="s">
        <v>663</v>
      </c>
      <c r="N188" s="492" t="s">
        <v>749</v>
      </c>
      <c r="O188" s="492">
        <v>5</v>
      </c>
      <c r="P188" s="492">
        <v>4</v>
      </c>
      <c r="Q188" s="492"/>
    </row>
    <row r="189" spans="1:18" ht="13" thickBot="1" x14ac:dyDescent="0.3">
      <c r="A189" s="341">
        <v>11</v>
      </c>
      <c r="B189" s="342">
        <v>8.5</v>
      </c>
      <c r="C189" s="343" t="s">
        <v>274</v>
      </c>
      <c r="D189" s="343">
        <v>1158011</v>
      </c>
      <c r="E189" s="343">
        <v>4</v>
      </c>
    </row>
    <row r="190" spans="1:18" ht="16" thickBot="1" x14ac:dyDescent="0.3">
      <c r="A190" s="344">
        <v>3</v>
      </c>
      <c r="B190" s="343" t="s">
        <v>3882</v>
      </c>
      <c r="C190" s="343" t="s">
        <v>290</v>
      </c>
      <c r="D190" s="343">
        <v>1228782</v>
      </c>
      <c r="E190" s="343">
        <v>3</v>
      </c>
      <c r="K190" s="147" t="s">
        <v>3897</v>
      </c>
      <c r="L190" s="208" t="s">
        <v>3906</v>
      </c>
    </row>
    <row r="191" spans="1:18" ht="15" thickBot="1" x14ac:dyDescent="0.3">
      <c r="A191" s="345">
        <v>1</v>
      </c>
      <c r="B191" s="342">
        <v>3.625</v>
      </c>
      <c r="C191" s="343" t="s">
        <v>636</v>
      </c>
      <c r="D191" s="343">
        <v>1228848</v>
      </c>
      <c r="E191" s="343">
        <v>3</v>
      </c>
      <c r="K191" s="489" t="s">
        <v>3907</v>
      </c>
      <c r="L191" s="126" t="s">
        <v>4</v>
      </c>
      <c r="M191" s="126" t="s">
        <v>300</v>
      </c>
      <c r="N191" s="126" t="s">
        <v>301</v>
      </c>
      <c r="O191" s="126" t="s">
        <v>302</v>
      </c>
      <c r="P191" s="126" t="s">
        <v>3870</v>
      </c>
      <c r="Q191" s="126" t="s">
        <v>3855</v>
      </c>
      <c r="R191" s="126" t="s">
        <v>3827</v>
      </c>
    </row>
    <row r="192" spans="1:18" ht="15" thickBot="1" x14ac:dyDescent="0.35">
      <c r="A192" s="344">
        <v>4</v>
      </c>
      <c r="B192" s="343" t="s">
        <v>3882</v>
      </c>
      <c r="C192" s="343" t="s">
        <v>290</v>
      </c>
      <c r="D192" s="343">
        <v>1229187</v>
      </c>
      <c r="E192" s="343">
        <v>3</v>
      </c>
      <c r="K192" s="127" t="s">
        <v>631</v>
      </c>
      <c r="L192" s="128" t="s">
        <v>645</v>
      </c>
      <c r="M192" s="128">
        <v>1262047</v>
      </c>
      <c r="N192" s="128">
        <v>1235768</v>
      </c>
      <c r="O192" s="128">
        <v>3</v>
      </c>
      <c r="P192" s="206" t="s">
        <v>681</v>
      </c>
      <c r="Q192" s="128" t="s">
        <v>103</v>
      </c>
      <c r="R192" s="334"/>
    </row>
    <row r="193" spans="1:19" ht="15" thickBot="1" x14ac:dyDescent="0.3">
      <c r="A193" s="344">
        <v>2</v>
      </c>
      <c r="B193" s="343" t="s">
        <v>3689</v>
      </c>
      <c r="C193" s="343" t="s">
        <v>284</v>
      </c>
      <c r="D193" s="343">
        <v>1234376</v>
      </c>
      <c r="E193" s="343">
        <v>3</v>
      </c>
      <c r="K193" s="127" t="s">
        <v>309</v>
      </c>
      <c r="L193" s="128" t="s">
        <v>311</v>
      </c>
      <c r="M193" s="128">
        <v>1145824</v>
      </c>
      <c r="N193" s="128">
        <v>1137349</v>
      </c>
      <c r="O193" s="128">
        <v>4</v>
      </c>
      <c r="P193" s="206" t="s">
        <v>676</v>
      </c>
      <c r="Q193" s="128">
        <v>179835</v>
      </c>
      <c r="R193" s="128" t="s">
        <v>3908</v>
      </c>
    </row>
    <row r="194" spans="1:19" ht="15" thickBot="1" x14ac:dyDescent="0.35">
      <c r="A194" s="336">
        <v>6</v>
      </c>
      <c r="B194" s="158" t="s">
        <v>3689</v>
      </c>
      <c r="C194" s="158" t="s">
        <v>286</v>
      </c>
      <c r="D194" s="158">
        <v>1245350</v>
      </c>
      <c r="E194" s="158">
        <v>3</v>
      </c>
      <c r="K194" s="127" t="s">
        <v>309</v>
      </c>
      <c r="L194" s="128" t="s">
        <v>256</v>
      </c>
      <c r="M194" s="128">
        <v>1198387</v>
      </c>
      <c r="N194" s="128">
        <v>1160951</v>
      </c>
      <c r="O194" s="128">
        <v>2</v>
      </c>
      <c r="P194" s="206" t="s">
        <v>681</v>
      </c>
      <c r="Q194" s="129" t="s">
        <v>103</v>
      </c>
      <c r="R194" s="334"/>
    </row>
    <row r="195" spans="1:19" ht="15" thickBot="1" x14ac:dyDescent="0.35">
      <c r="A195" s="344">
        <v>5</v>
      </c>
      <c r="B195" s="342">
        <v>5.875</v>
      </c>
      <c r="C195" s="343" t="s">
        <v>645</v>
      </c>
      <c r="D195" s="343">
        <v>1262047</v>
      </c>
      <c r="E195" s="343">
        <v>4</v>
      </c>
      <c r="K195" s="127" t="s">
        <v>309</v>
      </c>
      <c r="L195" s="128" t="s">
        <v>735</v>
      </c>
      <c r="M195" s="128">
        <v>1261236</v>
      </c>
      <c r="N195" s="128">
        <v>1258557</v>
      </c>
      <c r="O195" s="128">
        <v>1</v>
      </c>
      <c r="P195" s="206" t="s">
        <v>681</v>
      </c>
      <c r="Q195" s="128" t="s">
        <v>103</v>
      </c>
      <c r="R195" s="334"/>
    </row>
    <row r="196" spans="1:19" ht="15" thickBot="1" x14ac:dyDescent="0.3">
      <c r="K196" s="127" t="s">
        <v>313</v>
      </c>
      <c r="L196" s="128" t="s">
        <v>273</v>
      </c>
      <c r="M196" s="128">
        <v>1246020</v>
      </c>
      <c r="N196" s="128" t="s">
        <v>737</v>
      </c>
      <c r="O196" s="128">
        <v>4</v>
      </c>
      <c r="P196" s="206" t="s">
        <v>676</v>
      </c>
      <c r="Q196" s="128">
        <v>697263</v>
      </c>
      <c r="R196" s="128" t="s">
        <v>3909</v>
      </c>
    </row>
    <row r="197" spans="1:19" ht="15" thickBot="1" x14ac:dyDescent="0.3">
      <c r="K197" s="127" t="s">
        <v>313</v>
      </c>
      <c r="L197" s="128" t="s">
        <v>647</v>
      </c>
      <c r="M197" s="128">
        <v>1245357</v>
      </c>
      <c r="N197" s="128" t="s">
        <v>716</v>
      </c>
      <c r="O197" s="128">
        <v>2</v>
      </c>
      <c r="P197" s="425" t="s">
        <v>676</v>
      </c>
      <c r="Q197" s="129">
        <v>179836</v>
      </c>
      <c r="R197" s="129" t="s">
        <v>3894</v>
      </c>
    </row>
    <row r="198" spans="1:19" ht="15" thickBot="1" x14ac:dyDescent="0.3">
      <c r="K198" s="127" t="s">
        <v>624</v>
      </c>
      <c r="L198" s="128" t="s">
        <v>663</v>
      </c>
      <c r="M198" s="128">
        <v>1269498</v>
      </c>
      <c r="N198" s="128">
        <v>1276939</v>
      </c>
      <c r="O198" s="128">
        <v>10</v>
      </c>
      <c r="P198" s="206" t="s">
        <v>681</v>
      </c>
      <c r="Q198" s="129" t="s">
        <v>103</v>
      </c>
      <c r="R198" s="242"/>
    </row>
    <row r="199" spans="1:19" ht="15" thickBot="1" x14ac:dyDescent="0.3">
      <c r="K199" s="127" t="s">
        <v>315</v>
      </c>
      <c r="L199" s="128" t="s">
        <v>286</v>
      </c>
      <c r="M199" s="128">
        <v>1245350</v>
      </c>
      <c r="N199" s="128">
        <v>1269308</v>
      </c>
      <c r="O199" s="128">
        <v>2</v>
      </c>
      <c r="P199" s="206" t="s">
        <v>676</v>
      </c>
      <c r="Q199" s="129">
        <v>179838</v>
      </c>
      <c r="R199" s="129" t="s">
        <v>678</v>
      </c>
    </row>
    <row r="200" spans="1:19" ht="15" thickBot="1" x14ac:dyDescent="0.3">
      <c r="K200" s="127" t="s">
        <v>315</v>
      </c>
      <c r="L200" s="128" t="s">
        <v>682</v>
      </c>
      <c r="M200" s="128">
        <v>1270578</v>
      </c>
      <c r="N200" s="128">
        <v>1251627</v>
      </c>
      <c r="O200" s="128">
        <v>2</v>
      </c>
      <c r="P200" s="206" t="s">
        <v>676</v>
      </c>
      <c r="Q200" s="128">
        <v>179838</v>
      </c>
      <c r="R200" s="129" t="s">
        <v>678</v>
      </c>
    </row>
    <row r="201" spans="1:19" ht="15" thickBot="1" x14ac:dyDescent="0.35">
      <c r="K201" s="130" t="s">
        <v>637</v>
      </c>
      <c r="L201" s="129" t="s">
        <v>287</v>
      </c>
      <c r="M201" s="129">
        <v>1267122</v>
      </c>
      <c r="N201" s="129">
        <v>1257458</v>
      </c>
      <c r="O201" s="129">
        <v>4</v>
      </c>
      <c r="P201" s="206" t="s">
        <v>681</v>
      </c>
      <c r="Q201" s="129" t="s">
        <v>103</v>
      </c>
      <c r="R201" s="334"/>
    </row>
    <row r="202" spans="1:19" ht="15" thickBot="1" x14ac:dyDescent="0.3">
      <c r="K202" s="127" t="s">
        <v>316</v>
      </c>
      <c r="L202" s="128" t="s">
        <v>318</v>
      </c>
      <c r="M202" s="128">
        <v>1145823</v>
      </c>
      <c r="N202" s="128">
        <v>1033011</v>
      </c>
      <c r="O202" s="128">
        <v>2</v>
      </c>
      <c r="P202" s="206" t="s">
        <v>676</v>
      </c>
      <c r="Q202" s="128">
        <v>179849</v>
      </c>
      <c r="R202" s="128" t="s">
        <v>3832</v>
      </c>
    </row>
    <row r="204" spans="1:19" ht="24" x14ac:dyDescent="0.25">
      <c r="K204" s="493" t="s">
        <v>338</v>
      </c>
      <c r="L204" s="494" t="s">
        <v>600</v>
      </c>
      <c r="M204" s="494" t="s">
        <v>322</v>
      </c>
      <c r="N204" s="494" t="s">
        <v>325</v>
      </c>
      <c r="O204" s="494" t="s">
        <v>326</v>
      </c>
      <c r="P204" s="494" t="s">
        <v>327</v>
      </c>
      <c r="Q204" s="494" t="s">
        <v>601</v>
      </c>
      <c r="R204" s="493" t="s">
        <v>602</v>
      </c>
      <c r="S204" s="494" t="s">
        <v>328</v>
      </c>
    </row>
    <row r="205" spans="1:19" x14ac:dyDescent="0.25">
      <c r="K205" s="248">
        <v>20240109</v>
      </c>
      <c r="L205" s="248"/>
      <c r="M205" s="248"/>
      <c r="N205" s="248">
        <v>6.125</v>
      </c>
      <c r="O205" s="248" t="s">
        <v>679</v>
      </c>
      <c r="P205" s="248"/>
      <c r="Q205" s="248"/>
      <c r="R205" s="248">
        <v>1259957</v>
      </c>
      <c r="S205" s="248"/>
    </row>
    <row r="206" spans="1:19" x14ac:dyDescent="0.25">
      <c r="K206" s="248">
        <v>20240109</v>
      </c>
      <c r="L206" s="248"/>
      <c r="M206" s="248"/>
      <c r="N206" s="248">
        <v>6.125</v>
      </c>
      <c r="O206" s="248" t="s">
        <v>311</v>
      </c>
      <c r="P206" s="248"/>
      <c r="Q206" s="248"/>
      <c r="R206" s="248">
        <v>1145824</v>
      </c>
      <c r="S206" s="248">
        <v>1137349</v>
      </c>
    </row>
    <row r="208" spans="1:19" ht="15" thickBot="1" x14ac:dyDescent="0.4">
      <c r="K208" s="496" t="s">
        <v>3900</v>
      </c>
      <c r="L208" s="495" t="s">
        <v>3910</v>
      </c>
    </row>
    <row r="209" spans="11:18" ht="15" thickBot="1" x14ac:dyDescent="0.3">
      <c r="K209" s="125" t="s">
        <v>258</v>
      </c>
      <c r="L209" s="126" t="s">
        <v>4</v>
      </c>
      <c r="M209" s="126" t="s">
        <v>300</v>
      </c>
      <c r="N209" s="126" t="s">
        <v>301</v>
      </c>
      <c r="O209" s="126" t="s">
        <v>302</v>
      </c>
      <c r="P209" s="126" t="s">
        <v>3855</v>
      </c>
      <c r="Q209" s="126" t="s">
        <v>3911</v>
      </c>
      <c r="R209" s="126" t="s">
        <v>3863</v>
      </c>
    </row>
    <row r="210" spans="11:18" ht="15" thickBot="1" x14ac:dyDescent="0.3">
      <c r="K210" s="127" t="s">
        <v>304</v>
      </c>
      <c r="L210" s="128" t="s">
        <v>636</v>
      </c>
      <c r="M210" s="242"/>
      <c r="N210" s="128">
        <v>1016454</v>
      </c>
      <c r="O210" s="128">
        <v>2</v>
      </c>
      <c r="P210" s="128">
        <v>179833</v>
      </c>
      <c r="Q210" s="128" t="s">
        <v>3891</v>
      </c>
      <c r="R210" s="128" t="s">
        <v>3912</v>
      </c>
    </row>
    <row r="211" spans="11:18" ht="15" thickBot="1" x14ac:dyDescent="0.3">
      <c r="K211" s="127" t="s">
        <v>304</v>
      </c>
      <c r="L211" s="128" t="s">
        <v>630</v>
      </c>
      <c r="M211" s="242"/>
      <c r="N211" s="128">
        <v>960723</v>
      </c>
      <c r="O211" s="128">
        <v>4</v>
      </c>
      <c r="P211" s="128">
        <v>330432</v>
      </c>
      <c r="Q211" s="128" t="s">
        <v>3868</v>
      </c>
      <c r="R211" s="128" t="s">
        <v>3912</v>
      </c>
    </row>
    <row r="212" spans="11:18" ht="15" thickBot="1" x14ac:dyDescent="0.3">
      <c r="K212" s="127" t="s">
        <v>624</v>
      </c>
      <c r="L212" s="128" t="s">
        <v>687</v>
      </c>
      <c r="M212" s="242"/>
      <c r="N212" s="128">
        <v>1254762</v>
      </c>
      <c r="O212" s="128">
        <v>4</v>
      </c>
      <c r="P212" s="128">
        <v>697263</v>
      </c>
      <c r="Q212" s="128" t="s">
        <v>3909</v>
      </c>
      <c r="R212" s="128" t="s">
        <v>3912</v>
      </c>
    </row>
    <row r="213" spans="11:18" ht="15" thickBot="1" x14ac:dyDescent="0.3">
      <c r="K213" s="127" t="s">
        <v>316</v>
      </c>
      <c r="L213" s="128" t="s">
        <v>291</v>
      </c>
      <c r="M213" s="242"/>
      <c r="N213" s="128">
        <v>1058252</v>
      </c>
      <c r="O213" s="128">
        <v>2</v>
      </c>
      <c r="P213" s="128">
        <v>179849</v>
      </c>
      <c r="Q213" s="128" t="s">
        <v>3832</v>
      </c>
      <c r="R213" s="128" t="s">
        <v>3912</v>
      </c>
    </row>
    <row r="214" spans="11:18" ht="15" thickBot="1" x14ac:dyDescent="0.3">
      <c r="K214" s="127" t="s">
        <v>319</v>
      </c>
      <c r="L214" s="128" t="s">
        <v>665</v>
      </c>
      <c r="M214" s="242"/>
      <c r="N214" s="128">
        <v>1207425</v>
      </c>
      <c r="O214" s="128">
        <v>1</v>
      </c>
      <c r="P214" s="128">
        <v>179849</v>
      </c>
      <c r="Q214" s="128" t="s">
        <v>3832</v>
      </c>
      <c r="R214" s="128" t="s">
        <v>3912</v>
      </c>
    </row>
    <row r="215" spans="11:18" ht="15" thickBot="1" x14ac:dyDescent="0.3">
      <c r="K215" s="499" t="s">
        <v>309</v>
      </c>
      <c r="L215" s="500" t="s">
        <v>311</v>
      </c>
      <c r="M215" s="500">
        <v>1145824</v>
      </c>
      <c r="N215" s="500">
        <v>1137349</v>
      </c>
      <c r="O215" s="204">
        <v>3</v>
      </c>
      <c r="P215" s="500">
        <v>179835</v>
      </c>
      <c r="Q215" s="500" t="s">
        <v>3908</v>
      </c>
      <c r="R215" s="501" t="s">
        <v>676</v>
      </c>
    </row>
    <row r="216" spans="11:18" ht="15" thickBot="1" x14ac:dyDescent="0.35">
      <c r="K216" s="499" t="s">
        <v>309</v>
      </c>
      <c r="L216" s="500" t="s">
        <v>256</v>
      </c>
      <c r="M216" s="500">
        <v>1198387</v>
      </c>
      <c r="N216" s="500">
        <v>1160951</v>
      </c>
      <c r="O216" s="204">
        <v>2</v>
      </c>
      <c r="P216" s="205" t="s">
        <v>103</v>
      </c>
      <c r="Q216" s="502"/>
      <c r="R216" s="500" t="s">
        <v>681</v>
      </c>
    </row>
    <row r="217" spans="11:18" ht="15" thickBot="1" x14ac:dyDescent="0.3">
      <c r="K217" s="499" t="s">
        <v>313</v>
      </c>
      <c r="L217" s="500" t="s">
        <v>273</v>
      </c>
      <c r="M217" s="500">
        <v>1246020</v>
      </c>
      <c r="N217" s="500" t="s">
        <v>737</v>
      </c>
      <c r="O217" s="204">
        <v>2</v>
      </c>
      <c r="P217" s="500">
        <v>697263</v>
      </c>
      <c r="Q217" s="500" t="s">
        <v>3909</v>
      </c>
      <c r="R217" s="501" t="s">
        <v>676</v>
      </c>
    </row>
    <row r="218" spans="11:18" ht="15" thickBot="1" x14ac:dyDescent="0.3">
      <c r="K218" s="499" t="s">
        <v>624</v>
      </c>
      <c r="L218" s="500" t="s">
        <v>275</v>
      </c>
      <c r="M218" s="500">
        <v>1158011</v>
      </c>
      <c r="N218" s="500">
        <v>1267829</v>
      </c>
      <c r="O218" s="204">
        <v>1</v>
      </c>
      <c r="P218" s="205" t="s">
        <v>103</v>
      </c>
      <c r="Q218" s="503"/>
      <c r="R218" s="500" t="s">
        <v>681</v>
      </c>
    </row>
    <row r="219" spans="11:18" ht="15" thickBot="1" x14ac:dyDescent="0.3">
      <c r="K219" s="499" t="s">
        <v>624</v>
      </c>
      <c r="L219" s="500" t="s">
        <v>663</v>
      </c>
      <c r="M219" s="500">
        <v>1269498</v>
      </c>
      <c r="N219" s="500">
        <v>1276939</v>
      </c>
      <c r="O219" s="204">
        <v>3</v>
      </c>
      <c r="P219" s="205" t="s">
        <v>103</v>
      </c>
      <c r="Q219" s="503"/>
      <c r="R219" s="500" t="s">
        <v>681</v>
      </c>
    </row>
    <row r="220" spans="11:18" ht="15" thickBot="1" x14ac:dyDescent="0.35">
      <c r="K220" s="504" t="s">
        <v>637</v>
      </c>
      <c r="L220" s="205" t="s">
        <v>287</v>
      </c>
      <c r="M220" s="205">
        <v>1267122</v>
      </c>
      <c r="N220" s="205">
        <v>1257458</v>
      </c>
      <c r="O220" s="204">
        <v>4</v>
      </c>
      <c r="P220" s="205" t="s">
        <v>103</v>
      </c>
      <c r="Q220" s="502"/>
      <c r="R220" s="500" t="s">
        <v>681</v>
      </c>
    </row>
    <row r="221" spans="11:18" ht="15" thickBot="1" x14ac:dyDescent="0.3">
      <c r="K221" s="130"/>
      <c r="L221" s="129"/>
      <c r="M221" s="129"/>
      <c r="N221" s="129"/>
      <c r="O221" s="497">
        <v>28</v>
      </c>
      <c r="P221" s="129"/>
      <c r="Q221" s="129"/>
      <c r="R221" s="128"/>
    </row>
    <row r="225" spans="11:18" ht="14.5" x14ac:dyDescent="0.35">
      <c r="K225" s="510" t="s">
        <v>3913</v>
      </c>
      <c r="L225" s="511" t="s">
        <v>3914</v>
      </c>
      <c r="M225" s="512"/>
      <c r="N225" s="513"/>
    </row>
    <row r="226" spans="11:18" ht="14.5" x14ac:dyDescent="0.25">
      <c r="K226" s="505" t="s">
        <v>3915</v>
      </c>
      <c r="N226" s="506"/>
    </row>
    <row r="227" spans="11:18" ht="14.5" x14ac:dyDescent="0.25">
      <c r="K227" s="505" t="s">
        <v>3916</v>
      </c>
      <c r="N227" s="506"/>
    </row>
    <row r="228" spans="11:18" ht="14.5" x14ac:dyDescent="0.25">
      <c r="K228" s="505" t="s">
        <v>3917</v>
      </c>
      <c r="N228" s="506"/>
    </row>
    <row r="229" spans="11:18" ht="14.5" x14ac:dyDescent="0.25">
      <c r="K229" s="507" t="s">
        <v>3918</v>
      </c>
      <c r="N229" s="506"/>
    </row>
    <row r="230" spans="11:18" ht="14.5" x14ac:dyDescent="0.25">
      <c r="K230" s="507" t="s">
        <v>3919</v>
      </c>
      <c r="N230" s="506"/>
    </row>
    <row r="231" spans="11:18" ht="14.5" x14ac:dyDescent="0.25">
      <c r="K231" s="505" t="s">
        <v>3920</v>
      </c>
      <c r="N231" s="506"/>
    </row>
    <row r="232" spans="11:18" ht="14.5" x14ac:dyDescent="0.25">
      <c r="K232" s="505" t="s">
        <v>3921</v>
      </c>
      <c r="N232" s="506"/>
    </row>
    <row r="233" spans="11:18" ht="15" thickBot="1" x14ac:dyDescent="0.3">
      <c r="K233" s="508" t="s">
        <v>3922</v>
      </c>
      <c r="L233" s="137"/>
      <c r="M233" s="137"/>
      <c r="N233" s="509"/>
    </row>
    <row r="237" spans="11:18" ht="16" thickBot="1" x14ac:dyDescent="0.3">
      <c r="K237" s="147" t="s">
        <v>3897</v>
      </c>
      <c r="L237" t="s">
        <v>3923</v>
      </c>
    </row>
    <row r="238" spans="11:18" ht="15" thickBot="1" x14ac:dyDescent="0.3">
      <c r="K238" s="125" t="s">
        <v>258</v>
      </c>
      <c r="L238" s="126" t="s">
        <v>4</v>
      </c>
      <c r="M238" s="126" t="s">
        <v>300</v>
      </c>
      <c r="N238" s="126" t="s">
        <v>301</v>
      </c>
      <c r="O238" s="126" t="s">
        <v>302</v>
      </c>
      <c r="P238" s="126" t="s">
        <v>3826</v>
      </c>
      <c r="Q238" s="126" t="s">
        <v>3827</v>
      </c>
      <c r="R238" s="126" t="s">
        <v>3863</v>
      </c>
    </row>
    <row r="239" spans="11:18" ht="15" thickBot="1" x14ac:dyDescent="0.3">
      <c r="K239" s="127" t="s">
        <v>304</v>
      </c>
      <c r="L239" s="128" t="s">
        <v>636</v>
      </c>
      <c r="M239" s="128">
        <v>1228848</v>
      </c>
      <c r="N239" s="128">
        <v>1016454</v>
      </c>
      <c r="O239" s="128">
        <v>1</v>
      </c>
      <c r="P239" s="128">
        <v>179833</v>
      </c>
      <c r="Q239" s="128" t="s">
        <v>3891</v>
      </c>
      <c r="R239" s="128" t="s">
        <v>676</v>
      </c>
    </row>
    <row r="240" spans="11:18" ht="15" thickBot="1" x14ac:dyDescent="0.3">
      <c r="K240" s="127" t="s">
        <v>304</v>
      </c>
      <c r="L240" s="128" t="s">
        <v>630</v>
      </c>
      <c r="M240" s="128">
        <v>1228690</v>
      </c>
      <c r="N240" s="128">
        <v>960723</v>
      </c>
      <c r="O240" s="128">
        <v>4</v>
      </c>
      <c r="P240" s="128">
        <v>330432</v>
      </c>
      <c r="Q240" s="128" t="s">
        <v>3868</v>
      </c>
      <c r="R240" s="128" t="s">
        <v>676</v>
      </c>
    </row>
    <row r="241" spans="11:18" ht="15" thickBot="1" x14ac:dyDescent="0.3">
      <c r="K241" s="127" t="s">
        <v>307</v>
      </c>
      <c r="L241" s="128" t="s">
        <v>308</v>
      </c>
      <c r="M241" s="128">
        <v>1224225</v>
      </c>
      <c r="N241" s="128">
        <v>1252149</v>
      </c>
      <c r="O241" s="128">
        <v>2</v>
      </c>
      <c r="P241" s="128">
        <v>179833</v>
      </c>
      <c r="Q241" s="128" t="s">
        <v>3891</v>
      </c>
      <c r="R241" s="206" t="s">
        <v>676</v>
      </c>
    </row>
    <row r="242" spans="11:18" ht="15" thickBot="1" x14ac:dyDescent="0.3">
      <c r="K242" s="127" t="s">
        <v>313</v>
      </c>
      <c r="L242" s="128" t="s">
        <v>314</v>
      </c>
      <c r="M242" s="128">
        <v>1246680</v>
      </c>
      <c r="N242" s="128" t="s">
        <v>763</v>
      </c>
      <c r="O242" s="128">
        <v>3</v>
      </c>
      <c r="P242" s="128">
        <v>179836</v>
      </c>
      <c r="Q242" s="128" t="s">
        <v>3894</v>
      </c>
      <c r="R242" s="206" t="s">
        <v>676</v>
      </c>
    </row>
    <row r="243" spans="11:18" ht="15" thickBot="1" x14ac:dyDescent="0.3">
      <c r="K243" s="127" t="s">
        <v>624</v>
      </c>
      <c r="L243" s="128" t="s">
        <v>663</v>
      </c>
      <c r="M243" s="128">
        <v>1269498</v>
      </c>
      <c r="N243" s="128">
        <v>1276939</v>
      </c>
      <c r="O243" s="128">
        <v>5</v>
      </c>
      <c r="P243" s="129" t="s">
        <v>103</v>
      </c>
      <c r="Q243" s="129" t="s">
        <v>103</v>
      </c>
      <c r="R243" s="128" t="s">
        <v>681</v>
      </c>
    </row>
    <row r="244" spans="11:18" ht="15" thickBot="1" x14ac:dyDescent="0.3">
      <c r="K244" s="127" t="s">
        <v>315</v>
      </c>
      <c r="L244" s="128" t="s">
        <v>284</v>
      </c>
      <c r="M244" s="128">
        <v>1234376</v>
      </c>
      <c r="N244" s="128">
        <v>1249569</v>
      </c>
      <c r="O244" s="128">
        <v>7</v>
      </c>
      <c r="P244" s="128">
        <v>179838</v>
      </c>
      <c r="Q244" s="129" t="s">
        <v>678</v>
      </c>
      <c r="R244" s="206" t="s">
        <v>676</v>
      </c>
    </row>
    <row r="245" spans="11:18" ht="15" thickBot="1" x14ac:dyDescent="0.3">
      <c r="K245" s="127" t="s">
        <v>315</v>
      </c>
      <c r="L245" s="128" t="s">
        <v>286</v>
      </c>
      <c r="M245" s="128">
        <v>1245350</v>
      </c>
      <c r="N245" s="128">
        <v>1269308</v>
      </c>
      <c r="O245" s="128">
        <v>5</v>
      </c>
      <c r="P245" s="129">
        <v>179838</v>
      </c>
      <c r="Q245" s="129" t="s">
        <v>678</v>
      </c>
      <c r="R245" s="128" t="s">
        <v>676</v>
      </c>
    </row>
    <row r="246" spans="11:18" ht="15" thickBot="1" x14ac:dyDescent="0.3">
      <c r="K246" s="127" t="s">
        <v>316</v>
      </c>
      <c r="L246" s="128" t="s">
        <v>291</v>
      </c>
      <c r="M246" s="128">
        <v>1228782</v>
      </c>
      <c r="N246" s="128">
        <v>1058252</v>
      </c>
      <c r="O246" s="128">
        <v>2</v>
      </c>
      <c r="P246" s="128">
        <v>179849</v>
      </c>
      <c r="Q246" s="128" t="s">
        <v>3832</v>
      </c>
      <c r="R246" s="206" t="s">
        <v>676</v>
      </c>
    </row>
    <row r="247" spans="11:18" ht="15" thickBot="1" x14ac:dyDescent="0.3">
      <c r="K247" s="127" t="s">
        <v>319</v>
      </c>
      <c r="L247" s="128" t="s">
        <v>689</v>
      </c>
      <c r="M247" s="128">
        <v>1248668</v>
      </c>
      <c r="N247" s="128" t="s">
        <v>688</v>
      </c>
      <c r="O247" s="128">
        <v>1</v>
      </c>
      <c r="P247" s="129">
        <v>179850</v>
      </c>
      <c r="Q247" s="129" t="s">
        <v>3866</v>
      </c>
      <c r="R247" s="129" t="s">
        <v>676</v>
      </c>
    </row>
    <row r="248" spans="11:18" ht="15" thickBot="1" x14ac:dyDescent="0.3">
      <c r="K248" s="127" t="s">
        <v>769</v>
      </c>
      <c r="L248" s="128" t="s">
        <v>645</v>
      </c>
      <c r="M248" s="128">
        <v>1262047</v>
      </c>
      <c r="N248" s="128">
        <v>1235768</v>
      </c>
      <c r="O248" s="128">
        <v>7</v>
      </c>
      <c r="P248" s="129" t="s">
        <v>103</v>
      </c>
      <c r="Q248" s="129" t="s">
        <v>103</v>
      </c>
      <c r="R248" s="129" t="s">
        <v>681</v>
      </c>
    </row>
    <row r="252" spans="11:18" ht="13" thickBot="1" x14ac:dyDescent="0.3"/>
    <row r="253" spans="11:18" ht="14.5" x14ac:dyDescent="0.35">
      <c r="K253" s="510" t="s">
        <v>3924</v>
      </c>
      <c r="L253" s="511" t="s">
        <v>3925</v>
      </c>
      <c r="M253" s="512"/>
      <c r="N253" s="512"/>
      <c r="O253" s="517"/>
    </row>
    <row r="254" spans="11:18" ht="14.5" x14ac:dyDescent="0.25">
      <c r="K254" s="516" t="s">
        <v>3926</v>
      </c>
      <c r="O254" s="506"/>
    </row>
    <row r="255" spans="11:18" ht="14.5" x14ac:dyDescent="0.25">
      <c r="K255" s="505" t="s">
        <v>631</v>
      </c>
      <c r="L255" t="s">
        <v>723</v>
      </c>
      <c r="M255">
        <v>1281273</v>
      </c>
      <c r="N255" t="s">
        <v>3927</v>
      </c>
      <c r="O255" s="506">
        <v>1</v>
      </c>
    </row>
    <row r="256" spans="11:18" ht="14.5" x14ac:dyDescent="0.25">
      <c r="K256" s="505" t="s">
        <v>313</v>
      </c>
      <c r="L256" t="s">
        <v>726</v>
      </c>
      <c r="M256">
        <v>1239176</v>
      </c>
      <c r="N256" t="s">
        <v>269</v>
      </c>
      <c r="O256" s="506">
        <v>2</v>
      </c>
    </row>
    <row r="257" spans="11:18" ht="15" thickBot="1" x14ac:dyDescent="0.3">
      <c r="K257" s="508" t="s">
        <v>313</v>
      </c>
      <c r="L257" s="137" t="s">
        <v>273</v>
      </c>
      <c r="M257" s="137">
        <v>1246020</v>
      </c>
      <c r="N257" s="137" t="s">
        <v>737</v>
      </c>
      <c r="O257" s="509">
        <v>8</v>
      </c>
    </row>
    <row r="261" spans="11:18" ht="16" thickBot="1" x14ac:dyDescent="0.3">
      <c r="K261" s="124" t="s">
        <v>299</v>
      </c>
      <c r="L261" t="s">
        <v>3928</v>
      </c>
    </row>
    <row r="262" spans="11:18" ht="15" thickBot="1" x14ac:dyDescent="0.3">
      <c r="K262" s="125" t="s">
        <v>258</v>
      </c>
      <c r="L262" s="126" t="s">
        <v>4</v>
      </c>
      <c r="M262" s="126" t="s">
        <v>300</v>
      </c>
      <c r="N262" s="126" t="s">
        <v>301</v>
      </c>
      <c r="O262" s="126" t="s">
        <v>302</v>
      </c>
      <c r="P262" s="126" t="s">
        <v>3855</v>
      </c>
      <c r="Q262" s="126" t="s">
        <v>3911</v>
      </c>
      <c r="R262" s="126" t="s">
        <v>3863</v>
      </c>
    </row>
    <row r="263" spans="11:18" ht="15" thickBot="1" x14ac:dyDescent="0.3">
      <c r="K263" s="127" t="s">
        <v>637</v>
      </c>
      <c r="L263" s="128" t="s">
        <v>272</v>
      </c>
      <c r="M263" s="128"/>
      <c r="N263" s="128">
        <v>1145353</v>
      </c>
      <c r="O263" s="128">
        <v>1</v>
      </c>
      <c r="P263" s="128">
        <v>179838</v>
      </c>
      <c r="Q263" s="425" t="s">
        <v>678</v>
      </c>
      <c r="R263" s="206" t="s">
        <v>3912</v>
      </c>
    </row>
    <row r="264" spans="11:18" ht="15" thickBot="1" x14ac:dyDescent="0.3">
      <c r="K264" s="127" t="s">
        <v>309</v>
      </c>
      <c r="L264" s="128" t="s">
        <v>311</v>
      </c>
      <c r="M264" s="128">
        <v>1145824</v>
      </c>
      <c r="N264" s="128">
        <v>1137349</v>
      </c>
      <c r="O264" s="128">
        <v>4</v>
      </c>
      <c r="P264" s="128">
        <v>179835</v>
      </c>
      <c r="Q264" s="206" t="s">
        <v>3908</v>
      </c>
      <c r="R264" s="206" t="s">
        <v>676</v>
      </c>
    </row>
    <row r="265" spans="11:18" ht="15" thickBot="1" x14ac:dyDescent="0.3">
      <c r="K265" s="127" t="s">
        <v>309</v>
      </c>
      <c r="L265" s="128" t="s">
        <v>256</v>
      </c>
      <c r="M265" s="128">
        <v>1198387</v>
      </c>
      <c r="N265" s="128">
        <v>1160951</v>
      </c>
      <c r="O265" s="128">
        <v>3</v>
      </c>
      <c r="P265" s="128" t="s">
        <v>103</v>
      </c>
      <c r="Q265" s="206" t="s">
        <v>103</v>
      </c>
      <c r="R265" s="206" t="s">
        <v>681</v>
      </c>
    </row>
    <row r="266" spans="11:18" ht="29.5" thickBot="1" x14ac:dyDescent="0.3">
      <c r="K266" s="127" t="s">
        <v>313</v>
      </c>
      <c r="L266" s="128" t="s">
        <v>273</v>
      </c>
      <c r="M266" s="128">
        <v>1246020</v>
      </c>
      <c r="N266" s="128" t="s">
        <v>737</v>
      </c>
      <c r="O266" s="128">
        <v>2</v>
      </c>
      <c r="P266" s="128">
        <v>697263</v>
      </c>
      <c r="Q266" s="206" t="s">
        <v>3909</v>
      </c>
      <c r="R266" s="206" t="s">
        <v>676</v>
      </c>
    </row>
    <row r="267" spans="11:18" ht="15" thickBot="1" x14ac:dyDescent="0.3">
      <c r="K267" s="127" t="s">
        <v>313</v>
      </c>
      <c r="L267" s="128" t="s">
        <v>314</v>
      </c>
      <c r="M267" s="128">
        <v>1246680</v>
      </c>
      <c r="N267" s="128" t="s">
        <v>763</v>
      </c>
      <c r="O267" s="128">
        <v>2</v>
      </c>
      <c r="P267" s="128">
        <v>179836</v>
      </c>
      <c r="Q267" s="206" t="s">
        <v>3894</v>
      </c>
      <c r="R267" s="206" t="s">
        <v>676</v>
      </c>
    </row>
    <row r="268" spans="11:18" ht="15" thickBot="1" x14ac:dyDescent="0.3">
      <c r="K268" s="127" t="s">
        <v>624</v>
      </c>
      <c r="L268" s="128" t="s">
        <v>663</v>
      </c>
      <c r="M268" s="128">
        <v>1269498</v>
      </c>
      <c r="N268" s="128">
        <v>1276939</v>
      </c>
      <c r="O268" s="128">
        <v>4</v>
      </c>
      <c r="P268" s="128" t="s">
        <v>103</v>
      </c>
      <c r="Q268" s="206" t="s">
        <v>103</v>
      </c>
      <c r="R268" s="206" t="s">
        <v>681</v>
      </c>
    </row>
    <row r="269" spans="11:18" ht="15" thickBot="1" x14ac:dyDescent="0.3">
      <c r="K269" s="127" t="s">
        <v>315</v>
      </c>
      <c r="L269" s="128" t="s">
        <v>284</v>
      </c>
      <c r="M269" s="128">
        <v>1234376</v>
      </c>
      <c r="N269" s="128">
        <v>1249569</v>
      </c>
      <c r="O269" s="128">
        <v>2</v>
      </c>
      <c r="P269" s="128">
        <v>179838</v>
      </c>
      <c r="Q269" s="425" t="s">
        <v>678</v>
      </c>
      <c r="R269" s="206" t="s">
        <v>676</v>
      </c>
    </row>
    <row r="270" spans="11:18" ht="15" thickBot="1" x14ac:dyDescent="0.3">
      <c r="K270" s="127" t="s">
        <v>316</v>
      </c>
      <c r="L270" s="128" t="s">
        <v>291</v>
      </c>
      <c r="M270" s="128">
        <v>1228782</v>
      </c>
      <c r="N270" s="128">
        <v>1058252</v>
      </c>
      <c r="O270" s="128">
        <v>2</v>
      </c>
      <c r="P270" s="128">
        <v>179849</v>
      </c>
      <c r="Q270" s="206" t="s">
        <v>3832</v>
      </c>
      <c r="R270" s="206" t="s">
        <v>676</v>
      </c>
    </row>
    <row r="274" spans="11:18" ht="16" thickBot="1" x14ac:dyDescent="0.3">
      <c r="K274" s="147" t="s">
        <v>3897</v>
      </c>
      <c r="L274" t="s">
        <v>3929</v>
      </c>
    </row>
    <row r="275" spans="11:18" ht="15" thickBot="1" x14ac:dyDescent="0.3">
      <c r="K275" s="125" t="s">
        <v>258</v>
      </c>
      <c r="L275" s="126" t="s">
        <v>4</v>
      </c>
      <c r="M275" s="126" t="s">
        <v>300</v>
      </c>
      <c r="N275" s="126" t="s">
        <v>301</v>
      </c>
      <c r="O275" s="126" t="s">
        <v>302</v>
      </c>
      <c r="P275" s="126" t="s">
        <v>3855</v>
      </c>
      <c r="Q275" s="126" t="s">
        <v>3911</v>
      </c>
      <c r="R275" s="126" t="s">
        <v>3863</v>
      </c>
    </row>
    <row r="276" spans="11:18" ht="15" thickBot="1" x14ac:dyDescent="0.3">
      <c r="K276" s="127" t="s">
        <v>307</v>
      </c>
      <c r="L276" s="128" t="s">
        <v>308</v>
      </c>
      <c r="M276" s="128">
        <v>1224225</v>
      </c>
      <c r="N276" s="128">
        <v>1252149</v>
      </c>
      <c r="O276" s="128">
        <v>3</v>
      </c>
      <c r="P276" s="128">
        <v>179833</v>
      </c>
      <c r="Q276" s="128" t="s">
        <v>3891</v>
      </c>
      <c r="R276" s="206" t="s">
        <v>676</v>
      </c>
    </row>
    <row r="277" spans="11:18" ht="15" thickBot="1" x14ac:dyDescent="0.3">
      <c r="K277" s="127" t="s">
        <v>631</v>
      </c>
      <c r="L277" s="128" t="s">
        <v>645</v>
      </c>
      <c r="M277" s="128">
        <v>1262047</v>
      </c>
      <c r="N277" s="128">
        <v>1235768</v>
      </c>
      <c r="O277" s="128">
        <v>2</v>
      </c>
      <c r="P277" s="128" t="s">
        <v>103</v>
      </c>
      <c r="Q277" s="128" t="s">
        <v>103</v>
      </c>
      <c r="R277" s="206" t="s">
        <v>681</v>
      </c>
    </row>
    <row r="278" spans="11:18" ht="15" thickBot="1" x14ac:dyDescent="0.3">
      <c r="K278" s="127" t="s">
        <v>309</v>
      </c>
      <c r="L278" s="128" t="s">
        <v>311</v>
      </c>
      <c r="M278" s="128">
        <v>1145824</v>
      </c>
      <c r="N278" s="128">
        <v>1137349</v>
      </c>
      <c r="O278" s="128">
        <v>2</v>
      </c>
      <c r="P278" s="128">
        <v>179835</v>
      </c>
      <c r="Q278" s="128" t="s">
        <v>3908</v>
      </c>
      <c r="R278" s="206" t="s">
        <v>676</v>
      </c>
    </row>
    <row r="279" spans="11:18" ht="15" thickBot="1" x14ac:dyDescent="0.3">
      <c r="K279" s="127" t="s">
        <v>309</v>
      </c>
      <c r="L279" s="128" t="s">
        <v>256</v>
      </c>
      <c r="M279" s="128">
        <v>1198387</v>
      </c>
      <c r="N279" s="128">
        <v>1160951</v>
      </c>
      <c r="O279" s="128">
        <v>2</v>
      </c>
      <c r="P279" s="129" t="s">
        <v>103</v>
      </c>
      <c r="Q279" s="129" t="s">
        <v>103</v>
      </c>
      <c r="R279" s="128" t="s">
        <v>681</v>
      </c>
    </row>
    <row r="280" spans="11:18" ht="15" thickBot="1" x14ac:dyDescent="0.3">
      <c r="K280" s="127" t="s">
        <v>313</v>
      </c>
      <c r="L280" s="128" t="s">
        <v>647</v>
      </c>
      <c r="M280" s="128">
        <v>1245357</v>
      </c>
      <c r="N280" s="128" t="s">
        <v>716</v>
      </c>
      <c r="O280" s="128">
        <v>3</v>
      </c>
      <c r="P280" s="129">
        <v>179836</v>
      </c>
      <c r="Q280" s="129" t="s">
        <v>3894</v>
      </c>
      <c r="R280" s="129" t="s">
        <v>676</v>
      </c>
    </row>
    <row r="281" spans="11:18" ht="15" thickBot="1" x14ac:dyDescent="0.3">
      <c r="K281" s="127" t="s">
        <v>624</v>
      </c>
      <c r="L281" s="128" t="s">
        <v>282</v>
      </c>
      <c r="M281" s="128">
        <v>1145822</v>
      </c>
      <c r="N281" s="128">
        <v>1086630</v>
      </c>
      <c r="O281" s="128">
        <v>1</v>
      </c>
      <c r="P281" s="129">
        <v>179836</v>
      </c>
      <c r="Q281" s="129" t="s">
        <v>3894</v>
      </c>
      <c r="R281" s="129" t="s">
        <v>676</v>
      </c>
    </row>
    <row r="282" spans="11:18" ht="15" thickBot="1" x14ac:dyDescent="0.3">
      <c r="K282" s="127" t="s">
        <v>624</v>
      </c>
      <c r="L282" s="128" t="s">
        <v>663</v>
      </c>
      <c r="M282" s="128">
        <v>1269498</v>
      </c>
      <c r="N282" s="128">
        <v>1276939</v>
      </c>
      <c r="O282" s="128">
        <v>4</v>
      </c>
      <c r="P282" s="129" t="s">
        <v>103</v>
      </c>
      <c r="Q282" s="129" t="s">
        <v>103</v>
      </c>
      <c r="R282" s="128" t="s">
        <v>681</v>
      </c>
    </row>
    <row r="283" spans="11:18" ht="15" thickBot="1" x14ac:dyDescent="0.3">
      <c r="K283" s="130" t="s">
        <v>316</v>
      </c>
      <c r="L283" s="129" t="s">
        <v>320</v>
      </c>
      <c r="M283" s="129">
        <v>1221158</v>
      </c>
      <c r="N283" s="129">
        <v>1272498</v>
      </c>
      <c r="O283" s="129">
        <v>3</v>
      </c>
      <c r="P283" s="129">
        <v>179850</v>
      </c>
      <c r="Q283" s="129" t="s">
        <v>3866</v>
      </c>
      <c r="R283" s="129" t="s">
        <v>676</v>
      </c>
    </row>
    <row r="284" spans="11:18" ht="15" thickBot="1" x14ac:dyDescent="0.3">
      <c r="K284" s="127" t="s">
        <v>319</v>
      </c>
      <c r="L284" s="128" t="s">
        <v>689</v>
      </c>
      <c r="M284" s="128">
        <v>1248668</v>
      </c>
      <c r="N284" s="128" t="s">
        <v>688</v>
      </c>
      <c r="O284" s="128">
        <v>2</v>
      </c>
      <c r="P284" s="129">
        <v>179850</v>
      </c>
      <c r="Q284" s="129" t="s">
        <v>3866</v>
      </c>
      <c r="R284" s="129" t="s">
        <v>676</v>
      </c>
    </row>
    <row r="285" spans="11:18" ht="15" thickBot="1" x14ac:dyDescent="0.3">
      <c r="K285" s="127" t="s">
        <v>319</v>
      </c>
      <c r="L285" s="128" t="s">
        <v>665</v>
      </c>
      <c r="M285" s="128">
        <v>1231398</v>
      </c>
      <c r="N285" s="128">
        <v>1207425</v>
      </c>
      <c r="O285" s="128">
        <v>3</v>
      </c>
      <c r="P285" s="129">
        <v>179849</v>
      </c>
      <c r="Q285" s="129" t="s">
        <v>3832</v>
      </c>
      <c r="R285" s="129" t="s">
        <v>676</v>
      </c>
    </row>
    <row r="288" spans="11:18" x14ac:dyDescent="0.25">
      <c r="K288" s="247" t="s">
        <v>3930</v>
      </c>
    </row>
    <row r="289" spans="11:25" x14ac:dyDescent="0.25">
      <c r="K289" s="522" t="s">
        <v>338</v>
      </c>
      <c r="L289" s="523" t="s">
        <v>1040</v>
      </c>
      <c r="M289" s="522" t="s">
        <v>3931</v>
      </c>
      <c r="N289" s="524" t="s">
        <v>3879</v>
      </c>
      <c r="O289" s="525" t="s">
        <v>3932</v>
      </c>
      <c r="P289" s="524" t="s">
        <v>3933</v>
      </c>
      <c r="Q289" s="522" t="s">
        <v>331</v>
      </c>
      <c r="R289" s="522" t="s">
        <v>3934</v>
      </c>
      <c r="S289" s="526" t="s">
        <v>325</v>
      </c>
      <c r="T289" s="526" t="s">
        <v>3935</v>
      </c>
      <c r="U289" s="526" t="s">
        <v>326</v>
      </c>
      <c r="V289" s="522" t="s">
        <v>518</v>
      </c>
      <c r="W289" s="522" t="s">
        <v>3747</v>
      </c>
      <c r="X289" s="523" t="s">
        <v>3936</v>
      </c>
      <c r="Y289" s="527" t="s">
        <v>3937</v>
      </c>
    </row>
    <row r="290" spans="11:25" x14ac:dyDescent="0.25">
      <c r="K290" s="528">
        <v>20240222</v>
      </c>
      <c r="L290" s="529">
        <v>45522</v>
      </c>
      <c r="M290" s="528">
        <v>1</v>
      </c>
      <c r="N290" s="530">
        <v>1</v>
      </c>
      <c r="O290" s="531">
        <v>0</v>
      </c>
      <c r="P290" s="532">
        <v>1</v>
      </c>
      <c r="Q290" s="532" t="s">
        <v>3938</v>
      </c>
      <c r="R290" s="532" t="s">
        <v>3939</v>
      </c>
      <c r="S290" s="530">
        <v>16</v>
      </c>
      <c r="T290" s="530"/>
      <c r="U290" s="528" t="s">
        <v>642</v>
      </c>
      <c r="V290" s="528">
        <v>2000401</v>
      </c>
      <c r="W290" s="528" t="s">
        <v>813</v>
      </c>
      <c r="X290" s="533">
        <v>45582</v>
      </c>
      <c r="Y290" s="534">
        <v>909540555</v>
      </c>
    </row>
    <row r="293" spans="11:25" ht="16" thickBot="1" x14ac:dyDescent="0.3">
      <c r="K293" s="124" t="s">
        <v>3940</v>
      </c>
    </row>
    <row r="294" spans="11:25" ht="15" thickBot="1" x14ac:dyDescent="0.3">
      <c r="K294" s="125" t="s">
        <v>258</v>
      </c>
      <c r="L294" s="126" t="s">
        <v>4</v>
      </c>
      <c r="M294" s="126" t="s">
        <v>300</v>
      </c>
      <c r="N294" s="126" t="s">
        <v>301</v>
      </c>
      <c r="O294" s="126" t="s">
        <v>302</v>
      </c>
      <c r="P294" s="126" t="s">
        <v>3855</v>
      </c>
      <c r="Q294" s="126" t="s">
        <v>3911</v>
      </c>
      <c r="R294" s="126" t="s">
        <v>3863</v>
      </c>
    </row>
    <row r="295" spans="11:25" ht="15" thickBot="1" x14ac:dyDescent="0.3">
      <c r="K295" s="127" t="s">
        <v>631</v>
      </c>
      <c r="L295" s="128" t="s">
        <v>645</v>
      </c>
      <c r="M295" s="128">
        <v>1262047</v>
      </c>
      <c r="N295" s="128">
        <v>1235768</v>
      </c>
      <c r="O295" s="206">
        <v>2</v>
      </c>
      <c r="P295" s="206" t="s">
        <v>103</v>
      </c>
      <c r="Q295" s="206" t="s">
        <v>103</v>
      </c>
      <c r="R295" s="206" t="s">
        <v>681</v>
      </c>
    </row>
    <row r="296" spans="11:25" ht="15" thickBot="1" x14ac:dyDescent="0.3">
      <c r="K296" s="127" t="s">
        <v>309</v>
      </c>
      <c r="L296" s="128" t="s">
        <v>311</v>
      </c>
      <c r="M296" s="128">
        <v>1145824</v>
      </c>
      <c r="N296" s="128">
        <v>1137349</v>
      </c>
      <c r="O296" s="206">
        <v>4</v>
      </c>
      <c r="P296" s="206">
        <v>179835</v>
      </c>
      <c r="Q296" s="206" t="s">
        <v>3908</v>
      </c>
      <c r="R296" s="206" t="s">
        <v>676</v>
      </c>
    </row>
    <row r="297" spans="11:25" ht="15" thickBot="1" x14ac:dyDescent="0.3">
      <c r="K297" s="127" t="s">
        <v>313</v>
      </c>
      <c r="L297" s="128" t="s">
        <v>314</v>
      </c>
      <c r="M297" s="128">
        <v>1246680</v>
      </c>
      <c r="N297" s="128" t="s">
        <v>763</v>
      </c>
      <c r="O297" s="206">
        <v>2</v>
      </c>
      <c r="P297" s="425">
        <v>179836</v>
      </c>
      <c r="Q297" s="425" t="s">
        <v>3894</v>
      </c>
      <c r="R297" s="425" t="s">
        <v>676</v>
      </c>
    </row>
    <row r="298" spans="11:25" ht="15" thickBot="1" x14ac:dyDescent="0.3">
      <c r="K298" s="127" t="s">
        <v>624</v>
      </c>
      <c r="L298" s="128" t="s">
        <v>663</v>
      </c>
      <c r="M298" s="128">
        <v>1269498</v>
      </c>
      <c r="N298" s="128">
        <v>1276939</v>
      </c>
      <c r="O298" s="206">
        <v>6</v>
      </c>
      <c r="P298" s="206" t="s">
        <v>103</v>
      </c>
      <c r="Q298" s="206" t="s">
        <v>103</v>
      </c>
      <c r="R298" s="206" t="s">
        <v>681</v>
      </c>
    </row>
    <row r="299" spans="11:25" ht="15" thickBot="1" x14ac:dyDescent="0.3">
      <c r="K299" s="127" t="s">
        <v>315</v>
      </c>
      <c r="L299" s="128" t="s">
        <v>660</v>
      </c>
      <c r="M299" s="128">
        <v>1186940</v>
      </c>
      <c r="N299" s="128">
        <v>1176003</v>
      </c>
      <c r="O299" s="206">
        <v>1</v>
      </c>
      <c r="P299" s="206">
        <v>179838</v>
      </c>
      <c r="Q299" s="425" t="s">
        <v>678</v>
      </c>
      <c r="R299" s="206" t="s">
        <v>676</v>
      </c>
    </row>
    <row r="300" spans="11:25" ht="15" thickBot="1" x14ac:dyDescent="0.3">
      <c r="K300" s="127" t="s">
        <v>315</v>
      </c>
      <c r="L300" s="128" t="s">
        <v>284</v>
      </c>
      <c r="M300" s="128">
        <v>1234376</v>
      </c>
      <c r="N300" s="128">
        <v>1249569</v>
      </c>
      <c r="O300" s="206">
        <v>4</v>
      </c>
      <c r="P300" s="206">
        <v>179838</v>
      </c>
      <c r="Q300" s="425" t="s">
        <v>678</v>
      </c>
      <c r="R300" s="206" t="s">
        <v>676</v>
      </c>
    </row>
    <row r="305" spans="11:25" ht="16" thickBot="1" x14ac:dyDescent="0.3">
      <c r="K305" s="124" t="s">
        <v>299</v>
      </c>
      <c r="L305" t="s">
        <v>3941</v>
      </c>
    </row>
    <row r="306" spans="11:25" ht="15" thickBot="1" x14ac:dyDescent="0.3">
      <c r="K306" s="125" t="s">
        <v>258</v>
      </c>
      <c r="L306" s="126" t="s">
        <v>4</v>
      </c>
      <c r="M306" s="126" t="s">
        <v>300</v>
      </c>
      <c r="N306" s="126" t="s">
        <v>301</v>
      </c>
      <c r="O306" s="126" t="s">
        <v>302</v>
      </c>
      <c r="P306" s="126" t="s">
        <v>3942</v>
      </c>
      <c r="Q306" s="126" t="s">
        <v>3855</v>
      </c>
      <c r="R306" s="126"/>
    </row>
    <row r="307" spans="11:25" ht="15" thickBot="1" x14ac:dyDescent="0.3">
      <c r="K307" s="127" t="s">
        <v>304</v>
      </c>
      <c r="L307" s="128" t="s">
        <v>630</v>
      </c>
      <c r="M307" s="128">
        <v>1228690</v>
      </c>
      <c r="N307" s="128">
        <v>960723</v>
      </c>
      <c r="O307" s="128">
        <v>3</v>
      </c>
      <c r="P307" s="128">
        <v>3</v>
      </c>
      <c r="Q307" s="206">
        <v>330432</v>
      </c>
      <c r="R307" s="206" t="s">
        <v>3943</v>
      </c>
    </row>
    <row r="308" spans="11:25" ht="15" thickBot="1" x14ac:dyDescent="0.3">
      <c r="K308" s="127" t="s">
        <v>307</v>
      </c>
      <c r="L308" s="128" t="s">
        <v>308</v>
      </c>
      <c r="M308" s="128">
        <v>1224225</v>
      </c>
      <c r="N308" s="128">
        <v>1252149</v>
      </c>
      <c r="O308" s="128">
        <v>2</v>
      </c>
      <c r="P308" s="128">
        <v>3</v>
      </c>
      <c r="Q308" s="206">
        <v>179833</v>
      </c>
      <c r="R308" s="206" t="s">
        <v>3944</v>
      </c>
    </row>
    <row r="309" spans="11:25" ht="15" thickBot="1" x14ac:dyDescent="0.3">
      <c r="K309" s="127" t="s">
        <v>309</v>
      </c>
      <c r="L309" s="128" t="s">
        <v>256</v>
      </c>
      <c r="M309" s="128">
        <v>1198387</v>
      </c>
      <c r="N309" s="128" t="s">
        <v>257</v>
      </c>
      <c r="O309" s="128">
        <v>2</v>
      </c>
      <c r="P309" s="128">
        <v>4</v>
      </c>
      <c r="Q309" s="206" t="s">
        <v>103</v>
      </c>
      <c r="R309" s="206"/>
    </row>
    <row r="310" spans="11:25" ht="15" thickBot="1" x14ac:dyDescent="0.3">
      <c r="K310" s="127" t="s">
        <v>313</v>
      </c>
      <c r="L310" s="128" t="s">
        <v>314</v>
      </c>
      <c r="M310" s="128">
        <v>1246680</v>
      </c>
      <c r="N310" s="128" t="s">
        <v>763</v>
      </c>
      <c r="O310" s="128">
        <v>3</v>
      </c>
      <c r="P310" s="128">
        <v>3</v>
      </c>
      <c r="Q310" s="206">
        <v>179836</v>
      </c>
      <c r="R310" s="206" t="s">
        <v>3945</v>
      </c>
    </row>
    <row r="311" spans="11:25" ht="15" thickBot="1" x14ac:dyDescent="0.3">
      <c r="K311" s="127" t="s">
        <v>313</v>
      </c>
      <c r="L311" s="128" t="s">
        <v>645</v>
      </c>
      <c r="M311" s="128">
        <v>1267027</v>
      </c>
      <c r="N311" s="128">
        <v>1283630</v>
      </c>
      <c r="O311" s="128">
        <v>5</v>
      </c>
      <c r="P311" s="128">
        <v>4</v>
      </c>
      <c r="Q311" s="206" t="s">
        <v>103</v>
      </c>
      <c r="R311" s="206"/>
    </row>
    <row r="312" spans="11:25" ht="15" thickBot="1" x14ac:dyDescent="0.3">
      <c r="K312" s="127" t="s">
        <v>624</v>
      </c>
      <c r="L312" s="128" t="s">
        <v>687</v>
      </c>
      <c r="M312" s="128">
        <v>2001502</v>
      </c>
      <c r="N312" s="128">
        <v>1254762</v>
      </c>
      <c r="O312" s="128">
        <v>2</v>
      </c>
      <c r="P312" s="128">
        <v>4</v>
      </c>
      <c r="Q312" s="206" t="s">
        <v>103</v>
      </c>
      <c r="R312" s="206"/>
    </row>
    <row r="313" spans="11:25" ht="15" thickBot="1" x14ac:dyDescent="0.3">
      <c r="K313" s="536" t="s">
        <v>637</v>
      </c>
      <c r="L313" s="537" t="s">
        <v>272</v>
      </c>
      <c r="M313" s="537"/>
      <c r="N313" s="537">
        <v>1145353</v>
      </c>
      <c r="O313" s="537">
        <v>1</v>
      </c>
      <c r="P313" s="537" t="s">
        <v>3946</v>
      </c>
      <c r="Q313" s="538" t="s">
        <v>103</v>
      </c>
      <c r="R313" s="538"/>
    </row>
    <row r="316" spans="11:25" x14ac:dyDescent="0.25">
      <c r="K316" s="247" t="s">
        <v>3930</v>
      </c>
    </row>
    <row r="317" spans="11:25" x14ac:dyDescent="0.25">
      <c r="K317" s="522" t="s">
        <v>338</v>
      </c>
      <c r="L317" s="523" t="s">
        <v>1040</v>
      </c>
      <c r="M317" s="522" t="s">
        <v>3931</v>
      </c>
      <c r="N317" s="524" t="s">
        <v>3879</v>
      </c>
      <c r="O317" s="525" t="s">
        <v>3932</v>
      </c>
      <c r="P317" s="524" t="s">
        <v>3933</v>
      </c>
      <c r="Q317" s="522" t="s">
        <v>331</v>
      </c>
      <c r="R317" s="522" t="s">
        <v>3934</v>
      </c>
      <c r="S317" s="526" t="s">
        <v>325</v>
      </c>
      <c r="T317" s="526" t="s">
        <v>3935</v>
      </c>
      <c r="U317" s="526" t="s">
        <v>326</v>
      </c>
      <c r="V317" s="522" t="s">
        <v>518</v>
      </c>
      <c r="W317" s="522" t="s">
        <v>3747</v>
      </c>
      <c r="X317" s="523" t="s">
        <v>3936</v>
      </c>
      <c r="Y317" s="527" t="s">
        <v>3937</v>
      </c>
    </row>
    <row r="318" spans="11:25" x14ac:dyDescent="0.25">
      <c r="K318" s="248">
        <v>20240285</v>
      </c>
      <c r="L318" s="248">
        <v>45575</v>
      </c>
      <c r="M318" s="248">
        <v>1</v>
      </c>
      <c r="N318" s="248">
        <v>3</v>
      </c>
      <c r="O318" s="248">
        <v>0</v>
      </c>
      <c r="P318" s="248">
        <v>3</v>
      </c>
      <c r="Q318" s="248" t="s">
        <v>3938</v>
      </c>
      <c r="R318" s="248" t="s">
        <v>3939</v>
      </c>
      <c r="S318" s="248">
        <v>3.625</v>
      </c>
      <c r="T318" s="248" t="s">
        <v>3947</v>
      </c>
      <c r="U318" s="248" t="s">
        <v>636</v>
      </c>
      <c r="V318" s="248">
        <v>1228690</v>
      </c>
      <c r="W318" s="248" t="s">
        <v>814</v>
      </c>
      <c r="X318" s="248">
        <v>45605</v>
      </c>
      <c r="Y318" s="248">
        <v>909634550</v>
      </c>
    </row>
    <row r="319" spans="11:25" x14ac:dyDescent="0.25">
      <c r="K319" s="248">
        <v>20240285</v>
      </c>
      <c r="L319" s="248">
        <v>45575</v>
      </c>
      <c r="M319" s="248">
        <v>2</v>
      </c>
      <c r="N319" s="248">
        <v>2</v>
      </c>
      <c r="O319" s="248">
        <v>0</v>
      </c>
      <c r="P319" s="248">
        <v>2</v>
      </c>
      <c r="Q319" s="248" t="s">
        <v>3938</v>
      </c>
      <c r="R319" s="248" t="s">
        <v>3939</v>
      </c>
      <c r="S319" s="248">
        <v>6.125</v>
      </c>
      <c r="T319" s="248" t="s">
        <v>3948</v>
      </c>
      <c r="U319" s="248" t="s">
        <v>256</v>
      </c>
      <c r="V319" s="248">
        <v>1198387</v>
      </c>
      <c r="W319" s="248" t="s">
        <v>813</v>
      </c>
      <c r="X319" s="248">
        <v>45605</v>
      </c>
      <c r="Y319" s="248">
        <v>909634550</v>
      </c>
    </row>
    <row r="323" spans="11:18" ht="16" thickBot="1" x14ac:dyDescent="0.3">
      <c r="K323" s="124" t="s">
        <v>299</v>
      </c>
      <c r="L323" t="s">
        <v>3949</v>
      </c>
    </row>
    <row r="324" spans="11:18" ht="15" thickBot="1" x14ac:dyDescent="0.3">
      <c r="K324" s="125" t="s">
        <v>258</v>
      </c>
      <c r="L324" s="126" t="s">
        <v>4</v>
      </c>
      <c r="M324" s="126" t="s">
        <v>300</v>
      </c>
      <c r="N324" s="126" t="s">
        <v>301</v>
      </c>
      <c r="O324" s="126" t="s">
        <v>302</v>
      </c>
      <c r="P324" s="126" t="s">
        <v>3826</v>
      </c>
      <c r="Q324" s="126" t="s">
        <v>3827</v>
      </c>
      <c r="R324" s="126" t="s">
        <v>3863</v>
      </c>
    </row>
    <row r="325" spans="11:18" ht="15" thickBot="1" x14ac:dyDescent="0.3">
      <c r="K325" s="127" t="s">
        <v>304</v>
      </c>
      <c r="L325" s="128" t="s">
        <v>636</v>
      </c>
      <c r="M325" s="128">
        <v>1228848</v>
      </c>
      <c r="N325" s="128">
        <v>1016454</v>
      </c>
      <c r="O325" s="128">
        <v>3</v>
      </c>
      <c r="P325" s="128">
        <v>179833</v>
      </c>
      <c r="Q325" s="128" t="s">
        <v>3944</v>
      </c>
      <c r="R325" s="128" t="s">
        <v>676</v>
      </c>
    </row>
    <row r="326" spans="11:18" ht="15" thickBot="1" x14ac:dyDescent="0.3">
      <c r="K326" s="127" t="s">
        <v>307</v>
      </c>
      <c r="L326" s="128" t="s">
        <v>308</v>
      </c>
      <c r="M326" s="128">
        <v>1224225</v>
      </c>
      <c r="N326" s="128">
        <v>1252149</v>
      </c>
      <c r="O326" s="128">
        <v>2</v>
      </c>
      <c r="P326" s="128" t="s">
        <v>103</v>
      </c>
      <c r="Q326" s="128" t="s">
        <v>103</v>
      </c>
      <c r="R326" s="206" t="s">
        <v>681</v>
      </c>
    </row>
    <row r="327" spans="11:18" ht="15" thickBot="1" x14ac:dyDescent="0.3">
      <c r="K327" s="127" t="s">
        <v>631</v>
      </c>
      <c r="L327" s="128" t="s">
        <v>645</v>
      </c>
      <c r="M327" s="128">
        <v>1262047</v>
      </c>
      <c r="N327" s="128">
        <v>1235768</v>
      </c>
      <c r="O327" s="128">
        <v>5</v>
      </c>
      <c r="P327" s="128" t="s">
        <v>103</v>
      </c>
      <c r="Q327" s="128" t="s">
        <v>3950</v>
      </c>
      <c r="R327" s="206" t="s">
        <v>681</v>
      </c>
    </row>
    <row r="328" spans="11:18" ht="15" thickBot="1" x14ac:dyDescent="0.3">
      <c r="K328" s="127" t="s">
        <v>624</v>
      </c>
      <c r="L328" s="128" t="s">
        <v>640</v>
      </c>
      <c r="M328" s="128">
        <v>1255267</v>
      </c>
      <c r="N328" s="128" t="s">
        <v>641</v>
      </c>
      <c r="O328" s="128">
        <v>1</v>
      </c>
      <c r="P328" s="128" t="s">
        <v>103</v>
      </c>
      <c r="Q328" s="128" t="s">
        <v>103</v>
      </c>
      <c r="R328" s="206" t="s">
        <v>681</v>
      </c>
    </row>
    <row r="329" spans="11:18" ht="15" thickBot="1" x14ac:dyDescent="0.3">
      <c r="K329" s="127" t="s">
        <v>316</v>
      </c>
      <c r="L329" s="128" t="s">
        <v>292</v>
      </c>
      <c r="M329" s="128">
        <v>1258119</v>
      </c>
      <c r="N329" s="128">
        <v>1254482</v>
      </c>
      <c r="O329" s="128">
        <v>2</v>
      </c>
      <c r="P329" s="128" t="s">
        <v>103</v>
      </c>
      <c r="Q329" s="128" t="s">
        <v>3951</v>
      </c>
      <c r="R329" s="128" t="s">
        <v>681</v>
      </c>
    </row>
    <row r="330" spans="11:18" ht="15" thickBot="1" x14ac:dyDescent="0.3">
      <c r="K330" s="127" t="s">
        <v>319</v>
      </c>
      <c r="L330" s="128" t="s">
        <v>320</v>
      </c>
      <c r="M330" s="128">
        <v>1153090</v>
      </c>
      <c r="N330" s="128">
        <v>1283277</v>
      </c>
      <c r="O330" s="128">
        <v>1</v>
      </c>
      <c r="P330" s="129">
        <v>179850</v>
      </c>
      <c r="Q330" s="129" t="s">
        <v>3952</v>
      </c>
      <c r="R330" s="129" t="s">
        <v>676</v>
      </c>
    </row>
    <row r="331" spans="11:18" ht="15.5" x14ac:dyDescent="0.25">
      <c r="K331" s="548"/>
    </row>
    <row r="335" spans="11:18" ht="16" thickBot="1" x14ac:dyDescent="0.3">
      <c r="K335" s="147" t="s">
        <v>3897</v>
      </c>
      <c r="L335" t="s">
        <v>3953</v>
      </c>
    </row>
    <row r="336" spans="11:18" ht="15" thickBot="1" x14ac:dyDescent="0.3">
      <c r="K336" s="125" t="s">
        <v>258</v>
      </c>
      <c r="L336" s="126" t="s">
        <v>4</v>
      </c>
      <c r="M336" s="126" t="s">
        <v>300</v>
      </c>
      <c r="N336" s="126" t="s">
        <v>301</v>
      </c>
      <c r="O336" s="126" t="s">
        <v>302</v>
      </c>
      <c r="P336" s="126" t="s">
        <v>3855</v>
      </c>
      <c r="Q336" s="126" t="s">
        <v>3911</v>
      </c>
      <c r="R336" s="126" t="s">
        <v>3954</v>
      </c>
    </row>
    <row r="337" spans="11:18" ht="15" thickBot="1" x14ac:dyDescent="0.3">
      <c r="K337" s="127" t="s">
        <v>307</v>
      </c>
      <c r="L337" s="128" t="s">
        <v>308</v>
      </c>
      <c r="M337" s="128">
        <v>1224225</v>
      </c>
      <c r="N337" s="128">
        <v>1252149</v>
      </c>
      <c r="O337" s="206">
        <v>2</v>
      </c>
      <c r="P337" s="206" t="s">
        <v>103</v>
      </c>
      <c r="Q337" s="206" t="s">
        <v>103</v>
      </c>
      <c r="R337" s="206" t="s">
        <v>681</v>
      </c>
    </row>
    <row r="338" spans="11:18" ht="15" thickBot="1" x14ac:dyDescent="0.3">
      <c r="K338" s="127" t="s">
        <v>309</v>
      </c>
      <c r="L338" s="128" t="s">
        <v>311</v>
      </c>
      <c r="M338" s="128">
        <v>1145824</v>
      </c>
      <c r="N338" s="128">
        <v>1137349</v>
      </c>
      <c r="O338" s="206">
        <v>3</v>
      </c>
      <c r="P338" s="206">
        <v>179835</v>
      </c>
      <c r="Q338" s="206" t="s">
        <v>3955</v>
      </c>
      <c r="R338" s="206" t="s">
        <v>676</v>
      </c>
    </row>
    <row r="339" spans="11:18" ht="15" thickBot="1" x14ac:dyDescent="0.3">
      <c r="K339" s="127" t="s">
        <v>309</v>
      </c>
      <c r="L339" s="128" t="s">
        <v>256</v>
      </c>
      <c r="M339" s="128">
        <v>1198387</v>
      </c>
      <c r="N339" s="128" t="s">
        <v>257</v>
      </c>
      <c r="O339" s="206">
        <v>2</v>
      </c>
      <c r="P339" s="206" t="s">
        <v>103</v>
      </c>
      <c r="Q339" s="206" t="s">
        <v>103</v>
      </c>
      <c r="R339" s="206" t="s">
        <v>681</v>
      </c>
    </row>
    <row r="340" spans="11:18" ht="15" thickBot="1" x14ac:dyDescent="0.3">
      <c r="K340" s="127" t="s">
        <v>313</v>
      </c>
      <c r="L340" s="128" t="s">
        <v>273</v>
      </c>
      <c r="M340" s="128">
        <v>1246020</v>
      </c>
      <c r="N340" s="128" t="s">
        <v>737</v>
      </c>
      <c r="O340" s="206">
        <v>3</v>
      </c>
      <c r="P340" s="206" t="s">
        <v>103</v>
      </c>
      <c r="Q340" s="206" t="s">
        <v>103</v>
      </c>
      <c r="R340" s="206" t="s">
        <v>681</v>
      </c>
    </row>
    <row r="341" spans="11:18" ht="15" thickBot="1" x14ac:dyDescent="0.3">
      <c r="K341" s="127" t="s">
        <v>313</v>
      </c>
      <c r="L341" s="128" t="s">
        <v>314</v>
      </c>
      <c r="M341" s="128">
        <v>1246680</v>
      </c>
      <c r="N341" s="128" t="s">
        <v>763</v>
      </c>
      <c r="O341" s="206">
        <v>2</v>
      </c>
      <c r="P341" s="206">
        <v>179836</v>
      </c>
      <c r="Q341" s="206" t="s">
        <v>3894</v>
      </c>
      <c r="R341" s="206" t="s">
        <v>676</v>
      </c>
    </row>
    <row r="342" spans="11:18" ht="15" thickBot="1" x14ac:dyDescent="0.3">
      <c r="K342" s="594" t="s">
        <v>624</v>
      </c>
      <c r="L342" s="595" t="s">
        <v>797</v>
      </c>
      <c r="M342" s="595">
        <v>2001502</v>
      </c>
      <c r="N342" s="595" t="s">
        <v>3956</v>
      </c>
      <c r="O342" s="596">
        <v>1</v>
      </c>
      <c r="P342" s="596" t="s">
        <v>103</v>
      </c>
      <c r="Q342" s="596" t="s">
        <v>103</v>
      </c>
      <c r="R342" s="596" t="s">
        <v>681</v>
      </c>
    </row>
    <row r="343" spans="11:18" ht="15" thickBot="1" x14ac:dyDescent="0.3">
      <c r="K343" s="127" t="s">
        <v>315</v>
      </c>
      <c r="L343" s="128" t="s">
        <v>284</v>
      </c>
      <c r="M343" s="128">
        <v>1234376</v>
      </c>
      <c r="N343" s="128">
        <v>1249569</v>
      </c>
      <c r="O343" s="206">
        <v>1</v>
      </c>
      <c r="P343" s="206">
        <v>179838</v>
      </c>
      <c r="Q343" s="206" t="s">
        <v>3957</v>
      </c>
      <c r="R343" s="206" t="s">
        <v>676</v>
      </c>
    </row>
    <row r="344" spans="11:18" ht="15" thickBot="1" x14ac:dyDescent="0.3">
      <c r="K344" s="127" t="s">
        <v>315</v>
      </c>
      <c r="L344" s="128" t="s">
        <v>684</v>
      </c>
      <c r="M344" s="128">
        <v>1245431</v>
      </c>
      <c r="N344" s="128">
        <v>1251098</v>
      </c>
      <c r="O344" s="206">
        <v>2</v>
      </c>
      <c r="P344" s="206">
        <v>179838</v>
      </c>
      <c r="Q344" s="206" t="s">
        <v>3957</v>
      </c>
      <c r="R344" s="206" t="s">
        <v>676</v>
      </c>
    </row>
    <row r="345" spans="11:18" ht="15" thickBot="1" x14ac:dyDescent="0.3">
      <c r="K345" s="127" t="s">
        <v>637</v>
      </c>
      <c r="L345" s="128" t="s">
        <v>673</v>
      </c>
      <c r="M345" s="128">
        <v>1270865</v>
      </c>
      <c r="N345" s="128" t="s">
        <v>674</v>
      </c>
      <c r="O345" s="206">
        <v>2</v>
      </c>
      <c r="P345" s="206" t="s">
        <v>103</v>
      </c>
      <c r="Q345" s="206" t="s">
        <v>103</v>
      </c>
      <c r="R345" s="206" t="s">
        <v>681</v>
      </c>
    </row>
    <row r="346" spans="11:18" ht="15" thickBot="1" x14ac:dyDescent="0.3">
      <c r="K346" s="130" t="s">
        <v>637</v>
      </c>
      <c r="L346" s="129" t="s">
        <v>287</v>
      </c>
      <c r="M346" s="129">
        <v>1267122</v>
      </c>
      <c r="N346" s="129">
        <v>1257458</v>
      </c>
      <c r="O346" s="425">
        <v>3</v>
      </c>
      <c r="P346" s="206" t="s">
        <v>103</v>
      </c>
      <c r="Q346" s="206" t="s">
        <v>103</v>
      </c>
      <c r="R346" s="206" t="s">
        <v>681</v>
      </c>
    </row>
    <row r="347" spans="11:18" ht="15" thickBot="1" x14ac:dyDescent="0.3">
      <c r="K347" s="127" t="s">
        <v>316</v>
      </c>
      <c r="L347" s="128" t="s">
        <v>291</v>
      </c>
      <c r="M347" s="128">
        <v>1228782</v>
      </c>
      <c r="N347" s="128">
        <v>1058252</v>
      </c>
      <c r="O347" s="206">
        <v>3</v>
      </c>
      <c r="P347" s="206">
        <v>179849</v>
      </c>
      <c r="Q347" s="206" t="s">
        <v>3958</v>
      </c>
      <c r="R347" s="206" t="s">
        <v>676</v>
      </c>
    </row>
    <row r="352" spans="11:18" x14ac:dyDescent="0.25">
      <c r="K352" s="247" t="s">
        <v>3930</v>
      </c>
    </row>
    <row r="353" spans="11:35" x14ac:dyDescent="0.25">
      <c r="K353" s="522" t="s">
        <v>338</v>
      </c>
      <c r="L353" s="523" t="s">
        <v>1040</v>
      </c>
      <c r="M353" s="522" t="s">
        <v>3931</v>
      </c>
      <c r="N353" s="524" t="s">
        <v>3879</v>
      </c>
      <c r="O353" s="525" t="s">
        <v>3932</v>
      </c>
      <c r="P353" s="524" t="s">
        <v>3933</v>
      </c>
      <c r="Q353" s="522" t="s">
        <v>331</v>
      </c>
      <c r="R353" s="522" t="s">
        <v>3934</v>
      </c>
      <c r="S353" s="526" t="s">
        <v>325</v>
      </c>
      <c r="T353" s="526" t="s">
        <v>3935</v>
      </c>
      <c r="U353" s="526" t="s">
        <v>326</v>
      </c>
      <c r="V353" s="522" t="s">
        <v>518</v>
      </c>
      <c r="W353" s="522" t="s">
        <v>3747</v>
      </c>
      <c r="X353" s="523" t="s">
        <v>3936</v>
      </c>
      <c r="Y353" s="527" t="s">
        <v>3937</v>
      </c>
      <c r="Z353" s="527" t="s">
        <v>3959</v>
      </c>
      <c r="AA353" s="549" t="s">
        <v>3960</v>
      </c>
      <c r="AB353" s="549" t="s">
        <v>3961</v>
      </c>
      <c r="AC353" s="549" t="s">
        <v>3962</v>
      </c>
      <c r="AD353" s="550" t="s">
        <v>3963</v>
      </c>
      <c r="AE353" s="551" t="s">
        <v>3964</v>
      </c>
      <c r="AF353" s="550" t="s">
        <v>3965</v>
      </c>
      <c r="AG353" s="551" t="s">
        <v>3966</v>
      </c>
      <c r="AH353" s="552" t="s">
        <v>3967</v>
      </c>
      <c r="AI353" s="553" t="s">
        <v>3746</v>
      </c>
    </row>
    <row r="354" spans="11:35" x14ac:dyDescent="0.25">
      <c r="K354" s="528">
        <v>20240298</v>
      </c>
      <c r="L354" s="529">
        <v>45592</v>
      </c>
      <c r="M354" s="528">
        <v>1</v>
      </c>
      <c r="N354" s="530">
        <v>4</v>
      </c>
      <c r="O354" s="531">
        <v>1</v>
      </c>
      <c r="P354" s="532">
        <v>0</v>
      </c>
      <c r="Q354" s="532" t="s">
        <v>3938</v>
      </c>
      <c r="R354" s="532" t="s">
        <v>3939</v>
      </c>
      <c r="S354" s="530">
        <v>8.5</v>
      </c>
      <c r="T354" s="530" t="s">
        <v>3948</v>
      </c>
      <c r="U354" s="528" t="s">
        <v>687</v>
      </c>
      <c r="V354" s="604">
        <v>2001502</v>
      </c>
      <c r="W354" s="528" t="s">
        <v>813</v>
      </c>
      <c r="X354" s="533">
        <v>45622</v>
      </c>
      <c r="Y354" s="534">
        <v>909668858</v>
      </c>
      <c r="Z354" s="534"/>
      <c r="AA354" s="554">
        <v>1</v>
      </c>
      <c r="AB354" s="554"/>
      <c r="AC354" s="555"/>
      <c r="AD354" s="556" t="s">
        <v>3968</v>
      </c>
      <c r="AE354" s="557">
        <v>45602</v>
      </c>
      <c r="AF354" s="557">
        <v>45621</v>
      </c>
      <c r="AG354" s="557">
        <v>45626</v>
      </c>
      <c r="AH354" s="557">
        <v>45623</v>
      </c>
      <c r="AI354" s="558">
        <v>14288930</v>
      </c>
    </row>
    <row r="355" spans="11:35" x14ac:dyDescent="0.25">
      <c r="K355" s="528">
        <v>20240298</v>
      </c>
      <c r="L355" s="529">
        <v>45592</v>
      </c>
      <c r="M355" s="528">
        <v>1</v>
      </c>
      <c r="N355" s="530"/>
      <c r="O355" s="531" t="s">
        <v>29</v>
      </c>
      <c r="P355" s="532" t="s">
        <v>29</v>
      </c>
      <c r="Q355" s="532" t="s">
        <v>3938</v>
      </c>
      <c r="R355" s="532" t="s">
        <v>3939</v>
      </c>
      <c r="S355" s="530">
        <v>8.5</v>
      </c>
      <c r="T355" s="530" t="s">
        <v>3948</v>
      </c>
      <c r="U355" s="528" t="s">
        <v>687</v>
      </c>
      <c r="V355" s="604">
        <v>2001502</v>
      </c>
      <c r="W355" s="528" t="s">
        <v>813</v>
      </c>
      <c r="X355" s="533">
        <v>45622</v>
      </c>
      <c r="Y355" s="534">
        <v>909668858</v>
      </c>
      <c r="Z355" s="534"/>
      <c r="AA355" s="534"/>
      <c r="AB355" s="534">
        <v>1</v>
      </c>
      <c r="AC355" s="559"/>
      <c r="AD355" s="528" t="s">
        <v>3969</v>
      </c>
      <c r="AE355" s="533">
        <v>45615</v>
      </c>
      <c r="AF355" s="533"/>
      <c r="AG355" s="533"/>
      <c r="AH355" s="533"/>
      <c r="AI355" s="560">
        <v>14288928</v>
      </c>
    </row>
    <row r="356" spans="11:35" x14ac:dyDescent="0.25">
      <c r="K356" s="528">
        <v>20240298</v>
      </c>
      <c r="L356" s="529">
        <v>45592</v>
      </c>
      <c r="M356" s="528">
        <v>1</v>
      </c>
      <c r="N356" s="530"/>
      <c r="O356" s="531"/>
      <c r="P356" s="532"/>
      <c r="Q356" s="532" t="s">
        <v>3938</v>
      </c>
      <c r="R356" s="532" t="s">
        <v>3939</v>
      </c>
      <c r="S356" s="530">
        <v>8.5</v>
      </c>
      <c r="T356" s="530" t="s">
        <v>3948</v>
      </c>
      <c r="U356" s="528" t="s">
        <v>687</v>
      </c>
      <c r="V356" s="604">
        <v>2001502</v>
      </c>
      <c r="W356" s="528" t="s">
        <v>813</v>
      </c>
      <c r="X356" s="533">
        <v>45622</v>
      </c>
      <c r="Y356" s="534">
        <v>909668858</v>
      </c>
      <c r="Z356" s="534"/>
      <c r="AA356" s="534"/>
      <c r="AB356" s="534">
        <v>2</v>
      </c>
      <c r="AC356" s="559"/>
      <c r="AD356" s="528" t="s">
        <v>3969</v>
      </c>
      <c r="AE356" s="533">
        <v>45615</v>
      </c>
      <c r="AF356" s="533"/>
      <c r="AG356" s="533"/>
      <c r="AH356" s="533"/>
      <c r="AI356" s="560">
        <v>14288929</v>
      </c>
    </row>
    <row r="357" spans="11:35" x14ac:dyDescent="0.25">
      <c r="K357" s="528">
        <v>20240298</v>
      </c>
      <c r="L357" s="529">
        <v>45592</v>
      </c>
      <c r="M357" s="528">
        <v>1</v>
      </c>
      <c r="N357" s="530"/>
      <c r="O357" s="531"/>
      <c r="P357" s="532"/>
      <c r="Q357" s="532" t="s">
        <v>3938</v>
      </c>
      <c r="R357" s="532" t="s">
        <v>3939</v>
      </c>
      <c r="S357" s="530">
        <v>8.5</v>
      </c>
      <c r="T357" s="530" t="s">
        <v>3948</v>
      </c>
      <c r="U357" s="528" t="s">
        <v>687</v>
      </c>
      <c r="V357" s="604">
        <v>2001502</v>
      </c>
      <c r="W357" s="528" t="s">
        <v>813</v>
      </c>
      <c r="X357" s="533">
        <v>45622</v>
      </c>
      <c r="Y357" s="534">
        <v>909668858</v>
      </c>
      <c r="Z357" s="534"/>
      <c r="AA357" s="534"/>
      <c r="AB357" s="534"/>
      <c r="AC357" s="559"/>
      <c r="AD357" s="528" t="s">
        <v>3969</v>
      </c>
      <c r="AE357" s="533">
        <v>45615</v>
      </c>
      <c r="AF357" s="533"/>
      <c r="AG357" s="533"/>
      <c r="AH357" s="533"/>
      <c r="AI357" s="560">
        <v>14288931</v>
      </c>
    </row>
    <row r="358" spans="11:35" x14ac:dyDescent="0.25">
      <c r="K358" s="528">
        <v>20240329</v>
      </c>
      <c r="L358" s="529">
        <v>45624</v>
      </c>
      <c r="M358" s="528">
        <v>1</v>
      </c>
      <c r="N358" s="530">
        <v>1</v>
      </c>
      <c r="O358" s="531">
        <v>0</v>
      </c>
      <c r="P358" s="532">
        <v>1</v>
      </c>
      <c r="Q358" s="532" t="s">
        <v>3938</v>
      </c>
      <c r="R358" s="532" t="s">
        <v>3939</v>
      </c>
      <c r="S358" s="530">
        <v>8.5</v>
      </c>
      <c r="T358" s="530"/>
      <c r="U358" s="528" t="s">
        <v>687</v>
      </c>
      <c r="V358" s="528">
        <v>2001931</v>
      </c>
      <c r="W358" s="528" t="s">
        <v>813</v>
      </c>
      <c r="X358" s="533">
        <v>45654</v>
      </c>
      <c r="Y358" s="534"/>
      <c r="Z358" s="534"/>
      <c r="AA358" s="534"/>
      <c r="AB358" s="534"/>
      <c r="AC358" s="559">
        <v>1</v>
      </c>
      <c r="AD358" s="528"/>
      <c r="AE358" s="533"/>
      <c r="AF358" s="533"/>
      <c r="AG358" s="533"/>
      <c r="AH358" s="533"/>
      <c r="AI358" s="560"/>
    </row>
    <row r="359" spans="11:35" x14ac:dyDescent="0.25">
      <c r="K359" s="528">
        <v>20240329</v>
      </c>
      <c r="L359" s="529">
        <v>45624</v>
      </c>
      <c r="M359" s="528">
        <v>2</v>
      </c>
      <c r="N359" s="530">
        <v>2</v>
      </c>
      <c r="O359" s="531"/>
      <c r="P359" s="532"/>
      <c r="Q359" s="532" t="s">
        <v>3938</v>
      </c>
      <c r="R359" s="532" t="s">
        <v>3939</v>
      </c>
      <c r="S359" s="530">
        <v>12.25</v>
      </c>
      <c r="T359" s="530" t="s">
        <v>243</v>
      </c>
      <c r="U359" s="528" t="s">
        <v>673</v>
      </c>
      <c r="V359" s="528">
        <v>1270865</v>
      </c>
      <c r="W359" s="528" t="s">
        <v>813</v>
      </c>
      <c r="X359" s="533">
        <f t="shared" ref="X359" si="0">L359+30</f>
        <v>45654</v>
      </c>
      <c r="Y359" s="534">
        <v>909742303</v>
      </c>
      <c r="Z359" s="534"/>
      <c r="AA359" s="534"/>
      <c r="AB359" s="534"/>
      <c r="AC359" s="559">
        <v>2</v>
      </c>
      <c r="AD359" s="528"/>
      <c r="AE359" s="533"/>
      <c r="AF359" s="533"/>
      <c r="AG359" s="533"/>
      <c r="AH359" s="533"/>
      <c r="AI359" s="560"/>
    </row>
    <row r="360" spans="11:35" ht="16" x14ac:dyDescent="0.35">
      <c r="Q360" s="283"/>
    </row>
    <row r="361" spans="11:35" ht="16" x14ac:dyDescent="0.35">
      <c r="Q361" s="283"/>
    </row>
    <row r="362" spans="11:35" ht="16" x14ac:dyDescent="0.35">
      <c r="Q362" s="283"/>
    </row>
    <row r="363" spans="11:35" ht="16" x14ac:dyDescent="0.35">
      <c r="Q363" s="283"/>
    </row>
    <row r="364" spans="11:35" ht="16" thickBot="1" x14ac:dyDescent="0.3">
      <c r="K364" s="147" t="s">
        <v>3897</v>
      </c>
      <c r="L364" t="s">
        <v>3970</v>
      </c>
    </row>
    <row r="365" spans="11:35" ht="29.5" thickBot="1" x14ac:dyDescent="0.3">
      <c r="K365" s="125" t="s">
        <v>258</v>
      </c>
      <c r="L365" s="126" t="s">
        <v>4</v>
      </c>
      <c r="M365" s="126" t="s">
        <v>300</v>
      </c>
      <c r="N365" s="126" t="s">
        <v>301</v>
      </c>
      <c r="O365" s="126" t="s">
        <v>302</v>
      </c>
      <c r="P365" s="126" t="s">
        <v>3855</v>
      </c>
      <c r="Q365" s="126" t="s">
        <v>3911</v>
      </c>
      <c r="R365" s="126" t="s">
        <v>3971</v>
      </c>
      <c r="S365" s="126" t="s">
        <v>3972</v>
      </c>
      <c r="T365" s="126" t="s">
        <v>3863</v>
      </c>
    </row>
    <row r="366" spans="11:35" ht="15" thickBot="1" x14ac:dyDescent="0.3">
      <c r="K366" s="127" t="s">
        <v>304</v>
      </c>
      <c r="L366" s="128" t="s">
        <v>636</v>
      </c>
      <c r="M366" s="128">
        <v>1228848</v>
      </c>
      <c r="N366" s="128">
        <v>1016454</v>
      </c>
      <c r="O366" s="128">
        <v>3</v>
      </c>
      <c r="P366" s="128">
        <v>179833</v>
      </c>
      <c r="Q366" s="128" t="s">
        <v>3944</v>
      </c>
      <c r="R366" s="128" t="s">
        <v>3973</v>
      </c>
      <c r="S366" s="128" t="s">
        <v>3974</v>
      </c>
      <c r="T366" s="128" t="s">
        <v>676</v>
      </c>
    </row>
    <row r="367" spans="11:35" ht="15" thickBot="1" x14ac:dyDescent="0.3">
      <c r="K367" s="127" t="s">
        <v>307</v>
      </c>
      <c r="L367" s="128" t="s">
        <v>308</v>
      </c>
      <c r="M367" s="128">
        <v>1224225</v>
      </c>
      <c r="N367" s="128">
        <v>1252149</v>
      </c>
      <c r="O367" s="128">
        <v>2</v>
      </c>
      <c r="P367" s="128" t="s">
        <v>103</v>
      </c>
      <c r="Q367" s="128" t="s">
        <v>103</v>
      </c>
      <c r="R367" s="128" t="s">
        <v>3973</v>
      </c>
      <c r="S367" s="128" t="s">
        <v>3974</v>
      </c>
      <c r="T367" s="206" t="s">
        <v>681</v>
      </c>
    </row>
    <row r="368" spans="11:35" ht="15" thickBot="1" x14ac:dyDescent="0.3">
      <c r="K368" s="127" t="s">
        <v>309</v>
      </c>
      <c r="L368" s="128" t="s">
        <v>722</v>
      </c>
      <c r="M368" s="128">
        <v>1282368</v>
      </c>
      <c r="N368" s="128" t="s">
        <v>806</v>
      </c>
      <c r="O368" s="128">
        <v>1</v>
      </c>
      <c r="P368" s="129" t="s">
        <v>103</v>
      </c>
      <c r="Q368" s="129" t="s">
        <v>103</v>
      </c>
      <c r="R368" s="129" t="s">
        <v>3975</v>
      </c>
      <c r="S368" s="129" t="s">
        <v>3976</v>
      </c>
      <c r="T368" s="128" t="s">
        <v>681</v>
      </c>
    </row>
    <row r="369" spans="11:20" ht="15" thickBot="1" x14ac:dyDescent="0.3">
      <c r="K369" s="127" t="s">
        <v>309</v>
      </c>
      <c r="L369" s="128" t="s">
        <v>679</v>
      </c>
      <c r="M369" s="128">
        <v>1261236</v>
      </c>
      <c r="N369" s="128">
        <v>1258557</v>
      </c>
      <c r="O369" s="128">
        <v>2</v>
      </c>
      <c r="P369" s="128" t="s">
        <v>103</v>
      </c>
      <c r="Q369" s="128" t="s">
        <v>103</v>
      </c>
      <c r="R369" s="128" t="s">
        <v>3975</v>
      </c>
      <c r="S369" s="128" t="s">
        <v>3976</v>
      </c>
      <c r="T369" s="206" t="s">
        <v>681</v>
      </c>
    </row>
    <row r="370" spans="11:20" ht="15" thickBot="1" x14ac:dyDescent="0.3">
      <c r="K370" s="127" t="s">
        <v>313</v>
      </c>
      <c r="L370" s="128" t="s">
        <v>645</v>
      </c>
      <c r="M370" s="128">
        <v>1267027</v>
      </c>
      <c r="N370" s="128">
        <v>1283630</v>
      </c>
      <c r="O370" s="128">
        <v>2</v>
      </c>
      <c r="P370" s="128" t="s">
        <v>103</v>
      </c>
      <c r="Q370" s="128" t="s">
        <v>103</v>
      </c>
      <c r="R370" s="128" t="s">
        <v>3977</v>
      </c>
      <c r="S370" s="128" t="s">
        <v>3978</v>
      </c>
      <c r="T370" s="206" t="s">
        <v>681</v>
      </c>
    </row>
    <row r="371" spans="11:20" ht="15" thickBot="1" x14ac:dyDescent="0.3">
      <c r="K371" s="594" t="s">
        <v>624</v>
      </c>
      <c r="L371" s="595" t="s">
        <v>797</v>
      </c>
      <c r="M371" s="595">
        <v>2001502</v>
      </c>
      <c r="N371" s="595" t="s">
        <v>3956</v>
      </c>
      <c r="O371" s="595">
        <v>1</v>
      </c>
      <c r="P371" s="595" t="s">
        <v>103</v>
      </c>
      <c r="Q371" s="595" t="s">
        <v>103</v>
      </c>
      <c r="R371" s="595" t="s">
        <v>3977</v>
      </c>
      <c r="S371" s="595" t="s">
        <v>3978</v>
      </c>
      <c r="T371" s="595" t="s">
        <v>681</v>
      </c>
    </row>
    <row r="372" spans="11:20" ht="15" thickBot="1" x14ac:dyDescent="0.3">
      <c r="K372" s="127" t="s">
        <v>316</v>
      </c>
      <c r="L372" s="128" t="s">
        <v>291</v>
      </c>
      <c r="M372" s="128">
        <v>1228782</v>
      </c>
      <c r="N372" s="128" t="s">
        <v>3979</v>
      </c>
      <c r="O372" s="128">
        <v>1</v>
      </c>
      <c r="P372" s="128">
        <v>179849</v>
      </c>
      <c r="Q372" s="128" t="s">
        <v>3958</v>
      </c>
      <c r="R372" s="128" t="s">
        <v>3980</v>
      </c>
      <c r="S372" s="128" t="s">
        <v>3981</v>
      </c>
      <c r="T372" s="206" t="s">
        <v>676</v>
      </c>
    </row>
    <row r="373" spans="11:20" ht="15" thickBot="1" x14ac:dyDescent="0.3">
      <c r="K373" s="127" t="s">
        <v>316</v>
      </c>
      <c r="L373" s="128" t="s">
        <v>292</v>
      </c>
      <c r="M373" s="128">
        <v>1258119</v>
      </c>
      <c r="N373" s="128">
        <v>1254482</v>
      </c>
      <c r="O373" s="128">
        <v>3</v>
      </c>
      <c r="P373" s="128" t="s">
        <v>103</v>
      </c>
      <c r="Q373" s="128" t="s">
        <v>103</v>
      </c>
      <c r="R373" s="128" t="s">
        <v>3982</v>
      </c>
      <c r="S373" s="128" t="s">
        <v>3983</v>
      </c>
      <c r="T373" s="128" t="s">
        <v>681</v>
      </c>
    </row>
    <row r="374" spans="11:20" ht="15.5" x14ac:dyDescent="0.25">
      <c r="K374" s="548"/>
    </row>
    <row r="376" spans="11:20" ht="16" thickBot="1" x14ac:dyDescent="0.3">
      <c r="K376" s="124" t="s">
        <v>299</v>
      </c>
      <c r="L376" t="s">
        <v>3984</v>
      </c>
    </row>
    <row r="377" spans="11:20" ht="29.5" thickBot="1" x14ac:dyDescent="0.3">
      <c r="K377" s="125" t="s">
        <v>258</v>
      </c>
      <c r="L377" s="126" t="s">
        <v>4</v>
      </c>
      <c r="M377" s="126" t="s">
        <v>300</v>
      </c>
      <c r="N377" s="126" t="s">
        <v>301</v>
      </c>
      <c r="O377" s="126" t="s">
        <v>302</v>
      </c>
      <c r="P377" s="126" t="s">
        <v>3855</v>
      </c>
      <c r="Q377" s="126" t="s">
        <v>3827</v>
      </c>
      <c r="R377" s="126" t="s">
        <v>3971</v>
      </c>
      <c r="S377" s="126" t="s">
        <v>3972</v>
      </c>
      <c r="T377" s="126" t="s">
        <v>3863</v>
      </c>
    </row>
    <row r="378" spans="11:20" ht="15" thickBot="1" x14ac:dyDescent="0.3">
      <c r="K378" s="127" t="s">
        <v>304</v>
      </c>
      <c r="L378" s="128" t="s">
        <v>636</v>
      </c>
      <c r="M378" s="128">
        <v>1228848</v>
      </c>
      <c r="N378" s="128">
        <v>1016454</v>
      </c>
      <c r="O378" s="128">
        <v>2</v>
      </c>
      <c r="P378" s="128">
        <v>179833</v>
      </c>
      <c r="Q378" s="128" t="s">
        <v>3944</v>
      </c>
      <c r="R378" s="128" t="s">
        <v>3973</v>
      </c>
      <c r="S378" s="128" t="s">
        <v>3974</v>
      </c>
      <c r="T378" s="128" t="s">
        <v>676</v>
      </c>
    </row>
    <row r="379" spans="11:20" ht="15" thickBot="1" x14ac:dyDescent="0.3">
      <c r="K379" s="127" t="s">
        <v>309</v>
      </c>
      <c r="L379" s="128" t="s">
        <v>722</v>
      </c>
      <c r="M379" s="128">
        <v>1282368</v>
      </c>
      <c r="N379" s="128" t="s">
        <v>806</v>
      </c>
      <c r="O379" s="128">
        <v>1</v>
      </c>
      <c r="P379" s="129" t="s">
        <v>103</v>
      </c>
      <c r="Q379" s="129" t="s">
        <v>103</v>
      </c>
      <c r="R379" s="129" t="s">
        <v>3975</v>
      </c>
      <c r="S379" s="129" t="s">
        <v>3976</v>
      </c>
      <c r="T379" s="128" t="s">
        <v>681</v>
      </c>
    </row>
    <row r="380" spans="11:20" ht="15" thickBot="1" x14ac:dyDescent="0.3">
      <c r="K380" s="127" t="s">
        <v>309</v>
      </c>
      <c r="L380" s="128" t="s">
        <v>772</v>
      </c>
      <c r="M380" s="128">
        <v>1283567</v>
      </c>
      <c r="N380" s="128" t="s">
        <v>771</v>
      </c>
      <c r="O380" s="128">
        <v>2</v>
      </c>
      <c r="P380" s="129" t="s">
        <v>103</v>
      </c>
      <c r="Q380" s="129" t="s">
        <v>103</v>
      </c>
      <c r="R380" s="129" t="s">
        <v>3985</v>
      </c>
      <c r="S380" s="129" t="s">
        <v>3986</v>
      </c>
      <c r="T380" s="128" t="s">
        <v>681</v>
      </c>
    </row>
    <row r="381" spans="11:20" ht="15" thickBot="1" x14ac:dyDescent="0.3">
      <c r="K381" s="127" t="s">
        <v>313</v>
      </c>
      <c r="L381" s="128" t="s">
        <v>703</v>
      </c>
      <c r="M381" s="128">
        <v>1272920</v>
      </c>
      <c r="N381" s="128">
        <v>1283482</v>
      </c>
      <c r="O381" s="128">
        <v>2</v>
      </c>
      <c r="P381" s="128" t="s">
        <v>103</v>
      </c>
      <c r="Q381" s="128" t="s">
        <v>103</v>
      </c>
      <c r="R381" s="128" t="s">
        <v>3977</v>
      </c>
      <c r="S381" s="128" t="s">
        <v>3978</v>
      </c>
      <c r="T381" s="206" t="s">
        <v>681</v>
      </c>
    </row>
    <row r="382" spans="11:20" ht="15" thickBot="1" x14ac:dyDescent="0.3">
      <c r="K382" s="127" t="s">
        <v>624</v>
      </c>
      <c r="L382" s="128" t="s">
        <v>3575</v>
      </c>
      <c r="M382" s="128"/>
      <c r="N382" s="128">
        <v>1096422</v>
      </c>
      <c r="O382" s="128">
        <v>1</v>
      </c>
      <c r="P382" s="129" t="s">
        <v>103</v>
      </c>
      <c r="Q382" s="129" t="s">
        <v>103</v>
      </c>
      <c r="R382" s="129" t="s">
        <v>3977</v>
      </c>
      <c r="S382" s="129" t="s">
        <v>3978</v>
      </c>
      <c r="T382" s="128" t="s">
        <v>3912</v>
      </c>
    </row>
    <row r="383" spans="11:20" ht="15" thickBot="1" x14ac:dyDescent="0.3">
      <c r="K383" s="127" t="s">
        <v>624</v>
      </c>
      <c r="L383" s="128" t="s">
        <v>275</v>
      </c>
      <c r="M383" s="128">
        <v>1158011</v>
      </c>
      <c r="N383" s="128">
        <v>1267829</v>
      </c>
      <c r="O383" s="128">
        <v>3</v>
      </c>
      <c r="P383" s="129" t="s">
        <v>103</v>
      </c>
      <c r="Q383" s="129" t="s">
        <v>103</v>
      </c>
      <c r="R383" s="128" t="s">
        <v>3987</v>
      </c>
      <c r="S383" s="128" t="s">
        <v>3988</v>
      </c>
      <c r="T383" s="425" t="s">
        <v>681</v>
      </c>
    </row>
    <row r="384" spans="11:20" ht="15" thickBot="1" x14ac:dyDescent="0.3">
      <c r="K384" s="127" t="s">
        <v>624</v>
      </c>
      <c r="L384" s="128" t="s">
        <v>663</v>
      </c>
      <c r="M384" s="128">
        <v>1269498</v>
      </c>
      <c r="N384" s="128">
        <v>1276939</v>
      </c>
      <c r="O384" s="128">
        <v>3</v>
      </c>
      <c r="P384" s="129" t="s">
        <v>103</v>
      </c>
      <c r="Q384" s="129" t="s">
        <v>103</v>
      </c>
      <c r="R384" s="128" t="s">
        <v>3989</v>
      </c>
      <c r="S384" s="128" t="s">
        <v>3990</v>
      </c>
      <c r="T384" s="425" t="s">
        <v>681</v>
      </c>
    </row>
    <row r="385" spans="11:35" ht="15" thickBot="1" x14ac:dyDescent="0.3">
      <c r="K385" s="127" t="s">
        <v>315</v>
      </c>
      <c r="L385" s="128" t="s">
        <v>684</v>
      </c>
      <c r="M385" s="128">
        <v>1245431</v>
      </c>
      <c r="N385" s="128" t="s">
        <v>655</v>
      </c>
      <c r="O385" s="128">
        <v>2</v>
      </c>
      <c r="P385" s="128">
        <v>179838</v>
      </c>
      <c r="Q385" s="128" t="s">
        <v>3957</v>
      </c>
      <c r="R385" s="128" t="s">
        <v>3991</v>
      </c>
      <c r="S385" s="128" t="s">
        <v>3992</v>
      </c>
      <c r="T385" s="128" t="s">
        <v>676</v>
      </c>
    </row>
    <row r="386" spans="11:35" ht="15" thickBot="1" x14ac:dyDescent="0.3">
      <c r="K386" s="127" t="s">
        <v>316</v>
      </c>
      <c r="L386" s="128" t="s">
        <v>292</v>
      </c>
      <c r="M386" s="128">
        <v>1258119</v>
      </c>
      <c r="N386" s="128">
        <v>1254482</v>
      </c>
      <c r="O386" s="128">
        <v>1</v>
      </c>
      <c r="P386" s="128" t="s">
        <v>103</v>
      </c>
      <c r="Q386" s="128" t="s">
        <v>103</v>
      </c>
      <c r="R386" s="128" t="s">
        <v>3982</v>
      </c>
      <c r="S386" s="128" t="s">
        <v>3983</v>
      </c>
      <c r="T386" s="128" t="s">
        <v>681</v>
      </c>
    </row>
    <row r="387" spans="11:35" ht="15" thickBot="1" x14ac:dyDescent="0.3">
      <c r="K387" s="127" t="s">
        <v>3691</v>
      </c>
      <c r="L387" s="128" t="s">
        <v>3695</v>
      </c>
      <c r="M387" s="129"/>
      <c r="N387" s="128">
        <v>1094991</v>
      </c>
      <c r="O387" s="128">
        <v>1</v>
      </c>
      <c r="P387" s="129" t="s">
        <v>103</v>
      </c>
      <c r="Q387" s="129" t="s">
        <v>103</v>
      </c>
      <c r="R387" s="129">
        <v>44736</v>
      </c>
      <c r="S387" s="129" t="s">
        <v>3993</v>
      </c>
      <c r="T387" s="128" t="s">
        <v>3912</v>
      </c>
    </row>
    <row r="388" spans="11:35" ht="14.5" x14ac:dyDescent="0.25">
      <c r="K388" s="603"/>
    </row>
    <row r="389" spans="11:35" x14ac:dyDescent="0.25">
      <c r="K389" s="247" t="s">
        <v>3994</v>
      </c>
    </row>
    <row r="390" spans="11:35" x14ac:dyDescent="0.25">
      <c r="K390" s="522" t="s">
        <v>338</v>
      </c>
      <c r="L390" s="523" t="s">
        <v>1040</v>
      </c>
      <c r="M390" s="522" t="s">
        <v>3931</v>
      </c>
      <c r="N390" s="524" t="s">
        <v>3879</v>
      </c>
      <c r="O390" s="525" t="s">
        <v>3932</v>
      </c>
      <c r="P390" s="524" t="s">
        <v>3933</v>
      </c>
      <c r="Q390" s="522" t="s">
        <v>331</v>
      </c>
      <c r="R390" s="522" t="s">
        <v>3934</v>
      </c>
      <c r="S390" s="526" t="s">
        <v>325</v>
      </c>
      <c r="T390" s="526" t="s">
        <v>3935</v>
      </c>
      <c r="U390" s="526" t="s">
        <v>326</v>
      </c>
      <c r="V390" s="522" t="s">
        <v>518</v>
      </c>
      <c r="W390" s="522" t="s">
        <v>3747</v>
      </c>
      <c r="X390" s="523" t="s">
        <v>3936</v>
      </c>
      <c r="Y390" s="527" t="s">
        <v>3937</v>
      </c>
      <c r="Z390" s="527" t="s">
        <v>3959</v>
      </c>
      <c r="AA390" s="549" t="s">
        <v>3960</v>
      </c>
      <c r="AB390" s="549" t="s">
        <v>3961</v>
      </c>
      <c r="AC390" s="549" t="s">
        <v>3962</v>
      </c>
      <c r="AD390" s="550" t="s">
        <v>3963</v>
      </c>
      <c r="AE390" s="551" t="s">
        <v>3964</v>
      </c>
      <c r="AF390" s="550" t="s">
        <v>3965</v>
      </c>
      <c r="AG390" s="551" t="s">
        <v>3966</v>
      </c>
      <c r="AH390" s="552" t="s">
        <v>3967</v>
      </c>
      <c r="AI390" s="553" t="s">
        <v>3746</v>
      </c>
    </row>
    <row r="391" spans="11:35" x14ac:dyDescent="0.25">
      <c r="K391" s="528">
        <v>20250027</v>
      </c>
      <c r="L391" s="529">
        <v>45686</v>
      </c>
      <c r="M391" s="528">
        <v>4</v>
      </c>
      <c r="N391" s="530">
        <v>3</v>
      </c>
      <c r="O391" s="531">
        <v>0</v>
      </c>
      <c r="P391" s="532">
        <v>3</v>
      </c>
      <c r="Q391" s="532" t="s">
        <v>3938</v>
      </c>
      <c r="R391" s="532" t="s">
        <v>3939</v>
      </c>
      <c r="S391" s="530">
        <v>8.5</v>
      </c>
      <c r="T391" s="530" t="s">
        <v>3948</v>
      </c>
      <c r="U391" s="528" t="s">
        <v>640</v>
      </c>
      <c r="V391" s="528">
        <v>1255267</v>
      </c>
      <c r="W391" t="s">
        <v>813</v>
      </c>
    </row>
    <row r="392" spans="11:35" x14ac:dyDescent="0.25">
      <c r="K392" s="528">
        <v>20250027</v>
      </c>
      <c r="L392" s="529">
        <v>45686</v>
      </c>
      <c r="M392" s="528">
        <v>5</v>
      </c>
      <c r="N392" s="530">
        <v>1</v>
      </c>
      <c r="O392" s="531">
        <v>0</v>
      </c>
      <c r="P392" s="532">
        <v>1</v>
      </c>
      <c r="Q392" s="532" t="s">
        <v>3938</v>
      </c>
      <c r="R392" s="532" t="s">
        <v>3939</v>
      </c>
      <c r="S392" s="530">
        <v>8.5</v>
      </c>
      <c r="T392" s="530"/>
      <c r="U392" s="528" t="s">
        <v>717</v>
      </c>
      <c r="V392" s="528">
        <v>2009096</v>
      </c>
      <c r="W392" t="s">
        <v>813</v>
      </c>
    </row>
    <row r="393" spans="11:35" ht="16" x14ac:dyDescent="0.35">
      <c r="Q393" s="283"/>
    </row>
    <row r="394" spans="11:35" ht="16" x14ac:dyDescent="0.35">
      <c r="Q394" s="283"/>
    </row>
    <row r="395" spans="11:35" ht="15.5" x14ac:dyDescent="0.25">
      <c r="K395" s="124" t="s">
        <v>299</v>
      </c>
      <c r="L395" t="s">
        <v>3995</v>
      </c>
    </row>
    <row r="396" spans="11:35" ht="16" thickBot="1" x14ac:dyDescent="0.3">
      <c r="K396" s="548"/>
    </row>
    <row r="397" spans="11:35" ht="29.5" thickBot="1" x14ac:dyDescent="0.3">
      <c r="K397" s="125" t="s">
        <v>258</v>
      </c>
      <c r="L397" s="126" t="s">
        <v>4</v>
      </c>
      <c r="M397" s="126" t="s">
        <v>300</v>
      </c>
      <c r="N397" s="126" t="s">
        <v>301</v>
      </c>
      <c r="O397" s="126" t="s">
        <v>302</v>
      </c>
      <c r="P397" s="126" t="s">
        <v>3826</v>
      </c>
      <c r="Q397" s="126" t="s">
        <v>3827</v>
      </c>
      <c r="R397" s="126" t="s">
        <v>3971</v>
      </c>
      <c r="S397" s="126" t="s">
        <v>3972</v>
      </c>
      <c r="T397" s="126" t="s">
        <v>3863</v>
      </c>
    </row>
    <row r="398" spans="11:35" ht="15" thickBot="1" x14ac:dyDescent="0.3">
      <c r="K398" s="127" t="s">
        <v>304</v>
      </c>
      <c r="L398" s="128" t="s">
        <v>636</v>
      </c>
      <c r="M398" s="128">
        <v>2013733</v>
      </c>
      <c r="N398" s="128">
        <v>1016454</v>
      </c>
      <c r="O398" s="128">
        <v>5</v>
      </c>
      <c r="P398" s="128">
        <v>179833</v>
      </c>
      <c r="Q398" s="128" t="s">
        <v>3944</v>
      </c>
      <c r="R398" s="128" t="s">
        <v>3973</v>
      </c>
      <c r="S398" s="128" t="s">
        <v>3974</v>
      </c>
      <c r="T398" s="128" t="s">
        <v>676</v>
      </c>
    </row>
    <row r="399" spans="11:35" ht="15" thickBot="1" x14ac:dyDescent="0.3">
      <c r="K399" s="127" t="s">
        <v>304</v>
      </c>
      <c r="L399" s="128" t="s">
        <v>630</v>
      </c>
      <c r="M399" s="128">
        <v>1228690</v>
      </c>
      <c r="N399" s="128">
        <v>960723</v>
      </c>
      <c r="O399" s="128">
        <v>1</v>
      </c>
      <c r="P399" s="128">
        <v>330432</v>
      </c>
      <c r="Q399" s="128" t="s">
        <v>3943</v>
      </c>
      <c r="R399" s="128" t="s">
        <v>103</v>
      </c>
      <c r="S399" s="128" t="s">
        <v>103</v>
      </c>
      <c r="T399" s="128" t="s">
        <v>725</v>
      </c>
    </row>
    <row r="400" spans="11:35" ht="15" thickBot="1" x14ac:dyDescent="0.3">
      <c r="K400" s="127" t="s">
        <v>624</v>
      </c>
      <c r="L400" s="128" t="s">
        <v>687</v>
      </c>
      <c r="M400" s="128">
        <v>2001502</v>
      </c>
      <c r="N400" s="128">
        <v>1254762</v>
      </c>
      <c r="O400" s="128">
        <v>2</v>
      </c>
      <c r="P400" s="129" t="s">
        <v>103</v>
      </c>
      <c r="Q400" s="129" t="s">
        <v>103</v>
      </c>
      <c r="R400" s="128" t="s">
        <v>3977</v>
      </c>
      <c r="S400" s="128" t="s">
        <v>3978</v>
      </c>
      <c r="T400" s="206" t="s">
        <v>681</v>
      </c>
    </row>
    <row r="401" spans="11:20" ht="15" thickBot="1" x14ac:dyDescent="0.3">
      <c r="K401" s="127" t="s">
        <v>624</v>
      </c>
      <c r="L401" s="128" t="s">
        <v>275</v>
      </c>
      <c r="M401" s="128">
        <v>1158011</v>
      </c>
      <c r="N401" s="128">
        <v>1267829</v>
      </c>
      <c r="O401" s="128">
        <v>4</v>
      </c>
      <c r="P401" s="129" t="s">
        <v>103</v>
      </c>
      <c r="Q401" s="129" t="s">
        <v>103</v>
      </c>
      <c r="R401" s="128" t="s">
        <v>3987</v>
      </c>
      <c r="S401" s="128" t="s">
        <v>3988</v>
      </c>
      <c r="T401" s="206" t="s">
        <v>681</v>
      </c>
    </row>
    <row r="402" spans="11:20" ht="15" thickBot="1" x14ac:dyDescent="0.3">
      <c r="K402" s="127" t="s">
        <v>624</v>
      </c>
      <c r="L402" s="128" t="s">
        <v>663</v>
      </c>
      <c r="M402" s="128">
        <v>1269498</v>
      </c>
      <c r="N402" s="128">
        <v>1276939</v>
      </c>
      <c r="O402" s="128">
        <v>3</v>
      </c>
      <c r="P402" s="129" t="s">
        <v>103</v>
      </c>
      <c r="Q402" s="129" t="s">
        <v>103</v>
      </c>
      <c r="R402" s="128" t="s">
        <v>3989</v>
      </c>
      <c r="S402" s="128" t="s">
        <v>3990</v>
      </c>
      <c r="T402" s="206" t="s">
        <v>681</v>
      </c>
    </row>
    <row r="403" spans="11:20" ht="15" thickBot="1" x14ac:dyDescent="0.3">
      <c r="K403" s="127" t="s">
        <v>315</v>
      </c>
      <c r="L403" s="128" t="s">
        <v>684</v>
      </c>
      <c r="M403" s="128">
        <v>1245431</v>
      </c>
      <c r="N403" s="128">
        <v>1251098</v>
      </c>
      <c r="O403" s="128">
        <v>2</v>
      </c>
      <c r="P403" s="128">
        <v>179838</v>
      </c>
      <c r="Q403" s="128" t="s">
        <v>3957</v>
      </c>
      <c r="R403" s="128" t="s">
        <v>3991</v>
      </c>
      <c r="S403" s="128" t="s">
        <v>3992</v>
      </c>
      <c r="T403" s="128" t="s">
        <v>676</v>
      </c>
    </row>
    <row r="404" spans="11:20" ht="44" thickBot="1" x14ac:dyDescent="0.3">
      <c r="K404" s="127" t="s">
        <v>316</v>
      </c>
      <c r="L404" s="128" t="s">
        <v>291</v>
      </c>
      <c r="M404" s="128">
        <v>1228782</v>
      </c>
      <c r="N404" s="128">
        <v>1058252</v>
      </c>
      <c r="O404" s="128">
        <v>2</v>
      </c>
      <c r="P404" s="128">
        <v>179849</v>
      </c>
      <c r="Q404" s="128" t="s">
        <v>3958</v>
      </c>
      <c r="R404" s="206" t="s">
        <v>3980</v>
      </c>
      <c r="S404" s="206" t="s">
        <v>3981</v>
      </c>
      <c r="T404" s="128" t="s">
        <v>676</v>
      </c>
    </row>
    <row r="405" spans="11:20" ht="16" x14ac:dyDescent="0.35">
      <c r="Q405" s="283"/>
    </row>
    <row r="406" spans="11:20" ht="16" x14ac:dyDescent="0.35">
      <c r="Q406" s="283"/>
    </row>
    <row r="407" spans="11:20" ht="16" x14ac:dyDescent="0.35">
      <c r="Q407" s="283"/>
    </row>
    <row r="408" spans="11:20" ht="16" x14ac:dyDescent="0.35">
      <c r="Q408" s="283"/>
    </row>
    <row r="409" spans="11:20" ht="16" x14ac:dyDescent="0.35">
      <c r="Q409" s="283"/>
    </row>
    <row r="410" spans="11:20" ht="16" thickBot="1" x14ac:dyDescent="0.3">
      <c r="K410" s="147" t="s">
        <v>3897</v>
      </c>
    </row>
    <row r="411" spans="11:20" ht="29.5" thickBot="1" x14ac:dyDescent="0.3">
      <c r="K411" s="125" t="s">
        <v>258</v>
      </c>
      <c r="L411" s="126" t="s">
        <v>4</v>
      </c>
      <c r="M411" s="126" t="s">
        <v>300</v>
      </c>
      <c r="N411" s="126" t="s">
        <v>301</v>
      </c>
      <c r="O411" s="126" t="s">
        <v>302</v>
      </c>
      <c r="P411" s="126" t="s">
        <v>3826</v>
      </c>
      <c r="Q411" s="126" t="s">
        <v>3827</v>
      </c>
      <c r="R411" s="126" t="s">
        <v>3971</v>
      </c>
      <c r="S411" s="126" t="s">
        <v>3972</v>
      </c>
      <c r="T411" s="126" t="s">
        <v>3863</v>
      </c>
    </row>
    <row r="412" spans="11:20" ht="15" thickBot="1" x14ac:dyDescent="0.3">
      <c r="K412" s="127" t="s">
        <v>307</v>
      </c>
      <c r="L412" s="128" t="s">
        <v>308</v>
      </c>
      <c r="M412" s="128">
        <v>1224225</v>
      </c>
      <c r="N412" s="128">
        <v>1252149</v>
      </c>
      <c r="O412" s="128">
        <v>2</v>
      </c>
      <c r="P412" s="128" t="s">
        <v>103</v>
      </c>
      <c r="Q412" s="128" t="s">
        <v>103</v>
      </c>
      <c r="R412" s="128" t="s">
        <v>3973</v>
      </c>
      <c r="S412" s="128" t="s">
        <v>3974</v>
      </c>
      <c r="T412" s="206" t="s">
        <v>681</v>
      </c>
    </row>
    <row r="413" spans="11:20" ht="44" thickBot="1" x14ac:dyDescent="0.3">
      <c r="K413" s="127" t="s">
        <v>631</v>
      </c>
      <c r="L413" s="128" t="s">
        <v>645</v>
      </c>
      <c r="M413" s="128">
        <v>2017993</v>
      </c>
      <c r="N413" s="128" t="s">
        <v>821</v>
      </c>
      <c r="O413" s="128">
        <v>3</v>
      </c>
      <c r="P413" s="128" t="s">
        <v>103</v>
      </c>
      <c r="Q413" s="128" t="s">
        <v>103</v>
      </c>
      <c r="R413" s="206" t="s">
        <v>3996</v>
      </c>
      <c r="S413" s="206" t="s">
        <v>3997</v>
      </c>
      <c r="T413" s="206" t="s">
        <v>681</v>
      </c>
    </row>
    <row r="414" spans="11:20" ht="44" thickBot="1" x14ac:dyDescent="0.3">
      <c r="K414" s="127" t="s">
        <v>313</v>
      </c>
      <c r="L414" s="128" t="s">
        <v>314</v>
      </c>
      <c r="M414" s="128">
        <v>2016137</v>
      </c>
      <c r="N414" s="128" t="s">
        <v>775</v>
      </c>
      <c r="O414" s="128">
        <v>2</v>
      </c>
      <c r="P414" s="128">
        <v>179836</v>
      </c>
      <c r="Q414" s="128" t="s">
        <v>3894</v>
      </c>
      <c r="R414" s="206">
        <v>44040</v>
      </c>
      <c r="S414" s="206" t="s">
        <v>3978</v>
      </c>
      <c r="T414" s="129" t="s">
        <v>676</v>
      </c>
    </row>
    <row r="415" spans="11:20" ht="44" thickBot="1" x14ac:dyDescent="0.3">
      <c r="K415" s="127" t="s">
        <v>624</v>
      </c>
      <c r="L415" s="128" t="s">
        <v>640</v>
      </c>
      <c r="M415" s="128">
        <v>1255267</v>
      </c>
      <c r="N415" s="128" t="s">
        <v>641</v>
      </c>
      <c r="O415" s="128">
        <v>1</v>
      </c>
      <c r="P415" s="128" t="s">
        <v>103</v>
      </c>
      <c r="Q415" s="128" t="s">
        <v>103</v>
      </c>
      <c r="R415" s="206">
        <v>44040</v>
      </c>
      <c r="S415" s="206" t="s">
        <v>3978</v>
      </c>
      <c r="T415" s="206" t="s">
        <v>681</v>
      </c>
    </row>
    <row r="416" spans="11:20" ht="44" thickBot="1" x14ac:dyDescent="0.3">
      <c r="K416" s="127" t="s">
        <v>624</v>
      </c>
      <c r="L416" s="128" t="s">
        <v>717</v>
      </c>
      <c r="M416" s="128">
        <v>2009096</v>
      </c>
      <c r="N416" s="128">
        <v>2015535</v>
      </c>
      <c r="O416" s="128">
        <v>2</v>
      </c>
      <c r="P416" s="129" t="s">
        <v>103</v>
      </c>
      <c r="Q416" s="129" t="s">
        <v>103</v>
      </c>
      <c r="R416" s="206" t="s">
        <v>3989</v>
      </c>
      <c r="S416" s="206" t="s">
        <v>3990</v>
      </c>
      <c r="T416" s="425" t="s">
        <v>681</v>
      </c>
    </row>
    <row r="417" spans="11:20" ht="44" thickBot="1" x14ac:dyDescent="0.3">
      <c r="K417" s="127" t="s">
        <v>315</v>
      </c>
      <c r="L417" s="128" t="s">
        <v>284</v>
      </c>
      <c r="M417" s="128">
        <v>1234376</v>
      </c>
      <c r="N417" s="128">
        <v>1249569</v>
      </c>
      <c r="O417" s="128">
        <v>1</v>
      </c>
      <c r="P417" s="128">
        <v>179838</v>
      </c>
      <c r="Q417" s="129" t="s">
        <v>678</v>
      </c>
      <c r="R417" s="206" t="s">
        <v>3991</v>
      </c>
      <c r="S417" s="206" t="s">
        <v>3992</v>
      </c>
      <c r="T417" s="206" t="s">
        <v>725</v>
      </c>
    </row>
    <row r="418" spans="11:20" ht="44" thickBot="1" x14ac:dyDescent="0.3">
      <c r="K418" s="127" t="s">
        <v>637</v>
      </c>
      <c r="L418" s="128" t="s">
        <v>673</v>
      </c>
      <c r="M418" s="128">
        <v>1270865</v>
      </c>
      <c r="N418" s="128" t="s">
        <v>674</v>
      </c>
      <c r="O418" s="128">
        <v>1</v>
      </c>
      <c r="P418" s="128" t="s">
        <v>103</v>
      </c>
      <c r="Q418" s="128" t="s">
        <v>103</v>
      </c>
      <c r="R418" s="206">
        <v>44050</v>
      </c>
      <c r="S418" s="206" t="s">
        <v>3998</v>
      </c>
      <c r="T418" s="206" t="s">
        <v>681</v>
      </c>
    </row>
    <row r="419" spans="11:20" ht="15" thickBot="1" x14ac:dyDescent="0.3">
      <c r="K419" s="127" t="s">
        <v>316</v>
      </c>
      <c r="L419" s="128" t="s">
        <v>318</v>
      </c>
      <c r="M419" s="128">
        <v>1145823</v>
      </c>
      <c r="N419" s="128" t="s">
        <v>3999</v>
      </c>
      <c r="O419" s="128">
        <v>1</v>
      </c>
      <c r="P419" s="128">
        <v>179849</v>
      </c>
      <c r="Q419" s="128" t="s">
        <v>3832</v>
      </c>
      <c r="R419" s="128">
        <v>44060</v>
      </c>
      <c r="S419" s="128" t="s">
        <v>3981</v>
      </c>
      <c r="T419" s="128" t="s">
        <v>676</v>
      </c>
    </row>
    <row r="420" spans="11:20" ht="15" thickBot="1" x14ac:dyDescent="0.3">
      <c r="K420" s="127" t="s">
        <v>316</v>
      </c>
      <c r="L420" s="128" t="s">
        <v>820</v>
      </c>
      <c r="M420" s="128">
        <v>1239258</v>
      </c>
      <c r="N420" s="128" t="s">
        <v>4000</v>
      </c>
      <c r="O420" s="128">
        <v>1</v>
      </c>
      <c r="P420" s="128" t="s">
        <v>103</v>
      </c>
      <c r="Q420" s="128" t="s">
        <v>103</v>
      </c>
      <c r="R420" s="128">
        <v>44060</v>
      </c>
      <c r="S420" s="128" t="s">
        <v>3981</v>
      </c>
      <c r="T420" s="128" t="s">
        <v>681</v>
      </c>
    </row>
    <row r="421" spans="11:20" ht="15" thickBot="1" x14ac:dyDescent="0.3">
      <c r="K421" s="127" t="s">
        <v>316</v>
      </c>
      <c r="L421" s="128" t="s">
        <v>292</v>
      </c>
      <c r="M421" s="128">
        <v>1258119</v>
      </c>
      <c r="N421" s="128">
        <v>1254482</v>
      </c>
      <c r="O421" s="128">
        <v>3</v>
      </c>
      <c r="P421" s="128" t="s">
        <v>103</v>
      </c>
      <c r="Q421" s="128" t="s">
        <v>103</v>
      </c>
      <c r="R421" s="128" t="s">
        <v>3982</v>
      </c>
      <c r="S421" s="128" t="s">
        <v>3983</v>
      </c>
      <c r="T421" s="128" t="s">
        <v>681</v>
      </c>
    </row>
    <row r="422" spans="11:20" ht="16" x14ac:dyDescent="0.35">
      <c r="Q422" s="283"/>
    </row>
    <row r="423" spans="11:20" ht="16" x14ac:dyDescent="0.35">
      <c r="Q423" s="283"/>
    </row>
    <row r="424" spans="11:20" ht="16" x14ac:dyDescent="0.35">
      <c r="Q424" s="283"/>
    </row>
    <row r="425" spans="11:20" ht="16" x14ac:dyDescent="0.35">
      <c r="Q425" s="283"/>
    </row>
    <row r="426" spans="11:20" ht="16" x14ac:dyDescent="0.35">
      <c r="O426">
        <v>2</v>
      </c>
      <c r="P426" t="s">
        <v>103</v>
      </c>
      <c r="Q426" s="283" t="s">
        <v>103</v>
      </c>
      <c r="R426" t="s">
        <v>3973</v>
      </c>
      <c r="S426" t="s">
        <v>3974</v>
      </c>
    </row>
    <row r="427" spans="11:20" ht="16" x14ac:dyDescent="0.35">
      <c r="O427">
        <v>2</v>
      </c>
      <c r="P427" t="s">
        <v>103</v>
      </c>
      <c r="Q427" s="283" t="s">
        <v>103</v>
      </c>
      <c r="R427" t="s">
        <v>3973</v>
      </c>
      <c r="S427" t="s">
        <v>3974</v>
      </c>
    </row>
    <row r="428" spans="11:20" ht="16" x14ac:dyDescent="0.35">
      <c r="O428">
        <v>1</v>
      </c>
      <c r="P428" t="s">
        <v>103</v>
      </c>
      <c r="Q428" s="283" t="s">
        <v>103</v>
      </c>
      <c r="R428">
        <v>44040</v>
      </c>
      <c r="S428" t="s">
        <v>3978</v>
      </c>
    </row>
    <row r="429" spans="11:20" ht="16" x14ac:dyDescent="0.35">
      <c r="O429">
        <v>2</v>
      </c>
      <c r="P429" t="s">
        <v>103</v>
      </c>
      <c r="Q429" s="283" t="s">
        <v>103</v>
      </c>
      <c r="R429" t="s">
        <v>3989</v>
      </c>
      <c r="S429" t="s">
        <v>3990</v>
      </c>
    </row>
    <row r="430" spans="11:20" ht="16" x14ac:dyDescent="0.35">
      <c r="O430">
        <v>2</v>
      </c>
      <c r="P430" t="s">
        <v>103</v>
      </c>
      <c r="Q430" s="283" t="s">
        <v>103</v>
      </c>
      <c r="R430" t="s">
        <v>3989</v>
      </c>
      <c r="S430" t="s">
        <v>3990</v>
      </c>
    </row>
    <row r="431" spans="11:20" ht="16" x14ac:dyDescent="0.35">
      <c r="O431">
        <v>1</v>
      </c>
      <c r="P431">
        <v>179838</v>
      </c>
      <c r="Q431" s="283" t="s">
        <v>678</v>
      </c>
      <c r="R431" t="s">
        <v>3991</v>
      </c>
      <c r="S431" t="s">
        <v>3992</v>
      </c>
    </row>
    <row r="432" spans="11:20" ht="16" x14ac:dyDescent="0.35">
      <c r="O432">
        <v>1</v>
      </c>
      <c r="P432" t="s">
        <v>103</v>
      </c>
      <c r="Q432" s="283" t="s">
        <v>103</v>
      </c>
      <c r="R432">
        <v>44050</v>
      </c>
      <c r="S432" t="s">
        <v>3998</v>
      </c>
    </row>
    <row r="433" spans="15:19" ht="16" x14ac:dyDescent="0.35">
      <c r="O433">
        <v>1</v>
      </c>
      <c r="P433">
        <v>179849</v>
      </c>
      <c r="Q433" s="283" t="s">
        <v>3832</v>
      </c>
      <c r="R433">
        <v>44060</v>
      </c>
      <c r="S433" t="s">
        <v>3981</v>
      </c>
    </row>
    <row r="434" spans="15:19" ht="16" x14ac:dyDescent="0.35">
      <c r="O434">
        <v>1</v>
      </c>
      <c r="P434" t="s">
        <v>103</v>
      </c>
      <c r="Q434" s="283" t="s">
        <v>103</v>
      </c>
      <c r="R434">
        <v>44060</v>
      </c>
      <c r="S434" t="s">
        <v>3981</v>
      </c>
    </row>
    <row r="435" spans="15:19" ht="16" x14ac:dyDescent="0.35">
      <c r="O435">
        <v>3</v>
      </c>
      <c r="P435" t="s">
        <v>103</v>
      </c>
      <c r="Q435" s="283" t="s">
        <v>103</v>
      </c>
      <c r="R435" t="s">
        <v>3982</v>
      </c>
      <c r="S435" t="s">
        <v>3983</v>
      </c>
    </row>
    <row r="436" spans="15:19" ht="16" x14ac:dyDescent="0.35">
      <c r="O436">
        <v>3</v>
      </c>
      <c r="P436" t="s">
        <v>103</v>
      </c>
      <c r="Q436" s="283" t="s">
        <v>103</v>
      </c>
      <c r="R436" t="s">
        <v>3982</v>
      </c>
      <c r="S436" t="s">
        <v>3983</v>
      </c>
    </row>
    <row r="437" spans="15:19" ht="16" x14ac:dyDescent="0.35">
      <c r="O437">
        <v>3</v>
      </c>
      <c r="P437" t="s">
        <v>103</v>
      </c>
      <c r="Q437" s="283" t="s">
        <v>103</v>
      </c>
      <c r="R437" t="s">
        <v>3982</v>
      </c>
      <c r="S437" t="s">
        <v>3983</v>
      </c>
    </row>
    <row r="438" spans="15:19" ht="16" x14ac:dyDescent="0.35">
      <c r="O438">
        <v>3</v>
      </c>
      <c r="P438" t="s">
        <v>103</v>
      </c>
      <c r="Q438" s="283" t="s">
        <v>103</v>
      </c>
      <c r="R438" t="s">
        <v>3996</v>
      </c>
      <c r="S438" t="s">
        <v>3997</v>
      </c>
    </row>
    <row r="439" spans="15:19" ht="16" x14ac:dyDescent="0.35">
      <c r="O439">
        <v>3</v>
      </c>
      <c r="P439" t="s">
        <v>103</v>
      </c>
      <c r="Q439" s="283" t="s">
        <v>103</v>
      </c>
      <c r="R439" t="s">
        <v>3996</v>
      </c>
      <c r="S439" t="s">
        <v>3997</v>
      </c>
    </row>
    <row r="440" spans="15:19" ht="16" x14ac:dyDescent="0.35">
      <c r="O440">
        <v>3</v>
      </c>
      <c r="P440" t="s">
        <v>103</v>
      </c>
      <c r="Q440" s="283" t="s">
        <v>103</v>
      </c>
      <c r="R440" t="s">
        <v>3996</v>
      </c>
      <c r="S440" t="s">
        <v>3997</v>
      </c>
    </row>
    <row r="441" spans="15:19" ht="16" x14ac:dyDescent="0.35">
      <c r="O441">
        <v>2</v>
      </c>
      <c r="P441">
        <v>179836</v>
      </c>
      <c r="Q441" s="283" t="s">
        <v>3894</v>
      </c>
      <c r="R441">
        <v>44040</v>
      </c>
      <c r="S441" t="s">
        <v>3978</v>
      </c>
    </row>
    <row r="442" spans="15:19" ht="16" x14ac:dyDescent="0.35">
      <c r="O442">
        <v>2</v>
      </c>
      <c r="P442">
        <v>179836</v>
      </c>
      <c r="Q442" s="283" t="s">
        <v>3894</v>
      </c>
      <c r="R442">
        <v>44040</v>
      </c>
      <c r="S442" t="s">
        <v>3978</v>
      </c>
    </row>
    <row r="449" spans="11:21" ht="16" thickBot="1" x14ac:dyDescent="0.4">
      <c r="K449" s="124" t="s">
        <v>4001</v>
      </c>
      <c r="L449" s="319" t="s">
        <v>4002</v>
      </c>
    </row>
    <row r="450" spans="11:21" ht="29.5" thickBot="1" x14ac:dyDescent="0.3">
      <c r="K450" s="125" t="s">
        <v>258</v>
      </c>
      <c r="L450" s="126" t="s">
        <v>4</v>
      </c>
      <c r="M450" s="126" t="s">
        <v>300</v>
      </c>
      <c r="N450" s="126" t="s">
        <v>301</v>
      </c>
      <c r="O450" s="126" t="s">
        <v>302</v>
      </c>
      <c r="P450" s="126" t="s">
        <v>3826</v>
      </c>
      <c r="Q450" s="126" t="s">
        <v>3827</v>
      </c>
      <c r="R450" s="126" t="s">
        <v>3971</v>
      </c>
      <c r="S450" s="126" t="s">
        <v>3972</v>
      </c>
      <c r="T450" s="126" t="s">
        <v>3863</v>
      </c>
    </row>
    <row r="451" spans="11:21" ht="15" thickBot="1" x14ac:dyDescent="0.3">
      <c r="K451" s="127" t="s">
        <v>304</v>
      </c>
      <c r="L451" s="128" t="s">
        <v>630</v>
      </c>
      <c r="M451" s="128">
        <v>1228690</v>
      </c>
      <c r="N451" s="128">
        <v>960723</v>
      </c>
      <c r="O451" s="128">
        <v>2</v>
      </c>
      <c r="P451" s="128">
        <v>330432</v>
      </c>
      <c r="Q451" s="128" t="s">
        <v>3868</v>
      </c>
      <c r="R451" s="128" t="s">
        <v>103</v>
      </c>
      <c r="S451" s="128" t="s">
        <v>103</v>
      </c>
      <c r="T451" s="128" t="s">
        <v>676</v>
      </c>
    </row>
    <row r="452" spans="11:21" ht="44" thickBot="1" x14ac:dyDescent="0.3">
      <c r="K452" s="127" t="s">
        <v>313</v>
      </c>
      <c r="L452" s="128" t="s">
        <v>273</v>
      </c>
      <c r="M452" s="128">
        <v>1246020</v>
      </c>
      <c r="N452" s="128">
        <v>2009246</v>
      </c>
      <c r="O452" s="128">
        <v>4</v>
      </c>
      <c r="P452" s="128" t="s">
        <v>103</v>
      </c>
      <c r="Q452" s="128" t="s">
        <v>103</v>
      </c>
      <c r="R452" s="206" t="s">
        <v>3977</v>
      </c>
      <c r="S452" s="206" t="s">
        <v>3978</v>
      </c>
      <c r="T452" s="128" t="s">
        <v>681</v>
      </c>
    </row>
    <row r="453" spans="11:21" ht="44" thickBot="1" x14ac:dyDescent="0.3">
      <c r="K453" s="127" t="s">
        <v>313</v>
      </c>
      <c r="L453" s="128" t="s">
        <v>314</v>
      </c>
      <c r="M453" s="128">
        <v>2016137</v>
      </c>
      <c r="N453" s="128">
        <v>2009244</v>
      </c>
      <c r="O453" s="128">
        <v>2</v>
      </c>
      <c r="P453" s="128">
        <v>179836</v>
      </c>
      <c r="Q453" s="128" t="s">
        <v>3894</v>
      </c>
      <c r="R453" s="206" t="s">
        <v>3977</v>
      </c>
      <c r="S453" s="206" t="s">
        <v>3978</v>
      </c>
      <c r="T453" s="129" t="s">
        <v>676</v>
      </c>
    </row>
    <row r="454" spans="11:21" ht="15" thickBot="1" x14ac:dyDescent="0.3">
      <c r="K454" s="127" t="s">
        <v>313</v>
      </c>
      <c r="L454" s="128" t="s">
        <v>645</v>
      </c>
      <c r="M454" s="128">
        <v>1267027</v>
      </c>
      <c r="N454" s="128">
        <v>1283630</v>
      </c>
      <c r="O454" s="128">
        <v>2</v>
      </c>
      <c r="P454" s="128" t="s">
        <v>103</v>
      </c>
      <c r="Q454" s="128" t="s">
        <v>103</v>
      </c>
      <c r="R454" s="128" t="s">
        <v>3977</v>
      </c>
      <c r="S454" s="128" t="s">
        <v>3978</v>
      </c>
      <c r="T454" s="206" t="s">
        <v>681</v>
      </c>
    </row>
    <row r="455" spans="11:21" ht="44" thickBot="1" x14ac:dyDescent="0.3">
      <c r="K455" s="127" t="s">
        <v>315</v>
      </c>
      <c r="L455" s="128" t="s">
        <v>284</v>
      </c>
      <c r="M455" s="128">
        <v>1234376</v>
      </c>
      <c r="N455" s="128">
        <v>1249569</v>
      </c>
      <c r="O455" s="128">
        <v>1</v>
      </c>
      <c r="P455" s="128">
        <v>179838</v>
      </c>
      <c r="Q455" s="129" t="s">
        <v>678</v>
      </c>
      <c r="R455" s="206" t="s">
        <v>3991</v>
      </c>
      <c r="S455" s="206" t="s">
        <v>3992</v>
      </c>
      <c r="T455" s="206" t="s">
        <v>676</v>
      </c>
    </row>
    <row r="456" spans="11:21" ht="15" thickBot="1" x14ac:dyDescent="0.3">
      <c r="K456" s="127" t="s">
        <v>315</v>
      </c>
      <c r="L456" s="128" t="s">
        <v>684</v>
      </c>
      <c r="M456" s="128">
        <v>1245431</v>
      </c>
      <c r="N456" s="128">
        <v>1251098</v>
      </c>
      <c r="O456" s="128">
        <v>1</v>
      </c>
      <c r="P456" s="128">
        <v>179838</v>
      </c>
      <c r="Q456" s="128" t="s">
        <v>3957</v>
      </c>
      <c r="R456" s="128" t="s">
        <v>3991</v>
      </c>
      <c r="S456" s="128" t="s">
        <v>3992</v>
      </c>
      <c r="T456" s="128" t="s">
        <v>676</v>
      </c>
    </row>
    <row r="457" spans="11:21" ht="44" thickBot="1" x14ac:dyDescent="0.3">
      <c r="K457" s="127" t="s">
        <v>316</v>
      </c>
      <c r="L457" s="128" t="s">
        <v>291</v>
      </c>
      <c r="M457" s="128">
        <v>1228782</v>
      </c>
      <c r="N457" s="128">
        <v>1058252</v>
      </c>
      <c r="O457" s="128">
        <v>1</v>
      </c>
      <c r="P457" s="128">
        <v>179849</v>
      </c>
      <c r="Q457" s="128" t="s">
        <v>3832</v>
      </c>
      <c r="R457" s="206">
        <v>44060</v>
      </c>
      <c r="S457" s="206" t="s">
        <v>3981</v>
      </c>
      <c r="T457" s="128" t="s">
        <v>676</v>
      </c>
    </row>
    <row r="458" spans="11:21" ht="15" thickBot="1" x14ac:dyDescent="0.3">
      <c r="K458" s="127" t="s">
        <v>316</v>
      </c>
      <c r="L458" s="128" t="s">
        <v>820</v>
      </c>
      <c r="M458" s="128">
        <v>1239258</v>
      </c>
      <c r="N458" s="128">
        <v>1058252</v>
      </c>
      <c r="O458" s="128">
        <v>1</v>
      </c>
      <c r="P458" s="128" t="s">
        <v>103</v>
      </c>
      <c r="Q458" s="128" t="s">
        <v>103</v>
      </c>
      <c r="R458" s="128">
        <v>44060</v>
      </c>
      <c r="S458" s="128" t="s">
        <v>3981</v>
      </c>
      <c r="T458" s="128" t="s">
        <v>681</v>
      </c>
    </row>
    <row r="459" spans="11:21" ht="15" thickBot="1" x14ac:dyDescent="0.3">
      <c r="K459" s="127" t="s">
        <v>316</v>
      </c>
      <c r="L459" s="128" t="s">
        <v>721</v>
      </c>
      <c r="M459" s="128">
        <v>2019988</v>
      </c>
      <c r="N459" s="128">
        <v>1266749</v>
      </c>
      <c r="O459" s="128">
        <v>1</v>
      </c>
      <c r="P459" s="128" t="s">
        <v>103</v>
      </c>
      <c r="Q459" s="128" t="s">
        <v>103</v>
      </c>
      <c r="R459" s="128" t="s">
        <v>3980</v>
      </c>
      <c r="S459" s="128" t="s">
        <v>3981</v>
      </c>
      <c r="T459" s="128" t="s">
        <v>681</v>
      </c>
    </row>
    <row r="460" spans="11:21" ht="15" thickBot="1" x14ac:dyDescent="0.3">
      <c r="K460" s="127" t="s">
        <v>319</v>
      </c>
      <c r="L460" s="128" t="s">
        <v>665</v>
      </c>
      <c r="M460" s="128">
        <v>1231398</v>
      </c>
      <c r="N460" s="128">
        <v>1207425</v>
      </c>
      <c r="O460" s="128">
        <v>1</v>
      </c>
      <c r="P460" s="129">
        <v>179849</v>
      </c>
      <c r="Q460" s="129" t="s">
        <v>3958</v>
      </c>
      <c r="R460" s="128" t="s">
        <v>3980</v>
      </c>
      <c r="S460" s="129" t="s">
        <v>3981</v>
      </c>
      <c r="T460" s="128" t="s">
        <v>676</v>
      </c>
    </row>
    <row r="461" spans="11:21" ht="16" x14ac:dyDescent="0.35">
      <c r="Q461" s="283"/>
    </row>
    <row r="462" spans="11:21" ht="16" x14ac:dyDescent="0.35">
      <c r="Q462" s="283"/>
    </row>
    <row r="463" spans="11:21" ht="16" x14ac:dyDescent="0.35">
      <c r="M463">
        <v>1228690</v>
      </c>
      <c r="N463">
        <v>960723</v>
      </c>
      <c r="O463">
        <v>2</v>
      </c>
      <c r="P463">
        <v>330432</v>
      </c>
      <c r="Q463" s="283" t="s">
        <v>3868</v>
      </c>
      <c r="R463" t="s">
        <v>103</v>
      </c>
      <c r="S463" t="s">
        <v>103</v>
      </c>
      <c r="U463" t="str">
        <f>CONCATENATE(P463," ",Q463," ",R463," ",S463)</f>
        <v>330432 UPPER SECTION 2 3/8 REG SS DU765 N/A N/A</v>
      </c>
    </row>
    <row r="464" spans="11:21" ht="16" x14ac:dyDescent="0.35">
      <c r="M464">
        <v>1228690</v>
      </c>
      <c r="N464">
        <v>960723</v>
      </c>
      <c r="O464">
        <v>2</v>
      </c>
      <c r="P464">
        <v>330432</v>
      </c>
      <c r="Q464" s="283" t="s">
        <v>3868</v>
      </c>
      <c r="R464" t="s">
        <v>103</v>
      </c>
      <c r="S464" t="s">
        <v>103</v>
      </c>
      <c r="U464" t="str">
        <f t="shared" ref="U464:U478" si="1">CONCATENATE(P464," ",Q464," ",R464," ",S464)</f>
        <v>330432 UPPER SECTION 2 3/8 REG SS DU765 N/A N/A</v>
      </c>
    </row>
    <row r="465" spans="13:21" ht="16" x14ac:dyDescent="0.35">
      <c r="M465">
        <v>1246020</v>
      </c>
      <c r="N465">
        <v>2009246</v>
      </c>
      <c r="O465">
        <v>4</v>
      </c>
      <c r="P465" t="s">
        <v>103</v>
      </c>
      <c r="Q465" s="283" t="s">
        <v>103</v>
      </c>
      <c r="R465" t="s">
        <v>3977</v>
      </c>
      <c r="S465" t="s">
        <v>3978</v>
      </c>
      <c r="U465" t="str">
        <f t="shared" si="1"/>
        <v>N/A N/A 181954 / 44040 44040 REV H BREAKER PLATE</v>
      </c>
    </row>
    <row r="466" spans="13:21" ht="16" x14ac:dyDescent="0.35">
      <c r="M466">
        <v>1246020</v>
      </c>
      <c r="N466">
        <v>2009246</v>
      </c>
      <c r="O466">
        <v>4</v>
      </c>
      <c r="P466" t="s">
        <v>103</v>
      </c>
      <c r="Q466" s="283" t="s">
        <v>103</v>
      </c>
      <c r="R466" t="s">
        <v>3977</v>
      </c>
      <c r="S466" t="s">
        <v>3978</v>
      </c>
      <c r="U466" t="str">
        <f t="shared" si="1"/>
        <v>N/A N/A 181954 / 44040 44040 REV H BREAKER PLATE</v>
      </c>
    </row>
    <row r="467" spans="13:21" ht="16" x14ac:dyDescent="0.35">
      <c r="M467">
        <v>1246020</v>
      </c>
      <c r="N467">
        <v>2009246</v>
      </c>
      <c r="O467">
        <v>4</v>
      </c>
      <c r="P467" t="s">
        <v>103</v>
      </c>
      <c r="Q467" s="283" t="s">
        <v>103</v>
      </c>
      <c r="R467" t="s">
        <v>3977</v>
      </c>
      <c r="S467" t="s">
        <v>3978</v>
      </c>
      <c r="U467" t="str">
        <f t="shared" si="1"/>
        <v>N/A N/A 181954 / 44040 44040 REV H BREAKER PLATE</v>
      </c>
    </row>
    <row r="468" spans="13:21" ht="16" x14ac:dyDescent="0.35">
      <c r="M468">
        <v>1246020</v>
      </c>
      <c r="N468">
        <v>2009246</v>
      </c>
      <c r="O468">
        <v>4</v>
      </c>
      <c r="P468" t="s">
        <v>103</v>
      </c>
      <c r="Q468" s="283" t="s">
        <v>103</v>
      </c>
      <c r="R468" t="s">
        <v>3977</v>
      </c>
      <c r="S468" t="s">
        <v>3978</v>
      </c>
      <c r="U468" t="str">
        <f t="shared" si="1"/>
        <v>N/A N/A 181954 / 44040 44040 REV H BREAKER PLATE</v>
      </c>
    </row>
    <row r="469" spans="13:21" ht="16" x14ac:dyDescent="0.35">
      <c r="M469">
        <v>2016137</v>
      </c>
      <c r="N469">
        <v>2009244</v>
      </c>
      <c r="O469">
        <v>2</v>
      </c>
      <c r="P469">
        <v>179836</v>
      </c>
      <c r="Q469" s="283" t="s">
        <v>3894</v>
      </c>
      <c r="R469" t="s">
        <v>3977</v>
      </c>
      <c r="S469" t="s">
        <v>3978</v>
      </c>
      <c r="U469" t="str">
        <f t="shared" si="1"/>
        <v>179836 UPPER SECTION 4-1/2 REG DU412 181954 / 44040 44040 REV H BREAKER PLATE</v>
      </c>
    </row>
    <row r="470" spans="13:21" ht="16" x14ac:dyDescent="0.35">
      <c r="M470">
        <v>2016137</v>
      </c>
      <c r="N470">
        <v>2009244</v>
      </c>
      <c r="O470">
        <v>2</v>
      </c>
      <c r="P470">
        <v>179836</v>
      </c>
      <c r="Q470" s="283" t="s">
        <v>3894</v>
      </c>
      <c r="R470" t="s">
        <v>3977</v>
      </c>
      <c r="S470" t="s">
        <v>3978</v>
      </c>
      <c r="U470" t="str">
        <f t="shared" si="1"/>
        <v>179836 UPPER SECTION 4-1/2 REG DU412 181954 / 44040 44040 REV H BREAKER PLATE</v>
      </c>
    </row>
    <row r="471" spans="13:21" ht="16" x14ac:dyDescent="0.35">
      <c r="M471">
        <v>1267027</v>
      </c>
      <c r="N471">
        <v>1283630</v>
      </c>
      <c r="O471">
        <v>2</v>
      </c>
      <c r="P471" t="s">
        <v>103</v>
      </c>
      <c r="Q471" s="283" t="s">
        <v>103</v>
      </c>
      <c r="R471" t="s">
        <v>3977</v>
      </c>
      <c r="S471" t="s">
        <v>3978</v>
      </c>
      <c r="U471" t="str">
        <f t="shared" si="1"/>
        <v>N/A N/A 181954 / 44040 44040 REV H BREAKER PLATE</v>
      </c>
    </row>
    <row r="472" spans="13:21" ht="16" x14ac:dyDescent="0.35">
      <c r="M472">
        <v>1267027</v>
      </c>
      <c r="N472">
        <v>1283630</v>
      </c>
      <c r="O472">
        <v>2</v>
      </c>
      <c r="P472" t="s">
        <v>103</v>
      </c>
      <c r="Q472" s="283" t="s">
        <v>103</v>
      </c>
      <c r="R472" t="s">
        <v>3977</v>
      </c>
      <c r="S472" t="s">
        <v>3978</v>
      </c>
      <c r="U472" t="str">
        <f t="shared" si="1"/>
        <v>N/A N/A 181954 / 44040 44040 REV H BREAKER PLATE</v>
      </c>
    </row>
    <row r="473" spans="13:21" ht="16" x14ac:dyDescent="0.35">
      <c r="M473">
        <v>1234376</v>
      </c>
      <c r="N473">
        <v>1249569</v>
      </c>
      <c r="O473">
        <v>1</v>
      </c>
      <c r="P473">
        <v>179838</v>
      </c>
      <c r="Q473" s="283" t="s">
        <v>678</v>
      </c>
      <c r="R473" t="s">
        <v>3991</v>
      </c>
      <c r="S473" t="s">
        <v>3992</v>
      </c>
      <c r="U473" t="str">
        <f t="shared" si="1"/>
        <v>179838 UPPER SECTION 6-5/8 REG DU659 181955 / 44050 44050 REV K BREAKER PLATE</v>
      </c>
    </row>
    <row r="474" spans="13:21" ht="16" x14ac:dyDescent="0.35">
      <c r="M474">
        <v>1245431</v>
      </c>
      <c r="N474">
        <v>1251098</v>
      </c>
      <c r="O474">
        <v>1</v>
      </c>
      <c r="P474">
        <v>179838</v>
      </c>
      <c r="Q474" s="283" t="s">
        <v>3957</v>
      </c>
      <c r="R474" t="s">
        <v>3991</v>
      </c>
      <c r="S474" t="s">
        <v>3992</v>
      </c>
      <c r="U474" t="str">
        <f t="shared" si="1"/>
        <v>179838 U/S 6-5/8 REG LG STD SRG DU659 181955 / 44050 44050 REV K BREAKER PLATE</v>
      </c>
    </row>
    <row r="475" spans="13:21" ht="16" x14ac:dyDescent="0.35">
      <c r="M475">
        <v>1228782</v>
      </c>
      <c r="N475">
        <v>1058252</v>
      </c>
      <c r="O475">
        <v>1</v>
      </c>
      <c r="P475">
        <v>179849</v>
      </c>
      <c r="Q475" s="283" t="s">
        <v>3832</v>
      </c>
      <c r="R475">
        <v>44060</v>
      </c>
      <c r="S475" t="s">
        <v>3981</v>
      </c>
      <c r="U475" t="str">
        <f t="shared" si="1"/>
        <v>179849 UPPER SECTION 7-5/8 REG DU758 44060 44060 BREAKER PLATE REV J</v>
      </c>
    </row>
    <row r="476" spans="13:21" ht="16" x14ac:dyDescent="0.35">
      <c r="M476">
        <v>1239258</v>
      </c>
      <c r="N476">
        <v>1058252</v>
      </c>
      <c r="O476">
        <v>1</v>
      </c>
      <c r="P476" t="s">
        <v>103</v>
      </c>
      <c r="Q476" s="283" t="s">
        <v>103</v>
      </c>
      <c r="R476">
        <v>44060</v>
      </c>
      <c r="S476" t="s">
        <v>3981</v>
      </c>
      <c r="U476" t="str">
        <f t="shared" si="1"/>
        <v>N/A N/A 44060 44060 BREAKER PLATE REV J</v>
      </c>
    </row>
    <row r="477" spans="13:21" ht="16" x14ac:dyDescent="0.35">
      <c r="M477">
        <v>2019988</v>
      </c>
      <c r="N477">
        <v>1266749</v>
      </c>
      <c r="O477">
        <v>1</v>
      </c>
      <c r="P477" t="s">
        <v>103</v>
      </c>
      <c r="Q477" s="283" t="s">
        <v>103</v>
      </c>
      <c r="R477" t="s">
        <v>3980</v>
      </c>
      <c r="S477" t="s">
        <v>3981</v>
      </c>
      <c r="U477" t="str">
        <f t="shared" si="1"/>
        <v>N/A N/A 181956 / 44060 44060 BREAKER PLATE REV J</v>
      </c>
    </row>
    <row r="478" spans="13:21" ht="16" x14ac:dyDescent="0.35">
      <c r="M478">
        <v>1231398</v>
      </c>
      <c r="N478">
        <v>1207425</v>
      </c>
      <c r="O478">
        <v>1</v>
      </c>
      <c r="P478">
        <v>179849</v>
      </c>
      <c r="Q478" s="283" t="s">
        <v>3958</v>
      </c>
      <c r="R478" t="s">
        <v>3980</v>
      </c>
      <c r="S478" t="s">
        <v>3981</v>
      </c>
      <c r="U478" t="str">
        <f t="shared" si="1"/>
        <v>179849 U/S 7-5/8 REG STD SRG DU758 181956 / 44060 44060 BREAKER PLATE REV J</v>
      </c>
    </row>
    <row r="481" spans="11:33" ht="16" thickBot="1" x14ac:dyDescent="0.4">
      <c r="K481" s="147" t="s">
        <v>3897</v>
      </c>
      <c r="L481" s="319" t="s">
        <v>4003</v>
      </c>
    </row>
    <row r="482" spans="11:33" ht="29.5" thickBot="1" x14ac:dyDescent="0.3">
      <c r="K482" s="125" t="s">
        <v>258</v>
      </c>
      <c r="L482" s="126" t="s">
        <v>4</v>
      </c>
      <c r="M482" s="126" t="s">
        <v>300</v>
      </c>
      <c r="N482" s="126" t="s">
        <v>301</v>
      </c>
      <c r="O482" s="126" t="s">
        <v>302</v>
      </c>
      <c r="P482" s="126" t="s">
        <v>3826</v>
      </c>
      <c r="Q482" s="126" t="s">
        <v>3827</v>
      </c>
      <c r="R482" s="126" t="s">
        <v>3971</v>
      </c>
      <c r="S482" s="126" t="s">
        <v>3972</v>
      </c>
      <c r="T482" s="126" t="s">
        <v>3863</v>
      </c>
    </row>
    <row r="483" spans="11:33" ht="29.5" thickBot="1" x14ac:dyDescent="0.3">
      <c r="K483" s="127" t="s">
        <v>304</v>
      </c>
      <c r="L483" s="128" t="s">
        <v>630</v>
      </c>
      <c r="M483" s="430">
        <v>1228690</v>
      </c>
      <c r="N483" s="128">
        <v>960723</v>
      </c>
      <c r="O483" s="128">
        <v>4</v>
      </c>
      <c r="P483" s="206">
        <v>330432</v>
      </c>
      <c r="Q483" s="206" t="s">
        <v>3868</v>
      </c>
      <c r="R483" s="206" t="s">
        <v>103</v>
      </c>
      <c r="S483" s="206" t="s">
        <v>103</v>
      </c>
      <c r="T483" s="206" t="s">
        <v>676</v>
      </c>
    </row>
    <row r="484" spans="11:33" ht="44" thickBot="1" x14ac:dyDescent="0.3">
      <c r="K484" s="127" t="s">
        <v>631</v>
      </c>
      <c r="L484" s="128" t="s">
        <v>645</v>
      </c>
      <c r="M484" s="430">
        <v>2017993</v>
      </c>
      <c r="N484" s="128">
        <v>2021865</v>
      </c>
      <c r="O484" s="128">
        <v>4</v>
      </c>
      <c r="P484" s="206"/>
      <c r="Q484" s="206"/>
      <c r="R484" s="206">
        <v>44030</v>
      </c>
      <c r="S484" s="206" t="s">
        <v>3976</v>
      </c>
      <c r="T484" s="206" t="s">
        <v>681</v>
      </c>
    </row>
    <row r="485" spans="11:33" ht="44" thickBot="1" x14ac:dyDescent="0.3">
      <c r="K485" s="127" t="s">
        <v>313</v>
      </c>
      <c r="L485" s="128" t="s">
        <v>273</v>
      </c>
      <c r="M485" s="430">
        <v>1246020</v>
      </c>
      <c r="N485" s="128">
        <v>2009246</v>
      </c>
      <c r="O485" s="128">
        <v>1</v>
      </c>
      <c r="P485" s="206" t="s">
        <v>103</v>
      </c>
      <c r="Q485" s="206" t="s">
        <v>103</v>
      </c>
      <c r="R485" s="206">
        <v>44040</v>
      </c>
      <c r="S485" s="206" t="s">
        <v>3978</v>
      </c>
      <c r="T485" s="206" t="s">
        <v>681</v>
      </c>
    </row>
    <row r="486" spans="11:33" ht="44" thickBot="1" x14ac:dyDescent="0.3">
      <c r="K486" s="127" t="s">
        <v>313</v>
      </c>
      <c r="L486" s="128" t="s">
        <v>314</v>
      </c>
      <c r="M486" s="430">
        <v>2016137</v>
      </c>
      <c r="N486" s="128" t="s">
        <v>775</v>
      </c>
      <c r="O486" s="128">
        <v>3</v>
      </c>
      <c r="P486" s="206">
        <v>179836</v>
      </c>
      <c r="Q486" s="206" t="s">
        <v>3894</v>
      </c>
      <c r="R486" s="206">
        <v>44040</v>
      </c>
      <c r="S486" s="206" t="s">
        <v>3978</v>
      </c>
      <c r="T486" s="425" t="s">
        <v>676</v>
      </c>
    </row>
    <row r="487" spans="11:33" ht="44" thickBot="1" x14ac:dyDescent="0.3">
      <c r="K487" s="127" t="s">
        <v>313</v>
      </c>
      <c r="L487" s="128" t="s">
        <v>645</v>
      </c>
      <c r="M487" s="430">
        <v>1267027</v>
      </c>
      <c r="N487" s="128">
        <v>1283630</v>
      </c>
      <c r="O487" s="128">
        <v>1</v>
      </c>
      <c r="P487" s="206" t="s">
        <v>103</v>
      </c>
      <c r="Q487" s="206" t="s">
        <v>103</v>
      </c>
      <c r="R487" s="206">
        <v>44040</v>
      </c>
      <c r="S487" s="206" t="s">
        <v>3978</v>
      </c>
      <c r="T487" s="206" t="s">
        <v>681</v>
      </c>
    </row>
    <row r="488" spans="11:33" ht="44" thickBot="1" x14ac:dyDescent="0.3">
      <c r="K488" s="127" t="s">
        <v>624</v>
      </c>
      <c r="L488" s="128" t="s">
        <v>663</v>
      </c>
      <c r="M488" s="128">
        <v>1269498</v>
      </c>
      <c r="N488" s="128">
        <v>1276939</v>
      </c>
      <c r="O488" s="128">
        <v>10</v>
      </c>
      <c r="P488" s="425" t="s">
        <v>103</v>
      </c>
      <c r="Q488" s="425" t="s">
        <v>103</v>
      </c>
      <c r="R488" s="206">
        <v>44071</v>
      </c>
      <c r="S488" s="206" t="s">
        <v>3990</v>
      </c>
      <c r="T488" s="425" t="s">
        <v>681</v>
      </c>
    </row>
    <row r="489" spans="11:33" ht="44" thickBot="1" x14ac:dyDescent="0.3">
      <c r="K489" s="127" t="s">
        <v>315</v>
      </c>
      <c r="L489" s="128" t="s">
        <v>284</v>
      </c>
      <c r="M489" s="430">
        <v>1234376</v>
      </c>
      <c r="N489" s="128">
        <v>1249569</v>
      </c>
      <c r="O489" s="128">
        <v>1</v>
      </c>
      <c r="P489" s="206">
        <v>179838</v>
      </c>
      <c r="Q489" s="425" t="s">
        <v>678</v>
      </c>
      <c r="R489" s="206">
        <v>44050</v>
      </c>
      <c r="S489" s="206" t="s">
        <v>3992</v>
      </c>
      <c r="T489" s="206" t="s">
        <v>676</v>
      </c>
    </row>
    <row r="490" spans="11:33" ht="44" thickBot="1" x14ac:dyDescent="0.3">
      <c r="K490" s="127" t="s">
        <v>315</v>
      </c>
      <c r="L490" s="128" t="s">
        <v>684</v>
      </c>
      <c r="M490" s="430">
        <v>1245431</v>
      </c>
      <c r="N490" s="128">
        <v>1251098</v>
      </c>
      <c r="O490" s="128">
        <v>1</v>
      </c>
      <c r="P490" s="206">
        <v>179838</v>
      </c>
      <c r="Q490" s="206" t="s">
        <v>3957</v>
      </c>
      <c r="R490" s="206">
        <v>44050</v>
      </c>
      <c r="S490" s="206" t="s">
        <v>3992</v>
      </c>
      <c r="T490" s="206" t="s">
        <v>676</v>
      </c>
    </row>
    <row r="491" spans="11:33" ht="44" thickBot="1" x14ac:dyDescent="0.3">
      <c r="K491" s="127" t="s">
        <v>316</v>
      </c>
      <c r="L491" s="201" t="s">
        <v>291</v>
      </c>
      <c r="M491" s="430">
        <v>1228782</v>
      </c>
      <c r="N491" s="128">
        <v>1058252</v>
      </c>
      <c r="O491" s="128">
        <v>1</v>
      </c>
      <c r="P491" s="206">
        <v>179849</v>
      </c>
      <c r="Q491" s="206" t="s">
        <v>3958</v>
      </c>
      <c r="R491" s="206">
        <v>44060</v>
      </c>
      <c r="S491" s="206" t="s">
        <v>3981</v>
      </c>
      <c r="T491" s="206" t="s">
        <v>676</v>
      </c>
    </row>
    <row r="492" spans="11:33" ht="44" thickBot="1" x14ac:dyDescent="0.3">
      <c r="K492" s="130" t="s">
        <v>315</v>
      </c>
      <c r="L492" s="129" t="s">
        <v>695</v>
      </c>
      <c r="M492" s="430">
        <v>2021071</v>
      </c>
      <c r="N492" s="129" t="s">
        <v>718</v>
      </c>
      <c r="O492" s="129">
        <v>1</v>
      </c>
      <c r="P492" s="206" t="s">
        <v>103</v>
      </c>
      <c r="Q492" s="206" t="s">
        <v>103</v>
      </c>
      <c r="R492" s="425">
        <v>44050</v>
      </c>
      <c r="S492" s="425" t="s">
        <v>3992</v>
      </c>
      <c r="T492" s="206" t="s">
        <v>681</v>
      </c>
      <c r="X492" s="114" t="s">
        <v>338</v>
      </c>
      <c r="Y492" s="27" t="s">
        <v>600</v>
      </c>
      <c r="Z492" s="27" t="s">
        <v>322</v>
      </c>
      <c r="AA492" s="27" t="s">
        <v>325</v>
      </c>
      <c r="AB492" s="27" t="s">
        <v>326</v>
      </c>
      <c r="AC492" s="27" t="s">
        <v>327</v>
      </c>
      <c r="AD492" s="27" t="s">
        <v>601</v>
      </c>
      <c r="AE492" s="114" t="s">
        <v>602</v>
      </c>
      <c r="AF492" s="27" t="s">
        <v>328</v>
      </c>
      <c r="AG492" s="521" t="s">
        <v>516</v>
      </c>
    </row>
    <row r="493" spans="11:33" ht="16" x14ac:dyDescent="0.35">
      <c r="Q493" s="283"/>
      <c r="AA493" t="s">
        <v>304</v>
      </c>
      <c r="AB493" t="s">
        <v>630</v>
      </c>
      <c r="AC493" t="s">
        <v>828</v>
      </c>
      <c r="AD493" t="s">
        <v>676</v>
      </c>
      <c r="AE493">
        <v>1228690</v>
      </c>
      <c r="AF493">
        <v>960723</v>
      </c>
    </row>
    <row r="494" spans="11:33" ht="16" x14ac:dyDescent="0.35">
      <c r="Q494" s="283"/>
      <c r="AA494" t="s">
        <v>304</v>
      </c>
      <c r="AB494" t="s">
        <v>630</v>
      </c>
      <c r="AC494" t="s">
        <v>828</v>
      </c>
      <c r="AD494" t="s">
        <v>676</v>
      </c>
      <c r="AE494">
        <v>1228690</v>
      </c>
      <c r="AF494">
        <v>960723</v>
      </c>
    </row>
    <row r="495" spans="11:33" ht="16" x14ac:dyDescent="0.35">
      <c r="K495" t="s">
        <v>304</v>
      </c>
      <c r="L495" t="s">
        <v>630</v>
      </c>
      <c r="M495">
        <v>1228690</v>
      </c>
      <c r="N495">
        <v>960723</v>
      </c>
      <c r="O495">
        <v>4</v>
      </c>
      <c r="P495">
        <v>330432</v>
      </c>
      <c r="Q495" s="283" t="s">
        <v>3868</v>
      </c>
      <c r="R495" t="s">
        <v>103</v>
      </c>
      <c r="S495" t="s">
        <v>103</v>
      </c>
      <c r="T495" t="s">
        <v>676</v>
      </c>
      <c r="U495" t="str">
        <f>CONCATENATE(P495," ",Q495," ",R495," ",S495," ",S495)</f>
        <v>330432 UPPER SECTION 2 3/8 REG SS DU765 N/A N/A N/A</v>
      </c>
      <c r="AA495" t="s">
        <v>304</v>
      </c>
      <c r="AB495" t="s">
        <v>630</v>
      </c>
      <c r="AC495" t="s">
        <v>828</v>
      </c>
      <c r="AD495" t="s">
        <v>676</v>
      </c>
      <c r="AE495">
        <v>1228690</v>
      </c>
      <c r="AF495">
        <v>960723</v>
      </c>
    </row>
    <row r="496" spans="11:33" ht="16" x14ac:dyDescent="0.35">
      <c r="K496" t="s">
        <v>304</v>
      </c>
      <c r="L496" t="s">
        <v>630</v>
      </c>
      <c r="M496">
        <v>1228690</v>
      </c>
      <c r="N496">
        <v>960723</v>
      </c>
      <c r="O496">
        <v>4</v>
      </c>
      <c r="P496">
        <v>330432</v>
      </c>
      <c r="Q496" s="283" t="s">
        <v>3868</v>
      </c>
      <c r="R496" t="s">
        <v>103</v>
      </c>
      <c r="S496" t="s">
        <v>103</v>
      </c>
      <c r="T496" t="s">
        <v>676</v>
      </c>
      <c r="U496" t="str">
        <f t="shared" ref="U496:U521" si="2">CONCATENATE(P496," ",Q496," ",R496," ",S496," ",S496)</f>
        <v>330432 UPPER SECTION 2 3/8 REG SS DU765 N/A N/A N/A</v>
      </c>
      <c r="AA496" t="s">
        <v>304</v>
      </c>
      <c r="AB496" t="s">
        <v>630</v>
      </c>
      <c r="AC496" t="s">
        <v>828</v>
      </c>
      <c r="AD496" t="s">
        <v>676</v>
      </c>
      <c r="AE496">
        <v>1228690</v>
      </c>
      <c r="AF496">
        <v>960723</v>
      </c>
    </row>
    <row r="497" spans="11:32" ht="16" x14ac:dyDescent="0.35">
      <c r="K497" t="s">
        <v>304</v>
      </c>
      <c r="L497" t="s">
        <v>630</v>
      </c>
      <c r="M497">
        <v>1228690</v>
      </c>
      <c r="N497">
        <v>960723</v>
      </c>
      <c r="O497">
        <v>4</v>
      </c>
      <c r="P497">
        <v>330432</v>
      </c>
      <c r="Q497" s="283" t="s">
        <v>3868</v>
      </c>
      <c r="R497" t="s">
        <v>103</v>
      </c>
      <c r="S497" t="s">
        <v>103</v>
      </c>
      <c r="T497" t="s">
        <v>676</v>
      </c>
      <c r="U497" t="str">
        <f t="shared" si="2"/>
        <v>330432 UPPER SECTION 2 3/8 REG SS DU765 N/A N/A N/A</v>
      </c>
      <c r="AA497" t="s">
        <v>631</v>
      </c>
      <c r="AB497" t="s">
        <v>645</v>
      </c>
      <c r="AC497" t="s">
        <v>829</v>
      </c>
      <c r="AD497" t="s">
        <v>681</v>
      </c>
      <c r="AE497">
        <v>2017993</v>
      </c>
      <c r="AF497">
        <v>2021865</v>
      </c>
    </row>
    <row r="498" spans="11:32" ht="16" x14ac:dyDescent="0.35">
      <c r="K498" t="s">
        <v>304</v>
      </c>
      <c r="L498" t="s">
        <v>630</v>
      </c>
      <c r="M498">
        <v>1228690</v>
      </c>
      <c r="N498">
        <v>960723</v>
      </c>
      <c r="O498">
        <v>4</v>
      </c>
      <c r="P498">
        <v>330432</v>
      </c>
      <c r="Q498" s="283" t="s">
        <v>3868</v>
      </c>
      <c r="R498" t="s">
        <v>103</v>
      </c>
      <c r="S498" t="s">
        <v>103</v>
      </c>
      <c r="T498" t="s">
        <v>676</v>
      </c>
      <c r="U498" t="str">
        <f t="shared" si="2"/>
        <v>330432 UPPER SECTION 2 3/8 REG SS DU765 N/A N/A N/A</v>
      </c>
      <c r="AA498" t="s">
        <v>631</v>
      </c>
      <c r="AB498" t="s">
        <v>645</v>
      </c>
      <c r="AC498" t="s">
        <v>829</v>
      </c>
      <c r="AD498" t="s">
        <v>681</v>
      </c>
      <c r="AE498">
        <v>2017993</v>
      </c>
      <c r="AF498">
        <v>2021865</v>
      </c>
    </row>
    <row r="499" spans="11:32" ht="16" x14ac:dyDescent="0.35">
      <c r="K499" t="s">
        <v>631</v>
      </c>
      <c r="L499" t="s">
        <v>645</v>
      </c>
      <c r="M499">
        <v>2017993</v>
      </c>
      <c r="N499">
        <v>2021865</v>
      </c>
      <c r="O499">
        <v>4</v>
      </c>
      <c r="Q499" s="283"/>
      <c r="R499">
        <v>44030</v>
      </c>
      <c r="S499" t="s">
        <v>3976</v>
      </c>
      <c r="T499" t="s">
        <v>681</v>
      </c>
      <c r="U499" t="str">
        <f t="shared" si="2"/>
        <v xml:space="preserve">  44030 44030 REV I BREAKER PLATE 44030 REV I BREAKER PLATE</v>
      </c>
      <c r="AA499" t="s">
        <v>631</v>
      </c>
      <c r="AB499" t="s">
        <v>645</v>
      </c>
      <c r="AC499" t="s">
        <v>829</v>
      </c>
      <c r="AD499" t="s">
        <v>681</v>
      </c>
      <c r="AE499">
        <v>2017993</v>
      </c>
      <c r="AF499">
        <v>2021865</v>
      </c>
    </row>
    <row r="500" spans="11:32" ht="16" x14ac:dyDescent="0.35">
      <c r="K500" t="s">
        <v>631</v>
      </c>
      <c r="L500" t="s">
        <v>645</v>
      </c>
      <c r="M500">
        <v>2017993</v>
      </c>
      <c r="N500">
        <v>2021865</v>
      </c>
      <c r="O500">
        <v>4</v>
      </c>
      <c r="Q500" s="283"/>
      <c r="R500">
        <v>44030</v>
      </c>
      <c r="S500" t="s">
        <v>3976</v>
      </c>
      <c r="T500" t="s">
        <v>681</v>
      </c>
      <c r="U500" t="str">
        <f t="shared" si="2"/>
        <v xml:space="preserve">  44030 44030 REV I BREAKER PLATE 44030 REV I BREAKER PLATE</v>
      </c>
      <c r="AA500" t="s">
        <v>631</v>
      </c>
      <c r="AB500" t="s">
        <v>645</v>
      </c>
      <c r="AC500" t="s">
        <v>829</v>
      </c>
      <c r="AD500" t="s">
        <v>681</v>
      </c>
      <c r="AE500">
        <v>2017993</v>
      </c>
      <c r="AF500">
        <v>2021865</v>
      </c>
    </row>
    <row r="501" spans="11:32" ht="16" x14ac:dyDescent="0.35">
      <c r="K501" t="s">
        <v>631</v>
      </c>
      <c r="L501" t="s">
        <v>645</v>
      </c>
      <c r="M501">
        <v>2017993</v>
      </c>
      <c r="N501">
        <v>2021865</v>
      </c>
      <c r="O501">
        <v>4</v>
      </c>
      <c r="Q501" s="283"/>
      <c r="R501">
        <v>44030</v>
      </c>
      <c r="S501" t="s">
        <v>3976</v>
      </c>
      <c r="T501" t="s">
        <v>681</v>
      </c>
      <c r="U501" t="str">
        <f t="shared" si="2"/>
        <v xml:space="preserve">  44030 44030 REV I BREAKER PLATE 44030 REV I BREAKER PLATE</v>
      </c>
      <c r="AA501" t="s">
        <v>313</v>
      </c>
      <c r="AB501" t="s">
        <v>273</v>
      </c>
      <c r="AC501" t="s">
        <v>830</v>
      </c>
      <c r="AD501" t="s">
        <v>681</v>
      </c>
      <c r="AE501">
        <v>1246020</v>
      </c>
      <c r="AF501">
        <v>2009246</v>
      </c>
    </row>
    <row r="502" spans="11:32" ht="16" x14ac:dyDescent="0.35">
      <c r="K502" t="s">
        <v>631</v>
      </c>
      <c r="L502" t="s">
        <v>645</v>
      </c>
      <c r="M502">
        <v>2017993</v>
      </c>
      <c r="N502">
        <v>2021865</v>
      </c>
      <c r="O502">
        <v>4</v>
      </c>
      <c r="Q502" s="283"/>
      <c r="R502">
        <v>44030</v>
      </c>
      <c r="S502" t="s">
        <v>3976</v>
      </c>
      <c r="T502" t="s">
        <v>681</v>
      </c>
      <c r="U502" t="str">
        <f t="shared" si="2"/>
        <v xml:space="preserve">  44030 44030 REV I BREAKER PLATE 44030 REV I BREAKER PLATE</v>
      </c>
      <c r="AA502" t="s">
        <v>313</v>
      </c>
      <c r="AB502" t="s">
        <v>314</v>
      </c>
      <c r="AC502" t="s">
        <v>831</v>
      </c>
      <c r="AD502" t="s">
        <v>676</v>
      </c>
      <c r="AE502">
        <v>2016137</v>
      </c>
      <c r="AF502" t="s">
        <v>775</v>
      </c>
    </row>
    <row r="503" spans="11:32" ht="16" x14ac:dyDescent="0.35">
      <c r="K503" t="s">
        <v>313</v>
      </c>
      <c r="L503" t="s">
        <v>273</v>
      </c>
      <c r="M503">
        <v>1246020</v>
      </c>
      <c r="N503">
        <v>2009246</v>
      </c>
      <c r="O503">
        <v>1</v>
      </c>
      <c r="P503" t="s">
        <v>103</v>
      </c>
      <c r="Q503" s="283" t="s">
        <v>103</v>
      </c>
      <c r="R503">
        <v>44040</v>
      </c>
      <c r="S503" t="s">
        <v>3978</v>
      </c>
      <c r="T503" t="s">
        <v>681</v>
      </c>
      <c r="U503" t="str">
        <f t="shared" si="2"/>
        <v>N/A N/A 44040 44040 REV H BREAKER PLATE 44040 REV H BREAKER PLATE</v>
      </c>
      <c r="AA503" t="s">
        <v>313</v>
      </c>
      <c r="AB503" t="s">
        <v>314</v>
      </c>
      <c r="AC503" t="s">
        <v>831</v>
      </c>
      <c r="AD503" t="s">
        <v>676</v>
      </c>
      <c r="AE503">
        <v>2016137</v>
      </c>
      <c r="AF503" t="s">
        <v>775</v>
      </c>
    </row>
    <row r="504" spans="11:32" ht="16" x14ac:dyDescent="0.35">
      <c r="K504" t="s">
        <v>313</v>
      </c>
      <c r="L504" t="s">
        <v>314</v>
      </c>
      <c r="M504">
        <v>2016137</v>
      </c>
      <c r="N504" t="s">
        <v>775</v>
      </c>
      <c r="O504">
        <v>3</v>
      </c>
      <c r="P504">
        <v>179836</v>
      </c>
      <c r="Q504" s="283" t="s">
        <v>3894</v>
      </c>
      <c r="R504">
        <v>44040</v>
      </c>
      <c r="S504" t="s">
        <v>3978</v>
      </c>
      <c r="T504" t="s">
        <v>676</v>
      </c>
      <c r="U504" t="str">
        <f t="shared" si="2"/>
        <v>179836 UPPER SECTION 4-1/2 REG DU412 44040 44040 REV H BREAKER PLATE 44040 REV H BREAKER PLATE</v>
      </c>
      <c r="AA504" t="s">
        <v>313</v>
      </c>
      <c r="AB504" t="s">
        <v>314</v>
      </c>
      <c r="AC504" t="s">
        <v>831</v>
      </c>
      <c r="AD504" t="s">
        <v>676</v>
      </c>
      <c r="AE504">
        <v>2016137</v>
      </c>
      <c r="AF504" t="s">
        <v>775</v>
      </c>
    </row>
    <row r="505" spans="11:32" ht="16" x14ac:dyDescent="0.35">
      <c r="K505" t="s">
        <v>313</v>
      </c>
      <c r="L505" t="s">
        <v>314</v>
      </c>
      <c r="M505">
        <v>2016137</v>
      </c>
      <c r="N505" t="s">
        <v>775</v>
      </c>
      <c r="O505">
        <v>3</v>
      </c>
      <c r="P505">
        <v>179836</v>
      </c>
      <c r="Q505" s="283" t="s">
        <v>3894</v>
      </c>
      <c r="R505">
        <v>44040</v>
      </c>
      <c r="S505" t="s">
        <v>3978</v>
      </c>
      <c r="T505" t="s">
        <v>676</v>
      </c>
      <c r="U505" t="str">
        <f t="shared" si="2"/>
        <v>179836 UPPER SECTION 4-1/2 REG DU412 44040 44040 REV H BREAKER PLATE 44040 REV H BREAKER PLATE</v>
      </c>
      <c r="AA505" t="s">
        <v>313</v>
      </c>
      <c r="AB505" t="s">
        <v>645</v>
      </c>
      <c r="AC505" t="s">
        <v>830</v>
      </c>
      <c r="AD505" t="s">
        <v>681</v>
      </c>
      <c r="AE505">
        <v>1267027</v>
      </c>
      <c r="AF505">
        <v>1283630</v>
      </c>
    </row>
    <row r="506" spans="11:32" ht="16" x14ac:dyDescent="0.35">
      <c r="K506" t="s">
        <v>313</v>
      </c>
      <c r="L506" t="s">
        <v>314</v>
      </c>
      <c r="M506">
        <v>2016137</v>
      </c>
      <c r="N506" t="s">
        <v>775</v>
      </c>
      <c r="O506">
        <v>3</v>
      </c>
      <c r="P506">
        <v>179836</v>
      </c>
      <c r="Q506" s="283" t="s">
        <v>3894</v>
      </c>
      <c r="R506">
        <v>44040</v>
      </c>
      <c r="S506" t="s">
        <v>3978</v>
      </c>
      <c r="T506" t="s">
        <v>676</v>
      </c>
      <c r="U506" t="str">
        <f t="shared" si="2"/>
        <v>179836 UPPER SECTION 4-1/2 REG DU412 44040 44040 REV H BREAKER PLATE 44040 REV H BREAKER PLATE</v>
      </c>
      <c r="AA506" t="s">
        <v>624</v>
      </c>
      <c r="AB506" t="s">
        <v>663</v>
      </c>
      <c r="AC506" t="s">
        <v>4004</v>
      </c>
      <c r="AD506" t="s">
        <v>681</v>
      </c>
      <c r="AE506">
        <v>1269498</v>
      </c>
      <c r="AF506">
        <v>1276939</v>
      </c>
    </row>
    <row r="507" spans="11:32" ht="16" x14ac:dyDescent="0.35">
      <c r="K507" t="s">
        <v>313</v>
      </c>
      <c r="L507" t="s">
        <v>645</v>
      </c>
      <c r="M507">
        <v>1267027</v>
      </c>
      <c r="N507">
        <v>1283630</v>
      </c>
      <c r="O507">
        <v>1</v>
      </c>
      <c r="P507" t="s">
        <v>103</v>
      </c>
      <c r="Q507" s="283" t="s">
        <v>103</v>
      </c>
      <c r="R507">
        <v>44040</v>
      </c>
      <c r="S507" t="s">
        <v>3978</v>
      </c>
      <c r="T507" t="s">
        <v>681</v>
      </c>
      <c r="U507" t="str">
        <f t="shared" si="2"/>
        <v>N/A N/A 44040 44040 REV H BREAKER PLATE 44040 REV H BREAKER PLATE</v>
      </c>
      <c r="AA507" t="s">
        <v>624</v>
      </c>
      <c r="AB507" t="s">
        <v>663</v>
      </c>
      <c r="AC507" t="s">
        <v>4004</v>
      </c>
      <c r="AD507" t="s">
        <v>681</v>
      </c>
      <c r="AE507">
        <v>1269498</v>
      </c>
      <c r="AF507">
        <v>1276939</v>
      </c>
    </row>
    <row r="508" spans="11:32" ht="16" x14ac:dyDescent="0.35">
      <c r="K508" t="s">
        <v>624</v>
      </c>
      <c r="L508" t="s">
        <v>663</v>
      </c>
      <c r="M508">
        <v>1269498</v>
      </c>
      <c r="N508">
        <v>1276939</v>
      </c>
      <c r="O508">
        <v>10</v>
      </c>
      <c r="P508" t="s">
        <v>103</v>
      </c>
      <c r="Q508" s="283" t="s">
        <v>103</v>
      </c>
      <c r="R508">
        <v>44071</v>
      </c>
      <c r="S508" t="s">
        <v>3990</v>
      </c>
      <c r="T508" t="s">
        <v>681</v>
      </c>
      <c r="U508" t="str">
        <f t="shared" si="2"/>
        <v>N/A N/A 44071 44071 REV I BREAKER PLATE 44071 REV I BREAKER PLATE</v>
      </c>
      <c r="AA508" t="s">
        <v>624</v>
      </c>
      <c r="AB508" t="s">
        <v>663</v>
      </c>
      <c r="AC508" t="s">
        <v>4004</v>
      </c>
      <c r="AD508" t="s">
        <v>681</v>
      </c>
      <c r="AE508">
        <v>1269498</v>
      </c>
      <c r="AF508">
        <v>1276939</v>
      </c>
    </row>
    <row r="509" spans="11:32" ht="16" x14ac:dyDescent="0.35">
      <c r="K509" t="s">
        <v>624</v>
      </c>
      <c r="L509" t="s">
        <v>663</v>
      </c>
      <c r="M509">
        <v>1269498</v>
      </c>
      <c r="N509">
        <v>1276939</v>
      </c>
      <c r="O509">
        <v>10</v>
      </c>
      <c r="P509" t="s">
        <v>103</v>
      </c>
      <c r="Q509" s="283" t="s">
        <v>103</v>
      </c>
      <c r="R509">
        <v>44071</v>
      </c>
      <c r="S509" t="s">
        <v>3990</v>
      </c>
      <c r="T509" t="s">
        <v>681</v>
      </c>
      <c r="U509" t="str">
        <f t="shared" si="2"/>
        <v>N/A N/A 44071 44071 REV I BREAKER PLATE 44071 REV I BREAKER PLATE</v>
      </c>
      <c r="AA509" t="s">
        <v>624</v>
      </c>
      <c r="AB509" t="s">
        <v>663</v>
      </c>
      <c r="AC509" t="s">
        <v>4004</v>
      </c>
      <c r="AD509" t="s">
        <v>681</v>
      </c>
      <c r="AE509">
        <v>1269498</v>
      </c>
      <c r="AF509">
        <v>1276939</v>
      </c>
    </row>
    <row r="510" spans="11:32" ht="16" x14ac:dyDescent="0.35">
      <c r="K510" t="s">
        <v>624</v>
      </c>
      <c r="L510" t="s">
        <v>663</v>
      </c>
      <c r="M510">
        <v>1269498</v>
      </c>
      <c r="N510">
        <v>1276939</v>
      </c>
      <c r="O510">
        <v>10</v>
      </c>
      <c r="P510" t="s">
        <v>103</v>
      </c>
      <c r="Q510" s="283" t="s">
        <v>103</v>
      </c>
      <c r="R510">
        <v>44071</v>
      </c>
      <c r="S510" t="s">
        <v>3990</v>
      </c>
      <c r="T510" t="s">
        <v>681</v>
      </c>
      <c r="U510" t="str">
        <f t="shared" si="2"/>
        <v>N/A N/A 44071 44071 REV I BREAKER PLATE 44071 REV I BREAKER PLATE</v>
      </c>
      <c r="AA510" t="s">
        <v>624</v>
      </c>
      <c r="AB510" t="s">
        <v>663</v>
      </c>
      <c r="AC510" t="s">
        <v>4004</v>
      </c>
      <c r="AD510" t="s">
        <v>681</v>
      </c>
      <c r="AE510">
        <v>1269498</v>
      </c>
      <c r="AF510">
        <v>1276939</v>
      </c>
    </row>
    <row r="511" spans="11:32" ht="16" x14ac:dyDescent="0.35">
      <c r="K511" t="s">
        <v>624</v>
      </c>
      <c r="L511" t="s">
        <v>663</v>
      </c>
      <c r="M511">
        <v>1269498</v>
      </c>
      <c r="N511">
        <v>1276939</v>
      </c>
      <c r="O511">
        <v>10</v>
      </c>
      <c r="P511" t="s">
        <v>103</v>
      </c>
      <c r="Q511" s="283" t="s">
        <v>103</v>
      </c>
      <c r="R511">
        <v>44071</v>
      </c>
      <c r="S511" t="s">
        <v>3990</v>
      </c>
      <c r="T511" t="s">
        <v>681</v>
      </c>
      <c r="U511" t="str">
        <f t="shared" si="2"/>
        <v>N/A N/A 44071 44071 REV I BREAKER PLATE 44071 REV I BREAKER PLATE</v>
      </c>
      <c r="AA511" t="s">
        <v>624</v>
      </c>
      <c r="AB511" t="s">
        <v>663</v>
      </c>
      <c r="AC511" t="s">
        <v>4004</v>
      </c>
      <c r="AD511" t="s">
        <v>681</v>
      </c>
      <c r="AE511">
        <v>1269498</v>
      </c>
      <c r="AF511">
        <v>1276939</v>
      </c>
    </row>
    <row r="512" spans="11:32" ht="16" x14ac:dyDescent="0.35">
      <c r="K512" t="s">
        <v>624</v>
      </c>
      <c r="L512" t="s">
        <v>663</v>
      </c>
      <c r="M512">
        <v>1269498</v>
      </c>
      <c r="N512">
        <v>1276939</v>
      </c>
      <c r="O512">
        <v>10</v>
      </c>
      <c r="P512" t="s">
        <v>103</v>
      </c>
      <c r="Q512" s="283" t="s">
        <v>103</v>
      </c>
      <c r="R512">
        <v>44071</v>
      </c>
      <c r="S512" t="s">
        <v>3990</v>
      </c>
      <c r="T512" t="s">
        <v>681</v>
      </c>
      <c r="U512" t="str">
        <f t="shared" si="2"/>
        <v>N/A N/A 44071 44071 REV I BREAKER PLATE 44071 REV I BREAKER PLATE</v>
      </c>
      <c r="AA512" t="s">
        <v>624</v>
      </c>
      <c r="AB512" t="s">
        <v>663</v>
      </c>
      <c r="AC512" t="s">
        <v>4004</v>
      </c>
      <c r="AD512" t="s">
        <v>681</v>
      </c>
      <c r="AE512">
        <v>1269498</v>
      </c>
      <c r="AF512">
        <v>1276939</v>
      </c>
    </row>
    <row r="513" spans="11:32" ht="16" x14ac:dyDescent="0.35">
      <c r="K513" t="s">
        <v>624</v>
      </c>
      <c r="L513" t="s">
        <v>663</v>
      </c>
      <c r="M513">
        <v>1269498</v>
      </c>
      <c r="N513">
        <v>1276939</v>
      </c>
      <c r="O513">
        <v>10</v>
      </c>
      <c r="P513" t="s">
        <v>103</v>
      </c>
      <c r="Q513" s="283" t="s">
        <v>103</v>
      </c>
      <c r="R513">
        <v>44071</v>
      </c>
      <c r="S513" t="s">
        <v>3990</v>
      </c>
      <c r="T513" t="s">
        <v>681</v>
      </c>
      <c r="U513" t="str">
        <f t="shared" si="2"/>
        <v>N/A N/A 44071 44071 REV I BREAKER PLATE 44071 REV I BREAKER PLATE</v>
      </c>
      <c r="AA513" t="s">
        <v>624</v>
      </c>
      <c r="AB513" t="s">
        <v>663</v>
      </c>
      <c r="AC513" t="s">
        <v>4004</v>
      </c>
      <c r="AD513" t="s">
        <v>681</v>
      </c>
      <c r="AE513">
        <v>1269498</v>
      </c>
      <c r="AF513">
        <v>1276939</v>
      </c>
    </row>
    <row r="514" spans="11:32" ht="16" x14ac:dyDescent="0.35">
      <c r="K514" t="s">
        <v>624</v>
      </c>
      <c r="L514" t="s">
        <v>663</v>
      </c>
      <c r="M514">
        <v>1269498</v>
      </c>
      <c r="N514">
        <v>1276939</v>
      </c>
      <c r="O514">
        <v>10</v>
      </c>
      <c r="P514" t="s">
        <v>103</v>
      </c>
      <c r="Q514" s="283" t="s">
        <v>103</v>
      </c>
      <c r="R514">
        <v>44071</v>
      </c>
      <c r="S514" t="s">
        <v>3990</v>
      </c>
      <c r="T514" t="s">
        <v>681</v>
      </c>
      <c r="U514" t="str">
        <f t="shared" si="2"/>
        <v>N/A N/A 44071 44071 REV I BREAKER PLATE 44071 REV I BREAKER PLATE</v>
      </c>
      <c r="AA514" t="s">
        <v>624</v>
      </c>
      <c r="AB514" t="s">
        <v>663</v>
      </c>
      <c r="AC514" t="s">
        <v>4004</v>
      </c>
      <c r="AD514" t="s">
        <v>681</v>
      </c>
      <c r="AE514">
        <v>1269498</v>
      </c>
      <c r="AF514">
        <v>1276939</v>
      </c>
    </row>
    <row r="515" spans="11:32" ht="16" x14ac:dyDescent="0.35">
      <c r="K515" t="s">
        <v>624</v>
      </c>
      <c r="L515" t="s">
        <v>663</v>
      </c>
      <c r="M515">
        <v>1269498</v>
      </c>
      <c r="N515">
        <v>1276939</v>
      </c>
      <c r="O515">
        <v>10</v>
      </c>
      <c r="P515" t="s">
        <v>103</v>
      </c>
      <c r="Q515" s="283" t="s">
        <v>103</v>
      </c>
      <c r="R515">
        <v>44071</v>
      </c>
      <c r="S515" t="s">
        <v>3990</v>
      </c>
      <c r="T515" t="s">
        <v>681</v>
      </c>
      <c r="U515" t="str">
        <f t="shared" si="2"/>
        <v>N/A N/A 44071 44071 REV I BREAKER PLATE 44071 REV I BREAKER PLATE</v>
      </c>
      <c r="AA515" t="s">
        <v>624</v>
      </c>
      <c r="AB515" t="s">
        <v>663</v>
      </c>
      <c r="AC515" t="s">
        <v>4004</v>
      </c>
      <c r="AD515" t="s">
        <v>681</v>
      </c>
      <c r="AE515">
        <v>1269498</v>
      </c>
      <c r="AF515">
        <v>1276939</v>
      </c>
    </row>
    <row r="516" spans="11:32" ht="16" x14ac:dyDescent="0.35">
      <c r="K516" t="s">
        <v>624</v>
      </c>
      <c r="L516" t="s">
        <v>663</v>
      </c>
      <c r="M516">
        <v>1269498</v>
      </c>
      <c r="N516">
        <v>1276939</v>
      </c>
      <c r="O516">
        <v>10</v>
      </c>
      <c r="P516" t="s">
        <v>103</v>
      </c>
      <c r="Q516" s="283" t="s">
        <v>103</v>
      </c>
      <c r="R516">
        <v>44071</v>
      </c>
      <c r="S516" t="s">
        <v>3990</v>
      </c>
      <c r="T516" t="s">
        <v>681</v>
      </c>
      <c r="U516" t="str">
        <f t="shared" si="2"/>
        <v>N/A N/A 44071 44071 REV I BREAKER PLATE 44071 REV I BREAKER PLATE</v>
      </c>
      <c r="AA516" t="s">
        <v>315</v>
      </c>
      <c r="AB516" t="s">
        <v>284</v>
      </c>
      <c r="AC516" t="s">
        <v>832</v>
      </c>
      <c r="AD516" t="s">
        <v>676</v>
      </c>
      <c r="AE516">
        <v>1234376</v>
      </c>
      <c r="AF516">
        <v>1249569</v>
      </c>
    </row>
    <row r="517" spans="11:32" ht="16" x14ac:dyDescent="0.35">
      <c r="K517" t="s">
        <v>624</v>
      </c>
      <c r="L517" t="s">
        <v>663</v>
      </c>
      <c r="M517">
        <v>1269498</v>
      </c>
      <c r="N517">
        <v>1276939</v>
      </c>
      <c r="O517">
        <v>10</v>
      </c>
      <c r="P517" t="s">
        <v>103</v>
      </c>
      <c r="Q517" s="283" t="s">
        <v>103</v>
      </c>
      <c r="R517">
        <v>44071</v>
      </c>
      <c r="S517" t="s">
        <v>3990</v>
      </c>
      <c r="T517" t="s">
        <v>681</v>
      </c>
      <c r="U517" t="str">
        <f t="shared" si="2"/>
        <v>N/A N/A 44071 44071 REV I BREAKER PLATE 44071 REV I BREAKER PLATE</v>
      </c>
      <c r="AA517" t="s">
        <v>315</v>
      </c>
      <c r="AB517" t="s">
        <v>684</v>
      </c>
      <c r="AC517" t="s">
        <v>833</v>
      </c>
      <c r="AD517" t="s">
        <v>676</v>
      </c>
      <c r="AE517">
        <v>1245431</v>
      </c>
      <c r="AF517">
        <v>1251098</v>
      </c>
    </row>
    <row r="518" spans="11:32" ht="16" x14ac:dyDescent="0.35">
      <c r="K518" t="s">
        <v>315</v>
      </c>
      <c r="L518" t="s">
        <v>284</v>
      </c>
      <c r="M518">
        <v>1234376</v>
      </c>
      <c r="N518">
        <v>1249569</v>
      </c>
      <c r="O518">
        <v>1</v>
      </c>
      <c r="P518">
        <v>179838</v>
      </c>
      <c r="Q518" s="283" t="s">
        <v>678</v>
      </c>
      <c r="R518">
        <v>44050</v>
      </c>
      <c r="S518" t="s">
        <v>3992</v>
      </c>
      <c r="T518" t="s">
        <v>676</v>
      </c>
      <c r="U518" t="str">
        <f t="shared" si="2"/>
        <v>179838 UPPER SECTION 6-5/8 REG DU659 44050 44050 REV K BREAKER PLATE 44050 REV K BREAKER PLATE</v>
      </c>
      <c r="AA518" t="s">
        <v>316</v>
      </c>
      <c r="AB518" t="s">
        <v>291</v>
      </c>
      <c r="AC518" t="s">
        <v>834</v>
      </c>
      <c r="AD518" t="s">
        <v>676</v>
      </c>
      <c r="AE518">
        <v>1228782</v>
      </c>
      <c r="AF518">
        <v>1058252</v>
      </c>
    </row>
    <row r="519" spans="11:32" ht="16" x14ac:dyDescent="0.35">
      <c r="K519" t="s">
        <v>315</v>
      </c>
      <c r="L519" t="s">
        <v>684</v>
      </c>
      <c r="M519">
        <v>1245431</v>
      </c>
      <c r="N519">
        <v>1251098</v>
      </c>
      <c r="O519">
        <v>1</v>
      </c>
      <c r="P519">
        <v>179838</v>
      </c>
      <c r="Q519" s="283" t="s">
        <v>3957</v>
      </c>
      <c r="R519">
        <v>44050</v>
      </c>
      <c r="S519" t="s">
        <v>3992</v>
      </c>
      <c r="T519" t="s">
        <v>676</v>
      </c>
      <c r="U519" t="str">
        <f t="shared" si="2"/>
        <v>179838 U/S 6-5/8 REG LG STD SRG DU659 44050 44050 REV K BREAKER PLATE 44050 REV K BREAKER PLATE</v>
      </c>
      <c r="AA519" t="s">
        <v>315</v>
      </c>
      <c r="AB519" t="s">
        <v>695</v>
      </c>
      <c r="AC519" t="s">
        <v>835</v>
      </c>
      <c r="AD519" t="s">
        <v>681</v>
      </c>
      <c r="AE519">
        <v>2021071</v>
      </c>
      <c r="AF519" t="s">
        <v>718</v>
      </c>
    </row>
    <row r="520" spans="11:32" ht="16" x14ac:dyDescent="0.35">
      <c r="K520" t="s">
        <v>316</v>
      </c>
      <c r="L520" t="s">
        <v>291</v>
      </c>
      <c r="M520">
        <v>1228782</v>
      </c>
      <c r="N520">
        <v>1058252</v>
      </c>
      <c r="O520">
        <v>1</v>
      </c>
      <c r="P520">
        <v>179849</v>
      </c>
      <c r="Q520" s="283" t="s">
        <v>3958</v>
      </c>
      <c r="R520">
        <v>44060</v>
      </c>
      <c r="S520" t="s">
        <v>3981</v>
      </c>
      <c r="T520" t="s">
        <v>676</v>
      </c>
      <c r="U520" t="str">
        <f t="shared" si="2"/>
        <v>179849 U/S 7-5/8 REG STD SRG DU758 44060 44060 BREAKER PLATE REV J 44060 BREAKER PLATE REV J</v>
      </c>
    </row>
    <row r="521" spans="11:32" ht="16" x14ac:dyDescent="0.35">
      <c r="K521" t="s">
        <v>315</v>
      </c>
      <c r="L521" t="s">
        <v>695</v>
      </c>
      <c r="M521">
        <v>2021071</v>
      </c>
      <c r="N521" t="s">
        <v>718</v>
      </c>
      <c r="O521">
        <v>1</v>
      </c>
      <c r="P521" t="s">
        <v>103</v>
      </c>
      <c r="Q521" s="283" t="s">
        <v>103</v>
      </c>
      <c r="R521">
        <v>44050</v>
      </c>
      <c r="S521" t="s">
        <v>3992</v>
      </c>
      <c r="T521" t="s">
        <v>681</v>
      </c>
      <c r="U521" t="str">
        <f t="shared" si="2"/>
        <v>N/A N/A 44050 44050 REV K BREAKER PLATE 44050 REV K BREAKER PLATE</v>
      </c>
    </row>
    <row r="530" spans="11:19" x14ac:dyDescent="0.25">
      <c r="K530" s="528">
        <v>20250201</v>
      </c>
      <c r="L530" s="529">
        <v>45851</v>
      </c>
      <c r="M530" s="528">
        <v>1</v>
      </c>
      <c r="N530" s="530">
        <v>2</v>
      </c>
      <c r="O530" s="530">
        <v>3.625</v>
      </c>
      <c r="P530" s="530"/>
      <c r="Q530" s="528" t="s">
        <v>636</v>
      </c>
      <c r="R530" s="528">
        <v>2016920</v>
      </c>
      <c r="S530" s="528" t="s">
        <v>814</v>
      </c>
    </row>
    <row r="531" spans="11:19" x14ac:dyDescent="0.25">
      <c r="K531" s="528">
        <v>20250201</v>
      </c>
      <c r="L531" s="529">
        <v>45851</v>
      </c>
      <c r="M531" s="528">
        <v>2</v>
      </c>
      <c r="N531" s="530">
        <v>2</v>
      </c>
      <c r="O531" s="530">
        <v>3.875</v>
      </c>
      <c r="P531" s="530"/>
      <c r="Q531" s="528" t="s">
        <v>308</v>
      </c>
      <c r="R531" s="528">
        <v>1224225</v>
      </c>
      <c r="S531" s="528" t="s">
        <v>814</v>
      </c>
    </row>
    <row r="532" spans="11:19" x14ac:dyDescent="0.25">
      <c r="K532" s="528">
        <v>20250201</v>
      </c>
      <c r="L532" s="529">
        <v>45851</v>
      </c>
      <c r="M532" s="528">
        <v>3</v>
      </c>
      <c r="N532" s="530">
        <v>6</v>
      </c>
      <c r="O532" s="530">
        <v>5.875</v>
      </c>
      <c r="P532" s="530"/>
      <c r="Q532" s="528" t="s">
        <v>645</v>
      </c>
      <c r="R532" s="528">
        <v>2017993</v>
      </c>
      <c r="S532" s="528" t="s">
        <v>813</v>
      </c>
    </row>
    <row r="533" spans="11:19" x14ac:dyDescent="0.25">
      <c r="K533" s="528">
        <v>20250201</v>
      </c>
      <c r="L533" s="529">
        <v>45851</v>
      </c>
      <c r="M533" s="528">
        <v>4</v>
      </c>
      <c r="N533" s="530">
        <v>1</v>
      </c>
      <c r="O533" s="530">
        <v>8.375</v>
      </c>
      <c r="P533" s="530"/>
      <c r="Q533" s="528" t="s">
        <v>836</v>
      </c>
      <c r="R533" s="528">
        <v>1239176</v>
      </c>
      <c r="S533" s="528" t="s">
        <v>813</v>
      </c>
    </row>
    <row r="534" spans="11:19" x14ac:dyDescent="0.25">
      <c r="K534" s="528">
        <v>20250201</v>
      </c>
      <c r="L534" s="529">
        <v>45851</v>
      </c>
      <c r="M534" s="528">
        <v>5</v>
      </c>
      <c r="N534" s="530">
        <v>1</v>
      </c>
      <c r="O534" s="530">
        <v>8.375</v>
      </c>
      <c r="P534" s="530"/>
      <c r="Q534" s="528" t="s">
        <v>703</v>
      </c>
      <c r="R534" s="528">
        <v>1272920</v>
      </c>
      <c r="S534" s="528" t="s">
        <v>813</v>
      </c>
    </row>
    <row r="535" spans="11:19" x14ac:dyDescent="0.25">
      <c r="K535" s="528">
        <v>20250201</v>
      </c>
      <c r="L535" s="529">
        <v>45851</v>
      </c>
      <c r="M535" s="528">
        <v>6</v>
      </c>
      <c r="N535" s="530">
        <v>2</v>
      </c>
      <c r="O535" s="530">
        <v>8.375</v>
      </c>
      <c r="P535" s="530"/>
      <c r="Q535" s="528" t="s">
        <v>645</v>
      </c>
      <c r="R535" s="528">
        <v>1267027</v>
      </c>
      <c r="S535" s="528" t="s">
        <v>813</v>
      </c>
    </row>
    <row r="536" spans="11:19" x14ac:dyDescent="0.25">
      <c r="K536" s="528">
        <v>20250201</v>
      </c>
      <c r="L536" s="529">
        <v>45851</v>
      </c>
      <c r="M536" s="528">
        <v>7</v>
      </c>
      <c r="N536" s="530">
        <v>1</v>
      </c>
      <c r="O536" s="530">
        <v>12</v>
      </c>
      <c r="P536" s="530"/>
      <c r="Q536" s="528" t="s">
        <v>660</v>
      </c>
      <c r="R536" s="528">
        <v>1186940</v>
      </c>
      <c r="S536" s="528" t="s">
        <v>814</v>
      </c>
    </row>
    <row r="537" spans="11:19" x14ac:dyDescent="0.25">
      <c r="K537" s="528">
        <v>20250201</v>
      </c>
      <c r="L537" s="529">
        <v>45851</v>
      </c>
      <c r="M537" s="528">
        <v>8</v>
      </c>
      <c r="N537" s="530">
        <v>4</v>
      </c>
      <c r="O537" s="530">
        <v>12.25</v>
      </c>
      <c r="P537" s="530"/>
      <c r="Q537" s="528" t="s">
        <v>287</v>
      </c>
      <c r="R537" s="528">
        <v>1267122</v>
      </c>
      <c r="S537" s="528" t="s">
        <v>813</v>
      </c>
    </row>
    <row r="538" spans="11:19" ht="16" x14ac:dyDescent="0.35">
      <c r="Q538" s="283"/>
    </row>
    <row r="539" spans="11:19" ht="16" x14ac:dyDescent="0.35">
      <c r="Q539" s="283"/>
    </row>
    <row r="540" spans="11:19" ht="16" x14ac:dyDescent="0.35">
      <c r="K540">
        <v>20250201</v>
      </c>
      <c r="L540">
        <v>45851</v>
      </c>
      <c r="M540">
        <v>1</v>
      </c>
      <c r="N540">
        <v>2</v>
      </c>
      <c r="O540">
        <v>3.625</v>
      </c>
      <c r="Q540" s="283" t="s">
        <v>636</v>
      </c>
      <c r="R540">
        <v>2016920</v>
      </c>
      <c r="S540" t="s">
        <v>814</v>
      </c>
    </row>
    <row r="541" spans="11:19" ht="16" x14ac:dyDescent="0.35">
      <c r="K541">
        <v>20250201</v>
      </c>
      <c r="L541">
        <v>45851</v>
      </c>
      <c r="M541">
        <v>1</v>
      </c>
      <c r="N541">
        <v>2</v>
      </c>
      <c r="O541">
        <v>3.625</v>
      </c>
      <c r="Q541" s="283" t="s">
        <v>636</v>
      </c>
      <c r="R541">
        <v>2016920</v>
      </c>
      <c r="S541" t="s">
        <v>814</v>
      </c>
    </row>
    <row r="542" spans="11:19" ht="16" x14ac:dyDescent="0.35">
      <c r="K542">
        <v>20250201</v>
      </c>
      <c r="L542">
        <v>45851</v>
      </c>
      <c r="M542">
        <v>2</v>
      </c>
      <c r="N542">
        <v>2</v>
      </c>
      <c r="O542">
        <v>3.875</v>
      </c>
      <c r="Q542" s="283" t="s">
        <v>308</v>
      </c>
      <c r="R542">
        <v>1224225</v>
      </c>
      <c r="S542" t="s">
        <v>814</v>
      </c>
    </row>
    <row r="543" spans="11:19" ht="16" x14ac:dyDescent="0.35">
      <c r="K543">
        <v>20250201</v>
      </c>
      <c r="L543">
        <v>45851</v>
      </c>
      <c r="M543">
        <v>2</v>
      </c>
      <c r="N543">
        <v>2</v>
      </c>
      <c r="O543">
        <v>3.875</v>
      </c>
      <c r="Q543" s="283" t="s">
        <v>308</v>
      </c>
      <c r="R543">
        <v>1224225</v>
      </c>
      <c r="S543" t="s">
        <v>814</v>
      </c>
    </row>
    <row r="544" spans="11:19" ht="16" x14ac:dyDescent="0.35">
      <c r="K544">
        <v>20250201</v>
      </c>
      <c r="L544">
        <v>45851</v>
      </c>
      <c r="M544">
        <v>3</v>
      </c>
      <c r="N544">
        <v>6</v>
      </c>
      <c r="O544">
        <v>5.875</v>
      </c>
      <c r="Q544" s="283" t="s">
        <v>645</v>
      </c>
      <c r="R544">
        <v>2017993</v>
      </c>
      <c r="S544" t="s">
        <v>813</v>
      </c>
    </row>
    <row r="545" spans="11:19" ht="16" x14ac:dyDescent="0.35">
      <c r="K545">
        <v>20250201</v>
      </c>
      <c r="L545">
        <v>45851</v>
      </c>
      <c r="M545">
        <v>3</v>
      </c>
      <c r="N545">
        <v>6</v>
      </c>
      <c r="O545">
        <v>5.875</v>
      </c>
      <c r="Q545" s="283" t="s">
        <v>645</v>
      </c>
      <c r="R545">
        <v>2017993</v>
      </c>
      <c r="S545" t="s">
        <v>813</v>
      </c>
    </row>
    <row r="546" spans="11:19" ht="16" x14ac:dyDescent="0.35">
      <c r="K546">
        <v>20250201</v>
      </c>
      <c r="L546">
        <v>45851</v>
      </c>
      <c r="M546">
        <v>3</v>
      </c>
      <c r="N546">
        <v>6</v>
      </c>
      <c r="O546">
        <v>5.875</v>
      </c>
      <c r="Q546" s="283" t="s">
        <v>645</v>
      </c>
      <c r="R546">
        <v>2017993</v>
      </c>
      <c r="S546" t="s">
        <v>813</v>
      </c>
    </row>
    <row r="547" spans="11:19" ht="16" x14ac:dyDescent="0.35">
      <c r="K547">
        <v>20250201</v>
      </c>
      <c r="L547">
        <v>45851</v>
      </c>
      <c r="M547">
        <v>3</v>
      </c>
      <c r="N547">
        <v>6</v>
      </c>
      <c r="O547">
        <v>5.875</v>
      </c>
      <c r="Q547" s="283" t="s">
        <v>645</v>
      </c>
      <c r="R547">
        <v>2017993</v>
      </c>
      <c r="S547" t="s">
        <v>813</v>
      </c>
    </row>
    <row r="548" spans="11:19" ht="16" x14ac:dyDescent="0.35">
      <c r="K548">
        <v>20250201</v>
      </c>
      <c r="L548">
        <v>45851</v>
      </c>
      <c r="M548">
        <v>3</v>
      </c>
      <c r="N548">
        <v>6</v>
      </c>
      <c r="O548">
        <v>5.875</v>
      </c>
      <c r="Q548" s="283" t="s">
        <v>645</v>
      </c>
      <c r="R548">
        <v>2017993</v>
      </c>
      <c r="S548" t="s">
        <v>813</v>
      </c>
    </row>
    <row r="549" spans="11:19" ht="16" x14ac:dyDescent="0.35">
      <c r="K549">
        <v>20250201</v>
      </c>
      <c r="L549">
        <v>45851</v>
      </c>
      <c r="M549">
        <v>3</v>
      </c>
      <c r="N549">
        <v>6</v>
      </c>
      <c r="O549">
        <v>5.875</v>
      </c>
      <c r="Q549" s="283" t="s">
        <v>645</v>
      </c>
      <c r="R549">
        <v>2017993</v>
      </c>
      <c r="S549" t="s">
        <v>813</v>
      </c>
    </row>
    <row r="550" spans="11:19" ht="16" x14ac:dyDescent="0.35">
      <c r="K550">
        <v>20250201</v>
      </c>
      <c r="L550">
        <v>45851</v>
      </c>
      <c r="M550">
        <v>4</v>
      </c>
      <c r="N550">
        <v>1</v>
      </c>
      <c r="O550">
        <v>8.375</v>
      </c>
      <c r="Q550" s="283" t="s">
        <v>836</v>
      </c>
      <c r="R550">
        <v>1239176</v>
      </c>
      <c r="S550" t="s">
        <v>813</v>
      </c>
    </row>
    <row r="551" spans="11:19" ht="16" x14ac:dyDescent="0.35">
      <c r="K551">
        <v>20250201</v>
      </c>
      <c r="L551">
        <v>45851</v>
      </c>
      <c r="M551">
        <v>5</v>
      </c>
      <c r="N551">
        <v>1</v>
      </c>
      <c r="O551">
        <v>8.375</v>
      </c>
      <c r="Q551" s="283" t="s">
        <v>703</v>
      </c>
      <c r="R551">
        <v>1272920</v>
      </c>
      <c r="S551" t="s">
        <v>813</v>
      </c>
    </row>
    <row r="552" spans="11:19" ht="16" x14ac:dyDescent="0.35">
      <c r="K552">
        <v>20250201</v>
      </c>
      <c r="L552">
        <v>45851</v>
      </c>
      <c r="M552">
        <v>6</v>
      </c>
      <c r="N552">
        <v>2</v>
      </c>
      <c r="O552">
        <v>8.375</v>
      </c>
      <c r="Q552" s="283" t="s">
        <v>645</v>
      </c>
      <c r="R552">
        <v>1267027</v>
      </c>
      <c r="S552" t="s">
        <v>813</v>
      </c>
    </row>
    <row r="553" spans="11:19" ht="16" x14ac:dyDescent="0.35">
      <c r="K553">
        <v>20250201</v>
      </c>
      <c r="L553">
        <v>45851</v>
      </c>
      <c r="M553">
        <v>6</v>
      </c>
      <c r="N553">
        <v>2</v>
      </c>
      <c r="O553">
        <v>8.375</v>
      </c>
      <c r="Q553" s="283" t="s">
        <v>645</v>
      </c>
      <c r="R553">
        <v>1267027</v>
      </c>
      <c r="S553" t="s">
        <v>813</v>
      </c>
    </row>
    <row r="554" spans="11:19" ht="16" x14ac:dyDescent="0.35">
      <c r="K554">
        <v>20250201</v>
      </c>
      <c r="L554">
        <v>45851</v>
      </c>
      <c r="M554">
        <v>7</v>
      </c>
      <c r="N554">
        <v>1</v>
      </c>
      <c r="O554">
        <v>12</v>
      </c>
      <c r="Q554" s="283" t="s">
        <v>660</v>
      </c>
      <c r="R554">
        <v>1186940</v>
      </c>
      <c r="S554" t="s">
        <v>814</v>
      </c>
    </row>
    <row r="555" spans="11:19" ht="16" x14ac:dyDescent="0.35">
      <c r="K555">
        <v>20250201</v>
      </c>
      <c r="L555">
        <v>45851</v>
      </c>
      <c r="M555">
        <v>8</v>
      </c>
      <c r="N555">
        <v>4</v>
      </c>
      <c r="O555">
        <v>12.25</v>
      </c>
      <c r="Q555" s="283" t="s">
        <v>287</v>
      </c>
      <c r="R555">
        <v>1267122</v>
      </c>
      <c r="S555" t="s">
        <v>813</v>
      </c>
    </row>
    <row r="556" spans="11:19" ht="16" x14ac:dyDescent="0.35">
      <c r="K556">
        <v>20250201</v>
      </c>
      <c r="L556">
        <v>45851</v>
      </c>
      <c r="M556">
        <v>8</v>
      </c>
      <c r="N556">
        <v>4</v>
      </c>
      <c r="O556">
        <v>12.25</v>
      </c>
      <c r="Q556" s="283" t="s">
        <v>287</v>
      </c>
      <c r="R556">
        <v>1267122</v>
      </c>
      <c r="S556" t="s">
        <v>813</v>
      </c>
    </row>
    <row r="557" spans="11:19" ht="16" x14ac:dyDescent="0.35">
      <c r="K557">
        <v>20250201</v>
      </c>
      <c r="L557">
        <v>45851</v>
      </c>
      <c r="M557">
        <v>8</v>
      </c>
      <c r="N557">
        <v>4</v>
      </c>
      <c r="O557">
        <v>12.25</v>
      </c>
      <c r="Q557" s="283" t="s">
        <v>287</v>
      </c>
      <c r="R557">
        <v>1267122</v>
      </c>
      <c r="S557" t="s">
        <v>813</v>
      </c>
    </row>
    <row r="558" spans="11:19" ht="16" x14ac:dyDescent="0.35">
      <c r="K558">
        <v>20250201</v>
      </c>
      <c r="L558">
        <v>45851</v>
      </c>
      <c r="M558">
        <v>8</v>
      </c>
      <c r="N558">
        <v>4</v>
      </c>
      <c r="O558">
        <v>12.25</v>
      </c>
      <c r="Q558" s="283" t="s">
        <v>287</v>
      </c>
      <c r="R558">
        <v>1267122</v>
      </c>
      <c r="S558" t="s">
        <v>813</v>
      </c>
    </row>
    <row r="569" spans="10:19" ht="13" thickBot="1" x14ac:dyDescent="0.3"/>
    <row r="570" spans="10:19" ht="29.5" thickBot="1" x14ac:dyDescent="0.3">
      <c r="J570" s="125" t="s">
        <v>258</v>
      </c>
      <c r="K570" s="126" t="s">
        <v>4</v>
      </c>
      <c r="L570" s="126" t="s">
        <v>300</v>
      </c>
      <c r="M570" s="126" t="s">
        <v>301</v>
      </c>
      <c r="N570" s="126" t="s">
        <v>302</v>
      </c>
      <c r="O570" s="126" t="s">
        <v>3826</v>
      </c>
      <c r="P570" s="126" t="s">
        <v>3827</v>
      </c>
      <c r="Q570" s="126" t="s">
        <v>3971</v>
      </c>
      <c r="R570" s="126" t="s">
        <v>3972</v>
      </c>
      <c r="S570" s="126" t="s">
        <v>3863</v>
      </c>
    </row>
    <row r="571" spans="10:19" ht="15" thickBot="1" x14ac:dyDescent="0.3">
      <c r="J571" s="127" t="s">
        <v>304</v>
      </c>
      <c r="K571" s="128" t="s">
        <v>636</v>
      </c>
      <c r="L571" s="128">
        <v>2016920</v>
      </c>
      <c r="M571" s="128">
        <v>1016454</v>
      </c>
      <c r="N571" s="128">
        <v>5</v>
      </c>
      <c r="O571" s="128">
        <v>179833</v>
      </c>
      <c r="P571" s="128" t="s">
        <v>3944</v>
      </c>
      <c r="Q571" s="128" t="s">
        <v>3973</v>
      </c>
      <c r="R571" s="128" t="s">
        <v>3974</v>
      </c>
      <c r="S571" s="129" t="s">
        <v>676</v>
      </c>
    </row>
    <row r="572" spans="10:19" ht="15" thickBot="1" x14ac:dyDescent="0.3">
      <c r="J572" s="127" t="s">
        <v>304</v>
      </c>
      <c r="K572" s="128" t="s">
        <v>630</v>
      </c>
      <c r="L572" s="128">
        <v>2025595</v>
      </c>
      <c r="M572" s="128">
        <v>960723</v>
      </c>
      <c r="N572" s="128">
        <v>2</v>
      </c>
      <c r="O572" s="128" t="s">
        <v>103</v>
      </c>
      <c r="P572" s="128" t="s">
        <v>103</v>
      </c>
      <c r="Q572" s="129" t="s">
        <v>3973</v>
      </c>
      <c r="R572" s="128" t="s">
        <v>3974</v>
      </c>
      <c r="S572" s="128" t="s">
        <v>681</v>
      </c>
    </row>
    <row r="573" spans="10:19" ht="15" thickBot="1" x14ac:dyDescent="0.3">
      <c r="J573" s="127" t="s">
        <v>631</v>
      </c>
      <c r="K573" s="128" t="s">
        <v>645</v>
      </c>
      <c r="L573" s="128">
        <v>2017993</v>
      </c>
      <c r="M573" s="128">
        <v>2021865</v>
      </c>
      <c r="N573" s="128">
        <v>5</v>
      </c>
      <c r="O573" s="128" t="s">
        <v>103</v>
      </c>
      <c r="P573" s="128" t="s">
        <v>103</v>
      </c>
      <c r="Q573" s="206" t="s">
        <v>3996</v>
      </c>
      <c r="R573" s="206" t="s">
        <v>3997</v>
      </c>
      <c r="S573" s="206" t="s">
        <v>681</v>
      </c>
    </row>
    <row r="574" spans="10:19" ht="15" thickBot="1" x14ac:dyDescent="0.3">
      <c r="J574" s="127" t="s">
        <v>631</v>
      </c>
      <c r="K574" s="128" t="s">
        <v>792</v>
      </c>
      <c r="L574" s="128">
        <v>2021067</v>
      </c>
      <c r="M574" s="128" t="s">
        <v>791</v>
      </c>
      <c r="N574" s="128">
        <v>1</v>
      </c>
      <c r="O574" s="128" t="s">
        <v>103</v>
      </c>
      <c r="P574" s="128" t="s">
        <v>103</v>
      </c>
      <c r="Q574" s="206" t="s">
        <v>3996</v>
      </c>
      <c r="R574" s="206" t="s">
        <v>3997</v>
      </c>
      <c r="S574" s="206" t="s">
        <v>681</v>
      </c>
    </row>
    <row r="575" spans="10:19" ht="15" thickBot="1" x14ac:dyDescent="0.3">
      <c r="J575" s="127" t="s">
        <v>309</v>
      </c>
      <c r="K575" s="128" t="s">
        <v>311</v>
      </c>
      <c r="L575" s="128">
        <v>1145824</v>
      </c>
      <c r="M575" s="128">
        <v>1137349</v>
      </c>
      <c r="N575" s="128">
        <v>2</v>
      </c>
      <c r="O575" s="215" t="s">
        <v>4005</v>
      </c>
      <c r="P575" s="215" t="s">
        <v>3876</v>
      </c>
      <c r="Q575" s="206" t="s">
        <v>3996</v>
      </c>
      <c r="R575" s="206" t="s">
        <v>3997</v>
      </c>
      <c r="S575" s="425" t="s">
        <v>676</v>
      </c>
    </row>
    <row r="576" spans="10:19" ht="15" thickBot="1" x14ac:dyDescent="0.3">
      <c r="J576" s="127" t="s">
        <v>309</v>
      </c>
      <c r="K576" s="128" t="s">
        <v>256</v>
      </c>
      <c r="L576" s="128">
        <v>1198387</v>
      </c>
      <c r="M576" s="128">
        <v>1160951</v>
      </c>
      <c r="N576" s="128">
        <v>2</v>
      </c>
      <c r="O576" s="128" t="s">
        <v>103</v>
      </c>
      <c r="P576" s="128" t="s">
        <v>103</v>
      </c>
      <c r="Q576" s="128" t="s">
        <v>3975</v>
      </c>
      <c r="R576" s="128" t="s">
        <v>4006</v>
      </c>
      <c r="S576" s="128" t="s">
        <v>681</v>
      </c>
    </row>
    <row r="577" spans="10:19" ht="15" thickBot="1" x14ac:dyDescent="0.3">
      <c r="J577" s="127" t="s">
        <v>313</v>
      </c>
      <c r="K577" s="128" t="s">
        <v>273</v>
      </c>
      <c r="L577" s="128">
        <v>1246020</v>
      </c>
      <c r="M577" s="128">
        <v>2009246</v>
      </c>
      <c r="N577" s="128">
        <v>1</v>
      </c>
      <c r="O577" s="128" t="s">
        <v>103</v>
      </c>
      <c r="P577" s="128" t="s">
        <v>103</v>
      </c>
      <c r="Q577" s="206">
        <v>44040</v>
      </c>
      <c r="R577" s="206" t="s">
        <v>4007</v>
      </c>
      <c r="S577" s="128" t="s">
        <v>681</v>
      </c>
    </row>
    <row r="578" spans="10:19" ht="15" thickBot="1" x14ac:dyDescent="0.3">
      <c r="J578" s="127" t="s">
        <v>313</v>
      </c>
      <c r="K578" s="128" t="s">
        <v>703</v>
      </c>
      <c r="L578" s="128">
        <v>1272920</v>
      </c>
      <c r="M578" s="128">
        <v>1283482</v>
      </c>
      <c r="N578" s="128">
        <v>2</v>
      </c>
      <c r="O578" s="128" t="s">
        <v>103</v>
      </c>
      <c r="P578" s="128" t="s">
        <v>103</v>
      </c>
      <c r="Q578" s="128" t="s">
        <v>3977</v>
      </c>
      <c r="R578" s="128" t="s">
        <v>3978</v>
      </c>
      <c r="S578" s="206" t="s">
        <v>681</v>
      </c>
    </row>
    <row r="579" spans="10:19" ht="15" thickBot="1" x14ac:dyDescent="0.3">
      <c r="J579" s="127" t="s">
        <v>624</v>
      </c>
      <c r="K579" s="128" t="s">
        <v>663</v>
      </c>
      <c r="L579" s="128">
        <v>2022318</v>
      </c>
      <c r="M579" s="128">
        <v>1276939</v>
      </c>
      <c r="N579" s="128">
        <v>5</v>
      </c>
      <c r="O579" s="129" t="s">
        <v>103</v>
      </c>
      <c r="P579" s="129" t="s">
        <v>103</v>
      </c>
      <c r="Q579" s="128" t="s">
        <v>3989</v>
      </c>
      <c r="R579" s="128" t="s">
        <v>3990</v>
      </c>
      <c r="S579" s="425" t="s">
        <v>681</v>
      </c>
    </row>
    <row r="580" spans="10:19" ht="15" thickBot="1" x14ac:dyDescent="0.3">
      <c r="J580" s="127" t="s">
        <v>637</v>
      </c>
      <c r="K580" s="128" t="s">
        <v>673</v>
      </c>
      <c r="L580" s="128">
        <v>1270865</v>
      </c>
      <c r="M580" s="128">
        <v>2008912</v>
      </c>
      <c r="N580" s="128">
        <v>1</v>
      </c>
      <c r="O580" s="129" t="s">
        <v>103</v>
      </c>
      <c r="P580" s="129" t="s">
        <v>103</v>
      </c>
      <c r="Q580" s="129">
        <v>44050</v>
      </c>
      <c r="R580" s="151" t="s">
        <v>4008</v>
      </c>
      <c r="S580" s="129" t="s">
        <v>681</v>
      </c>
    </row>
    <row r="581" spans="10:19" ht="15" thickBot="1" x14ac:dyDescent="0.3">
      <c r="J581" s="127" t="s">
        <v>316</v>
      </c>
      <c r="K581" s="128" t="s">
        <v>721</v>
      </c>
      <c r="L581" s="128">
        <v>2019988</v>
      </c>
      <c r="M581" s="128">
        <v>1266749</v>
      </c>
      <c r="N581" s="128">
        <v>1</v>
      </c>
      <c r="O581" s="128" t="s">
        <v>103</v>
      </c>
      <c r="P581" s="128" t="s">
        <v>103</v>
      </c>
      <c r="Q581" s="128" t="s">
        <v>3980</v>
      </c>
      <c r="R581" s="128" t="s">
        <v>3981</v>
      </c>
      <c r="S581" s="128" t="s">
        <v>681</v>
      </c>
    </row>
    <row r="587" spans="10:19" x14ac:dyDescent="0.25">
      <c r="J587" t="s">
        <v>258</v>
      </c>
      <c r="K587" t="s">
        <v>4</v>
      </c>
      <c r="L587" t="s">
        <v>300</v>
      </c>
      <c r="M587" t="s">
        <v>301</v>
      </c>
      <c r="N587" t="s">
        <v>302</v>
      </c>
      <c r="O587" t="s">
        <v>3826</v>
      </c>
      <c r="P587" t="s">
        <v>3827</v>
      </c>
      <c r="Q587" t="s">
        <v>3971</v>
      </c>
      <c r="R587" t="s">
        <v>3972</v>
      </c>
      <c r="S587" t="s">
        <v>3863</v>
      </c>
    </row>
    <row r="588" spans="10:19" x14ac:dyDescent="0.25">
      <c r="J588" t="s">
        <v>304</v>
      </c>
      <c r="K588" t="s">
        <v>636</v>
      </c>
      <c r="L588">
        <v>2016920</v>
      </c>
      <c r="M588">
        <v>1016454</v>
      </c>
      <c r="N588">
        <v>5</v>
      </c>
      <c r="O588">
        <v>179833</v>
      </c>
      <c r="P588" t="s">
        <v>3944</v>
      </c>
      <c r="Q588" t="s">
        <v>3973</v>
      </c>
      <c r="R588" t="s">
        <v>3974</v>
      </c>
      <c r="S588" t="s">
        <v>676</v>
      </c>
    </row>
    <row r="589" spans="10:19" x14ac:dyDescent="0.25">
      <c r="J589" t="s">
        <v>304</v>
      </c>
      <c r="K589" t="s">
        <v>636</v>
      </c>
      <c r="L589">
        <v>2016920</v>
      </c>
      <c r="M589">
        <v>1016454</v>
      </c>
      <c r="N589">
        <v>5</v>
      </c>
      <c r="O589">
        <v>179833</v>
      </c>
      <c r="P589" t="s">
        <v>3944</v>
      </c>
      <c r="Q589" t="s">
        <v>3973</v>
      </c>
      <c r="R589" t="s">
        <v>3974</v>
      </c>
      <c r="S589" t="s">
        <v>676</v>
      </c>
    </row>
    <row r="590" spans="10:19" x14ac:dyDescent="0.25">
      <c r="J590" t="s">
        <v>304</v>
      </c>
      <c r="K590" t="s">
        <v>636</v>
      </c>
      <c r="L590">
        <v>2016920</v>
      </c>
      <c r="M590">
        <v>1016454</v>
      </c>
      <c r="N590">
        <v>5</v>
      </c>
      <c r="O590">
        <v>179833</v>
      </c>
      <c r="P590" t="s">
        <v>3944</v>
      </c>
      <c r="Q590" t="s">
        <v>3973</v>
      </c>
      <c r="R590" t="s">
        <v>3974</v>
      </c>
      <c r="S590" t="s">
        <v>676</v>
      </c>
    </row>
    <row r="591" spans="10:19" x14ac:dyDescent="0.25">
      <c r="J591" t="s">
        <v>304</v>
      </c>
      <c r="K591" t="s">
        <v>636</v>
      </c>
      <c r="L591">
        <v>2016920</v>
      </c>
      <c r="M591">
        <v>1016454</v>
      </c>
      <c r="N591">
        <v>5</v>
      </c>
      <c r="O591">
        <v>179833</v>
      </c>
      <c r="P591" t="s">
        <v>3944</v>
      </c>
      <c r="Q591" t="s">
        <v>3973</v>
      </c>
      <c r="R591" t="s">
        <v>3974</v>
      </c>
      <c r="S591" t="s">
        <v>676</v>
      </c>
    </row>
    <row r="592" spans="10:19" x14ac:dyDescent="0.25">
      <c r="J592" t="s">
        <v>304</v>
      </c>
      <c r="K592" t="s">
        <v>636</v>
      </c>
      <c r="L592">
        <v>2016920</v>
      </c>
      <c r="M592">
        <v>1016454</v>
      </c>
      <c r="N592">
        <v>5</v>
      </c>
      <c r="O592">
        <v>179833</v>
      </c>
      <c r="P592" t="s">
        <v>3944</v>
      </c>
      <c r="Q592" t="s">
        <v>3973</v>
      </c>
      <c r="R592" t="s">
        <v>3974</v>
      </c>
      <c r="S592" t="s">
        <v>676</v>
      </c>
    </row>
    <row r="593" spans="10:19" x14ac:dyDescent="0.25">
      <c r="J593" t="s">
        <v>304</v>
      </c>
      <c r="K593" t="s">
        <v>630</v>
      </c>
      <c r="L593">
        <v>2025595</v>
      </c>
      <c r="M593">
        <v>960723</v>
      </c>
      <c r="N593">
        <v>2</v>
      </c>
      <c r="O593" t="s">
        <v>103</v>
      </c>
      <c r="P593" t="s">
        <v>103</v>
      </c>
      <c r="Q593" t="s">
        <v>3973</v>
      </c>
      <c r="R593" t="s">
        <v>3974</v>
      </c>
      <c r="S593" t="s">
        <v>681</v>
      </c>
    </row>
    <row r="594" spans="10:19" x14ac:dyDescent="0.25">
      <c r="J594" t="s">
        <v>304</v>
      </c>
      <c r="K594" t="s">
        <v>630</v>
      </c>
      <c r="L594">
        <v>2025595</v>
      </c>
      <c r="M594">
        <v>960723</v>
      </c>
      <c r="N594">
        <v>2</v>
      </c>
      <c r="O594" t="s">
        <v>103</v>
      </c>
      <c r="P594" t="s">
        <v>103</v>
      </c>
      <c r="Q594" t="s">
        <v>3973</v>
      </c>
      <c r="R594" t="s">
        <v>3974</v>
      </c>
      <c r="S594" t="s">
        <v>681</v>
      </c>
    </row>
    <row r="595" spans="10:19" x14ac:dyDescent="0.25">
      <c r="J595" t="s">
        <v>631</v>
      </c>
      <c r="K595" t="s">
        <v>645</v>
      </c>
      <c r="L595">
        <v>2017993</v>
      </c>
      <c r="M595">
        <v>2021865</v>
      </c>
      <c r="N595">
        <v>5</v>
      </c>
      <c r="O595" t="s">
        <v>103</v>
      </c>
      <c r="P595" t="s">
        <v>103</v>
      </c>
      <c r="Q595" t="s">
        <v>3996</v>
      </c>
      <c r="R595" t="s">
        <v>3997</v>
      </c>
      <c r="S595" t="s">
        <v>681</v>
      </c>
    </row>
    <row r="596" spans="10:19" x14ac:dyDescent="0.25">
      <c r="J596" t="s">
        <v>631</v>
      </c>
      <c r="K596" t="s">
        <v>645</v>
      </c>
      <c r="L596">
        <v>2017993</v>
      </c>
      <c r="M596">
        <v>2021865</v>
      </c>
      <c r="N596">
        <v>5</v>
      </c>
      <c r="O596" t="s">
        <v>103</v>
      </c>
      <c r="P596" t="s">
        <v>103</v>
      </c>
      <c r="Q596" t="s">
        <v>3996</v>
      </c>
      <c r="R596" t="s">
        <v>3997</v>
      </c>
      <c r="S596" t="s">
        <v>681</v>
      </c>
    </row>
    <row r="597" spans="10:19" x14ac:dyDescent="0.25">
      <c r="J597" t="s">
        <v>631</v>
      </c>
      <c r="K597" t="s">
        <v>645</v>
      </c>
      <c r="L597">
        <v>2017993</v>
      </c>
      <c r="M597">
        <v>2021865</v>
      </c>
      <c r="N597">
        <v>5</v>
      </c>
      <c r="O597" t="s">
        <v>103</v>
      </c>
      <c r="P597" t="s">
        <v>103</v>
      </c>
      <c r="Q597" t="s">
        <v>3996</v>
      </c>
      <c r="R597" t="s">
        <v>3997</v>
      </c>
      <c r="S597" t="s">
        <v>681</v>
      </c>
    </row>
    <row r="598" spans="10:19" x14ac:dyDescent="0.25">
      <c r="J598" t="s">
        <v>631</v>
      </c>
      <c r="K598" t="s">
        <v>645</v>
      </c>
      <c r="L598">
        <v>2017993</v>
      </c>
      <c r="M598">
        <v>2021865</v>
      </c>
      <c r="N598">
        <v>5</v>
      </c>
      <c r="O598" t="s">
        <v>103</v>
      </c>
      <c r="P598" t="s">
        <v>103</v>
      </c>
      <c r="Q598" t="s">
        <v>3996</v>
      </c>
      <c r="R598" t="s">
        <v>3997</v>
      </c>
      <c r="S598" t="s">
        <v>681</v>
      </c>
    </row>
    <row r="599" spans="10:19" x14ac:dyDescent="0.25">
      <c r="J599" t="s">
        <v>631</v>
      </c>
      <c r="K599" t="s">
        <v>645</v>
      </c>
      <c r="L599">
        <v>2017993</v>
      </c>
      <c r="M599">
        <v>2021865</v>
      </c>
      <c r="N599">
        <v>5</v>
      </c>
      <c r="O599" t="s">
        <v>103</v>
      </c>
      <c r="P599" t="s">
        <v>103</v>
      </c>
      <c r="Q599" t="s">
        <v>3996</v>
      </c>
      <c r="R599" t="s">
        <v>3997</v>
      </c>
      <c r="S599" t="s">
        <v>681</v>
      </c>
    </row>
    <row r="600" spans="10:19" x14ac:dyDescent="0.25">
      <c r="J600" t="s">
        <v>631</v>
      </c>
      <c r="K600" t="s">
        <v>792</v>
      </c>
      <c r="L600">
        <v>2021067</v>
      </c>
      <c r="M600" t="s">
        <v>791</v>
      </c>
      <c r="N600">
        <v>1</v>
      </c>
      <c r="O600" t="s">
        <v>103</v>
      </c>
      <c r="P600" t="s">
        <v>103</v>
      </c>
      <c r="Q600" t="s">
        <v>3996</v>
      </c>
      <c r="R600" t="s">
        <v>3997</v>
      </c>
      <c r="S600" t="s">
        <v>681</v>
      </c>
    </row>
    <row r="601" spans="10:19" x14ac:dyDescent="0.25">
      <c r="J601" t="s">
        <v>309</v>
      </c>
      <c r="K601" t="s">
        <v>311</v>
      </c>
      <c r="L601">
        <v>1145824</v>
      </c>
      <c r="M601">
        <v>1137349</v>
      </c>
      <c r="N601">
        <v>2</v>
      </c>
      <c r="O601" t="s">
        <v>4005</v>
      </c>
      <c r="P601" t="s">
        <v>3876</v>
      </c>
      <c r="Q601" t="s">
        <v>3996</v>
      </c>
      <c r="R601" t="s">
        <v>3997</v>
      </c>
      <c r="S601" t="s">
        <v>676</v>
      </c>
    </row>
    <row r="602" spans="10:19" x14ac:dyDescent="0.25">
      <c r="J602" t="s">
        <v>309</v>
      </c>
      <c r="K602" t="s">
        <v>311</v>
      </c>
      <c r="L602">
        <v>1145824</v>
      </c>
      <c r="M602">
        <v>1137349</v>
      </c>
      <c r="N602">
        <v>2</v>
      </c>
      <c r="O602" t="s">
        <v>4005</v>
      </c>
      <c r="P602" t="s">
        <v>3876</v>
      </c>
      <c r="Q602" t="s">
        <v>3996</v>
      </c>
      <c r="R602" t="s">
        <v>3997</v>
      </c>
      <c r="S602" t="s">
        <v>676</v>
      </c>
    </row>
    <row r="603" spans="10:19" x14ac:dyDescent="0.25">
      <c r="J603" t="s">
        <v>309</v>
      </c>
      <c r="K603" t="s">
        <v>256</v>
      </c>
      <c r="L603">
        <v>1198387</v>
      </c>
      <c r="M603">
        <v>1160951</v>
      </c>
      <c r="N603">
        <v>2</v>
      </c>
      <c r="O603" t="s">
        <v>103</v>
      </c>
      <c r="P603" t="s">
        <v>103</v>
      </c>
      <c r="Q603" t="s">
        <v>3975</v>
      </c>
      <c r="R603" t="s">
        <v>4006</v>
      </c>
      <c r="S603" t="s">
        <v>681</v>
      </c>
    </row>
    <row r="604" spans="10:19" x14ac:dyDescent="0.25">
      <c r="J604" t="s">
        <v>309</v>
      </c>
      <c r="K604" t="s">
        <v>256</v>
      </c>
      <c r="L604">
        <v>1198387</v>
      </c>
      <c r="M604">
        <v>1160951</v>
      </c>
      <c r="N604">
        <v>2</v>
      </c>
      <c r="O604" t="s">
        <v>103</v>
      </c>
      <c r="P604" t="s">
        <v>103</v>
      </c>
      <c r="Q604" t="s">
        <v>3975</v>
      </c>
      <c r="R604" t="s">
        <v>4006</v>
      </c>
      <c r="S604" t="s">
        <v>681</v>
      </c>
    </row>
    <row r="605" spans="10:19" x14ac:dyDescent="0.25">
      <c r="J605" t="s">
        <v>313</v>
      </c>
      <c r="K605" t="s">
        <v>273</v>
      </c>
      <c r="L605">
        <v>1246020</v>
      </c>
      <c r="M605">
        <v>2009246</v>
      </c>
      <c r="N605">
        <v>1</v>
      </c>
      <c r="O605" t="s">
        <v>103</v>
      </c>
      <c r="P605" t="s">
        <v>103</v>
      </c>
      <c r="Q605">
        <v>44040</v>
      </c>
      <c r="R605" t="s">
        <v>4007</v>
      </c>
      <c r="S605" t="s">
        <v>681</v>
      </c>
    </row>
    <row r="606" spans="10:19" x14ac:dyDescent="0.25">
      <c r="J606" t="s">
        <v>313</v>
      </c>
      <c r="K606" t="s">
        <v>703</v>
      </c>
      <c r="L606">
        <v>1272920</v>
      </c>
      <c r="M606">
        <v>1283482</v>
      </c>
      <c r="N606">
        <v>2</v>
      </c>
      <c r="O606" t="s">
        <v>103</v>
      </c>
      <c r="P606" t="s">
        <v>103</v>
      </c>
      <c r="Q606" t="s">
        <v>3977</v>
      </c>
      <c r="R606" t="s">
        <v>3978</v>
      </c>
      <c r="S606" t="s">
        <v>681</v>
      </c>
    </row>
    <row r="607" spans="10:19" x14ac:dyDescent="0.25">
      <c r="J607" t="s">
        <v>313</v>
      </c>
      <c r="K607" t="s">
        <v>703</v>
      </c>
      <c r="L607">
        <v>1272920</v>
      </c>
      <c r="M607">
        <v>1283482</v>
      </c>
      <c r="N607">
        <v>2</v>
      </c>
      <c r="O607" t="s">
        <v>103</v>
      </c>
      <c r="P607" t="s">
        <v>103</v>
      </c>
      <c r="Q607" t="s">
        <v>3977</v>
      </c>
      <c r="R607" t="s">
        <v>3978</v>
      </c>
      <c r="S607" t="s">
        <v>681</v>
      </c>
    </row>
    <row r="608" spans="10:19" x14ac:dyDescent="0.25">
      <c r="J608" t="s">
        <v>624</v>
      </c>
      <c r="K608" t="s">
        <v>663</v>
      </c>
      <c r="L608">
        <v>2022318</v>
      </c>
      <c r="M608">
        <v>1276939</v>
      </c>
      <c r="N608">
        <v>5</v>
      </c>
      <c r="O608" t="s">
        <v>103</v>
      </c>
      <c r="P608" t="s">
        <v>103</v>
      </c>
      <c r="Q608" t="s">
        <v>3989</v>
      </c>
      <c r="R608" t="s">
        <v>3990</v>
      </c>
      <c r="S608" t="s">
        <v>681</v>
      </c>
    </row>
    <row r="609" spans="10:19" x14ac:dyDescent="0.25">
      <c r="J609" t="s">
        <v>624</v>
      </c>
      <c r="K609" t="s">
        <v>663</v>
      </c>
      <c r="L609">
        <v>2022318</v>
      </c>
      <c r="M609">
        <v>1276939</v>
      </c>
      <c r="N609">
        <v>5</v>
      </c>
      <c r="O609" t="s">
        <v>103</v>
      </c>
      <c r="P609" t="s">
        <v>103</v>
      </c>
      <c r="Q609" t="s">
        <v>3989</v>
      </c>
      <c r="R609" t="s">
        <v>3990</v>
      </c>
      <c r="S609" t="s">
        <v>681</v>
      </c>
    </row>
    <row r="610" spans="10:19" x14ac:dyDescent="0.25">
      <c r="J610" t="s">
        <v>624</v>
      </c>
      <c r="K610" t="s">
        <v>663</v>
      </c>
      <c r="L610">
        <v>2022318</v>
      </c>
      <c r="M610">
        <v>1276939</v>
      </c>
      <c r="N610">
        <v>5</v>
      </c>
      <c r="O610" t="s">
        <v>103</v>
      </c>
      <c r="P610" t="s">
        <v>103</v>
      </c>
      <c r="Q610" t="s">
        <v>3989</v>
      </c>
      <c r="R610" t="s">
        <v>3990</v>
      </c>
      <c r="S610" t="s">
        <v>681</v>
      </c>
    </row>
    <row r="611" spans="10:19" x14ac:dyDescent="0.25">
      <c r="J611" t="s">
        <v>624</v>
      </c>
      <c r="K611" t="s">
        <v>663</v>
      </c>
      <c r="L611">
        <v>2022318</v>
      </c>
      <c r="M611">
        <v>1276939</v>
      </c>
      <c r="N611">
        <v>5</v>
      </c>
      <c r="O611" t="s">
        <v>103</v>
      </c>
      <c r="P611" t="s">
        <v>103</v>
      </c>
      <c r="Q611" t="s">
        <v>3989</v>
      </c>
      <c r="R611" t="s">
        <v>3990</v>
      </c>
      <c r="S611" t="s">
        <v>681</v>
      </c>
    </row>
    <row r="612" spans="10:19" x14ac:dyDescent="0.25">
      <c r="J612" t="s">
        <v>624</v>
      </c>
      <c r="K612" t="s">
        <v>663</v>
      </c>
      <c r="L612">
        <v>2022318</v>
      </c>
      <c r="M612">
        <v>1276939</v>
      </c>
      <c r="N612">
        <v>5</v>
      </c>
      <c r="O612" t="s">
        <v>103</v>
      </c>
      <c r="P612" t="s">
        <v>103</v>
      </c>
      <c r="Q612" t="s">
        <v>3989</v>
      </c>
      <c r="R612" t="s">
        <v>3990</v>
      </c>
      <c r="S612" t="s">
        <v>681</v>
      </c>
    </row>
    <row r="613" spans="10:19" x14ac:dyDescent="0.25">
      <c r="J613" t="s">
        <v>637</v>
      </c>
      <c r="K613" t="s">
        <v>673</v>
      </c>
      <c r="L613">
        <v>1270865</v>
      </c>
      <c r="M613">
        <v>2008912</v>
      </c>
      <c r="N613">
        <v>1</v>
      </c>
      <c r="O613" t="s">
        <v>103</v>
      </c>
      <c r="P613" t="s">
        <v>103</v>
      </c>
      <c r="Q613">
        <v>44050</v>
      </c>
      <c r="R613" t="s">
        <v>4008</v>
      </c>
      <c r="S613" t="s">
        <v>681</v>
      </c>
    </row>
    <row r="614" spans="10:19" x14ac:dyDescent="0.25">
      <c r="J614" t="s">
        <v>316</v>
      </c>
      <c r="K614" t="s">
        <v>721</v>
      </c>
      <c r="L614">
        <v>2019988</v>
      </c>
      <c r="M614">
        <v>1266749</v>
      </c>
      <c r="N614">
        <v>1</v>
      </c>
      <c r="O614" t="s">
        <v>103</v>
      </c>
      <c r="P614" t="s">
        <v>103</v>
      </c>
      <c r="Q614" t="s">
        <v>3980</v>
      </c>
      <c r="R614" t="s">
        <v>3981</v>
      </c>
      <c r="S614" t="s">
        <v>681</v>
      </c>
    </row>
  </sheetData>
  <mergeCells count="8">
    <mergeCell ref="Q100:Q101"/>
    <mergeCell ref="S100:S101"/>
    <mergeCell ref="K100:K101"/>
    <mergeCell ref="L100:L101"/>
    <mergeCell ref="M100:M101"/>
    <mergeCell ref="N100:N101"/>
    <mergeCell ref="O100:O101"/>
    <mergeCell ref="P100:P101"/>
  </mergeCells>
  <phoneticPr fontId="21" type="noConversion"/>
  <conditionalFormatting sqref="E1:E1048576">
    <cfRule type="duplicateValues" dxfId="271" priority="887"/>
  </conditionalFormatting>
  <conditionalFormatting sqref="K204">
    <cfRule type="duplicateValues" dxfId="270" priority="303"/>
    <cfRule type="duplicateValues" dxfId="269" priority="305"/>
    <cfRule type="duplicateValues" dxfId="268" priority="306"/>
  </conditionalFormatting>
  <conditionalFormatting sqref="K204:L204">
    <cfRule type="duplicateValues" dxfId="267" priority="304"/>
  </conditionalFormatting>
  <conditionalFormatting sqref="L204">
    <cfRule type="duplicateValues" dxfId="266" priority="294"/>
    <cfRule type="duplicateValues" dxfId="265" priority="295"/>
    <cfRule type="duplicateValues" dxfId="264" priority="296"/>
    <cfRule type="duplicateValues" dxfId="263" priority="301"/>
    <cfRule type="duplicateValues" dxfId="262" priority="302"/>
    <cfRule type="duplicateValues" dxfId="261" priority="307"/>
    <cfRule type="duplicateValues" dxfId="260" priority="308"/>
    <cfRule type="duplicateValues" dxfId="259" priority="309"/>
    <cfRule type="duplicateValues" dxfId="258" priority="310"/>
    <cfRule type="duplicateValues" dxfId="257" priority="311"/>
    <cfRule type="duplicateValues" dxfId="256" priority="312"/>
  </conditionalFormatting>
  <conditionalFormatting sqref="M204">
    <cfRule type="duplicateValues" dxfId="255" priority="263"/>
    <cfRule type="duplicateValues" dxfId="254" priority="264"/>
    <cfRule type="duplicateValues" dxfId="253" priority="265"/>
    <cfRule type="duplicateValues" dxfId="252" priority="266"/>
    <cfRule type="duplicateValues" dxfId="251" priority="267"/>
    <cfRule type="duplicateValues" dxfId="250" priority="268"/>
    <cfRule type="duplicateValues" dxfId="249" priority="269"/>
    <cfRule type="duplicateValues" dxfId="248" priority="270"/>
    <cfRule type="duplicateValues" dxfId="247" priority="271"/>
    <cfRule type="duplicateValues" dxfId="246" priority="272"/>
    <cfRule type="duplicateValues" dxfId="245" priority="273"/>
    <cfRule type="duplicateValues" dxfId="244" priority="274"/>
    <cfRule type="duplicateValues" dxfId="243" priority="275"/>
    <cfRule type="duplicateValues" dxfId="242" priority="276"/>
    <cfRule type="duplicateValues" dxfId="241" priority="277"/>
    <cfRule type="duplicateValues" dxfId="240" priority="278"/>
    <cfRule type="duplicateValues" dxfId="239" priority="279"/>
    <cfRule type="duplicateValues" dxfId="238" priority="280"/>
    <cfRule type="duplicateValues" dxfId="237" priority="281"/>
    <cfRule type="duplicateValues" dxfId="236" priority="282"/>
    <cfRule type="duplicateValues" dxfId="235" priority="283"/>
    <cfRule type="duplicateValues" dxfId="234" priority="284"/>
    <cfRule type="duplicateValues" dxfId="233" priority="285"/>
    <cfRule type="duplicateValues" dxfId="232" priority="313"/>
    <cfRule type="duplicateValues" dxfId="231" priority="314"/>
    <cfRule type="duplicateValues" dxfId="230" priority="315"/>
    <cfRule type="duplicateValues" dxfId="229" priority="316"/>
    <cfRule type="duplicateValues" dxfId="228" priority="317"/>
    <cfRule type="duplicateValues" dxfId="227" priority="318"/>
    <cfRule type="duplicateValues" dxfId="226" priority="319"/>
    <cfRule type="duplicateValues" dxfId="225" priority="320"/>
    <cfRule type="duplicateValues" dxfId="224" priority="321"/>
    <cfRule type="duplicateValues" dxfId="223" priority="322"/>
    <cfRule type="duplicateValues" dxfId="222" priority="323"/>
    <cfRule type="duplicateValues" dxfId="221" priority="324"/>
    <cfRule type="duplicateValues" dxfId="220" priority="325"/>
    <cfRule type="duplicateValues" dxfId="219" priority="326"/>
    <cfRule type="duplicateValues" dxfId="218" priority="327"/>
    <cfRule type="duplicateValues" dxfId="217" priority="328"/>
    <cfRule type="duplicateValues" dxfId="216" priority="329"/>
    <cfRule type="duplicateValues" dxfId="215" priority="330"/>
    <cfRule type="duplicateValues" dxfId="214" priority="331"/>
    <cfRule type="duplicateValues" dxfId="213" priority="332"/>
    <cfRule type="duplicateValues" dxfId="212" priority="333"/>
  </conditionalFormatting>
  <conditionalFormatting sqref="P204 R204">
    <cfRule type="duplicateValues" dxfId="211" priority="300"/>
  </conditionalFormatting>
  <conditionalFormatting sqref="P204">
    <cfRule type="duplicateValues" dxfId="210" priority="297"/>
    <cfRule type="duplicateValues" dxfId="209" priority="298"/>
    <cfRule type="duplicateValues" dxfId="208" priority="299"/>
  </conditionalFormatting>
  <conditionalFormatting sqref="Q204">
    <cfRule type="duplicateValues" dxfId="207" priority="286"/>
    <cfRule type="duplicateValues" dxfId="206" priority="287"/>
    <cfRule type="duplicateValues" dxfId="205" priority="288"/>
    <cfRule type="duplicateValues" dxfId="204" priority="289"/>
  </conditionalFormatting>
  <conditionalFormatting sqref="Q461:Q480 Q422:Q442 Q359:Q363 Q224 Q391:Q394 Q405:Q409 Q493:Q528 Q538:Q569 Q582:Q1048373">
    <cfRule type="duplicateValues" dxfId="203" priority="10081"/>
  </conditionalFormatting>
  <conditionalFormatting sqref="S204">
    <cfRule type="duplicateValues" dxfId="202" priority="290"/>
    <cfRule type="duplicateValues" dxfId="201" priority="291"/>
    <cfRule type="duplicateValues" dxfId="200" priority="292"/>
    <cfRule type="duplicateValues" dxfId="199" priority="293"/>
  </conditionalFormatting>
  <conditionalFormatting sqref="X492">
    <cfRule type="duplicateValues" dxfId="198" priority="42"/>
    <cfRule type="duplicateValues" dxfId="197" priority="44"/>
    <cfRule type="duplicateValues" dxfId="196" priority="45"/>
  </conditionalFormatting>
  <conditionalFormatting sqref="X492:Y492">
    <cfRule type="duplicateValues" dxfId="195" priority="43"/>
  </conditionalFormatting>
  <conditionalFormatting sqref="Y492">
    <cfRule type="duplicateValues" dxfId="194" priority="33"/>
    <cfRule type="duplicateValues" dxfId="193" priority="34"/>
    <cfRule type="duplicateValues" dxfId="192" priority="35"/>
    <cfRule type="duplicateValues" dxfId="191" priority="40"/>
    <cfRule type="duplicateValues" dxfId="190" priority="41"/>
    <cfRule type="duplicateValues" dxfId="189" priority="46"/>
    <cfRule type="duplicateValues" dxfId="188" priority="47"/>
    <cfRule type="duplicateValues" dxfId="187" priority="48"/>
    <cfRule type="duplicateValues" dxfId="186" priority="49"/>
    <cfRule type="duplicateValues" dxfId="185" priority="50"/>
    <cfRule type="duplicateValues" dxfId="184" priority="51"/>
  </conditionalFormatting>
  <conditionalFormatting sqref="Z492">
    <cfRule type="duplicateValues" dxfId="183" priority="1"/>
    <cfRule type="duplicateValues" dxfId="182" priority="2"/>
    <cfRule type="duplicateValues" dxfId="181" priority="3"/>
    <cfRule type="duplicateValues" dxfId="180" priority="4"/>
    <cfRule type="duplicateValues" dxfId="179" priority="5"/>
    <cfRule type="duplicateValues" dxfId="178" priority="6"/>
    <cfRule type="duplicateValues" dxfId="177" priority="7"/>
    <cfRule type="duplicateValues" dxfId="176" priority="8"/>
    <cfRule type="duplicateValues" dxfId="175" priority="9"/>
    <cfRule type="duplicateValues" dxfId="174" priority="10"/>
    <cfRule type="duplicateValues" dxfId="173" priority="11"/>
    <cfRule type="duplicateValues" dxfId="172" priority="12"/>
    <cfRule type="duplicateValues" dxfId="171" priority="13"/>
    <cfRule type="duplicateValues" dxfId="170" priority="14"/>
    <cfRule type="duplicateValues" dxfId="169" priority="15"/>
    <cfRule type="duplicateValues" dxfId="168" priority="16"/>
    <cfRule type="duplicateValues" dxfId="167" priority="17"/>
    <cfRule type="duplicateValues" dxfId="166" priority="18"/>
    <cfRule type="duplicateValues" dxfId="165" priority="19"/>
    <cfRule type="duplicateValues" dxfId="164" priority="20"/>
    <cfRule type="duplicateValues" dxfId="163" priority="21"/>
    <cfRule type="duplicateValues" dxfId="162" priority="22"/>
    <cfRule type="duplicateValues" dxfId="161" priority="23"/>
    <cfRule type="duplicateValues" dxfId="160" priority="24"/>
    <cfRule type="duplicateValues" dxfId="159" priority="52"/>
    <cfRule type="duplicateValues" dxfId="158" priority="53"/>
    <cfRule type="duplicateValues" dxfId="157" priority="54"/>
    <cfRule type="duplicateValues" dxfId="156" priority="55"/>
    <cfRule type="duplicateValues" dxfId="155" priority="56"/>
    <cfRule type="duplicateValues" dxfId="154" priority="57"/>
    <cfRule type="duplicateValues" dxfId="153" priority="58"/>
    <cfRule type="duplicateValues" dxfId="152" priority="59"/>
    <cfRule type="duplicateValues" dxfId="151" priority="60"/>
    <cfRule type="duplicateValues" dxfId="150" priority="61"/>
    <cfRule type="duplicateValues" dxfId="149" priority="62"/>
    <cfRule type="duplicateValues" dxfId="148" priority="63"/>
    <cfRule type="duplicateValues" dxfId="147" priority="64"/>
    <cfRule type="duplicateValues" dxfId="146" priority="65"/>
    <cfRule type="duplicateValues" dxfId="145" priority="66"/>
    <cfRule type="duplicateValues" dxfId="144" priority="67"/>
    <cfRule type="duplicateValues" dxfId="143" priority="68"/>
    <cfRule type="duplicateValues" dxfId="142" priority="69"/>
    <cfRule type="duplicateValues" dxfId="141" priority="70"/>
    <cfRule type="duplicateValues" dxfId="140" priority="71"/>
    <cfRule type="duplicateValues" dxfId="139" priority="72"/>
  </conditionalFormatting>
  <conditionalFormatting sqref="AC492 AE492">
    <cfRule type="duplicateValues" dxfId="138" priority="39"/>
  </conditionalFormatting>
  <conditionalFormatting sqref="AC492">
    <cfRule type="duplicateValues" dxfId="137" priority="36"/>
    <cfRule type="duplicateValues" dxfId="136" priority="37"/>
    <cfRule type="duplicateValues" dxfId="135" priority="38"/>
  </conditionalFormatting>
  <conditionalFormatting sqref="AD492">
    <cfRule type="duplicateValues" dxfId="134" priority="25"/>
    <cfRule type="duplicateValues" dxfId="133" priority="26"/>
    <cfRule type="duplicateValues" dxfId="132" priority="27"/>
    <cfRule type="duplicateValues" dxfId="131" priority="28"/>
  </conditionalFormatting>
  <conditionalFormatting sqref="AF492">
    <cfRule type="duplicateValues" dxfId="130" priority="29"/>
    <cfRule type="duplicateValues" dxfId="129" priority="30"/>
    <cfRule type="duplicateValues" dxfId="128" priority="31"/>
    <cfRule type="duplicateValues" dxfId="127" priority="32"/>
  </conditionalFormatting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6">
    <tabColor theme="1" tint="0.249977111117893"/>
  </sheetPr>
  <dimension ref="A1:V33"/>
  <sheetViews>
    <sheetView workbookViewId="0">
      <selection activeCell="V38" sqref="V38"/>
    </sheetView>
  </sheetViews>
  <sheetFormatPr defaultColWidth="9.26953125" defaultRowHeight="12.5" x14ac:dyDescent="0.25"/>
  <cols>
    <col min="1" max="1" width="9" style="19" bestFit="1" customWidth="1"/>
    <col min="2" max="2" width="9" style="19" customWidth="1"/>
    <col min="3" max="3" width="7.7265625" style="19" customWidth="1"/>
    <col min="4" max="4" width="10.7265625" style="19" bestFit="1" customWidth="1"/>
    <col min="5" max="16384" width="9.26953125" style="19"/>
  </cols>
  <sheetData>
    <row r="1" spans="1:22" x14ac:dyDescent="0.25">
      <c r="A1" s="20" t="s">
        <v>4009</v>
      </c>
      <c r="B1" s="20"/>
      <c r="C1" s="20" t="s">
        <v>4010</v>
      </c>
      <c r="D1" s="20" t="s">
        <v>4011</v>
      </c>
    </row>
    <row r="2" spans="1:22" ht="15.5" x14ac:dyDescent="0.25">
      <c r="A2" s="2">
        <v>179694</v>
      </c>
      <c r="B2" s="2"/>
      <c r="C2" s="2"/>
      <c r="D2" s="20">
        <v>2</v>
      </c>
      <c r="H2" s="32"/>
      <c r="I2" s="858"/>
      <c r="J2" s="858"/>
      <c r="K2" s="858"/>
      <c r="L2" s="858"/>
      <c r="M2" s="858"/>
      <c r="N2" s="858"/>
      <c r="O2" s="858"/>
      <c r="P2" s="859"/>
      <c r="Q2" s="859"/>
      <c r="R2" s="859"/>
      <c r="S2" s="859"/>
      <c r="T2" s="859"/>
      <c r="U2" s="859"/>
    </row>
    <row r="3" spans="1:22" x14ac:dyDescent="0.25">
      <c r="A3" s="20">
        <v>179790</v>
      </c>
      <c r="B3" s="20"/>
      <c r="C3" s="20"/>
      <c r="D3" s="20">
        <v>1</v>
      </c>
      <c r="H3" s="33"/>
      <c r="I3" s="857"/>
      <c r="J3" s="857"/>
      <c r="K3" s="853"/>
      <c r="L3" s="853"/>
      <c r="M3" s="853"/>
      <c r="N3" s="853"/>
      <c r="O3" s="853"/>
      <c r="P3" s="854"/>
      <c r="Q3" s="854"/>
      <c r="R3" s="854"/>
      <c r="S3" s="854"/>
      <c r="T3" s="855"/>
      <c r="U3" s="855"/>
      <c r="V3" s="19">
        <v>1</v>
      </c>
    </row>
    <row r="4" spans="1:22" ht="15.5" x14ac:dyDescent="0.25">
      <c r="A4" s="2">
        <v>375538</v>
      </c>
      <c r="B4" s="2"/>
      <c r="C4" s="2"/>
      <c r="D4" s="20">
        <v>1</v>
      </c>
      <c r="H4" s="33"/>
      <c r="I4" s="857"/>
      <c r="J4" s="857"/>
      <c r="K4" s="853"/>
      <c r="L4" s="853"/>
      <c r="M4" s="853"/>
      <c r="N4" s="853"/>
      <c r="O4" s="853"/>
      <c r="P4" s="854"/>
      <c r="Q4" s="854"/>
      <c r="R4" s="854"/>
      <c r="S4" s="854"/>
      <c r="T4" s="855"/>
      <c r="U4" s="855"/>
      <c r="V4" s="19">
        <v>2</v>
      </c>
    </row>
    <row r="5" spans="1:22" ht="15.5" x14ac:dyDescent="0.25">
      <c r="A5" s="2">
        <v>638561</v>
      </c>
      <c r="B5" s="2"/>
      <c r="C5" s="2"/>
      <c r="D5" s="20">
        <v>5</v>
      </c>
      <c r="H5" s="33"/>
      <c r="I5" s="857"/>
      <c r="J5" s="857"/>
      <c r="K5" s="853"/>
      <c r="L5" s="853"/>
      <c r="M5" s="853"/>
      <c r="N5" s="853"/>
      <c r="O5" s="853"/>
      <c r="P5" s="854"/>
      <c r="Q5" s="854"/>
      <c r="R5" s="854"/>
      <c r="S5" s="854"/>
      <c r="T5" s="855"/>
      <c r="U5" s="855"/>
      <c r="V5" s="19">
        <v>3</v>
      </c>
    </row>
    <row r="6" spans="1:22" ht="15.5" x14ac:dyDescent="0.25">
      <c r="A6" s="2">
        <v>745576</v>
      </c>
      <c r="B6" s="2"/>
      <c r="C6" s="2"/>
      <c r="D6" s="20">
        <v>5</v>
      </c>
      <c r="H6" s="33"/>
      <c r="I6"/>
      <c r="J6"/>
      <c r="K6"/>
      <c r="L6"/>
      <c r="M6"/>
      <c r="N6" s="853"/>
      <c r="O6" s="853"/>
      <c r="P6" s="854"/>
      <c r="Q6" s="854"/>
      <c r="R6" s="854"/>
      <c r="S6" s="854"/>
      <c r="T6" s="855"/>
      <c r="U6" s="855"/>
      <c r="V6" s="19">
        <v>4</v>
      </c>
    </row>
    <row r="7" spans="1:22" ht="15.5" x14ac:dyDescent="0.25">
      <c r="A7" s="5">
        <v>729691</v>
      </c>
      <c r="B7" s="5"/>
      <c r="C7" s="5"/>
      <c r="D7" s="20">
        <v>3</v>
      </c>
      <c r="H7" s="33"/>
      <c r="I7"/>
      <c r="J7"/>
      <c r="K7"/>
      <c r="L7"/>
      <c r="M7"/>
      <c r="N7" s="853"/>
      <c r="O7" s="853"/>
      <c r="P7" s="854"/>
      <c r="Q7" s="854"/>
      <c r="R7" s="854"/>
      <c r="S7" s="854"/>
      <c r="T7" s="855"/>
      <c r="U7" s="855"/>
      <c r="V7" s="19">
        <v>5</v>
      </c>
    </row>
    <row r="8" spans="1:22" ht="15.5" x14ac:dyDescent="0.25">
      <c r="A8" s="2">
        <v>638560</v>
      </c>
      <c r="B8" s="2"/>
      <c r="C8" s="2"/>
      <c r="D8" s="20">
        <v>1</v>
      </c>
      <c r="H8" s="33"/>
      <c r="I8"/>
      <c r="J8"/>
      <c r="K8"/>
      <c r="L8"/>
      <c r="M8"/>
      <c r="N8" s="853"/>
      <c r="O8" s="853"/>
      <c r="P8" s="854"/>
      <c r="Q8" s="854"/>
      <c r="R8" s="854"/>
      <c r="S8" s="854"/>
      <c r="T8" s="855"/>
      <c r="U8" s="855"/>
      <c r="V8" s="19">
        <v>6</v>
      </c>
    </row>
    <row r="9" spans="1:22" ht="15.5" x14ac:dyDescent="0.25">
      <c r="A9" s="2">
        <v>418525</v>
      </c>
      <c r="B9" s="2"/>
      <c r="C9" s="2">
        <v>0</v>
      </c>
      <c r="D9" s="20">
        <v>8</v>
      </c>
      <c r="H9" s="33"/>
      <c r="I9"/>
      <c r="J9"/>
      <c r="K9"/>
      <c r="L9"/>
      <c r="M9"/>
      <c r="N9" s="853"/>
      <c r="O9" s="853"/>
      <c r="P9" s="854"/>
      <c r="Q9" s="854"/>
      <c r="R9" s="854"/>
      <c r="S9" s="854"/>
      <c r="T9" s="855"/>
      <c r="U9" s="855"/>
      <c r="V9" s="19">
        <v>7</v>
      </c>
    </row>
    <row r="10" spans="1:22" ht="15.5" x14ac:dyDescent="0.25">
      <c r="A10" s="2">
        <v>647436</v>
      </c>
      <c r="B10" s="2"/>
      <c r="C10" s="20"/>
      <c r="D10" s="20">
        <v>1</v>
      </c>
      <c r="H10" s="33"/>
      <c r="I10"/>
      <c r="J10"/>
      <c r="K10"/>
      <c r="L10"/>
      <c r="M10"/>
      <c r="N10" s="853"/>
      <c r="O10" s="853"/>
      <c r="P10" s="854"/>
      <c r="Q10" s="854"/>
      <c r="R10" s="854"/>
      <c r="S10" s="854"/>
      <c r="T10" s="855"/>
      <c r="U10" s="855"/>
      <c r="V10" s="19">
        <v>8</v>
      </c>
    </row>
    <row r="11" spans="1:22" ht="15.5" x14ac:dyDescent="0.25">
      <c r="A11" s="2">
        <v>871781</v>
      </c>
      <c r="B11" s="2"/>
      <c r="C11" s="20"/>
      <c r="D11" s="20">
        <v>2</v>
      </c>
      <c r="H11" s="33"/>
      <c r="I11"/>
      <c r="J11"/>
      <c r="K11"/>
      <c r="L11"/>
      <c r="M11"/>
      <c r="N11" s="853"/>
      <c r="O11" s="853"/>
      <c r="P11" s="854"/>
      <c r="Q11" s="854"/>
      <c r="R11" s="854"/>
      <c r="S11" s="854"/>
      <c r="T11" s="856"/>
      <c r="U11" s="856"/>
      <c r="V11" s="19">
        <v>9</v>
      </c>
    </row>
    <row r="12" spans="1:22" ht="15.5" x14ac:dyDescent="0.25">
      <c r="A12" s="2">
        <v>410851</v>
      </c>
      <c r="B12" s="2"/>
      <c r="C12" s="20"/>
      <c r="D12" s="20">
        <v>15</v>
      </c>
      <c r="H12" s="33"/>
      <c r="I12"/>
      <c r="J12"/>
      <c r="K12"/>
      <c r="L12"/>
      <c r="M12"/>
      <c r="N12" s="853"/>
      <c r="O12" s="853"/>
      <c r="P12" s="854"/>
      <c r="Q12" s="854"/>
      <c r="R12" s="854"/>
      <c r="S12" s="854"/>
      <c r="T12" s="855"/>
      <c r="U12" s="855"/>
      <c r="V12" s="19">
        <v>10</v>
      </c>
    </row>
    <row r="13" spans="1:22" ht="15.5" x14ac:dyDescent="0.25">
      <c r="A13" s="2">
        <v>1130198</v>
      </c>
      <c r="B13" s="2"/>
      <c r="C13" s="20"/>
      <c r="D13" s="20">
        <v>1</v>
      </c>
      <c r="H13" s="33"/>
      <c r="I13"/>
      <c r="J13"/>
      <c r="K13"/>
      <c r="L13"/>
      <c r="M13"/>
      <c r="N13" s="853"/>
      <c r="O13" s="853"/>
      <c r="P13" s="854"/>
      <c r="Q13" s="854"/>
      <c r="R13" s="854"/>
      <c r="S13" s="854"/>
      <c r="T13" s="855"/>
      <c r="U13" s="855"/>
      <c r="V13" s="19">
        <v>11</v>
      </c>
    </row>
    <row r="14" spans="1:22" ht="15.5" x14ac:dyDescent="0.25">
      <c r="A14" s="2">
        <v>409593</v>
      </c>
      <c r="B14" s="2"/>
      <c r="C14" s="20"/>
      <c r="D14" s="20">
        <v>1</v>
      </c>
      <c r="H14" s="33"/>
      <c r="I14"/>
      <c r="J14"/>
      <c r="K14"/>
      <c r="L14"/>
      <c r="M14"/>
      <c r="N14" s="853"/>
      <c r="O14" s="853"/>
      <c r="P14" s="854"/>
      <c r="Q14" s="854"/>
      <c r="R14" s="854"/>
      <c r="S14" s="854"/>
      <c r="T14" s="855"/>
      <c r="U14" s="855"/>
      <c r="V14" s="19">
        <v>12</v>
      </c>
    </row>
    <row r="15" spans="1:22" x14ac:dyDescent="0.25">
      <c r="D15" s="19">
        <f>SUM(D2:D14)</f>
        <v>46</v>
      </c>
      <c r="H15" s="33"/>
      <c r="I15"/>
      <c r="J15"/>
      <c r="K15"/>
      <c r="L15"/>
      <c r="M15"/>
      <c r="N15" s="853"/>
      <c r="O15" s="853"/>
      <c r="P15" s="854"/>
      <c r="Q15" s="854"/>
      <c r="R15" s="854"/>
      <c r="S15" s="854"/>
      <c r="T15" s="855"/>
      <c r="U15" s="855"/>
      <c r="V15" s="19">
        <v>13</v>
      </c>
    </row>
    <row r="16" spans="1:22" x14ac:dyDescent="0.25">
      <c r="H16" s="33"/>
      <c r="I16"/>
      <c r="J16"/>
      <c r="K16"/>
      <c r="L16"/>
      <c r="M16"/>
      <c r="N16" s="853"/>
      <c r="O16" s="853"/>
      <c r="P16" s="854"/>
      <c r="Q16" s="854"/>
      <c r="R16" s="854"/>
      <c r="S16" s="854"/>
      <c r="T16" s="855"/>
      <c r="U16" s="855"/>
      <c r="V16" s="19">
        <v>14</v>
      </c>
    </row>
    <row r="17" spans="14:22" x14ac:dyDescent="0.25">
      <c r="N17" s="855"/>
      <c r="O17" s="855"/>
      <c r="P17" s="854"/>
      <c r="Q17" s="854"/>
      <c r="R17" s="854"/>
      <c r="S17" s="854"/>
      <c r="T17" s="855"/>
      <c r="U17" s="855"/>
      <c r="V17" s="19">
        <v>15</v>
      </c>
    </row>
    <row r="18" spans="14:22" x14ac:dyDescent="0.25">
      <c r="N18" s="855"/>
      <c r="O18" s="855"/>
      <c r="P18" s="854"/>
      <c r="Q18" s="854"/>
      <c r="R18" s="854"/>
      <c r="S18" s="854"/>
      <c r="T18" s="855"/>
      <c r="U18" s="855"/>
      <c r="V18" s="19">
        <v>16</v>
      </c>
    </row>
    <row r="19" spans="14:22" x14ac:dyDescent="0.25">
      <c r="N19" s="855"/>
      <c r="O19" s="855"/>
      <c r="P19" s="854"/>
      <c r="Q19" s="854"/>
      <c r="R19" s="854"/>
      <c r="S19" s="854"/>
      <c r="T19" s="855"/>
      <c r="U19" s="855"/>
      <c r="V19" s="19">
        <v>17</v>
      </c>
    </row>
    <row r="20" spans="14:22" x14ac:dyDescent="0.25">
      <c r="N20" s="855"/>
      <c r="O20" s="855"/>
      <c r="P20" s="854"/>
      <c r="Q20" s="854"/>
      <c r="R20" s="854"/>
      <c r="S20" s="854"/>
      <c r="T20" s="855"/>
      <c r="U20" s="855"/>
      <c r="V20" s="19">
        <v>18</v>
      </c>
    </row>
    <row r="21" spans="14:22" x14ac:dyDescent="0.25">
      <c r="N21" s="855"/>
      <c r="O21" s="855"/>
      <c r="P21" s="854"/>
      <c r="Q21" s="854"/>
      <c r="R21" s="854"/>
      <c r="S21" s="854"/>
      <c r="T21" s="855"/>
      <c r="U21" s="855"/>
      <c r="V21" s="19">
        <v>19</v>
      </c>
    </row>
    <row r="22" spans="14:22" x14ac:dyDescent="0.25">
      <c r="N22" s="855"/>
      <c r="O22" s="855"/>
      <c r="P22" s="854"/>
      <c r="Q22" s="854"/>
      <c r="R22" s="854"/>
      <c r="S22" s="854"/>
      <c r="T22" s="855"/>
      <c r="U22" s="855"/>
      <c r="V22" s="19">
        <v>20</v>
      </c>
    </row>
    <row r="23" spans="14:22" x14ac:dyDescent="0.25">
      <c r="N23" s="853"/>
      <c r="O23" s="853"/>
      <c r="P23" s="854"/>
      <c r="Q23" s="854"/>
      <c r="R23" s="854"/>
      <c r="S23" s="854"/>
      <c r="T23" s="855"/>
      <c r="U23" s="855"/>
      <c r="V23" s="19">
        <v>21</v>
      </c>
    </row>
    <row r="24" spans="14:22" x14ac:dyDescent="0.25">
      <c r="N24" s="853"/>
      <c r="O24" s="853"/>
      <c r="P24" s="854"/>
      <c r="Q24" s="854"/>
      <c r="R24" s="854"/>
      <c r="S24" s="854"/>
      <c r="T24" s="855"/>
      <c r="U24" s="855"/>
      <c r="V24" s="19">
        <v>22</v>
      </c>
    </row>
    <row r="25" spans="14:22" x14ac:dyDescent="0.25">
      <c r="N25" s="853"/>
      <c r="O25" s="853"/>
      <c r="P25" s="854"/>
      <c r="Q25" s="854"/>
      <c r="R25" s="854"/>
      <c r="S25" s="854"/>
      <c r="T25" s="855"/>
      <c r="U25" s="855"/>
      <c r="V25" s="19">
        <v>23</v>
      </c>
    </row>
    <row r="26" spans="14:22" x14ac:dyDescent="0.25">
      <c r="N26" s="853"/>
      <c r="O26" s="853"/>
      <c r="P26" s="854"/>
      <c r="Q26" s="854"/>
      <c r="R26" s="854"/>
      <c r="S26" s="854"/>
      <c r="T26" s="855"/>
      <c r="U26" s="855"/>
      <c r="V26" s="19">
        <v>24</v>
      </c>
    </row>
    <row r="27" spans="14:22" x14ac:dyDescent="0.25">
      <c r="N27" s="853"/>
      <c r="O27" s="853"/>
      <c r="P27" s="854"/>
      <c r="Q27" s="854"/>
      <c r="R27" s="854"/>
      <c r="S27" s="854"/>
      <c r="T27" s="855"/>
      <c r="U27" s="855"/>
      <c r="V27" s="19">
        <v>25</v>
      </c>
    </row>
    <row r="28" spans="14:22" x14ac:dyDescent="0.25">
      <c r="N28" s="853"/>
      <c r="O28" s="853"/>
      <c r="P28" s="854"/>
      <c r="Q28" s="854"/>
      <c r="R28" s="854"/>
      <c r="S28" s="854"/>
      <c r="T28" s="855"/>
      <c r="U28" s="855"/>
      <c r="V28" s="19">
        <v>26</v>
      </c>
    </row>
    <row r="29" spans="14:22" x14ac:dyDescent="0.25">
      <c r="N29" s="853"/>
      <c r="O29" s="853"/>
      <c r="P29" s="854"/>
      <c r="Q29" s="854"/>
      <c r="R29" s="854"/>
      <c r="S29" s="854"/>
      <c r="T29" s="855"/>
      <c r="U29" s="855"/>
      <c r="V29" s="19">
        <v>27</v>
      </c>
    </row>
    <row r="30" spans="14:22" x14ac:dyDescent="0.25">
      <c r="N30" s="853"/>
      <c r="O30" s="853"/>
      <c r="P30" s="854"/>
      <c r="Q30" s="854"/>
      <c r="R30" s="854"/>
      <c r="S30" s="854"/>
      <c r="T30" s="855"/>
      <c r="U30" s="855"/>
      <c r="V30" s="19">
        <v>28</v>
      </c>
    </row>
    <row r="31" spans="14:22" x14ac:dyDescent="0.25">
      <c r="N31" s="853"/>
      <c r="O31" s="853"/>
      <c r="P31" s="854"/>
      <c r="Q31" s="854"/>
      <c r="R31" s="854"/>
      <c r="S31" s="854"/>
      <c r="T31" s="855"/>
      <c r="U31" s="855"/>
      <c r="V31" s="19">
        <v>29</v>
      </c>
    </row>
    <row r="32" spans="14:22" x14ac:dyDescent="0.25">
      <c r="N32" s="853"/>
      <c r="O32" s="853"/>
      <c r="P32" s="854"/>
      <c r="Q32" s="854"/>
      <c r="R32" s="854"/>
      <c r="S32" s="854"/>
      <c r="T32" s="855"/>
      <c r="U32" s="855"/>
      <c r="V32" s="19">
        <v>30</v>
      </c>
    </row>
    <row r="33" spans="14:22" x14ac:dyDescent="0.25">
      <c r="N33" s="853"/>
      <c r="O33" s="853"/>
      <c r="P33" s="854"/>
      <c r="Q33" s="854"/>
      <c r="R33" s="854"/>
      <c r="S33" s="854"/>
      <c r="T33" s="855"/>
      <c r="U33" s="855"/>
      <c r="V33" s="19">
        <v>31</v>
      </c>
    </row>
  </sheetData>
  <mergeCells count="104">
    <mergeCell ref="I2:J2"/>
    <mergeCell ref="K2:M2"/>
    <mergeCell ref="N2:O2"/>
    <mergeCell ref="P2:S2"/>
    <mergeCell ref="T2:U2"/>
    <mergeCell ref="I3:J3"/>
    <mergeCell ref="K3:M3"/>
    <mergeCell ref="N3:O3"/>
    <mergeCell ref="P3:S3"/>
    <mergeCell ref="T3:U3"/>
    <mergeCell ref="I4:J4"/>
    <mergeCell ref="K4:M4"/>
    <mergeCell ref="N4:O4"/>
    <mergeCell ref="P4:S4"/>
    <mergeCell ref="T4:U4"/>
    <mergeCell ref="I5:J5"/>
    <mergeCell ref="K5:M5"/>
    <mergeCell ref="N5:O5"/>
    <mergeCell ref="P5:S5"/>
    <mergeCell ref="T5:U5"/>
    <mergeCell ref="N8:O8"/>
    <mergeCell ref="P8:S8"/>
    <mergeCell ref="T8:U8"/>
    <mergeCell ref="N9:O9"/>
    <mergeCell ref="P9:S9"/>
    <mergeCell ref="T9:U9"/>
    <mergeCell ref="N6:O6"/>
    <mergeCell ref="P6:S6"/>
    <mergeCell ref="T6:U6"/>
    <mergeCell ref="N7:O7"/>
    <mergeCell ref="P7:S7"/>
    <mergeCell ref="T7:U7"/>
    <mergeCell ref="N12:O12"/>
    <mergeCell ref="P12:S12"/>
    <mergeCell ref="T12:U12"/>
    <mergeCell ref="N13:O13"/>
    <mergeCell ref="P13:S13"/>
    <mergeCell ref="T13:U13"/>
    <mergeCell ref="N10:O10"/>
    <mergeCell ref="P10:S10"/>
    <mergeCell ref="T10:U10"/>
    <mergeCell ref="N11:O11"/>
    <mergeCell ref="P11:S11"/>
    <mergeCell ref="T11:U11"/>
    <mergeCell ref="N16:O16"/>
    <mergeCell ref="P16:S16"/>
    <mergeCell ref="T16:U16"/>
    <mergeCell ref="N17:O17"/>
    <mergeCell ref="P17:S17"/>
    <mergeCell ref="T17:U17"/>
    <mergeCell ref="N14:O14"/>
    <mergeCell ref="P14:S14"/>
    <mergeCell ref="T14:U14"/>
    <mergeCell ref="N15:O15"/>
    <mergeCell ref="P15:S15"/>
    <mergeCell ref="T15:U15"/>
    <mergeCell ref="N20:O20"/>
    <mergeCell ref="P20:S20"/>
    <mergeCell ref="T20:U20"/>
    <mergeCell ref="N21:O21"/>
    <mergeCell ref="P21:S21"/>
    <mergeCell ref="T21:U21"/>
    <mergeCell ref="N18:O18"/>
    <mergeCell ref="P18:S18"/>
    <mergeCell ref="T18:U18"/>
    <mergeCell ref="N19:O19"/>
    <mergeCell ref="P19:S19"/>
    <mergeCell ref="T19:U19"/>
    <mergeCell ref="N24:O24"/>
    <mergeCell ref="P24:S24"/>
    <mergeCell ref="T24:U24"/>
    <mergeCell ref="N25:O25"/>
    <mergeCell ref="P25:S25"/>
    <mergeCell ref="T25:U25"/>
    <mergeCell ref="N22:O22"/>
    <mergeCell ref="P22:S22"/>
    <mergeCell ref="T22:U22"/>
    <mergeCell ref="N23:O23"/>
    <mergeCell ref="P23:S23"/>
    <mergeCell ref="T23:U23"/>
    <mergeCell ref="N28:O28"/>
    <mergeCell ref="P28:S28"/>
    <mergeCell ref="T28:U28"/>
    <mergeCell ref="N29:O29"/>
    <mergeCell ref="P29:S29"/>
    <mergeCell ref="T29:U29"/>
    <mergeCell ref="N26:O26"/>
    <mergeCell ref="P26:S26"/>
    <mergeCell ref="T26:U26"/>
    <mergeCell ref="N27:O27"/>
    <mergeCell ref="P27:S27"/>
    <mergeCell ref="T27:U27"/>
    <mergeCell ref="N32:O32"/>
    <mergeCell ref="P32:S32"/>
    <mergeCell ref="T32:U32"/>
    <mergeCell ref="N33:O33"/>
    <mergeCell ref="P33:S33"/>
    <mergeCell ref="T33:U33"/>
    <mergeCell ref="N30:O30"/>
    <mergeCell ref="P30:S30"/>
    <mergeCell ref="T30:U30"/>
    <mergeCell ref="N31:O31"/>
    <mergeCell ref="P31:S31"/>
    <mergeCell ref="T31:U31"/>
  </mergeCells>
  <conditionalFormatting sqref="A10:B10">
    <cfRule type="duplicateValues" dxfId="126" priority="21"/>
    <cfRule type="duplicateValues" dxfId="125" priority="22" stopIfTrue="1"/>
    <cfRule type="duplicateValues" dxfId="124" priority="23" stopIfTrue="1"/>
    <cfRule type="duplicateValues" dxfId="123" priority="24" stopIfTrue="1"/>
    <cfRule type="duplicateValues" dxfId="122" priority="25" stopIfTrue="1"/>
  </conditionalFormatting>
  <conditionalFormatting sqref="A11:B11">
    <cfRule type="duplicateValues" dxfId="121" priority="16"/>
    <cfRule type="duplicateValues" dxfId="120" priority="17" stopIfTrue="1"/>
    <cfRule type="duplicateValues" dxfId="119" priority="18" stopIfTrue="1"/>
    <cfRule type="duplicateValues" dxfId="118" priority="19" stopIfTrue="1"/>
    <cfRule type="duplicateValues" dxfId="117" priority="20" stopIfTrue="1"/>
  </conditionalFormatting>
  <conditionalFormatting sqref="A12:B12">
    <cfRule type="duplicateValues" dxfId="116" priority="11"/>
    <cfRule type="duplicateValues" dxfId="115" priority="12" stopIfTrue="1"/>
    <cfRule type="duplicateValues" dxfId="114" priority="13" stopIfTrue="1"/>
    <cfRule type="duplicateValues" dxfId="113" priority="14" stopIfTrue="1"/>
    <cfRule type="duplicateValues" dxfId="112" priority="15" stopIfTrue="1"/>
  </conditionalFormatting>
  <conditionalFormatting sqref="A13:B13">
    <cfRule type="duplicateValues" dxfId="111" priority="6"/>
    <cfRule type="duplicateValues" dxfId="110" priority="7" stopIfTrue="1"/>
    <cfRule type="duplicateValues" dxfId="109" priority="8" stopIfTrue="1"/>
    <cfRule type="duplicateValues" dxfId="108" priority="9" stopIfTrue="1"/>
    <cfRule type="duplicateValues" dxfId="107" priority="10" stopIfTrue="1"/>
  </conditionalFormatting>
  <conditionalFormatting sqref="A14:B14">
    <cfRule type="duplicateValues" dxfId="106" priority="1"/>
    <cfRule type="duplicateValues" dxfId="105" priority="2" stopIfTrue="1"/>
    <cfRule type="duplicateValues" dxfId="104" priority="3" stopIfTrue="1"/>
    <cfRule type="duplicateValues" dxfId="103" priority="4" stopIfTrue="1"/>
    <cfRule type="duplicateValues" dxfId="102" priority="5" stopIfTrue="1"/>
  </conditionalFormatting>
  <conditionalFormatting sqref="A2:C2">
    <cfRule type="duplicateValues" dxfId="101" priority="56"/>
    <cfRule type="duplicateValues" dxfId="100" priority="57" stopIfTrue="1"/>
    <cfRule type="duplicateValues" dxfId="99" priority="58" stopIfTrue="1"/>
    <cfRule type="duplicateValues" dxfId="98" priority="59" stopIfTrue="1"/>
    <cfRule type="duplicateValues" dxfId="97" priority="60" stopIfTrue="1"/>
  </conditionalFormatting>
  <conditionalFormatting sqref="A4:C4">
    <cfRule type="duplicateValues" dxfId="96" priority="51"/>
    <cfRule type="duplicateValues" dxfId="95" priority="52" stopIfTrue="1"/>
    <cfRule type="duplicateValues" dxfId="94" priority="53" stopIfTrue="1"/>
    <cfRule type="duplicateValues" dxfId="93" priority="54" stopIfTrue="1"/>
    <cfRule type="duplicateValues" dxfId="92" priority="55" stopIfTrue="1"/>
  </conditionalFormatting>
  <conditionalFormatting sqref="A5:C5">
    <cfRule type="duplicateValues" dxfId="91" priority="46"/>
    <cfRule type="duplicateValues" dxfId="90" priority="47" stopIfTrue="1"/>
    <cfRule type="duplicateValues" dxfId="89" priority="48" stopIfTrue="1"/>
    <cfRule type="duplicateValues" dxfId="88" priority="49" stopIfTrue="1"/>
    <cfRule type="duplicateValues" dxfId="87" priority="50" stopIfTrue="1"/>
  </conditionalFormatting>
  <conditionalFormatting sqref="A6:C6">
    <cfRule type="duplicateValues" dxfId="86" priority="41"/>
    <cfRule type="duplicateValues" dxfId="85" priority="42" stopIfTrue="1"/>
    <cfRule type="duplicateValues" dxfId="84" priority="43" stopIfTrue="1"/>
    <cfRule type="duplicateValues" dxfId="83" priority="44" stopIfTrue="1"/>
    <cfRule type="duplicateValues" dxfId="82" priority="45" stopIfTrue="1"/>
  </conditionalFormatting>
  <conditionalFormatting sqref="A7:C7">
    <cfRule type="duplicateValues" dxfId="81" priority="36"/>
    <cfRule type="duplicateValues" dxfId="80" priority="37" stopIfTrue="1"/>
    <cfRule type="duplicateValues" dxfId="79" priority="38" stopIfTrue="1"/>
    <cfRule type="duplicateValues" dxfId="78" priority="39" stopIfTrue="1"/>
    <cfRule type="duplicateValues" dxfId="77" priority="40" stopIfTrue="1"/>
  </conditionalFormatting>
  <conditionalFormatting sqref="A8:C8">
    <cfRule type="duplicateValues" dxfId="76" priority="31"/>
    <cfRule type="duplicateValues" dxfId="75" priority="32" stopIfTrue="1"/>
    <cfRule type="duplicateValues" dxfId="74" priority="33" stopIfTrue="1"/>
    <cfRule type="duplicateValues" dxfId="73" priority="34" stopIfTrue="1"/>
    <cfRule type="duplicateValues" dxfId="72" priority="35" stopIfTrue="1"/>
  </conditionalFormatting>
  <conditionalFormatting sqref="A9:C9">
    <cfRule type="duplicateValues" dxfId="71" priority="26"/>
    <cfRule type="duplicateValues" dxfId="70" priority="27" stopIfTrue="1"/>
    <cfRule type="duplicateValues" dxfId="69" priority="28" stopIfTrue="1"/>
    <cfRule type="duplicateValues" dxfId="68" priority="29" stopIfTrue="1"/>
    <cfRule type="duplicateValues" dxfId="67" priority="30" stopIfTrue="1"/>
  </conditionalFormatting>
  <pageMargins left="0.7" right="0.7" top="0.75" bottom="0.75" header="0.3" footer="0.3"/>
  <pageSetup orientation="portrait" horizontalDpi="4294967293" verticalDpi="429496729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1"/>
  <dimension ref="A1:U101"/>
  <sheetViews>
    <sheetView workbookViewId="0">
      <selection activeCell="H16" sqref="H16"/>
    </sheetView>
  </sheetViews>
  <sheetFormatPr defaultRowHeight="12.5" x14ac:dyDescent="0.25"/>
  <cols>
    <col min="5" max="5" width="9.7265625" bestFit="1" customWidth="1"/>
    <col min="7" max="7" width="10.7265625" bestFit="1" customWidth="1"/>
    <col min="16" max="16" width="12" bestFit="1" customWidth="1"/>
    <col min="17" max="17" width="8" bestFit="1" customWidth="1"/>
    <col min="18" max="18" width="19.54296875" bestFit="1" customWidth="1"/>
    <col min="19" max="19" width="5.7265625" bestFit="1" customWidth="1"/>
    <col min="20" max="20" width="13.26953125" bestFit="1" customWidth="1"/>
    <col min="21" max="21" width="83.26953125" customWidth="1"/>
  </cols>
  <sheetData>
    <row r="1" spans="1:21" ht="15" thickBot="1" x14ac:dyDescent="0.35">
      <c r="A1" s="193"/>
      <c r="B1" s="193"/>
      <c r="C1" s="189" t="s">
        <v>4012</v>
      </c>
      <c r="D1" s="193"/>
      <c r="E1" s="193"/>
      <c r="F1" s="193"/>
      <c r="G1" s="193"/>
      <c r="H1" s="193"/>
      <c r="O1" s="147" t="s">
        <v>4013</v>
      </c>
    </row>
    <row r="2" spans="1:21" ht="44" thickBot="1" x14ac:dyDescent="0.3">
      <c r="A2" s="189" t="s">
        <v>3818</v>
      </c>
      <c r="B2" s="189" t="s">
        <v>258</v>
      </c>
      <c r="C2" s="189" t="s">
        <v>4</v>
      </c>
      <c r="D2" s="189" t="s">
        <v>260</v>
      </c>
      <c r="E2" s="189" t="s">
        <v>261</v>
      </c>
      <c r="F2" s="189" t="s">
        <v>3819</v>
      </c>
      <c r="G2" s="189" t="s">
        <v>4014</v>
      </c>
      <c r="H2" s="189" t="s">
        <v>19</v>
      </c>
      <c r="O2" s="125" t="s">
        <v>258</v>
      </c>
      <c r="P2" s="126" t="s">
        <v>4</v>
      </c>
      <c r="Q2" s="126" t="s">
        <v>300</v>
      </c>
      <c r="R2" s="126" t="s">
        <v>301</v>
      </c>
      <c r="S2" s="126" t="s">
        <v>302</v>
      </c>
      <c r="T2" s="126" t="s">
        <v>4015</v>
      </c>
      <c r="U2" s="126" t="s">
        <v>3863</v>
      </c>
    </row>
    <row r="3" spans="1:21" ht="15" thickBot="1" x14ac:dyDescent="0.3">
      <c r="A3" s="189" t="s">
        <v>3820</v>
      </c>
      <c r="B3" s="190">
        <v>8.375</v>
      </c>
      <c r="C3" s="189" t="s">
        <v>272</v>
      </c>
      <c r="D3" s="191">
        <v>1141517</v>
      </c>
      <c r="E3" s="191">
        <v>13791102</v>
      </c>
      <c r="F3" s="189" t="s">
        <v>4016</v>
      </c>
      <c r="G3" s="192">
        <v>44780</v>
      </c>
      <c r="H3" s="189" t="s">
        <v>3831</v>
      </c>
      <c r="O3" s="127" t="s">
        <v>304</v>
      </c>
      <c r="P3" s="128" t="s">
        <v>305</v>
      </c>
      <c r="Q3" s="201">
        <v>1145821</v>
      </c>
      <c r="R3" s="201">
        <v>1096183</v>
      </c>
      <c r="S3" s="201">
        <v>2</v>
      </c>
      <c r="T3" s="201" t="s">
        <v>646</v>
      </c>
      <c r="U3" s="202"/>
    </row>
    <row r="4" spans="1:21" ht="29.5" thickBot="1" x14ac:dyDescent="0.35">
      <c r="A4" s="189" t="s">
        <v>3820</v>
      </c>
      <c r="B4" s="190">
        <v>6.125</v>
      </c>
      <c r="C4" s="189" t="s">
        <v>311</v>
      </c>
      <c r="D4" s="191">
        <v>1145824</v>
      </c>
      <c r="E4" s="191">
        <v>13791100</v>
      </c>
      <c r="F4" s="193"/>
      <c r="G4" s="192">
        <v>44780</v>
      </c>
      <c r="H4" s="191">
        <v>11137349</v>
      </c>
      <c r="O4" s="127" t="s">
        <v>307</v>
      </c>
      <c r="P4" s="128" t="s">
        <v>308</v>
      </c>
      <c r="Q4" s="201">
        <v>1224225</v>
      </c>
      <c r="R4" s="201" t="s">
        <v>4017</v>
      </c>
      <c r="S4" s="201">
        <v>2</v>
      </c>
      <c r="T4" s="201" t="s">
        <v>4018</v>
      </c>
      <c r="U4" s="203" t="s">
        <v>4019</v>
      </c>
    </row>
    <row r="5" spans="1:21" ht="29.5" thickBot="1" x14ac:dyDescent="0.35">
      <c r="A5" s="189" t="s">
        <v>3820</v>
      </c>
      <c r="B5" s="190">
        <v>6.125</v>
      </c>
      <c r="C5" s="189" t="s">
        <v>311</v>
      </c>
      <c r="D5" s="191">
        <v>1145824</v>
      </c>
      <c r="E5" s="191">
        <v>13791099</v>
      </c>
      <c r="F5" s="193"/>
      <c r="G5" s="192">
        <v>44780</v>
      </c>
      <c r="H5" s="191">
        <v>31137349</v>
      </c>
      <c r="O5" s="127" t="s">
        <v>627</v>
      </c>
      <c r="P5" s="128" t="s">
        <v>308</v>
      </c>
      <c r="Q5" s="201">
        <v>1223749</v>
      </c>
      <c r="R5" s="201" t="s">
        <v>752</v>
      </c>
      <c r="S5" s="201">
        <v>1</v>
      </c>
      <c r="T5" s="201" t="s">
        <v>648</v>
      </c>
      <c r="U5" s="203" t="s">
        <v>4020</v>
      </c>
    </row>
    <row r="6" spans="1:21" ht="15" thickBot="1" x14ac:dyDescent="0.35">
      <c r="A6" s="189" t="s">
        <v>3820</v>
      </c>
      <c r="B6" s="190">
        <v>5.875</v>
      </c>
      <c r="C6" s="189" t="s">
        <v>667</v>
      </c>
      <c r="D6" s="191">
        <v>1208569</v>
      </c>
      <c r="E6" s="191">
        <v>13791381</v>
      </c>
      <c r="F6" s="193"/>
      <c r="G6" s="192">
        <v>44790</v>
      </c>
      <c r="H6" s="191">
        <v>41212043</v>
      </c>
      <c r="O6" s="127" t="s">
        <v>631</v>
      </c>
      <c r="P6" s="128" t="s">
        <v>667</v>
      </c>
      <c r="Q6" s="201">
        <v>1208569</v>
      </c>
      <c r="R6" s="201">
        <v>1212043</v>
      </c>
      <c r="S6" s="201">
        <v>2</v>
      </c>
      <c r="T6" s="201" t="s">
        <v>646</v>
      </c>
      <c r="U6" s="202"/>
    </row>
    <row r="7" spans="1:21" ht="15" thickBot="1" x14ac:dyDescent="0.35">
      <c r="A7" s="189" t="s">
        <v>3820</v>
      </c>
      <c r="B7" s="191">
        <v>12</v>
      </c>
      <c r="C7" s="189" t="s">
        <v>3837</v>
      </c>
      <c r="D7" s="191">
        <v>1146009</v>
      </c>
      <c r="E7" s="191">
        <v>13791395</v>
      </c>
      <c r="F7" s="193"/>
      <c r="G7" s="192">
        <v>44790</v>
      </c>
      <c r="H7" s="191">
        <v>31020531</v>
      </c>
      <c r="O7" s="127" t="s">
        <v>309</v>
      </c>
      <c r="P7" s="128" t="s">
        <v>311</v>
      </c>
      <c r="Q7" s="201">
        <v>1145824</v>
      </c>
      <c r="R7" s="201">
        <v>1137349</v>
      </c>
      <c r="S7" s="201">
        <v>6</v>
      </c>
      <c r="T7" s="201" t="s">
        <v>648</v>
      </c>
      <c r="U7" s="202"/>
    </row>
    <row r="8" spans="1:21" ht="15" thickBot="1" x14ac:dyDescent="0.35">
      <c r="A8" s="189" t="s">
        <v>3820</v>
      </c>
      <c r="B8" s="191">
        <v>12</v>
      </c>
      <c r="C8" s="189" t="s">
        <v>3837</v>
      </c>
      <c r="D8" s="191">
        <v>1146009</v>
      </c>
      <c r="E8" s="191">
        <v>13791394</v>
      </c>
      <c r="F8" s="193"/>
      <c r="G8" s="192">
        <v>44791</v>
      </c>
      <c r="H8" s="191">
        <v>31020531</v>
      </c>
      <c r="O8" s="127" t="s">
        <v>309</v>
      </c>
      <c r="P8" s="201" t="s">
        <v>256</v>
      </c>
      <c r="Q8" s="201">
        <v>1198387</v>
      </c>
      <c r="R8" s="201">
        <v>1160951</v>
      </c>
      <c r="S8" s="201">
        <v>2</v>
      </c>
      <c r="T8" s="201" t="s">
        <v>646</v>
      </c>
      <c r="U8" s="202"/>
    </row>
    <row r="9" spans="1:21" ht="29.5" thickBot="1" x14ac:dyDescent="0.35">
      <c r="A9" s="189" t="s">
        <v>3820</v>
      </c>
      <c r="B9" s="191">
        <v>12</v>
      </c>
      <c r="C9" s="189" t="s">
        <v>3697</v>
      </c>
      <c r="D9" s="191">
        <v>1145825</v>
      </c>
      <c r="E9" s="191">
        <v>13790029</v>
      </c>
      <c r="F9" s="193"/>
      <c r="G9" s="192">
        <v>44790</v>
      </c>
      <c r="H9" s="191">
        <v>31005462</v>
      </c>
      <c r="O9" s="127" t="s">
        <v>309</v>
      </c>
      <c r="P9" s="128" t="s">
        <v>633</v>
      </c>
      <c r="Q9" s="203">
        <v>1229062</v>
      </c>
      <c r="R9" s="201" t="s">
        <v>4021</v>
      </c>
      <c r="S9" s="201">
        <v>1</v>
      </c>
      <c r="T9" s="201" t="s">
        <v>646</v>
      </c>
      <c r="U9" s="203" t="s">
        <v>4022</v>
      </c>
    </row>
    <row r="10" spans="1:21" ht="15" thickBot="1" x14ac:dyDescent="0.35">
      <c r="A10" s="189" t="s">
        <v>3820</v>
      </c>
      <c r="B10" s="191">
        <v>12</v>
      </c>
      <c r="C10" s="189" t="s">
        <v>3697</v>
      </c>
      <c r="D10" s="191">
        <v>1145825</v>
      </c>
      <c r="E10" s="191">
        <v>13790026</v>
      </c>
      <c r="F10" s="193"/>
      <c r="G10" s="192">
        <v>44783</v>
      </c>
      <c r="H10" s="191">
        <v>31005462</v>
      </c>
      <c r="O10" s="127" t="s">
        <v>624</v>
      </c>
      <c r="P10" s="128" t="s">
        <v>275</v>
      </c>
      <c r="Q10" s="201">
        <v>1158011</v>
      </c>
      <c r="R10" s="201">
        <v>1201053</v>
      </c>
      <c r="S10" s="201">
        <v>2</v>
      </c>
      <c r="T10" s="201" t="s">
        <v>648</v>
      </c>
      <c r="U10" s="202"/>
    </row>
    <row r="11" spans="1:21" ht="15" thickBot="1" x14ac:dyDescent="0.35">
      <c r="A11" s="189" t="s">
        <v>3820</v>
      </c>
      <c r="B11" s="191">
        <v>12</v>
      </c>
      <c r="C11" s="189" t="s">
        <v>3697</v>
      </c>
      <c r="D11" s="191">
        <v>1145825</v>
      </c>
      <c r="E11" s="191">
        <v>13790028</v>
      </c>
      <c r="F11" s="193"/>
      <c r="G11" s="192">
        <v>44783</v>
      </c>
      <c r="H11" s="191">
        <v>31005462</v>
      </c>
      <c r="O11" s="127" t="s">
        <v>315</v>
      </c>
      <c r="P11" s="128" t="s">
        <v>284</v>
      </c>
      <c r="Q11" s="201">
        <v>1145825</v>
      </c>
      <c r="R11" s="201">
        <v>1005462</v>
      </c>
      <c r="S11" s="201">
        <v>3</v>
      </c>
      <c r="T11" s="201" t="s">
        <v>648</v>
      </c>
      <c r="U11" s="202"/>
    </row>
    <row r="12" spans="1:21" ht="15" thickBot="1" x14ac:dyDescent="0.35">
      <c r="A12" s="189" t="s">
        <v>3820</v>
      </c>
      <c r="B12" s="191">
        <v>12</v>
      </c>
      <c r="C12" s="189" t="s">
        <v>3697</v>
      </c>
      <c r="D12" s="191">
        <v>1145825</v>
      </c>
      <c r="E12" s="191">
        <v>13790027</v>
      </c>
      <c r="F12" s="193"/>
      <c r="G12" s="192">
        <v>44783</v>
      </c>
      <c r="H12" s="191">
        <v>31005462</v>
      </c>
      <c r="J12">
        <v>8.375</v>
      </c>
      <c r="K12" t="s">
        <v>272</v>
      </c>
      <c r="N12">
        <v>1141517</v>
      </c>
      <c r="O12" s="127" t="s">
        <v>316</v>
      </c>
      <c r="P12" s="128" t="s">
        <v>290</v>
      </c>
      <c r="Q12" s="201">
        <v>1229187</v>
      </c>
      <c r="R12" s="201">
        <v>1092722</v>
      </c>
      <c r="S12" s="201">
        <v>2</v>
      </c>
      <c r="T12" s="201" t="s">
        <v>648</v>
      </c>
      <c r="U12" s="202"/>
    </row>
    <row r="13" spans="1:21" ht="14.5" x14ac:dyDescent="0.3">
      <c r="A13" s="189" t="s">
        <v>3820</v>
      </c>
      <c r="B13" s="190">
        <v>8.375</v>
      </c>
      <c r="C13" s="189" t="s">
        <v>314</v>
      </c>
      <c r="D13" s="191">
        <v>1140080</v>
      </c>
      <c r="E13" s="191">
        <v>13791389</v>
      </c>
      <c r="F13" s="193"/>
      <c r="G13" s="192">
        <v>44790</v>
      </c>
      <c r="H13" s="191">
        <v>31080537</v>
      </c>
    </row>
    <row r="14" spans="1:21" ht="14.5" x14ac:dyDescent="0.3">
      <c r="A14" s="189" t="s">
        <v>3820</v>
      </c>
      <c r="B14" s="190">
        <v>8.375</v>
      </c>
      <c r="C14" s="189" t="s">
        <v>314</v>
      </c>
      <c r="D14" s="191">
        <v>1140080</v>
      </c>
      <c r="E14" s="191">
        <v>13791387</v>
      </c>
      <c r="F14" s="193"/>
      <c r="G14" s="192">
        <v>44783</v>
      </c>
      <c r="H14" s="191">
        <v>31080537</v>
      </c>
    </row>
    <row r="15" spans="1:21" ht="15" thickBot="1" x14ac:dyDescent="0.35">
      <c r="A15" s="189" t="s">
        <v>3820</v>
      </c>
      <c r="B15" s="190">
        <v>8.375</v>
      </c>
      <c r="C15" s="189" t="s">
        <v>314</v>
      </c>
      <c r="D15" s="191">
        <v>1140080</v>
      </c>
      <c r="E15" s="191">
        <v>13791388</v>
      </c>
      <c r="F15" s="193"/>
      <c r="G15" s="192">
        <v>44781</v>
      </c>
      <c r="H15" s="191">
        <v>31080537</v>
      </c>
      <c r="O15" s="147" t="s">
        <v>4023</v>
      </c>
    </row>
    <row r="16" spans="1:21" ht="44" thickBot="1" x14ac:dyDescent="0.3">
      <c r="A16" s="189" t="s">
        <v>3820</v>
      </c>
      <c r="B16" s="190">
        <v>8.375</v>
      </c>
      <c r="C16" s="189" t="s">
        <v>272</v>
      </c>
      <c r="D16" s="191">
        <v>1141517</v>
      </c>
      <c r="E16" s="191">
        <v>13791103</v>
      </c>
      <c r="F16" s="189" t="s">
        <v>4016</v>
      </c>
      <c r="G16" s="192">
        <v>44780</v>
      </c>
      <c r="H16" s="189" t="s">
        <v>3831</v>
      </c>
      <c r="O16" s="125" t="s">
        <v>258</v>
      </c>
      <c r="P16" s="126" t="s">
        <v>4</v>
      </c>
      <c r="Q16" s="126" t="s">
        <v>300</v>
      </c>
      <c r="R16" s="126" t="s">
        <v>301</v>
      </c>
      <c r="S16" s="126" t="s">
        <v>302</v>
      </c>
      <c r="T16" s="126" t="s">
        <v>303</v>
      </c>
      <c r="U16" s="126" t="s">
        <v>303</v>
      </c>
    </row>
    <row r="17" spans="1:21" ht="15" thickBot="1" x14ac:dyDescent="0.3">
      <c r="A17" s="189" t="s">
        <v>3820</v>
      </c>
      <c r="B17" s="190">
        <v>3.75</v>
      </c>
      <c r="C17" s="189" t="s">
        <v>628</v>
      </c>
      <c r="D17" s="191">
        <v>1223029</v>
      </c>
      <c r="E17" s="191">
        <v>13778370</v>
      </c>
      <c r="F17" s="189" t="s">
        <v>3830</v>
      </c>
      <c r="G17" s="192">
        <v>44773</v>
      </c>
      <c r="H17" s="191">
        <v>31212207</v>
      </c>
      <c r="O17" s="127" t="s">
        <v>624</v>
      </c>
      <c r="P17" s="201" t="s">
        <v>625</v>
      </c>
      <c r="Q17" s="204">
        <v>1188084</v>
      </c>
      <c r="R17" s="128">
        <v>959209</v>
      </c>
      <c r="S17" s="205">
        <v>2</v>
      </c>
      <c r="T17" s="128" t="s">
        <v>648</v>
      </c>
      <c r="U17" s="206" t="s">
        <v>4024</v>
      </c>
    </row>
    <row r="18" spans="1:21" ht="15" thickBot="1" x14ac:dyDescent="0.3">
      <c r="A18" s="189" t="s">
        <v>3820</v>
      </c>
      <c r="B18" s="190">
        <v>3.75</v>
      </c>
      <c r="C18" s="189" t="s">
        <v>628</v>
      </c>
      <c r="D18" s="191">
        <v>1223029</v>
      </c>
      <c r="E18" s="191">
        <v>13778372</v>
      </c>
      <c r="F18" s="189" t="s">
        <v>3830</v>
      </c>
      <c r="G18" s="192">
        <v>44773</v>
      </c>
      <c r="H18" s="191">
        <v>31212207</v>
      </c>
      <c r="O18" s="127" t="s">
        <v>316</v>
      </c>
      <c r="P18" s="128" t="s">
        <v>317</v>
      </c>
      <c r="Q18" s="204">
        <v>1197910</v>
      </c>
      <c r="R18" s="128">
        <v>1190973</v>
      </c>
      <c r="S18" s="205">
        <v>2</v>
      </c>
      <c r="T18" s="128" t="s">
        <v>648</v>
      </c>
      <c r="U18" s="206" t="s">
        <v>3895</v>
      </c>
    </row>
    <row r="19" spans="1:21" ht="15" thickBot="1" x14ac:dyDescent="0.3">
      <c r="A19" s="189" t="s">
        <v>3820</v>
      </c>
      <c r="B19" s="190">
        <v>3.75</v>
      </c>
      <c r="C19" s="189" t="s">
        <v>628</v>
      </c>
      <c r="D19" s="191">
        <v>1223029</v>
      </c>
      <c r="E19" s="191">
        <v>13778371</v>
      </c>
      <c r="F19" s="189" t="s">
        <v>3830</v>
      </c>
      <c r="G19" s="192">
        <v>44773</v>
      </c>
      <c r="H19" s="191">
        <v>31212207</v>
      </c>
      <c r="O19" s="127" t="s">
        <v>316</v>
      </c>
      <c r="P19" s="128" t="s">
        <v>290</v>
      </c>
      <c r="Q19" s="204">
        <v>1229187</v>
      </c>
      <c r="R19" s="128">
        <v>1092722</v>
      </c>
      <c r="S19" s="205">
        <v>3</v>
      </c>
      <c r="T19" s="128" t="s">
        <v>648</v>
      </c>
      <c r="U19" s="206" t="s">
        <v>3895</v>
      </c>
    </row>
    <row r="20" spans="1:21" ht="15" thickBot="1" x14ac:dyDescent="0.3">
      <c r="A20" s="189" t="s">
        <v>3820</v>
      </c>
      <c r="B20" s="190">
        <v>6.125</v>
      </c>
      <c r="C20" s="189" t="s">
        <v>669</v>
      </c>
      <c r="D20" s="191">
        <v>1217589</v>
      </c>
      <c r="E20" s="191">
        <v>13753968</v>
      </c>
      <c r="F20" s="189" t="s">
        <v>3821</v>
      </c>
      <c r="G20" s="192">
        <v>44739</v>
      </c>
      <c r="H20" s="191">
        <v>4</v>
      </c>
      <c r="O20" s="127" t="s">
        <v>319</v>
      </c>
      <c r="P20" s="128" t="s">
        <v>665</v>
      </c>
      <c r="Q20" s="204">
        <v>1231398</v>
      </c>
      <c r="R20" s="128">
        <v>1207425</v>
      </c>
      <c r="S20" s="205">
        <v>2</v>
      </c>
      <c r="T20" s="128" t="s">
        <v>648</v>
      </c>
      <c r="U20" s="206" t="s">
        <v>3895</v>
      </c>
    </row>
    <row r="21" spans="1:21" ht="14.5" x14ac:dyDescent="0.25">
      <c r="A21" s="189" t="s">
        <v>3820</v>
      </c>
      <c r="B21" s="190">
        <v>8.375</v>
      </c>
      <c r="C21" s="189" t="s">
        <v>314</v>
      </c>
      <c r="D21" s="191">
        <v>1145826</v>
      </c>
      <c r="E21" s="191">
        <v>13770619</v>
      </c>
      <c r="F21" s="189" t="s">
        <v>4025</v>
      </c>
      <c r="G21" s="192">
        <v>44739</v>
      </c>
      <c r="H21" s="191">
        <v>31176919</v>
      </c>
    </row>
    <row r="22" spans="1:21" ht="14.5" x14ac:dyDescent="0.25">
      <c r="A22" s="189" t="s">
        <v>3820</v>
      </c>
      <c r="B22" s="190">
        <v>8.375</v>
      </c>
      <c r="C22" s="189" t="s">
        <v>314</v>
      </c>
      <c r="D22" s="191">
        <v>1140080</v>
      </c>
      <c r="E22" s="191">
        <v>13771585</v>
      </c>
      <c r="F22" s="189" t="s">
        <v>4025</v>
      </c>
      <c r="G22" s="192">
        <v>44747</v>
      </c>
      <c r="H22" s="191">
        <v>31080537</v>
      </c>
    </row>
    <row r="23" spans="1:21" ht="15" thickBot="1" x14ac:dyDescent="0.3">
      <c r="A23" s="189" t="s">
        <v>3820</v>
      </c>
      <c r="B23" s="190">
        <v>8.375</v>
      </c>
      <c r="C23" s="189" t="s">
        <v>314</v>
      </c>
      <c r="D23" s="191">
        <v>1140080</v>
      </c>
      <c r="E23" s="191">
        <v>13771586</v>
      </c>
      <c r="F23" s="189" t="s">
        <v>4025</v>
      </c>
      <c r="G23" s="192">
        <v>44747</v>
      </c>
      <c r="H23" s="191">
        <v>31080537</v>
      </c>
      <c r="O23" s="208" t="s">
        <v>4026</v>
      </c>
    </row>
    <row r="24" spans="1:21" ht="44" thickBot="1" x14ac:dyDescent="0.3">
      <c r="A24" s="189" t="s">
        <v>3820</v>
      </c>
      <c r="B24" s="190">
        <v>8.5</v>
      </c>
      <c r="C24" s="189" t="s">
        <v>274</v>
      </c>
      <c r="D24" s="191">
        <v>1158011</v>
      </c>
      <c r="E24" s="191">
        <v>13771568</v>
      </c>
      <c r="F24" s="189" t="s">
        <v>3829</v>
      </c>
      <c r="G24" s="192">
        <v>44747</v>
      </c>
      <c r="H24" s="191">
        <v>31201053</v>
      </c>
      <c r="O24" s="125" t="s">
        <v>258</v>
      </c>
      <c r="P24" s="126" t="s">
        <v>4</v>
      </c>
      <c r="Q24" s="126" t="s">
        <v>300</v>
      </c>
      <c r="R24" s="126" t="s">
        <v>301</v>
      </c>
      <c r="S24" s="126" t="s">
        <v>302</v>
      </c>
      <c r="T24" s="126" t="s">
        <v>303</v>
      </c>
    </row>
    <row r="25" spans="1:21" ht="15" thickBot="1" x14ac:dyDescent="0.3">
      <c r="A25" s="189" t="s">
        <v>3820</v>
      </c>
      <c r="B25" s="190">
        <v>8.375</v>
      </c>
      <c r="C25" s="189" t="s">
        <v>314</v>
      </c>
      <c r="D25" s="191">
        <v>1140080</v>
      </c>
      <c r="E25" s="191">
        <v>13771588</v>
      </c>
      <c r="F25" s="189" t="s">
        <v>4025</v>
      </c>
      <c r="G25" s="192">
        <v>44747</v>
      </c>
      <c r="H25" s="191">
        <v>31080537</v>
      </c>
      <c r="O25" s="127" t="s">
        <v>304</v>
      </c>
      <c r="P25" s="128" t="s">
        <v>630</v>
      </c>
      <c r="Q25" s="205">
        <v>1228690</v>
      </c>
      <c r="R25" s="128">
        <v>960723</v>
      </c>
      <c r="S25" s="205">
        <v>3</v>
      </c>
      <c r="T25" s="128" t="s">
        <v>648</v>
      </c>
    </row>
    <row r="26" spans="1:21" ht="15" thickBot="1" x14ac:dyDescent="0.3">
      <c r="A26" s="189" t="s">
        <v>3820</v>
      </c>
      <c r="B26" s="190">
        <v>8.375</v>
      </c>
      <c r="C26" s="189" t="s">
        <v>314</v>
      </c>
      <c r="D26" s="191">
        <v>1140080</v>
      </c>
      <c r="E26" s="191">
        <v>13771589</v>
      </c>
      <c r="F26" s="189" t="s">
        <v>4025</v>
      </c>
      <c r="G26" s="192">
        <v>44747</v>
      </c>
      <c r="H26" s="191">
        <v>31080537</v>
      </c>
      <c r="O26" s="127" t="s">
        <v>307</v>
      </c>
      <c r="P26" s="128" t="s">
        <v>308</v>
      </c>
      <c r="Q26" s="205">
        <v>1224225</v>
      </c>
      <c r="R26" s="128" t="s">
        <v>4027</v>
      </c>
      <c r="S26" s="205">
        <v>2</v>
      </c>
      <c r="T26" s="128" t="s">
        <v>4028</v>
      </c>
    </row>
    <row r="27" spans="1:21" ht="15" thickBot="1" x14ac:dyDescent="0.3">
      <c r="A27" s="189" t="s">
        <v>3820</v>
      </c>
      <c r="B27" s="190">
        <v>8.375</v>
      </c>
      <c r="C27" s="189" t="s">
        <v>314</v>
      </c>
      <c r="D27" s="191">
        <v>1140080</v>
      </c>
      <c r="E27" s="191">
        <v>13771587</v>
      </c>
      <c r="F27" s="189" t="s">
        <v>4025</v>
      </c>
      <c r="G27" s="192">
        <v>44747</v>
      </c>
      <c r="H27" s="191">
        <v>31080537</v>
      </c>
      <c r="O27" s="127" t="s">
        <v>309</v>
      </c>
      <c r="P27" s="128" t="s">
        <v>311</v>
      </c>
      <c r="Q27" s="205">
        <v>1145824</v>
      </c>
      <c r="R27" s="128">
        <v>1137349</v>
      </c>
      <c r="S27" s="205">
        <v>2</v>
      </c>
      <c r="T27" s="128" t="s">
        <v>648</v>
      </c>
    </row>
    <row r="28" spans="1:21" ht="15" thickBot="1" x14ac:dyDescent="0.3">
      <c r="A28" s="189" t="s">
        <v>3820</v>
      </c>
      <c r="B28" s="190">
        <v>5.875</v>
      </c>
      <c r="C28" s="189" t="s">
        <v>667</v>
      </c>
      <c r="D28" s="191">
        <v>1141552</v>
      </c>
      <c r="E28" s="191">
        <v>13771557</v>
      </c>
      <c r="F28" s="189" t="s">
        <v>3821</v>
      </c>
      <c r="G28" s="192">
        <v>44747</v>
      </c>
      <c r="H28" s="191">
        <v>31207508</v>
      </c>
      <c r="O28" s="127" t="s">
        <v>309</v>
      </c>
      <c r="P28" s="201" t="s">
        <v>669</v>
      </c>
      <c r="Q28" s="205">
        <v>1217589</v>
      </c>
      <c r="R28" s="128">
        <v>1219698</v>
      </c>
      <c r="S28" s="205">
        <v>4</v>
      </c>
      <c r="T28" s="128" t="s">
        <v>646</v>
      </c>
    </row>
    <row r="29" spans="1:21" ht="15" thickBot="1" x14ac:dyDescent="0.3">
      <c r="A29" s="189" t="s">
        <v>3820</v>
      </c>
      <c r="B29" s="190">
        <v>8.375</v>
      </c>
      <c r="C29" s="189" t="s">
        <v>314</v>
      </c>
      <c r="D29" s="191">
        <v>1145826</v>
      </c>
      <c r="E29" s="191">
        <v>13770621</v>
      </c>
      <c r="F29" s="189" t="s">
        <v>4025</v>
      </c>
      <c r="G29" s="192">
        <v>44748</v>
      </c>
      <c r="H29" s="191">
        <v>31176919</v>
      </c>
      <c r="O29" s="127" t="s">
        <v>313</v>
      </c>
      <c r="P29" s="128" t="s">
        <v>314</v>
      </c>
      <c r="Q29" s="205">
        <v>1145826</v>
      </c>
      <c r="R29" s="128">
        <v>1061407</v>
      </c>
      <c r="S29" s="205">
        <v>2</v>
      </c>
      <c r="T29" s="128" t="s">
        <v>648</v>
      </c>
    </row>
    <row r="30" spans="1:21" ht="15" thickBot="1" x14ac:dyDescent="0.3">
      <c r="A30" s="189" t="s">
        <v>3820</v>
      </c>
      <c r="B30" s="190">
        <v>8.375</v>
      </c>
      <c r="C30" s="189" t="s">
        <v>314</v>
      </c>
      <c r="D30" s="191">
        <v>1145826</v>
      </c>
      <c r="E30" s="191">
        <v>13770620</v>
      </c>
      <c r="F30" s="189" t="s">
        <v>4025</v>
      </c>
      <c r="G30" s="192">
        <v>44748</v>
      </c>
      <c r="H30" s="191">
        <v>31176919</v>
      </c>
      <c r="O30" s="127" t="s">
        <v>313</v>
      </c>
      <c r="P30" s="128" t="s">
        <v>314</v>
      </c>
      <c r="Q30" s="205">
        <v>1145826</v>
      </c>
      <c r="R30" s="128">
        <v>1176919</v>
      </c>
      <c r="S30" s="205">
        <v>3</v>
      </c>
      <c r="T30" s="128" t="s">
        <v>648</v>
      </c>
    </row>
    <row r="31" spans="1:21" ht="15" thickBot="1" x14ac:dyDescent="0.3">
      <c r="A31" s="189" t="s">
        <v>3820</v>
      </c>
      <c r="B31" s="190">
        <v>8.375</v>
      </c>
      <c r="C31" s="189" t="s">
        <v>314</v>
      </c>
      <c r="D31" s="191">
        <v>1145826</v>
      </c>
      <c r="E31" s="191">
        <v>13770618</v>
      </c>
      <c r="F31" s="189" t="s">
        <v>4025</v>
      </c>
      <c r="G31" s="192">
        <v>44748</v>
      </c>
      <c r="H31" s="191">
        <v>31176919</v>
      </c>
      <c r="O31" s="127" t="s">
        <v>313</v>
      </c>
      <c r="P31" s="128" t="s">
        <v>647</v>
      </c>
      <c r="Q31" s="205">
        <v>1140080</v>
      </c>
      <c r="R31" s="128">
        <v>1080537</v>
      </c>
      <c r="S31" s="205">
        <v>3</v>
      </c>
      <c r="T31" s="128" t="s">
        <v>648</v>
      </c>
    </row>
    <row r="32" spans="1:21" ht="15" thickBot="1" x14ac:dyDescent="0.3">
      <c r="A32" s="189" t="s">
        <v>3820</v>
      </c>
      <c r="B32" s="190">
        <v>8.375</v>
      </c>
      <c r="C32" s="189" t="s">
        <v>314</v>
      </c>
      <c r="D32" s="191">
        <v>1145826</v>
      </c>
      <c r="E32" s="191">
        <v>13770617</v>
      </c>
      <c r="F32" s="189" t="s">
        <v>4025</v>
      </c>
      <c r="G32" s="192">
        <v>44748</v>
      </c>
      <c r="H32" s="191">
        <v>31176919</v>
      </c>
      <c r="O32" s="127" t="s">
        <v>624</v>
      </c>
      <c r="P32" s="201" t="s">
        <v>625</v>
      </c>
      <c r="Q32" s="205">
        <v>1188084</v>
      </c>
      <c r="R32" s="128">
        <v>959209</v>
      </c>
      <c r="S32" s="205">
        <v>1</v>
      </c>
      <c r="T32" s="128" t="s">
        <v>648</v>
      </c>
    </row>
    <row r="33" spans="1:20" ht="15" thickBot="1" x14ac:dyDescent="0.3">
      <c r="A33" s="189" t="s">
        <v>3820</v>
      </c>
      <c r="B33" s="190">
        <v>8.375</v>
      </c>
      <c r="C33" s="189" t="s">
        <v>314</v>
      </c>
      <c r="D33" s="191">
        <v>1145826</v>
      </c>
      <c r="E33" s="191">
        <v>13770622</v>
      </c>
      <c r="F33" s="189" t="s">
        <v>4025</v>
      </c>
      <c r="G33" s="192">
        <v>44748</v>
      </c>
      <c r="H33" s="191">
        <v>31061407</v>
      </c>
      <c r="O33" s="127" t="s">
        <v>624</v>
      </c>
      <c r="P33" s="128" t="s">
        <v>275</v>
      </c>
      <c r="Q33" s="205">
        <v>1158011</v>
      </c>
      <c r="R33" s="128">
        <v>1201053</v>
      </c>
      <c r="S33" s="205">
        <v>1</v>
      </c>
      <c r="T33" s="128" t="s">
        <v>646</v>
      </c>
    </row>
    <row r="34" spans="1:20" ht="15" thickBot="1" x14ac:dyDescent="0.3">
      <c r="A34" s="189" t="s">
        <v>3820</v>
      </c>
      <c r="B34" s="190">
        <v>6.125</v>
      </c>
      <c r="C34" s="189" t="s">
        <v>310</v>
      </c>
      <c r="D34" s="191">
        <v>1149944</v>
      </c>
      <c r="E34" s="191">
        <v>13771580</v>
      </c>
      <c r="F34" s="189" t="s">
        <v>3821</v>
      </c>
      <c r="G34" s="192">
        <v>44747</v>
      </c>
      <c r="H34" s="191">
        <v>41186699</v>
      </c>
      <c r="O34" s="127" t="s">
        <v>315</v>
      </c>
      <c r="P34" s="128" t="s">
        <v>701</v>
      </c>
      <c r="Q34" s="207">
        <v>1228896</v>
      </c>
      <c r="R34" s="128">
        <v>1095217</v>
      </c>
      <c r="S34" s="205">
        <v>2</v>
      </c>
      <c r="T34" s="128" t="s">
        <v>648</v>
      </c>
    </row>
    <row r="35" spans="1:20" ht="15" thickBot="1" x14ac:dyDescent="0.35">
      <c r="A35" s="189" t="s">
        <v>3820</v>
      </c>
      <c r="B35" s="191">
        <v>16</v>
      </c>
      <c r="C35" s="189" t="s">
        <v>318</v>
      </c>
      <c r="D35" s="191">
        <v>1145823</v>
      </c>
      <c r="E35" s="191">
        <v>13770624</v>
      </c>
      <c r="F35" s="193"/>
      <c r="G35" s="192">
        <v>44783</v>
      </c>
      <c r="H35" s="191">
        <v>31033011</v>
      </c>
      <c r="O35" s="127" t="s">
        <v>315</v>
      </c>
      <c r="P35" s="128" t="s">
        <v>647</v>
      </c>
      <c r="Q35" s="207">
        <v>1228748</v>
      </c>
      <c r="R35" s="128">
        <v>1134806</v>
      </c>
      <c r="S35" s="205">
        <v>3</v>
      </c>
      <c r="T35" s="128" t="s">
        <v>648</v>
      </c>
    </row>
    <row r="36" spans="1:20" ht="15" thickBot="1" x14ac:dyDescent="0.35">
      <c r="A36" s="189" t="s">
        <v>3820</v>
      </c>
      <c r="B36" s="191">
        <v>16</v>
      </c>
      <c r="C36" s="189" t="s">
        <v>318</v>
      </c>
      <c r="D36" s="191">
        <v>1145823</v>
      </c>
      <c r="E36" s="191">
        <v>13770623</v>
      </c>
      <c r="F36" s="193"/>
      <c r="G36" s="192">
        <v>44780</v>
      </c>
      <c r="H36" s="191">
        <v>31033011</v>
      </c>
      <c r="O36" s="127" t="s">
        <v>315</v>
      </c>
      <c r="P36" s="128" t="s">
        <v>284</v>
      </c>
      <c r="Q36" s="205">
        <v>1145825</v>
      </c>
      <c r="R36" s="128">
        <v>1005462</v>
      </c>
      <c r="S36" s="205">
        <v>5</v>
      </c>
      <c r="T36" s="128" t="s">
        <v>648</v>
      </c>
    </row>
    <row r="37" spans="1:20" ht="15" thickBot="1" x14ac:dyDescent="0.35">
      <c r="A37" s="189" t="s">
        <v>3820</v>
      </c>
      <c r="B37" s="191">
        <v>12</v>
      </c>
      <c r="C37" s="189" t="s">
        <v>3837</v>
      </c>
      <c r="D37" s="191">
        <v>1146009</v>
      </c>
      <c r="E37" s="191">
        <v>13771608</v>
      </c>
      <c r="F37" s="193"/>
      <c r="G37" s="192">
        <v>44782</v>
      </c>
      <c r="H37" s="191">
        <v>31020531</v>
      </c>
      <c r="O37" s="127" t="s">
        <v>315</v>
      </c>
      <c r="P37" s="128" t="s">
        <v>684</v>
      </c>
      <c r="Q37" s="205">
        <v>1146009</v>
      </c>
      <c r="R37" s="128">
        <v>1020531</v>
      </c>
      <c r="S37" s="205">
        <v>6</v>
      </c>
      <c r="T37" s="128" t="s">
        <v>648</v>
      </c>
    </row>
    <row r="38" spans="1:20" ht="15" thickBot="1" x14ac:dyDescent="0.35">
      <c r="A38" s="189" t="s">
        <v>3820</v>
      </c>
      <c r="B38" s="191">
        <v>12</v>
      </c>
      <c r="C38" s="189" t="s">
        <v>3837</v>
      </c>
      <c r="D38" s="191">
        <v>1146009</v>
      </c>
      <c r="E38" s="191">
        <v>13771605</v>
      </c>
      <c r="F38" s="193"/>
      <c r="G38" s="192">
        <v>44776</v>
      </c>
      <c r="H38" s="191">
        <v>31020531</v>
      </c>
      <c r="O38" s="127" t="s">
        <v>316</v>
      </c>
      <c r="P38" s="128" t="s">
        <v>320</v>
      </c>
      <c r="Q38" s="205">
        <v>1221158</v>
      </c>
      <c r="R38" s="128" t="s">
        <v>774</v>
      </c>
      <c r="S38" s="205">
        <v>3</v>
      </c>
      <c r="T38" s="128" t="s">
        <v>648</v>
      </c>
    </row>
    <row r="39" spans="1:20" ht="15" thickBot="1" x14ac:dyDescent="0.35">
      <c r="A39" s="189" t="s">
        <v>3820</v>
      </c>
      <c r="B39" s="191">
        <v>12</v>
      </c>
      <c r="C39" s="189" t="s">
        <v>3837</v>
      </c>
      <c r="D39" s="191">
        <v>1146009</v>
      </c>
      <c r="E39" s="191">
        <v>13771603</v>
      </c>
      <c r="F39" s="193"/>
      <c r="G39" s="192">
        <v>44776</v>
      </c>
      <c r="H39" s="191">
        <v>31020531</v>
      </c>
      <c r="O39" s="127" t="s">
        <v>316</v>
      </c>
      <c r="P39" s="128" t="s">
        <v>291</v>
      </c>
      <c r="Q39" s="205">
        <v>1228782</v>
      </c>
      <c r="R39" s="128">
        <v>1058252</v>
      </c>
      <c r="S39" s="205">
        <v>3</v>
      </c>
      <c r="T39" s="128" t="s">
        <v>648</v>
      </c>
    </row>
    <row r="40" spans="1:20" ht="15" thickBot="1" x14ac:dyDescent="0.35">
      <c r="A40" s="189" t="s">
        <v>3820</v>
      </c>
      <c r="B40" s="191">
        <v>12</v>
      </c>
      <c r="C40" s="189" t="s">
        <v>3837</v>
      </c>
      <c r="D40" s="191">
        <v>1146009</v>
      </c>
      <c r="E40" s="191">
        <v>13771604</v>
      </c>
      <c r="F40" s="193"/>
      <c r="G40" s="192">
        <v>44776</v>
      </c>
      <c r="H40" s="191">
        <v>31020531</v>
      </c>
      <c r="O40" s="127" t="s">
        <v>316</v>
      </c>
      <c r="P40" s="128" t="s">
        <v>290</v>
      </c>
      <c r="Q40" s="205">
        <v>1229187</v>
      </c>
      <c r="R40" s="128">
        <v>1092722</v>
      </c>
      <c r="S40" s="205">
        <v>2</v>
      </c>
      <c r="T40" s="128" t="s">
        <v>648</v>
      </c>
    </row>
    <row r="41" spans="1:20" ht="15" thickBot="1" x14ac:dyDescent="0.35">
      <c r="A41" s="189" t="s">
        <v>3820</v>
      </c>
      <c r="B41" s="191">
        <v>12</v>
      </c>
      <c r="C41" s="189" t="s">
        <v>3837</v>
      </c>
      <c r="D41" s="191">
        <v>1146009</v>
      </c>
      <c r="E41" s="191">
        <v>13771607</v>
      </c>
      <c r="F41" s="193"/>
      <c r="G41" s="192">
        <v>44776</v>
      </c>
      <c r="H41" s="191">
        <v>31020531</v>
      </c>
      <c r="O41" s="130" t="s">
        <v>316</v>
      </c>
      <c r="P41" s="128" t="s">
        <v>318</v>
      </c>
      <c r="Q41" s="205">
        <v>1145823</v>
      </c>
      <c r="R41" s="129">
        <v>1033011</v>
      </c>
      <c r="S41" s="205">
        <v>3</v>
      </c>
      <c r="T41" s="128" t="s">
        <v>648</v>
      </c>
    </row>
    <row r="42" spans="1:20" ht="15" thickBot="1" x14ac:dyDescent="0.35">
      <c r="A42" s="189" t="s">
        <v>3820</v>
      </c>
      <c r="B42" s="191">
        <v>12</v>
      </c>
      <c r="C42" s="189" t="s">
        <v>3837</v>
      </c>
      <c r="D42" s="191">
        <v>1146009</v>
      </c>
      <c r="E42" s="191">
        <v>13771606</v>
      </c>
      <c r="F42" s="193"/>
      <c r="G42" s="192">
        <v>44780</v>
      </c>
      <c r="H42" s="191">
        <v>31020531</v>
      </c>
      <c r="O42" s="130" t="s">
        <v>319</v>
      </c>
      <c r="P42" s="128" t="s">
        <v>320</v>
      </c>
      <c r="Q42" s="205">
        <v>1153090</v>
      </c>
      <c r="R42" s="129">
        <v>1162267</v>
      </c>
      <c r="S42" s="205">
        <v>3</v>
      </c>
      <c r="T42" s="128" t="s">
        <v>648</v>
      </c>
    </row>
    <row r="43" spans="1:20" ht="14.5" x14ac:dyDescent="0.3">
      <c r="A43" s="189" t="s">
        <v>3820</v>
      </c>
      <c r="B43" s="191">
        <v>12</v>
      </c>
      <c r="C43" s="189" t="s">
        <v>3697</v>
      </c>
      <c r="D43" s="191">
        <v>1145825</v>
      </c>
      <c r="E43" s="191">
        <v>13771599</v>
      </c>
      <c r="F43" s="193"/>
      <c r="G43" s="192">
        <v>44783</v>
      </c>
      <c r="H43" s="191">
        <v>31005462</v>
      </c>
    </row>
    <row r="44" spans="1:20" ht="14.5" x14ac:dyDescent="0.3">
      <c r="A44" s="189" t="s">
        <v>3820</v>
      </c>
      <c r="B44" s="191">
        <v>12</v>
      </c>
      <c r="C44" s="189" t="s">
        <v>3697</v>
      </c>
      <c r="D44" s="191">
        <v>1145825</v>
      </c>
      <c r="E44" s="191">
        <v>13771592</v>
      </c>
      <c r="F44" s="193"/>
      <c r="G44" s="192">
        <v>44783</v>
      </c>
      <c r="H44" s="191">
        <v>31005462</v>
      </c>
    </row>
    <row r="45" spans="1:20" ht="14.5" x14ac:dyDescent="0.3">
      <c r="A45" s="189" t="s">
        <v>3820</v>
      </c>
      <c r="B45" s="191">
        <v>12</v>
      </c>
      <c r="C45" s="189" t="s">
        <v>3697</v>
      </c>
      <c r="D45" s="191">
        <v>1145825</v>
      </c>
      <c r="E45" s="191">
        <v>13790030</v>
      </c>
      <c r="F45" s="193"/>
      <c r="G45" s="192">
        <v>44783</v>
      </c>
      <c r="H45" s="191">
        <v>31005462</v>
      </c>
      <c r="O45" t="s">
        <v>4029</v>
      </c>
    </row>
    <row r="46" spans="1:20" ht="15.5" x14ac:dyDescent="0.3">
      <c r="A46" s="189" t="s">
        <v>3820</v>
      </c>
      <c r="B46" s="191">
        <v>12</v>
      </c>
      <c r="C46" s="189" t="s">
        <v>3697</v>
      </c>
      <c r="D46" s="191">
        <v>1145825</v>
      </c>
      <c r="E46" s="191">
        <v>13771590</v>
      </c>
      <c r="F46" s="193"/>
      <c r="G46" s="192">
        <v>44783</v>
      </c>
      <c r="H46" s="191">
        <v>31005462</v>
      </c>
      <c r="O46" s="124" t="s">
        <v>299</v>
      </c>
    </row>
    <row r="47" spans="1:20" ht="15" thickBot="1" x14ac:dyDescent="0.35">
      <c r="A47" s="189" t="s">
        <v>3820</v>
      </c>
      <c r="B47" s="191">
        <v>12</v>
      </c>
      <c r="C47" s="189" t="s">
        <v>3697</v>
      </c>
      <c r="D47" s="191">
        <v>1145825</v>
      </c>
      <c r="E47" s="191">
        <v>13771593</v>
      </c>
      <c r="F47" s="193"/>
      <c r="G47" s="192">
        <v>44776</v>
      </c>
      <c r="H47" s="191">
        <v>31005462</v>
      </c>
      <c r="O47" s="147"/>
    </row>
    <row r="48" spans="1:20" ht="44" thickBot="1" x14ac:dyDescent="0.3">
      <c r="A48" s="189" t="s">
        <v>3820</v>
      </c>
      <c r="B48" s="191">
        <v>12</v>
      </c>
      <c r="C48" s="189" t="s">
        <v>3697</v>
      </c>
      <c r="D48" s="191">
        <v>1145825</v>
      </c>
      <c r="E48" s="191">
        <v>13771600</v>
      </c>
      <c r="F48" s="189" t="s">
        <v>3824</v>
      </c>
      <c r="G48" s="192">
        <v>44776</v>
      </c>
      <c r="H48" s="191">
        <v>31005462</v>
      </c>
      <c r="O48" s="212" t="s">
        <v>258</v>
      </c>
      <c r="P48" s="213" t="s">
        <v>4</v>
      </c>
      <c r="Q48" s="213" t="s">
        <v>300</v>
      </c>
      <c r="R48" s="213" t="s">
        <v>301</v>
      </c>
      <c r="S48" s="213" t="s">
        <v>302</v>
      </c>
      <c r="T48" s="213" t="s">
        <v>303</v>
      </c>
    </row>
    <row r="49" spans="1:20" ht="15" thickBot="1" x14ac:dyDescent="0.35">
      <c r="A49" s="189" t="s">
        <v>3820</v>
      </c>
      <c r="B49" s="191">
        <v>12</v>
      </c>
      <c r="C49" s="189" t="s">
        <v>3697</v>
      </c>
      <c r="D49" s="191">
        <v>1145825</v>
      </c>
      <c r="E49" s="191">
        <v>13771598</v>
      </c>
      <c r="F49" s="193"/>
      <c r="G49" s="192">
        <v>44780</v>
      </c>
      <c r="H49" s="191">
        <v>31005462</v>
      </c>
      <c r="O49" s="214" t="s">
        <v>3691</v>
      </c>
      <c r="P49" s="215" t="s">
        <v>3695</v>
      </c>
      <c r="Q49" s="215"/>
      <c r="R49" s="215">
        <v>1094991</v>
      </c>
      <c r="S49" s="215">
        <v>2</v>
      </c>
      <c r="T49" s="215" t="s">
        <v>3912</v>
      </c>
    </row>
    <row r="50" spans="1:20" ht="15" thickBot="1" x14ac:dyDescent="0.3">
      <c r="A50" s="189" t="s">
        <v>3820</v>
      </c>
      <c r="B50" s="190">
        <v>8.5</v>
      </c>
      <c r="C50" s="189" t="s">
        <v>3828</v>
      </c>
      <c r="D50" s="191">
        <v>1191006</v>
      </c>
      <c r="E50" s="191">
        <v>13771567</v>
      </c>
      <c r="F50" s="189" t="s">
        <v>3829</v>
      </c>
      <c r="G50" s="192">
        <v>44747</v>
      </c>
      <c r="H50" s="191">
        <v>31159702</v>
      </c>
      <c r="O50" s="214" t="s">
        <v>319</v>
      </c>
      <c r="P50" s="215" t="s">
        <v>665</v>
      </c>
      <c r="Q50" s="215">
        <v>1231398</v>
      </c>
      <c r="R50" s="215">
        <v>1207425</v>
      </c>
      <c r="S50" s="215">
        <v>1</v>
      </c>
      <c r="T50" s="215" t="s">
        <v>648</v>
      </c>
    </row>
    <row r="51" spans="1:20" ht="15" thickBot="1" x14ac:dyDescent="0.3">
      <c r="A51" s="189" t="s">
        <v>3820</v>
      </c>
      <c r="B51" s="190">
        <v>8.375</v>
      </c>
      <c r="C51" s="189" t="s">
        <v>314</v>
      </c>
      <c r="D51" s="191">
        <v>1145826</v>
      </c>
      <c r="E51" s="191">
        <v>13770616</v>
      </c>
      <c r="F51" s="189" t="s">
        <v>4025</v>
      </c>
      <c r="G51" s="192">
        <v>44747</v>
      </c>
      <c r="H51" s="191">
        <v>31061407</v>
      </c>
      <c r="O51" s="214" t="s">
        <v>316</v>
      </c>
      <c r="P51" s="215" t="s">
        <v>291</v>
      </c>
      <c r="Q51" s="215">
        <v>1228782</v>
      </c>
      <c r="R51" s="215">
        <v>1058252</v>
      </c>
      <c r="S51" s="215">
        <v>2</v>
      </c>
      <c r="T51" s="215" t="s">
        <v>648</v>
      </c>
    </row>
    <row r="52" spans="1:20" ht="15" thickBot="1" x14ac:dyDescent="0.3">
      <c r="A52" s="189" t="s">
        <v>3820</v>
      </c>
      <c r="B52" s="190">
        <v>8.375</v>
      </c>
      <c r="C52" s="189" t="s">
        <v>272</v>
      </c>
      <c r="D52" s="191">
        <v>1141517</v>
      </c>
      <c r="E52" s="191">
        <v>13771561</v>
      </c>
      <c r="F52" s="189" t="s">
        <v>4016</v>
      </c>
      <c r="G52" s="192">
        <v>44747</v>
      </c>
      <c r="H52" s="189" t="s">
        <v>4030</v>
      </c>
      <c r="O52" s="214" t="s">
        <v>316</v>
      </c>
      <c r="P52" s="215" t="s">
        <v>317</v>
      </c>
      <c r="Q52" s="215">
        <v>1197910</v>
      </c>
      <c r="R52" s="215">
        <v>1190973</v>
      </c>
      <c r="S52" s="215">
        <v>3</v>
      </c>
      <c r="T52" s="215" t="s">
        <v>648</v>
      </c>
    </row>
    <row r="53" spans="1:20" ht="15" thickBot="1" x14ac:dyDescent="0.3">
      <c r="A53" s="189" t="s">
        <v>3820</v>
      </c>
      <c r="B53" s="190">
        <v>8.375</v>
      </c>
      <c r="C53" s="189" t="s">
        <v>272</v>
      </c>
      <c r="D53" s="191">
        <v>1141517</v>
      </c>
      <c r="E53" s="191">
        <v>13771562</v>
      </c>
      <c r="F53" s="189" t="s">
        <v>4016</v>
      </c>
      <c r="G53" s="192">
        <v>44747</v>
      </c>
      <c r="H53" s="189" t="s">
        <v>3831</v>
      </c>
      <c r="O53" s="214" t="s">
        <v>316</v>
      </c>
      <c r="P53" s="215" t="s">
        <v>290</v>
      </c>
      <c r="Q53" s="215">
        <v>1229187</v>
      </c>
      <c r="R53" s="215">
        <v>1092722</v>
      </c>
      <c r="S53" s="215">
        <v>2</v>
      </c>
      <c r="T53" s="215" t="s">
        <v>648</v>
      </c>
    </row>
    <row r="54" spans="1:20" ht="14.5" x14ac:dyDescent="0.25">
      <c r="A54" s="189" t="s">
        <v>3820</v>
      </c>
      <c r="B54" s="190">
        <v>8.375</v>
      </c>
      <c r="C54" s="189" t="s">
        <v>272</v>
      </c>
      <c r="D54" s="191">
        <v>1141517</v>
      </c>
      <c r="E54" s="191">
        <v>13771560</v>
      </c>
      <c r="F54" s="189" t="s">
        <v>4016</v>
      </c>
      <c r="G54" s="192">
        <v>44747</v>
      </c>
      <c r="H54" s="189" t="s">
        <v>3831</v>
      </c>
      <c r="O54" s="147"/>
    </row>
    <row r="55" spans="1:20" ht="14.5" x14ac:dyDescent="0.25">
      <c r="A55" s="189" t="s">
        <v>3820</v>
      </c>
      <c r="B55" s="190">
        <v>8.375</v>
      </c>
      <c r="C55" s="189" t="s">
        <v>272</v>
      </c>
      <c r="D55" s="191">
        <v>1141517</v>
      </c>
      <c r="E55" s="191">
        <v>13771559</v>
      </c>
      <c r="F55" s="189" t="s">
        <v>4016</v>
      </c>
      <c r="G55" s="192">
        <v>44747</v>
      </c>
      <c r="H55" s="189" t="s">
        <v>3831</v>
      </c>
    </row>
    <row r="56" spans="1:20" ht="15" thickBot="1" x14ac:dyDescent="0.3">
      <c r="A56" s="189" t="s">
        <v>3820</v>
      </c>
      <c r="B56" s="190">
        <v>8.375</v>
      </c>
      <c r="C56" s="189" t="s">
        <v>314</v>
      </c>
      <c r="D56" s="191">
        <v>1145826</v>
      </c>
      <c r="E56" s="191">
        <v>13753282</v>
      </c>
      <c r="F56" s="189" t="s">
        <v>4025</v>
      </c>
      <c r="G56" s="192">
        <v>44731</v>
      </c>
      <c r="H56" s="191">
        <v>31176919</v>
      </c>
      <c r="O56" t="s">
        <v>4031</v>
      </c>
    </row>
    <row r="57" spans="1:20" ht="44" thickBot="1" x14ac:dyDescent="0.3">
      <c r="A57" s="189" t="s">
        <v>3820</v>
      </c>
      <c r="B57" s="190">
        <v>8.375</v>
      </c>
      <c r="C57" s="189" t="s">
        <v>314</v>
      </c>
      <c r="D57" s="191">
        <v>1145826</v>
      </c>
      <c r="E57" s="191">
        <v>13753281</v>
      </c>
      <c r="F57" s="189" t="s">
        <v>4025</v>
      </c>
      <c r="G57" s="192">
        <v>44731</v>
      </c>
      <c r="H57" s="191">
        <v>31176919</v>
      </c>
      <c r="O57" s="125" t="s">
        <v>258</v>
      </c>
      <c r="P57" s="126" t="s">
        <v>4</v>
      </c>
      <c r="Q57" s="126" t="s">
        <v>3853</v>
      </c>
      <c r="R57" s="126" t="s">
        <v>301</v>
      </c>
      <c r="S57" s="126" t="s">
        <v>302</v>
      </c>
      <c r="T57" s="126" t="s">
        <v>303</v>
      </c>
    </row>
    <row r="58" spans="1:20" ht="15" thickBot="1" x14ac:dyDescent="0.3">
      <c r="A58" s="189" t="s">
        <v>3820</v>
      </c>
      <c r="B58" s="191">
        <v>17</v>
      </c>
      <c r="C58" s="189" t="s">
        <v>320</v>
      </c>
      <c r="D58" s="191">
        <v>1153090</v>
      </c>
      <c r="E58" s="191">
        <v>13754561</v>
      </c>
      <c r="F58" s="189" t="s">
        <v>4032</v>
      </c>
      <c r="G58" s="192">
        <v>44731</v>
      </c>
      <c r="H58" s="191">
        <v>31162267</v>
      </c>
      <c r="O58" s="130" t="s">
        <v>316</v>
      </c>
      <c r="P58" s="129" t="s">
        <v>290</v>
      </c>
      <c r="Q58" s="242"/>
      <c r="R58" s="205">
        <v>1092722</v>
      </c>
      <c r="S58" s="205">
        <v>4</v>
      </c>
      <c r="T58" s="128" t="s">
        <v>4033</v>
      </c>
    </row>
    <row r="59" spans="1:20" ht="15" thickBot="1" x14ac:dyDescent="0.3">
      <c r="A59" s="189" t="s">
        <v>3820</v>
      </c>
      <c r="B59" s="191">
        <v>17</v>
      </c>
      <c r="C59" s="189" t="s">
        <v>320</v>
      </c>
      <c r="D59" s="191">
        <v>1153090</v>
      </c>
      <c r="E59" s="191">
        <v>13754562</v>
      </c>
      <c r="F59" s="189" t="s">
        <v>4032</v>
      </c>
      <c r="G59" s="192">
        <v>44731</v>
      </c>
      <c r="H59" s="191">
        <v>31162267</v>
      </c>
      <c r="O59" s="130" t="s">
        <v>316</v>
      </c>
      <c r="P59" s="128" t="s">
        <v>317</v>
      </c>
      <c r="Q59" s="205">
        <v>1197910</v>
      </c>
      <c r="R59" s="129">
        <v>1190973</v>
      </c>
      <c r="S59" s="205">
        <v>2</v>
      </c>
      <c r="T59" s="128" t="s">
        <v>648</v>
      </c>
    </row>
    <row r="60" spans="1:20" ht="14.5" x14ac:dyDescent="0.25">
      <c r="A60" s="189" t="s">
        <v>3820</v>
      </c>
      <c r="B60" s="191">
        <v>12</v>
      </c>
      <c r="C60" s="189" t="s">
        <v>3837</v>
      </c>
      <c r="D60" s="191">
        <v>1146009</v>
      </c>
      <c r="E60" s="191">
        <v>13754555</v>
      </c>
      <c r="F60" s="189" t="s">
        <v>3824</v>
      </c>
      <c r="G60" s="192">
        <v>44724</v>
      </c>
      <c r="H60" s="191">
        <v>31020531</v>
      </c>
    </row>
    <row r="61" spans="1:20" ht="14.5" x14ac:dyDescent="0.25">
      <c r="A61" s="189" t="s">
        <v>3820</v>
      </c>
      <c r="B61" s="190">
        <v>8.5</v>
      </c>
      <c r="C61" s="189" t="s">
        <v>3828</v>
      </c>
      <c r="D61" s="191">
        <v>1191006</v>
      </c>
      <c r="E61" s="191">
        <v>13754556</v>
      </c>
      <c r="F61" s="189" t="s">
        <v>3829</v>
      </c>
      <c r="G61" s="192">
        <v>44714</v>
      </c>
      <c r="H61" s="191">
        <v>31159702</v>
      </c>
      <c r="O61" t="s">
        <v>4034</v>
      </c>
    </row>
    <row r="62" spans="1:20" ht="16" thickBot="1" x14ac:dyDescent="0.3">
      <c r="A62" s="189" t="s">
        <v>3820</v>
      </c>
      <c r="B62" s="190">
        <v>6.125</v>
      </c>
      <c r="C62" s="189" t="s">
        <v>256</v>
      </c>
      <c r="D62" s="191">
        <v>1198387</v>
      </c>
      <c r="E62" s="191">
        <v>13753988</v>
      </c>
      <c r="F62" s="189" t="s">
        <v>3821</v>
      </c>
      <c r="G62" s="192">
        <v>44713</v>
      </c>
      <c r="H62" s="191">
        <v>41160951</v>
      </c>
      <c r="O62" s="124" t="s">
        <v>299</v>
      </c>
    </row>
    <row r="63" spans="1:20" ht="44" thickBot="1" x14ac:dyDescent="0.3">
      <c r="A63" s="189" t="s">
        <v>3820</v>
      </c>
      <c r="B63" s="191">
        <v>12</v>
      </c>
      <c r="C63" s="189" t="s">
        <v>286</v>
      </c>
      <c r="D63" s="191">
        <v>1192557</v>
      </c>
      <c r="E63" s="191">
        <v>13742388</v>
      </c>
      <c r="F63" s="189" t="s">
        <v>4035</v>
      </c>
      <c r="G63" s="192">
        <v>44697</v>
      </c>
      <c r="H63" s="191">
        <v>31121983</v>
      </c>
      <c r="O63" s="125" t="s">
        <v>258</v>
      </c>
      <c r="P63" s="126" t="s">
        <v>4</v>
      </c>
      <c r="Q63" s="126" t="s">
        <v>300</v>
      </c>
      <c r="R63" s="126" t="s">
        <v>301</v>
      </c>
      <c r="S63" s="126" t="s">
        <v>302</v>
      </c>
      <c r="T63" s="126" t="s">
        <v>303</v>
      </c>
    </row>
    <row r="64" spans="1:20" ht="15" thickBot="1" x14ac:dyDescent="0.3">
      <c r="A64" s="189" t="s">
        <v>3820</v>
      </c>
      <c r="B64" s="191">
        <v>12</v>
      </c>
      <c r="C64" s="189" t="s">
        <v>286</v>
      </c>
      <c r="D64" s="191">
        <v>1192557</v>
      </c>
      <c r="E64" s="191">
        <v>13742390</v>
      </c>
      <c r="F64" s="189" t="s">
        <v>4035</v>
      </c>
      <c r="G64" s="192">
        <v>44697</v>
      </c>
      <c r="H64" s="191">
        <v>31121983</v>
      </c>
      <c r="O64" s="130" t="s">
        <v>316</v>
      </c>
      <c r="P64" s="129" t="s">
        <v>290</v>
      </c>
      <c r="Q64" s="242"/>
      <c r="R64" s="129">
        <v>1092722</v>
      </c>
      <c r="S64" s="205">
        <v>2</v>
      </c>
      <c r="T64" s="128" t="s">
        <v>4033</v>
      </c>
    </row>
    <row r="65" spans="1:20" ht="15" thickBot="1" x14ac:dyDescent="0.3">
      <c r="A65" s="189" t="s">
        <v>3820</v>
      </c>
      <c r="B65" s="191">
        <v>12</v>
      </c>
      <c r="C65" s="189" t="s">
        <v>286</v>
      </c>
      <c r="D65" s="191">
        <v>1192557</v>
      </c>
      <c r="E65" s="191">
        <v>13742387</v>
      </c>
      <c r="F65" s="189" t="s">
        <v>4035</v>
      </c>
      <c r="G65" s="192">
        <v>44697</v>
      </c>
      <c r="H65" s="191">
        <v>31121983</v>
      </c>
      <c r="O65" s="130" t="s">
        <v>4036</v>
      </c>
      <c r="P65" s="129" t="s">
        <v>4037</v>
      </c>
      <c r="Q65" s="242"/>
      <c r="R65" s="129">
        <v>1054015</v>
      </c>
      <c r="S65" s="205">
        <v>1</v>
      </c>
      <c r="T65" s="128" t="s">
        <v>4033</v>
      </c>
    </row>
    <row r="66" spans="1:20" ht="15" thickBot="1" x14ac:dyDescent="0.3">
      <c r="A66" s="189" t="s">
        <v>3820</v>
      </c>
      <c r="B66" s="191">
        <v>12</v>
      </c>
      <c r="C66" s="189" t="s">
        <v>286</v>
      </c>
      <c r="D66" s="191">
        <v>1192557</v>
      </c>
      <c r="E66" s="191">
        <v>13742392</v>
      </c>
      <c r="F66" s="189" t="s">
        <v>4035</v>
      </c>
      <c r="G66" s="192">
        <v>44697</v>
      </c>
      <c r="H66" s="191">
        <v>31121983</v>
      </c>
      <c r="O66" s="127" t="s">
        <v>304</v>
      </c>
      <c r="P66" s="128" t="s">
        <v>630</v>
      </c>
      <c r="Q66" s="205">
        <v>1228848</v>
      </c>
      <c r="R66" s="128">
        <v>1016454</v>
      </c>
      <c r="S66" s="205">
        <v>2</v>
      </c>
      <c r="T66" s="128" t="s">
        <v>648</v>
      </c>
    </row>
    <row r="67" spans="1:20" ht="15" thickBot="1" x14ac:dyDescent="0.3">
      <c r="A67" s="189" t="s">
        <v>3820</v>
      </c>
      <c r="B67" s="191">
        <v>12</v>
      </c>
      <c r="C67" s="189" t="s">
        <v>286</v>
      </c>
      <c r="D67" s="191">
        <v>1192557</v>
      </c>
      <c r="E67" s="191">
        <v>13742391</v>
      </c>
      <c r="F67" s="189" t="s">
        <v>4035</v>
      </c>
      <c r="G67" s="192">
        <v>44697</v>
      </c>
      <c r="H67" s="191">
        <v>31121983</v>
      </c>
      <c r="O67" s="127" t="s">
        <v>304</v>
      </c>
      <c r="P67" s="128" t="s">
        <v>630</v>
      </c>
      <c r="Q67" s="205">
        <v>1228690</v>
      </c>
      <c r="R67" s="128">
        <v>960723</v>
      </c>
      <c r="S67" s="205">
        <v>1</v>
      </c>
      <c r="T67" s="128" t="s">
        <v>648</v>
      </c>
    </row>
    <row r="68" spans="1:20" ht="15" thickBot="1" x14ac:dyDescent="0.3">
      <c r="A68" s="189" t="s">
        <v>3820</v>
      </c>
      <c r="B68" s="191">
        <v>12</v>
      </c>
      <c r="C68" s="189" t="s">
        <v>286</v>
      </c>
      <c r="D68" s="191">
        <v>1192557</v>
      </c>
      <c r="E68" s="191">
        <v>13742389</v>
      </c>
      <c r="F68" s="189" t="s">
        <v>4035</v>
      </c>
      <c r="G68" s="192">
        <v>44697</v>
      </c>
      <c r="H68" s="191">
        <v>31121983</v>
      </c>
      <c r="O68" s="127" t="s">
        <v>304</v>
      </c>
      <c r="P68" s="128" t="s">
        <v>305</v>
      </c>
      <c r="Q68" s="205">
        <v>1145821</v>
      </c>
      <c r="R68" s="128">
        <v>1096183</v>
      </c>
      <c r="S68" s="205">
        <v>2</v>
      </c>
      <c r="T68" s="128" t="s">
        <v>646</v>
      </c>
    </row>
    <row r="69" spans="1:20" ht="15" thickBot="1" x14ac:dyDescent="0.3">
      <c r="A69" s="189" t="s">
        <v>3820</v>
      </c>
      <c r="B69" s="191">
        <v>16</v>
      </c>
      <c r="C69" s="189" t="s">
        <v>317</v>
      </c>
      <c r="D69" s="191">
        <v>1197910</v>
      </c>
      <c r="E69" s="191">
        <v>13730510</v>
      </c>
      <c r="F69" s="189" t="s">
        <v>4038</v>
      </c>
      <c r="G69" s="192">
        <v>44692</v>
      </c>
      <c r="H69" s="191">
        <v>31190973</v>
      </c>
      <c r="O69" s="127" t="s">
        <v>313</v>
      </c>
      <c r="P69" s="128" t="s">
        <v>314</v>
      </c>
      <c r="Q69" s="205">
        <v>1145826</v>
      </c>
      <c r="R69" s="128">
        <v>1061407</v>
      </c>
      <c r="S69" s="205">
        <v>2</v>
      </c>
      <c r="T69" s="128" t="s">
        <v>648</v>
      </c>
    </row>
    <row r="70" spans="1:20" ht="15" thickBot="1" x14ac:dyDescent="0.35">
      <c r="A70" s="189" t="s">
        <v>3820</v>
      </c>
      <c r="B70" s="191">
        <v>17</v>
      </c>
      <c r="C70" s="189" t="s">
        <v>320</v>
      </c>
      <c r="D70" s="191">
        <v>1153090</v>
      </c>
      <c r="E70" s="191">
        <v>13740213</v>
      </c>
      <c r="F70" s="193"/>
      <c r="G70" s="192">
        <v>44700</v>
      </c>
      <c r="H70" s="191">
        <v>31162267</v>
      </c>
      <c r="O70" s="127" t="s">
        <v>313</v>
      </c>
      <c r="P70" s="128" t="s">
        <v>314</v>
      </c>
      <c r="Q70" s="205">
        <v>1145826</v>
      </c>
      <c r="R70" s="128">
        <v>1176919</v>
      </c>
      <c r="S70" s="205">
        <v>3</v>
      </c>
      <c r="T70" s="128" t="s">
        <v>648</v>
      </c>
    </row>
    <row r="71" spans="1:20" ht="15" thickBot="1" x14ac:dyDescent="0.3">
      <c r="A71" s="189" t="s">
        <v>3820</v>
      </c>
      <c r="B71" s="191">
        <v>17</v>
      </c>
      <c r="C71" s="189" t="s">
        <v>320</v>
      </c>
      <c r="D71" s="191">
        <v>1153090</v>
      </c>
      <c r="E71" s="191">
        <v>13740215</v>
      </c>
      <c r="F71" s="189" t="s">
        <v>4039</v>
      </c>
      <c r="G71" s="192">
        <v>44700</v>
      </c>
      <c r="H71" s="191">
        <v>31162267</v>
      </c>
      <c r="O71" s="127" t="s">
        <v>313</v>
      </c>
      <c r="P71" s="128" t="s">
        <v>647</v>
      </c>
      <c r="Q71" s="205">
        <v>1140080</v>
      </c>
      <c r="R71" s="128">
        <v>1080537</v>
      </c>
      <c r="S71" s="205">
        <v>2</v>
      </c>
      <c r="T71" s="128" t="s">
        <v>648</v>
      </c>
    </row>
    <row r="72" spans="1:20" ht="15" thickBot="1" x14ac:dyDescent="0.3">
      <c r="A72" s="189" t="s">
        <v>3820</v>
      </c>
      <c r="B72" s="190">
        <v>8.375</v>
      </c>
      <c r="C72" s="189" t="s">
        <v>465</v>
      </c>
      <c r="D72" s="191">
        <v>1160847</v>
      </c>
      <c r="E72" s="191">
        <v>13739178</v>
      </c>
      <c r="F72" s="189" t="s">
        <v>4016</v>
      </c>
      <c r="G72" s="192">
        <v>44696</v>
      </c>
      <c r="H72" s="191">
        <v>31083599</v>
      </c>
      <c r="O72" s="127" t="s">
        <v>624</v>
      </c>
      <c r="P72" s="201" t="s">
        <v>625</v>
      </c>
      <c r="Q72" s="205">
        <v>1188084</v>
      </c>
      <c r="R72" s="128">
        <v>959209</v>
      </c>
      <c r="S72" s="205">
        <v>2</v>
      </c>
      <c r="T72" s="128" t="s">
        <v>648</v>
      </c>
    </row>
    <row r="73" spans="1:20" ht="15" thickBot="1" x14ac:dyDescent="0.3">
      <c r="A73" s="189" t="s">
        <v>3820</v>
      </c>
      <c r="B73" s="190">
        <v>12.25</v>
      </c>
      <c r="C73" s="189" t="s">
        <v>638</v>
      </c>
      <c r="D73" s="191">
        <v>1112857</v>
      </c>
      <c r="E73" s="191">
        <v>13719639</v>
      </c>
      <c r="F73" s="189" t="s">
        <v>4040</v>
      </c>
      <c r="G73" s="192">
        <v>44671</v>
      </c>
      <c r="H73" s="191">
        <v>31142907</v>
      </c>
      <c r="O73" s="127" t="s">
        <v>624</v>
      </c>
      <c r="P73" s="128" t="s">
        <v>275</v>
      </c>
      <c r="Q73" s="205">
        <v>1158011</v>
      </c>
      <c r="R73" s="128">
        <v>1201053</v>
      </c>
      <c r="S73" s="205">
        <v>1</v>
      </c>
      <c r="T73" s="128" t="s">
        <v>646</v>
      </c>
    </row>
    <row r="74" spans="1:20" ht="15" thickBot="1" x14ac:dyDescent="0.3">
      <c r="A74" s="189" t="s">
        <v>3820</v>
      </c>
      <c r="B74" s="190">
        <v>12.25</v>
      </c>
      <c r="C74" s="189" t="s">
        <v>638</v>
      </c>
      <c r="D74" s="191">
        <v>1112857</v>
      </c>
      <c r="E74" s="191">
        <v>13719640</v>
      </c>
      <c r="F74" s="189" t="s">
        <v>3824</v>
      </c>
      <c r="G74" s="192">
        <v>44664</v>
      </c>
      <c r="H74" s="191">
        <v>31142907</v>
      </c>
      <c r="O74" s="127" t="s">
        <v>315</v>
      </c>
      <c r="P74" s="128" t="s">
        <v>684</v>
      </c>
      <c r="Q74" s="205">
        <v>1146009</v>
      </c>
      <c r="R74" s="128">
        <v>1020531</v>
      </c>
      <c r="S74" s="205">
        <v>2</v>
      </c>
      <c r="T74" s="128" t="s">
        <v>648</v>
      </c>
    </row>
    <row r="75" spans="1:20" ht="15" thickBot="1" x14ac:dyDescent="0.3">
      <c r="A75" s="189" t="s">
        <v>3820</v>
      </c>
      <c r="B75" s="190">
        <v>12.25</v>
      </c>
      <c r="C75" s="189" t="s">
        <v>638</v>
      </c>
      <c r="D75" s="191">
        <v>1112857</v>
      </c>
      <c r="E75" s="191">
        <v>13712060</v>
      </c>
      <c r="F75" s="189" t="s">
        <v>3824</v>
      </c>
      <c r="G75" s="192">
        <v>44647</v>
      </c>
      <c r="H75" s="191">
        <v>31142907</v>
      </c>
      <c r="O75" s="127" t="s">
        <v>637</v>
      </c>
      <c r="P75" s="128" t="s">
        <v>638</v>
      </c>
      <c r="Q75" s="205">
        <v>1112857</v>
      </c>
      <c r="R75" s="128">
        <v>1142907</v>
      </c>
      <c r="S75" s="205">
        <v>3</v>
      </c>
      <c r="T75" s="128" t="s">
        <v>648</v>
      </c>
    </row>
    <row r="76" spans="1:20" ht="15" thickBot="1" x14ac:dyDescent="0.35">
      <c r="A76" s="189" t="s">
        <v>3820</v>
      </c>
      <c r="B76" s="191">
        <v>16</v>
      </c>
      <c r="C76" s="189" t="s">
        <v>318</v>
      </c>
      <c r="D76" s="191">
        <v>1145823</v>
      </c>
      <c r="E76" s="191">
        <v>13697075</v>
      </c>
      <c r="F76" s="193"/>
      <c r="G76" s="192">
        <v>44605</v>
      </c>
      <c r="H76" s="191">
        <v>31033011</v>
      </c>
      <c r="O76" s="130" t="s">
        <v>316</v>
      </c>
      <c r="P76" s="128" t="s">
        <v>317</v>
      </c>
      <c r="Q76" s="205">
        <v>1197910</v>
      </c>
      <c r="R76" s="129">
        <v>1190973</v>
      </c>
      <c r="S76" s="205">
        <v>1</v>
      </c>
      <c r="T76" s="128" t="s">
        <v>648</v>
      </c>
    </row>
    <row r="77" spans="1:20" ht="15" thickBot="1" x14ac:dyDescent="0.3">
      <c r="A77" s="189" t="s">
        <v>3820</v>
      </c>
      <c r="B77" s="190">
        <v>6.125</v>
      </c>
      <c r="C77" s="189" t="s">
        <v>312</v>
      </c>
      <c r="D77" s="191">
        <v>1145877</v>
      </c>
      <c r="E77" s="191">
        <v>13685060</v>
      </c>
      <c r="F77" s="189" t="s">
        <v>3821</v>
      </c>
      <c r="G77" s="192">
        <v>44558</v>
      </c>
      <c r="H77" s="191">
        <v>31137348</v>
      </c>
      <c r="O77" s="127" t="s">
        <v>316</v>
      </c>
      <c r="P77" s="128" t="s">
        <v>291</v>
      </c>
      <c r="Q77" s="205">
        <v>1228782</v>
      </c>
      <c r="R77" s="128">
        <v>1058252</v>
      </c>
      <c r="S77" s="205">
        <v>2</v>
      </c>
      <c r="T77" s="128" t="s">
        <v>648</v>
      </c>
    </row>
    <row r="78" spans="1:20" ht="15" thickBot="1" x14ac:dyDescent="0.3">
      <c r="A78" s="189" t="s">
        <v>3820</v>
      </c>
      <c r="B78" s="190">
        <v>8.5</v>
      </c>
      <c r="C78" s="189" t="s">
        <v>275</v>
      </c>
      <c r="D78" s="191">
        <v>1188149</v>
      </c>
      <c r="E78" s="191">
        <v>13655576</v>
      </c>
      <c r="F78" s="189" t="s">
        <v>3829</v>
      </c>
      <c r="G78" s="192">
        <v>44501</v>
      </c>
      <c r="H78" s="191">
        <v>31102426</v>
      </c>
      <c r="O78" s="130" t="s">
        <v>316</v>
      </c>
      <c r="P78" s="128" t="s">
        <v>318</v>
      </c>
      <c r="Q78" s="205">
        <v>1145823</v>
      </c>
      <c r="R78" s="129">
        <v>1033011</v>
      </c>
      <c r="S78" s="205">
        <v>1</v>
      </c>
      <c r="T78" s="128" t="s">
        <v>648</v>
      </c>
    </row>
    <row r="79" spans="1:20" ht="14.5" x14ac:dyDescent="0.25">
      <c r="A79" s="189" t="s">
        <v>3820</v>
      </c>
      <c r="B79" s="191">
        <v>12</v>
      </c>
      <c r="C79" s="189" t="s">
        <v>272</v>
      </c>
      <c r="D79" s="191">
        <v>1188197</v>
      </c>
      <c r="E79" s="191">
        <v>13616543</v>
      </c>
      <c r="F79" s="189" t="s">
        <v>3824</v>
      </c>
      <c r="G79" s="192">
        <v>44408</v>
      </c>
      <c r="H79" s="189" t="s">
        <v>3825</v>
      </c>
    </row>
    <row r="80" spans="1:20" ht="14.5" x14ac:dyDescent="0.25">
      <c r="A80" s="189" t="s">
        <v>3820</v>
      </c>
      <c r="B80" s="190">
        <v>6.125</v>
      </c>
      <c r="C80" s="189" t="s">
        <v>621</v>
      </c>
      <c r="D80" s="191">
        <v>1146317</v>
      </c>
      <c r="E80" s="191">
        <v>13567178</v>
      </c>
      <c r="F80" s="189" t="s">
        <v>3821</v>
      </c>
      <c r="G80" s="192">
        <v>44292</v>
      </c>
      <c r="H80" s="191">
        <v>3965522</v>
      </c>
    </row>
    <row r="81" spans="1:8" ht="14.5" x14ac:dyDescent="0.25">
      <c r="A81" s="189" t="s">
        <v>3820</v>
      </c>
      <c r="B81" s="190">
        <v>6.125</v>
      </c>
      <c r="C81" s="189" t="s">
        <v>621</v>
      </c>
      <c r="D81" s="191">
        <v>1146317</v>
      </c>
      <c r="E81" s="191">
        <v>13567176</v>
      </c>
      <c r="F81" s="189" t="s">
        <v>3821</v>
      </c>
      <c r="G81" s="192">
        <v>44292</v>
      </c>
      <c r="H81" s="191">
        <v>3965522</v>
      </c>
    </row>
    <row r="84" spans="1:8" ht="14.5" x14ac:dyDescent="0.25">
      <c r="A84" s="147" t="s">
        <v>4041</v>
      </c>
    </row>
    <row r="85" spans="1:8" ht="15" thickBot="1" x14ac:dyDescent="0.3">
      <c r="A85" s="147"/>
    </row>
    <row r="86" spans="1:8" ht="29.5" thickBot="1" x14ac:dyDescent="0.35">
      <c r="A86" s="194" t="s">
        <v>260</v>
      </c>
      <c r="B86" s="195" t="s">
        <v>258</v>
      </c>
      <c r="C86" s="195" t="s">
        <v>4</v>
      </c>
      <c r="D86" s="195" t="s">
        <v>517</v>
      </c>
      <c r="E86" s="193"/>
    </row>
    <row r="87" spans="1:8" ht="15" thickBot="1" x14ac:dyDescent="0.3">
      <c r="A87" s="196">
        <v>1141517</v>
      </c>
      <c r="B87" s="197">
        <v>8.375</v>
      </c>
      <c r="C87" s="198" t="s">
        <v>272</v>
      </c>
      <c r="D87" s="199">
        <v>2</v>
      </c>
      <c r="E87" s="189">
        <v>31092981</v>
      </c>
    </row>
    <row r="88" spans="1:8" ht="15" thickBot="1" x14ac:dyDescent="0.3">
      <c r="A88" s="196">
        <v>1141517</v>
      </c>
      <c r="B88" s="197">
        <v>8.375</v>
      </c>
      <c r="C88" s="198" t="s">
        <v>272</v>
      </c>
      <c r="D88" s="199">
        <v>1</v>
      </c>
      <c r="E88" s="189">
        <v>31083564</v>
      </c>
    </row>
    <row r="89" spans="1:8" ht="15" thickBot="1" x14ac:dyDescent="0.3">
      <c r="A89" s="196">
        <v>1158011</v>
      </c>
      <c r="B89" s="197">
        <v>8.5</v>
      </c>
      <c r="C89" s="198" t="s">
        <v>274</v>
      </c>
      <c r="D89" s="199">
        <v>4</v>
      </c>
      <c r="E89" s="200">
        <v>31201053</v>
      </c>
    </row>
    <row r="90" spans="1:8" ht="15" thickBot="1" x14ac:dyDescent="0.3">
      <c r="A90" s="196">
        <v>1145824</v>
      </c>
      <c r="B90" s="197">
        <v>6.125</v>
      </c>
      <c r="C90" s="198" t="s">
        <v>311</v>
      </c>
      <c r="D90" s="199">
        <v>5</v>
      </c>
      <c r="E90" s="200">
        <v>31137349</v>
      </c>
    </row>
    <row r="91" spans="1:8" ht="29.5" thickBot="1" x14ac:dyDescent="0.3">
      <c r="A91" s="196">
        <v>1150007</v>
      </c>
      <c r="B91" s="197">
        <v>6.125</v>
      </c>
      <c r="C91" s="198" t="s">
        <v>653</v>
      </c>
      <c r="D91" s="199">
        <v>3</v>
      </c>
      <c r="E91" s="191">
        <v>41174282</v>
      </c>
    </row>
    <row r="92" spans="1:8" ht="15" thickBot="1" x14ac:dyDescent="0.3">
      <c r="A92" s="196">
        <v>1212881</v>
      </c>
      <c r="B92" s="197">
        <v>6.125</v>
      </c>
      <c r="C92" s="198" t="s">
        <v>633</v>
      </c>
      <c r="D92" s="199">
        <v>1</v>
      </c>
      <c r="E92" s="189" t="s">
        <v>739</v>
      </c>
      <c r="F92" t="s">
        <v>4042</v>
      </c>
    </row>
    <row r="93" spans="1:8" ht="15" thickBot="1" x14ac:dyDescent="0.3">
      <c r="A93" s="196">
        <v>1228739</v>
      </c>
      <c r="B93" s="197">
        <v>6.125</v>
      </c>
      <c r="C93" s="198" t="s">
        <v>756</v>
      </c>
      <c r="D93" s="199">
        <v>1</v>
      </c>
      <c r="E93" s="189" t="s">
        <v>755</v>
      </c>
      <c r="F93" t="s">
        <v>4042</v>
      </c>
    </row>
    <row r="94" spans="1:8" ht="15" thickBot="1" x14ac:dyDescent="0.3">
      <c r="A94" s="196">
        <v>1208569</v>
      </c>
      <c r="B94" s="197">
        <v>5.875</v>
      </c>
      <c r="C94" s="198" t="s">
        <v>667</v>
      </c>
      <c r="D94" s="199">
        <v>2</v>
      </c>
      <c r="E94" s="191">
        <v>41212043</v>
      </c>
    </row>
    <row r="95" spans="1:8" ht="15" thickBot="1" x14ac:dyDescent="0.3">
      <c r="A95" s="196">
        <v>1227237</v>
      </c>
      <c r="B95" s="197">
        <v>5.875</v>
      </c>
      <c r="C95" s="198" t="s">
        <v>632</v>
      </c>
      <c r="D95" s="199">
        <v>5</v>
      </c>
      <c r="E95" s="191">
        <v>31138943</v>
      </c>
    </row>
    <row r="96" spans="1:8" ht="15" thickBot="1" x14ac:dyDescent="0.3">
      <c r="A96" s="196">
        <v>1224225</v>
      </c>
      <c r="B96" s="197">
        <v>3.875</v>
      </c>
      <c r="C96" s="198" t="s">
        <v>308</v>
      </c>
      <c r="D96" s="199">
        <v>2</v>
      </c>
      <c r="E96" s="189" t="s">
        <v>751</v>
      </c>
      <c r="F96" t="s">
        <v>4042</v>
      </c>
    </row>
    <row r="97" spans="1:6" ht="29.5" thickBot="1" x14ac:dyDescent="0.3">
      <c r="A97" s="196">
        <v>1145821</v>
      </c>
      <c r="B97" s="197">
        <v>3.625</v>
      </c>
      <c r="C97" s="198" t="s">
        <v>636</v>
      </c>
      <c r="D97" s="199">
        <v>8</v>
      </c>
      <c r="E97" s="200">
        <v>31096183</v>
      </c>
    </row>
    <row r="98" spans="1:6" ht="29.5" thickBot="1" x14ac:dyDescent="0.3">
      <c r="A98" s="196">
        <v>1145823</v>
      </c>
      <c r="B98" s="199">
        <v>16</v>
      </c>
      <c r="C98" s="198" t="s">
        <v>318</v>
      </c>
      <c r="D98" s="199">
        <v>4</v>
      </c>
      <c r="E98" s="200">
        <v>31033011</v>
      </c>
    </row>
    <row r="99" spans="1:6" ht="29.5" thickBot="1" x14ac:dyDescent="0.3">
      <c r="A99" s="196">
        <v>1197910</v>
      </c>
      <c r="B99" s="199">
        <v>16</v>
      </c>
      <c r="C99" s="198" t="s">
        <v>317</v>
      </c>
      <c r="D99" s="199">
        <v>1</v>
      </c>
      <c r="E99" s="191">
        <v>31190973</v>
      </c>
    </row>
    <row r="100" spans="1:6" ht="15" thickBot="1" x14ac:dyDescent="0.3">
      <c r="A100" s="196">
        <v>1221158</v>
      </c>
      <c r="B100" s="199">
        <v>16</v>
      </c>
      <c r="C100" s="198" t="s">
        <v>320</v>
      </c>
      <c r="D100" s="199">
        <v>1</v>
      </c>
      <c r="E100" s="189" t="s">
        <v>747</v>
      </c>
      <c r="F100" t="s">
        <v>4042</v>
      </c>
    </row>
    <row r="101" spans="1:6" ht="29.5" thickBot="1" x14ac:dyDescent="0.3">
      <c r="A101" s="196">
        <v>1145825</v>
      </c>
      <c r="B101" s="199">
        <v>12</v>
      </c>
      <c r="C101" s="198" t="s">
        <v>3697</v>
      </c>
      <c r="D101" s="199">
        <v>5</v>
      </c>
      <c r="E101" s="200">
        <v>31005462</v>
      </c>
    </row>
  </sheetData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9"/>
  <dimension ref="A1:P60"/>
  <sheetViews>
    <sheetView workbookViewId="0">
      <selection activeCell="Q22" sqref="Q22"/>
    </sheetView>
  </sheetViews>
  <sheetFormatPr defaultRowHeight="12.5" x14ac:dyDescent="0.25"/>
  <sheetData>
    <row r="1" spans="1:16" ht="15" thickBot="1" x14ac:dyDescent="0.3">
      <c r="A1" s="148" t="s">
        <v>258</v>
      </c>
      <c r="B1" s="149" t="s">
        <v>4</v>
      </c>
      <c r="C1" s="149" t="s">
        <v>260</v>
      </c>
      <c r="D1" s="149" t="s">
        <v>261</v>
      </c>
      <c r="L1" s="154" t="s">
        <v>3879</v>
      </c>
      <c r="M1" s="155" t="s">
        <v>325</v>
      </c>
      <c r="N1" s="155" t="s">
        <v>326</v>
      </c>
      <c r="O1" s="155" t="s">
        <v>4043</v>
      </c>
      <c r="P1" s="155" t="s">
        <v>4044</v>
      </c>
    </row>
    <row r="2" spans="1:16" ht="15" thickBot="1" x14ac:dyDescent="0.3">
      <c r="A2" s="150">
        <v>6.125</v>
      </c>
      <c r="B2" s="151" t="s">
        <v>311</v>
      </c>
      <c r="C2" s="152">
        <v>1145824</v>
      </c>
      <c r="D2" s="152">
        <v>13753273</v>
      </c>
      <c r="L2" s="156" t="s">
        <v>4045</v>
      </c>
      <c r="M2" s="157">
        <v>8.375</v>
      </c>
      <c r="N2" s="158" t="s">
        <v>314</v>
      </c>
      <c r="O2" s="158">
        <v>1140080</v>
      </c>
      <c r="P2" s="158">
        <v>3</v>
      </c>
    </row>
    <row r="3" spans="1:16" ht="15" thickBot="1" x14ac:dyDescent="0.3">
      <c r="A3" s="150">
        <v>8.375</v>
      </c>
      <c r="B3" s="151" t="s">
        <v>272</v>
      </c>
      <c r="C3" s="152">
        <v>1141517</v>
      </c>
      <c r="D3" s="152">
        <v>13753965</v>
      </c>
      <c r="L3" s="156" t="s">
        <v>3886</v>
      </c>
      <c r="M3" s="157">
        <v>8.375</v>
      </c>
      <c r="N3" s="158" t="s">
        <v>272</v>
      </c>
      <c r="O3" s="158">
        <v>1141517</v>
      </c>
      <c r="P3" s="158">
        <v>3</v>
      </c>
    </row>
    <row r="4" spans="1:16" ht="15" thickBot="1" x14ac:dyDescent="0.3">
      <c r="A4" s="150">
        <v>8.5</v>
      </c>
      <c r="B4" s="151" t="s">
        <v>3828</v>
      </c>
      <c r="C4" s="152">
        <v>1191006</v>
      </c>
      <c r="D4" s="152">
        <v>13754556</v>
      </c>
      <c r="L4" s="156" t="s">
        <v>4046</v>
      </c>
      <c r="M4" s="157">
        <v>5.875</v>
      </c>
      <c r="N4" s="158" t="s">
        <v>667</v>
      </c>
      <c r="O4" s="158">
        <v>1141552</v>
      </c>
      <c r="P4" s="158">
        <v>3</v>
      </c>
    </row>
    <row r="5" spans="1:16" ht="15" thickBot="1" x14ac:dyDescent="0.3">
      <c r="A5" s="150">
        <v>8.375</v>
      </c>
      <c r="B5" s="151" t="s">
        <v>272</v>
      </c>
      <c r="C5" s="152">
        <v>1141517</v>
      </c>
      <c r="D5" s="152">
        <v>13753967</v>
      </c>
      <c r="L5" s="156" t="s">
        <v>3885</v>
      </c>
      <c r="M5" s="158" t="s">
        <v>3882</v>
      </c>
      <c r="N5" s="158" t="s">
        <v>318</v>
      </c>
      <c r="O5" s="158">
        <v>1145823</v>
      </c>
      <c r="P5" s="158">
        <v>3</v>
      </c>
    </row>
    <row r="6" spans="1:16" ht="15" thickBot="1" x14ac:dyDescent="0.3">
      <c r="A6" s="150">
        <v>8.375</v>
      </c>
      <c r="B6" s="151" t="s">
        <v>272</v>
      </c>
      <c r="C6" s="152">
        <v>1141517</v>
      </c>
      <c r="D6" s="152">
        <v>13753966</v>
      </c>
      <c r="L6" s="156" t="s">
        <v>4047</v>
      </c>
      <c r="M6" s="158" t="s">
        <v>3689</v>
      </c>
      <c r="N6" s="158" t="s">
        <v>3697</v>
      </c>
      <c r="O6" s="158">
        <v>1145825</v>
      </c>
      <c r="P6" s="158">
        <v>3</v>
      </c>
    </row>
    <row r="7" spans="1:16" ht="15" thickBot="1" x14ac:dyDescent="0.3">
      <c r="A7" s="150">
        <v>8.375</v>
      </c>
      <c r="B7" s="151" t="s">
        <v>272</v>
      </c>
      <c r="C7" s="152">
        <v>1141517</v>
      </c>
      <c r="D7" s="152">
        <v>13753964</v>
      </c>
      <c r="L7" s="156" t="s">
        <v>4048</v>
      </c>
      <c r="M7" s="157">
        <v>8.375</v>
      </c>
      <c r="N7" s="158" t="s">
        <v>314</v>
      </c>
      <c r="O7" s="158">
        <v>1145826</v>
      </c>
      <c r="P7" s="158">
        <v>3</v>
      </c>
    </row>
    <row r="8" spans="1:16" ht="15" thickBot="1" x14ac:dyDescent="0.3">
      <c r="A8" s="150">
        <v>6.125</v>
      </c>
      <c r="B8" s="151" t="s">
        <v>311</v>
      </c>
      <c r="C8" s="152">
        <v>1145824</v>
      </c>
      <c r="D8" s="152">
        <v>13753275</v>
      </c>
      <c r="L8" s="156" t="s">
        <v>4049</v>
      </c>
      <c r="M8" s="158" t="s">
        <v>3689</v>
      </c>
      <c r="N8" s="158" t="s">
        <v>3837</v>
      </c>
      <c r="O8" s="158">
        <v>1146009</v>
      </c>
      <c r="P8" s="158">
        <v>3</v>
      </c>
    </row>
    <row r="9" spans="1:16" ht="15" thickBot="1" x14ac:dyDescent="0.3">
      <c r="A9" s="153">
        <v>12</v>
      </c>
      <c r="B9" s="151" t="s">
        <v>286</v>
      </c>
      <c r="C9" s="152">
        <v>1192557</v>
      </c>
      <c r="D9" s="152">
        <v>13742388</v>
      </c>
      <c r="L9" s="156" t="s">
        <v>4046</v>
      </c>
      <c r="M9" s="157">
        <v>6.125</v>
      </c>
      <c r="N9" s="158" t="s">
        <v>310</v>
      </c>
      <c r="O9" s="158">
        <v>1149944</v>
      </c>
      <c r="P9" s="158">
        <v>4</v>
      </c>
    </row>
    <row r="10" spans="1:16" ht="15" thickBot="1" x14ac:dyDescent="0.3">
      <c r="A10" s="153">
        <v>12</v>
      </c>
      <c r="B10" s="151" t="s">
        <v>286</v>
      </c>
      <c r="C10" s="152">
        <v>1192557</v>
      </c>
      <c r="D10" s="152">
        <v>13742390</v>
      </c>
      <c r="L10" s="156" t="s">
        <v>3885</v>
      </c>
      <c r="M10" s="158" t="s">
        <v>4050</v>
      </c>
      <c r="N10" s="158" t="s">
        <v>320</v>
      </c>
      <c r="O10" s="158">
        <v>1153090</v>
      </c>
      <c r="P10" s="158">
        <v>3</v>
      </c>
    </row>
    <row r="11" spans="1:16" ht="15" thickBot="1" x14ac:dyDescent="0.3">
      <c r="A11" s="153">
        <v>12</v>
      </c>
      <c r="B11" s="151" t="s">
        <v>286</v>
      </c>
      <c r="C11" s="152">
        <v>1192557</v>
      </c>
      <c r="D11" s="152">
        <v>13742387</v>
      </c>
      <c r="L11" s="156" t="s">
        <v>4046</v>
      </c>
      <c r="M11" s="157">
        <v>8.5</v>
      </c>
      <c r="N11" s="158" t="s">
        <v>274</v>
      </c>
      <c r="O11" s="158">
        <v>1158011</v>
      </c>
      <c r="P11" s="158">
        <v>3</v>
      </c>
    </row>
    <row r="12" spans="1:16" ht="15" thickBot="1" x14ac:dyDescent="0.3">
      <c r="A12" s="153">
        <v>12</v>
      </c>
      <c r="B12" s="151" t="s">
        <v>286</v>
      </c>
      <c r="C12" s="152">
        <v>1192557</v>
      </c>
      <c r="D12" s="152">
        <v>13742392</v>
      </c>
      <c r="L12" s="156" t="s">
        <v>4046</v>
      </c>
      <c r="M12" s="157">
        <v>8.5</v>
      </c>
      <c r="N12" s="158" t="s">
        <v>4051</v>
      </c>
      <c r="O12" s="158">
        <v>1191006</v>
      </c>
      <c r="P12" s="158">
        <v>3</v>
      </c>
    </row>
    <row r="13" spans="1:16" ht="15" thickBot="1" x14ac:dyDescent="0.3">
      <c r="A13" s="153">
        <v>12</v>
      </c>
      <c r="B13" s="151" t="s">
        <v>286</v>
      </c>
      <c r="C13" s="152">
        <v>1192557</v>
      </c>
      <c r="D13" s="152">
        <v>13742391</v>
      </c>
      <c r="L13" s="156" t="s">
        <v>4046</v>
      </c>
      <c r="M13" s="157">
        <v>6.125</v>
      </c>
      <c r="N13" s="158" t="s">
        <v>669</v>
      </c>
      <c r="O13" s="158">
        <v>1217589</v>
      </c>
      <c r="P13" s="158">
        <v>4</v>
      </c>
    </row>
    <row r="14" spans="1:16" ht="15" thickBot="1" x14ac:dyDescent="0.3">
      <c r="A14" s="153">
        <v>12</v>
      </c>
      <c r="B14" s="151" t="s">
        <v>286</v>
      </c>
      <c r="C14" s="152">
        <v>1192557</v>
      </c>
      <c r="D14" s="152">
        <v>13742389</v>
      </c>
    </row>
    <row r="15" spans="1:16" ht="15" thickBot="1" x14ac:dyDescent="0.3">
      <c r="A15" s="150">
        <v>6.125</v>
      </c>
      <c r="B15" s="151" t="s">
        <v>256</v>
      </c>
      <c r="C15" s="152">
        <v>1198387</v>
      </c>
      <c r="D15" s="152">
        <v>13730507</v>
      </c>
    </row>
    <row r="16" spans="1:16" ht="15" thickBot="1" x14ac:dyDescent="0.3">
      <c r="A16" s="150">
        <v>6.125</v>
      </c>
      <c r="B16" s="151" t="s">
        <v>256</v>
      </c>
      <c r="C16" s="152">
        <v>1198387</v>
      </c>
      <c r="D16" s="152">
        <v>13739192</v>
      </c>
    </row>
    <row r="17" spans="1:4" ht="15" thickBot="1" x14ac:dyDescent="0.3">
      <c r="A17" s="153">
        <v>16</v>
      </c>
      <c r="B17" s="151" t="s">
        <v>317</v>
      </c>
      <c r="C17" s="152">
        <v>1197910</v>
      </c>
      <c r="D17" s="152">
        <v>13730510</v>
      </c>
    </row>
    <row r="18" spans="1:4" ht="15" thickBot="1" x14ac:dyDescent="0.3">
      <c r="A18" s="153">
        <v>16</v>
      </c>
      <c r="B18" s="151" t="s">
        <v>317</v>
      </c>
      <c r="C18" s="152">
        <v>1197910</v>
      </c>
      <c r="D18" s="152">
        <v>13730509</v>
      </c>
    </row>
    <row r="19" spans="1:4" ht="15" thickBot="1" x14ac:dyDescent="0.3">
      <c r="A19" s="150">
        <v>6.125</v>
      </c>
      <c r="B19" s="151" t="s">
        <v>653</v>
      </c>
      <c r="C19" s="152">
        <v>1150007</v>
      </c>
      <c r="D19" s="152">
        <v>13732811</v>
      </c>
    </row>
    <row r="20" spans="1:4" ht="15" thickBot="1" x14ac:dyDescent="0.3">
      <c r="A20" s="150">
        <v>6.125</v>
      </c>
      <c r="B20" s="151" t="s">
        <v>653</v>
      </c>
      <c r="C20" s="152">
        <v>1150007</v>
      </c>
      <c r="D20" s="152">
        <v>13732812</v>
      </c>
    </row>
    <row r="21" spans="1:4" ht="15" thickBot="1" x14ac:dyDescent="0.3">
      <c r="A21" s="153">
        <v>17</v>
      </c>
      <c r="B21" s="151" t="s">
        <v>320</v>
      </c>
      <c r="C21" s="152">
        <v>1153090</v>
      </c>
      <c r="D21" s="152">
        <v>13740213</v>
      </c>
    </row>
    <row r="22" spans="1:4" ht="15" thickBot="1" x14ac:dyDescent="0.3">
      <c r="A22" s="153">
        <v>17</v>
      </c>
      <c r="B22" s="151" t="s">
        <v>320</v>
      </c>
      <c r="C22" s="152">
        <v>1153090</v>
      </c>
      <c r="D22" s="152">
        <v>13740214</v>
      </c>
    </row>
    <row r="23" spans="1:4" ht="15" thickBot="1" x14ac:dyDescent="0.3">
      <c r="A23" s="153">
        <v>17</v>
      </c>
      <c r="B23" s="151" t="s">
        <v>320</v>
      </c>
      <c r="C23" s="152">
        <v>1153090</v>
      </c>
      <c r="D23" s="152">
        <v>13740215</v>
      </c>
    </row>
    <row r="24" spans="1:4" ht="15" thickBot="1" x14ac:dyDescent="0.3">
      <c r="A24" s="153">
        <v>12</v>
      </c>
      <c r="B24" s="151" t="s">
        <v>3837</v>
      </c>
      <c r="C24" s="152">
        <v>1146009</v>
      </c>
      <c r="D24" s="152">
        <v>13739189</v>
      </c>
    </row>
    <row r="25" spans="1:4" ht="15" thickBot="1" x14ac:dyDescent="0.3">
      <c r="A25" s="153">
        <v>12</v>
      </c>
      <c r="B25" s="151" t="s">
        <v>3837</v>
      </c>
      <c r="C25" s="152">
        <v>1146009</v>
      </c>
      <c r="D25" s="152">
        <v>13739190</v>
      </c>
    </row>
    <row r="26" spans="1:4" ht="15" thickBot="1" x14ac:dyDescent="0.3">
      <c r="A26" s="153">
        <v>12</v>
      </c>
      <c r="B26" s="151" t="s">
        <v>3837</v>
      </c>
      <c r="C26" s="152">
        <v>1146009</v>
      </c>
      <c r="D26" s="152">
        <v>13739187</v>
      </c>
    </row>
    <row r="27" spans="1:4" ht="15" thickBot="1" x14ac:dyDescent="0.3">
      <c r="A27" s="153">
        <v>12</v>
      </c>
      <c r="B27" s="151" t="s">
        <v>3697</v>
      </c>
      <c r="C27" s="152">
        <v>1145825</v>
      </c>
      <c r="D27" s="152">
        <v>13740206</v>
      </c>
    </row>
    <row r="28" spans="1:4" ht="15" thickBot="1" x14ac:dyDescent="0.3">
      <c r="A28" s="153">
        <v>12</v>
      </c>
      <c r="B28" s="151" t="s">
        <v>3697</v>
      </c>
      <c r="C28" s="152">
        <v>1145825</v>
      </c>
      <c r="D28" s="152">
        <v>13740208</v>
      </c>
    </row>
    <row r="29" spans="1:4" ht="15" thickBot="1" x14ac:dyDescent="0.3">
      <c r="A29" s="153">
        <v>12</v>
      </c>
      <c r="B29" s="151" t="s">
        <v>3697</v>
      </c>
      <c r="C29" s="152">
        <v>1145825</v>
      </c>
      <c r="D29" s="152">
        <v>13740207</v>
      </c>
    </row>
    <row r="30" spans="1:4" ht="15" thickBot="1" x14ac:dyDescent="0.3">
      <c r="A30" s="150">
        <v>8.375</v>
      </c>
      <c r="B30" s="151" t="s">
        <v>465</v>
      </c>
      <c r="C30" s="152">
        <v>1160847</v>
      </c>
      <c r="D30" s="152">
        <v>13739178</v>
      </c>
    </row>
    <row r="31" spans="1:4" ht="15" thickBot="1" x14ac:dyDescent="0.3">
      <c r="A31" s="150">
        <v>8.375</v>
      </c>
      <c r="B31" s="151" t="s">
        <v>314</v>
      </c>
      <c r="C31" s="152">
        <v>1145826</v>
      </c>
      <c r="D31" s="152">
        <v>13739198</v>
      </c>
    </row>
    <row r="32" spans="1:4" ht="15" thickBot="1" x14ac:dyDescent="0.3">
      <c r="A32" s="150">
        <v>8.375</v>
      </c>
      <c r="B32" s="151" t="s">
        <v>314</v>
      </c>
      <c r="C32" s="152">
        <v>1145826</v>
      </c>
      <c r="D32" s="152">
        <v>13739196</v>
      </c>
    </row>
    <row r="33" spans="1:4" ht="15" thickBot="1" x14ac:dyDescent="0.3">
      <c r="A33" s="150">
        <v>8.375</v>
      </c>
      <c r="B33" s="151" t="s">
        <v>314</v>
      </c>
      <c r="C33" s="152">
        <v>1145826</v>
      </c>
      <c r="D33" s="152">
        <v>13739195</v>
      </c>
    </row>
    <row r="34" spans="1:4" ht="15" thickBot="1" x14ac:dyDescent="0.3">
      <c r="A34" s="150">
        <v>8.375</v>
      </c>
      <c r="B34" s="151" t="s">
        <v>314</v>
      </c>
      <c r="C34" s="152">
        <v>1145826</v>
      </c>
      <c r="D34" s="152">
        <v>13739193</v>
      </c>
    </row>
    <row r="35" spans="1:4" ht="15" thickBot="1" x14ac:dyDescent="0.3">
      <c r="A35" s="150">
        <v>8.375</v>
      </c>
      <c r="B35" s="151" t="s">
        <v>314</v>
      </c>
      <c r="C35" s="152">
        <v>1145826</v>
      </c>
      <c r="D35" s="152">
        <v>13739197</v>
      </c>
    </row>
    <row r="36" spans="1:4" ht="15" thickBot="1" x14ac:dyDescent="0.3">
      <c r="A36" s="150">
        <v>8.375</v>
      </c>
      <c r="B36" s="151" t="s">
        <v>314</v>
      </c>
      <c r="C36" s="152">
        <v>1145826</v>
      </c>
      <c r="D36" s="152">
        <v>13739194</v>
      </c>
    </row>
    <row r="37" spans="1:4" ht="15" thickBot="1" x14ac:dyDescent="0.3">
      <c r="A37" s="150">
        <v>6.125</v>
      </c>
      <c r="B37" s="151" t="s">
        <v>256</v>
      </c>
      <c r="C37" s="152">
        <v>1198387</v>
      </c>
      <c r="D37" s="152">
        <v>13730508</v>
      </c>
    </row>
    <row r="38" spans="1:4" ht="15" thickBot="1" x14ac:dyDescent="0.3">
      <c r="A38" s="150">
        <v>6.125</v>
      </c>
      <c r="B38" s="151" t="s">
        <v>311</v>
      </c>
      <c r="C38" s="152">
        <v>1145824</v>
      </c>
      <c r="D38" s="152">
        <v>13739176</v>
      </c>
    </row>
    <row r="39" spans="1:4" ht="15" thickBot="1" x14ac:dyDescent="0.3">
      <c r="A39" s="150">
        <v>3.625</v>
      </c>
      <c r="B39" s="151" t="s">
        <v>636</v>
      </c>
      <c r="C39" s="152">
        <v>1145821</v>
      </c>
      <c r="D39" s="152">
        <v>13740212</v>
      </c>
    </row>
    <row r="40" spans="1:4" ht="15" thickBot="1" x14ac:dyDescent="0.3">
      <c r="A40" s="153">
        <v>17</v>
      </c>
      <c r="B40" s="151" t="s">
        <v>320</v>
      </c>
      <c r="C40" s="152">
        <v>1153090</v>
      </c>
      <c r="D40" s="152">
        <v>13719645</v>
      </c>
    </row>
    <row r="41" spans="1:4" ht="15" thickBot="1" x14ac:dyDescent="0.3">
      <c r="A41" s="153">
        <v>17</v>
      </c>
      <c r="B41" s="151" t="s">
        <v>320</v>
      </c>
      <c r="C41" s="152">
        <v>1153090</v>
      </c>
      <c r="D41" s="152">
        <v>13719644</v>
      </c>
    </row>
    <row r="42" spans="1:4" ht="15" thickBot="1" x14ac:dyDescent="0.3">
      <c r="A42" s="150">
        <v>12.25</v>
      </c>
      <c r="B42" s="151" t="s">
        <v>638</v>
      </c>
      <c r="C42" s="152">
        <v>1112857</v>
      </c>
      <c r="D42" s="152">
        <v>13719639</v>
      </c>
    </row>
    <row r="43" spans="1:4" ht="15" thickBot="1" x14ac:dyDescent="0.3">
      <c r="A43" s="150">
        <v>12.25</v>
      </c>
      <c r="B43" s="151" t="s">
        <v>638</v>
      </c>
      <c r="C43" s="152">
        <v>1112857</v>
      </c>
      <c r="D43" s="152">
        <v>13719640</v>
      </c>
    </row>
    <row r="44" spans="1:4" ht="15" thickBot="1" x14ac:dyDescent="0.3">
      <c r="A44" s="150">
        <v>8.375</v>
      </c>
      <c r="B44" s="151" t="s">
        <v>272</v>
      </c>
      <c r="C44" s="152">
        <v>1141517</v>
      </c>
      <c r="D44" s="152">
        <v>13719623</v>
      </c>
    </row>
    <row r="45" spans="1:4" ht="15" thickBot="1" x14ac:dyDescent="0.3">
      <c r="A45" s="150">
        <v>3.875</v>
      </c>
      <c r="B45" s="151" t="s">
        <v>308</v>
      </c>
      <c r="C45" s="152">
        <v>1141549</v>
      </c>
      <c r="D45" s="152">
        <v>13719641</v>
      </c>
    </row>
    <row r="46" spans="1:4" ht="15" thickBot="1" x14ac:dyDescent="0.3">
      <c r="A46" s="150">
        <v>3.875</v>
      </c>
      <c r="B46" s="151" t="s">
        <v>308</v>
      </c>
      <c r="C46" s="152">
        <v>1141549</v>
      </c>
      <c r="D46" s="152">
        <v>13719642</v>
      </c>
    </row>
    <row r="47" spans="1:4" ht="15" thickBot="1" x14ac:dyDescent="0.3">
      <c r="A47" s="150">
        <v>12.25</v>
      </c>
      <c r="B47" s="151" t="s">
        <v>638</v>
      </c>
      <c r="C47" s="152">
        <v>1112857</v>
      </c>
      <c r="D47" s="152">
        <v>13712060</v>
      </c>
    </row>
    <row r="48" spans="1:4" ht="15" thickBot="1" x14ac:dyDescent="0.3">
      <c r="A48" s="150">
        <v>8.375</v>
      </c>
      <c r="B48" s="151" t="s">
        <v>465</v>
      </c>
      <c r="C48" s="152">
        <v>1160847</v>
      </c>
      <c r="D48" s="152">
        <v>13712061</v>
      </c>
    </row>
    <row r="49" spans="1:4" ht="15" thickBot="1" x14ac:dyDescent="0.3">
      <c r="A49" s="153">
        <v>16</v>
      </c>
      <c r="B49" s="151" t="s">
        <v>318</v>
      </c>
      <c r="C49" s="152">
        <v>1145823</v>
      </c>
      <c r="D49" s="152">
        <v>13697075</v>
      </c>
    </row>
    <row r="50" spans="1:4" ht="15" thickBot="1" x14ac:dyDescent="0.3">
      <c r="A50" s="153">
        <v>16</v>
      </c>
      <c r="B50" s="151" t="s">
        <v>318</v>
      </c>
      <c r="C50" s="152">
        <v>1145823</v>
      </c>
      <c r="D50" s="152">
        <v>13697076</v>
      </c>
    </row>
    <row r="51" spans="1:4" ht="15" thickBot="1" x14ac:dyDescent="0.3">
      <c r="A51" s="153">
        <v>16</v>
      </c>
      <c r="B51" s="151" t="s">
        <v>318</v>
      </c>
      <c r="C51" s="152">
        <v>1145823</v>
      </c>
      <c r="D51" s="152">
        <v>13685097</v>
      </c>
    </row>
    <row r="52" spans="1:4" ht="15" thickBot="1" x14ac:dyDescent="0.3">
      <c r="A52" s="153">
        <v>16</v>
      </c>
      <c r="B52" s="151" t="s">
        <v>318</v>
      </c>
      <c r="C52" s="152">
        <v>1145823</v>
      </c>
      <c r="D52" s="152">
        <v>13685096</v>
      </c>
    </row>
    <row r="53" spans="1:4" ht="15" thickBot="1" x14ac:dyDescent="0.3">
      <c r="A53" s="153">
        <v>16</v>
      </c>
      <c r="B53" s="151" t="s">
        <v>318</v>
      </c>
      <c r="C53" s="152">
        <v>1145823</v>
      </c>
      <c r="D53" s="152">
        <v>13685098</v>
      </c>
    </row>
    <row r="54" spans="1:4" ht="15" thickBot="1" x14ac:dyDescent="0.3">
      <c r="A54" s="150">
        <v>6.125</v>
      </c>
      <c r="B54" s="151" t="s">
        <v>312</v>
      </c>
      <c r="C54" s="152">
        <v>1145877</v>
      </c>
      <c r="D54" s="152">
        <v>13685060</v>
      </c>
    </row>
    <row r="55" spans="1:4" ht="15" thickBot="1" x14ac:dyDescent="0.3">
      <c r="A55" s="150">
        <v>8.5</v>
      </c>
      <c r="B55" s="151" t="s">
        <v>275</v>
      </c>
      <c r="C55" s="152">
        <v>1188149</v>
      </c>
      <c r="D55" s="152">
        <v>13655576</v>
      </c>
    </row>
    <row r="56" spans="1:4" ht="15" thickBot="1" x14ac:dyDescent="0.3">
      <c r="A56" s="153">
        <v>12</v>
      </c>
      <c r="B56" s="151" t="s">
        <v>272</v>
      </c>
      <c r="C56" s="152">
        <v>1188197</v>
      </c>
      <c r="D56" s="152">
        <v>13616543</v>
      </c>
    </row>
    <row r="57" spans="1:4" ht="15" thickBot="1" x14ac:dyDescent="0.3">
      <c r="A57" s="150">
        <v>6.125</v>
      </c>
      <c r="B57" s="151" t="s">
        <v>621</v>
      </c>
      <c r="C57" s="152">
        <v>1146317</v>
      </c>
      <c r="D57" s="152">
        <v>13567178</v>
      </c>
    </row>
    <row r="58" spans="1:4" ht="15" thickBot="1" x14ac:dyDescent="0.3">
      <c r="A58" s="150">
        <v>6.125</v>
      </c>
      <c r="B58" s="151" t="s">
        <v>621</v>
      </c>
      <c r="C58" s="152">
        <v>1146317</v>
      </c>
      <c r="D58" s="152">
        <v>13567176</v>
      </c>
    </row>
    <row r="59" spans="1:4" ht="14.5" x14ac:dyDescent="0.25">
      <c r="A59" s="147"/>
    </row>
    <row r="60" spans="1:4" ht="14.5" x14ac:dyDescent="0.25">
      <c r="A60" s="147" t="s">
        <v>517</v>
      </c>
    </row>
  </sheetData>
  <autoFilter ref="A1:P58" xr:uid="{00000000-0009-0000-0000-000010000000}"/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7"/>
  <dimension ref="A2:G38"/>
  <sheetViews>
    <sheetView topLeftCell="A19" workbookViewId="0">
      <selection activeCell="A2" sqref="A2"/>
    </sheetView>
  </sheetViews>
  <sheetFormatPr defaultRowHeight="12.5" x14ac:dyDescent="0.25"/>
  <cols>
    <col min="1" max="1" width="9" bestFit="1" customWidth="1"/>
    <col min="2" max="2" width="9.54296875" bestFit="1" customWidth="1"/>
  </cols>
  <sheetData>
    <row r="2" spans="1:7" ht="24.75" customHeight="1" thickBot="1" x14ac:dyDescent="0.3">
      <c r="C2" s="15" t="s">
        <v>516</v>
      </c>
      <c r="D2" s="15" t="s">
        <v>848</v>
      </c>
      <c r="E2" s="15" t="s">
        <v>4052</v>
      </c>
      <c r="F2" s="861" t="s">
        <v>514</v>
      </c>
      <c r="G2" s="862"/>
    </row>
    <row r="3" spans="1:7" ht="13" thickBot="1" x14ac:dyDescent="0.3">
      <c r="A3">
        <v>13511835</v>
      </c>
      <c r="B3" t="s">
        <v>4053</v>
      </c>
      <c r="C3" s="16">
        <v>2</v>
      </c>
      <c r="D3" s="16">
        <v>1308</v>
      </c>
      <c r="E3" s="16">
        <v>1144689</v>
      </c>
      <c r="F3" s="860" t="s">
        <v>4054</v>
      </c>
      <c r="G3" s="860"/>
    </row>
    <row r="4" spans="1:7" ht="13" thickBot="1" x14ac:dyDescent="0.3">
      <c r="A4">
        <v>13511835</v>
      </c>
      <c r="B4" t="s">
        <v>4053</v>
      </c>
      <c r="C4" s="16">
        <v>2</v>
      </c>
      <c r="D4" s="16">
        <v>1308</v>
      </c>
      <c r="E4" s="16">
        <v>1144818</v>
      </c>
      <c r="F4" s="860" t="s">
        <v>4055</v>
      </c>
      <c r="G4" s="860"/>
    </row>
    <row r="5" spans="1:7" ht="13" thickBot="1" x14ac:dyDescent="0.3">
      <c r="A5">
        <v>13511835</v>
      </c>
      <c r="B5" t="s">
        <v>4053</v>
      </c>
      <c r="C5" s="16">
        <v>6</v>
      </c>
      <c r="D5" s="16">
        <v>1308</v>
      </c>
      <c r="E5" s="16">
        <v>1176639</v>
      </c>
      <c r="F5" s="860" t="s">
        <v>4056</v>
      </c>
      <c r="G5" s="860"/>
    </row>
    <row r="6" spans="1:7" ht="13" thickBot="1" x14ac:dyDescent="0.3">
      <c r="A6">
        <v>13511835</v>
      </c>
      <c r="B6" t="s">
        <v>4053</v>
      </c>
      <c r="C6" s="16">
        <v>8</v>
      </c>
      <c r="D6" s="16">
        <v>1608</v>
      </c>
      <c r="E6" s="16">
        <v>1181761</v>
      </c>
      <c r="F6" s="860" t="s">
        <v>4056</v>
      </c>
      <c r="G6" s="860"/>
    </row>
    <row r="7" spans="1:7" ht="13" thickBot="1" x14ac:dyDescent="0.3">
      <c r="A7">
        <v>13511835</v>
      </c>
      <c r="B7" t="s">
        <v>4053</v>
      </c>
      <c r="C7" s="16">
        <v>6</v>
      </c>
      <c r="D7" s="16">
        <v>1613</v>
      </c>
      <c r="E7" s="16">
        <v>661066</v>
      </c>
      <c r="F7" s="860" t="s">
        <v>4057</v>
      </c>
      <c r="G7" s="860"/>
    </row>
    <row r="8" spans="1:7" ht="13" thickBot="1" x14ac:dyDescent="0.3">
      <c r="A8">
        <v>13511835</v>
      </c>
      <c r="B8" t="s">
        <v>4053</v>
      </c>
      <c r="C8" s="16">
        <v>12</v>
      </c>
      <c r="D8" s="16">
        <v>1313</v>
      </c>
      <c r="E8" s="16">
        <v>1039036</v>
      </c>
      <c r="F8" s="860" t="s">
        <v>4058</v>
      </c>
      <c r="G8" s="860"/>
    </row>
    <row r="9" spans="1:7" ht="13" thickBot="1" x14ac:dyDescent="0.3">
      <c r="A9">
        <v>13511835</v>
      </c>
      <c r="B9" t="s">
        <v>4053</v>
      </c>
      <c r="C9" s="16">
        <v>21</v>
      </c>
      <c r="D9" s="16">
        <v>1308</v>
      </c>
      <c r="E9" s="16">
        <v>1039033</v>
      </c>
      <c r="F9" s="860" t="s">
        <v>4059</v>
      </c>
      <c r="G9" s="860"/>
    </row>
    <row r="10" spans="1:7" ht="13" thickBot="1" x14ac:dyDescent="0.3">
      <c r="A10">
        <v>13511835</v>
      </c>
      <c r="B10" t="s">
        <v>4053</v>
      </c>
      <c r="C10" s="16">
        <v>7</v>
      </c>
      <c r="D10" s="16">
        <v>1308</v>
      </c>
      <c r="E10" s="16">
        <v>418525</v>
      </c>
      <c r="F10" s="860" t="s">
        <v>4060</v>
      </c>
      <c r="G10" s="860"/>
    </row>
    <row r="11" spans="1:7" ht="13" thickBot="1" x14ac:dyDescent="0.3">
      <c r="A11">
        <v>13512259</v>
      </c>
      <c r="B11" t="s">
        <v>4061</v>
      </c>
      <c r="C11" s="16">
        <v>15</v>
      </c>
      <c r="D11" s="16">
        <v>1308</v>
      </c>
      <c r="E11" s="16">
        <v>1144818</v>
      </c>
      <c r="F11" s="860" t="s">
        <v>4055</v>
      </c>
      <c r="G11" s="860"/>
    </row>
    <row r="12" spans="1:7" ht="13" thickBot="1" x14ac:dyDescent="0.3">
      <c r="A12">
        <v>13512259</v>
      </c>
      <c r="B12" t="s">
        <v>4061</v>
      </c>
      <c r="C12" s="16">
        <v>13</v>
      </c>
      <c r="D12" s="16">
        <v>1608</v>
      </c>
      <c r="E12" s="16">
        <v>1181761</v>
      </c>
      <c r="F12" s="860" t="s">
        <v>4056</v>
      </c>
      <c r="G12" s="860"/>
    </row>
    <row r="13" spans="1:7" ht="13" thickBot="1" x14ac:dyDescent="0.3">
      <c r="A13">
        <v>13512259</v>
      </c>
      <c r="B13" t="s">
        <v>4061</v>
      </c>
      <c r="C13" s="16">
        <v>7</v>
      </c>
      <c r="D13" s="16">
        <v>1308</v>
      </c>
      <c r="E13" s="16">
        <v>1176639</v>
      </c>
      <c r="F13" s="860" t="s">
        <v>4056</v>
      </c>
      <c r="G13" s="860"/>
    </row>
    <row r="14" spans="1:7" ht="13" thickBot="1" x14ac:dyDescent="0.3">
      <c r="A14">
        <v>13512259</v>
      </c>
      <c r="B14" t="s">
        <v>4061</v>
      </c>
      <c r="C14" s="16">
        <v>2</v>
      </c>
      <c r="D14" s="16">
        <v>1308</v>
      </c>
      <c r="E14" s="16">
        <v>1144689</v>
      </c>
      <c r="F14" s="860" t="s">
        <v>4054</v>
      </c>
      <c r="G14" s="860"/>
    </row>
    <row r="15" spans="1:7" ht="13" thickBot="1" x14ac:dyDescent="0.3">
      <c r="A15">
        <v>13512259</v>
      </c>
      <c r="B15" t="s">
        <v>4061</v>
      </c>
      <c r="C15" s="16">
        <v>14</v>
      </c>
      <c r="D15" s="16">
        <v>1308</v>
      </c>
      <c r="E15" s="16">
        <v>1039033</v>
      </c>
      <c r="F15" s="860" t="s">
        <v>4059</v>
      </c>
      <c r="G15" s="860"/>
    </row>
    <row r="16" spans="1:7" ht="13" thickBot="1" x14ac:dyDescent="0.3">
      <c r="A16">
        <v>13512259</v>
      </c>
      <c r="B16" t="s">
        <v>4061</v>
      </c>
      <c r="C16" s="16">
        <v>8</v>
      </c>
      <c r="D16" s="16">
        <v>1313</v>
      </c>
      <c r="E16" s="16">
        <v>871781</v>
      </c>
      <c r="F16" s="860" t="s">
        <v>4062</v>
      </c>
      <c r="G16" s="860"/>
    </row>
    <row r="17" spans="1:7" ht="15" thickBot="1" x14ac:dyDescent="0.3">
      <c r="A17" s="17">
        <v>13593133</v>
      </c>
      <c r="B17" s="18" t="s">
        <v>354</v>
      </c>
      <c r="C17" s="16">
        <v>24</v>
      </c>
      <c r="D17" s="16">
        <v>1613</v>
      </c>
      <c r="E17" s="16">
        <v>1039060</v>
      </c>
      <c r="F17" s="860" t="s">
        <v>4058</v>
      </c>
      <c r="G17" s="860"/>
    </row>
    <row r="18" spans="1:7" ht="13" thickBot="1" x14ac:dyDescent="0.3">
      <c r="A18">
        <v>13593133</v>
      </c>
      <c r="B18" t="s">
        <v>354</v>
      </c>
      <c r="C18" s="16">
        <v>0</v>
      </c>
      <c r="D18" s="16">
        <v>1608</v>
      </c>
      <c r="E18" s="16">
        <v>1014939</v>
      </c>
      <c r="F18" s="860" t="s">
        <v>4063</v>
      </c>
      <c r="G18" s="860"/>
    </row>
    <row r="19" spans="1:7" ht="13" thickBot="1" x14ac:dyDescent="0.3">
      <c r="A19">
        <v>13593133</v>
      </c>
      <c r="B19" t="s">
        <v>354</v>
      </c>
      <c r="C19" s="16">
        <v>0</v>
      </c>
      <c r="D19" s="16">
        <v>1613</v>
      </c>
      <c r="E19" s="16">
        <v>1014941</v>
      </c>
      <c r="F19" s="860" t="s">
        <v>4063</v>
      </c>
      <c r="G19" s="860"/>
    </row>
    <row r="20" spans="1:7" ht="13" thickBot="1" x14ac:dyDescent="0.3">
      <c r="A20">
        <v>13593133</v>
      </c>
      <c r="B20" t="s">
        <v>354</v>
      </c>
      <c r="C20" s="16">
        <v>6</v>
      </c>
      <c r="D20" s="16">
        <v>1308</v>
      </c>
      <c r="E20" s="16">
        <v>418525</v>
      </c>
      <c r="F20" s="860" t="s">
        <v>4060</v>
      </c>
      <c r="G20" s="860"/>
    </row>
    <row r="21" spans="1:7" ht="13" thickBot="1" x14ac:dyDescent="0.3">
      <c r="A21">
        <v>13593133</v>
      </c>
      <c r="B21" t="s">
        <v>354</v>
      </c>
      <c r="C21" s="16">
        <v>23</v>
      </c>
      <c r="D21" s="16">
        <v>1608</v>
      </c>
      <c r="E21" s="16">
        <v>1130197</v>
      </c>
      <c r="F21" s="860" t="s">
        <v>4064</v>
      </c>
      <c r="G21" s="860"/>
    </row>
    <row r="22" spans="1:7" ht="13" thickBot="1" x14ac:dyDescent="0.3">
      <c r="A22">
        <v>13593133</v>
      </c>
      <c r="B22" t="s">
        <v>354</v>
      </c>
      <c r="C22" s="16">
        <v>9</v>
      </c>
      <c r="D22" s="16">
        <v>1613</v>
      </c>
      <c r="E22" s="16">
        <v>1130198</v>
      </c>
      <c r="F22" s="860" t="s">
        <v>4065</v>
      </c>
      <c r="G22" s="860"/>
    </row>
    <row r="23" spans="1:7" ht="15" thickBot="1" x14ac:dyDescent="0.3">
      <c r="A23" s="17">
        <v>13578190</v>
      </c>
      <c r="B23" s="18" t="s">
        <v>4066</v>
      </c>
      <c r="C23" s="16">
        <v>33</v>
      </c>
      <c r="D23" s="16">
        <v>1613</v>
      </c>
      <c r="E23" s="16">
        <v>1039060</v>
      </c>
      <c r="F23" s="860" t="s">
        <v>4058</v>
      </c>
      <c r="G23" s="860"/>
    </row>
    <row r="24" spans="1:7" ht="13" thickBot="1" x14ac:dyDescent="0.3">
      <c r="A24">
        <v>13578190</v>
      </c>
      <c r="B24" t="s">
        <v>4066</v>
      </c>
      <c r="C24" s="16">
        <v>0</v>
      </c>
      <c r="D24" s="16">
        <v>1608</v>
      </c>
      <c r="E24" s="16">
        <v>983148</v>
      </c>
      <c r="F24" s="860" t="s">
        <v>4067</v>
      </c>
      <c r="G24" s="860"/>
    </row>
    <row r="25" spans="1:7" ht="13" thickBot="1" x14ac:dyDescent="0.3">
      <c r="A25">
        <v>13578190</v>
      </c>
      <c r="B25" t="s">
        <v>4066</v>
      </c>
      <c r="C25" s="16">
        <v>6</v>
      </c>
      <c r="D25" s="16">
        <v>1308</v>
      </c>
      <c r="E25" s="16">
        <v>418525</v>
      </c>
      <c r="F25" s="860" t="s">
        <v>4060</v>
      </c>
      <c r="G25" s="860"/>
    </row>
    <row r="26" spans="1:7" ht="13" thickBot="1" x14ac:dyDescent="0.3">
      <c r="A26">
        <v>13578190</v>
      </c>
      <c r="B26" t="s">
        <v>4066</v>
      </c>
      <c r="C26" s="16">
        <v>23</v>
      </c>
      <c r="D26" s="16">
        <v>1608</v>
      </c>
      <c r="E26" s="16">
        <v>1130197</v>
      </c>
      <c r="F26" s="860" t="s">
        <v>4064</v>
      </c>
      <c r="G26" s="860"/>
    </row>
    <row r="27" spans="1:7" ht="15" thickBot="1" x14ac:dyDescent="0.3">
      <c r="A27" s="17">
        <v>13593362</v>
      </c>
      <c r="B27">
        <v>1020531</v>
      </c>
      <c r="C27" s="16">
        <v>77</v>
      </c>
      <c r="D27" s="16">
        <v>1613</v>
      </c>
      <c r="E27" s="16">
        <v>1130198</v>
      </c>
      <c r="F27" s="860" t="s">
        <v>4065</v>
      </c>
      <c r="G27" s="860"/>
    </row>
    <row r="28" spans="1:7" ht="13" thickBot="1" x14ac:dyDescent="0.3">
      <c r="A28">
        <v>13593362</v>
      </c>
      <c r="B28">
        <v>1020531</v>
      </c>
      <c r="C28" s="16">
        <v>24</v>
      </c>
      <c r="D28" s="16">
        <v>1913</v>
      </c>
      <c r="E28" s="16">
        <v>1130200</v>
      </c>
      <c r="F28" s="860" t="s">
        <v>4065</v>
      </c>
      <c r="G28" s="860"/>
    </row>
    <row r="29" spans="1:7" ht="13" thickBot="1" x14ac:dyDescent="0.3">
      <c r="A29">
        <v>13593362</v>
      </c>
      <c r="B29">
        <v>1020531</v>
      </c>
      <c r="C29" s="16">
        <v>8</v>
      </c>
      <c r="D29" s="16">
        <v>1308</v>
      </c>
      <c r="E29" s="16">
        <v>418525</v>
      </c>
      <c r="F29" s="860" t="s">
        <v>4060</v>
      </c>
      <c r="G29" s="860"/>
    </row>
    <row r="30" spans="1:7" ht="13" thickBot="1" x14ac:dyDescent="0.3">
      <c r="A30">
        <v>13593362</v>
      </c>
      <c r="B30">
        <v>1020531</v>
      </c>
      <c r="C30" s="16">
        <v>9</v>
      </c>
      <c r="D30" s="16">
        <v>1613</v>
      </c>
      <c r="E30" s="16">
        <v>1100741</v>
      </c>
      <c r="F30" s="860" t="s">
        <v>4068</v>
      </c>
      <c r="G30" s="860"/>
    </row>
    <row r="31" spans="1:7" ht="13" thickBot="1" x14ac:dyDescent="0.3">
      <c r="A31">
        <v>13593362</v>
      </c>
      <c r="B31">
        <v>1020531</v>
      </c>
      <c r="C31" s="16">
        <v>8</v>
      </c>
      <c r="D31" s="16">
        <v>1608</v>
      </c>
      <c r="E31" s="16">
        <v>1130197</v>
      </c>
      <c r="F31" s="860" t="s">
        <v>4064</v>
      </c>
      <c r="G31" s="860"/>
    </row>
    <row r="32" spans="1:7" ht="13" thickBot="1" x14ac:dyDescent="0.3">
      <c r="A32">
        <v>13593350</v>
      </c>
      <c r="B32" t="s">
        <v>4066</v>
      </c>
      <c r="C32" s="16">
        <v>33</v>
      </c>
      <c r="D32" s="16">
        <v>1613</v>
      </c>
      <c r="E32" s="16">
        <v>1039060</v>
      </c>
      <c r="F32" s="860" t="s">
        <v>4058</v>
      </c>
      <c r="G32" s="860"/>
    </row>
    <row r="33" spans="1:7" ht="13" thickBot="1" x14ac:dyDescent="0.3">
      <c r="A33">
        <v>13593350</v>
      </c>
      <c r="B33" t="s">
        <v>4066</v>
      </c>
      <c r="C33" s="16">
        <v>0</v>
      </c>
      <c r="D33" s="16">
        <v>1608</v>
      </c>
      <c r="E33" s="16">
        <v>983148</v>
      </c>
      <c r="F33" s="860" t="s">
        <v>4067</v>
      </c>
      <c r="G33" s="860"/>
    </row>
    <row r="34" spans="1:7" ht="13" thickBot="1" x14ac:dyDescent="0.3">
      <c r="A34">
        <v>13593350</v>
      </c>
      <c r="B34" t="s">
        <v>4066</v>
      </c>
      <c r="C34" s="16">
        <v>6</v>
      </c>
      <c r="D34" s="16">
        <v>1308</v>
      </c>
      <c r="E34" s="16">
        <v>418525</v>
      </c>
      <c r="F34" s="860" t="s">
        <v>4060</v>
      </c>
      <c r="G34" s="860"/>
    </row>
    <row r="35" spans="1:7" ht="13" thickBot="1" x14ac:dyDescent="0.3">
      <c r="A35">
        <v>13593350</v>
      </c>
      <c r="B35" t="s">
        <v>4066</v>
      </c>
      <c r="C35" s="16">
        <v>23</v>
      </c>
      <c r="D35" s="16">
        <v>1608</v>
      </c>
      <c r="E35" s="16">
        <v>1130197</v>
      </c>
      <c r="F35" s="860" t="s">
        <v>4064</v>
      </c>
      <c r="G35" s="860"/>
    </row>
    <row r="36" spans="1:7" ht="13" thickBot="1" x14ac:dyDescent="0.3">
      <c r="A36">
        <v>13558473</v>
      </c>
      <c r="B36" t="s">
        <v>4069</v>
      </c>
      <c r="C36" s="16">
        <v>0</v>
      </c>
      <c r="D36" s="16">
        <v>1010</v>
      </c>
      <c r="E36" s="16">
        <v>1039029</v>
      </c>
      <c r="F36" s="863" t="s">
        <v>4059</v>
      </c>
      <c r="G36" s="864"/>
    </row>
    <row r="37" spans="1:7" ht="13" thickBot="1" x14ac:dyDescent="0.3">
      <c r="A37">
        <v>13558473</v>
      </c>
      <c r="B37" t="s">
        <v>4069</v>
      </c>
      <c r="C37" s="16">
        <v>14</v>
      </c>
      <c r="D37" s="16">
        <v>1005</v>
      </c>
      <c r="E37" s="16">
        <v>1050785</v>
      </c>
      <c r="F37" s="863" t="s">
        <v>4059</v>
      </c>
      <c r="G37" s="864"/>
    </row>
    <row r="38" spans="1:7" ht="13" thickBot="1" x14ac:dyDescent="0.3">
      <c r="A38">
        <v>13558473</v>
      </c>
      <c r="B38" t="s">
        <v>4069</v>
      </c>
      <c r="C38" s="16">
        <v>19</v>
      </c>
      <c r="D38" s="16">
        <v>1010</v>
      </c>
      <c r="E38" s="16">
        <v>1130217</v>
      </c>
      <c r="F38" s="863" t="s">
        <v>4070</v>
      </c>
      <c r="G38" s="864"/>
    </row>
  </sheetData>
  <mergeCells count="37">
    <mergeCell ref="F37:G37"/>
    <mergeCell ref="F38:G38"/>
    <mergeCell ref="F31:G31"/>
    <mergeCell ref="F32:G32"/>
    <mergeCell ref="F33:G33"/>
    <mergeCell ref="F34:G34"/>
    <mergeCell ref="F35:G35"/>
    <mergeCell ref="F36:G36"/>
    <mergeCell ref="F30:G30"/>
    <mergeCell ref="F19:G19"/>
    <mergeCell ref="F20:G20"/>
    <mergeCell ref="F21:G21"/>
    <mergeCell ref="F22:G22"/>
    <mergeCell ref="F23:G23"/>
    <mergeCell ref="F24:G24"/>
    <mergeCell ref="F25:G25"/>
    <mergeCell ref="F26:G26"/>
    <mergeCell ref="F27:G27"/>
    <mergeCell ref="F28:G28"/>
    <mergeCell ref="F29:G29"/>
    <mergeCell ref="F2:G2"/>
    <mergeCell ref="F17:G17"/>
    <mergeCell ref="F3:G3"/>
    <mergeCell ref="F4:G4"/>
    <mergeCell ref="F5:G5"/>
    <mergeCell ref="F6:G6"/>
    <mergeCell ref="F7:G7"/>
    <mergeCell ref="F18:G18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</mergeCells>
  <conditionalFormatting sqref="C3:C10">
    <cfRule type="expression" dxfId="66" priority="164">
      <formula>AND(COUNTIF(#REF!,#REF!),C3&lt;&gt;0)</formula>
    </cfRule>
  </conditionalFormatting>
  <conditionalFormatting sqref="C3:C38">
    <cfRule type="cellIs" dxfId="65" priority="8" operator="equal">
      <formula>0</formula>
    </cfRule>
  </conditionalFormatting>
  <conditionalFormatting sqref="C4">
    <cfRule type="expression" dxfId="64" priority="137">
      <formula>AND($E$13=$E$4,$F$13&lt;&gt;$F$4)</formula>
    </cfRule>
  </conditionalFormatting>
  <conditionalFormatting sqref="C5">
    <cfRule type="expression" dxfId="63" priority="135">
      <formula>OR(AND($E$14=$E$4,$F$14&lt;&gt;$F$4),AND($E$14=$E$5,$F$14&lt;&gt;$F$5))</formula>
    </cfRule>
  </conditionalFormatting>
  <conditionalFormatting sqref="C6">
    <cfRule type="expression" dxfId="62" priority="134">
      <formula>OR(AND($E$15=$E$4,$F$15&lt;&gt;$F$4),AND($E$15=$E$5,$F$15&lt;&gt;$F$5),AND($E$15=$E$6,$F$15&lt;&gt;$F$6))</formula>
    </cfRule>
  </conditionalFormatting>
  <conditionalFormatting sqref="C7">
    <cfRule type="expression" dxfId="61" priority="136">
      <formula>OR(AND($E$16=$E$4,$F$16&lt;&gt;$F$4),AND($E$16=$E$5,$F$16&lt;&gt;$F$5),AND($E$16=$E$6,$F$16&lt;&gt;$F$6))</formula>
    </cfRule>
  </conditionalFormatting>
  <conditionalFormatting sqref="C8">
    <cfRule type="expression" dxfId="60" priority="133">
      <formula>OR(AND($E$17=$E$4,$F$17&lt;&gt;$F$4),AND($E$17=$E$5,$F$17&lt;&gt;$F$5),AND($E$17=$E$6,$F$17&lt;&gt;$F$6))</formula>
    </cfRule>
  </conditionalFormatting>
  <conditionalFormatting sqref="C9:C10">
    <cfRule type="expression" dxfId="59" priority="132">
      <formula>OR(AND($E$18=$E$4,$F$18&lt;&gt;$F$4),AND($E$18=$E$5,$F$18&lt;&gt;$F$5),AND($E$18=$E$6,$F$18&lt;&gt;$F$6))</formula>
    </cfRule>
  </conditionalFormatting>
  <conditionalFormatting sqref="C11:C38">
    <cfRule type="expression" dxfId="58" priority="4">
      <formula>AND(COUNTIF($G$5,B11),C11&lt;&gt;0)</formula>
    </cfRule>
    <cfRule type="expression" dxfId="57" priority="4">
      <formula>AND(COUNTIF($G$4,B11),C11&lt;&gt;0)</formula>
    </cfRule>
    <cfRule type="expression" dxfId="56" priority="4">
      <formula>AND(COUNTIF($G$6,B11),C11&lt;&gt;0)</formula>
    </cfRule>
  </conditionalFormatting>
  <conditionalFormatting sqref="C12">
    <cfRule type="expression" dxfId="55" priority="111">
      <formula>AND($D$13=$D$4,$E$13&lt;&gt;$E$4)</formula>
    </cfRule>
  </conditionalFormatting>
  <conditionalFormatting sqref="C13">
    <cfRule type="expression" dxfId="54" priority="109">
      <formula>OR(AND($D$14=$D$4,$E$14&lt;&gt;$E$4),AND($D$14=$D$5,$E$14&lt;&gt;$E$5))</formula>
    </cfRule>
  </conditionalFormatting>
  <conditionalFormatting sqref="C14">
    <cfRule type="expression" dxfId="53" priority="108">
      <formula>OR(AND($D$15=$D$4,$E$15&lt;&gt;$E$4),AND($D$15=$D$5,$E$15&lt;&gt;$E$5),AND($D$15=$D$6,$E$15&lt;&gt;$E$6))</formula>
    </cfRule>
  </conditionalFormatting>
  <conditionalFormatting sqref="C15">
    <cfRule type="expression" dxfId="52" priority="110">
      <formula>OR(AND($D$16=$D$4,$E$16&lt;&gt;$E$4),AND($D$16=$D$5,$E$16&lt;&gt;$E$5),AND($D$16=$D$6,$E$16&lt;&gt;$E$6))</formula>
    </cfRule>
  </conditionalFormatting>
  <conditionalFormatting sqref="C16">
    <cfRule type="expression" dxfId="51" priority="107">
      <formula>OR(AND($D$17=$D$4,$E$17&lt;&gt;$E$4),AND($D$17=$D$5,$E$17&lt;&gt;$E$5),AND($D$17=$D$6,$E$17&lt;&gt;$E$6))</formula>
    </cfRule>
  </conditionalFormatting>
  <conditionalFormatting sqref="C18">
    <cfRule type="expression" dxfId="50" priority="88">
      <formula>AND($D$13=$D$4,$E$13&lt;&gt;$E$4)</formula>
    </cfRule>
  </conditionalFormatting>
  <conditionalFormatting sqref="C19">
    <cfRule type="expression" dxfId="49" priority="86">
      <formula>OR(AND($D$14=$D$4,$E$14&lt;&gt;$E$4),AND($D$14=$D$5,$E$14&lt;&gt;$E$5))</formula>
    </cfRule>
  </conditionalFormatting>
  <conditionalFormatting sqref="C20">
    <cfRule type="expression" dxfId="48" priority="85">
      <formula>OR(AND($D$15=$D$4,$E$15&lt;&gt;$E$4),AND($D$15=$D$5,$E$15&lt;&gt;$E$5),AND($D$15=$D$6,$E$15&lt;&gt;$E$6))</formula>
    </cfRule>
  </conditionalFormatting>
  <conditionalFormatting sqref="C21">
    <cfRule type="expression" dxfId="47" priority="87">
      <formula>OR(AND($D$16=$D$4,$E$16&lt;&gt;$E$4),AND($D$16=$D$5,$E$16&lt;&gt;$E$5),AND($D$16=$D$6,$E$16&lt;&gt;$E$6))</formula>
    </cfRule>
  </conditionalFormatting>
  <conditionalFormatting sqref="C22">
    <cfRule type="expression" dxfId="46" priority="84">
      <formula>OR(AND($D$17=$D$4,$E$17&lt;&gt;$E$4),AND($D$17=$D$5,$E$17&lt;&gt;$E$5),AND($D$17=$D$6,$E$17&lt;&gt;$E$6))</formula>
    </cfRule>
  </conditionalFormatting>
  <conditionalFormatting sqref="C24">
    <cfRule type="expression" dxfId="45" priority="65">
      <formula>AND($D$13=$D$4,$E$13&lt;&gt;$E$4)</formula>
    </cfRule>
  </conditionalFormatting>
  <conditionalFormatting sqref="C25">
    <cfRule type="expression" dxfId="44" priority="64">
      <formula>OR(AND($D$14=$D$4,$E$14&lt;&gt;$E$4),AND($D$14=$D$5,$E$14&lt;&gt;$E$5))</formula>
    </cfRule>
  </conditionalFormatting>
  <conditionalFormatting sqref="C26">
    <cfRule type="expression" dxfId="43" priority="63">
      <formula>OR(AND($D$15=$D$4,$E$15&lt;&gt;$E$4),AND($D$15=$D$5,$E$15&lt;&gt;$E$5),AND($D$15=$D$6,$E$15&lt;&gt;$E$6))</formula>
    </cfRule>
  </conditionalFormatting>
  <conditionalFormatting sqref="C28">
    <cfRule type="expression" dxfId="42" priority="48">
      <formula>AND($D$13=$D$4,$E$13&lt;&gt;$E$4)</formula>
    </cfRule>
  </conditionalFormatting>
  <conditionalFormatting sqref="C29">
    <cfRule type="expression" dxfId="41" priority="46">
      <formula>OR(AND($D$14=$D$4,$E$14&lt;&gt;$E$4),AND($D$14=$D$5,$E$14&lt;&gt;$E$5))</formula>
    </cfRule>
  </conditionalFormatting>
  <conditionalFormatting sqref="C30">
    <cfRule type="expression" dxfId="40" priority="45">
      <formula>OR(AND($D$15=$D$4,$E$15&lt;&gt;$E$4),AND($D$15=$D$5,$E$15&lt;&gt;$E$5),AND($D$15=$D$6,$E$15&lt;&gt;$E$6))</formula>
    </cfRule>
  </conditionalFormatting>
  <conditionalFormatting sqref="C31">
    <cfRule type="expression" dxfId="39" priority="47">
      <formula>OR(AND($D$16=$D$4,$E$16&lt;&gt;$E$4),AND($D$16=$D$5,$E$16&lt;&gt;$E$5),AND($D$16=$D$6,$E$16&lt;&gt;$E$6))</formula>
    </cfRule>
  </conditionalFormatting>
  <conditionalFormatting sqref="C33">
    <cfRule type="expression" dxfId="38" priority="28">
      <formula>AND($D$13=$D$4,$E$13&lt;&gt;$E$4)</formula>
    </cfRule>
  </conditionalFormatting>
  <conditionalFormatting sqref="C34">
    <cfRule type="expression" dxfId="37" priority="27">
      <formula>OR(AND($D$14=$D$4,$E$14&lt;&gt;$E$4),AND($D$14=$D$5,$E$14&lt;&gt;$E$5))</formula>
    </cfRule>
  </conditionalFormatting>
  <conditionalFormatting sqref="C35">
    <cfRule type="expression" dxfId="36" priority="26">
      <formula>OR(AND($D$15=$D$4,$E$15&lt;&gt;$E$4),AND($D$15=$D$5,$E$15&lt;&gt;$E$5),AND($D$15=$D$6,$E$15&lt;&gt;$E$6))</formula>
    </cfRule>
  </conditionalFormatting>
  <conditionalFormatting sqref="C37">
    <cfRule type="expression" dxfId="35" priority="13">
      <formula>AND($D$13=$D$4,$E$13&lt;&gt;$E$4)</formula>
    </cfRule>
  </conditionalFormatting>
  <conditionalFormatting sqref="C38">
    <cfRule type="expression" dxfId="34" priority="11">
      <formula>OR(AND($D$14=$D$4,$E$14&lt;&gt;$E$4),AND($D$14=$D$5,$E$14&lt;&gt;$E$5))</formula>
    </cfRule>
  </conditionalFormatting>
  <conditionalFormatting sqref="D3:D10">
    <cfRule type="expression" dxfId="33" priority="138">
      <formula>AND($E$4&lt;&gt;"",$C$53&lt;&gt;$D$53)</formula>
    </cfRule>
    <cfRule type="expression" dxfId="32" priority="139">
      <formula>AND($E$5&lt;&gt;"",$C$54&lt;&gt;$D$54)</formula>
    </cfRule>
    <cfRule type="expression" dxfId="31" priority="140">
      <formula>AND($E$6&lt;&gt;"",$C$55&lt;&gt;$D$55)</formula>
    </cfRule>
  </conditionalFormatting>
  <conditionalFormatting sqref="D11:D38">
    <cfRule type="expression" dxfId="30" priority="12">
      <formula>AND($D$4&lt;&gt;"",$B$53&lt;&gt;$C$53)</formula>
    </cfRule>
    <cfRule type="expression" dxfId="29" priority="14">
      <formula>AND($D$6&lt;&gt;"",$B$55&lt;&gt;$C$55)</formula>
    </cfRule>
    <cfRule type="expression" dxfId="28" priority="30">
      <formula>AND($D$5&lt;&gt;"",$B$54&lt;&gt;$C$54)</formula>
    </cfRule>
  </conditionalFormatting>
  <conditionalFormatting sqref="E3">
    <cfRule type="expression" priority="163">
      <formula>AND($N$12&lt;&gt;#REF!,$N$12&lt;&gt;0)</formula>
    </cfRule>
  </conditionalFormatting>
  <conditionalFormatting sqref="E4">
    <cfRule type="expression" dxfId="27" priority="157">
      <formula>AND($N$13&lt;&gt;#REF!,$N$13&lt;&gt;0)</formula>
    </cfRule>
  </conditionalFormatting>
  <conditionalFormatting sqref="E5">
    <cfRule type="expression" dxfId="26" priority="158">
      <formula>AND($N$14&lt;&gt;#REF!,$N$14&lt;&gt;0)</formula>
    </cfRule>
  </conditionalFormatting>
  <conditionalFormatting sqref="E6">
    <cfRule type="expression" dxfId="25" priority="159">
      <formula>AND($N$15&lt;&gt;#REF!,$N$15&lt;&gt;0)</formula>
    </cfRule>
  </conditionalFormatting>
  <conditionalFormatting sqref="E7">
    <cfRule type="expression" dxfId="24" priority="162">
      <formula>AND($N$16&lt;&gt;#REF!,$N$16&lt;&gt;0)</formula>
    </cfRule>
  </conditionalFormatting>
  <conditionalFormatting sqref="E8">
    <cfRule type="expression" dxfId="23" priority="160">
      <formula>AND($N$17&lt;&gt;#REF!,$N$17&lt;&gt;0)</formula>
    </cfRule>
  </conditionalFormatting>
  <conditionalFormatting sqref="E9:E10">
    <cfRule type="expression" dxfId="22" priority="161">
      <formula>AND($N$18&lt;&gt;#REF!,$N$18&lt;&gt;0)</formula>
    </cfRule>
  </conditionalFormatting>
  <conditionalFormatting sqref="E11">
    <cfRule type="expression" priority="172">
      <formula>AND($M$12&lt;&gt;$G$12,$M$12&lt;&gt;0)</formula>
    </cfRule>
  </conditionalFormatting>
  <conditionalFormatting sqref="E12">
    <cfRule type="expression" dxfId="21" priority="167">
      <formula>AND($M$13&lt;&gt;$G$13,$M$13&lt;&gt;0)</formula>
    </cfRule>
  </conditionalFormatting>
  <conditionalFormatting sqref="E13">
    <cfRule type="expression" dxfId="20" priority="168">
      <formula>AND($M$14&lt;&gt;$G$14,$M$14&lt;&gt;0)</formula>
    </cfRule>
  </conditionalFormatting>
  <conditionalFormatting sqref="E14">
    <cfRule type="expression" dxfId="19" priority="169">
      <formula>AND($M$15&lt;&gt;$G$15,$M$15&lt;&gt;0)</formula>
    </cfRule>
  </conditionalFormatting>
  <conditionalFormatting sqref="E15">
    <cfRule type="expression" dxfId="18" priority="171">
      <formula>AND($M$16&lt;&gt;$G$16,$M$16&lt;&gt;0)</formula>
    </cfRule>
  </conditionalFormatting>
  <conditionalFormatting sqref="E16">
    <cfRule type="expression" dxfId="17" priority="170">
      <formula>AND($M$17&lt;&gt;$G$17,$M$17&lt;&gt;0)</formula>
    </cfRule>
  </conditionalFormatting>
  <conditionalFormatting sqref="E17">
    <cfRule type="expression" priority="72">
      <formula>AND($N$12&lt;&gt;$G$12,$N$12&lt;&gt;0)</formula>
    </cfRule>
  </conditionalFormatting>
  <conditionalFormatting sqref="E18">
    <cfRule type="expression" dxfId="16" priority="83">
      <formula>AND($N$13&lt;&gt;$G$13,$N$13&lt;&gt;0)</formula>
    </cfRule>
  </conditionalFormatting>
  <conditionalFormatting sqref="E19">
    <cfRule type="expression" dxfId="15" priority="82">
      <formula>AND($N$14&lt;&gt;$G$14,$N$14&lt;&gt;0)</formula>
    </cfRule>
  </conditionalFormatting>
  <conditionalFormatting sqref="E20">
    <cfRule type="expression" dxfId="14" priority="81">
      <formula>AND($N$15&lt;&gt;$G$15,$N$15&lt;&gt;0)</formula>
    </cfRule>
  </conditionalFormatting>
  <conditionalFormatting sqref="E21">
    <cfRule type="expression" dxfId="13" priority="73">
      <formula>AND($N$16&lt;&gt;$G$16,$N$16&lt;&gt;0)</formula>
    </cfRule>
  </conditionalFormatting>
  <conditionalFormatting sqref="E22">
    <cfRule type="expression" dxfId="12" priority="80">
      <formula>AND($N$17&lt;&gt;$G$17,$N$17&lt;&gt;0)</formula>
    </cfRule>
  </conditionalFormatting>
  <conditionalFormatting sqref="E23">
    <cfRule type="expression" priority="55">
      <formula>AND($N$12&lt;&gt;$G$12,$N$12&lt;&gt;0)</formula>
    </cfRule>
  </conditionalFormatting>
  <conditionalFormatting sqref="E24">
    <cfRule type="expression" dxfId="11" priority="62">
      <formula>AND($N$13&lt;&gt;$G$13,$N$13&lt;&gt;0)</formula>
    </cfRule>
  </conditionalFormatting>
  <conditionalFormatting sqref="E25">
    <cfRule type="expression" dxfId="10" priority="61">
      <formula>AND($N$14&lt;&gt;$G$14,$N$14&lt;&gt;0)</formula>
    </cfRule>
  </conditionalFormatting>
  <conditionalFormatting sqref="E26">
    <cfRule type="expression" dxfId="9" priority="60">
      <formula>AND($N$15&lt;&gt;$G$15,$N$15&lt;&gt;0)</formula>
    </cfRule>
  </conditionalFormatting>
  <conditionalFormatting sqref="E27">
    <cfRule type="expression" priority="35">
      <formula>AND($N$12&lt;&gt;$G$12,$N$12&lt;&gt;0)</formula>
    </cfRule>
  </conditionalFormatting>
  <conditionalFormatting sqref="E28">
    <cfRule type="expression" dxfId="8" priority="44">
      <formula>AND($N$13&lt;&gt;$G$13,$N$13&lt;&gt;0)</formula>
    </cfRule>
  </conditionalFormatting>
  <conditionalFormatting sqref="E29">
    <cfRule type="expression" dxfId="7" priority="43">
      <formula>AND($N$14&lt;&gt;$G$14,$N$14&lt;&gt;0)</formula>
    </cfRule>
  </conditionalFormatting>
  <conditionalFormatting sqref="E30">
    <cfRule type="expression" dxfId="6" priority="42">
      <formula>AND($N$15&lt;&gt;$G$15,$N$15&lt;&gt;0)</formula>
    </cfRule>
  </conditionalFormatting>
  <conditionalFormatting sqref="E31">
    <cfRule type="expression" dxfId="5" priority="36">
      <formula>AND($N$16&lt;&gt;$G$16,$N$16&lt;&gt;0)</formula>
    </cfRule>
  </conditionalFormatting>
  <conditionalFormatting sqref="E32">
    <cfRule type="expression" priority="18">
      <formula>AND($N$12&lt;&gt;$G$12,$N$12&lt;&gt;0)</formula>
    </cfRule>
  </conditionalFormatting>
  <conditionalFormatting sqref="E33">
    <cfRule type="expression" dxfId="4" priority="25">
      <formula>AND($N$13&lt;&gt;$G$13,$N$13&lt;&gt;0)</formula>
    </cfRule>
  </conditionalFormatting>
  <conditionalFormatting sqref="E34">
    <cfRule type="expression" dxfId="3" priority="24">
      <formula>AND($N$14&lt;&gt;$G$14,$N$14&lt;&gt;0)</formula>
    </cfRule>
  </conditionalFormatting>
  <conditionalFormatting sqref="E35">
    <cfRule type="expression" dxfId="2" priority="23">
      <formula>AND($N$15&lt;&gt;$G$15,$N$15&lt;&gt;0)</formula>
    </cfRule>
  </conditionalFormatting>
  <conditionalFormatting sqref="E36">
    <cfRule type="expression" priority="7">
      <formula>AND($N$12&lt;&gt;$G$12,$N$12&lt;&gt;0)</formula>
    </cfRule>
  </conditionalFormatting>
  <conditionalFormatting sqref="E37">
    <cfRule type="expression" dxfId="1" priority="10">
      <formula>AND($N$13&lt;&gt;$G$13,$N$13&lt;&gt;0)</formula>
    </cfRule>
  </conditionalFormatting>
  <conditionalFormatting sqref="E38">
    <cfRule type="expression" dxfId="0" priority="9">
      <formula>AND($N$14&lt;&gt;$G$14,$N$14&lt;&gt;0)</formula>
    </cfRule>
  </conditionalFormatting>
  <dataValidations count="1">
    <dataValidation type="list" allowBlank="1" showInputMessage="1" showErrorMessage="1" sqref="B17 B23" xr:uid="{00000000-0002-0000-1100-000000000000}">
      <formula1>$L$36:$L$356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9bcb31a-100f-4c70-8038-cd2ff942e28f" xsi:nil="true"/>
    <lcf76f155ced4ddcb4097134ff3c332f xmlns="4c010750-70c4-490e-acc4-0ead07c2ac2b">
      <Terms xmlns="http://schemas.microsoft.com/office/infopath/2007/PartnerControls"/>
    </lcf76f155ced4ddcb4097134ff3c332f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ADD1CE1E5B5A4C81B4DD75D10376BA" ma:contentTypeVersion="14" ma:contentTypeDescription="Create a new document." ma:contentTypeScope="" ma:versionID="91956f3984269dc000831a5305942de3">
  <xsd:schema xmlns:xsd="http://www.w3.org/2001/XMLSchema" xmlns:xs="http://www.w3.org/2001/XMLSchema" xmlns:p="http://schemas.microsoft.com/office/2006/metadata/properties" xmlns:ns2="4c010750-70c4-490e-acc4-0ead07c2ac2b" xmlns:ns3="e9bcb31a-100f-4c70-8038-cd2ff942e28f" targetNamespace="http://schemas.microsoft.com/office/2006/metadata/properties" ma:root="true" ma:fieldsID="78aaec9165dafe3d999aeed2fec864aa" ns2:_="" ns3:_="">
    <xsd:import namespace="4c010750-70c4-490e-acc4-0ead07c2ac2b"/>
    <xsd:import namespace="e9bcb31a-100f-4c70-8038-cd2ff942e2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10750-70c4-490e-acc4-0ead07c2ac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8233ab-2e91-4a8b-810e-f685759958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cb31a-100f-4c70-8038-cd2ff942e28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9ba03a4-d5f1-43c0-be4e-9f01ae637e41}" ma:internalName="TaxCatchAll" ma:showField="CatchAllData" ma:web="e9bcb31a-100f-4c70-8038-cd2ff942e2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80DC83-7ADD-41F7-8DC0-821F332D921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C996AC85-3B03-4B7F-B63B-D17E4FDADA8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021C039-F8A7-4438-BD96-2E925E0C6FD2}">
  <ds:schemaRefs>
    <ds:schemaRef ds:uri="http://schemas.microsoft.com/office/2006/metadata/properties"/>
    <ds:schemaRef ds:uri="http://schemas.microsoft.com/office/infopath/2007/PartnerControls"/>
    <ds:schemaRef ds:uri="e9bcb31a-100f-4c70-8038-cd2ff942e28f"/>
    <ds:schemaRef ds:uri="4c010750-70c4-490e-acc4-0ead07c2ac2b"/>
  </ds:schemaRefs>
</ds:datastoreItem>
</file>

<file path=customXml/itemProps4.xml><?xml version="1.0" encoding="utf-8"?>
<ds:datastoreItem xmlns:ds="http://schemas.openxmlformats.org/officeDocument/2006/customXml" ds:itemID="{0CB51898-0635-4C27-8083-443B346743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010750-70c4-490e-acc4-0ead07c2ac2b"/>
    <ds:schemaRef ds:uri="e9bcb31a-100f-4c70-8038-cd2ff942e28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ad6f6f2-a951-4904-b531-92e1207fc7a5}" enabled="1" method="Standard" siteId="{b7be7686-6f97-4db7-9081-a23cf09a96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Cutters Inventory 12-30-2025</vt:lpstr>
      <vt:lpstr>Sheet3</vt:lpstr>
      <vt:lpstr>Sheet5</vt:lpstr>
      <vt:lpstr>Sheet1</vt:lpstr>
      <vt:lpstr>ARAMCO 3D BATCH 7.7.2022</vt:lpstr>
      <vt:lpstr>Special Consumables_C&amp;S_.. (2)</vt:lpstr>
      <vt:lpstr>Cutters Inventory 12-30-2025(2)</vt:lpstr>
      <vt:lpstr>Categories Data</vt:lpstr>
      <vt:lpstr>L3&amp;L4 BOMs &amp; Cutters 12-30-2025</vt:lpstr>
      <vt:lpstr>Obsolete Cutters-10-27-2025</vt:lpstr>
      <vt:lpstr>Cutters Orders Updates</vt:lpstr>
      <vt:lpstr>Cutters Consumption Updates</vt:lpstr>
      <vt:lpstr>BOMS</vt:lpstr>
      <vt:lpstr>FILTER</vt:lpstr>
      <vt:lpstr>Duplicate No of Bits tims Rows</vt:lpstr>
      <vt:lpstr>Sheet4</vt:lpstr>
      <vt:lpstr>Check</vt:lpstr>
      <vt:lpstr>Special Consumables_C&amp;S_CF2.0</vt:lpstr>
      <vt:lpstr>Azim's update  9.27.2023</vt:lpstr>
      <vt:lpstr>ENO Cracked Cutters</vt:lpstr>
      <vt:lpstr>Azim's 9.1.2022 update</vt:lpstr>
      <vt:lpstr>Sheet2</vt:lpstr>
      <vt:lpstr>BITS WITH MODIFIED CUTTERS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Ramzi Kassab</dc:creator>
  <cp:keywords/>
  <dc:description/>
  <cp:lastModifiedBy>4484</cp:lastModifiedBy>
  <cp:revision/>
  <cp:lastPrinted>2025-12-09T12:29:41Z</cp:lastPrinted>
  <dcterms:created xsi:type="dcterms:W3CDTF">2021-05-04T14:08:35Z</dcterms:created>
  <dcterms:modified xsi:type="dcterms:W3CDTF">2026-01-15T23:02:47Z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d6f6f2-a951-4904-b531-92e1207fc7a5_Enabled">
    <vt:lpwstr>true</vt:lpwstr>
  </property>
  <property fmtid="{D5CDD505-2E9C-101B-9397-08002B2CF9AE}" pid="3" name="MSIP_Label_bad6f6f2-a951-4904-b531-92e1207fc7a5_SetDate">
    <vt:lpwstr>2021-05-06T06:20:27Z</vt:lpwstr>
  </property>
  <property fmtid="{D5CDD505-2E9C-101B-9397-08002B2CF9AE}" pid="4" name="MSIP_Label_bad6f6f2-a951-4904-b531-92e1207fc7a5_Method">
    <vt:lpwstr>Standard</vt:lpwstr>
  </property>
  <property fmtid="{D5CDD505-2E9C-101B-9397-08002B2CF9AE}" pid="5" name="MSIP_Label_bad6f6f2-a951-4904-b531-92e1207fc7a5_Name">
    <vt:lpwstr>No Restrictions - Internal</vt:lpwstr>
  </property>
  <property fmtid="{D5CDD505-2E9C-101B-9397-08002B2CF9AE}" pid="6" name="MSIP_Label_bad6f6f2-a951-4904-b531-92e1207fc7a5_SiteId">
    <vt:lpwstr>b7be7686-6f97-4db7-9081-a23cf09a96b5</vt:lpwstr>
  </property>
  <property fmtid="{D5CDD505-2E9C-101B-9397-08002B2CF9AE}" pid="7" name="MSIP_Label_bad6f6f2-a951-4904-b531-92e1207fc7a5_ActionId">
    <vt:lpwstr>4cb3a447-6b2d-4d26-bd83-a9c4ec87ae9c</vt:lpwstr>
  </property>
  <property fmtid="{D5CDD505-2E9C-101B-9397-08002B2CF9AE}" pid="8" name="MSIP_Label_bad6f6f2-a951-4904-b531-92e1207fc7a5_ContentBits">
    <vt:lpwstr>0</vt:lpwstr>
  </property>
  <property fmtid="{D5CDD505-2E9C-101B-9397-08002B2CF9AE}" pid="9" name="SV_QUERY_LIST_4F35BF76-6C0D-4D9B-82B2-816C12CF3733">
    <vt:lpwstr>empty_477D106A-C0D6-4607-AEBD-E2C9D60EA279</vt:lpwstr>
  </property>
  <property fmtid="{D5CDD505-2E9C-101B-9397-08002B2CF9AE}" pid="10" name="SV_HIDDEN_GRID_QUERY_LIST_4F35BF76-6C0D-4D9B-82B2-816C12CF3733">
    <vt:lpwstr>empty_477D106A-C0D6-4607-AEBD-E2C9D60EA279</vt:lpwstr>
  </property>
  <property fmtid="{D5CDD505-2E9C-101B-9397-08002B2CF9AE}" pid="11" name="ContentTypeId">
    <vt:lpwstr>0x010100ADADD1CE1E5B5A4C81B4DD75D10376BA</vt:lpwstr>
  </property>
  <property fmtid="{D5CDD505-2E9C-101B-9397-08002B2CF9AE}" pid="12" name="MediaServiceImageTags">
    <vt:lpwstr/>
  </property>
</Properties>
</file>